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opatkova\Seafile\Cloud-Documents\LUSyD\tecto2umr\"/>
    </mc:Choice>
  </mc:AlternateContent>
  <bookViews>
    <workbookView xWindow="0" yWindow="0" windowWidth="28770" windowHeight="6780" tabRatio="500"/>
  </bookViews>
  <sheets>
    <sheet name="pdt_pb_mapping_via_czengvallex" sheetId="1" r:id="rId1"/>
  </sheets>
  <definedNames>
    <definedName name="_xlnm._FilterDatabase" localSheetId="0" hidden="1">pdt_pb_mapping_via_czengvallex!$A:$D</definedName>
  </definedName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74259" i="1" l="1"/>
  <c r="B74255" i="1"/>
  <c r="B74251" i="1"/>
  <c r="B74248" i="1"/>
  <c r="B74244" i="1"/>
  <c r="B74240" i="1"/>
  <c r="B74236" i="1"/>
  <c r="B74232" i="1"/>
  <c r="B74228" i="1"/>
  <c r="B74224" i="1"/>
  <c r="B74221" i="1"/>
  <c r="B74217" i="1"/>
  <c r="B74213" i="1"/>
  <c r="B74209" i="1"/>
  <c r="B74205" i="1"/>
  <c r="B74201" i="1"/>
  <c r="B74197" i="1"/>
  <c r="B74192" i="1"/>
  <c r="B74187" i="1"/>
  <c r="B74182" i="1"/>
  <c r="B74178" i="1"/>
  <c r="B74173" i="1"/>
  <c r="B74169" i="1"/>
  <c r="B74165" i="1"/>
  <c r="B74161" i="1"/>
  <c r="B74158" i="1"/>
  <c r="B74154" i="1"/>
  <c r="B74150" i="1"/>
  <c r="B74146" i="1"/>
  <c r="B74142" i="1"/>
  <c r="B74138" i="1"/>
  <c r="B74134" i="1"/>
  <c r="B74130" i="1"/>
  <c r="B74125" i="1"/>
  <c r="B74121" i="1"/>
  <c r="B74117" i="1"/>
  <c r="B74113" i="1"/>
  <c r="B74109" i="1"/>
  <c r="B74105" i="1"/>
  <c r="B74100" i="1"/>
  <c r="B74095" i="1"/>
  <c r="B74090" i="1"/>
  <c r="B74085" i="1"/>
  <c r="B74081" i="1"/>
  <c r="B74077" i="1"/>
  <c r="B74073" i="1"/>
  <c r="B74067" i="1"/>
  <c r="B74063" i="1"/>
  <c r="B74059" i="1"/>
  <c r="B74054" i="1"/>
  <c r="B74050" i="1"/>
  <c r="B74046" i="1"/>
  <c r="B74042" i="1"/>
  <c r="B74038" i="1"/>
  <c r="B74034" i="1"/>
  <c r="B74030" i="1"/>
  <c r="B74026" i="1"/>
  <c r="B74022" i="1"/>
  <c r="B74018" i="1"/>
  <c r="B74014" i="1"/>
  <c r="B74010" i="1"/>
  <c r="B74007" i="1"/>
  <c r="B74002" i="1"/>
  <c r="B73998" i="1"/>
  <c r="B73993" i="1"/>
  <c r="B73988" i="1"/>
  <c r="B73985" i="1"/>
  <c r="B73982" i="1"/>
  <c r="B73978" i="1"/>
  <c r="B73974" i="1"/>
  <c r="B73970" i="1"/>
  <c r="B73966" i="1"/>
  <c r="B73962" i="1"/>
  <c r="B73958" i="1"/>
  <c r="B73954" i="1"/>
  <c r="B73948" i="1"/>
  <c r="B73943" i="1"/>
  <c r="B73938" i="1"/>
  <c r="B73935" i="1"/>
  <c r="B73931" i="1"/>
  <c r="B73928" i="1"/>
  <c r="B73924" i="1"/>
  <c r="B73920" i="1"/>
  <c r="B73915" i="1"/>
  <c r="B73911" i="1"/>
  <c r="B73907" i="1"/>
  <c r="B73903" i="1"/>
  <c r="B73898" i="1"/>
  <c r="B73894" i="1"/>
  <c r="B73890" i="1"/>
  <c r="B73886" i="1"/>
  <c r="B73882" i="1"/>
  <c r="B73877" i="1"/>
  <c r="B73873" i="1"/>
  <c r="B73868" i="1"/>
  <c r="B73864" i="1"/>
  <c r="B73860" i="1"/>
  <c r="B73857" i="1"/>
  <c r="B73852" i="1"/>
  <c r="B73849" i="1"/>
  <c r="B73846" i="1"/>
  <c r="B73843" i="1"/>
  <c r="B73839" i="1"/>
  <c r="B73834" i="1"/>
  <c r="B73828" i="1"/>
  <c r="B73824" i="1"/>
  <c r="B73818" i="1"/>
  <c r="B73814" i="1"/>
  <c r="B73810" i="1"/>
  <c r="B73805" i="1"/>
  <c r="B73800" i="1"/>
  <c r="B73795" i="1"/>
  <c r="B73791" i="1"/>
  <c r="B73787" i="1"/>
  <c r="B73783" i="1"/>
  <c r="B73779" i="1"/>
  <c r="B73775" i="1"/>
  <c r="B73771" i="1"/>
  <c r="B73768" i="1"/>
  <c r="B73764" i="1"/>
  <c r="B73760" i="1"/>
  <c r="B73757" i="1"/>
  <c r="B73753" i="1"/>
  <c r="B73750" i="1"/>
  <c r="B73747" i="1"/>
  <c r="B73744" i="1"/>
  <c r="B73740" i="1"/>
  <c r="B73736" i="1"/>
  <c r="B73731" i="1"/>
  <c r="B73728" i="1"/>
  <c r="B73724" i="1"/>
  <c r="B73720" i="1"/>
  <c r="B73716" i="1"/>
  <c r="B73712" i="1"/>
  <c r="B73708" i="1"/>
  <c r="B73704" i="1"/>
  <c r="B73700" i="1"/>
  <c r="B73696" i="1"/>
  <c r="B73692" i="1"/>
  <c r="B73688" i="1"/>
  <c r="B73684" i="1"/>
  <c r="B73680" i="1"/>
  <c r="B73676" i="1"/>
  <c r="B73672" i="1"/>
  <c r="B73668" i="1"/>
  <c r="B73664" i="1"/>
  <c r="B73660" i="1"/>
  <c r="B73656" i="1"/>
  <c r="B73651" i="1"/>
  <c r="B73646" i="1"/>
  <c r="B73642" i="1"/>
  <c r="B73639" i="1"/>
  <c r="B73635" i="1"/>
  <c r="B73632" i="1"/>
  <c r="B73628" i="1"/>
  <c r="B73624" i="1"/>
  <c r="B73620" i="1"/>
  <c r="B73616" i="1"/>
  <c r="B73612" i="1"/>
  <c r="B73608" i="1"/>
  <c r="B73604" i="1"/>
  <c r="B73600" i="1"/>
  <c r="B73596" i="1"/>
  <c r="B73592" i="1"/>
  <c r="B73588" i="1"/>
  <c r="B73583" i="1"/>
  <c r="B73579" i="1"/>
  <c r="B73573" i="1"/>
  <c r="B73567" i="1"/>
  <c r="B73562" i="1"/>
  <c r="B73557" i="1"/>
  <c r="B73554" i="1"/>
  <c r="B73551" i="1"/>
  <c r="B73548" i="1"/>
  <c r="B73544" i="1"/>
  <c r="B73541" i="1"/>
  <c r="B73537" i="1"/>
  <c r="B73532" i="1"/>
  <c r="B73526" i="1"/>
  <c r="B73521" i="1"/>
  <c r="B73516" i="1"/>
  <c r="B73511" i="1"/>
  <c r="B73505" i="1"/>
  <c r="B73501" i="1"/>
  <c r="B73496" i="1"/>
  <c r="B73491" i="1"/>
  <c r="B73485" i="1"/>
  <c r="B73479" i="1"/>
  <c r="B73473" i="1"/>
  <c r="B73467" i="1"/>
  <c r="B73461" i="1"/>
  <c r="B73455" i="1"/>
  <c r="B73449" i="1"/>
  <c r="B73444" i="1"/>
  <c r="B73439" i="1"/>
  <c r="B73434" i="1"/>
  <c r="B73429" i="1"/>
  <c r="B73424" i="1"/>
  <c r="B73419" i="1"/>
  <c r="B73414" i="1"/>
  <c r="B73409" i="1"/>
  <c r="B73404" i="1"/>
  <c r="B73399" i="1"/>
  <c r="B73394" i="1"/>
  <c r="B73389" i="1"/>
  <c r="B73386" i="1"/>
  <c r="B73382" i="1"/>
  <c r="B73378" i="1"/>
  <c r="B73374" i="1"/>
  <c r="B73370" i="1"/>
  <c r="B73364" i="1"/>
  <c r="B73358" i="1"/>
  <c r="B73354" i="1"/>
  <c r="B73350" i="1"/>
  <c r="B73345" i="1"/>
  <c r="B73340" i="1"/>
  <c r="B73335" i="1"/>
  <c r="B73329" i="1"/>
  <c r="B73323" i="1"/>
  <c r="B73317" i="1"/>
  <c r="B73311" i="1"/>
  <c r="B73301" i="1"/>
  <c r="B73291" i="1"/>
  <c r="B73286" i="1"/>
  <c r="B73281" i="1"/>
  <c r="B73276" i="1"/>
  <c r="B73271" i="1"/>
  <c r="B73266" i="1"/>
  <c r="B73261" i="1"/>
  <c r="B73258" i="1"/>
  <c r="B73255" i="1"/>
  <c r="B73250" i="1"/>
  <c r="B73246" i="1"/>
  <c r="B73242" i="1"/>
  <c r="B73238" i="1"/>
  <c r="B73233" i="1"/>
  <c r="B73228" i="1"/>
  <c r="B73224" i="1"/>
  <c r="B73220" i="1"/>
  <c r="B73215" i="1"/>
  <c r="B73211" i="1"/>
  <c r="B73207" i="1"/>
  <c r="B73203" i="1"/>
  <c r="B73199" i="1"/>
  <c r="B73195" i="1"/>
  <c r="B73191" i="1"/>
  <c r="B73186" i="1"/>
  <c r="B73181" i="1"/>
  <c r="B73178" i="1"/>
  <c r="B73174" i="1"/>
  <c r="B73170" i="1"/>
  <c r="B73166" i="1"/>
  <c r="B73163" i="1"/>
  <c r="B73157" i="1"/>
  <c r="B73153" i="1"/>
  <c r="B73149" i="1"/>
  <c r="B73144" i="1"/>
  <c r="B73140" i="1"/>
  <c r="B73136" i="1"/>
  <c r="B73133" i="1"/>
  <c r="B73129" i="1"/>
  <c r="B73125" i="1"/>
  <c r="B73121" i="1"/>
  <c r="B73117" i="1"/>
  <c r="B73113" i="1"/>
  <c r="B73109" i="1"/>
  <c r="B73105" i="1"/>
  <c r="B73101" i="1"/>
  <c r="B73098" i="1"/>
  <c r="B73093" i="1"/>
  <c r="B73088" i="1"/>
  <c r="B73086" i="1"/>
  <c r="B73083" i="1"/>
  <c r="B73078" i="1"/>
  <c r="B73074" i="1"/>
  <c r="B73070" i="1"/>
  <c r="B73067" i="1"/>
  <c r="B73063" i="1"/>
  <c r="B73059" i="1"/>
  <c r="B73055" i="1"/>
  <c r="B73050" i="1"/>
  <c r="B73045" i="1"/>
  <c r="B73040" i="1"/>
  <c r="B73035" i="1"/>
  <c r="B73030" i="1"/>
  <c r="B73026" i="1"/>
  <c r="B73022" i="1"/>
  <c r="B73018" i="1"/>
  <c r="B73013" i="1"/>
  <c r="B73008" i="1"/>
  <c r="B73002" i="1"/>
  <c r="B72997" i="1"/>
  <c r="B72992" i="1"/>
  <c r="B72988" i="1"/>
  <c r="B72984" i="1"/>
  <c r="B72980" i="1"/>
  <c r="B72976" i="1"/>
  <c r="B72972" i="1"/>
  <c r="B72968" i="1"/>
  <c r="B72962" i="1"/>
  <c r="B72958" i="1"/>
  <c r="B72953" i="1"/>
  <c r="B72948" i="1"/>
  <c r="B72943" i="1"/>
  <c r="B72938" i="1"/>
  <c r="B72933" i="1"/>
  <c r="B72928" i="1"/>
  <c r="B72924" i="1"/>
  <c r="B72920" i="1"/>
  <c r="B72916" i="1"/>
  <c r="B72912" i="1"/>
  <c r="B72909" i="1"/>
  <c r="B72904" i="1"/>
  <c r="B72899" i="1"/>
  <c r="B72894" i="1"/>
  <c r="B72890" i="1"/>
  <c r="B72886" i="1"/>
  <c r="B72882" i="1"/>
  <c r="B72878" i="1"/>
  <c r="B72874" i="1"/>
  <c r="B72870" i="1"/>
  <c r="B72866" i="1"/>
  <c r="B72862" i="1"/>
  <c r="B72858" i="1"/>
  <c r="B72854" i="1"/>
  <c r="B72849" i="1"/>
  <c r="B72844" i="1"/>
  <c r="B72840" i="1"/>
  <c r="B72835" i="1"/>
  <c r="B72831" i="1"/>
  <c r="B72827" i="1"/>
  <c r="B72823" i="1"/>
  <c r="B72819" i="1"/>
  <c r="B72816" i="1"/>
  <c r="B72810" i="1"/>
  <c r="B72804" i="1"/>
  <c r="B72798" i="1"/>
  <c r="B72795" i="1"/>
  <c r="B72791" i="1"/>
  <c r="B72787" i="1"/>
  <c r="B72783" i="1"/>
  <c r="B72779" i="1"/>
  <c r="B72775" i="1"/>
  <c r="B72771" i="1"/>
  <c r="B72767" i="1"/>
  <c r="B72763" i="1"/>
  <c r="B72759" i="1"/>
  <c r="B72755" i="1"/>
  <c r="B72751" i="1"/>
  <c r="B72747" i="1"/>
  <c r="B72743" i="1"/>
  <c r="B72739" i="1"/>
  <c r="B72735" i="1"/>
  <c r="B72731" i="1"/>
  <c r="B72727" i="1"/>
  <c r="B72724" i="1"/>
  <c r="B72718" i="1"/>
  <c r="B72714" i="1"/>
  <c r="B72710" i="1"/>
  <c r="B72706" i="1"/>
  <c r="B72702" i="1"/>
  <c r="B72698" i="1"/>
  <c r="B72694" i="1"/>
  <c r="B72689" i="1"/>
  <c r="B72684" i="1"/>
  <c r="B72679" i="1"/>
  <c r="B72674" i="1"/>
  <c r="B72670" i="1"/>
  <c r="B72666" i="1"/>
  <c r="B72662" i="1"/>
  <c r="B72658" i="1"/>
  <c r="B72653" i="1"/>
  <c r="B72650" i="1"/>
  <c r="B72647" i="1"/>
  <c r="B72644" i="1"/>
  <c r="B72638" i="1"/>
  <c r="B72634" i="1"/>
  <c r="B72630" i="1"/>
  <c r="B72626" i="1"/>
  <c r="B72622" i="1"/>
  <c r="B72618" i="1"/>
  <c r="B72614" i="1"/>
  <c r="B72610" i="1"/>
  <c r="B72607" i="1"/>
  <c r="B72602" i="1"/>
  <c r="B72598" i="1"/>
  <c r="B72594" i="1"/>
  <c r="B72590" i="1"/>
  <c r="B72585" i="1"/>
  <c r="B72581" i="1"/>
  <c r="B72576" i="1"/>
  <c r="B72572" i="1"/>
  <c r="B72568" i="1"/>
  <c r="B72563" i="1"/>
  <c r="B72559" i="1"/>
  <c r="B72556" i="1"/>
  <c r="B72551" i="1"/>
  <c r="B72546" i="1"/>
  <c r="B72542" i="1"/>
  <c r="B72536" i="1"/>
  <c r="B72532" i="1"/>
  <c r="B72528" i="1"/>
  <c r="B72524" i="1"/>
  <c r="B72520" i="1"/>
  <c r="B72516" i="1"/>
  <c r="B72513" i="1"/>
  <c r="B72509" i="1"/>
  <c r="B72504" i="1"/>
  <c r="B72499" i="1"/>
  <c r="B72494" i="1"/>
  <c r="B72489" i="1"/>
  <c r="B72485" i="1"/>
  <c r="B72481" i="1"/>
  <c r="B72477" i="1"/>
  <c r="B72472" i="1"/>
  <c r="B72467" i="1"/>
  <c r="B72462" i="1"/>
  <c r="B72457" i="1"/>
  <c r="B72452" i="1"/>
  <c r="B72447" i="1"/>
  <c r="B72442" i="1"/>
  <c r="B72437" i="1"/>
  <c r="B72432" i="1"/>
  <c r="B72427" i="1"/>
  <c r="B72422" i="1"/>
  <c r="B72417" i="1"/>
  <c r="B72412" i="1"/>
  <c r="B72407" i="1"/>
  <c r="B72402" i="1"/>
  <c r="B72397" i="1"/>
  <c r="B72392" i="1"/>
  <c r="B72387" i="1"/>
  <c r="B72382" i="1"/>
  <c r="B72377" i="1"/>
  <c r="B72372" i="1"/>
  <c r="B72367" i="1"/>
  <c r="B72363" i="1"/>
  <c r="B72359" i="1"/>
  <c r="B72354" i="1"/>
  <c r="B72349" i="1"/>
  <c r="B72344" i="1"/>
  <c r="B72339" i="1"/>
  <c r="B72334" i="1"/>
  <c r="B72330" i="1"/>
  <c r="B72326" i="1"/>
  <c r="B72322" i="1"/>
  <c r="B72319" i="1"/>
  <c r="B72316" i="1"/>
  <c r="B72313" i="1"/>
  <c r="B72308" i="1"/>
  <c r="B72303" i="1"/>
  <c r="B72299" i="1"/>
  <c r="B72295" i="1"/>
  <c r="B72290" i="1"/>
  <c r="B72285" i="1"/>
  <c r="B72280" i="1"/>
  <c r="B72275" i="1"/>
  <c r="B72270" i="1"/>
  <c r="B72266" i="1"/>
  <c r="B72261" i="1"/>
  <c r="B72257" i="1"/>
  <c r="B72253" i="1"/>
  <c r="B72249" i="1"/>
  <c r="B72245" i="1"/>
  <c r="B72241" i="1"/>
  <c r="B72237" i="1"/>
  <c r="B72233" i="1"/>
  <c r="B72228" i="1"/>
  <c r="B72222" i="1"/>
  <c r="B72217" i="1"/>
  <c r="B72211" i="1"/>
  <c r="B72206" i="1"/>
  <c r="B72200" i="1"/>
  <c r="B72195" i="1"/>
  <c r="B72190" i="1"/>
  <c r="B72185" i="1"/>
  <c r="B72180" i="1"/>
  <c r="B72174" i="1"/>
  <c r="B72170" i="1"/>
  <c r="B72166" i="1"/>
  <c r="B72162" i="1"/>
  <c r="B72158" i="1"/>
  <c r="B72153" i="1"/>
  <c r="B72150" i="1"/>
  <c r="B72146" i="1"/>
  <c r="B72142" i="1"/>
  <c r="B72137" i="1"/>
  <c r="B72132" i="1"/>
  <c r="B72126" i="1"/>
  <c r="B72122" i="1"/>
  <c r="B72118" i="1"/>
  <c r="B72115" i="1"/>
  <c r="B72110" i="1"/>
  <c r="B72105" i="1"/>
  <c r="B72099" i="1"/>
  <c r="B72093" i="1"/>
  <c r="B72087" i="1"/>
  <c r="B72084" i="1"/>
  <c r="B72081" i="1"/>
  <c r="B72077" i="1"/>
  <c r="B72074" i="1"/>
  <c r="B72070" i="1"/>
  <c r="B72065" i="1"/>
  <c r="B72060" i="1"/>
  <c r="B72057" i="1"/>
  <c r="B72054" i="1"/>
  <c r="B72051" i="1"/>
  <c r="B72048" i="1"/>
  <c r="B72044" i="1"/>
  <c r="B72039" i="1"/>
  <c r="B72034" i="1"/>
  <c r="B72029" i="1"/>
  <c r="B72024" i="1"/>
  <c r="B72019" i="1"/>
  <c r="B72015" i="1"/>
  <c r="B72011" i="1"/>
  <c r="B72007" i="1"/>
  <c r="B72003" i="1"/>
  <c r="B71998" i="1"/>
  <c r="B71994" i="1"/>
  <c r="B71990" i="1"/>
  <c r="B71986" i="1"/>
  <c r="B71982" i="1"/>
  <c r="B71978" i="1"/>
  <c r="B71974" i="1"/>
  <c r="B71971" i="1"/>
  <c r="B71967" i="1"/>
  <c r="B71962" i="1"/>
  <c r="B71957" i="1"/>
  <c r="B71953" i="1"/>
  <c r="B71948" i="1"/>
  <c r="B71944" i="1"/>
  <c r="B71940" i="1"/>
  <c r="B71936" i="1"/>
  <c r="B71932" i="1"/>
  <c r="B71926" i="1"/>
  <c r="B71923" i="1"/>
  <c r="B71920" i="1"/>
  <c r="B71916" i="1"/>
  <c r="B71911" i="1"/>
  <c r="B71907" i="1"/>
  <c r="B71902" i="1"/>
  <c r="B71898" i="1"/>
  <c r="B71894" i="1"/>
  <c r="B71888" i="1"/>
  <c r="B71883" i="1"/>
  <c r="B71878" i="1"/>
  <c r="B71875" i="1"/>
  <c r="B71872" i="1"/>
  <c r="B71868" i="1"/>
  <c r="B71864" i="1"/>
  <c r="B71858" i="1"/>
  <c r="B71854" i="1"/>
  <c r="B71850" i="1"/>
  <c r="B71845" i="1"/>
  <c r="B71842" i="1"/>
  <c r="B71839" i="1"/>
  <c r="B71834" i="1"/>
  <c r="B71829" i="1"/>
  <c r="B71824" i="1"/>
  <c r="B71818" i="1"/>
  <c r="B71814" i="1"/>
  <c r="B71810" i="1"/>
  <c r="B71806" i="1"/>
  <c r="B71803" i="1"/>
  <c r="B71799" i="1"/>
  <c r="B71795" i="1"/>
  <c r="B71791" i="1"/>
  <c r="B71787" i="1"/>
  <c r="B71783" i="1"/>
  <c r="B71779" i="1"/>
  <c r="B71775" i="1"/>
  <c r="B71771" i="1"/>
  <c r="B71767" i="1"/>
  <c r="B71763" i="1"/>
  <c r="B71759" i="1"/>
  <c r="B71755" i="1"/>
  <c r="B71752" i="1"/>
  <c r="B71749" i="1"/>
  <c r="B71746" i="1"/>
  <c r="B71742" i="1"/>
  <c r="B71738" i="1"/>
  <c r="B71734" i="1"/>
  <c r="B71730" i="1"/>
  <c r="B71725" i="1"/>
  <c r="B71720" i="1"/>
  <c r="B71716" i="1"/>
  <c r="B71712" i="1"/>
  <c r="B71708" i="1"/>
  <c r="B71704" i="1"/>
  <c r="B71700" i="1"/>
  <c r="B71696" i="1"/>
  <c r="B71692" i="1"/>
  <c r="B71687" i="1"/>
  <c r="B71683" i="1"/>
  <c r="B71680" i="1"/>
  <c r="B71677" i="1"/>
  <c r="B71674" i="1"/>
  <c r="B71671" i="1"/>
  <c r="B71666" i="1"/>
  <c r="B71661" i="1"/>
  <c r="B71655" i="1"/>
  <c r="B71651" i="1"/>
  <c r="B71647" i="1"/>
  <c r="B71644" i="1"/>
  <c r="B71639" i="1"/>
  <c r="B71634" i="1"/>
  <c r="B71629" i="1"/>
  <c r="B71624" i="1"/>
  <c r="B71619" i="1"/>
  <c r="B71614" i="1"/>
  <c r="B71609" i="1"/>
  <c r="B71605" i="1"/>
  <c r="B71601" i="1"/>
  <c r="B71597" i="1"/>
  <c r="B71593" i="1"/>
  <c r="B71589" i="1"/>
  <c r="B71585" i="1"/>
  <c r="B71581" i="1"/>
  <c r="B71576" i="1"/>
  <c r="B71571" i="1"/>
  <c r="B71567" i="1"/>
  <c r="B71563" i="1"/>
  <c r="B71559" i="1"/>
  <c r="B71554" i="1"/>
  <c r="B71549" i="1"/>
  <c r="B71545" i="1"/>
  <c r="B71540" i="1"/>
  <c r="B71535" i="1"/>
  <c r="B71532" i="1"/>
  <c r="B71528" i="1"/>
  <c r="B71522" i="1"/>
  <c r="B71517" i="1"/>
  <c r="B71513" i="1"/>
  <c r="B71508" i="1"/>
  <c r="B71505" i="1"/>
  <c r="B71500" i="1"/>
  <c r="B71494" i="1"/>
  <c r="B71489" i="1"/>
  <c r="B71483" i="1"/>
  <c r="B71480" i="1"/>
  <c r="B71476" i="1"/>
  <c r="B71472" i="1"/>
  <c r="B71469" i="1"/>
  <c r="B71465" i="1"/>
  <c r="B71460" i="1"/>
  <c r="B71455" i="1"/>
  <c r="B71450" i="1"/>
  <c r="B71444" i="1"/>
  <c r="B71439" i="1"/>
  <c r="B71434" i="1"/>
  <c r="B71429" i="1"/>
  <c r="B71423" i="1"/>
  <c r="B71419" i="1"/>
  <c r="B71415" i="1"/>
  <c r="B71411" i="1"/>
  <c r="B71408" i="1"/>
  <c r="B71404" i="1"/>
  <c r="B71400" i="1"/>
  <c r="B71396" i="1"/>
  <c r="B71392" i="1"/>
  <c r="B71388" i="1"/>
  <c r="B71384" i="1"/>
  <c r="B71380" i="1"/>
  <c r="B71375" i="1"/>
  <c r="B71370" i="1"/>
  <c r="B71365" i="1"/>
  <c r="B71361" i="1"/>
  <c r="B71357" i="1"/>
  <c r="B71352" i="1"/>
  <c r="B71346" i="1"/>
  <c r="B71342" i="1"/>
  <c r="B71338" i="1"/>
  <c r="B71334" i="1"/>
  <c r="B71329" i="1"/>
  <c r="B71325" i="1"/>
  <c r="B71322" i="1"/>
  <c r="B71318" i="1"/>
  <c r="B71314" i="1"/>
  <c r="B71310" i="1"/>
  <c r="B71306" i="1"/>
  <c r="B71302" i="1"/>
  <c r="B71297" i="1"/>
  <c r="B71293" i="1"/>
  <c r="B71288" i="1"/>
  <c r="B71284" i="1"/>
  <c r="B71279" i="1"/>
  <c r="B71274" i="1"/>
  <c r="B71269" i="1"/>
  <c r="B71266" i="1"/>
  <c r="B71262" i="1"/>
  <c r="B71258" i="1"/>
  <c r="B71254" i="1"/>
  <c r="B71250" i="1"/>
  <c r="B71246" i="1"/>
  <c r="B71242" i="1"/>
  <c r="B71238" i="1"/>
  <c r="B71234" i="1"/>
  <c r="B71231" i="1"/>
  <c r="B71226" i="1"/>
  <c r="B71223" i="1"/>
  <c r="B71220" i="1"/>
  <c r="B71214" i="1"/>
  <c r="B71209" i="1"/>
  <c r="B71204" i="1"/>
  <c r="B71200" i="1"/>
  <c r="B71196" i="1"/>
  <c r="B71193" i="1"/>
  <c r="B71189" i="1"/>
  <c r="B71185" i="1"/>
  <c r="B71180" i="1"/>
  <c r="B71176" i="1"/>
  <c r="B71172" i="1"/>
  <c r="B71168" i="1"/>
  <c r="B71163" i="1"/>
  <c r="B71159" i="1"/>
  <c r="B71155" i="1"/>
  <c r="B71150" i="1"/>
  <c r="B71146" i="1"/>
  <c r="B71142" i="1"/>
  <c r="B71138" i="1"/>
  <c r="B71134" i="1"/>
  <c r="B71129" i="1"/>
  <c r="B71125" i="1"/>
  <c r="B71121" i="1"/>
  <c r="B71116" i="1"/>
  <c r="B71111" i="1"/>
  <c r="B71106" i="1"/>
  <c r="B71102" i="1"/>
  <c r="B71098" i="1"/>
  <c r="B71094" i="1"/>
  <c r="B71089" i="1"/>
  <c r="B71084" i="1"/>
  <c r="B71081" i="1"/>
  <c r="B71077" i="1"/>
  <c r="B71073" i="1"/>
  <c r="B71069" i="1"/>
  <c r="B71066" i="1"/>
  <c r="B71062" i="1"/>
  <c r="B71059" i="1"/>
  <c r="B71055" i="1"/>
  <c r="B71050" i="1"/>
  <c r="B71047" i="1"/>
  <c r="B71043" i="1"/>
  <c r="B71039" i="1"/>
  <c r="B71034" i="1"/>
  <c r="B71029" i="1"/>
  <c r="B71024" i="1"/>
  <c r="B71019" i="1"/>
  <c r="B71014" i="1"/>
  <c r="B71009" i="1"/>
  <c r="B71005" i="1"/>
  <c r="B71000" i="1"/>
  <c r="B70995" i="1"/>
  <c r="B70992" i="1"/>
  <c r="B70987" i="1"/>
  <c r="B70982" i="1"/>
  <c r="B70978" i="1"/>
  <c r="B70974" i="1"/>
  <c r="B70971" i="1"/>
  <c r="B70967" i="1"/>
  <c r="B70963" i="1"/>
  <c r="B70959" i="1"/>
  <c r="B70955" i="1"/>
  <c r="B70951" i="1"/>
  <c r="B70947" i="1"/>
  <c r="B70942" i="1"/>
  <c r="B70937" i="1"/>
  <c r="B70933" i="1"/>
  <c r="B70929" i="1"/>
  <c r="B70925" i="1"/>
  <c r="B70921" i="1"/>
  <c r="B70915" i="1"/>
  <c r="B70911" i="1"/>
  <c r="B70905" i="1"/>
  <c r="B70901" i="1"/>
  <c r="B70897" i="1"/>
  <c r="B70893" i="1"/>
  <c r="B70889" i="1"/>
  <c r="B70886" i="1"/>
  <c r="B70882" i="1"/>
  <c r="B70877" i="1"/>
  <c r="B70873" i="1"/>
  <c r="B70869" i="1"/>
  <c r="B70865" i="1"/>
  <c r="B70861" i="1"/>
  <c r="B70857" i="1"/>
  <c r="B70853" i="1"/>
  <c r="B70849" i="1"/>
  <c r="B70846" i="1"/>
  <c r="B70842" i="1"/>
  <c r="B70838" i="1"/>
  <c r="B70834" i="1"/>
  <c r="B70830" i="1"/>
  <c r="B70826" i="1"/>
  <c r="B70822" i="1"/>
  <c r="B70818" i="1"/>
  <c r="B70814" i="1"/>
  <c r="B70810" i="1"/>
  <c r="B70807" i="1"/>
  <c r="B70801" i="1"/>
  <c r="B70796" i="1"/>
  <c r="B70790" i="1"/>
  <c r="B70786" i="1"/>
  <c r="B70782" i="1"/>
  <c r="B70778" i="1"/>
  <c r="B70773" i="1"/>
  <c r="B70768" i="1"/>
  <c r="B70763" i="1"/>
  <c r="B70758" i="1"/>
  <c r="B70753" i="1"/>
  <c r="B70750" i="1"/>
  <c r="B70746" i="1"/>
  <c r="B70743" i="1"/>
  <c r="B70739" i="1"/>
  <c r="B70735" i="1"/>
  <c r="B70731" i="1"/>
  <c r="B70727" i="1"/>
  <c r="B70723" i="1"/>
  <c r="B70719" i="1"/>
  <c r="B70714" i="1"/>
  <c r="B70710" i="1"/>
  <c r="B70707" i="1"/>
  <c r="B70704" i="1"/>
  <c r="B70700" i="1"/>
  <c r="B70696" i="1"/>
  <c r="B70692" i="1"/>
  <c r="B70688" i="1"/>
  <c r="B70684" i="1"/>
  <c r="B70680" i="1"/>
  <c r="B70676" i="1"/>
  <c r="B70670" i="1"/>
  <c r="B70666" i="1"/>
  <c r="B70661" i="1"/>
  <c r="B70656" i="1"/>
  <c r="B70650" i="1"/>
  <c r="B70645" i="1"/>
  <c r="B70640" i="1"/>
  <c r="B70636" i="1"/>
  <c r="B70631" i="1"/>
  <c r="B70627" i="1"/>
  <c r="B70621" i="1"/>
  <c r="B70617" i="1"/>
  <c r="B70613" i="1"/>
  <c r="B70609" i="1"/>
  <c r="B70605" i="1"/>
  <c r="B70601" i="1"/>
  <c r="B70597" i="1"/>
  <c r="B70593" i="1"/>
  <c r="B70588" i="1"/>
  <c r="B70584" i="1"/>
  <c r="B70580" i="1"/>
  <c r="B70576" i="1"/>
  <c r="B70572" i="1"/>
  <c r="B70568" i="1"/>
  <c r="B70565" i="1"/>
  <c r="B70561" i="1"/>
  <c r="B70557" i="1"/>
  <c r="B70553" i="1"/>
  <c r="B70549" i="1"/>
  <c r="B70545" i="1"/>
  <c r="B70541" i="1"/>
  <c r="B70537" i="1"/>
  <c r="B70533" i="1"/>
  <c r="B70529" i="1"/>
  <c r="B70525" i="1"/>
  <c r="B70521" i="1"/>
  <c r="B70517" i="1"/>
  <c r="B70513" i="1"/>
  <c r="B70509" i="1"/>
  <c r="B70505" i="1"/>
  <c r="B70500" i="1"/>
  <c r="B70495" i="1"/>
  <c r="B70491" i="1"/>
  <c r="B70488" i="1"/>
  <c r="B70484" i="1"/>
  <c r="B70480" i="1"/>
  <c r="B70476" i="1"/>
  <c r="B70472" i="1"/>
  <c r="B70468" i="1"/>
  <c r="B70464" i="1"/>
  <c r="B70460" i="1"/>
  <c r="B70457" i="1"/>
  <c r="B70454" i="1"/>
  <c r="B70450" i="1"/>
  <c r="B70446" i="1"/>
  <c r="B70442" i="1"/>
  <c r="B70437" i="1"/>
  <c r="B70432" i="1"/>
  <c r="B70428" i="1"/>
  <c r="B70425" i="1"/>
  <c r="B70421" i="1"/>
  <c r="B70418" i="1"/>
  <c r="B70414" i="1"/>
  <c r="B70410" i="1"/>
  <c r="B70407" i="1"/>
  <c r="B70403" i="1"/>
  <c r="B70399" i="1"/>
  <c r="B70395" i="1"/>
  <c r="B70391" i="1"/>
  <c r="B70387" i="1"/>
  <c r="B70383" i="1"/>
  <c r="B70379" i="1"/>
  <c r="B70375" i="1"/>
  <c r="B70369" i="1"/>
  <c r="B70365" i="1"/>
  <c r="B70361" i="1"/>
  <c r="B70356" i="1"/>
  <c r="B70351" i="1"/>
  <c r="B70346" i="1"/>
  <c r="B70341" i="1"/>
  <c r="B70336" i="1"/>
  <c r="B70331" i="1"/>
  <c r="B70326" i="1"/>
  <c r="B70320" i="1"/>
  <c r="B70316" i="1"/>
  <c r="B70310" i="1"/>
  <c r="B70307" i="1"/>
  <c r="B70304" i="1"/>
  <c r="B70300" i="1"/>
  <c r="B70296" i="1"/>
  <c r="B70292" i="1"/>
  <c r="B70289" i="1"/>
  <c r="B70283" i="1"/>
  <c r="B70277" i="1"/>
  <c r="B70274" i="1"/>
  <c r="B70268" i="1"/>
  <c r="B70265" i="1"/>
  <c r="B70259" i="1"/>
  <c r="B70254" i="1"/>
  <c r="B70249" i="1"/>
  <c r="B70245" i="1"/>
  <c r="B70241" i="1"/>
  <c r="B70237" i="1"/>
  <c r="B70233" i="1"/>
  <c r="B70229" i="1"/>
  <c r="B70226" i="1"/>
  <c r="B70221" i="1"/>
  <c r="B70218" i="1"/>
  <c r="B70214" i="1"/>
  <c r="B70210" i="1"/>
  <c r="B70205" i="1"/>
  <c r="B70200" i="1"/>
  <c r="B70196" i="1"/>
  <c r="B70192" i="1"/>
  <c r="B70189" i="1"/>
  <c r="B70185" i="1"/>
  <c r="B70181" i="1"/>
  <c r="B70176" i="1"/>
  <c r="B70172" i="1"/>
  <c r="B70168" i="1"/>
  <c r="B70164" i="1"/>
  <c r="B70159" i="1"/>
  <c r="B70155" i="1"/>
  <c r="B70151" i="1"/>
  <c r="B70147" i="1"/>
  <c r="B70143" i="1"/>
  <c r="B70139" i="1"/>
  <c r="B70135" i="1"/>
  <c r="B70132" i="1"/>
  <c r="B70126" i="1"/>
  <c r="B70121" i="1"/>
  <c r="B70116" i="1"/>
  <c r="B70111" i="1"/>
  <c r="B70106" i="1"/>
  <c r="B70103" i="1"/>
  <c r="B70097" i="1"/>
  <c r="B70093" i="1"/>
  <c r="B70089" i="1"/>
  <c r="B70084" i="1"/>
  <c r="B70078" i="1"/>
  <c r="B70073" i="1"/>
  <c r="B70067" i="1"/>
  <c r="B70064" i="1"/>
  <c r="B70060" i="1"/>
  <c r="B70055" i="1"/>
  <c r="B70051" i="1"/>
  <c r="B70047" i="1"/>
  <c r="B70043" i="1"/>
  <c r="B70039" i="1"/>
  <c r="B70035" i="1"/>
  <c r="B70031" i="1"/>
  <c r="B70028" i="1"/>
  <c r="B70024" i="1"/>
  <c r="B70021" i="1"/>
  <c r="B70017" i="1"/>
  <c r="B70012" i="1"/>
  <c r="B70007" i="1"/>
  <c r="B70002" i="1"/>
  <c r="B69997" i="1"/>
  <c r="B69994" i="1"/>
  <c r="B69989" i="1"/>
  <c r="B69984" i="1"/>
  <c r="B69979" i="1"/>
  <c r="B69975" i="1"/>
  <c r="B69970" i="1"/>
  <c r="B69966" i="1"/>
  <c r="B69962" i="1"/>
  <c r="B69958" i="1"/>
  <c r="B69954" i="1"/>
  <c r="B69950" i="1"/>
  <c r="B69946" i="1"/>
  <c r="B69943" i="1"/>
  <c r="B69939" i="1"/>
  <c r="B69933" i="1"/>
  <c r="B69928" i="1"/>
  <c r="B69922" i="1"/>
  <c r="B69917" i="1"/>
  <c r="B69911" i="1"/>
  <c r="B69905" i="1"/>
  <c r="B69900" i="1"/>
  <c r="B69894" i="1"/>
  <c r="B69891" i="1"/>
  <c r="B69887" i="1"/>
  <c r="B69883" i="1"/>
  <c r="B69879" i="1"/>
  <c r="B69874" i="1"/>
  <c r="B69869" i="1"/>
  <c r="B69865" i="1"/>
  <c r="B69861" i="1"/>
  <c r="B69857" i="1"/>
  <c r="B69851" i="1"/>
  <c r="B69845" i="1"/>
  <c r="B69840" i="1"/>
  <c r="B69836" i="1"/>
  <c r="B69832" i="1"/>
  <c r="B69828" i="1"/>
  <c r="B69824" i="1"/>
  <c r="B69819" i="1"/>
  <c r="B69815" i="1"/>
  <c r="B69811" i="1"/>
  <c r="B69807" i="1"/>
  <c r="B69802" i="1"/>
  <c r="B69798" i="1"/>
  <c r="B69794" i="1"/>
  <c r="B69789" i="1"/>
  <c r="B69784" i="1"/>
  <c r="B69778" i="1"/>
  <c r="B69774" i="1"/>
  <c r="B69771" i="1"/>
  <c r="B69767" i="1"/>
  <c r="B69763" i="1"/>
  <c r="B69759" i="1"/>
  <c r="B69755" i="1"/>
  <c r="B69751" i="1"/>
  <c r="B69747" i="1"/>
  <c r="B69741" i="1"/>
  <c r="B69738" i="1"/>
  <c r="B69734" i="1"/>
  <c r="B69730" i="1"/>
  <c r="B69726" i="1"/>
  <c r="B69722" i="1"/>
  <c r="B69718" i="1"/>
  <c r="B69714" i="1"/>
  <c r="B69709" i="1"/>
  <c r="B69704" i="1"/>
  <c r="B69699" i="1"/>
  <c r="B69694" i="1"/>
  <c r="B69690" i="1"/>
  <c r="B69686" i="1"/>
  <c r="B69681" i="1"/>
  <c r="B69677" i="1"/>
  <c r="B69673" i="1"/>
  <c r="B69669" i="1"/>
  <c r="B69665" i="1"/>
  <c r="B69660" i="1"/>
  <c r="B69656" i="1"/>
  <c r="B69652" i="1"/>
  <c r="B69646" i="1"/>
  <c r="B69640" i="1"/>
  <c r="B69634" i="1"/>
  <c r="B69628" i="1"/>
  <c r="B69624" i="1"/>
  <c r="B69620" i="1"/>
  <c r="B69615" i="1"/>
  <c r="B69612" i="1"/>
  <c r="B69609" i="1"/>
  <c r="B69605" i="1"/>
  <c r="B69601" i="1"/>
  <c r="B69596" i="1"/>
  <c r="B69592" i="1"/>
  <c r="B69588" i="1"/>
  <c r="B69585" i="1"/>
  <c r="B69580" i="1"/>
  <c r="B69575" i="1"/>
  <c r="B69570" i="1"/>
  <c r="B69566" i="1"/>
  <c r="B69560" i="1"/>
  <c r="B69555" i="1"/>
  <c r="B69551" i="1"/>
  <c r="B69548" i="1"/>
  <c r="B69545" i="1"/>
  <c r="B69541" i="1"/>
  <c r="B69538" i="1"/>
  <c r="B69534" i="1"/>
  <c r="B69531" i="1"/>
  <c r="B69526" i="1"/>
  <c r="B69522" i="1"/>
  <c r="B69518" i="1"/>
  <c r="B69514" i="1"/>
  <c r="B69510" i="1"/>
  <c r="B69504" i="1"/>
  <c r="B69500" i="1"/>
  <c r="B69496" i="1"/>
  <c r="B69492" i="1"/>
  <c r="B69488" i="1"/>
  <c r="B69482" i="1"/>
  <c r="B69478" i="1"/>
  <c r="B69474" i="1"/>
  <c r="B69470" i="1"/>
  <c r="B69466" i="1"/>
  <c r="B69462" i="1"/>
  <c r="B69458" i="1"/>
  <c r="B69452" i="1"/>
  <c r="B69447" i="1"/>
  <c r="B69442" i="1"/>
  <c r="B69436" i="1"/>
  <c r="B69431" i="1"/>
  <c r="B69427" i="1"/>
  <c r="B69423" i="1"/>
  <c r="B69419" i="1"/>
  <c r="B69415" i="1"/>
  <c r="B69412" i="1"/>
  <c r="B69408" i="1"/>
  <c r="B69404" i="1"/>
  <c r="B69401" i="1"/>
  <c r="B69397" i="1"/>
  <c r="B69393" i="1"/>
  <c r="B69389" i="1"/>
  <c r="B69385" i="1"/>
  <c r="B69381" i="1"/>
  <c r="B69378" i="1"/>
  <c r="B69374" i="1"/>
  <c r="B69370" i="1"/>
  <c r="B69366" i="1"/>
  <c r="B69362" i="1"/>
  <c r="B69358" i="1"/>
  <c r="B69354" i="1"/>
  <c r="B69350" i="1"/>
  <c r="B69345" i="1"/>
  <c r="B69342" i="1"/>
  <c r="B69338" i="1"/>
  <c r="B69335" i="1"/>
  <c r="B69332" i="1"/>
  <c r="B69329" i="1"/>
  <c r="B69324" i="1"/>
  <c r="B69321" i="1"/>
  <c r="B69318" i="1"/>
  <c r="B69315" i="1"/>
  <c r="B69310" i="1"/>
  <c r="B69305" i="1"/>
  <c r="B69301" i="1"/>
  <c r="B69297" i="1"/>
  <c r="B69294" i="1"/>
  <c r="B69290" i="1"/>
  <c r="B69287" i="1"/>
  <c r="B69283" i="1"/>
  <c r="B69279" i="1"/>
  <c r="B69275" i="1"/>
  <c r="B69271" i="1"/>
  <c r="B69267" i="1"/>
  <c r="B69262" i="1"/>
  <c r="B69258" i="1"/>
  <c r="B69254" i="1"/>
  <c r="B69250" i="1"/>
  <c r="B69247" i="1"/>
  <c r="B69243" i="1"/>
  <c r="B69239" i="1"/>
  <c r="B69235" i="1"/>
  <c r="B69231" i="1"/>
  <c r="B69227" i="1"/>
  <c r="B69223" i="1"/>
  <c r="B69218" i="1"/>
  <c r="B69213" i="1"/>
  <c r="B69209" i="1"/>
  <c r="B69206" i="1"/>
  <c r="B69203" i="1"/>
  <c r="B69200" i="1"/>
  <c r="B69196" i="1"/>
  <c r="B69192" i="1"/>
  <c r="B69188" i="1"/>
  <c r="B69184" i="1"/>
  <c r="B69179" i="1"/>
  <c r="B69174" i="1"/>
  <c r="B69170" i="1"/>
  <c r="B69166" i="1"/>
  <c r="B69162" i="1"/>
  <c r="B69159" i="1"/>
  <c r="B69155" i="1"/>
  <c r="B69151" i="1"/>
  <c r="B69148" i="1"/>
  <c r="B69144" i="1"/>
  <c r="B69141" i="1"/>
  <c r="B69138" i="1"/>
  <c r="B69135" i="1"/>
  <c r="B69129" i="1"/>
  <c r="B69126" i="1"/>
  <c r="B69123" i="1"/>
  <c r="B69119" i="1"/>
  <c r="B69115" i="1"/>
  <c r="B69111" i="1"/>
  <c r="B69106" i="1"/>
  <c r="B69100" i="1"/>
  <c r="B69096" i="1"/>
  <c r="B69092" i="1"/>
  <c r="B69089" i="1"/>
  <c r="B69083" i="1"/>
  <c r="B69079" i="1"/>
  <c r="B69075" i="1"/>
  <c r="B69070" i="1"/>
  <c r="B69064" i="1"/>
  <c r="B69058" i="1"/>
  <c r="B69052" i="1"/>
  <c r="B69047" i="1"/>
  <c r="B69041" i="1"/>
  <c r="B69035" i="1"/>
  <c r="B69029" i="1"/>
  <c r="B69026" i="1"/>
  <c r="B69021" i="1"/>
  <c r="B69016" i="1"/>
  <c r="B69012" i="1"/>
  <c r="B69009" i="1"/>
  <c r="B69006" i="1"/>
  <c r="B69003" i="1"/>
  <c r="B69000" i="1"/>
  <c r="B68996" i="1"/>
  <c r="B68992" i="1"/>
  <c r="B68988" i="1"/>
  <c r="B68984" i="1"/>
  <c r="B68980" i="1"/>
  <c r="B68976" i="1"/>
  <c r="B68971" i="1"/>
  <c r="B68967" i="1"/>
  <c r="B68962" i="1"/>
  <c r="B68959" i="1"/>
  <c r="B68956" i="1"/>
  <c r="B68952" i="1"/>
  <c r="B68947" i="1"/>
  <c r="B68942" i="1"/>
  <c r="B68937" i="1"/>
  <c r="B68932" i="1"/>
  <c r="B68928" i="1"/>
  <c r="B68924" i="1"/>
  <c r="B68920" i="1"/>
  <c r="B68915" i="1"/>
  <c r="B68910" i="1"/>
  <c r="B68905" i="1"/>
  <c r="B68900" i="1"/>
  <c r="B68894" i="1"/>
  <c r="B68889" i="1"/>
  <c r="B68883" i="1"/>
  <c r="B68879" i="1"/>
  <c r="B68875" i="1"/>
  <c r="B68871" i="1"/>
  <c r="B68865" i="1"/>
  <c r="B68861" i="1"/>
  <c r="B68857" i="1"/>
  <c r="B68853" i="1"/>
  <c r="B68848" i="1"/>
  <c r="B68845" i="1"/>
  <c r="B68841" i="1"/>
  <c r="B68837" i="1"/>
  <c r="B68833" i="1"/>
  <c r="B68829" i="1"/>
  <c r="B68825" i="1"/>
  <c r="B68822" i="1"/>
  <c r="B68818" i="1"/>
  <c r="B68814" i="1"/>
  <c r="B68808" i="1"/>
  <c r="B68803" i="1"/>
  <c r="B68797" i="1"/>
  <c r="B68793" i="1"/>
  <c r="B68789" i="1"/>
  <c r="B68785" i="1"/>
  <c r="B68780" i="1"/>
  <c r="B68777" i="1"/>
  <c r="B68773" i="1"/>
  <c r="B68769" i="1"/>
  <c r="B68765" i="1"/>
  <c r="B68761" i="1"/>
  <c r="B68757" i="1"/>
  <c r="B68753" i="1"/>
  <c r="B68749" i="1"/>
  <c r="B68745" i="1"/>
  <c r="B68741" i="1"/>
  <c r="B68738" i="1"/>
  <c r="B68734" i="1"/>
  <c r="B68730" i="1"/>
  <c r="B68725" i="1"/>
  <c r="B68721" i="1"/>
  <c r="B68717" i="1"/>
  <c r="B68713" i="1"/>
  <c r="B68710" i="1"/>
  <c r="B68706" i="1"/>
  <c r="B68702" i="1"/>
  <c r="B68698" i="1"/>
  <c r="B68695" i="1"/>
  <c r="B68691" i="1"/>
  <c r="B68687" i="1"/>
  <c r="B68683" i="1"/>
  <c r="B68678" i="1"/>
  <c r="B68675" i="1"/>
  <c r="B68671" i="1"/>
  <c r="B68667" i="1"/>
  <c r="B68662" i="1"/>
  <c r="B68659" i="1"/>
  <c r="B68655" i="1"/>
  <c r="B68649" i="1"/>
  <c r="B68645" i="1"/>
  <c r="B68641" i="1"/>
  <c r="B68637" i="1"/>
  <c r="B68633" i="1"/>
  <c r="B68629" i="1"/>
  <c r="B68625" i="1"/>
  <c r="B68621" i="1"/>
  <c r="B68617" i="1"/>
  <c r="B68613" i="1"/>
  <c r="B68609" i="1"/>
  <c r="B68605" i="1"/>
  <c r="B68601" i="1"/>
  <c r="B68597" i="1"/>
  <c r="B68593" i="1"/>
  <c r="B68590" i="1"/>
  <c r="B68586" i="1"/>
  <c r="B68582" i="1"/>
  <c r="B68578" i="1"/>
  <c r="B68573" i="1"/>
  <c r="B68569" i="1"/>
  <c r="B68565" i="1"/>
  <c r="B68562" i="1"/>
  <c r="B68558" i="1"/>
  <c r="B68554" i="1"/>
  <c r="B68550" i="1"/>
  <c r="B68546" i="1"/>
  <c r="B68543" i="1"/>
  <c r="B68539" i="1"/>
  <c r="B68535" i="1"/>
  <c r="B68531" i="1"/>
  <c r="B68528" i="1"/>
  <c r="B68523" i="1"/>
  <c r="B68519" i="1"/>
  <c r="B68516" i="1"/>
  <c r="B68512" i="1"/>
  <c r="B68509" i="1"/>
  <c r="B68505" i="1"/>
  <c r="B68501" i="1"/>
  <c r="B68496" i="1"/>
  <c r="B68492" i="1"/>
  <c r="B68487" i="1"/>
  <c r="B68484" i="1"/>
  <c r="B68479" i="1"/>
  <c r="B68476" i="1"/>
  <c r="B68471" i="1"/>
  <c r="B68466" i="1"/>
  <c r="B68461" i="1"/>
  <c r="B68457" i="1"/>
  <c r="B68454" i="1"/>
  <c r="B68449" i="1"/>
  <c r="B68444" i="1"/>
  <c r="B68439" i="1"/>
  <c r="B68434" i="1"/>
  <c r="B68429" i="1"/>
  <c r="B68424" i="1"/>
  <c r="B68420" i="1"/>
  <c r="B68416" i="1"/>
  <c r="B68412" i="1"/>
  <c r="B68407" i="1"/>
  <c r="B68403" i="1"/>
  <c r="B68399" i="1"/>
  <c r="B68395" i="1"/>
  <c r="B68389" i="1"/>
  <c r="B68385" i="1"/>
  <c r="B68382" i="1"/>
  <c r="B68378" i="1"/>
  <c r="B68374" i="1"/>
  <c r="B68370" i="1"/>
  <c r="B68366" i="1"/>
  <c r="B68361" i="1"/>
  <c r="B68357" i="1"/>
  <c r="B68353" i="1"/>
  <c r="B68348" i="1"/>
  <c r="B68343" i="1"/>
  <c r="B68339" i="1"/>
  <c r="B68335" i="1"/>
  <c r="B68331" i="1"/>
  <c r="B68327" i="1"/>
  <c r="B68320" i="1"/>
  <c r="B68315" i="1"/>
  <c r="B68309" i="1"/>
  <c r="B68304" i="1"/>
  <c r="B68299" i="1"/>
  <c r="B68295" i="1"/>
  <c r="B68291" i="1"/>
  <c r="B68287" i="1"/>
  <c r="B68283" i="1"/>
  <c r="B68279" i="1"/>
  <c r="B68275" i="1"/>
  <c r="B68272" i="1"/>
  <c r="B68268" i="1"/>
  <c r="B68264" i="1"/>
  <c r="B68260" i="1"/>
  <c r="B68255" i="1"/>
  <c r="B68251" i="1"/>
  <c r="B68247" i="1"/>
  <c r="B68243" i="1"/>
  <c r="B68238" i="1"/>
  <c r="B68234" i="1"/>
  <c r="B68230" i="1"/>
  <c r="B68226" i="1"/>
  <c r="B68222" i="1"/>
  <c r="B68218" i="1"/>
  <c r="B68214" i="1"/>
  <c r="B68209" i="1"/>
  <c r="B68204" i="1"/>
  <c r="B68200" i="1"/>
  <c r="B68196" i="1"/>
  <c r="B68191" i="1"/>
  <c r="B68187" i="1"/>
  <c r="B68182" i="1"/>
  <c r="B68177" i="1"/>
  <c r="B68172" i="1"/>
  <c r="B68167" i="1"/>
  <c r="B68159" i="1"/>
  <c r="B68154" i="1"/>
  <c r="B68151" i="1"/>
  <c r="B68147" i="1"/>
  <c r="B68143" i="1"/>
  <c r="B68139" i="1"/>
  <c r="B68134" i="1"/>
  <c r="B68129" i="1"/>
  <c r="B68124" i="1"/>
  <c r="B68116" i="1"/>
  <c r="B68113" i="1"/>
  <c r="B68109" i="1"/>
  <c r="B68105" i="1"/>
  <c r="B68101" i="1"/>
  <c r="B68098" i="1"/>
  <c r="B68095" i="1"/>
  <c r="B68090" i="1"/>
  <c r="B68086" i="1"/>
  <c r="B68081" i="1"/>
  <c r="B68077" i="1"/>
  <c r="B68073" i="1"/>
  <c r="B68069" i="1"/>
  <c r="B68066" i="1"/>
  <c r="B68062" i="1"/>
  <c r="B68059" i="1"/>
  <c r="B68056" i="1"/>
  <c r="B68053" i="1"/>
  <c r="B68047" i="1"/>
  <c r="B68042" i="1"/>
  <c r="B68037" i="1"/>
  <c r="B68033" i="1"/>
  <c r="B68030" i="1"/>
  <c r="B68027" i="1"/>
  <c r="B68024" i="1"/>
  <c r="B68020" i="1"/>
  <c r="B68016" i="1"/>
  <c r="B68012" i="1"/>
  <c r="B68008" i="1"/>
  <c r="B68004" i="1"/>
  <c r="B68000" i="1"/>
  <c r="B67995" i="1"/>
  <c r="B67991" i="1"/>
  <c r="B67987" i="1"/>
  <c r="B67983" i="1"/>
  <c r="B67979" i="1"/>
  <c r="B67975" i="1"/>
  <c r="B67971" i="1"/>
  <c r="B67967" i="1"/>
  <c r="B67963" i="1"/>
  <c r="B67959" i="1"/>
  <c r="B67955" i="1"/>
  <c r="B67951" i="1"/>
  <c r="B67947" i="1"/>
  <c r="B67943" i="1"/>
  <c r="B67939" i="1"/>
  <c r="B67935" i="1"/>
  <c r="B67931" i="1"/>
  <c r="B67927" i="1"/>
  <c r="B67923" i="1"/>
  <c r="B67918" i="1"/>
  <c r="B67914" i="1"/>
  <c r="B67910" i="1"/>
  <c r="B67906" i="1"/>
  <c r="B67903" i="1"/>
  <c r="B67898" i="1"/>
  <c r="B67894" i="1"/>
  <c r="B67890" i="1"/>
  <c r="B67887" i="1"/>
  <c r="B67884" i="1"/>
  <c r="B67880" i="1"/>
  <c r="B67876" i="1"/>
  <c r="B67870" i="1"/>
  <c r="B67865" i="1"/>
  <c r="B67862" i="1"/>
  <c r="B67859" i="1"/>
  <c r="B67855" i="1"/>
  <c r="B67851" i="1"/>
  <c r="B67847" i="1"/>
  <c r="B67843" i="1"/>
  <c r="B67839" i="1"/>
  <c r="B67835" i="1"/>
  <c r="B67831" i="1"/>
  <c r="B67827" i="1"/>
  <c r="B67823" i="1"/>
  <c r="B67819" i="1"/>
  <c r="B67814" i="1"/>
  <c r="B67809" i="1"/>
  <c r="B67806" i="1"/>
  <c r="B67801" i="1"/>
  <c r="B67796" i="1"/>
  <c r="B67792" i="1"/>
  <c r="B67788" i="1"/>
  <c r="B67784" i="1"/>
  <c r="B67780" i="1"/>
  <c r="B67775" i="1"/>
  <c r="B67772" i="1"/>
  <c r="B67769" i="1"/>
  <c r="B67764" i="1"/>
  <c r="B67759" i="1"/>
  <c r="B67754" i="1"/>
  <c r="B67749" i="1"/>
  <c r="B67745" i="1"/>
  <c r="B67741" i="1"/>
  <c r="B67736" i="1"/>
  <c r="B67731" i="1"/>
  <c r="B67727" i="1"/>
  <c r="B67722" i="1"/>
  <c r="B67718" i="1"/>
  <c r="B67713" i="1"/>
  <c r="B67708" i="1"/>
  <c r="B67704" i="1"/>
  <c r="B67701" i="1"/>
  <c r="B67697" i="1"/>
  <c r="B67693" i="1"/>
  <c r="B67689" i="1"/>
  <c r="B67684" i="1"/>
  <c r="B67680" i="1"/>
  <c r="B67676" i="1"/>
  <c r="B67671" i="1"/>
  <c r="B67666" i="1"/>
  <c r="B67662" i="1"/>
  <c r="B67658" i="1"/>
  <c r="B67653" i="1"/>
  <c r="B67649" i="1"/>
  <c r="B67646" i="1"/>
  <c r="B67642" i="1"/>
  <c r="B67639" i="1"/>
  <c r="B67636" i="1"/>
  <c r="B67632" i="1"/>
  <c r="B67628" i="1"/>
  <c r="B67624" i="1"/>
  <c r="B67620" i="1"/>
  <c r="B67616" i="1"/>
  <c r="B67612" i="1"/>
  <c r="B67608" i="1"/>
  <c r="B67603" i="1"/>
  <c r="B67598" i="1"/>
  <c r="B67592" i="1"/>
  <c r="B67587" i="1"/>
  <c r="B67583" i="1"/>
  <c r="B67579" i="1"/>
  <c r="B67575" i="1"/>
  <c r="B67570" i="1"/>
  <c r="B67565" i="1"/>
  <c r="B67560" i="1"/>
  <c r="B67555" i="1"/>
  <c r="B67552" i="1"/>
  <c r="B67549" i="1"/>
  <c r="B67544" i="1"/>
  <c r="B67540" i="1"/>
  <c r="B67535" i="1"/>
  <c r="B67531" i="1"/>
  <c r="B67526" i="1"/>
  <c r="B67521" i="1"/>
  <c r="B67517" i="1"/>
  <c r="B67513" i="1"/>
  <c r="B67509" i="1"/>
  <c r="B67504" i="1"/>
  <c r="B67500" i="1"/>
  <c r="B67495" i="1"/>
  <c r="B67491" i="1"/>
  <c r="B67487" i="1"/>
  <c r="B67483" i="1"/>
  <c r="B67479" i="1"/>
  <c r="B67475" i="1"/>
  <c r="B67470" i="1"/>
  <c r="B67465" i="1"/>
  <c r="B67460" i="1"/>
  <c r="B67456" i="1"/>
  <c r="B67451" i="1"/>
  <c r="B67446" i="1"/>
  <c r="B67442" i="1"/>
  <c r="B67438" i="1"/>
  <c r="B67434" i="1"/>
  <c r="B67430" i="1"/>
  <c r="B67426" i="1"/>
  <c r="B67422" i="1"/>
  <c r="B67418" i="1"/>
  <c r="B67414" i="1"/>
  <c r="B67410" i="1"/>
  <c r="B67406" i="1"/>
  <c r="B67402" i="1"/>
  <c r="B67398" i="1"/>
  <c r="B67394" i="1"/>
  <c r="B67390" i="1"/>
  <c r="B67386" i="1"/>
  <c r="B67383" i="1"/>
  <c r="B67380" i="1"/>
  <c r="B67377" i="1"/>
  <c r="B67373" i="1"/>
  <c r="B67369" i="1"/>
  <c r="B67365" i="1"/>
  <c r="B67361" i="1"/>
  <c r="B67358" i="1"/>
  <c r="B67355" i="1"/>
  <c r="B67351" i="1"/>
  <c r="B67347" i="1"/>
  <c r="B67343" i="1"/>
  <c r="B67339" i="1"/>
  <c r="B67335" i="1"/>
  <c r="B67331" i="1"/>
  <c r="B67327" i="1"/>
  <c r="B67323" i="1"/>
  <c r="B67320" i="1"/>
  <c r="B67317" i="1"/>
  <c r="B67313" i="1"/>
  <c r="B67310" i="1"/>
  <c r="B67306" i="1"/>
  <c r="B67302" i="1"/>
  <c r="B67299" i="1"/>
  <c r="B67297" i="1"/>
  <c r="B67294" i="1"/>
  <c r="B67290" i="1"/>
  <c r="B67286" i="1"/>
  <c r="B67282" i="1"/>
  <c r="B67277" i="1"/>
  <c r="B67272" i="1"/>
  <c r="B67268" i="1"/>
  <c r="B67263" i="1"/>
  <c r="B67256" i="1"/>
  <c r="B67253" i="1"/>
  <c r="B67250" i="1"/>
  <c r="B67247" i="1"/>
  <c r="B67242" i="1"/>
  <c r="B67238" i="1"/>
  <c r="B67234" i="1"/>
  <c r="B67231" i="1"/>
  <c r="B67227" i="1"/>
  <c r="B67223" i="1"/>
  <c r="B67219" i="1"/>
  <c r="B67216" i="1"/>
  <c r="B67213" i="1"/>
  <c r="B67209" i="1"/>
  <c r="B67205" i="1"/>
  <c r="B67200" i="1"/>
  <c r="B67196" i="1"/>
  <c r="B67192" i="1"/>
  <c r="B67187" i="1"/>
  <c r="B67182" i="1"/>
  <c r="B67178" i="1"/>
  <c r="B67173" i="1"/>
  <c r="B67168" i="1"/>
  <c r="B67164" i="1"/>
  <c r="B67159" i="1"/>
  <c r="B67154" i="1"/>
  <c r="B67150" i="1"/>
  <c r="B67146" i="1"/>
  <c r="B67141" i="1"/>
  <c r="B67137" i="1"/>
  <c r="B67133" i="1"/>
  <c r="B67129" i="1"/>
  <c r="B67125" i="1"/>
  <c r="B67121" i="1"/>
  <c r="B67116" i="1"/>
  <c r="B67111" i="1"/>
  <c r="B67106" i="1"/>
  <c r="B67101" i="1"/>
  <c r="B67095" i="1"/>
  <c r="B67090" i="1"/>
  <c r="B67085" i="1"/>
  <c r="B67080" i="1"/>
  <c r="B67076" i="1"/>
  <c r="B67071" i="1"/>
  <c r="B67066" i="1"/>
  <c r="B67062" i="1"/>
  <c r="B67057" i="1"/>
  <c r="B67053" i="1"/>
  <c r="B67049" i="1"/>
  <c r="B67043" i="1"/>
  <c r="B67038" i="1"/>
  <c r="B67035" i="1"/>
  <c r="B67031" i="1"/>
  <c r="B67025" i="1"/>
  <c r="B67020" i="1"/>
  <c r="B67015" i="1"/>
  <c r="B67011" i="1"/>
  <c r="B67007" i="1"/>
  <c r="B67003" i="1"/>
  <c r="B66998" i="1"/>
  <c r="B66993" i="1"/>
  <c r="B66988" i="1"/>
  <c r="B66984" i="1"/>
  <c r="B66980" i="1"/>
  <c r="B66976" i="1"/>
  <c r="B66972" i="1"/>
  <c r="B66968" i="1"/>
  <c r="B66965" i="1"/>
  <c r="B66959" i="1"/>
  <c r="B66954" i="1"/>
  <c r="B66950" i="1"/>
  <c r="B66946" i="1"/>
  <c r="B66942" i="1"/>
  <c r="B66937" i="1"/>
  <c r="B66932" i="1"/>
  <c r="B66927" i="1"/>
  <c r="B66923" i="1"/>
  <c r="B66919" i="1"/>
  <c r="B66916" i="1"/>
  <c r="B66912" i="1"/>
  <c r="B66907" i="1"/>
  <c r="B66901" i="1"/>
  <c r="B66897" i="1"/>
  <c r="B66892" i="1"/>
  <c r="B66888" i="1"/>
  <c r="B66882" i="1"/>
  <c r="B66878" i="1"/>
  <c r="B66874" i="1"/>
  <c r="B66870" i="1"/>
  <c r="B66866" i="1"/>
  <c r="B66861" i="1"/>
  <c r="B66857" i="1"/>
  <c r="B66853" i="1"/>
  <c r="B66849" i="1"/>
  <c r="B66843" i="1"/>
  <c r="B66838" i="1"/>
  <c r="B66834" i="1"/>
  <c r="B66830" i="1"/>
  <c r="B66826" i="1"/>
  <c r="B66822" i="1"/>
  <c r="B66818" i="1"/>
  <c r="B66814" i="1"/>
  <c r="B66810" i="1"/>
  <c r="B66806" i="1"/>
  <c r="B66802" i="1"/>
  <c r="B66798" i="1"/>
  <c r="B66794" i="1"/>
  <c r="B66789" i="1"/>
  <c r="B66784" i="1"/>
  <c r="B66780" i="1"/>
  <c r="B66776" i="1"/>
  <c r="B66772" i="1"/>
  <c r="B66767" i="1"/>
  <c r="B66763" i="1"/>
  <c r="B66759" i="1"/>
  <c r="B66755" i="1"/>
  <c r="B66750" i="1"/>
  <c r="B66745" i="1"/>
  <c r="B66740" i="1"/>
  <c r="B66736" i="1"/>
  <c r="B66732" i="1"/>
  <c r="B66729" i="1"/>
  <c r="B66726" i="1"/>
  <c r="B66722" i="1"/>
  <c r="B66718" i="1"/>
  <c r="B66714" i="1"/>
  <c r="B66711" i="1"/>
  <c r="B66708" i="1"/>
  <c r="B66705" i="1"/>
  <c r="B66701" i="1"/>
  <c r="B66697" i="1"/>
  <c r="B66692" i="1"/>
  <c r="B66689" i="1"/>
  <c r="B66686" i="1"/>
  <c r="B66682" i="1"/>
  <c r="B66678" i="1"/>
  <c r="B66674" i="1"/>
  <c r="B66670" i="1"/>
  <c r="B66666" i="1"/>
  <c r="B66662" i="1"/>
  <c r="B66659" i="1"/>
  <c r="B66656" i="1"/>
  <c r="B66653" i="1"/>
  <c r="B66649" i="1"/>
  <c r="B66645" i="1"/>
  <c r="B66641" i="1"/>
  <c r="B66637" i="1"/>
  <c r="B66633" i="1"/>
  <c r="B66629" i="1"/>
  <c r="B66625" i="1"/>
  <c r="B66622" i="1"/>
  <c r="B66617" i="1"/>
  <c r="B66613" i="1"/>
  <c r="B66609" i="1"/>
  <c r="B66604" i="1"/>
  <c r="B66600" i="1"/>
  <c r="B66596" i="1"/>
  <c r="B66592" i="1"/>
  <c r="B66588" i="1"/>
  <c r="B66584" i="1"/>
  <c r="B66578" i="1"/>
  <c r="B66573" i="1"/>
  <c r="B66568" i="1"/>
  <c r="B66563" i="1"/>
  <c r="B66558" i="1"/>
  <c r="B66555" i="1"/>
  <c r="B66552" i="1"/>
  <c r="B66548" i="1"/>
  <c r="B66544" i="1"/>
  <c r="B66541" i="1"/>
  <c r="B66537" i="1"/>
  <c r="B66534" i="1"/>
  <c r="B66530" i="1"/>
  <c r="B66526" i="1"/>
  <c r="B66522" i="1"/>
  <c r="B66517" i="1"/>
  <c r="B66512" i="1"/>
  <c r="B66508" i="1"/>
  <c r="B66504" i="1"/>
  <c r="B66500" i="1"/>
  <c r="B66496" i="1"/>
  <c r="B66492" i="1"/>
  <c r="B66489" i="1"/>
  <c r="B66485" i="1"/>
  <c r="B66482" i="1"/>
  <c r="B66479" i="1"/>
  <c r="B66475" i="1"/>
  <c r="B66470" i="1"/>
  <c r="B66465" i="1"/>
  <c r="B66460" i="1"/>
  <c r="B66455" i="1"/>
  <c r="B66451" i="1"/>
  <c r="B66447" i="1"/>
  <c r="B66443" i="1"/>
  <c r="B66439" i="1"/>
  <c r="B66435" i="1"/>
  <c r="B66431" i="1"/>
  <c r="B66427" i="1"/>
  <c r="B66422" i="1"/>
  <c r="B66417" i="1"/>
  <c r="B66412" i="1"/>
  <c r="B66408" i="1"/>
  <c r="B66403" i="1"/>
  <c r="B66398" i="1"/>
  <c r="B66395" i="1"/>
  <c r="B66392" i="1"/>
  <c r="B66389" i="1"/>
  <c r="B66386" i="1"/>
  <c r="B66382" i="1"/>
  <c r="B66378" i="1"/>
  <c r="B66374" i="1"/>
  <c r="B66369" i="1"/>
  <c r="B66364" i="1"/>
  <c r="B66360" i="1"/>
  <c r="B66356" i="1"/>
  <c r="B66352" i="1"/>
  <c r="B66349" i="1"/>
  <c r="B66344" i="1"/>
  <c r="B66339" i="1"/>
  <c r="B66334" i="1"/>
  <c r="B66329" i="1"/>
  <c r="B66324" i="1"/>
  <c r="B66319" i="1"/>
  <c r="B66314" i="1"/>
  <c r="B66310" i="1"/>
  <c r="B66307" i="1"/>
  <c r="B66302" i="1"/>
  <c r="B66298" i="1"/>
  <c r="B66294" i="1"/>
  <c r="B66289" i="1"/>
  <c r="B66284" i="1"/>
  <c r="B66280" i="1"/>
  <c r="B66277" i="1"/>
  <c r="B66274" i="1"/>
  <c r="B66270" i="1"/>
  <c r="B66266" i="1"/>
  <c r="B66262" i="1"/>
  <c r="B66258" i="1"/>
  <c r="B66253" i="1"/>
  <c r="B66248" i="1"/>
  <c r="B66244" i="1"/>
  <c r="B66240" i="1"/>
  <c r="B66235" i="1"/>
  <c r="B66230" i="1"/>
  <c r="B66226" i="1"/>
  <c r="B66222" i="1"/>
  <c r="B66218" i="1"/>
  <c r="B66213" i="1"/>
  <c r="B66209" i="1"/>
  <c r="B66204" i="1"/>
  <c r="B66199" i="1"/>
  <c r="B66193" i="1"/>
  <c r="B66188" i="1"/>
  <c r="B66183" i="1"/>
  <c r="B66179" i="1"/>
  <c r="B66174" i="1"/>
  <c r="B66170" i="1"/>
  <c r="B66166" i="1"/>
  <c r="B66162" i="1"/>
  <c r="B66157" i="1"/>
  <c r="B66153" i="1"/>
  <c r="B66148" i="1"/>
  <c r="B66143" i="1"/>
  <c r="B66139" i="1"/>
  <c r="B66135" i="1"/>
  <c r="B66131" i="1"/>
  <c r="B66127" i="1"/>
  <c r="B66122" i="1"/>
  <c r="B66117" i="1"/>
  <c r="B66113" i="1"/>
  <c r="B66109" i="1"/>
  <c r="B66105" i="1"/>
  <c r="B66100" i="1"/>
  <c r="B66096" i="1"/>
  <c r="B66091" i="1"/>
  <c r="B66086" i="1"/>
  <c r="B66084" i="1"/>
  <c r="B66081" i="1"/>
  <c r="B66077" i="1"/>
  <c r="B66073" i="1"/>
  <c r="B66068" i="1"/>
  <c r="B66063" i="1"/>
  <c r="B66058" i="1"/>
  <c r="B66055" i="1"/>
  <c r="B66052" i="1"/>
  <c r="B66048" i="1"/>
  <c r="B66043" i="1"/>
  <c r="B66038" i="1"/>
  <c r="B66034" i="1"/>
  <c r="B66030" i="1"/>
  <c r="B66026" i="1"/>
  <c r="B66022" i="1"/>
  <c r="B66017" i="1"/>
  <c r="B66013" i="1"/>
  <c r="B66008" i="1"/>
  <c r="B66003" i="1"/>
  <c r="B65999" i="1"/>
  <c r="B65995" i="1"/>
  <c r="B65990" i="1"/>
  <c r="B65987" i="1"/>
  <c r="B65983" i="1"/>
  <c r="B65978" i="1"/>
  <c r="B65974" i="1"/>
  <c r="B65970" i="1"/>
  <c r="B65965" i="1"/>
  <c r="B65960" i="1"/>
  <c r="B65957" i="1"/>
  <c r="B65954" i="1"/>
  <c r="B65950" i="1"/>
  <c r="B65946" i="1"/>
  <c r="B65942" i="1"/>
  <c r="B65938" i="1"/>
  <c r="B65934" i="1"/>
  <c r="B65930" i="1"/>
  <c r="B65926" i="1"/>
  <c r="B65921" i="1"/>
  <c r="B65916" i="1"/>
  <c r="B65912" i="1"/>
  <c r="B65908" i="1"/>
  <c r="B65903" i="1"/>
  <c r="B65898" i="1"/>
  <c r="B65893" i="1"/>
  <c r="B65889" i="1"/>
  <c r="B65886" i="1"/>
  <c r="B65881" i="1"/>
  <c r="B65877" i="1"/>
  <c r="B65873" i="1"/>
  <c r="B65869" i="1"/>
  <c r="B65865" i="1"/>
  <c r="B65860" i="1"/>
  <c r="B65855" i="1"/>
  <c r="B65850" i="1"/>
  <c r="B65846" i="1"/>
  <c r="B65842" i="1"/>
  <c r="B65838" i="1"/>
  <c r="B65834" i="1"/>
  <c r="B65829" i="1"/>
  <c r="B65824" i="1"/>
  <c r="B65821" i="1"/>
  <c r="B65817" i="1"/>
  <c r="B65813" i="1"/>
  <c r="B65809" i="1"/>
  <c r="B65804" i="1"/>
  <c r="B65799" i="1"/>
  <c r="B65794" i="1"/>
  <c r="B65790" i="1"/>
  <c r="B65787" i="1"/>
  <c r="B65782" i="1"/>
  <c r="B65778" i="1"/>
  <c r="B65774" i="1"/>
  <c r="B65770" i="1"/>
  <c r="B65765" i="1"/>
  <c r="B65762" i="1"/>
  <c r="B65758" i="1"/>
  <c r="B65755" i="1"/>
  <c r="B65751" i="1"/>
  <c r="B65747" i="1"/>
  <c r="B65743" i="1"/>
  <c r="B65739" i="1"/>
  <c r="B65733" i="1"/>
  <c r="B65727" i="1"/>
  <c r="B65721" i="1"/>
  <c r="B65716" i="1"/>
  <c r="B65711" i="1"/>
  <c r="B65706" i="1"/>
  <c r="B65702" i="1"/>
  <c r="B65698" i="1"/>
  <c r="B65694" i="1"/>
  <c r="B65690" i="1"/>
  <c r="B65686" i="1"/>
  <c r="B65681" i="1"/>
  <c r="B65677" i="1"/>
  <c r="B65673" i="1"/>
  <c r="B65669" i="1"/>
  <c r="B65665" i="1"/>
  <c r="B65661" i="1"/>
  <c r="B65658" i="1"/>
  <c r="B65654" i="1"/>
  <c r="B65651" i="1"/>
  <c r="B65648" i="1"/>
  <c r="B65644" i="1"/>
  <c r="B65640" i="1"/>
  <c r="B65636" i="1"/>
  <c r="B65632" i="1"/>
  <c r="B65628" i="1"/>
  <c r="B65623" i="1"/>
  <c r="B65619" i="1"/>
  <c r="B65615" i="1"/>
  <c r="B65610" i="1"/>
  <c r="B65605" i="1"/>
  <c r="B65600" i="1"/>
  <c r="B65595" i="1"/>
  <c r="B65590" i="1"/>
  <c r="B65585" i="1"/>
  <c r="B65580" i="1"/>
  <c r="B65575" i="1"/>
  <c r="B65571" i="1"/>
  <c r="B65565" i="1"/>
  <c r="B65562" i="1"/>
  <c r="B65558" i="1"/>
  <c r="B65555" i="1"/>
  <c r="B65551" i="1"/>
  <c r="B65548" i="1"/>
  <c r="B65544" i="1"/>
  <c r="B65540" i="1"/>
  <c r="B65536" i="1"/>
  <c r="B65532" i="1"/>
  <c r="B65528" i="1"/>
  <c r="B65524" i="1"/>
  <c r="B65520" i="1"/>
  <c r="B65516" i="1"/>
  <c r="B65511" i="1"/>
  <c r="B65505" i="1"/>
  <c r="B65501" i="1"/>
  <c r="B65495" i="1"/>
  <c r="B65489" i="1"/>
  <c r="B65484" i="1"/>
  <c r="B65479" i="1"/>
  <c r="B65474" i="1"/>
  <c r="B65469" i="1"/>
  <c r="B65465" i="1"/>
  <c r="B65461" i="1"/>
  <c r="B65457" i="1"/>
  <c r="B65453" i="1"/>
  <c r="B65449" i="1"/>
  <c r="B65444" i="1"/>
  <c r="B65439" i="1"/>
  <c r="B65435" i="1"/>
  <c r="B65431" i="1"/>
  <c r="B65427" i="1"/>
  <c r="B65423" i="1"/>
  <c r="B65417" i="1"/>
  <c r="B65411" i="1"/>
  <c r="B65406" i="1"/>
  <c r="B65402" i="1"/>
  <c r="B65398" i="1"/>
  <c r="B65393" i="1"/>
  <c r="B65389" i="1"/>
  <c r="B65384" i="1"/>
  <c r="B65379" i="1"/>
  <c r="B65375" i="1"/>
  <c r="B65371" i="1"/>
  <c r="B65366" i="1"/>
  <c r="B65362" i="1"/>
  <c r="B65358" i="1"/>
  <c r="B65353" i="1"/>
  <c r="B65349" i="1"/>
  <c r="B65345" i="1"/>
  <c r="B65341" i="1"/>
  <c r="B65337" i="1"/>
  <c r="B65332" i="1"/>
  <c r="B65328" i="1"/>
  <c r="B65324" i="1"/>
  <c r="B65320" i="1"/>
  <c r="B65315" i="1"/>
  <c r="B65311" i="1"/>
  <c r="B65306" i="1"/>
  <c r="B65301" i="1"/>
  <c r="B65297" i="1"/>
  <c r="B65293" i="1"/>
  <c r="B65289" i="1"/>
  <c r="B65286" i="1"/>
  <c r="B65282" i="1"/>
  <c r="B65279" i="1"/>
  <c r="B65275" i="1"/>
  <c r="B65271" i="1"/>
  <c r="B65267" i="1"/>
  <c r="B65263" i="1"/>
  <c r="B65260" i="1"/>
  <c r="B65257" i="1"/>
  <c r="B65253" i="1"/>
  <c r="B65249" i="1"/>
  <c r="B65245" i="1"/>
  <c r="B65241" i="1"/>
  <c r="B65237" i="1"/>
  <c r="B65232" i="1"/>
  <c r="B65227" i="1"/>
  <c r="B65222" i="1"/>
  <c r="B65217" i="1"/>
  <c r="B65213" i="1"/>
  <c r="B65208" i="1"/>
  <c r="B65204" i="1"/>
  <c r="B65200" i="1"/>
  <c r="B65196" i="1"/>
  <c r="B65191" i="1"/>
  <c r="B65186" i="1"/>
  <c r="B65182" i="1"/>
  <c r="B65178" i="1"/>
  <c r="B65174" i="1"/>
  <c r="B65170" i="1"/>
  <c r="B65166" i="1"/>
  <c r="B65162" i="1"/>
  <c r="B65158" i="1"/>
  <c r="B65153" i="1"/>
  <c r="B65149" i="1"/>
  <c r="B65144" i="1"/>
  <c r="B65140" i="1"/>
  <c r="B65136" i="1"/>
  <c r="B65131" i="1"/>
  <c r="B65127" i="1"/>
  <c r="B65123" i="1"/>
  <c r="B65119" i="1"/>
  <c r="B65114" i="1"/>
  <c r="B65109" i="1"/>
  <c r="B65104" i="1"/>
  <c r="B65100" i="1"/>
  <c r="B65096" i="1"/>
  <c r="B65092" i="1"/>
  <c r="B65088" i="1"/>
  <c r="B65084" i="1"/>
  <c r="B65081" i="1"/>
  <c r="B65078" i="1"/>
  <c r="B65074" i="1"/>
  <c r="B65070" i="1"/>
  <c r="B65066" i="1"/>
  <c r="B65061" i="1"/>
  <c r="B65056" i="1"/>
  <c r="B65052" i="1"/>
  <c r="B65048" i="1"/>
  <c r="B65044" i="1"/>
  <c r="B65040" i="1"/>
  <c r="B65035" i="1"/>
  <c r="B65031" i="1"/>
  <c r="B65027" i="1"/>
  <c r="B65023" i="1"/>
  <c r="B65019" i="1"/>
  <c r="B65015" i="1"/>
  <c r="B65011" i="1"/>
  <c r="B65007" i="1"/>
  <c r="B65002" i="1"/>
  <c r="B64997" i="1"/>
  <c r="B64993" i="1"/>
  <c r="B64988" i="1"/>
  <c r="B64984" i="1"/>
  <c r="B64979" i="1"/>
  <c r="B64974" i="1"/>
  <c r="B64969" i="1"/>
  <c r="B64965" i="1"/>
  <c r="B64961" i="1"/>
  <c r="B64957" i="1"/>
  <c r="B64953" i="1"/>
  <c r="B64949" i="1"/>
  <c r="B64945" i="1"/>
  <c r="B64941" i="1"/>
  <c r="B64937" i="1"/>
  <c r="B64932" i="1"/>
  <c r="B64927" i="1"/>
  <c r="B64923" i="1"/>
  <c r="B64919" i="1"/>
  <c r="B64914" i="1"/>
  <c r="B64910" i="1"/>
  <c r="B64906" i="1"/>
  <c r="B64901" i="1"/>
  <c r="B64898" i="1"/>
  <c r="B64893" i="1"/>
  <c r="B64889" i="1"/>
  <c r="B64885" i="1"/>
  <c r="B64881" i="1"/>
  <c r="B64877" i="1"/>
  <c r="B64873" i="1"/>
  <c r="B64869" i="1"/>
  <c r="B64865" i="1"/>
  <c r="B64861" i="1"/>
  <c r="B64855" i="1"/>
  <c r="B64851" i="1"/>
  <c r="B64847" i="1"/>
  <c r="B64843" i="1"/>
  <c r="B64838" i="1"/>
  <c r="B64833" i="1"/>
  <c r="B64829" i="1"/>
  <c r="B64824" i="1"/>
  <c r="B64819" i="1"/>
  <c r="B64815" i="1"/>
  <c r="B64811" i="1"/>
  <c r="B64806" i="1"/>
  <c r="B64802" i="1"/>
  <c r="B64799" i="1"/>
  <c r="B64794" i="1"/>
  <c r="B64790" i="1"/>
  <c r="B64786" i="1"/>
  <c r="B64781" i="1"/>
  <c r="B64775" i="1"/>
  <c r="B64769" i="1"/>
  <c r="B64763" i="1"/>
  <c r="B64757" i="1"/>
  <c r="B64753" i="1"/>
  <c r="B64748" i="1"/>
  <c r="B64743" i="1"/>
  <c r="B64738" i="1"/>
  <c r="B64735" i="1"/>
  <c r="B64731" i="1"/>
  <c r="B64728" i="1"/>
  <c r="B64723" i="1"/>
  <c r="B64718" i="1"/>
  <c r="B64713" i="1"/>
  <c r="B64708" i="1"/>
  <c r="B64704" i="1"/>
  <c r="B64700" i="1"/>
  <c r="B64696" i="1"/>
  <c r="B64692" i="1"/>
  <c r="B64688" i="1"/>
  <c r="B64684" i="1"/>
  <c r="B64679" i="1"/>
  <c r="B64674" i="1"/>
  <c r="B64670" i="1"/>
  <c r="B64665" i="1"/>
  <c r="B64661" i="1"/>
  <c r="B64657" i="1"/>
  <c r="B64653" i="1"/>
  <c r="B64649" i="1"/>
  <c r="B64646" i="1"/>
  <c r="B64643" i="1"/>
  <c r="B64638" i="1"/>
  <c r="B64634" i="1"/>
  <c r="B64629" i="1"/>
  <c r="B64625" i="1"/>
  <c r="B64620" i="1"/>
  <c r="B64616" i="1"/>
  <c r="B64612" i="1"/>
  <c r="B64608" i="1"/>
  <c r="B64604" i="1"/>
  <c r="B64600" i="1"/>
  <c r="B64596" i="1"/>
  <c r="B64592" i="1"/>
  <c r="B64588" i="1"/>
  <c r="B64584" i="1"/>
  <c r="B64580" i="1"/>
  <c r="B64576" i="1"/>
  <c r="B64572" i="1"/>
  <c r="B64568" i="1"/>
  <c r="B64564" i="1"/>
  <c r="B64560" i="1"/>
  <c r="B64555" i="1"/>
  <c r="B64550" i="1"/>
  <c r="B64546" i="1"/>
  <c r="B64542" i="1"/>
  <c r="B64537" i="1"/>
  <c r="B64532" i="1"/>
  <c r="B64529" i="1"/>
  <c r="B64526" i="1"/>
  <c r="B64523" i="1"/>
  <c r="B64519" i="1"/>
  <c r="B64515" i="1"/>
  <c r="B64511" i="1"/>
  <c r="B64507" i="1"/>
  <c r="B64503" i="1"/>
  <c r="B64499" i="1"/>
  <c r="B64494" i="1"/>
  <c r="B64490" i="1"/>
  <c r="B64487" i="1"/>
  <c r="B64483" i="1"/>
  <c r="B64479" i="1"/>
  <c r="B64475" i="1"/>
  <c r="B64471" i="1"/>
  <c r="B64467" i="1"/>
  <c r="B64463" i="1"/>
  <c r="B64458" i="1"/>
  <c r="B64454" i="1"/>
  <c r="B64449" i="1"/>
  <c r="B64446" i="1"/>
  <c r="B64442" i="1"/>
  <c r="B64437" i="1"/>
  <c r="B64434" i="1"/>
  <c r="B64430" i="1"/>
  <c r="B64427" i="1"/>
  <c r="B64423" i="1"/>
  <c r="B64419" i="1"/>
  <c r="B64415" i="1"/>
  <c r="B64411" i="1"/>
  <c r="B64406" i="1"/>
  <c r="B64402" i="1"/>
  <c r="B64397" i="1"/>
  <c r="B64392" i="1"/>
  <c r="B64388" i="1"/>
  <c r="B64384" i="1"/>
  <c r="B64380" i="1"/>
  <c r="B64375" i="1"/>
  <c r="B64371" i="1"/>
  <c r="B64366" i="1"/>
  <c r="B64361" i="1"/>
  <c r="B64357" i="1"/>
  <c r="B64352" i="1"/>
  <c r="B64347" i="1"/>
  <c r="B64342" i="1"/>
  <c r="B64339" i="1"/>
  <c r="B64335" i="1"/>
  <c r="B64330" i="1"/>
  <c r="B64325" i="1"/>
  <c r="B64320" i="1"/>
  <c r="B64316" i="1"/>
  <c r="B64313" i="1"/>
  <c r="B64309" i="1"/>
  <c r="B64305" i="1"/>
  <c r="B64301" i="1"/>
  <c r="B64297" i="1"/>
  <c r="B64293" i="1"/>
  <c r="B64289" i="1"/>
  <c r="B64284" i="1"/>
  <c r="B64279" i="1"/>
  <c r="B64275" i="1"/>
  <c r="B64271" i="1"/>
  <c r="B64267" i="1"/>
  <c r="B64262" i="1"/>
  <c r="B64258" i="1"/>
  <c r="B64254" i="1"/>
  <c r="B64250" i="1"/>
  <c r="B64246" i="1"/>
  <c r="B64241" i="1"/>
  <c r="B64236" i="1"/>
  <c r="B64232" i="1"/>
  <c r="B64227" i="1"/>
  <c r="B64222" i="1"/>
  <c r="B64218" i="1"/>
  <c r="B64214" i="1"/>
  <c r="B64211" i="1"/>
  <c r="B64206" i="1"/>
  <c r="B64201" i="1"/>
  <c r="B64196" i="1"/>
  <c r="B64192" i="1"/>
  <c r="B64187" i="1"/>
  <c r="B64182" i="1"/>
  <c r="B64179" i="1"/>
  <c r="B64175" i="1"/>
  <c r="B64171" i="1"/>
  <c r="B64168" i="1"/>
  <c r="B64164" i="1"/>
  <c r="B64160" i="1"/>
  <c r="B64156" i="1"/>
  <c r="B64153" i="1"/>
  <c r="B64149" i="1"/>
  <c r="B64144" i="1"/>
  <c r="B64139" i="1"/>
  <c r="B64134" i="1"/>
  <c r="B64129" i="1"/>
  <c r="B64124" i="1"/>
  <c r="B64121" i="1"/>
  <c r="B64117" i="1"/>
  <c r="B64113" i="1"/>
  <c r="B64109" i="1"/>
  <c r="B64105" i="1"/>
  <c r="B64101" i="1"/>
  <c r="B64096" i="1"/>
  <c r="B64092" i="1"/>
  <c r="B64089" i="1"/>
  <c r="B64086" i="1"/>
  <c r="B64082" i="1"/>
  <c r="B64078" i="1"/>
  <c r="B64075" i="1"/>
  <c r="B64071" i="1"/>
  <c r="B64067" i="1"/>
  <c r="B64063" i="1"/>
  <c r="B64058" i="1"/>
  <c r="B64054" i="1"/>
  <c r="B64050" i="1"/>
  <c r="B64045" i="1"/>
  <c r="B64040" i="1"/>
  <c r="B64035" i="1"/>
  <c r="B64031" i="1"/>
  <c r="B64027" i="1"/>
  <c r="B64022" i="1"/>
  <c r="B64018" i="1"/>
  <c r="B64015" i="1"/>
  <c r="B64011" i="1"/>
  <c r="B64007" i="1"/>
  <c r="B64002" i="1"/>
  <c r="B63998" i="1"/>
  <c r="B63993" i="1"/>
  <c r="B63989" i="1"/>
  <c r="B63985" i="1"/>
  <c r="B63981" i="1"/>
  <c r="B63977" i="1"/>
  <c r="B63973" i="1"/>
  <c r="B63969" i="1"/>
  <c r="B63965" i="1"/>
  <c r="B63961" i="1"/>
  <c r="B63957" i="1"/>
  <c r="B63953" i="1"/>
  <c r="B63949" i="1"/>
  <c r="B63941" i="1"/>
  <c r="B63937" i="1"/>
  <c r="B63933" i="1"/>
  <c r="B63929" i="1"/>
  <c r="B63925" i="1"/>
  <c r="B63921" i="1"/>
  <c r="B63917" i="1"/>
  <c r="B63913" i="1"/>
  <c r="B63908" i="1"/>
  <c r="B63904" i="1"/>
  <c r="B63900" i="1"/>
  <c r="B63896" i="1"/>
  <c r="B63892" i="1"/>
  <c r="B63888" i="1"/>
  <c r="B63884" i="1"/>
  <c r="B63881" i="1"/>
  <c r="B63877" i="1"/>
  <c r="B63873" i="1"/>
  <c r="B63869" i="1"/>
  <c r="B63865" i="1"/>
  <c r="B63861" i="1"/>
  <c r="B63857" i="1"/>
  <c r="B63853" i="1"/>
  <c r="B63848" i="1"/>
  <c r="B63843" i="1"/>
  <c r="B63839" i="1"/>
  <c r="B63835" i="1"/>
  <c r="B63830" i="1"/>
  <c r="B63826" i="1"/>
  <c r="B63823" i="1"/>
  <c r="B63815" i="1"/>
  <c r="B63811" i="1"/>
  <c r="B63807" i="1"/>
  <c r="B63802" i="1"/>
  <c r="B63798" i="1"/>
  <c r="B63794" i="1"/>
  <c r="B63789" i="1"/>
  <c r="B63784" i="1"/>
  <c r="B63780" i="1"/>
  <c r="B63776" i="1"/>
  <c r="B63773" i="1"/>
  <c r="B63769" i="1"/>
  <c r="B63765" i="1"/>
  <c r="B63761" i="1"/>
  <c r="B63757" i="1"/>
  <c r="B63753" i="1"/>
  <c r="B63749" i="1"/>
  <c r="B63745" i="1"/>
  <c r="B63741" i="1"/>
  <c r="B63738" i="1"/>
  <c r="B63734" i="1"/>
  <c r="B63730" i="1"/>
  <c r="B63726" i="1"/>
  <c r="B63722" i="1"/>
  <c r="B63719" i="1"/>
  <c r="B63715" i="1"/>
  <c r="B63711" i="1"/>
  <c r="B63707" i="1"/>
  <c r="B63703" i="1"/>
  <c r="B63698" i="1"/>
  <c r="B63693" i="1"/>
  <c r="B63690" i="1"/>
  <c r="B63686" i="1"/>
  <c r="B63682" i="1"/>
  <c r="B63678" i="1"/>
  <c r="B63675" i="1"/>
  <c r="B63672" i="1"/>
  <c r="B63668" i="1"/>
  <c r="B63663" i="1"/>
  <c r="B63658" i="1"/>
  <c r="B63654" i="1"/>
  <c r="B63650" i="1"/>
  <c r="B63645" i="1"/>
  <c r="B63641" i="1"/>
  <c r="B63637" i="1"/>
  <c r="B63632" i="1"/>
  <c r="B63628" i="1"/>
  <c r="B63624" i="1"/>
  <c r="B63620" i="1"/>
  <c r="B63616" i="1"/>
  <c r="B63611" i="1"/>
  <c r="B63607" i="1"/>
  <c r="B63603" i="1"/>
  <c r="B63599" i="1"/>
  <c r="B63596" i="1"/>
  <c r="B63593" i="1"/>
  <c r="B63590" i="1"/>
  <c r="B63586" i="1"/>
  <c r="B63582" i="1"/>
  <c r="B63578" i="1"/>
  <c r="B63574" i="1"/>
  <c r="B63570" i="1"/>
  <c r="B63565" i="1"/>
  <c r="B63560" i="1"/>
  <c r="B63557" i="1"/>
  <c r="B63553" i="1"/>
  <c r="B63549" i="1"/>
  <c r="B63545" i="1"/>
  <c r="B63541" i="1"/>
  <c r="B63537" i="1"/>
  <c r="B63532" i="1"/>
  <c r="B63527" i="1"/>
  <c r="B63523" i="1"/>
  <c r="B63519" i="1"/>
  <c r="B63516" i="1"/>
  <c r="B63513" i="1"/>
  <c r="B63509" i="1"/>
  <c r="B63505" i="1"/>
  <c r="B63501" i="1"/>
  <c r="B63496" i="1"/>
  <c r="B63492" i="1"/>
  <c r="B63487" i="1"/>
  <c r="B63482" i="1"/>
  <c r="B63478" i="1"/>
  <c r="B63474" i="1"/>
  <c r="B63470" i="1"/>
  <c r="B63466" i="1"/>
  <c r="B63463" i="1"/>
  <c r="B63459" i="1"/>
  <c r="B63456" i="1"/>
  <c r="B63452" i="1"/>
  <c r="B63447" i="1"/>
  <c r="B63443" i="1"/>
  <c r="B63438" i="1"/>
  <c r="B63433" i="1"/>
  <c r="B63429" i="1"/>
  <c r="B63424" i="1"/>
  <c r="B63419" i="1"/>
  <c r="B63416" i="1"/>
  <c r="B63412" i="1"/>
  <c r="B63408" i="1"/>
  <c r="B63404" i="1"/>
  <c r="B63399" i="1"/>
  <c r="B63394" i="1"/>
  <c r="B63389" i="1"/>
  <c r="B63384" i="1"/>
  <c r="B63380" i="1"/>
  <c r="B63376" i="1"/>
  <c r="B63373" i="1"/>
  <c r="B63370" i="1"/>
  <c r="B63367" i="1"/>
  <c r="B63362" i="1"/>
  <c r="B63358" i="1"/>
  <c r="B63354" i="1"/>
  <c r="B63349" i="1"/>
  <c r="B63344" i="1"/>
  <c r="B63340" i="1"/>
  <c r="B63335" i="1"/>
  <c r="B63330" i="1"/>
  <c r="B63326" i="1"/>
  <c r="B63322" i="1"/>
  <c r="B63318" i="1"/>
  <c r="B63314" i="1"/>
  <c r="B63310" i="1"/>
  <c r="B63307" i="1"/>
  <c r="B63303" i="1"/>
  <c r="B63298" i="1"/>
  <c r="B63294" i="1"/>
  <c r="B63290" i="1"/>
  <c r="B63285" i="1"/>
  <c r="B63280" i="1"/>
  <c r="B63275" i="1"/>
  <c r="B63270" i="1"/>
  <c r="B63265" i="1"/>
  <c r="B63260" i="1"/>
  <c r="B63255" i="1"/>
  <c r="B63250" i="1"/>
  <c r="B63245" i="1"/>
  <c r="B63239" i="1"/>
  <c r="B63235" i="1"/>
  <c r="B63229" i="1"/>
  <c r="B63224" i="1"/>
  <c r="B63220" i="1"/>
  <c r="B63215" i="1"/>
  <c r="B63211" i="1"/>
  <c r="B63206" i="1"/>
  <c r="B63203" i="1"/>
  <c r="B63200" i="1"/>
  <c r="B63196" i="1"/>
  <c r="B63191" i="1"/>
  <c r="B63188" i="1"/>
  <c r="B63184" i="1"/>
  <c r="B63180" i="1"/>
  <c r="B63175" i="1"/>
  <c r="B63171" i="1"/>
  <c r="B63167" i="1"/>
  <c r="B63163" i="1"/>
  <c r="B63159" i="1"/>
  <c r="B63156" i="1"/>
  <c r="B63153" i="1"/>
  <c r="B63149" i="1"/>
  <c r="B63145" i="1"/>
  <c r="B63141" i="1"/>
  <c r="B63133" i="1"/>
  <c r="B63125" i="1"/>
  <c r="B63121" i="1"/>
  <c r="B63116" i="1"/>
  <c r="B63111" i="1"/>
  <c r="B63107" i="1"/>
  <c r="B63102" i="1"/>
  <c r="B63098" i="1"/>
  <c r="B63094" i="1"/>
  <c r="B63089" i="1"/>
  <c r="B63084" i="1"/>
  <c r="B63080" i="1"/>
  <c r="B63076" i="1"/>
  <c r="B63072" i="1"/>
  <c r="B63068" i="1"/>
  <c r="B63064" i="1"/>
  <c r="B63058" i="1"/>
  <c r="B63052" i="1"/>
  <c r="B63048" i="1"/>
  <c r="B63044" i="1"/>
  <c r="B63040" i="1"/>
  <c r="B63036" i="1"/>
  <c r="B63032" i="1"/>
  <c r="B63028" i="1"/>
  <c r="B63024" i="1"/>
  <c r="B63020" i="1"/>
  <c r="B63016" i="1"/>
  <c r="B63012" i="1"/>
  <c r="B63008" i="1"/>
  <c r="B63004" i="1"/>
  <c r="B63000" i="1"/>
  <c r="B62996" i="1"/>
  <c r="B62992" i="1"/>
  <c r="B62988" i="1"/>
  <c r="B62984" i="1"/>
  <c r="B62979" i="1"/>
  <c r="B62974" i="1"/>
  <c r="B62969" i="1"/>
  <c r="B62964" i="1"/>
  <c r="B62960" i="1"/>
  <c r="B62956" i="1"/>
  <c r="B62952" i="1"/>
  <c r="B62948" i="1"/>
  <c r="B62944" i="1"/>
  <c r="B62940" i="1"/>
  <c r="B62936" i="1"/>
  <c r="B62932" i="1"/>
  <c r="B62928" i="1"/>
  <c r="B62923" i="1"/>
  <c r="B62918" i="1"/>
  <c r="B62913" i="1"/>
  <c r="B62909" i="1"/>
  <c r="B62905" i="1"/>
  <c r="B62901" i="1"/>
  <c r="B62897" i="1"/>
  <c r="B62892" i="1"/>
  <c r="B62886" i="1"/>
  <c r="B62883" i="1"/>
  <c r="B62878" i="1"/>
  <c r="B62874" i="1"/>
  <c r="B62870" i="1"/>
  <c r="B62867" i="1"/>
  <c r="B62864" i="1"/>
  <c r="B62860" i="1"/>
  <c r="B62856" i="1"/>
  <c r="B62852" i="1"/>
  <c r="B62848" i="1"/>
  <c r="B62844" i="1"/>
  <c r="B62840" i="1"/>
  <c r="B62835" i="1"/>
  <c r="B62830" i="1"/>
  <c r="B62825" i="1"/>
  <c r="B62820" i="1"/>
  <c r="B62815" i="1"/>
  <c r="B62810" i="1"/>
  <c r="B62806" i="1"/>
  <c r="B62802" i="1"/>
  <c r="B62797" i="1"/>
  <c r="B62792" i="1"/>
  <c r="B62787" i="1"/>
  <c r="B62782" i="1"/>
  <c r="B62778" i="1"/>
  <c r="B62768" i="1"/>
  <c r="B62764" i="1"/>
  <c r="B62760" i="1"/>
  <c r="B62756" i="1"/>
  <c r="B62751" i="1"/>
  <c r="B62745" i="1"/>
  <c r="B62741" i="1"/>
  <c r="B62737" i="1"/>
  <c r="B62733" i="1"/>
  <c r="B62729" i="1"/>
  <c r="B62725" i="1"/>
  <c r="B62720" i="1"/>
  <c r="B62715" i="1"/>
  <c r="B62711" i="1"/>
  <c r="B62707" i="1"/>
  <c r="B62704" i="1"/>
  <c r="B62699" i="1"/>
  <c r="B62695" i="1"/>
  <c r="B62690" i="1"/>
  <c r="B62686" i="1"/>
  <c r="B62682" i="1"/>
  <c r="B62678" i="1"/>
  <c r="B62673" i="1"/>
  <c r="B62668" i="1"/>
  <c r="B62663" i="1"/>
  <c r="B62658" i="1"/>
  <c r="B62653" i="1"/>
  <c r="B62649" i="1"/>
  <c r="B62645" i="1"/>
  <c r="B62641" i="1"/>
  <c r="B62637" i="1"/>
  <c r="B62633" i="1"/>
  <c r="B62629" i="1"/>
  <c r="B62624" i="1"/>
  <c r="B62619" i="1"/>
  <c r="B62614" i="1"/>
  <c r="B62609" i="1"/>
  <c r="B62604" i="1"/>
  <c r="B62599" i="1"/>
  <c r="B62594" i="1"/>
  <c r="B62589" i="1"/>
  <c r="B62584" i="1"/>
  <c r="B62579" i="1"/>
  <c r="B62574" i="1"/>
  <c r="B62569" i="1"/>
  <c r="B62564" i="1"/>
  <c r="B62560" i="1"/>
  <c r="B62555" i="1"/>
  <c r="B62551" i="1"/>
  <c r="B62547" i="1"/>
  <c r="B62543" i="1"/>
  <c r="B62539" i="1"/>
  <c r="B62535" i="1"/>
  <c r="B62531" i="1"/>
  <c r="B62527" i="1"/>
  <c r="B62523" i="1"/>
  <c r="B62519" i="1"/>
  <c r="B62511" i="1"/>
  <c r="B62507" i="1"/>
  <c r="B62503" i="1"/>
  <c r="B62498" i="1"/>
  <c r="B62493" i="1"/>
  <c r="B62488" i="1"/>
  <c r="B62483" i="1"/>
  <c r="B62478" i="1"/>
  <c r="B62473" i="1"/>
  <c r="B62468" i="1"/>
  <c r="B62463" i="1"/>
  <c r="B62458" i="1"/>
  <c r="B62453" i="1"/>
  <c r="B62448" i="1"/>
  <c r="B62444" i="1"/>
  <c r="B62440" i="1"/>
  <c r="B62437" i="1"/>
  <c r="B62433" i="1"/>
  <c r="B62429" i="1"/>
  <c r="B62425" i="1"/>
  <c r="B62421" i="1"/>
  <c r="B62417" i="1"/>
  <c r="B62412" i="1"/>
  <c r="B62407" i="1"/>
  <c r="B62402" i="1"/>
  <c r="B62398" i="1"/>
  <c r="B62394" i="1"/>
  <c r="B62390" i="1"/>
  <c r="B62387" i="1"/>
  <c r="B62383" i="1"/>
  <c r="B62379" i="1"/>
  <c r="B62375" i="1"/>
  <c r="B62371" i="1"/>
  <c r="B62367" i="1"/>
  <c r="B62363" i="1"/>
  <c r="B62359" i="1"/>
  <c r="B62355" i="1"/>
  <c r="B62351" i="1"/>
  <c r="B62347" i="1"/>
  <c r="B62343" i="1"/>
  <c r="B62339" i="1"/>
  <c r="B62335" i="1"/>
  <c r="B62331" i="1"/>
  <c r="B62327" i="1"/>
  <c r="B62323" i="1"/>
  <c r="B62319" i="1"/>
  <c r="B62315" i="1"/>
  <c r="B62311" i="1"/>
  <c r="B62307" i="1"/>
  <c r="B62303" i="1"/>
  <c r="B62299" i="1"/>
  <c r="B62295" i="1"/>
  <c r="B62291" i="1"/>
  <c r="B62286" i="1"/>
  <c r="B62281" i="1"/>
  <c r="B62276" i="1"/>
  <c r="B62271" i="1"/>
  <c r="B62268" i="1"/>
  <c r="B62264" i="1"/>
  <c r="B62259" i="1"/>
  <c r="B62254" i="1"/>
  <c r="B62249" i="1"/>
  <c r="B62244" i="1"/>
  <c r="B62239" i="1"/>
  <c r="B62234" i="1"/>
  <c r="B62229" i="1"/>
  <c r="B62225" i="1"/>
  <c r="B62221" i="1"/>
  <c r="B62217" i="1"/>
  <c r="B62213" i="1"/>
  <c r="B62209" i="1"/>
  <c r="B62205" i="1"/>
  <c r="B62201" i="1"/>
  <c r="B62198" i="1"/>
  <c r="B62194" i="1"/>
  <c r="B62189" i="1"/>
  <c r="B62186" i="1"/>
  <c r="B62183" i="1"/>
  <c r="B62179" i="1"/>
  <c r="B62174" i="1"/>
  <c r="B62170" i="1"/>
  <c r="B62166" i="1"/>
  <c r="B62162" i="1"/>
  <c r="B62158" i="1"/>
  <c r="B62154" i="1"/>
  <c r="B62150" i="1"/>
  <c r="B62146" i="1"/>
  <c r="B62142" i="1"/>
  <c r="B62139" i="1"/>
  <c r="B62135" i="1"/>
  <c r="B62131" i="1"/>
  <c r="B62127" i="1"/>
  <c r="B62123" i="1"/>
  <c r="B62119" i="1"/>
  <c r="B62115" i="1"/>
  <c r="B62110" i="1"/>
  <c r="B62105" i="1"/>
  <c r="B62101" i="1"/>
  <c r="B62097" i="1"/>
  <c r="B62093" i="1"/>
  <c r="B62088" i="1"/>
  <c r="B62083" i="1"/>
  <c r="B62079" i="1"/>
  <c r="B62075" i="1"/>
  <c r="B62072" i="1"/>
  <c r="B62067" i="1"/>
  <c r="B62062" i="1"/>
  <c r="B62059" i="1"/>
  <c r="B62055" i="1"/>
  <c r="B62051" i="1"/>
  <c r="B62047" i="1"/>
  <c r="B62043" i="1"/>
  <c r="B62040" i="1"/>
  <c r="B62036" i="1"/>
  <c r="B62031" i="1"/>
  <c r="B62027" i="1"/>
  <c r="B62022" i="1"/>
  <c r="B62017" i="1"/>
  <c r="B62012" i="1"/>
  <c r="B62007" i="1"/>
  <c r="B62002" i="1"/>
  <c r="B61997" i="1"/>
  <c r="B61992" i="1"/>
  <c r="B61987" i="1"/>
  <c r="B61983" i="1"/>
  <c r="B61979" i="1"/>
  <c r="B61974" i="1"/>
  <c r="B61969" i="1"/>
  <c r="B61964" i="1"/>
  <c r="B61959" i="1"/>
  <c r="B61954" i="1"/>
  <c r="B61949" i="1"/>
  <c r="B61945" i="1"/>
  <c r="B61941" i="1"/>
  <c r="B61937" i="1"/>
  <c r="B61933" i="1"/>
  <c r="B61929" i="1"/>
  <c r="B61924" i="1"/>
  <c r="B61920" i="1"/>
  <c r="B61915" i="1"/>
  <c r="B61911" i="1"/>
  <c r="B61907" i="1"/>
  <c r="B61903" i="1"/>
  <c r="B61899" i="1"/>
  <c r="B61895" i="1"/>
  <c r="B61890" i="1"/>
  <c r="B61885" i="1"/>
  <c r="B61881" i="1"/>
  <c r="B61876" i="1"/>
  <c r="B61872" i="1"/>
  <c r="B61867" i="1"/>
  <c r="B61862" i="1"/>
  <c r="B61857" i="1"/>
  <c r="B61853" i="1"/>
  <c r="B61849" i="1"/>
  <c r="B61845" i="1"/>
  <c r="B61841" i="1"/>
  <c r="B61837" i="1"/>
  <c r="B61833" i="1"/>
  <c r="B61828" i="1"/>
  <c r="B61824" i="1"/>
  <c r="B61819" i="1"/>
  <c r="B61815" i="1"/>
  <c r="B61812" i="1"/>
  <c r="B61807" i="1"/>
  <c r="B61802" i="1"/>
  <c r="B61797" i="1"/>
  <c r="B61791" i="1"/>
  <c r="B61787" i="1"/>
  <c r="B61783" i="1"/>
  <c r="B61778" i="1"/>
  <c r="B61773" i="1"/>
  <c r="B61768" i="1"/>
  <c r="B61763" i="1"/>
  <c r="B61759" i="1"/>
  <c r="B61754" i="1"/>
  <c r="B61750" i="1"/>
  <c r="B61747" i="1"/>
  <c r="B61743" i="1"/>
  <c r="B61739" i="1"/>
  <c r="B61734" i="1"/>
  <c r="B61730" i="1"/>
  <c r="B61726" i="1"/>
  <c r="B61722" i="1"/>
  <c r="B61718" i="1"/>
  <c r="B61714" i="1"/>
  <c r="B61710" i="1"/>
  <c r="B61705" i="1"/>
  <c r="B61700" i="1"/>
  <c r="B61696" i="1"/>
  <c r="B61692" i="1"/>
  <c r="B61687" i="1"/>
  <c r="B61682" i="1"/>
  <c r="B61678" i="1"/>
  <c r="B61674" i="1"/>
  <c r="B61669" i="1"/>
  <c r="B61665" i="1"/>
  <c r="B61661" i="1"/>
  <c r="B61657" i="1"/>
  <c r="B61653" i="1"/>
  <c r="B61649" i="1"/>
  <c r="B61645" i="1"/>
  <c r="B61640" i="1"/>
  <c r="B61635" i="1"/>
  <c r="B61630" i="1"/>
  <c r="B61626" i="1"/>
  <c r="B61622" i="1"/>
  <c r="B61617" i="1"/>
  <c r="B61612" i="1"/>
  <c r="B61609" i="1"/>
  <c r="B61604" i="1"/>
  <c r="B61600" i="1"/>
  <c r="B61595" i="1"/>
  <c r="B61591" i="1"/>
  <c r="B61586" i="1"/>
  <c r="B61581" i="1"/>
  <c r="B61577" i="1"/>
  <c r="B61573" i="1"/>
  <c r="B61568" i="1"/>
  <c r="B61563" i="1"/>
  <c r="B61558" i="1"/>
  <c r="B61554" i="1"/>
  <c r="B61549" i="1"/>
  <c r="B61544" i="1"/>
  <c r="B61539" i="1"/>
  <c r="B61535" i="1"/>
  <c r="B61531" i="1"/>
  <c r="B61526" i="1"/>
  <c r="B61522" i="1"/>
  <c r="B61517" i="1"/>
  <c r="B61512" i="1"/>
  <c r="B61507" i="1"/>
  <c r="B61503" i="1"/>
  <c r="B61499" i="1"/>
  <c r="B61496" i="1"/>
  <c r="B61492" i="1"/>
  <c r="B61488" i="1"/>
  <c r="B61483" i="1"/>
  <c r="B61479" i="1"/>
  <c r="B61474" i="1"/>
  <c r="B61469" i="1"/>
  <c r="B61465" i="1"/>
  <c r="B61461" i="1"/>
  <c r="B61457" i="1"/>
  <c r="B61453" i="1"/>
  <c r="B61449" i="1"/>
  <c r="B61445" i="1"/>
  <c r="B61441" i="1"/>
  <c r="B61437" i="1"/>
  <c r="B61432" i="1"/>
  <c r="B61427" i="1"/>
  <c r="B61422" i="1"/>
  <c r="B61418" i="1"/>
  <c r="B61414" i="1"/>
  <c r="B61410" i="1"/>
  <c r="B61407" i="1"/>
  <c r="B61403" i="1"/>
  <c r="B61399" i="1"/>
  <c r="B61395" i="1"/>
  <c r="B61390" i="1"/>
  <c r="B61386" i="1"/>
  <c r="B61382" i="1"/>
  <c r="B61378" i="1"/>
  <c r="B61374" i="1"/>
  <c r="B61369" i="1"/>
  <c r="B61364" i="1"/>
  <c r="B61359" i="1"/>
  <c r="B61353" i="1"/>
  <c r="B61347" i="1"/>
  <c r="B61344" i="1"/>
  <c r="B61340" i="1"/>
  <c r="B61334" i="1"/>
  <c r="B61330" i="1"/>
  <c r="B61326" i="1"/>
  <c r="B61322" i="1"/>
  <c r="B61318" i="1"/>
  <c r="B61314" i="1"/>
  <c r="B61309" i="1"/>
  <c r="B61304" i="1"/>
  <c r="B61300" i="1"/>
  <c r="B61297" i="1"/>
  <c r="B61294" i="1"/>
  <c r="B61290" i="1"/>
  <c r="B61284" i="1"/>
  <c r="B61280" i="1"/>
  <c r="B61275" i="1"/>
  <c r="B61270" i="1"/>
  <c r="B61265" i="1"/>
  <c r="B61260" i="1"/>
  <c r="B61255" i="1"/>
  <c r="B61250" i="1"/>
  <c r="B61245" i="1"/>
  <c r="B61241" i="1"/>
  <c r="B61237" i="1"/>
  <c r="B61233" i="1"/>
  <c r="B61229" i="1"/>
  <c r="B61225" i="1"/>
  <c r="B61221" i="1"/>
  <c r="B61217" i="1"/>
  <c r="B61214" i="1"/>
  <c r="B61210" i="1"/>
  <c r="B61206" i="1"/>
  <c r="B61202" i="1"/>
  <c r="B61198" i="1"/>
  <c r="B61194" i="1"/>
  <c r="B61190" i="1"/>
  <c r="B61186" i="1"/>
  <c r="B61182" i="1"/>
  <c r="B61177" i="1"/>
  <c r="B61173" i="1"/>
  <c r="B61168" i="1"/>
  <c r="B61164" i="1"/>
  <c r="B61160" i="1"/>
  <c r="B61156" i="1"/>
  <c r="B61152" i="1"/>
  <c r="B61147" i="1"/>
  <c r="B61143" i="1"/>
  <c r="B61139" i="1"/>
  <c r="B61135" i="1"/>
  <c r="B61131" i="1"/>
  <c r="B61127" i="1"/>
  <c r="B61123" i="1"/>
  <c r="B61119" i="1"/>
  <c r="B61116" i="1"/>
  <c r="B61112" i="1"/>
  <c r="B61108" i="1"/>
  <c r="B61104" i="1"/>
  <c r="B61099" i="1"/>
  <c r="B61094" i="1"/>
  <c r="B61089" i="1"/>
  <c r="B61085" i="1"/>
  <c r="B61081" i="1"/>
  <c r="B61076" i="1"/>
  <c r="B61071" i="1"/>
  <c r="B61066" i="1"/>
  <c r="B61061" i="1"/>
  <c r="B61056" i="1"/>
  <c r="B61052" i="1"/>
  <c r="B61048" i="1"/>
  <c r="B61043" i="1"/>
  <c r="B61038" i="1"/>
  <c r="B61034" i="1"/>
  <c r="B61030" i="1"/>
  <c r="B61026" i="1"/>
  <c r="B61021" i="1"/>
  <c r="B61018" i="1"/>
  <c r="B61013" i="1"/>
  <c r="B61009" i="1"/>
  <c r="B61005" i="1"/>
  <c r="B61001" i="1"/>
  <c r="B60996" i="1"/>
  <c r="B60991" i="1"/>
  <c r="B60986" i="1"/>
  <c r="B60982" i="1"/>
  <c r="B60979" i="1"/>
  <c r="B60976" i="1"/>
  <c r="B60971" i="1"/>
  <c r="B60967" i="1"/>
  <c r="B60963" i="1"/>
  <c r="B60959" i="1"/>
  <c r="B60954" i="1"/>
  <c r="B60951" i="1"/>
  <c r="B60947" i="1"/>
  <c r="B60943" i="1"/>
  <c r="B60938" i="1"/>
  <c r="B60933" i="1"/>
  <c r="B60928" i="1"/>
  <c r="B60923" i="1"/>
  <c r="B60919" i="1"/>
  <c r="B60915" i="1"/>
  <c r="B60910" i="1"/>
  <c r="B60905" i="1"/>
  <c r="B60900" i="1"/>
  <c r="B60895" i="1"/>
  <c r="B60890" i="1"/>
  <c r="B60885" i="1"/>
  <c r="B60880" i="1"/>
  <c r="B60875" i="1"/>
  <c r="B60870" i="1"/>
  <c r="B60866" i="1"/>
  <c r="B60862" i="1"/>
  <c r="B60858" i="1"/>
  <c r="B60854" i="1"/>
  <c r="B60849" i="1"/>
  <c r="B60844" i="1"/>
  <c r="B60839" i="1"/>
  <c r="B60834" i="1"/>
  <c r="B60829" i="1"/>
  <c r="B60824" i="1"/>
  <c r="B60819" i="1"/>
  <c r="B60814" i="1"/>
  <c r="B60809" i="1"/>
  <c r="B60804" i="1"/>
  <c r="B60800" i="1"/>
  <c r="B60796" i="1"/>
  <c r="B60792" i="1"/>
  <c r="B60788" i="1"/>
  <c r="B60783" i="1"/>
  <c r="B60778" i="1"/>
  <c r="B60774" i="1"/>
  <c r="B60770" i="1"/>
  <c r="B60766" i="1"/>
  <c r="B60762" i="1"/>
  <c r="B60758" i="1"/>
  <c r="B60754" i="1"/>
  <c r="B60751" i="1"/>
  <c r="B60748" i="1"/>
  <c r="B60745" i="1"/>
  <c r="B60741" i="1"/>
  <c r="B60736" i="1"/>
  <c r="B60732" i="1"/>
  <c r="B60727" i="1"/>
  <c r="B60722" i="1"/>
  <c r="B60717" i="1"/>
  <c r="B60713" i="1"/>
  <c r="B60709" i="1"/>
  <c r="B60705" i="1"/>
  <c r="B60701" i="1"/>
  <c r="B60697" i="1"/>
  <c r="B60693" i="1"/>
  <c r="B60689" i="1"/>
  <c r="B60685" i="1"/>
  <c r="B60681" i="1"/>
  <c r="B60676" i="1"/>
  <c r="B60672" i="1"/>
  <c r="B60668" i="1"/>
  <c r="B60664" i="1"/>
  <c r="B60660" i="1"/>
  <c r="B60655" i="1"/>
  <c r="B60650" i="1"/>
  <c r="B60645" i="1"/>
  <c r="B60641" i="1"/>
  <c r="B60637" i="1"/>
  <c r="B60633" i="1"/>
  <c r="B60628" i="1"/>
  <c r="B60625" i="1"/>
  <c r="B60621" i="1"/>
  <c r="B60617" i="1"/>
  <c r="B60612" i="1"/>
  <c r="B60607" i="1"/>
  <c r="B60602" i="1"/>
  <c r="B60598" i="1"/>
  <c r="B60593" i="1"/>
  <c r="B60587" i="1"/>
  <c r="B60583" i="1"/>
  <c r="B60579" i="1"/>
  <c r="B60575" i="1"/>
  <c r="B60571" i="1"/>
  <c r="B60566" i="1"/>
  <c r="B60562" i="1"/>
  <c r="B60558" i="1"/>
  <c r="B60554" i="1"/>
  <c r="B60550" i="1"/>
  <c r="B60545" i="1"/>
  <c r="B60539" i="1"/>
  <c r="B60534" i="1"/>
  <c r="B60529" i="1"/>
  <c r="B60524" i="1"/>
  <c r="B60519" i="1"/>
  <c r="B60514" i="1"/>
  <c r="B60509" i="1"/>
  <c r="B60504" i="1"/>
  <c r="B60499" i="1"/>
  <c r="B60494" i="1"/>
  <c r="B60489" i="1"/>
  <c r="B60485" i="1"/>
  <c r="B60480" i="1"/>
  <c r="B60475" i="1"/>
  <c r="B60470" i="1"/>
  <c r="B60466" i="1"/>
  <c r="B60460" i="1"/>
  <c r="B60456" i="1"/>
  <c r="B60452" i="1"/>
  <c r="B60448" i="1"/>
  <c r="B60444" i="1"/>
  <c r="B60439" i="1"/>
  <c r="B60433" i="1"/>
  <c r="B60429" i="1"/>
  <c r="B60425" i="1"/>
  <c r="B60421" i="1"/>
  <c r="B60417" i="1"/>
  <c r="B60413" i="1"/>
  <c r="B60408" i="1"/>
  <c r="B60402" i="1"/>
  <c r="B60397" i="1"/>
  <c r="B60393" i="1"/>
  <c r="B60389" i="1"/>
  <c r="B60386" i="1"/>
  <c r="B60383" i="1"/>
  <c r="B60380" i="1"/>
  <c r="B60376" i="1"/>
  <c r="B60371" i="1"/>
  <c r="B60367" i="1"/>
  <c r="B60363" i="1"/>
  <c r="B60359" i="1"/>
  <c r="B60354" i="1"/>
  <c r="B60349" i="1"/>
  <c r="B60344" i="1"/>
  <c r="B60339" i="1"/>
  <c r="B60334" i="1"/>
  <c r="B60329" i="1"/>
  <c r="B60324" i="1"/>
  <c r="B60319" i="1"/>
  <c r="B60313" i="1"/>
  <c r="B60310" i="1"/>
  <c r="B60306" i="1"/>
  <c r="B60302" i="1"/>
  <c r="B60298" i="1"/>
  <c r="B60294" i="1"/>
  <c r="B60289" i="1"/>
  <c r="B60284" i="1"/>
  <c r="B60280" i="1"/>
  <c r="B60275" i="1"/>
  <c r="B60269" i="1"/>
  <c r="B60263" i="1"/>
  <c r="B60259" i="1"/>
  <c r="B60255" i="1"/>
  <c r="B60250" i="1"/>
  <c r="B60245" i="1"/>
  <c r="B60240" i="1"/>
  <c r="B60235" i="1"/>
  <c r="B60230" i="1"/>
  <c r="B60224" i="1"/>
  <c r="B60220" i="1"/>
  <c r="B60216" i="1"/>
  <c r="B60212" i="1"/>
  <c r="B60208" i="1"/>
  <c r="B60204" i="1"/>
  <c r="B60200" i="1"/>
  <c r="B60195" i="1"/>
  <c r="B60190" i="1"/>
  <c r="B60186" i="1"/>
  <c r="B60182" i="1"/>
  <c r="B60177" i="1"/>
  <c r="B60172" i="1"/>
  <c r="B60167" i="1"/>
  <c r="B60164" i="1"/>
  <c r="B60159" i="1"/>
  <c r="B60154" i="1"/>
  <c r="B60149" i="1"/>
  <c r="B60144" i="1"/>
  <c r="B60140" i="1"/>
  <c r="B60135" i="1"/>
  <c r="B60130" i="1"/>
  <c r="B60125" i="1"/>
  <c r="B60121" i="1"/>
  <c r="B60117" i="1"/>
  <c r="B60113" i="1"/>
  <c r="B60108" i="1"/>
  <c r="B60103" i="1"/>
  <c r="B60099" i="1"/>
  <c r="B60094" i="1"/>
  <c r="B60090" i="1"/>
  <c r="B60086" i="1"/>
  <c r="B60081" i="1"/>
  <c r="B60077" i="1"/>
  <c r="B60072" i="1"/>
  <c r="B60069" i="1"/>
  <c r="B60065" i="1"/>
  <c r="B60061" i="1"/>
  <c r="B60057" i="1"/>
  <c r="B60052" i="1"/>
  <c r="B60049" i="1"/>
  <c r="B60043" i="1"/>
  <c r="B60037" i="1"/>
  <c r="B60033" i="1"/>
  <c r="B60029" i="1"/>
  <c r="B60024" i="1"/>
  <c r="B60019" i="1"/>
  <c r="B60016" i="1"/>
  <c r="B60013" i="1"/>
  <c r="B60003" i="1"/>
  <c r="B59998" i="1"/>
  <c r="B59993" i="1"/>
  <c r="B59988" i="1"/>
  <c r="B59978" i="1"/>
  <c r="B59972" i="1"/>
  <c r="B59967" i="1"/>
  <c r="B59963" i="1"/>
  <c r="B59959" i="1"/>
  <c r="B59954" i="1"/>
  <c r="B59949" i="1"/>
  <c r="B59944" i="1"/>
  <c r="B59939" i="1"/>
  <c r="B59935" i="1"/>
  <c r="B59931" i="1"/>
  <c r="B59927" i="1"/>
  <c r="B59922" i="1"/>
  <c r="B59918" i="1"/>
  <c r="B59914" i="1"/>
  <c r="B59910" i="1"/>
  <c r="B59906" i="1"/>
  <c r="B59902" i="1"/>
  <c r="B59898" i="1"/>
  <c r="B59893" i="1"/>
  <c r="B59889" i="1"/>
  <c r="B59884" i="1"/>
  <c r="B59879" i="1"/>
  <c r="B59875" i="1"/>
  <c r="B59870" i="1"/>
  <c r="B59866" i="1"/>
  <c r="B59861" i="1"/>
  <c r="B59857" i="1"/>
  <c r="B59853" i="1"/>
  <c r="B59849" i="1"/>
  <c r="B59844" i="1"/>
  <c r="B59839" i="1"/>
  <c r="B59835" i="1"/>
  <c r="B59830" i="1"/>
  <c r="B59826" i="1"/>
  <c r="B59822" i="1"/>
  <c r="B59819" i="1"/>
  <c r="B59816" i="1"/>
  <c r="B59812" i="1"/>
  <c r="B59808" i="1"/>
  <c r="B59804" i="1"/>
  <c r="B59800" i="1"/>
  <c r="B59796" i="1"/>
  <c r="B59792" i="1"/>
  <c r="B59788" i="1"/>
  <c r="B59780" i="1"/>
  <c r="B59777" i="1"/>
  <c r="B59773" i="1"/>
  <c r="B59769" i="1"/>
  <c r="B59765" i="1"/>
  <c r="B59761" i="1"/>
  <c r="B59757" i="1"/>
  <c r="B59753" i="1"/>
  <c r="B59748" i="1"/>
  <c r="B59743" i="1"/>
  <c r="B59738" i="1"/>
  <c r="B59734" i="1"/>
  <c r="B59730" i="1"/>
  <c r="B59725" i="1"/>
  <c r="B59721" i="1"/>
  <c r="B59717" i="1"/>
  <c r="B59713" i="1"/>
  <c r="B59708" i="1"/>
  <c r="B59699" i="1"/>
  <c r="B59696" i="1"/>
  <c r="B59692" i="1"/>
  <c r="B59688" i="1"/>
  <c r="B59684" i="1"/>
  <c r="B59680" i="1"/>
  <c r="B59676" i="1"/>
  <c r="B59672" i="1"/>
  <c r="B59668" i="1"/>
  <c r="B59664" i="1"/>
  <c r="B59659" i="1"/>
  <c r="B59655" i="1"/>
  <c r="B59650" i="1"/>
  <c r="B59646" i="1"/>
  <c r="B59642" i="1"/>
  <c r="B59638" i="1"/>
  <c r="B59634" i="1"/>
  <c r="B59630" i="1"/>
  <c r="B59626" i="1"/>
  <c r="B59621" i="1"/>
  <c r="B59616" i="1"/>
  <c r="B59611" i="1"/>
  <c r="B59607" i="1"/>
  <c r="B59603" i="1"/>
  <c r="B59598" i="1"/>
  <c r="B59593" i="1"/>
  <c r="B59589" i="1"/>
  <c r="B59584" i="1"/>
  <c r="B59579" i="1"/>
  <c r="B59574" i="1"/>
  <c r="B59570" i="1"/>
  <c r="B59566" i="1"/>
  <c r="B59563" i="1"/>
  <c r="B59559" i="1"/>
  <c r="B59554" i="1"/>
  <c r="B59550" i="1"/>
  <c r="B59547" i="1"/>
  <c r="B59543" i="1"/>
  <c r="B59539" i="1"/>
  <c r="B59535" i="1"/>
  <c r="B59530" i="1"/>
  <c r="B59526" i="1"/>
  <c r="B59521" i="1"/>
  <c r="B59517" i="1"/>
  <c r="B59513" i="1"/>
  <c r="B59509" i="1"/>
  <c r="B59505" i="1"/>
  <c r="B59501" i="1"/>
  <c r="B59497" i="1"/>
  <c r="B59493" i="1"/>
  <c r="B59489" i="1"/>
  <c r="B59485" i="1"/>
  <c r="B59481" i="1"/>
  <c r="B59476" i="1"/>
  <c r="B59472" i="1"/>
  <c r="B59468" i="1"/>
  <c r="B59464" i="1"/>
  <c r="B59460" i="1"/>
  <c r="B59456" i="1"/>
  <c r="B59451" i="1"/>
  <c r="B59447" i="1"/>
  <c r="B59442" i="1"/>
  <c r="B59437" i="1"/>
  <c r="B59432" i="1"/>
  <c r="B59428" i="1"/>
  <c r="B59424" i="1"/>
  <c r="B59420" i="1"/>
  <c r="B59416" i="1"/>
  <c r="B59411" i="1"/>
  <c r="B59406" i="1"/>
  <c r="B59402" i="1"/>
  <c r="B59399" i="1"/>
  <c r="B59395" i="1"/>
  <c r="B59392" i="1"/>
  <c r="B59388" i="1"/>
  <c r="B59385" i="1"/>
  <c r="B59381" i="1"/>
  <c r="B59376" i="1"/>
  <c r="B59372" i="1"/>
  <c r="B59369" i="1"/>
  <c r="B59365" i="1"/>
  <c r="B59361" i="1"/>
  <c r="B59357" i="1"/>
  <c r="B59353" i="1"/>
  <c r="B59349" i="1"/>
  <c r="B59346" i="1"/>
  <c r="B59343" i="1"/>
  <c r="B59340" i="1"/>
  <c r="B59337" i="1"/>
  <c r="B59333" i="1"/>
  <c r="B59328" i="1"/>
  <c r="B59323" i="1"/>
  <c r="B59318" i="1"/>
  <c r="B59315" i="1"/>
  <c r="B59311" i="1"/>
  <c r="B59307" i="1"/>
  <c r="B59302" i="1"/>
  <c r="B59299" i="1"/>
  <c r="B59296" i="1"/>
  <c r="B59292" i="1"/>
  <c r="B59287" i="1"/>
  <c r="B59283" i="1"/>
  <c r="B59280" i="1"/>
  <c r="B59277" i="1"/>
  <c r="B59274" i="1"/>
  <c r="B59270" i="1"/>
  <c r="B59266" i="1"/>
  <c r="B59261" i="1"/>
  <c r="B59256" i="1"/>
  <c r="B59251" i="1"/>
  <c r="B59247" i="1"/>
  <c r="B59242" i="1"/>
  <c r="B59238" i="1"/>
  <c r="B59233" i="1"/>
  <c r="B59228" i="1"/>
  <c r="B59223" i="1"/>
  <c r="B59219" i="1"/>
  <c r="B59214" i="1"/>
  <c r="B59209" i="1"/>
  <c r="B59204" i="1"/>
  <c r="B59199" i="1"/>
  <c r="B59194" i="1"/>
  <c r="B59190" i="1"/>
  <c r="B59186" i="1"/>
  <c r="B59180" i="1"/>
  <c r="B59175" i="1"/>
  <c r="B59172" i="1"/>
  <c r="B59168" i="1"/>
  <c r="B59164" i="1"/>
  <c r="B59160" i="1"/>
  <c r="B59154" i="1"/>
  <c r="B59148" i="1"/>
  <c r="B59144" i="1"/>
  <c r="B59140" i="1"/>
  <c r="B59135" i="1"/>
  <c r="B59130" i="1"/>
  <c r="B59124" i="1"/>
  <c r="B59118" i="1"/>
  <c r="B59115" i="1"/>
  <c r="B59110" i="1"/>
  <c r="B59106" i="1"/>
  <c r="B59102" i="1"/>
  <c r="B59098" i="1"/>
  <c r="B59095" i="1"/>
  <c r="B59091" i="1"/>
  <c r="B59087" i="1"/>
  <c r="B59083" i="1"/>
  <c r="B59078" i="1"/>
  <c r="B59073" i="1"/>
  <c r="B59068" i="1"/>
  <c r="B59064" i="1"/>
  <c r="B59060" i="1"/>
  <c r="B59056" i="1"/>
  <c r="B59051" i="1"/>
  <c r="B59046" i="1"/>
  <c r="B59041" i="1"/>
  <c r="B59036" i="1"/>
  <c r="B59032" i="1"/>
  <c r="B59028" i="1"/>
  <c r="B59024" i="1"/>
  <c r="B59019" i="1"/>
  <c r="B59016" i="1"/>
  <c r="B59013" i="1"/>
  <c r="B59009" i="1"/>
  <c r="B59005" i="1"/>
  <c r="B59001" i="1"/>
  <c r="B58997" i="1"/>
  <c r="B58993" i="1"/>
  <c r="B58989" i="1"/>
  <c r="B58985" i="1"/>
  <c r="B58981" i="1"/>
  <c r="B58977" i="1"/>
  <c r="B58972" i="1"/>
  <c r="B58967" i="1"/>
  <c r="B58963" i="1"/>
  <c r="B58959" i="1"/>
  <c r="B58954" i="1"/>
  <c r="B58950" i="1"/>
  <c r="B58945" i="1"/>
  <c r="B58941" i="1"/>
  <c r="B58937" i="1"/>
  <c r="B58932" i="1"/>
  <c r="B58927" i="1"/>
  <c r="B58922" i="1"/>
  <c r="B58917" i="1"/>
  <c r="B58912" i="1"/>
  <c r="B58907" i="1"/>
  <c r="B58902" i="1"/>
  <c r="B58898" i="1"/>
  <c r="B58895" i="1"/>
  <c r="B58890" i="1"/>
  <c r="B58886" i="1"/>
  <c r="B58881" i="1"/>
  <c r="B58876" i="1"/>
  <c r="B58872" i="1"/>
  <c r="B58868" i="1"/>
  <c r="B58865" i="1"/>
  <c r="B58861" i="1"/>
  <c r="B58858" i="1"/>
  <c r="B58855" i="1"/>
  <c r="B58851" i="1"/>
  <c r="B58845" i="1"/>
  <c r="B58839" i="1"/>
  <c r="B58834" i="1"/>
  <c r="B58829" i="1"/>
  <c r="B58825" i="1"/>
  <c r="B58820" i="1"/>
  <c r="B58816" i="1"/>
  <c r="B58812" i="1"/>
  <c r="B58808" i="1"/>
  <c r="B58803" i="1"/>
  <c r="B58798" i="1"/>
  <c r="B58793" i="1"/>
  <c r="B58788" i="1"/>
  <c r="B58783" i="1"/>
  <c r="B58778" i="1"/>
  <c r="B58774" i="1"/>
  <c r="B58769" i="1"/>
  <c r="B58765" i="1"/>
  <c r="B58762" i="1"/>
  <c r="B58758" i="1"/>
  <c r="B58754" i="1"/>
  <c r="B58748" i="1"/>
  <c r="B58744" i="1"/>
  <c r="B58739" i="1"/>
  <c r="B58735" i="1"/>
  <c r="B58730" i="1"/>
  <c r="B58726" i="1"/>
  <c r="B58722" i="1"/>
  <c r="B58718" i="1"/>
  <c r="B58714" i="1"/>
  <c r="B58709" i="1"/>
  <c r="B58705" i="1"/>
  <c r="B58700" i="1"/>
  <c r="B58695" i="1"/>
  <c r="B58691" i="1"/>
  <c r="B58687" i="1"/>
  <c r="B58683" i="1"/>
  <c r="B58679" i="1"/>
  <c r="B58675" i="1"/>
  <c r="B58670" i="1"/>
  <c r="B58665" i="1"/>
  <c r="B58660" i="1"/>
  <c r="B58655" i="1"/>
  <c r="B58649" i="1"/>
  <c r="B58645" i="1"/>
  <c r="B58641" i="1"/>
  <c r="B58636" i="1"/>
  <c r="B58631" i="1"/>
  <c r="B58628" i="1"/>
  <c r="B58623" i="1"/>
  <c r="B58617" i="1"/>
  <c r="B58613" i="1"/>
  <c r="B58608" i="1"/>
  <c r="B58604" i="1"/>
  <c r="B58599" i="1"/>
  <c r="B58593" i="1"/>
  <c r="B58587" i="1"/>
  <c r="B58583" i="1"/>
  <c r="B58579" i="1"/>
  <c r="B58574" i="1"/>
  <c r="B58569" i="1"/>
  <c r="B58564" i="1"/>
  <c r="B58560" i="1"/>
  <c r="B58555" i="1"/>
  <c r="B58551" i="1"/>
  <c r="B58547" i="1"/>
  <c r="B58543" i="1"/>
  <c r="B58539" i="1"/>
  <c r="B58534" i="1"/>
  <c r="B58529" i="1"/>
  <c r="B58524" i="1"/>
  <c r="B58520" i="1"/>
  <c r="B58516" i="1"/>
  <c r="B58512" i="1"/>
  <c r="B58509" i="1"/>
  <c r="B58505" i="1"/>
  <c r="B58500" i="1"/>
  <c r="B58495" i="1"/>
  <c r="B58491" i="1"/>
  <c r="B58487" i="1"/>
  <c r="B58482" i="1"/>
  <c r="B58477" i="1"/>
  <c r="B58473" i="1"/>
  <c r="B58469" i="1"/>
  <c r="B58465" i="1"/>
  <c r="B58461" i="1"/>
  <c r="B58455" i="1"/>
  <c r="B58449" i="1"/>
  <c r="B58445" i="1"/>
  <c r="B58441" i="1"/>
  <c r="B58435" i="1"/>
  <c r="B58431" i="1"/>
  <c r="B58426" i="1"/>
  <c r="B58422" i="1"/>
  <c r="B58418" i="1"/>
  <c r="B58414" i="1"/>
  <c r="B58410" i="1"/>
  <c r="B58406" i="1"/>
  <c r="B58402" i="1"/>
  <c r="B58399" i="1"/>
  <c r="B58395" i="1"/>
  <c r="B58391" i="1"/>
  <c r="B58386" i="1"/>
  <c r="B58382" i="1"/>
  <c r="B58378" i="1"/>
  <c r="B58374" i="1"/>
  <c r="B58370" i="1"/>
  <c r="B58365" i="1"/>
  <c r="B58361" i="1"/>
  <c r="B58356" i="1"/>
  <c r="B58353" i="1"/>
  <c r="B58349" i="1"/>
  <c r="B58345" i="1"/>
  <c r="B58341" i="1"/>
  <c r="B58337" i="1"/>
  <c r="B58333" i="1"/>
  <c r="B58329" i="1"/>
  <c r="B58323" i="1"/>
  <c r="B58319" i="1"/>
  <c r="B58315" i="1"/>
  <c r="B58310" i="1"/>
  <c r="B58304" i="1"/>
  <c r="B58300" i="1"/>
  <c r="B58296" i="1"/>
  <c r="B58292" i="1"/>
  <c r="B58288" i="1"/>
  <c r="B58284" i="1"/>
  <c r="B58281" i="1"/>
  <c r="B58278" i="1"/>
  <c r="B58274" i="1"/>
  <c r="B58269" i="1"/>
  <c r="B58264" i="1"/>
  <c r="B58260" i="1"/>
  <c r="B58256" i="1"/>
  <c r="B58253" i="1"/>
  <c r="B58249" i="1"/>
  <c r="B58245" i="1"/>
  <c r="B58242" i="1"/>
  <c r="B58238" i="1"/>
  <c r="B58233" i="1"/>
  <c r="B58228" i="1"/>
  <c r="B58224" i="1"/>
  <c r="B58220" i="1"/>
  <c r="B58216" i="1"/>
  <c r="B58212" i="1"/>
  <c r="B58208" i="1"/>
  <c r="B58205" i="1"/>
  <c r="B58197" i="1"/>
  <c r="B58189" i="1"/>
  <c r="B58181" i="1"/>
  <c r="B58173" i="1"/>
  <c r="B58165" i="1"/>
  <c r="B58161" i="1"/>
  <c r="B58157" i="1"/>
  <c r="B58153" i="1"/>
  <c r="B58150" i="1"/>
  <c r="B58147" i="1"/>
  <c r="B58143" i="1"/>
  <c r="B58139" i="1"/>
  <c r="B58135" i="1"/>
  <c r="B58131" i="1"/>
  <c r="B58127" i="1"/>
  <c r="B58123" i="1"/>
  <c r="B58119" i="1"/>
  <c r="B58115" i="1"/>
  <c r="B58110" i="1"/>
  <c r="B58105" i="1"/>
  <c r="B58100" i="1"/>
  <c r="B58095" i="1"/>
  <c r="B58089" i="1"/>
  <c r="B58085" i="1"/>
  <c r="B58080" i="1"/>
  <c r="B58075" i="1"/>
  <c r="B58071" i="1"/>
  <c r="B58066" i="1"/>
  <c r="B58061" i="1"/>
  <c r="B58056" i="1"/>
  <c r="B58051" i="1"/>
  <c r="B58046" i="1"/>
  <c r="B58041" i="1"/>
  <c r="B58036" i="1"/>
  <c r="B58031" i="1"/>
  <c r="B58026" i="1"/>
  <c r="B58021" i="1"/>
  <c r="B58018" i="1"/>
  <c r="B58014" i="1"/>
  <c r="B58010" i="1"/>
  <c r="B58007" i="1"/>
  <c r="B58003" i="1"/>
  <c r="B57998" i="1"/>
  <c r="B57994" i="1"/>
  <c r="B57990" i="1"/>
  <c r="B57987" i="1"/>
  <c r="B57983" i="1"/>
  <c r="B57979" i="1"/>
  <c r="B57975" i="1"/>
  <c r="B57971" i="1"/>
  <c r="B57966" i="1"/>
  <c r="B57961" i="1"/>
  <c r="B57956" i="1"/>
  <c r="B57951" i="1"/>
  <c r="B57947" i="1"/>
  <c r="B57943" i="1"/>
  <c r="B57939" i="1"/>
  <c r="B57935" i="1"/>
  <c r="B57930" i="1"/>
  <c r="B57926" i="1"/>
  <c r="B57922" i="1"/>
  <c r="B57917" i="1"/>
  <c r="B57912" i="1"/>
  <c r="B57907" i="1"/>
  <c r="B57904" i="1"/>
  <c r="B57900" i="1"/>
  <c r="B57897" i="1"/>
  <c r="B57893" i="1"/>
  <c r="B57889" i="1"/>
  <c r="B57884" i="1"/>
  <c r="B57879" i="1"/>
  <c r="B57873" i="1"/>
  <c r="B57868" i="1"/>
  <c r="B57862" i="1"/>
  <c r="B57857" i="1"/>
  <c r="B57853" i="1"/>
  <c r="B57848" i="1"/>
  <c r="B57844" i="1"/>
  <c r="B57840" i="1"/>
  <c r="B57836" i="1"/>
  <c r="B57832" i="1"/>
  <c r="B57828" i="1"/>
  <c r="B57824" i="1"/>
  <c r="B57821" i="1"/>
  <c r="B57817" i="1"/>
  <c r="B57813" i="1"/>
  <c r="B57809" i="1"/>
  <c r="B57804" i="1"/>
  <c r="B57799" i="1"/>
  <c r="B57794" i="1"/>
  <c r="B57790" i="1"/>
  <c r="B57785" i="1"/>
  <c r="B57780" i="1"/>
  <c r="B57776" i="1"/>
  <c r="B57771" i="1"/>
  <c r="B57767" i="1"/>
  <c r="B57763" i="1"/>
  <c r="B57758" i="1"/>
  <c r="B57754" i="1"/>
  <c r="B57749" i="1"/>
  <c r="B57745" i="1"/>
  <c r="B57741" i="1"/>
  <c r="B57737" i="1"/>
  <c r="B57733" i="1"/>
  <c r="B57729" i="1"/>
  <c r="B57724" i="1"/>
  <c r="B57719" i="1"/>
  <c r="B57713" i="1"/>
  <c r="B57708" i="1"/>
  <c r="B57704" i="1"/>
  <c r="B57701" i="1"/>
  <c r="B57696" i="1"/>
  <c r="B57691" i="1"/>
  <c r="B57686" i="1"/>
  <c r="B57682" i="1"/>
  <c r="B57678" i="1"/>
  <c r="B57673" i="1"/>
  <c r="B57668" i="1"/>
  <c r="B57664" i="1"/>
  <c r="B57659" i="1"/>
  <c r="B57654" i="1"/>
  <c r="B57649" i="1"/>
  <c r="B57645" i="1"/>
  <c r="B57641" i="1"/>
  <c r="B57638" i="1"/>
  <c r="B57634" i="1"/>
  <c r="B57630" i="1"/>
  <c r="B57626" i="1"/>
  <c r="B57622" i="1"/>
  <c r="B57617" i="1"/>
  <c r="B57612" i="1"/>
  <c r="B57607" i="1"/>
  <c r="B57602" i="1"/>
  <c r="B57598" i="1"/>
  <c r="B57594" i="1"/>
  <c r="B57590" i="1"/>
  <c r="B57585" i="1"/>
  <c r="B57581" i="1"/>
  <c r="B57577" i="1"/>
  <c r="B57572" i="1"/>
  <c r="B57568" i="1"/>
  <c r="B57563" i="1"/>
  <c r="B57559" i="1"/>
  <c r="B57555" i="1"/>
  <c r="B57551" i="1"/>
  <c r="B57547" i="1"/>
  <c r="B57542" i="1"/>
  <c r="B57537" i="1"/>
  <c r="B57533" i="1"/>
  <c r="B57529" i="1"/>
  <c r="B57525" i="1"/>
  <c r="B57520" i="1"/>
  <c r="B57516" i="1"/>
  <c r="B57511" i="1"/>
  <c r="B57507" i="1"/>
  <c r="B57503" i="1"/>
  <c r="B57499" i="1"/>
  <c r="B57495" i="1"/>
  <c r="B57492" i="1"/>
  <c r="B57489" i="1"/>
  <c r="B57485" i="1"/>
  <c r="B57481" i="1"/>
  <c r="B57477" i="1"/>
  <c r="B57473" i="1"/>
  <c r="B57468" i="1"/>
  <c r="B57463" i="1"/>
  <c r="B57459" i="1"/>
  <c r="B57455" i="1"/>
  <c r="B57451" i="1"/>
  <c r="B57448" i="1"/>
  <c r="B57444" i="1"/>
  <c r="B57440" i="1"/>
  <c r="B57436" i="1"/>
  <c r="B57431" i="1"/>
  <c r="B57427" i="1"/>
  <c r="B57422" i="1"/>
  <c r="B57418" i="1"/>
  <c r="B57413" i="1"/>
  <c r="B57409" i="1"/>
  <c r="B57405" i="1"/>
  <c r="B57401" i="1"/>
  <c r="B57396" i="1"/>
  <c r="B57392" i="1"/>
  <c r="B57389" i="1"/>
  <c r="B57385" i="1"/>
  <c r="B57381" i="1"/>
  <c r="B57376" i="1"/>
  <c r="B57371" i="1"/>
  <c r="B57366" i="1"/>
  <c r="B57361" i="1"/>
  <c r="B57358" i="1"/>
  <c r="B57354" i="1"/>
  <c r="B57349" i="1"/>
  <c r="B57344" i="1"/>
  <c r="B57340" i="1"/>
  <c r="B57335" i="1"/>
  <c r="B57331" i="1"/>
  <c r="B57327" i="1"/>
  <c r="B57322" i="1"/>
  <c r="B57317" i="1"/>
  <c r="B57313" i="1"/>
  <c r="B57309" i="1"/>
  <c r="B57304" i="1"/>
  <c r="B57301" i="1"/>
  <c r="B57297" i="1"/>
  <c r="B57293" i="1"/>
  <c r="B57289" i="1"/>
  <c r="B57285" i="1"/>
  <c r="B57281" i="1"/>
  <c r="B57277" i="1"/>
  <c r="B57273" i="1"/>
  <c r="B57269" i="1"/>
  <c r="B57265" i="1"/>
  <c r="B57261" i="1"/>
  <c r="B57257" i="1"/>
  <c r="B57252" i="1"/>
  <c r="B57247" i="1"/>
  <c r="B57242" i="1"/>
  <c r="B57236" i="1"/>
  <c r="B57230" i="1"/>
  <c r="B57225" i="1"/>
  <c r="B57220" i="1"/>
  <c r="B57217" i="1"/>
  <c r="B57213" i="1"/>
  <c r="B57209" i="1"/>
  <c r="B57205" i="1"/>
  <c r="B57200" i="1"/>
  <c r="B57196" i="1"/>
  <c r="B57191" i="1"/>
  <c r="B57186" i="1"/>
  <c r="B57181" i="1"/>
  <c r="B57177" i="1"/>
  <c r="B57172" i="1"/>
  <c r="B57167" i="1"/>
  <c r="B57164" i="1"/>
  <c r="B57160" i="1"/>
  <c r="B57157" i="1"/>
  <c r="B57153" i="1"/>
  <c r="B57149" i="1"/>
  <c r="B57144" i="1"/>
  <c r="B57141" i="1"/>
  <c r="B57136" i="1"/>
  <c r="B57133" i="1"/>
  <c r="B57129" i="1"/>
  <c r="B57125" i="1"/>
  <c r="B57121" i="1"/>
  <c r="B57117" i="1"/>
  <c r="B57113" i="1"/>
  <c r="B57109" i="1"/>
  <c r="B57106" i="1"/>
  <c r="B57103" i="1"/>
  <c r="B57100" i="1"/>
  <c r="B57096" i="1"/>
  <c r="B57092" i="1"/>
  <c r="B57088" i="1"/>
  <c r="B57084" i="1"/>
  <c r="B57079" i="1"/>
  <c r="B57074" i="1"/>
  <c r="B57071" i="1"/>
  <c r="B57067" i="1"/>
  <c r="B57062" i="1"/>
  <c r="B57057" i="1"/>
  <c r="B57054" i="1"/>
  <c r="B57050" i="1"/>
  <c r="B57045" i="1"/>
  <c r="B57040" i="1"/>
  <c r="B57036" i="1"/>
  <c r="B57030" i="1"/>
  <c r="B57025" i="1"/>
  <c r="B57020" i="1"/>
  <c r="B57015" i="1"/>
  <c r="B57010" i="1"/>
  <c r="B57007" i="1"/>
  <c r="B57003" i="1"/>
  <c r="B56999" i="1"/>
  <c r="B56995" i="1"/>
  <c r="B56991" i="1"/>
  <c r="B56986" i="1"/>
  <c r="B56982" i="1"/>
  <c r="B56978" i="1"/>
  <c r="B56974" i="1"/>
  <c r="B56970" i="1"/>
  <c r="B56966" i="1"/>
  <c r="B56962" i="1"/>
  <c r="B56958" i="1"/>
  <c r="B56954" i="1"/>
  <c r="B56950" i="1"/>
  <c r="B56946" i="1"/>
  <c r="B56942" i="1"/>
  <c r="B56938" i="1"/>
  <c r="B56934" i="1"/>
  <c r="B56930" i="1"/>
  <c r="B56926" i="1"/>
  <c r="B56922" i="1"/>
  <c r="B56918" i="1"/>
  <c r="B56914" i="1"/>
  <c r="B56910" i="1"/>
  <c r="B56906" i="1"/>
  <c r="B56902" i="1"/>
  <c r="B56898" i="1"/>
  <c r="B56894" i="1"/>
  <c r="B56890" i="1"/>
  <c r="B56886" i="1"/>
  <c r="B56882" i="1"/>
  <c r="B56877" i="1"/>
  <c r="B56872" i="1"/>
  <c r="B56868" i="1"/>
  <c r="B56864" i="1"/>
  <c r="B56858" i="1"/>
  <c r="B56853" i="1"/>
  <c r="B56849" i="1"/>
  <c r="B56843" i="1"/>
  <c r="B56837" i="1"/>
  <c r="B56833" i="1"/>
  <c r="B56828" i="1"/>
  <c r="B56823" i="1"/>
  <c r="B56818" i="1"/>
  <c r="B56813" i="1"/>
  <c r="B56810" i="1"/>
  <c r="B56806" i="1"/>
  <c r="B56802" i="1"/>
  <c r="B56798" i="1"/>
  <c r="B56792" i="1"/>
  <c r="B56786" i="1"/>
  <c r="B56780" i="1"/>
  <c r="B56776" i="1"/>
  <c r="B56772" i="1"/>
  <c r="B56767" i="1"/>
  <c r="B56762" i="1"/>
  <c r="B56758" i="1"/>
  <c r="B56754" i="1"/>
  <c r="B56749" i="1"/>
  <c r="B56743" i="1"/>
  <c r="B56739" i="1"/>
  <c r="B56735" i="1"/>
  <c r="B56731" i="1"/>
  <c r="B56727" i="1"/>
  <c r="B56723" i="1"/>
  <c r="B56718" i="1"/>
  <c r="B56713" i="1"/>
  <c r="B56709" i="1"/>
  <c r="B56704" i="1"/>
  <c r="B56700" i="1"/>
  <c r="B56696" i="1"/>
  <c r="B56692" i="1"/>
  <c r="B56688" i="1"/>
  <c r="B56684" i="1"/>
  <c r="B56680" i="1"/>
  <c r="B56676" i="1"/>
  <c r="B56672" i="1"/>
  <c r="B56668" i="1"/>
  <c r="B56664" i="1"/>
  <c r="B56660" i="1"/>
  <c r="B56656" i="1"/>
  <c r="B56652" i="1"/>
  <c r="B56648" i="1"/>
  <c r="B56644" i="1"/>
  <c r="B56639" i="1"/>
  <c r="B56632" i="1"/>
  <c r="B56629" i="1"/>
  <c r="B56626" i="1"/>
  <c r="B56621" i="1"/>
  <c r="B56617" i="1"/>
  <c r="B56613" i="1"/>
  <c r="B56609" i="1"/>
  <c r="B56605" i="1"/>
  <c r="B56601" i="1"/>
  <c r="B56594" i="1"/>
  <c r="B56587" i="1"/>
  <c r="B56583" i="1"/>
  <c r="B56579" i="1"/>
  <c r="B56575" i="1"/>
  <c r="B56571" i="1"/>
  <c r="B56567" i="1"/>
  <c r="B56563" i="1"/>
  <c r="B56559" i="1"/>
  <c r="B56555" i="1"/>
  <c r="B56550" i="1"/>
  <c r="B56541" i="1"/>
  <c r="B56537" i="1"/>
  <c r="B56533" i="1"/>
  <c r="B56529" i="1"/>
  <c r="B56525" i="1"/>
  <c r="B56521" i="1"/>
  <c r="B56517" i="1"/>
  <c r="B56513" i="1"/>
  <c r="B56509" i="1"/>
  <c r="B56505" i="1"/>
  <c r="B56501" i="1"/>
  <c r="B56496" i="1"/>
  <c r="B56491" i="1"/>
  <c r="B56487" i="1"/>
  <c r="B56482" i="1"/>
  <c r="B56477" i="1"/>
  <c r="B56472" i="1"/>
  <c r="B56467" i="1"/>
  <c r="B56464" i="1"/>
  <c r="B56461" i="1"/>
  <c r="B56457" i="1"/>
  <c r="B56451" i="1"/>
  <c r="B56447" i="1"/>
  <c r="B56443" i="1"/>
  <c r="B56439" i="1"/>
  <c r="B56435" i="1"/>
  <c r="B56431" i="1"/>
  <c r="B56427" i="1"/>
  <c r="B56422" i="1"/>
  <c r="B56417" i="1"/>
  <c r="B56412" i="1"/>
  <c r="B56410" i="1"/>
  <c r="B56407" i="1"/>
  <c r="B56402" i="1"/>
  <c r="B56397" i="1"/>
  <c r="B56388" i="1"/>
  <c r="B56384" i="1"/>
  <c r="B56380" i="1"/>
  <c r="B56376" i="1"/>
  <c r="B56372" i="1"/>
  <c r="B56368" i="1"/>
  <c r="B56364" i="1"/>
  <c r="B56359" i="1"/>
  <c r="B56355" i="1"/>
  <c r="B56350" i="1"/>
  <c r="B56347" i="1"/>
  <c r="B56344" i="1"/>
  <c r="B56340" i="1"/>
  <c r="B56335" i="1"/>
  <c r="B56331" i="1"/>
  <c r="B56327" i="1"/>
  <c r="B56322" i="1"/>
  <c r="B56317" i="1"/>
  <c r="B56312" i="1"/>
  <c r="B56307" i="1"/>
  <c r="B56302" i="1"/>
  <c r="B56297" i="1"/>
  <c r="B56294" i="1"/>
  <c r="B56289" i="1"/>
  <c r="B56285" i="1"/>
  <c r="B56282" i="1"/>
  <c r="B56278" i="1"/>
  <c r="B56273" i="1"/>
  <c r="B56269" i="1"/>
  <c r="B56266" i="1"/>
  <c r="B56261" i="1"/>
  <c r="B56256" i="1"/>
  <c r="B56251" i="1"/>
  <c r="B56247" i="1"/>
  <c r="B56242" i="1"/>
  <c r="B56239" i="1"/>
  <c r="B56235" i="1"/>
  <c r="B56232" i="1"/>
  <c r="B56228" i="1"/>
  <c r="B56224" i="1"/>
  <c r="B56219" i="1"/>
  <c r="B56216" i="1"/>
  <c r="B56212" i="1"/>
  <c r="B56209" i="1"/>
  <c r="B56205" i="1"/>
  <c r="B56201" i="1"/>
  <c r="B56197" i="1"/>
  <c r="B56192" i="1"/>
  <c r="B56187" i="1"/>
  <c r="B56183" i="1"/>
  <c r="B56179" i="1"/>
  <c r="B56175" i="1"/>
  <c r="B56170" i="1"/>
  <c r="B56167" i="1"/>
  <c r="B56163" i="1"/>
  <c r="B56159" i="1"/>
  <c r="B56155" i="1"/>
  <c r="B56151" i="1"/>
  <c r="B56147" i="1"/>
  <c r="B56143" i="1"/>
  <c r="B56138" i="1"/>
  <c r="B56133" i="1"/>
  <c r="B56129" i="1"/>
  <c r="B56125" i="1"/>
  <c r="B56121" i="1"/>
  <c r="B56117" i="1"/>
  <c r="B56112" i="1"/>
  <c r="B56108" i="1"/>
  <c r="B56104" i="1"/>
  <c r="B56099" i="1"/>
  <c r="B56094" i="1"/>
  <c r="B56089" i="1"/>
  <c r="B56084" i="1"/>
  <c r="B56080" i="1"/>
  <c r="B56076" i="1"/>
  <c r="B56072" i="1"/>
  <c r="B56067" i="1"/>
  <c r="B56062" i="1"/>
  <c r="B56057" i="1"/>
  <c r="B56052" i="1"/>
  <c r="B56049" i="1"/>
  <c r="B56044" i="1"/>
  <c r="B56039" i="1"/>
  <c r="B56033" i="1"/>
  <c r="B56027" i="1"/>
  <c r="B56021" i="1"/>
  <c r="B56015" i="1"/>
  <c r="B56011" i="1"/>
  <c r="B56007" i="1"/>
  <c r="B56003" i="1"/>
  <c r="B55996" i="1"/>
  <c r="B55992" i="1"/>
  <c r="B55988" i="1"/>
  <c r="B55984" i="1"/>
  <c r="B55979" i="1"/>
  <c r="B55974" i="1"/>
  <c r="B55969" i="1"/>
  <c r="B55965" i="1"/>
  <c r="B55960" i="1"/>
  <c r="B55956" i="1"/>
  <c r="B55952" i="1"/>
  <c r="B55948" i="1"/>
  <c r="B55944" i="1"/>
  <c r="B55939" i="1"/>
  <c r="B55935" i="1"/>
  <c r="B55931" i="1"/>
  <c r="B55928" i="1"/>
  <c r="B55924" i="1"/>
  <c r="B55920" i="1"/>
  <c r="B55916" i="1"/>
  <c r="B55911" i="1"/>
  <c r="B55906" i="1"/>
  <c r="B55902" i="1"/>
  <c r="B55898" i="1"/>
  <c r="B55894" i="1"/>
  <c r="B55889" i="1"/>
  <c r="B55884" i="1"/>
  <c r="B55879" i="1"/>
  <c r="B55876" i="1"/>
  <c r="B55873" i="1"/>
  <c r="B55870" i="1"/>
  <c r="B55865" i="1"/>
  <c r="B55861" i="1"/>
  <c r="B55856" i="1"/>
  <c r="B55851" i="1"/>
  <c r="B55846" i="1"/>
  <c r="B55842" i="1"/>
  <c r="B55838" i="1"/>
  <c r="B55834" i="1"/>
  <c r="B55830" i="1"/>
  <c r="B55826" i="1"/>
  <c r="B55822" i="1"/>
  <c r="B55818" i="1"/>
  <c r="B55814" i="1"/>
  <c r="B55810" i="1"/>
  <c r="B55805" i="1"/>
  <c r="B55800" i="1"/>
  <c r="B55797" i="1"/>
  <c r="B55793" i="1"/>
  <c r="B55788" i="1"/>
  <c r="B55784" i="1"/>
  <c r="B55780" i="1"/>
  <c r="B55775" i="1"/>
  <c r="B55770" i="1"/>
  <c r="B55765" i="1"/>
  <c r="B55761" i="1"/>
  <c r="B55756" i="1"/>
  <c r="B55751" i="1"/>
  <c r="B55746" i="1"/>
  <c r="B55741" i="1"/>
  <c r="B55737" i="1"/>
  <c r="B55734" i="1"/>
  <c r="B55730" i="1"/>
  <c r="B55726" i="1"/>
  <c r="B55722" i="1"/>
  <c r="B55718" i="1"/>
  <c r="B55713" i="1"/>
  <c r="B55708" i="1"/>
  <c r="B55704" i="1"/>
  <c r="B55700" i="1"/>
  <c r="B55695" i="1"/>
  <c r="B55690" i="1"/>
  <c r="B55685" i="1"/>
  <c r="B55680" i="1"/>
  <c r="B55675" i="1"/>
  <c r="B55670" i="1"/>
  <c r="B55665" i="1"/>
  <c r="B55661" i="1"/>
  <c r="B55658" i="1"/>
  <c r="B55654" i="1"/>
  <c r="B55650" i="1"/>
  <c r="B55646" i="1"/>
  <c r="B55642" i="1"/>
  <c r="B55637" i="1"/>
  <c r="B55632" i="1"/>
  <c r="B55628" i="1"/>
  <c r="B55625" i="1"/>
  <c r="B55621" i="1"/>
  <c r="B55616" i="1"/>
  <c r="B55611" i="1"/>
  <c r="B55606" i="1"/>
  <c r="B55602" i="1"/>
  <c r="B55598" i="1"/>
  <c r="B55594" i="1"/>
  <c r="B55589" i="1"/>
  <c r="B55584" i="1"/>
  <c r="B55579" i="1"/>
  <c r="B55574" i="1"/>
  <c r="B55571" i="1"/>
  <c r="B55567" i="1"/>
  <c r="B55563" i="1"/>
  <c r="B55559" i="1"/>
  <c r="B55555" i="1"/>
  <c r="B55551" i="1"/>
  <c r="B55547" i="1"/>
  <c r="B55542" i="1"/>
  <c r="B55537" i="1"/>
  <c r="B55531" i="1"/>
  <c r="B55526" i="1"/>
  <c r="B55521" i="1"/>
  <c r="B55516" i="1"/>
  <c r="B55511" i="1"/>
  <c r="B55506" i="1"/>
  <c r="B55501" i="1"/>
  <c r="B55496" i="1"/>
  <c r="B55491" i="1"/>
  <c r="B55485" i="1"/>
  <c r="B55481" i="1"/>
  <c r="B55477" i="1"/>
  <c r="B55473" i="1"/>
  <c r="B55469" i="1"/>
  <c r="B55464" i="1"/>
  <c r="B55459" i="1"/>
  <c r="B55454" i="1"/>
  <c r="B55449" i="1"/>
  <c r="B55444" i="1"/>
  <c r="B55439" i="1"/>
  <c r="B55435" i="1"/>
  <c r="B55431" i="1"/>
  <c r="B55427" i="1"/>
  <c r="B55423" i="1"/>
  <c r="B55418" i="1"/>
  <c r="B55414" i="1"/>
  <c r="B55409" i="1"/>
  <c r="B55405" i="1"/>
  <c r="B55401" i="1"/>
  <c r="B55398" i="1"/>
  <c r="B55394" i="1"/>
  <c r="B55390" i="1"/>
  <c r="B55386" i="1"/>
  <c r="B55382" i="1"/>
  <c r="B55378" i="1"/>
  <c r="B55373" i="1"/>
  <c r="B55370" i="1"/>
  <c r="B55367" i="1"/>
  <c r="B55364" i="1"/>
  <c r="B55360" i="1"/>
  <c r="B55356" i="1"/>
  <c r="B55352" i="1"/>
  <c r="B55348" i="1"/>
  <c r="B55344" i="1"/>
  <c r="B55338" i="1"/>
  <c r="B55334" i="1"/>
  <c r="B55330" i="1"/>
  <c r="B55326" i="1"/>
  <c r="B55322" i="1"/>
  <c r="B55318" i="1"/>
  <c r="B55314" i="1"/>
  <c r="B55310" i="1"/>
  <c r="B55306" i="1"/>
  <c r="B55302" i="1"/>
  <c r="B55299" i="1"/>
  <c r="B55296" i="1"/>
  <c r="B55292" i="1"/>
  <c r="B55288" i="1"/>
  <c r="B55284" i="1"/>
  <c r="B55280" i="1"/>
  <c r="B55276" i="1"/>
  <c r="B55272" i="1"/>
  <c r="B55267" i="1"/>
  <c r="B55263" i="1"/>
  <c r="B55258" i="1"/>
  <c r="B55254" i="1"/>
  <c r="B55249" i="1"/>
  <c r="B55245" i="1"/>
  <c r="B55240" i="1"/>
  <c r="B55235" i="1"/>
  <c r="B55232" i="1"/>
  <c r="B55229" i="1"/>
  <c r="B55225" i="1"/>
  <c r="B55221" i="1"/>
  <c r="B55217" i="1"/>
  <c r="B55214" i="1"/>
  <c r="B55210" i="1"/>
  <c r="B55206" i="1"/>
  <c r="B55202" i="1"/>
  <c r="B55198" i="1"/>
  <c r="B55194" i="1"/>
  <c r="B55190" i="1"/>
  <c r="B55186" i="1"/>
  <c r="B55181" i="1"/>
  <c r="B55177" i="1"/>
  <c r="B55173" i="1"/>
  <c r="B55168" i="1"/>
  <c r="B55163" i="1"/>
  <c r="B55157" i="1"/>
  <c r="B55151" i="1"/>
  <c r="B55147" i="1"/>
  <c r="B55143" i="1"/>
  <c r="B55139" i="1"/>
  <c r="B55135" i="1"/>
  <c r="B55131" i="1"/>
  <c r="B55127" i="1"/>
  <c r="B55122" i="1"/>
  <c r="B55116" i="1"/>
  <c r="B55110" i="1"/>
  <c r="B55107" i="1"/>
  <c r="B55102" i="1"/>
  <c r="B55097" i="1"/>
  <c r="B55092" i="1"/>
  <c r="B55089" i="1"/>
  <c r="B55085" i="1"/>
  <c r="B55081" i="1"/>
  <c r="B55077" i="1"/>
  <c r="B55072" i="1"/>
  <c r="B55069" i="1"/>
  <c r="B55065" i="1"/>
  <c r="B55061" i="1"/>
  <c r="B55057" i="1"/>
  <c r="B55051" i="1"/>
  <c r="B55045" i="1"/>
  <c r="B55041" i="1"/>
  <c r="B55036" i="1"/>
  <c r="B55031" i="1"/>
  <c r="B55026" i="1"/>
  <c r="B55021" i="1"/>
  <c r="B55016" i="1"/>
  <c r="B55012" i="1"/>
  <c r="B55008" i="1"/>
  <c r="B55004" i="1"/>
  <c r="B54999" i="1"/>
  <c r="B54996" i="1"/>
  <c r="B54992" i="1"/>
  <c r="B54989" i="1"/>
  <c r="B54985" i="1"/>
  <c r="B54981" i="1"/>
  <c r="B54978" i="1"/>
  <c r="B54974" i="1"/>
  <c r="B54971" i="1"/>
  <c r="B54968" i="1"/>
  <c r="B54964" i="1"/>
  <c r="B54960" i="1"/>
  <c r="B54955" i="1"/>
  <c r="B54950" i="1"/>
  <c r="B54947" i="1"/>
  <c r="B54941" i="1"/>
  <c r="B54936" i="1"/>
  <c r="B54932" i="1"/>
  <c r="B54928" i="1"/>
  <c r="B54923" i="1"/>
  <c r="B54919" i="1"/>
  <c r="B54915" i="1"/>
  <c r="B54911" i="1"/>
  <c r="B54907" i="1"/>
  <c r="B54902" i="1"/>
  <c r="B54899" i="1"/>
  <c r="B54894" i="1"/>
  <c r="B54890" i="1"/>
  <c r="B54885" i="1"/>
  <c r="B54881" i="1"/>
  <c r="B54877" i="1"/>
  <c r="B54873" i="1"/>
  <c r="B54868" i="1"/>
  <c r="B54863" i="1"/>
  <c r="B54859" i="1"/>
  <c r="B54854" i="1"/>
  <c r="B54849" i="1"/>
  <c r="B54845" i="1"/>
  <c r="B54841" i="1"/>
  <c r="B54836" i="1"/>
  <c r="B54831" i="1"/>
  <c r="B54826" i="1"/>
  <c r="B54821" i="1"/>
  <c r="B54816" i="1"/>
  <c r="B54811" i="1"/>
  <c r="B54806" i="1"/>
  <c r="B54801" i="1"/>
  <c r="B54796" i="1"/>
  <c r="B54791" i="1"/>
  <c r="B54786" i="1"/>
  <c r="B54782" i="1"/>
  <c r="B54777" i="1"/>
  <c r="B54772" i="1"/>
  <c r="B54767" i="1"/>
  <c r="B54762" i="1"/>
  <c r="B54757" i="1"/>
  <c r="B54752" i="1"/>
  <c r="B54748" i="1"/>
  <c r="B54744" i="1"/>
  <c r="B54739" i="1"/>
  <c r="B54734" i="1"/>
  <c r="B54731" i="1"/>
  <c r="B54728" i="1"/>
  <c r="B54725" i="1"/>
  <c r="B54722" i="1"/>
  <c r="B54718" i="1"/>
  <c r="B54714" i="1"/>
  <c r="B54710" i="1"/>
  <c r="B54706" i="1"/>
  <c r="B54702" i="1"/>
  <c r="B54698" i="1"/>
  <c r="B54694" i="1"/>
  <c r="B54690" i="1"/>
  <c r="B54686" i="1"/>
  <c r="B54682" i="1"/>
  <c r="B54676" i="1"/>
  <c r="B54670" i="1"/>
  <c r="B54664" i="1"/>
  <c r="B54659" i="1"/>
  <c r="B54655" i="1"/>
  <c r="B54650" i="1"/>
  <c r="B54647" i="1"/>
  <c r="B54643" i="1"/>
  <c r="B54640" i="1"/>
  <c r="B54636" i="1"/>
  <c r="B54632" i="1"/>
  <c r="B54628" i="1"/>
  <c r="B54623" i="1"/>
  <c r="B54620" i="1"/>
  <c r="B54615" i="1"/>
  <c r="B54610" i="1"/>
  <c r="B54607" i="1"/>
  <c r="B54603" i="1"/>
  <c r="B54599" i="1"/>
  <c r="B54595" i="1"/>
  <c r="B54591" i="1"/>
  <c r="B54587" i="1"/>
  <c r="B54582" i="1"/>
  <c r="B54577" i="1"/>
  <c r="B54572" i="1"/>
  <c r="B54567" i="1"/>
  <c r="B54562" i="1"/>
  <c r="B54557" i="1"/>
  <c r="B54552" i="1"/>
  <c r="B54547" i="1"/>
  <c r="B54543" i="1"/>
  <c r="B54540" i="1"/>
  <c r="B54536" i="1"/>
  <c r="B54533" i="1"/>
  <c r="B54529" i="1"/>
  <c r="B54525" i="1"/>
  <c r="B54521" i="1"/>
  <c r="B54516" i="1"/>
  <c r="B54512" i="1"/>
  <c r="B54509" i="1"/>
  <c r="B54505" i="1"/>
  <c r="B54501" i="1"/>
  <c r="B54497" i="1"/>
  <c r="B54493" i="1"/>
  <c r="B54489" i="1"/>
  <c r="B54485" i="1"/>
  <c r="B54480" i="1"/>
  <c r="B54476" i="1"/>
  <c r="B54471" i="1"/>
  <c r="B54468" i="1"/>
  <c r="B54464" i="1"/>
  <c r="B54460" i="1"/>
  <c r="B54456" i="1"/>
  <c r="B54452" i="1"/>
  <c r="B54447" i="1"/>
  <c r="B54442" i="1"/>
  <c r="B54437" i="1"/>
  <c r="B54432" i="1"/>
  <c r="B54427" i="1"/>
  <c r="B54423" i="1"/>
  <c r="B54419" i="1"/>
  <c r="B54415" i="1"/>
  <c r="B54410" i="1"/>
  <c r="B54407" i="1"/>
  <c r="B54403" i="1"/>
  <c r="B54399" i="1"/>
  <c r="B54395" i="1"/>
  <c r="B54390" i="1"/>
  <c r="B54385" i="1"/>
  <c r="B54381" i="1"/>
  <c r="B54376" i="1"/>
  <c r="B54372" i="1"/>
  <c r="B54368" i="1"/>
  <c r="B54365" i="1"/>
  <c r="B54361" i="1"/>
  <c r="B54357" i="1"/>
  <c r="B54353" i="1"/>
  <c r="B54348" i="1"/>
  <c r="B54343" i="1"/>
  <c r="B54338" i="1"/>
  <c r="B54334" i="1"/>
  <c r="B54329" i="1"/>
  <c r="B54325" i="1"/>
  <c r="B54320" i="1"/>
  <c r="B54315" i="1"/>
  <c r="B54311" i="1"/>
  <c r="B54306" i="1"/>
  <c r="B54301" i="1"/>
  <c r="B54297" i="1"/>
  <c r="B54293" i="1"/>
  <c r="B54289" i="1"/>
  <c r="B54285" i="1"/>
  <c r="B54280" i="1"/>
  <c r="B54275" i="1"/>
  <c r="B54270" i="1"/>
  <c r="B54266" i="1"/>
  <c r="B54262" i="1"/>
  <c r="B54258" i="1"/>
  <c r="B54254" i="1"/>
  <c r="B54250" i="1"/>
  <c r="B54246" i="1"/>
  <c r="B54242" i="1"/>
  <c r="B54239" i="1"/>
  <c r="B54235" i="1"/>
  <c r="B54231" i="1"/>
  <c r="B54227" i="1"/>
  <c r="B54222" i="1"/>
  <c r="B54218" i="1"/>
  <c r="B54214" i="1"/>
  <c r="B54209" i="1"/>
  <c r="B54204" i="1"/>
  <c r="B54199" i="1"/>
  <c r="B54194" i="1"/>
  <c r="B54189" i="1"/>
  <c r="B54184" i="1"/>
  <c r="B54178" i="1"/>
  <c r="B54173" i="1"/>
  <c r="B54169" i="1"/>
  <c r="B54165" i="1"/>
  <c r="B54161" i="1"/>
  <c r="B54157" i="1"/>
  <c r="B54152" i="1"/>
  <c r="B54147" i="1"/>
  <c r="B54142" i="1"/>
  <c r="B54137" i="1"/>
  <c r="B54134" i="1"/>
  <c r="B54130" i="1"/>
  <c r="B54125" i="1"/>
  <c r="B54121" i="1"/>
  <c r="B54117" i="1"/>
  <c r="B54112" i="1"/>
  <c r="B54107" i="1"/>
  <c r="B54102" i="1"/>
  <c r="B54098" i="1"/>
  <c r="B54093" i="1"/>
  <c r="B54089" i="1"/>
  <c r="B54084" i="1"/>
  <c r="B54079" i="1"/>
  <c r="B54075" i="1"/>
  <c r="B54071" i="1"/>
  <c r="B54067" i="1"/>
  <c r="B54062" i="1"/>
  <c r="B54057" i="1"/>
  <c r="B54053" i="1"/>
  <c r="B54048" i="1"/>
  <c r="B54043" i="1"/>
  <c r="B54038" i="1"/>
  <c r="B54033" i="1"/>
  <c r="B54028" i="1"/>
  <c r="B54023" i="1"/>
  <c r="B54018" i="1"/>
  <c r="B54013" i="1"/>
  <c r="B54009" i="1"/>
  <c r="B54005" i="1"/>
  <c r="B54000" i="1"/>
  <c r="B53996" i="1"/>
  <c r="B53992" i="1"/>
  <c r="B53988" i="1"/>
  <c r="B53985" i="1"/>
  <c r="B53981" i="1"/>
  <c r="B53977" i="1"/>
  <c r="B53973" i="1"/>
  <c r="B53970" i="1"/>
  <c r="B53965" i="1"/>
  <c r="B53962" i="1"/>
  <c r="B53958" i="1"/>
  <c r="B53954" i="1"/>
  <c r="B53950" i="1"/>
  <c r="B53945" i="1"/>
  <c r="B53940" i="1"/>
  <c r="B53936" i="1"/>
  <c r="B53933" i="1"/>
  <c r="B53929" i="1"/>
  <c r="B53925" i="1"/>
  <c r="B53921" i="1"/>
  <c r="B53917" i="1"/>
  <c r="B53913" i="1"/>
  <c r="B53909" i="1"/>
  <c r="B53904" i="1"/>
  <c r="B53899" i="1"/>
  <c r="B53895" i="1"/>
  <c r="B53891" i="1"/>
  <c r="B53887" i="1"/>
  <c r="B53883" i="1"/>
  <c r="B53879" i="1"/>
  <c r="B53875" i="1"/>
  <c r="B53871" i="1"/>
  <c r="B53867" i="1"/>
  <c r="B53862" i="1"/>
  <c r="B53859" i="1"/>
  <c r="B53856" i="1"/>
  <c r="B53853" i="1"/>
  <c r="B53849" i="1"/>
  <c r="B53844" i="1"/>
  <c r="B53841" i="1"/>
  <c r="B53837" i="1"/>
  <c r="B53833" i="1"/>
  <c r="B53828" i="1"/>
  <c r="B53825" i="1"/>
  <c r="B53820" i="1"/>
  <c r="B53815" i="1"/>
  <c r="B53810" i="1"/>
  <c r="B53805" i="1"/>
  <c r="B53801" i="1"/>
  <c r="B53797" i="1"/>
  <c r="B53789" i="1"/>
  <c r="B53781" i="1"/>
  <c r="B53777" i="1"/>
  <c r="B53773" i="1"/>
  <c r="B53769" i="1"/>
  <c r="B53765" i="1"/>
  <c r="B53761" i="1"/>
  <c r="B53757" i="1"/>
  <c r="B53753" i="1"/>
  <c r="B53749" i="1"/>
  <c r="B53744" i="1"/>
  <c r="B53739" i="1"/>
  <c r="B53734" i="1"/>
  <c r="B53729" i="1"/>
  <c r="B53724" i="1"/>
  <c r="B53719" i="1"/>
  <c r="B53714" i="1"/>
  <c r="B53709" i="1"/>
  <c r="B53704" i="1"/>
  <c r="B53700" i="1"/>
  <c r="B53695" i="1"/>
  <c r="B53691" i="1"/>
  <c r="B53687" i="1"/>
  <c r="B53683" i="1"/>
  <c r="B53678" i="1"/>
  <c r="B53673" i="1"/>
  <c r="B53668" i="1"/>
  <c r="B53665" i="1"/>
  <c r="B53661" i="1"/>
  <c r="B53657" i="1"/>
  <c r="B53653" i="1"/>
  <c r="B53648" i="1"/>
  <c r="B53644" i="1"/>
  <c r="B53639" i="1"/>
  <c r="B53635" i="1"/>
  <c r="B53631" i="1"/>
  <c r="B53626" i="1"/>
  <c r="B53622" i="1"/>
  <c r="B53618" i="1"/>
  <c r="B53614" i="1"/>
  <c r="B53610" i="1"/>
  <c r="B53606" i="1"/>
  <c r="B53602" i="1"/>
  <c r="B53598" i="1"/>
  <c r="B53593" i="1"/>
  <c r="B53590" i="1"/>
  <c r="B53585" i="1"/>
  <c r="B53581" i="1"/>
  <c r="B53576" i="1"/>
  <c r="B53572" i="1"/>
  <c r="B53567" i="1"/>
  <c r="B53562" i="1"/>
  <c r="B53558" i="1"/>
  <c r="B53553" i="1"/>
  <c r="B53548" i="1"/>
  <c r="B53543" i="1"/>
  <c r="B53539" i="1"/>
  <c r="B53535" i="1"/>
  <c r="B53531" i="1"/>
  <c r="B53527" i="1"/>
  <c r="B53523" i="1"/>
  <c r="B53518" i="1"/>
  <c r="B53513" i="1"/>
  <c r="B53510" i="1"/>
  <c r="B53506" i="1"/>
  <c r="B53503" i="1"/>
  <c r="B53498" i="1"/>
  <c r="B53494" i="1"/>
  <c r="B53489" i="1"/>
  <c r="B53487" i="1"/>
  <c r="B53484" i="1"/>
  <c r="B53481" i="1"/>
  <c r="B53477" i="1"/>
  <c r="B53474" i="1"/>
  <c r="B53469" i="1"/>
  <c r="B53466" i="1"/>
  <c r="B53462" i="1"/>
  <c r="B53458" i="1"/>
  <c r="B53454" i="1"/>
  <c r="B53450" i="1"/>
  <c r="B53446" i="1"/>
  <c r="B53442" i="1"/>
  <c r="B53438" i="1"/>
  <c r="B53434" i="1"/>
  <c r="B53430" i="1"/>
  <c r="B53426" i="1"/>
  <c r="B53422" i="1"/>
  <c r="B53418" i="1"/>
  <c r="B53414" i="1"/>
  <c r="B53410" i="1"/>
  <c r="B53406" i="1"/>
  <c r="B53402" i="1"/>
  <c r="B53398" i="1"/>
  <c r="B53394" i="1"/>
  <c r="B53390" i="1"/>
  <c r="B53386" i="1"/>
  <c r="B53382" i="1"/>
  <c r="B53378" i="1"/>
  <c r="B53373" i="1"/>
  <c r="B53370" i="1"/>
  <c r="B53366" i="1"/>
  <c r="B53362" i="1"/>
  <c r="B53357" i="1"/>
  <c r="B53352" i="1"/>
  <c r="B53347" i="1"/>
  <c r="B53341" i="1"/>
  <c r="B53335" i="1"/>
  <c r="B53331" i="1"/>
  <c r="B53327" i="1"/>
  <c r="B53323" i="1"/>
  <c r="B53319" i="1"/>
  <c r="B53315" i="1"/>
  <c r="B53311" i="1"/>
  <c r="B53307" i="1"/>
  <c r="B53303" i="1"/>
  <c r="B53299" i="1"/>
  <c r="B53295" i="1"/>
  <c r="B53290" i="1"/>
  <c r="B53285" i="1"/>
  <c r="B53280" i="1"/>
  <c r="B53275" i="1"/>
  <c r="B53271" i="1"/>
  <c r="B53267" i="1"/>
  <c r="B53262" i="1"/>
  <c r="B53257" i="1"/>
  <c r="B53252" i="1"/>
  <c r="B53248" i="1"/>
  <c r="B53243" i="1"/>
  <c r="B53237" i="1"/>
  <c r="B53232" i="1"/>
  <c r="B53227" i="1"/>
  <c r="B53222" i="1"/>
  <c r="B53217" i="1"/>
  <c r="B53212" i="1"/>
  <c r="B53207" i="1"/>
  <c r="B53202" i="1"/>
  <c r="B53197" i="1"/>
  <c r="B53193" i="1"/>
  <c r="B53189" i="1"/>
  <c r="B53185" i="1"/>
  <c r="B53181" i="1"/>
  <c r="B53176" i="1"/>
  <c r="B53172" i="1"/>
  <c r="B53168" i="1"/>
  <c r="B53164" i="1"/>
  <c r="B53160" i="1"/>
  <c r="B53156" i="1"/>
  <c r="B53152" i="1"/>
  <c r="B53147" i="1"/>
  <c r="B53142" i="1"/>
  <c r="B53137" i="1"/>
  <c r="B53132" i="1"/>
  <c r="B53127" i="1"/>
  <c r="B53123" i="1"/>
  <c r="B53117" i="1"/>
  <c r="B53111" i="1"/>
  <c r="B53106" i="1"/>
  <c r="B53101" i="1"/>
  <c r="B53097" i="1"/>
  <c r="B53093" i="1"/>
  <c r="B53089" i="1"/>
  <c r="B53085" i="1"/>
  <c r="B53081" i="1"/>
  <c r="B53078" i="1"/>
  <c r="B53072" i="1"/>
  <c r="B53066" i="1"/>
  <c r="B53061" i="1"/>
  <c r="B53057" i="1"/>
  <c r="B53053" i="1"/>
  <c r="B53048" i="1"/>
  <c r="B53044" i="1"/>
  <c r="B53040" i="1"/>
  <c r="B53036" i="1"/>
  <c r="B53031" i="1"/>
  <c r="B53026" i="1"/>
  <c r="B53023" i="1"/>
  <c r="B53019" i="1"/>
  <c r="B53015" i="1"/>
  <c r="B53010" i="1"/>
  <c r="B53006" i="1"/>
  <c r="B53003" i="1"/>
  <c r="B52999" i="1"/>
  <c r="B52995" i="1"/>
  <c r="B52990" i="1"/>
  <c r="B52986" i="1"/>
  <c r="B52982" i="1"/>
  <c r="B52978" i="1"/>
  <c r="B52974" i="1"/>
  <c r="B52970" i="1"/>
  <c r="B52966" i="1"/>
  <c r="B52959" i="1"/>
  <c r="B52952" i="1"/>
  <c r="B52945" i="1"/>
  <c r="B52938" i="1"/>
  <c r="B52931" i="1"/>
  <c r="B52927" i="1"/>
  <c r="B52923" i="1"/>
  <c r="B52919" i="1"/>
  <c r="B52915" i="1"/>
  <c r="B52911" i="1"/>
  <c r="B52906" i="1"/>
  <c r="B52901" i="1"/>
  <c r="B52896" i="1"/>
  <c r="B52892" i="1"/>
  <c r="B52887" i="1"/>
  <c r="B52883" i="1"/>
  <c r="B52879" i="1"/>
  <c r="B52875" i="1"/>
  <c r="B52871" i="1"/>
  <c r="B52867" i="1"/>
  <c r="B52860" i="1"/>
  <c r="B52853" i="1"/>
  <c r="B52846" i="1"/>
  <c r="B52842" i="1"/>
  <c r="B52838" i="1"/>
  <c r="B52834" i="1"/>
  <c r="B52829" i="1"/>
  <c r="B52825" i="1"/>
  <c r="B52820" i="1"/>
  <c r="B52816" i="1"/>
  <c r="B52812" i="1"/>
  <c r="B52808" i="1"/>
  <c r="B52804" i="1"/>
  <c r="B52800" i="1"/>
  <c r="B52796" i="1"/>
  <c r="B52791" i="1"/>
  <c r="B52787" i="1"/>
  <c r="B52783" i="1"/>
  <c r="B52779" i="1"/>
  <c r="B52775" i="1"/>
  <c r="B52771" i="1"/>
  <c r="B52767" i="1"/>
  <c r="B52762" i="1"/>
  <c r="B52754" i="1"/>
  <c r="B52749" i="1"/>
  <c r="B52744" i="1"/>
  <c r="B52739" i="1"/>
  <c r="B52734" i="1"/>
  <c r="B52730" i="1"/>
  <c r="B52725" i="1"/>
  <c r="B52720" i="1"/>
  <c r="B52715" i="1"/>
  <c r="B52709" i="1"/>
  <c r="B52703" i="1"/>
  <c r="B52699" i="1"/>
  <c r="B52695" i="1"/>
  <c r="B52690" i="1"/>
  <c r="B52685" i="1"/>
  <c r="B52680" i="1"/>
  <c r="B52675" i="1"/>
  <c r="B52671" i="1"/>
  <c r="B52667" i="1"/>
  <c r="B52662" i="1"/>
  <c r="B52656" i="1"/>
  <c r="B52652" i="1"/>
  <c r="B52648" i="1"/>
  <c r="B52643" i="1"/>
  <c r="B52638" i="1"/>
  <c r="B52633" i="1"/>
  <c r="B52628" i="1"/>
  <c r="B52624" i="1"/>
  <c r="B52620" i="1"/>
  <c r="B52616" i="1"/>
  <c r="B52611" i="1"/>
  <c r="B52606" i="1"/>
  <c r="B52601" i="1"/>
  <c r="B52596" i="1"/>
  <c r="B52591" i="1"/>
  <c r="B52586" i="1"/>
  <c r="B52582" i="1"/>
  <c r="B52578" i="1"/>
  <c r="B52574" i="1"/>
  <c r="B52570" i="1"/>
  <c r="B52566" i="1"/>
  <c r="B52561" i="1"/>
  <c r="B52557" i="1"/>
  <c r="B52554" i="1"/>
  <c r="B52551" i="1"/>
  <c r="B52548" i="1"/>
  <c r="B52545" i="1"/>
  <c r="B52541" i="1"/>
  <c r="B52537" i="1"/>
  <c r="B52534" i="1"/>
  <c r="B52530" i="1"/>
  <c r="B52526" i="1"/>
  <c r="B52522" i="1"/>
  <c r="B52518" i="1"/>
  <c r="B52514" i="1"/>
  <c r="B52510" i="1"/>
  <c r="B52506" i="1"/>
  <c r="B52502" i="1"/>
  <c r="B52498" i="1"/>
  <c r="B52493" i="1"/>
  <c r="B52489" i="1"/>
  <c r="B52485" i="1"/>
  <c r="B52481" i="1"/>
  <c r="B52478" i="1"/>
  <c r="B52473" i="1"/>
  <c r="B52468" i="1"/>
  <c r="B52464" i="1"/>
  <c r="B52459" i="1"/>
  <c r="B52454" i="1"/>
  <c r="B52450" i="1"/>
  <c r="B52445" i="1"/>
  <c r="B52441" i="1"/>
  <c r="B52438" i="1"/>
  <c r="B52434" i="1"/>
  <c r="B52430" i="1"/>
  <c r="B52426" i="1"/>
  <c r="B52422" i="1"/>
  <c r="B52418" i="1"/>
  <c r="B52413" i="1"/>
  <c r="B52408" i="1"/>
  <c r="B52403" i="1"/>
  <c r="B52398" i="1"/>
  <c r="B52393" i="1"/>
  <c r="B52388" i="1"/>
  <c r="B52383" i="1"/>
  <c r="B52378" i="1"/>
  <c r="B52373" i="1"/>
  <c r="B52368" i="1"/>
  <c r="B52365" i="1"/>
  <c r="B52362" i="1"/>
  <c r="B52358" i="1"/>
  <c r="B52353" i="1"/>
  <c r="B52349" i="1"/>
  <c r="B52345" i="1"/>
  <c r="B52341" i="1"/>
  <c r="B52337" i="1"/>
  <c r="B52333" i="1"/>
  <c r="B52330" i="1"/>
  <c r="B52326" i="1"/>
  <c r="B52322" i="1"/>
  <c r="B52319" i="1"/>
  <c r="B52315" i="1"/>
  <c r="B52311" i="1"/>
  <c r="B52308" i="1"/>
  <c r="B52304" i="1"/>
  <c r="B52299" i="1"/>
  <c r="B52294" i="1"/>
  <c r="B52289" i="1"/>
  <c r="B52285" i="1"/>
  <c r="B52281" i="1"/>
  <c r="B52276" i="1"/>
  <c r="B52271" i="1"/>
  <c r="B52266" i="1"/>
  <c r="B52262" i="1"/>
  <c r="B52257" i="1"/>
  <c r="B52253" i="1"/>
  <c r="B52249" i="1"/>
  <c r="B52245" i="1"/>
  <c r="B52241" i="1"/>
  <c r="B52236" i="1"/>
  <c r="B52232" i="1"/>
  <c r="B52228" i="1"/>
  <c r="B52223" i="1"/>
  <c r="B52220" i="1"/>
  <c r="B52216" i="1"/>
  <c r="B52212" i="1"/>
  <c r="B52207" i="1"/>
  <c r="B52202" i="1"/>
  <c r="B52197" i="1"/>
  <c r="B52192" i="1"/>
  <c r="B52187" i="1"/>
  <c r="B52183" i="1"/>
  <c r="B52179" i="1"/>
  <c r="B52174" i="1"/>
  <c r="B52170" i="1"/>
  <c r="B52167" i="1"/>
  <c r="B52163" i="1"/>
  <c r="B52159" i="1"/>
  <c r="B52154" i="1"/>
  <c r="B52149" i="1"/>
  <c r="B52145" i="1"/>
  <c r="B52140" i="1"/>
  <c r="B52135" i="1"/>
  <c r="B52132" i="1"/>
  <c r="B52128" i="1"/>
  <c r="B52124" i="1"/>
  <c r="B52120" i="1"/>
  <c r="B52117" i="1"/>
  <c r="B52114" i="1"/>
  <c r="B52110" i="1"/>
  <c r="B52107" i="1"/>
  <c r="B52101" i="1"/>
  <c r="B52095" i="1"/>
  <c r="B52091" i="1"/>
  <c r="B52087" i="1"/>
  <c r="B52083" i="1"/>
  <c r="B52078" i="1"/>
  <c r="B52074" i="1"/>
  <c r="B52070" i="1"/>
  <c r="B52066" i="1"/>
  <c r="B52062" i="1"/>
  <c r="B52058" i="1"/>
  <c r="B52053" i="1"/>
  <c r="B52049" i="1"/>
  <c r="B52045" i="1"/>
  <c r="B52042" i="1"/>
  <c r="B52038" i="1"/>
  <c r="B52034" i="1"/>
  <c r="B52031" i="1"/>
  <c r="B52028" i="1"/>
  <c r="B52023" i="1"/>
  <c r="B52019" i="1"/>
  <c r="B52015" i="1"/>
  <c r="B52010" i="1"/>
  <c r="B52005" i="1"/>
  <c r="B52001" i="1"/>
  <c r="B51997" i="1"/>
  <c r="B51993" i="1"/>
  <c r="B51990" i="1"/>
  <c r="B51986" i="1"/>
  <c r="B51982" i="1"/>
  <c r="B51978" i="1"/>
  <c r="B51973" i="1"/>
  <c r="B51968" i="1"/>
  <c r="B51963" i="1"/>
  <c r="B51959" i="1"/>
  <c r="B51953" i="1"/>
  <c r="B51949" i="1"/>
  <c r="B51946" i="1"/>
  <c r="B51942" i="1"/>
  <c r="B51938" i="1"/>
  <c r="B51935" i="1"/>
  <c r="B51931" i="1"/>
  <c r="B51927" i="1"/>
  <c r="B51924" i="1"/>
  <c r="B51920" i="1"/>
  <c r="B51916" i="1"/>
  <c r="B51912" i="1"/>
  <c r="B51908" i="1"/>
  <c r="B51904" i="1"/>
  <c r="B51900" i="1"/>
  <c r="B51897" i="1"/>
  <c r="B51892" i="1"/>
  <c r="B51887" i="1"/>
  <c r="B51884" i="1"/>
  <c r="B51880" i="1"/>
  <c r="B51876" i="1"/>
  <c r="B51872" i="1"/>
  <c r="B51868" i="1"/>
  <c r="B51864" i="1"/>
  <c r="B51860" i="1"/>
  <c r="B51856" i="1"/>
  <c r="B51851" i="1"/>
  <c r="B51846" i="1"/>
  <c r="B51842" i="1"/>
  <c r="B51839" i="1"/>
  <c r="B51835" i="1"/>
  <c r="B51831" i="1"/>
  <c r="B51827" i="1"/>
  <c r="B51822" i="1"/>
  <c r="B51817" i="1"/>
  <c r="B51814" i="1"/>
  <c r="B51810" i="1"/>
  <c r="B51806" i="1"/>
  <c r="B51803" i="1"/>
  <c r="B51799" i="1"/>
  <c r="B51795" i="1"/>
  <c r="B51791" i="1"/>
  <c r="B51787" i="1"/>
  <c r="B51783" i="1"/>
  <c r="B51779" i="1"/>
  <c r="B51774" i="1"/>
  <c r="B51769" i="1"/>
  <c r="B51765" i="1"/>
  <c r="B51761" i="1"/>
  <c r="B51757" i="1"/>
  <c r="B51754" i="1"/>
  <c r="B51750" i="1"/>
  <c r="B51746" i="1"/>
  <c r="B51741" i="1"/>
  <c r="B51737" i="1"/>
  <c r="B51733" i="1"/>
  <c r="B51729" i="1"/>
  <c r="B51726" i="1"/>
  <c r="B51723" i="1"/>
  <c r="B51718" i="1"/>
  <c r="B51713" i="1"/>
  <c r="B51708" i="1"/>
  <c r="B51703" i="1"/>
  <c r="B51699" i="1"/>
  <c r="B51695" i="1"/>
  <c r="B51691" i="1"/>
  <c r="B51687" i="1"/>
  <c r="B51682" i="1"/>
  <c r="B51678" i="1"/>
  <c r="B51674" i="1"/>
  <c r="B51670" i="1"/>
  <c r="B51666" i="1"/>
  <c r="B51662" i="1"/>
  <c r="B51658" i="1"/>
  <c r="B51652" i="1"/>
  <c r="B51647" i="1"/>
  <c r="B51643" i="1"/>
  <c r="B51637" i="1"/>
  <c r="B51633" i="1"/>
  <c r="B51628" i="1"/>
  <c r="B51623" i="1"/>
  <c r="B51620" i="1"/>
  <c r="B51616" i="1"/>
  <c r="B51613" i="1"/>
  <c r="B51609" i="1"/>
  <c r="B51605" i="1"/>
  <c r="B51601" i="1"/>
  <c r="B51597" i="1"/>
  <c r="B51593" i="1"/>
  <c r="B51590" i="1"/>
  <c r="B51587" i="1"/>
  <c r="B51584" i="1"/>
  <c r="B51580" i="1"/>
  <c r="B51576" i="1"/>
  <c r="B51572" i="1"/>
  <c r="B51568" i="1"/>
  <c r="B51564" i="1"/>
  <c r="B51560" i="1"/>
  <c r="B51556" i="1"/>
  <c r="B51552" i="1"/>
  <c r="B51548" i="1"/>
  <c r="B51544" i="1"/>
  <c r="B51540" i="1"/>
  <c r="B51535" i="1"/>
  <c r="B51530" i="1"/>
  <c r="B51527" i="1"/>
  <c r="B51524" i="1"/>
  <c r="B51521" i="1"/>
  <c r="B51517" i="1"/>
  <c r="B51513" i="1"/>
  <c r="B51508" i="1"/>
  <c r="B51505" i="1"/>
  <c r="B51501" i="1"/>
  <c r="B51497" i="1"/>
  <c r="B51494" i="1"/>
  <c r="B51490" i="1"/>
  <c r="B51486" i="1"/>
  <c r="B51481" i="1"/>
  <c r="B51477" i="1"/>
  <c r="B51473" i="1"/>
  <c r="B51468" i="1"/>
  <c r="B51463" i="1"/>
  <c r="B51458" i="1"/>
  <c r="B51452" i="1"/>
  <c r="B51448" i="1"/>
  <c r="B51444" i="1"/>
  <c r="B51439" i="1"/>
  <c r="B51434" i="1"/>
  <c r="B51429" i="1"/>
  <c r="B51424" i="1"/>
  <c r="B51418" i="1"/>
  <c r="B51412" i="1"/>
  <c r="B51408" i="1"/>
  <c r="B51404" i="1"/>
  <c r="B51398" i="1"/>
  <c r="B51392" i="1"/>
  <c r="B51387" i="1"/>
  <c r="B51383" i="1"/>
  <c r="B51379" i="1"/>
  <c r="B51375" i="1"/>
  <c r="B51371" i="1"/>
  <c r="B51367" i="1"/>
  <c r="B51364" i="1"/>
  <c r="B51360" i="1"/>
  <c r="B51357" i="1"/>
  <c r="B51353" i="1"/>
  <c r="B51349" i="1"/>
  <c r="B51345" i="1"/>
  <c r="B51340" i="1"/>
  <c r="B51335" i="1"/>
  <c r="B51331" i="1"/>
  <c r="B51327" i="1"/>
  <c r="B51322" i="1"/>
  <c r="B51317" i="1"/>
  <c r="B51313" i="1"/>
  <c r="B51309" i="1"/>
  <c r="B51304" i="1"/>
  <c r="B51299" i="1"/>
  <c r="B51295" i="1"/>
  <c r="B51291" i="1"/>
  <c r="B51287" i="1"/>
  <c r="B51282" i="1"/>
  <c r="B51277" i="1"/>
  <c r="B51272" i="1"/>
  <c r="B51268" i="1"/>
  <c r="B51264" i="1"/>
  <c r="B51260" i="1"/>
  <c r="B51255" i="1"/>
  <c r="B51250" i="1"/>
  <c r="B51245" i="1"/>
  <c r="B51241" i="1"/>
  <c r="B51237" i="1"/>
  <c r="B51233" i="1"/>
  <c r="B51229" i="1"/>
  <c r="B51223" i="1"/>
  <c r="B51219" i="1"/>
  <c r="B51215" i="1"/>
  <c r="B51209" i="1"/>
  <c r="B51204" i="1"/>
  <c r="B51199" i="1"/>
  <c r="B51194" i="1"/>
  <c r="B51190" i="1"/>
  <c r="B51186" i="1"/>
  <c r="B51182" i="1"/>
  <c r="B51176" i="1"/>
  <c r="B51170" i="1"/>
  <c r="B51164" i="1"/>
  <c r="B51158" i="1"/>
  <c r="B51152" i="1"/>
  <c r="B51148" i="1"/>
  <c r="B51144" i="1"/>
  <c r="B51140" i="1"/>
  <c r="B51136" i="1"/>
  <c r="B51132" i="1"/>
  <c r="B51127" i="1"/>
  <c r="B51123" i="1"/>
  <c r="B51119" i="1"/>
  <c r="B51114" i="1"/>
  <c r="B51109" i="1"/>
  <c r="B51105" i="1"/>
  <c r="B51102" i="1"/>
  <c r="B51098" i="1"/>
  <c r="B51094" i="1"/>
  <c r="B51090" i="1"/>
  <c r="B51087" i="1"/>
  <c r="B51083" i="1"/>
  <c r="B51079" i="1"/>
  <c r="B51076" i="1"/>
  <c r="B51071" i="1"/>
  <c r="B51066" i="1"/>
  <c r="B51062" i="1"/>
  <c r="B51057" i="1"/>
  <c r="B51053" i="1"/>
  <c r="B51047" i="1"/>
  <c r="B51041" i="1"/>
  <c r="B51037" i="1"/>
  <c r="B51034" i="1"/>
  <c r="B51029" i="1"/>
  <c r="B51025" i="1"/>
  <c r="B51021" i="1"/>
  <c r="B51017" i="1"/>
  <c r="B51013" i="1"/>
  <c r="B51010" i="1"/>
  <c r="B51007" i="1"/>
  <c r="B51003" i="1"/>
  <c r="B50998" i="1"/>
  <c r="B50995" i="1"/>
  <c r="B50991" i="1"/>
  <c r="B50987" i="1"/>
  <c r="B50983" i="1"/>
  <c r="B50978" i="1"/>
  <c r="B50973" i="1"/>
  <c r="B50969" i="1"/>
  <c r="B50965" i="1"/>
  <c r="B50961" i="1"/>
  <c r="B50957" i="1"/>
  <c r="B50953" i="1"/>
  <c r="B50949" i="1"/>
  <c r="B50945" i="1"/>
  <c r="B50941" i="1"/>
  <c r="B50937" i="1"/>
  <c r="B50933" i="1"/>
  <c r="B50929" i="1"/>
  <c r="B50925" i="1"/>
  <c r="B50921" i="1"/>
  <c r="B50917" i="1"/>
  <c r="B50914" i="1"/>
  <c r="B50910" i="1"/>
  <c r="B50907" i="1"/>
  <c r="B50903" i="1"/>
  <c r="B50899" i="1"/>
  <c r="B50894" i="1"/>
  <c r="B50890" i="1"/>
  <c r="B50886" i="1"/>
  <c r="B50881" i="1"/>
  <c r="B50876" i="1"/>
  <c r="B50872" i="1"/>
  <c r="B50867" i="1"/>
  <c r="B50862" i="1"/>
  <c r="B50858" i="1"/>
  <c r="B50855" i="1"/>
  <c r="B50851" i="1"/>
  <c r="B50847" i="1"/>
  <c r="B50843" i="1"/>
  <c r="B50838" i="1"/>
  <c r="B50834" i="1"/>
  <c r="B50829" i="1"/>
  <c r="B50824" i="1"/>
  <c r="B50819" i="1"/>
  <c r="B50815" i="1"/>
  <c r="B50811" i="1"/>
  <c r="B50808" i="1"/>
  <c r="B50805" i="1"/>
  <c r="B50801" i="1"/>
  <c r="B50797" i="1"/>
  <c r="B50793" i="1"/>
  <c r="B50789" i="1"/>
  <c r="B50785" i="1"/>
  <c r="B50781" i="1"/>
  <c r="B50776" i="1"/>
  <c r="B50771" i="1"/>
  <c r="B50768" i="1"/>
  <c r="B50765" i="1"/>
  <c r="B50761" i="1"/>
  <c r="B50756" i="1"/>
  <c r="B50751" i="1"/>
  <c r="B50747" i="1"/>
  <c r="B50743" i="1"/>
  <c r="B50740" i="1"/>
  <c r="B50736" i="1"/>
  <c r="B50732" i="1"/>
  <c r="B50728" i="1"/>
  <c r="B50723" i="1"/>
  <c r="B50718" i="1"/>
  <c r="B50713" i="1"/>
  <c r="B50707" i="1"/>
  <c r="B50703" i="1"/>
  <c r="B50699" i="1"/>
  <c r="B50695" i="1"/>
  <c r="B50690" i="1"/>
  <c r="B50687" i="1"/>
  <c r="B50683" i="1"/>
  <c r="B50680" i="1"/>
  <c r="B50676" i="1"/>
  <c r="B50673" i="1"/>
  <c r="B50670" i="1"/>
  <c r="B50666" i="1"/>
  <c r="B50662" i="1"/>
  <c r="B50658" i="1"/>
  <c r="B50654" i="1"/>
  <c r="B50650" i="1"/>
  <c r="B50647" i="1"/>
  <c r="B50642" i="1"/>
  <c r="B50637" i="1"/>
  <c r="B50634" i="1"/>
  <c r="B50631" i="1"/>
  <c r="B50627" i="1"/>
  <c r="B50623" i="1"/>
  <c r="B50620" i="1"/>
  <c r="B50616" i="1"/>
  <c r="B50612" i="1"/>
  <c r="B50609" i="1"/>
  <c r="B50605" i="1"/>
  <c r="B50601" i="1"/>
  <c r="B50597" i="1"/>
  <c r="B50592" i="1"/>
  <c r="B50587" i="1"/>
  <c r="B50582" i="1"/>
  <c r="B50577" i="1"/>
  <c r="B50572" i="1"/>
  <c r="B50566" i="1"/>
  <c r="B50561" i="1"/>
  <c r="B50556" i="1"/>
  <c r="B50552" i="1"/>
  <c r="B50549" i="1"/>
  <c r="B50544" i="1"/>
  <c r="B50540" i="1"/>
  <c r="B50535" i="1"/>
  <c r="B50530" i="1"/>
  <c r="B50525" i="1"/>
  <c r="B50520" i="1"/>
  <c r="B50516" i="1"/>
  <c r="B50512" i="1"/>
  <c r="B50508" i="1"/>
  <c r="B50503" i="1"/>
  <c r="B50499" i="1"/>
  <c r="B50495" i="1"/>
  <c r="B50491" i="1"/>
  <c r="B50487" i="1"/>
  <c r="B50483" i="1"/>
  <c r="B50478" i="1"/>
  <c r="B50473" i="1"/>
  <c r="B50469" i="1"/>
  <c r="B50465" i="1"/>
  <c r="B50460" i="1"/>
  <c r="B50453" i="1"/>
  <c r="B50446" i="1"/>
  <c r="B50442" i="1"/>
  <c r="B50438" i="1"/>
  <c r="B50434" i="1"/>
  <c r="B50430" i="1"/>
  <c r="B50426" i="1"/>
  <c r="B50422" i="1"/>
  <c r="B50417" i="1"/>
  <c r="B50412" i="1"/>
  <c r="B50407" i="1"/>
  <c r="B50402" i="1"/>
  <c r="B50397" i="1"/>
  <c r="B50392" i="1"/>
  <c r="B50386" i="1"/>
  <c r="B50383" i="1"/>
  <c r="B50380" i="1"/>
  <c r="B50377" i="1"/>
  <c r="B50374" i="1"/>
  <c r="B50370" i="1"/>
  <c r="B50367" i="1"/>
  <c r="B50363" i="1"/>
  <c r="B50358" i="1"/>
  <c r="B50354" i="1"/>
  <c r="B50349" i="1"/>
  <c r="B50346" i="1"/>
  <c r="B50342" i="1"/>
  <c r="B50338" i="1"/>
  <c r="B50334" i="1"/>
  <c r="B50330" i="1"/>
  <c r="B50325" i="1"/>
  <c r="B50320" i="1"/>
  <c r="B50315" i="1"/>
  <c r="B50310" i="1"/>
  <c r="B50305" i="1"/>
  <c r="B50299" i="1"/>
  <c r="B50295" i="1"/>
  <c r="B50290" i="1"/>
  <c r="B50285" i="1"/>
  <c r="B50280" i="1"/>
  <c r="B50276" i="1"/>
  <c r="B50272" i="1"/>
  <c r="B50268" i="1"/>
  <c r="B50264" i="1"/>
  <c r="B50261" i="1"/>
  <c r="B50257" i="1"/>
  <c r="B50253" i="1"/>
  <c r="B50249" i="1"/>
  <c r="B50245" i="1"/>
  <c r="B50242" i="1"/>
  <c r="B50238" i="1"/>
  <c r="B50234" i="1"/>
  <c r="B50231" i="1"/>
  <c r="B50227" i="1"/>
  <c r="B50222" i="1"/>
  <c r="B50218" i="1"/>
  <c r="B50214" i="1"/>
  <c r="B50209" i="1"/>
  <c r="B50206" i="1"/>
  <c r="B50202" i="1"/>
  <c r="B50198" i="1"/>
  <c r="B50194" i="1"/>
  <c r="B50189" i="1"/>
  <c r="B50184" i="1"/>
  <c r="B50180" i="1"/>
  <c r="B50175" i="1"/>
  <c r="B50171" i="1"/>
  <c r="B50166" i="1"/>
  <c r="B50162" i="1"/>
  <c r="B50159" i="1"/>
  <c r="B50156" i="1"/>
  <c r="B50152" i="1"/>
  <c r="B50148" i="1"/>
  <c r="B50144" i="1"/>
  <c r="B50141" i="1"/>
  <c r="B50136" i="1"/>
  <c r="B50130" i="1"/>
  <c r="B50124" i="1"/>
  <c r="B50118" i="1"/>
  <c r="B50114" i="1"/>
  <c r="B50111" i="1"/>
  <c r="B50107" i="1"/>
  <c r="B50104" i="1"/>
  <c r="B50101" i="1"/>
  <c r="B50099" i="1"/>
  <c r="B50096" i="1"/>
  <c r="B50092" i="1"/>
  <c r="B50089" i="1"/>
  <c r="B50086" i="1"/>
  <c r="B50083" i="1"/>
  <c r="B50079" i="1"/>
  <c r="B50075" i="1"/>
  <c r="B50071" i="1"/>
  <c r="B50067" i="1"/>
  <c r="B50064" i="1"/>
  <c r="B50059" i="1"/>
  <c r="B50054" i="1"/>
  <c r="B50049" i="1"/>
  <c r="B50044" i="1"/>
  <c r="B50039" i="1"/>
  <c r="B50034" i="1"/>
  <c r="B50029" i="1"/>
  <c r="B50024" i="1"/>
  <c r="B50019" i="1"/>
  <c r="B50014" i="1"/>
  <c r="B50009" i="1"/>
  <c r="B50004" i="1"/>
  <c r="B49999" i="1"/>
  <c r="B49995" i="1"/>
  <c r="B49990" i="1"/>
  <c r="B49986" i="1"/>
  <c r="B49982" i="1"/>
  <c r="B49978" i="1"/>
  <c r="B49974" i="1"/>
  <c r="B49970" i="1"/>
  <c r="B49967" i="1"/>
  <c r="B49959" i="1"/>
  <c r="B49956" i="1"/>
  <c r="B49952" i="1"/>
  <c r="B49948" i="1"/>
  <c r="B49944" i="1"/>
  <c r="B49940" i="1"/>
  <c r="B49936" i="1"/>
  <c r="B49931" i="1"/>
  <c r="B49926" i="1"/>
  <c r="B49922" i="1"/>
  <c r="B49918" i="1"/>
  <c r="B49914" i="1"/>
  <c r="B49910" i="1"/>
  <c r="B49906" i="1"/>
  <c r="B49902" i="1"/>
  <c r="B49898" i="1"/>
  <c r="B49894" i="1"/>
  <c r="B49890" i="1"/>
  <c r="B49886" i="1"/>
  <c r="B49882" i="1"/>
  <c r="B49878" i="1"/>
  <c r="B49874" i="1"/>
  <c r="B49870" i="1"/>
  <c r="B49866" i="1"/>
  <c r="B49862" i="1"/>
  <c r="B49858" i="1"/>
  <c r="B49854" i="1"/>
  <c r="B49850" i="1"/>
  <c r="B49846" i="1"/>
  <c r="B49842" i="1"/>
  <c r="B49838" i="1"/>
  <c r="B49834" i="1"/>
  <c r="B49829" i="1"/>
  <c r="B49824" i="1"/>
  <c r="B49819" i="1"/>
  <c r="B49814" i="1"/>
  <c r="B49809" i="1"/>
  <c r="B49805" i="1"/>
  <c r="B49801" i="1"/>
  <c r="B49797" i="1"/>
  <c r="B49793" i="1"/>
  <c r="B49789" i="1"/>
  <c r="B49785" i="1"/>
  <c r="B49781" i="1"/>
  <c r="B49777" i="1"/>
  <c r="B49772" i="1"/>
  <c r="B49767" i="1"/>
  <c r="B49762" i="1"/>
  <c r="B49757" i="1"/>
  <c r="B49752" i="1"/>
  <c r="B49747" i="1"/>
  <c r="B49742" i="1"/>
  <c r="B49739" i="1"/>
  <c r="B49735" i="1"/>
  <c r="B49730" i="1"/>
  <c r="B49725" i="1"/>
  <c r="B49720" i="1"/>
  <c r="B49715" i="1"/>
  <c r="B49710" i="1"/>
  <c r="B49705" i="1"/>
  <c r="B49700" i="1"/>
  <c r="B49695" i="1"/>
  <c r="B49690" i="1"/>
  <c r="B49685" i="1"/>
  <c r="B49680" i="1"/>
  <c r="B49675" i="1"/>
  <c r="B49670" i="1"/>
  <c r="B49665" i="1"/>
  <c r="B49662" i="1"/>
  <c r="B49658" i="1"/>
  <c r="B49655" i="1"/>
  <c r="B49651" i="1"/>
  <c r="B49647" i="1"/>
  <c r="B49643" i="1"/>
  <c r="B49638" i="1"/>
  <c r="B49634" i="1"/>
  <c r="B49629" i="1"/>
  <c r="B49624" i="1"/>
  <c r="B49620" i="1"/>
  <c r="B49615" i="1"/>
  <c r="B49610" i="1"/>
  <c r="B49606" i="1"/>
  <c r="B49602" i="1"/>
  <c r="B49598" i="1"/>
  <c r="B49595" i="1"/>
  <c r="B49591" i="1"/>
  <c r="B49586" i="1"/>
  <c r="B49581" i="1"/>
  <c r="B49576" i="1"/>
  <c r="B49571" i="1"/>
  <c r="B49566" i="1"/>
  <c r="B49561" i="1"/>
  <c r="B49555" i="1"/>
  <c r="B49551" i="1"/>
  <c r="B49547" i="1"/>
  <c r="B49542" i="1"/>
  <c r="B49537" i="1"/>
  <c r="B49532" i="1"/>
  <c r="B49528" i="1"/>
  <c r="B49524" i="1"/>
  <c r="B49520" i="1"/>
  <c r="B49516" i="1"/>
  <c r="B49512" i="1"/>
  <c r="B49509" i="1"/>
  <c r="B49506" i="1"/>
  <c r="B49503" i="1"/>
  <c r="B49500" i="1"/>
  <c r="B49497" i="1"/>
  <c r="B49493" i="1"/>
  <c r="B49489" i="1"/>
  <c r="B49485" i="1"/>
  <c r="B49480" i="1"/>
  <c r="B49475" i="1"/>
  <c r="B49470" i="1"/>
  <c r="B49465" i="1"/>
  <c r="B49460" i="1"/>
  <c r="B49455" i="1"/>
  <c r="B49450" i="1"/>
  <c r="B49446" i="1"/>
  <c r="B49442" i="1"/>
  <c r="B49438" i="1"/>
  <c r="B49434" i="1"/>
  <c r="B49430" i="1"/>
  <c r="B49426" i="1"/>
  <c r="B49423" i="1"/>
  <c r="B49419" i="1"/>
  <c r="B49415" i="1"/>
  <c r="B49411" i="1"/>
  <c r="B49408" i="1"/>
  <c r="B49404" i="1"/>
  <c r="B49400" i="1"/>
  <c r="B49396" i="1"/>
  <c r="B49392" i="1"/>
  <c r="B49389" i="1"/>
  <c r="B49386" i="1"/>
  <c r="B49383" i="1"/>
  <c r="B49379" i="1"/>
  <c r="B49375" i="1"/>
  <c r="B49371" i="1"/>
  <c r="B49367" i="1"/>
  <c r="B49363" i="1"/>
  <c r="B49359" i="1"/>
  <c r="B49354" i="1"/>
  <c r="B49349" i="1"/>
  <c r="B49344" i="1"/>
  <c r="B49341" i="1"/>
  <c r="B49336" i="1"/>
  <c r="B49332" i="1"/>
  <c r="B49328" i="1"/>
  <c r="B49324" i="1"/>
  <c r="B49320" i="1"/>
  <c r="B49315" i="1"/>
  <c r="B49310" i="1"/>
  <c r="B49307" i="1"/>
  <c r="B49303" i="1"/>
  <c r="B49300" i="1"/>
  <c r="B49297" i="1"/>
  <c r="B49293" i="1"/>
  <c r="B49289" i="1"/>
  <c r="B49285" i="1"/>
  <c r="B49280" i="1"/>
  <c r="B49276" i="1"/>
  <c r="B49273" i="1"/>
  <c r="B49270" i="1"/>
  <c r="B49267" i="1"/>
  <c r="B49264" i="1"/>
  <c r="B49260" i="1"/>
  <c r="B49257" i="1"/>
  <c r="B49253" i="1"/>
  <c r="B49249" i="1"/>
  <c r="B49245" i="1"/>
  <c r="B49241" i="1"/>
  <c r="B49236" i="1"/>
  <c r="B49231" i="1"/>
  <c r="B49226" i="1"/>
  <c r="B49222" i="1"/>
  <c r="B49217" i="1"/>
  <c r="B49211" i="1"/>
  <c r="B49206" i="1"/>
  <c r="B49202" i="1"/>
  <c r="B49198" i="1"/>
  <c r="B49194" i="1"/>
  <c r="B49190" i="1"/>
  <c r="B49185" i="1"/>
  <c r="B49180" i="1"/>
  <c r="B49176" i="1"/>
  <c r="B49172" i="1"/>
  <c r="B49168" i="1"/>
  <c r="B49164" i="1"/>
  <c r="B49160" i="1"/>
  <c r="B49155" i="1"/>
  <c r="B49151" i="1"/>
  <c r="B49146" i="1"/>
  <c r="B49143" i="1"/>
  <c r="B49139" i="1"/>
  <c r="B49136" i="1"/>
  <c r="B49132" i="1"/>
  <c r="B49129" i="1"/>
  <c r="B49125" i="1"/>
  <c r="B49121" i="1"/>
  <c r="B49117" i="1"/>
  <c r="B49113" i="1"/>
  <c r="B49109" i="1"/>
  <c r="B49105" i="1"/>
  <c r="B49101" i="1"/>
  <c r="B49097" i="1"/>
  <c r="B49093" i="1"/>
  <c r="B49089" i="1"/>
  <c r="B49085" i="1"/>
  <c r="B49081" i="1"/>
  <c r="B49078" i="1"/>
  <c r="B49074" i="1"/>
  <c r="B49070" i="1"/>
  <c r="B49066" i="1"/>
  <c r="B49062" i="1"/>
  <c r="B49058" i="1"/>
  <c r="B49054" i="1"/>
  <c r="B49050" i="1"/>
  <c r="B49047" i="1"/>
  <c r="B49044" i="1"/>
  <c r="B49042" i="1"/>
  <c r="B49039" i="1"/>
  <c r="B49036" i="1"/>
  <c r="B49031" i="1"/>
  <c r="B49026" i="1"/>
  <c r="B49023" i="1"/>
  <c r="B49021" i="1"/>
  <c r="B49018" i="1"/>
  <c r="B49015" i="1"/>
  <c r="B49011" i="1"/>
  <c r="B49008" i="1"/>
  <c r="B49004" i="1"/>
  <c r="B49000" i="1"/>
  <c r="B48995" i="1"/>
  <c r="B48991" i="1"/>
  <c r="B48987" i="1"/>
  <c r="B48983" i="1"/>
  <c r="B48980" i="1"/>
  <c r="B48976" i="1"/>
  <c r="B48972" i="1"/>
  <c r="B48968" i="1"/>
  <c r="B48964" i="1"/>
  <c r="B48960" i="1"/>
  <c r="B48956" i="1"/>
  <c r="B48952" i="1"/>
  <c r="B48948" i="1"/>
  <c r="B48945" i="1"/>
  <c r="B48941" i="1"/>
  <c r="B48936" i="1"/>
  <c r="B48931" i="1"/>
  <c r="B48927" i="1"/>
  <c r="B48923" i="1"/>
  <c r="B48919" i="1"/>
  <c r="B48915" i="1"/>
  <c r="B48911" i="1"/>
  <c r="B48907" i="1"/>
  <c r="B48904" i="1"/>
  <c r="B48900" i="1"/>
  <c r="B48896" i="1"/>
  <c r="B48889" i="1"/>
  <c r="B48886" i="1"/>
  <c r="B48880" i="1"/>
  <c r="B48874" i="1"/>
  <c r="B48870" i="1"/>
  <c r="B48866" i="1"/>
  <c r="B48862" i="1"/>
  <c r="B48858" i="1"/>
  <c r="B48852" i="1"/>
  <c r="B48848" i="1"/>
  <c r="B48843" i="1"/>
  <c r="B48839" i="1"/>
  <c r="B48835" i="1"/>
  <c r="B48829" i="1"/>
  <c r="B48824" i="1"/>
  <c r="B48821" i="1"/>
  <c r="B48817" i="1"/>
  <c r="B48814" i="1"/>
  <c r="B48811" i="1"/>
  <c r="B48807" i="1"/>
  <c r="B48803" i="1"/>
  <c r="B48799" i="1"/>
  <c r="B48795" i="1"/>
  <c r="B48791" i="1"/>
  <c r="B48780" i="1"/>
  <c r="B48769" i="1"/>
  <c r="B48758" i="1"/>
  <c r="B48753" i="1"/>
  <c r="B48750" i="1"/>
  <c r="B48746" i="1"/>
  <c r="B48742" i="1"/>
  <c r="B48738" i="1"/>
  <c r="B48734" i="1"/>
  <c r="B48730" i="1"/>
  <c r="B48727" i="1"/>
  <c r="B48723" i="1"/>
  <c r="B48719" i="1"/>
  <c r="B48715" i="1"/>
  <c r="B48711" i="1"/>
  <c r="B48708" i="1"/>
  <c r="B48704" i="1"/>
  <c r="B48701" i="1"/>
  <c r="B48697" i="1"/>
  <c r="B48693" i="1"/>
  <c r="B48689" i="1"/>
  <c r="B48684" i="1"/>
  <c r="B48681" i="1"/>
  <c r="B48677" i="1"/>
  <c r="B48673" i="1"/>
  <c r="B48669" i="1"/>
  <c r="B48666" i="1"/>
  <c r="B48662" i="1"/>
  <c r="B48658" i="1"/>
  <c r="B48655" i="1"/>
  <c r="B48650" i="1"/>
  <c r="B48646" i="1"/>
  <c r="B48643" i="1"/>
  <c r="B48639" i="1"/>
  <c r="B48635" i="1"/>
  <c r="B48631" i="1"/>
  <c r="B48627" i="1"/>
  <c r="B48623" i="1"/>
  <c r="B48619" i="1"/>
  <c r="B48615" i="1"/>
  <c r="B48611" i="1"/>
  <c r="B48608" i="1"/>
  <c r="B48603" i="1"/>
  <c r="B48599" i="1"/>
  <c r="B48596" i="1"/>
  <c r="B48592" i="1"/>
  <c r="B48589" i="1"/>
  <c r="B48585" i="1"/>
  <c r="B48581" i="1"/>
  <c r="B48577" i="1"/>
  <c r="B48573" i="1"/>
  <c r="B48569" i="1"/>
  <c r="B48565" i="1"/>
  <c r="B48561" i="1"/>
  <c r="B48557" i="1"/>
  <c r="B48552" i="1"/>
  <c r="B48548" i="1"/>
  <c r="B48543" i="1"/>
  <c r="B48538" i="1"/>
  <c r="B48532" i="1"/>
  <c r="B48529" i="1"/>
  <c r="B48524" i="1"/>
  <c r="B48521" i="1"/>
  <c r="B48516" i="1"/>
  <c r="B48511" i="1"/>
  <c r="B48507" i="1"/>
  <c r="B48503" i="1"/>
  <c r="B48499" i="1"/>
  <c r="B48495" i="1"/>
  <c r="B48491" i="1"/>
  <c r="B48487" i="1"/>
  <c r="B48483" i="1"/>
  <c r="B48479" i="1"/>
  <c r="B48475" i="1"/>
  <c r="B48471" i="1"/>
  <c r="B48467" i="1"/>
  <c r="B48463" i="1"/>
  <c r="B48459" i="1"/>
  <c r="B48456" i="1"/>
  <c r="B48452" i="1"/>
  <c r="B48448" i="1"/>
  <c r="B48445" i="1"/>
  <c r="B48442" i="1"/>
  <c r="B48439" i="1"/>
  <c r="B48436" i="1"/>
  <c r="B48432" i="1"/>
  <c r="B48428" i="1"/>
  <c r="B48423" i="1"/>
  <c r="B48419" i="1"/>
  <c r="B48413" i="1"/>
  <c r="B48408" i="1"/>
  <c r="B48404" i="1"/>
  <c r="B48400" i="1"/>
  <c r="B48397" i="1"/>
  <c r="B48393" i="1"/>
  <c r="B48389" i="1"/>
  <c r="B48384" i="1"/>
  <c r="B48379" i="1"/>
  <c r="B48375" i="1"/>
  <c r="B48371" i="1"/>
  <c r="B48367" i="1"/>
  <c r="B48363" i="1"/>
  <c r="B48359" i="1"/>
  <c r="B48354" i="1"/>
  <c r="B48349" i="1"/>
  <c r="B48345" i="1"/>
  <c r="B48341" i="1"/>
  <c r="B48336" i="1"/>
  <c r="B48331" i="1"/>
  <c r="B48327" i="1"/>
  <c r="B48322" i="1"/>
  <c r="B48317" i="1"/>
  <c r="B48313" i="1"/>
  <c r="B48309" i="1"/>
  <c r="B48305" i="1"/>
  <c r="B48300" i="1"/>
  <c r="B48295" i="1"/>
  <c r="B48290" i="1"/>
  <c r="B48286" i="1"/>
  <c r="B48282" i="1"/>
  <c r="B48278" i="1"/>
  <c r="B48273" i="1"/>
  <c r="B48269" i="1"/>
  <c r="B48264" i="1"/>
  <c r="B48259" i="1"/>
  <c r="B48254" i="1"/>
  <c r="B48250" i="1"/>
  <c r="B48246" i="1"/>
  <c r="B48242" i="1"/>
  <c r="B48238" i="1"/>
  <c r="B48234" i="1"/>
  <c r="B48230" i="1"/>
  <c r="B48226" i="1"/>
  <c r="B48222" i="1"/>
  <c r="B48219" i="1"/>
  <c r="B48215" i="1"/>
  <c r="B48211" i="1"/>
  <c r="B48207" i="1"/>
  <c r="B48202" i="1"/>
  <c r="B48198" i="1"/>
  <c r="B48194" i="1"/>
  <c r="B48189" i="1"/>
  <c r="B48184" i="1"/>
  <c r="B48179" i="1"/>
  <c r="B48173" i="1"/>
  <c r="B48168" i="1"/>
  <c r="B48163" i="1"/>
  <c r="B48158" i="1"/>
  <c r="B48154" i="1"/>
  <c r="B48151" i="1"/>
  <c r="B48147" i="1"/>
  <c r="B48143" i="1"/>
  <c r="B48139" i="1"/>
  <c r="B48134" i="1"/>
  <c r="B48130" i="1"/>
  <c r="B48126" i="1"/>
  <c r="B48120" i="1"/>
  <c r="B48114" i="1"/>
  <c r="B48108" i="1"/>
  <c r="B48104" i="1"/>
  <c r="B48098" i="1"/>
  <c r="B48093" i="1"/>
  <c r="B48089" i="1"/>
  <c r="B48085" i="1"/>
  <c r="B48081" i="1"/>
  <c r="B48077" i="1"/>
  <c r="B48073" i="1"/>
  <c r="B48069" i="1"/>
  <c r="B48065" i="1"/>
  <c r="B48060" i="1"/>
  <c r="B48055" i="1"/>
  <c r="B48051" i="1"/>
  <c r="B48047" i="1"/>
  <c r="B48043" i="1"/>
  <c r="B48039" i="1"/>
  <c r="B48035" i="1"/>
  <c r="B48031" i="1"/>
  <c r="B48027" i="1"/>
  <c r="B48023" i="1"/>
  <c r="B48018" i="1"/>
  <c r="B48014" i="1"/>
  <c r="B48011" i="1"/>
  <c r="B48008" i="1"/>
  <c r="B48004" i="1"/>
  <c r="B48001" i="1"/>
  <c r="B47995" i="1"/>
  <c r="B47989" i="1"/>
  <c r="B47983" i="1"/>
  <c r="B47979" i="1"/>
  <c r="B47975" i="1"/>
  <c r="B47970" i="1"/>
  <c r="B47965" i="1"/>
  <c r="B47960" i="1"/>
  <c r="B47956" i="1"/>
  <c r="B47952" i="1"/>
  <c r="B47948" i="1"/>
  <c r="B47944" i="1"/>
  <c r="B47940" i="1"/>
  <c r="B47936" i="1"/>
  <c r="B47932" i="1"/>
  <c r="B47928" i="1"/>
  <c r="B47924" i="1"/>
  <c r="B47920" i="1"/>
  <c r="B47916" i="1"/>
  <c r="B47912" i="1"/>
  <c r="B47908" i="1"/>
  <c r="B47903" i="1"/>
  <c r="B47899" i="1"/>
  <c r="B47895" i="1"/>
  <c r="B47890" i="1"/>
  <c r="B47885" i="1"/>
  <c r="B47880" i="1"/>
  <c r="B47876" i="1"/>
  <c r="B47872" i="1"/>
  <c r="B47868" i="1"/>
  <c r="B47863" i="1"/>
  <c r="B47858" i="1"/>
  <c r="B47853" i="1"/>
  <c r="B47848" i="1"/>
  <c r="B47843" i="1"/>
  <c r="B47838" i="1"/>
  <c r="B47833" i="1"/>
  <c r="B47828" i="1"/>
  <c r="B47823" i="1"/>
  <c r="B47819" i="1"/>
  <c r="B47815" i="1"/>
  <c r="B47811" i="1"/>
  <c r="B47807" i="1"/>
  <c r="B47803" i="1"/>
  <c r="B47799" i="1"/>
  <c r="B47795" i="1"/>
  <c r="B47791" i="1"/>
  <c r="B47787" i="1"/>
  <c r="B47783" i="1"/>
  <c r="B47779" i="1"/>
  <c r="B47774" i="1"/>
  <c r="B47769" i="1"/>
  <c r="B47766" i="1"/>
  <c r="B47763" i="1"/>
  <c r="B47761" i="1"/>
  <c r="B47758" i="1"/>
  <c r="B47754" i="1"/>
  <c r="B47750" i="1"/>
  <c r="B47746" i="1"/>
  <c r="B47742" i="1"/>
  <c r="B47739" i="1"/>
  <c r="B47736" i="1"/>
  <c r="B47732" i="1"/>
  <c r="B47727" i="1"/>
  <c r="B47723" i="1"/>
  <c r="B47718" i="1"/>
  <c r="B47713" i="1"/>
  <c r="B47708" i="1"/>
  <c r="B47704" i="1"/>
  <c r="B47699" i="1"/>
  <c r="B47694" i="1"/>
  <c r="B47689" i="1"/>
  <c r="B47685" i="1"/>
  <c r="B47680" i="1"/>
  <c r="B47676" i="1"/>
  <c r="B47672" i="1"/>
  <c r="B47667" i="1"/>
  <c r="B47662" i="1"/>
  <c r="B47657" i="1"/>
  <c r="B47652" i="1"/>
  <c r="B47647" i="1"/>
  <c r="B47643" i="1"/>
  <c r="B47639" i="1"/>
  <c r="B47635" i="1"/>
  <c r="B47631" i="1"/>
  <c r="B47627" i="1"/>
  <c r="B47623" i="1"/>
  <c r="B47619" i="1"/>
  <c r="B47615" i="1"/>
  <c r="B47611" i="1"/>
  <c r="B47607" i="1"/>
  <c r="B47603" i="1"/>
  <c r="B47599" i="1"/>
  <c r="B47594" i="1"/>
  <c r="B47590" i="1"/>
  <c r="B47586" i="1"/>
  <c r="B47582" i="1"/>
  <c r="B47578" i="1"/>
  <c r="B47574" i="1"/>
  <c r="B47571" i="1"/>
  <c r="B47568" i="1"/>
  <c r="B47565" i="1"/>
  <c r="B47561" i="1"/>
  <c r="B47557" i="1"/>
  <c r="B47553" i="1"/>
  <c r="B47549" i="1"/>
  <c r="B47545" i="1"/>
  <c r="B47541" i="1"/>
  <c r="B47535" i="1"/>
  <c r="B47529" i="1"/>
  <c r="B47525" i="1"/>
  <c r="B47520" i="1"/>
  <c r="B47516" i="1"/>
  <c r="B47511" i="1"/>
  <c r="B47507" i="1"/>
  <c r="B47502" i="1"/>
  <c r="B47498" i="1"/>
  <c r="B47494" i="1"/>
  <c r="B47490" i="1"/>
  <c r="B47487" i="1"/>
  <c r="B47484" i="1"/>
  <c r="B47480" i="1"/>
  <c r="B47475" i="1"/>
  <c r="B47470" i="1"/>
  <c r="B47466" i="1"/>
  <c r="B47462" i="1"/>
  <c r="B47458" i="1"/>
  <c r="B47454" i="1"/>
  <c r="B47450" i="1"/>
  <c r="B47445" i="1"/>
  <c r="B47440" i="1"/>
  <c r="B47435" i="1"/>
  <c r="B47431" i="1"/>
  <c r="B47427" i="1"/>
  <c r="B47423" i="1"/>
  <c r="B47419" i="1"/>
  <c r="B47416" i="1"/>
  <c r="B47412" i="1"/>
  <c r="B47410" i="1"/>
  <c r="B47406" i="1"/>
  <c r="B47401" i="1"/>
  <c r="B47397" i="1"/>
  <c r="B47393" i="1"/>
  <c r="B47389" i="1"/>
  <c r="B47384" i="1"/>
  <c r="B47380" i="1"/>
  <c r="B47376" i="1"/>
  <c r="B47372" i="1"/>
  <c r="B47367" i="1"/>
  <c r="B47363" i="1"/>
  <c r="B47359" i="1"/>
  <c r="B47354" i="1"/>
  <c r="B47350" i="1"/>
  <c r="B47345" i="1"/>
  <c r="B47341" i="1"/>
  <c r="B47336" i="1"/>
  <c r="B47331" i="1"/>
  <c r="B47327" i="1"/>
  <c r="B47323" i="1"/>
  <c r="B47319" i="1"/>
  <c r="B47314" i="1"/>
  <c r="B47309" i="1"/>
  <c r="B47304" i="1"/>
  <c r="B47298" i="1"/>
  <c r="B47293" i="1"/>
  <c r="B47288" i="1"/>
  <c r="B47284" i="1"/>
  <c r="B47280" i="1"/>
  <c r="B47276" i="1"/>
  <c r="B47272" i="1"/>
  <c r="B47268" i="1"/>
  <c r="B47264" i="1"/>
  <c r="B47260" i="1"/>
  <c r="B47256" i="1"/>
  <c r="B47252" i="1"/>
  <c r="B47248" i="1"/>
  <c r="B47244" i="1"/>
  <c r="B47240" i="1"/>
  <c r="B47236" i="1"/>
  <c r="B47232" i="1"/>
  <c r="B47228" i="1"/>
  <c r="B47225" i="1"/>
  <c r="B47221" i="1"/>
  <c r="B47217" i="1"/>
  <c r="B47213" i="1"/>
  <c r="B47209" i="1"/>
  <c r="B47204" i="1"/>
  <c r="B47200" i="1"/>
  <c r="B47197" i="1"/>
  <c r="B47193" i="1"/>
  <c r="B47189" i="1"/>
  <c r="B47185" i="1"/>
  <c r="B47180" i="1"/>
  <c r="B47175" i="1"/>
  <c r="B47171" i="1"/>
  <c r="B47167" i="1"/>
  <c r="B47163" i="1"/>
  <c r="B47159" i="1"/>
  <c r="B47155" i="1"/>
  <c r="B47152" i="1"/>
  <c r="B47149" i="1"/>
  <c r="B47145" i="1"/>
  <c r="B47141" i="1"/>
  <c r="B47137" i="1"/>
  <c r="B47133" i="1"/>
  <c r="B47128" i="1"/>
  <c r="B47125" i="1"/>
  <c r="B47122" i="1"/>
  <c r="B47117" i="1"/>
  <c r="B47111" i="1"/>
  <c r="B47105" i="1"/>
  <c r="B47099" i="1"/>
  <c r="B47095" i="1"/>
  <c r="B47091" i="1"/>
  <c r="B47088" i="1"/>
  <c r="B47085" i="1"/>
  <c r="B47082" i="1"/>
  <c r="B47077" i="1"/>
  <c r="B47073" i="1"/>
  <c r="B47069" i="1"/>
  <c r="B47065" i="1"/>
  <c r="B47061" i="1"/>
  <c r="B47057" i="1"/>
  <c r="B47053" i="1"/>
  <c r="B47049" i="1"/>
  <c r="B47045" i="1"/>
  <c r="B47041" i="1"/>
  <c r="B47037" i="1"/>
  <c r="B47033" i="1"/>
  <c r="B47029" i="1"/>
  <c r="B47024" i="1"/>
  <c r="B47019" i="1"/>
  <c r="B47016" i="1"/>
  <c r="B47013" i="1"/>
  <c r="B47009" i="1"/>
  <c r="B47005" i="1"/>
  <c r="B47000" i="1"/>
  <c r="B46995" i="1"/>
  <c r="B46990" i="1"/>
  <c r="B46985" i="1"/>
  <c r="B46981" i="1"/>
  <c r="B46977" i="1"/>
  <c r="B46973" i="1"/>
  <c r="B46968" i="1"/>
  <c r="B46963" i="1"/>
  <c r="B46958" i="1"/>
  <c r="B46952" i="1"/>
  <c r="B46948" i="1"/>
  <c r="B46944" i="1"/>
  <c r="B46939" i="1"/>
  <c r="B46934" i="1"/>
  <c r="B46929" i="1"/>
  <c r="B46926" i="1"/>
  <c r="B46922" i="1"/>
  <c r="B46918" i="1"/>
  <c r="B46914" i="1"/>
  <c r="B46910" i="1"/>
  <c r="B46906" i="1"/>
  <c r="B46902" i="1"/>
  <c r="B46897" i="1"/>
  <c r="B46892" i="1"/>
  <c r="B46887" i="1"/>
  <c r="B46882" i="1"/>
  <c r="B46877" i="1"/>
  <c r="B46872" i="1"/>
  <c r="B46868" i="1"/>
  <c r="B46857" i="1"/>
  <c r="B46852" i="1"/>
  <c r="B46849" i="1"/>
  <c r="B46845" i="1"/>
  <c r="B46841" i="1"/>
  <c r="B46836" i="1"/>
  <c r="B46832" i="1"/>
  <c r="B46827" i="1"/>
  <c r="B46824" i="1"/>
  <c r="B46819" i="1"/>
  <c r="B46814" i="1"/>
  <c r="B46809" i="1"/>
  <c r="B46804" i="1"/>
  <c r="B46800" i="1"/>
  <c r="B46795" i="1"/>
  <c r="B46790" i="1"/>
  <c r="B46785" i="1"/>
  <c r="B46780" i="1"/>
  <c r="B46775" i="1"/>
  <c r="B46772" i="1"/>
  <c r="B46767" i="1"/>
  <c r="B46763" i="1"/>
  <c r="B46759" i="1"/>
  <c r="B46754" i="1"/>
  <c r="B46750" i="1"/>
  <c r="B46745" i="1"/>
  <c r="B46740" i="1"/>
  <c r="B46735" i="1"/>
  <c r="B46731" i="1"/>
  <c r="B46727" i="1"/>
  <c r="B46723" i="1"/>
  <c r="B46719" i="1"/>
  <c r="B46716" i="1"/>
  <c r="B46713" i="1"/>
  <c r="B46709" i="1"/>
  <c r="B46705" i="1"/>
  <c r="B46701" i="1"/>
  <c r="B46697" i="1"/>
  <c r="B46693" i="1"/>
  <c r="B46689" i="1"/>
  <c r="B46685" i="1"/>
  <c r="B46682" i="1"/>
  <c r="B46677" i="1"/>
  <c r="B46672" i="1"/>
  <c r="B46668" i="1"/>
  <c r="B46664" i="1"/>
  <c r="B46661" i="1"/>
  <c r="B46656" i="1"/>
  <c r="B46652" i="1"/>
  <c r="B46647" i="1"/>
  <c r="B46642" i="1"/>
  <c r="B46637" i="1"/>
  <c r="B46633" i="1"/>
  <c r="B46629" i="1"/>
  <c r="B46626" i="1"/>
  <c r="B46621" i="1"/>
  <c r="B46616" i="1"/>
  <c r="B46612" i="1"/>
  <c r="B46608" i="1"/>
  <c r="B46604" i="1"/>
  <c r="B46600" i="1"/>
  <c r="B46596" i="1"/>
  <c r="B46594" i="1"/>
  <c r="B46591" i="1"/>
  <c r="B46586" i="1"/>
  <c r="B46581" i="1"/>
  <c r="B46575" i="1"/>
  <c r="B46571" i="1"/>
  <c r="B46566" i="1"/>
  <c r="B46561" i="1"/>
  <c r="B46557" i="1"/>
  <c r="B46551" i="1"/>
  <c r="B46546" i="1"/>
  <c r="B46542" i="1"/>
  <c r="B46536" i="1"/>
  <c r="B46532" i="1"/>
  <c r="B46528" i="1"/>
  <c r="B46523" i="1"/>
  <c r="B46519" i="1"/>
  <c r="B46515" i="1"/>
  <c r="B46511" i="1"/>
  <c r="B46507" i="1"/>
  <c r="B46504" i="1"/>
  <c r="B46500" i="1"/>
  <c r="B46496" i="1"/>
  <c r="B46492" i="1"/>
  <c r="B46488" i="1"/>
  <c r="B46484" i="1"/>
  <c r="B46480" i="1"/>
  <c r="B46476" i="1"/>
  <c r="B46472" i="1"/>
  <c r="B46468" i="1"/>
  <c r="B46464" i="1"/>
  <c r="B46460" i="1"/>
  <c r="B46456" i="1"/>
  <c r="B46451" i="1"/>
  <c r="B46447" i="1"/>
  <c r="B46443" i="1"/>
  <c r="B46439" i="1"/>
  <c r="B46434" i="1"/>
  <c r="B46429" i="1"/>
  <c r="B46425" i="1"/>
  <c r="B46421" i="1"/>
  <c r="B46417" i="1"/>
  <c r="B46409" i="1"/>
  <c r="B46401" i="1"/>
  <c r="B46396" i="1"/>
  <c r="B46391" i="1"/>
  <c r="B46388" i="1"/>
  <c r="B46383" i="1"/>
  <c r="B46378" i="1"/>
  <c r="B46373" i="1"/>
  <c r="B46368" i="1"/>
  <c r="B46363" i="1"/>
  <c r="B46359" i="1"/>
  <c r="B46355" i="1"/>
  <c r="B46351" i="1"/>
  <c r="B46347" i="1"/>
  <c r="B46342" i="1"/>
  <c r="B46337" i="1"/>
  <c r="B46332" i="1"/>
  <c r="B46327" i="1"/>
  <c r="B46323" i="1"/>
  <c r="B46320" i="1"/>
  <c r="B46317" i="1"/>
  <c r="B46313" i="1"/>
  <c r="B46309" i="1"/>
  <c r="B46305" i="1"/>
  <c r="B46300" i="1"/>
  <c r="B46294" i="1"/>
  <c r="B46290" i="1"/>
  <c r="B46286" i="1"/>
  <c r="B46281" i="1"/>
  <c r="B46276" i="1"/>
  <c r="B46270" i="1"/>
  <c r="B46266" i="1"/>
  <c r="B46262" i="1"/>
  <c r="B46258" i="1"/>
  <c r="B46254" i="1"/>
  <c r="B46250" i="1"/>
  <c r="B46246" i="1"/>
  <c r="B46242" i="1"/>
  <c r="B46238" i="1"/>
  <c r="B46234" i="1"/>
  <c r="B46230" i="1"/>
  <c r="B46226" i="1"/>
  <c r="B46222" i="1"/>
  <c r="B46218" i="1"/>
  <c r="B46213" i="1"/>
  <c r="B46210" i="1"/>
  <c r="B46207" i="1"/>
  <c r="B46203" i="1"/>
  <c r="B46198" i="1"/>
  <c r="B46195" i="1"/>
  <c r="B46189" i="1"/>
  <c r="B46184" i="1"/>
  <c r="B46180" i="1"/>
  <c r="B46176" i="1"/>
  <c r="B46171" i="1"/>
  <c r="B46166" i="1"/>
  <c r="B46160" i="1"/>
  <c r="B46156" i="1"/>
  <c r="B46152" i="1"/>
  <c r="B46148" i="1"/>
  <c r="B46144" i="1"/>
  <c r="B46139" i="1"/>
  <c r="B46134" i="1"/>
  <c r="B46130" i="1"/>
  <c r="B46126" i="1"/>
  <c r="B46121" i="1"/>
  <c r="B46116" i="1"/>
  <c r="B46110" i="1"/>
  <c r="B46107" i="1"/>
  <c r="B46103" i="1"/>
  <c r="B46099" i="1"/>
  <c r="B46093" i="1"/>
  <c r="B46087" i="1"/>
  <c r="B46082" i="1"/>
  <c r="B46078" i="1"/>
  <c r="B46073" i="1"/>
  <c r="B46067" i="1"/>
  <c r="B46063" i="1"/>
  <c r="B46058" i="1"/>
  <c r="B46054" i="1"/>
  <c r="B46050" i="1"/>
  <c r="B46046" i="1"/>
  <c r="B46042" i="1"/>
  <c r="B46038" i="1"/>
  <c r="B46034" i="1"/>
  <c r="B46031" i="1"/>
  <c r="B46027" i="1"/>
  <c r="B46023" i="1"/>
  <c r="B46019" i="1"/>
  <c r="B46015" i="1"/>
  <c r="B46010" i="1"/>
  <c r="B46005" i="1"/>
  <c r="B46000" i="1"/>
  <c r="B45996" i="1"/>
  <c r="B45993" i="1"/>
  <c r="B45990" i="1"/>
  <c r="B45987" i="1"/>
  <c r="B45983" i="1"/>
  <c r="B45979" i="1"/>
  <c r="B45976" i="1"/>
  <c r="B45973" i="1"/>
  <c r="B45969" i="1"/>
  <c r="B45965" i="1"/>
  <c r="B45961" i="1"/>
  <c r="B45957" i="1"/>
  <c r="B45953" i="1"/>
  <c r="B45948" i="1"/>
  <c r="B45945" i="1"/>
  <c r="B45942" i="1"/>
  <c r="B45938" i="1"/>
  <c r="B45934" i="1"/>
  <c r="B45929" i="1"/>
  <c r="B45924" i="1"/>
  <c r="B45919" i="1"/>
  <c r="B45915" i="1"/>
  <c r="B45912" i="1"/>
  <c r="B45908" i="1"/>
  <c r="B45903" i="1"/>
  <c r="B45900" i="1"/>
  <c r="B45896" i="1"/>
  <c r="B45892" i="1"/>
  <c r="B45887" i="1"/>
  <c r="B45884" i="1"/>
  <c r="B45880" i="1"/>
  <c r="B45877" i="1"/>
  <c r="B45873" i="1"/>
  <c r="B45869" i="1"/>
  <c r="B45865" i="1"/>
  <c r="B45860" i="1"/>
  <c r="B45856" i="1"/>
  <c r="B45852" i="1"/>
  <c r="B45847" i="1"/>
  <c r="B45843" i="1"/>
  <c r="B45839" i="1"/>
  <c r="B45835" i="1"/>
  <c r="B45831" i="1"/>
  <c r="B45827" i="1"/>
  <c r="B45823" i="1"/>
  <c r="B45819" i="1"/>
  <c r="B45815" i="1"/>
  <c r="B45811" i="1"/>
  <c r="B45807" i="1"/>
  <c r="B45803" i="1"/>
  <c r="B45800" i="1"/>
  <c r="B45796" i="1"/>
  <c r="B45793" i="1"/>
  <c r="B45790" i="1"/>
  <c r="B45786" i="1"/>
  <c r="B45782" i="1"/>
  <c r="B45778" i="1"/>
  <c r="B45774" i="1"/>
  <c r="B45770" i="1"/>
  <c r="B45766" i="1"/>
  <c r="B45762" i="1"/>
  <c r="B45759" i="1"/>
  <c r="B45755" i="1"/>
  <c r="B45750" i="1"/>
  <c r="B45745" i="1"/>
  <c r="B45741" i="1"/>
  <c r="B45737" i="1"/>
  <c r="B45733" i="1"/>
  <c r="B45729" i="1"/>
  <c r="B45725" i="1"/>
  <c r="B45721" i="1"/>
  <c r="B45716" i="1"/>
  <c r="B45711" i="1"/>
  <c r="B45707" i="1"/>
  <c r="B45702" i="1"/>
  <c r="B45697" i="1"/>
  <c r="B45693" i="1"/>
  <c r="B45689" i="1"/>
  <c r="B45684" i="1"/>
  <c r="B45680" i="1"/>
  <c r="B45676" i="1"/>
  <c r="B45672" i="1"/>
  <c r="B45668" i="1"/>
  <c r="B45664" i="1"/>
  <c r="B45660" i="1"/>
  <c r="B45655" i="1"/>
  <c r="B45651" i="1"/>
  <c r="B45647" i="1"/>
  <c r="B45643" i="1"/>
  <c r="B45639" i="1"/>
  <c r="B45635" i="1"/>
  <c r="B45630" i="1"/>
  <c r="B45625" i="1"/>
  <c r="B45620" i="1"/>
  <c r="B45615" i="1"/>
  <c r="B45610" i="1"/>
  <c r="B45605" i="1"/>
  <c r="B45601" i="1"/>
  <c r="B45596" i="1"/>
  <c r="B45591" i="1"/>
  <c r="B45585" i="1"/>
  <c r="B45581" i="1"/>
  <c r="B45576" i="1"/>
  <c r="B45571" i="1"/>
  <c r="B45567" i="1"/>
  <c r="B45562" i="1"/>
  <c r="B45557" i="1"/>
  <c r="B45551" i="1"/>
  <c r="B45547" i="1"/>
  <c r="B45542" i="1"/>
  <c r="B45537" i="1"/>
  <c r="B45534" i="1"/>
  <c r="B45529" i="1"/>
  <c r="B45524" i="1"/>
  <c r="B45519" i="1"/>
  <c r="B45515" i="1"/>
  <c r="B45511" i="1"/>
  <c r="B45506" i="1"/>
  <c r="B45501" i="1"/>
  <c r="B45495" i="1"/>
  <c r="B45489" i="1"/>
  <c r="B45484" i="1"/>
  <c r="B45481" i="1"/>
  <c r="B45477" i="1"/>
  <c r="B45474" i="1"/>
  <c r="B45471" i="1"/>
  <c r="B45467" i="1"/>
  <c r="B45463" i="1"/>
  <c r="B45458" i="1"/>
  <c r="B45453" i="1"/>
  <c r="B45450" i="1"/>
  <c r="B45446" i="1"/>
  <c r="B45442" i="1"/>
  <c r="B45438" i="1"/>
  <c r="B45433" i="1"/>
  <c r="B45428" i="1"/>
  <c r="B45424" i="1"/>
  <c r="B45420" i="1"/>
  <c r="B45416" i="1"/>
  <c r="B45412" i="1"/>
  <c r="B45408" i="1"/>
  <c r="B45403" i="1"/>
  <c r="B45398" i="1"/>
  <c r="B45393" i="1"/>
  <c r="B45389" i="1"/>
  <c r="B45385" i="1"/>
  <c r="B45380" i="1"/>
  <c r="B45375" i="1"/>
  <c r="B45370" i="1"/>
  <c r="B45366" i="1"/>
  <c r="B45362" i="1"/>
  <c r="B45358" i="1"/>
  <c r="B45354" i="1"/>
  <c r="B45350" i="1"/>
  <c r="B45346" i="1"/>
  <c r="B45342" i="1"/>
  <c r="B45338" i="1"/>
  <c r="B45334" i="1"/>
  <c r="B45330" i="1"/>
  <c r="B45325" i="1"/>
  <c r="B45322" i="1"/>
  <c r="B45319" i="1"/>
  <c r="B45314" i="1"/>
  <c r="B45310" i="1"/>
  <c r="B45306" i="1"/>
  <c r="B45302" i="1"/>
  <c r="B45298" i="1"/>
  <c r="B45294" i="1"/>
  <c r="B45289" i="1"/>
  <c r="B45285" i="1"/>
  <c r="B45281" i="1"/>
  <c r="B45277" i="1"/>
  <c r="B45273" i="1"/>
  <c r="B45269" i="1"/>
  <c r="B45265" i="1"/>
  <c r="B45261" i="1"/>
  <c r="B45257" i="1"/>
  <c r="B45252" i="1"/>
  <c r="B45247" i="1"/>
  <c r="B45242" i="1"/>
  <c r="B45238" i="1"/>
  <c r="B45233" i="1"/>
  <c r="B45228" i="1"/>
  <c r="B45224" i="1"/>
  <c r="B45220" i="1"/>
  <c r="B45216" i="1"/>
  <c r="B45212" i="1"/>
  <c r="B45208" i="1"/>
  <c r="B45204" i="1"/>
  <c r="B45200" i="1"/>
  <c r="B45196" i="1"/>
  <c r="B45191" i="1"/>
  <c r="B45186" i="1"/>
  <c r="B45181" i="1"/>
  <c r="B45177" i="1"/>
  <c r="B45172" i="1"/>
  <c r="B45168" i="1"/>
  <c r="B45165" i="1"/>
  <c r="B45161" i="1"/>
  <c r="B45157" i="1"/>
  <c r="B45154" i="1"/>
  <c r="B45150" i="1"/>
  <c r="B45146" i="1"/>
  <c r="B45142" i="1"/>
  <c r="B45140" i="1"/>
  <c r="B45137" i="1"/>
  <c r="B45133" i="1"/>
  <c r="B45128" i="1"/>
  <c r="B45123" i="1"/>
  <c r="B45117" i="1"/>
  <c r="B45113" i="1"/>
  <c r="B45108" i="1"/>
  <c r="B45103" i="1"/>
  <c r="B45099" i="1"/>
  <c r="B45095" i="1"/>
  <c r="B45091" i="1"/>
  <c r="B45087" i="1"/>
  <c r="B45083" i="1"/>
  <c r="B45078" i="1"/>
  <c r="B45074" i="1"/>
  <c r="B45070" i="1"/>
  <c r="B45066" i="1"/>
  <c r="B45062" i="1"/>
  <c r="B45058" i="1"/>
  <c r="B45054" i="1"/>
  <c r="B45050" i="1"/>
  <c r="B45046" i="1"/>
  <c r="B45039" i="1"/>
  <c r="B45035" i="1"/>
  <c r="B45031" i="1"/>
  <c r="B45027" i="1"/>
  <c r="B45023" i="1"/>
  <c r="B45019" i="1"/>
  <c r="B45014" i="1"/>
  <c r="B45008" i="1"/>
  <c r="B45003" i="1"/>
  <c r="B44997" i="1"/>
  <c r="B44993" i="1"/>
  <c r="B44989" i="1"/>
  <c r="B44985" i="1"/>
  <c r="B44981" i="1"/>
  <c r="B44976" i="1"/>
  <c r="B44970" i="1"/>
  <c r="B44966" i="1"/>
  <c r="B44961" i="1"/>
  <c r="B44956" i="1"/>
  <c r="B44951" i="1"/>
  <c r="B44946" i="1"/>
  <c r="B44940" i="1"/>
  <c r="B44934" i="1"/>
  <c r="B44931" i="1"/>
  <c r="B44926" i="1"/>
  <c r="B44921" i="1"/>
  <c r="B44917" i="1"/>
  <c r="B44913" i="1"/>
  <c r="B44909" i="1"/>
  <c r="B44905" i="1"/>
  <c r="B44901" i="1"/>
  <c r="B44896" i="1"/>
  <c r="B44892" i="1"/>
  <c r="B44887" i="1"/>
  <c r="B44882" i="1"/>
  <c r="B44878" i="1"/>
  <c r="B44874" i="1"/>
  <c r="B44869" i="1"/>
  <c r="B44863" i="1"/>
  <c r="B44858" i="1"/>
  <c r="B44856" i="1"/>
  <c r="B44851" i="1"/>
  <c r="B44848" i="1"/>
  <c r="B44844" i="1"/>
  <c r="B44841" i="1"/>
  <c r="B44836" i="1"/>
  <c r="B44831" i="1"/>
  <c r="B44827" i="1"/>
  <c r="B44822" i="1"/>
  <c r="B44817" i="1"/>
  <c r="B44812" i="1"/>
  <c r="B44807" i="1"/>
  <c r="B44803" i="1"/>
  <c r="B44799" i="1"/>
  <c r="B44796" i="1"/>
  <c r="B44792" i="1"/>
  <c r="B44788" i="1"/>
  <c r="B44784" i="1"/>
  <c r="B44780" i="1"/>
  <c r="B44776" i="1"/>
  <c r="B44771" i="1"/>
  <c r="B44767" i="1"/>
  <c r="B44763" i="1"/>
  <c r="B44757" i="1"/>
  <c r="B44753" i="1"/>
  <c r="B44747" i="1"/>
  <c r="B44743" i="1"/>
  <c r="B44739" i="1"/>
  <c r="B44735" i="1"/>
  <c r="B44730" i="1"/>
  <c r="B44726" i="1"/>
  <c r="B44722" i="1"/>
  <c r="B44717" i="1"/>
  <c r="B44712" i="1"/>
  <c r="B44708" i="1"/>
  <c r="B44705" i="1"/>
  <c r="B44701" i="1"/>
  <c r="B44697" i="1"/>
  <c r="B44693" i="1"/>
  <c r="B44687" i="1"/>
  <c r="B44683" i="1"/>
  <c r="B44679" i="1"/>
  <c r="B44675" i="1"/>
  <c r="B44670" i="1"/>
  <c r="B44665" i="1"/>
  <c r="B44660" i="1"/>
  <c r="B44655" i="1"/>
  <c r="B44651" i="1"/>
  <c r="B44647" i="1"/>
  <c r="B44643" i="1"/>
  <c r="B44638" i="1"/>
  <c r="B44632" i="1"/>
  <c r="B44628" i="1"/>
  <c r="B44625" i="1"/>
  <c r="B44622" i="1"/>
  <c r="B44618" i="1"/>
  <c r="B44613" i="1"/>
  <c r="B44609" i="1"/>
  <c r="B44605" i="1"/>
  <c r="B44600" i="1"/>
  <c r="B44595" i="1"/>
  <c r="B44590" i="1"/>
  <c r="B44585" i="1"/>
  <c r="B44581" i="1"/>
  <c r="B44577" i="1"/>
  <c r="B44573" i="1"/>
  <c r="B44569" i="1"/>
  <c r="B44565" i="1"/>
  <c r="B44561" i="1"/>
  <c r="B44557" i="1"/>
  <c r="B44552" i="1"/>
  <c r="B44546" i="1"/>
  <c r="B44541" i="1"/>
  <c r="B44536" i="1"/>
  <c r="B44533" i="1"/>
  <c r="B44529" i="1"/>
  <c r="B44526" i="1"/>
  <c r="B44523" i="1"/>
  <c r="B44519" i="1"/>
  <c r="B44515" i="1"/>
  <c r="B44511" i="1"/>
  <c r="B44507" i="1"/>
  <c r="B44502" i="1"/>
  <c r="B44497" i="1"/>
  <c r="B44491" i="1"/>
  <c r="B44487" i="1"/>
  <c r="B44483" i="1"/>
  <c r="B44479" i="1"/>
  <c r="B44474" i="1"/>
  <c r="B44469" i="1"/>
  <c r="B44464" i="1"/>
  <c r="B44459" i="1"/>
  <c r="B44454" i="1"/>
  <c r="B44450" i="1"/>
  <c r="B44444" i="1"/>
  <c r="B44441" i="1"/>
  <c r="B44437" i="1"/>
  <c r="B44433" i="1"/>
  <c r="B44430" i="1"/>
  <c r="B44427" i="1"/>
  <c r="B44423" i="1"/>
  <c r="B44419" i="1"/>
  <c r="B44415" i="1"/>
  <c r="B44411" i="1"/>
  <c r="B44407" i="1"/>
  <c r="B44403" i="1"/>
  <c r="B44399" i="1"/>
  <c r="B44395" i="1"/>
  <c r="B44391" i="1"/>
  <c r="B44386" i="1"/>
  <c r="B44383" i="1"/>
  <c r="B44380" i="1"/>
  <c r="B44376" i="1"/>
  <c r="B44371" i="1"/>
  <c r="B44366" i="1"/>
  <c r="B44362" i="1"/>
  <c r="B44358" i="1"/>
  <c r="B44354" i="1"/>
  <c r="B44350" i="1"/>
  <c r="B44345" i="1"/>
  <c r="B44341" i="1"/>
  <c r="B44338" i="1"/>
  <c r="B44335" i="1"/>
  <c r="B44332" i="1"/>
  <c r="B44327" i="1"/>
  <c r="B44324" i="1"/>
  <c r="B44320" i="1"/>
  <c r="B44316" i="1"/>
  <c r="B44312" i="1"/>
  <c r="B44306" i="1"/>
  <c r="B44301" i="1"/>
  <c r="B44295" i="1"/>
  <c r="B44290" i="1"/>
  <c r="B44286" i="1"/>
  <c r="B44282" i="1"/>
  <c r="B44278" i="1"/>
  <c r="B44273" i="1"/>
  <c r="B44269" i="1"/>
  <c r="B44265" i="1"/>
  <c r="B44261" i="1"/>
  <c r="B44257" i="1"/>
  <c r="B44253" i="1"/>
  <c r="B44248" i="1"/>
  <c r="B44242" i="1"/>
  <c r="B44239" i="1"/>
  <c r="B44236" i="1"/>
  <c r="B44231" i="1"/>
  <c r="B44227" i="1"/>
  <c r="B44223" i="1"/>
  <c r="B44219" i="1"/>
  <c r="B44211" i="1"/>
  <c r="B44203" i="1"/>
  <c r="B44195" i="1"/>
  <c r="B44192" i="1"/>
  <c r="B44187" i="1"/>
  <c r="B44182" i="1"/>
  <c r="B44177" i="1"/>
  <c r="B44172" i="1"/>
  <c r="B44168" i="1"/>
  <c r="B44164" i="1"/>
  <c r="B44160" i="1"/>
  <c r="B44156" i="1"/>
  <c r="B44152" i="1"/>
  <c r="B44148" i="1"/>
  <c r="B44144" i="1"/>
  <c r="B44140" i="1"/>
  <c r="B44136" i="1"/>
  <c r="B44133" i="1"/>
  <c r="B44129" i="1"/>
  <c r="B44125" i="1"/>
  <c r="B44121" i="1"/>
  <c r="B44116" i="1"/>
  <c r="B44111" i="1"/>
  <c r="B44106" i="1"/>
  <c r="B44101" i="1"/>
  <c r="B44096" i="1"/>
  <c r="B44092" i="1"/>
  <c r="B44088" i="1"/>
  <c r="B44084" i="1"/>
  <c r="B44079" i="1"/>
  <c r="B44075" i="1"/>
  <c r="B44072" i="1"/>
  <c r="B44068" i="1"/>
  <c r="B44063" i="1"/>
  <c r="B44057" i="1"/>
  <c r="B44053" i="1"/>
  <c r="B44049" i="1"/>
  <c r="B44046" i="1"/>
  <c r="B44042" i="1"/>
  <c r="B44037" i="1"/>
  <c r="B44033" i="1"/>
  <c r="B44029" i="1"/>
  <c r="B44024" i="1"/>
  <c r="B44020" i="1"/>
  <c r="B44017" i="1"/>
  <c r="B44013" i="1"/>
  <c r="B44010" i="1"/>
  <c r="B44006" i="1"/>
  <c r="B44002" i="1"/>
  <c r="B43998" i="1"/>
  <c r="B43995" i="1"/>
  <c r="B43991" i="1"/>
  <c r="B43987" i="1"/>
  <c r="B43983" i="1"/>
  <c r="B43979" i="1"/>
  <c r="B43975" i="1"/>
  <c r="B43971" i="1"/>
  <c r="B43968" i="1"/>
  <c r="B43964" i="1"/>
  <c r="B43960" i="1"/>
  <c r="B43956" i="1"/>
  <c r="B43953" i="1"/>
  <c r="B43949" i="1"/>
  <c r="B43945" i="1"/>
  <c r="B43941" i="1"/>
  <c r="B43937" i="1"/>
  <c r="B43933" i="1"/>
  <c r="B43929" i="1"/>
  <c r="B43925" i="1"/>
  <c r="B43921" i="1"/>
  <c r="B43917" i="1"/>
  <c r="B43913" i="1"/>
  <c r="B43908" i="1"/>
  <c r="B43903" i="1"/>
  <c r="B43896" i="1"/>
  <c r="B43889" i="1"/>
  <c r="B43883" i="1"/>
  <c r="B43878" i="1"/>
  <c r="B43873" i="1"/>
  <c r="B43869" i="1"/>
  <c r="B43865" i="1"/>
  <c r="B43862" i="1"/>
  <c r="B43858" i="1"/>
  <c r="B43854" i="1"/>
  <c r="B43849" i="1"/>
  <c r="B43845" i="1"/>
  <c r="B43841" i="1"/>
  <c r="B43837" i="1"/>
  <c r="B43833" i="1"/>
  <c r="B43828" i="1"/>
  <c r="B43824" i="1"/>
  <c r="B43820" i="1"/>
  <c r="B43816" i="1"/>
  <c r="B43812" i="1"/>
  <c r="B43808" i="1"/>
  <c r="B43803" i="1"/>
  <c r="B43798" i="1"/>
  <c r="B43793" i="1"/>
  <c r="B43788" i="1"/>
  <c r="B43783" i="1"/>
  <c r="B43779" i="1"/>
  <c r="B43775" i="1"/>
  <c r="B43770" i="1"/>
  <c r="B43766" i="1"/>
  <c r="B43761" i="1"/>
  <c r="B43758" i="1"/>
  <c r="B43754" i="1"/>
  <c r="B43749" i="1"/>
  <c r="B43744" i="1"/>
  <c r="B43739" i="1"/>
  <c r="B43734" i="1"/>
  <c r="B43729" i="1"/>
  <c r="B43725" i="1"/>
  <c r="B43721" i="1"/>
  <c r="B43716" i="1"/>
  <c r="B43711" i="1"/>
  <c r="B43708" i="1"/>
  <c r="B43704" i="1"/>
  <c r="B43700" i="1"/>
  <c r="B43696" i="1"/>
  <c r="B43692" i="1"/>
  <c r="B43687" i="1"/>
  <c r="B43683" i="1"/>
  <c r="B43679" i="1"/>
  <c r="B43674" i="1"/>
  <c r="B43670" i="1"/>
  <c r="B43666" i="1"/>
  <c r="B43662" i="1"/>
  <c r="B43657" i="1"/>
  <c r="B43652" i="1"/>
  <c r="B43648" i="1"/>
  <c r="B43644" i="1"/>
  <c r="B43640" i="1"/>
  <c r="B43635" i="1"/>
  <c r="B43631" i="1"/>
  <c r="B43625" i="1"/>
  <c r="B43620" i="1"/>
  <c r="B43616" i="1"/>
  <c r="B43610" i="1"/>
  <c r="B43604" i="1"/>
  <c r="B43598" i="1"/>
  <c r="B43594" i="1"/>
  <c r="B43588" i="1"/>
  <c r="B43584" i="1"/>
  <c r="B43580" i="1"/>
  <c r="B43576" i="1"/>
  <c r="B43572" i="1"/>
  <c r="B43567" i="1"/>
  <c r="B43563" i="1"/>
  <c r="B43558" i="1"/>
  <c r="B43554" i="1"/>
  <c r="B43550" i="1"/>
  <c r="B43546" i="1"/>
  <c r="B43542" i="1"/>
  <c r="B43538" i="1"/>
  <c r="B43533" i="1"/>
  <c r="B43529" i="1"/>
  <c r="B43525" i="1"/>
  <c r="B43521" i="1"/>
  <c r="B43517" i="1"/>
  <c r="B43512" i="1"/>
  <c r="B43508" i="1"/>
  <c r="B43502" i="1"/>
  <c r="B43498" i="1"/>
  <c r="B43494" i="1"/>
  <c r="B43489" i="1"/>
  <c r="B43486" i="1"/>
  <c r="B43482" i="1"/>
  <c r="B43478" i="1"/>
  <c r="B43474" i="1"/>
  <c r="B43469" i="1"/>
  <c r="B43463" i="1"/>
  <c r="B43459" i="1"/>
  <c r="B43455" i="1"/>
  <c r="B43449" i="1"/>
  <c r="B43445" i="1"/>
  <c r="B43443" i="1"/>
  <c r="B43439" i="1"/>
  <c r="B43435" i="1"/>
  <c r="B43431" i="1"/>
  <c r="B43427" i="1"/>
  <c r="B43424" i="1"/>
  <c r="B43421" i="1"/>
  <c r="B43417" i="1"/>
  <c r="B43412" i="1"/>
  <c r="B43408" i="1"/>
  <c r="B43404" i="1"/>
  <c r="B43399" i="1"/>
  <c r="B43395" i="1"/>
  <c r="B43390" i="1"/>
  <c r="B43386" i="1"/>
  <c r="B43382" i="1"/>
  <c r="B43377" i="1"/>
  <c r="B43372" i="1"/>
  <c r="B43367" i="1"/>
  <c r="B43362" i="1"/>
  <c r="B43359" i="1"/>
  <c r="B43354" i="1"/>
  <c r="B43350" i="1"/>
  <c r="B43346" i="1"/>
  <c r="B43343" i="1"/>
  <c r="B43339" i="1"/>
  <c r="B43335" i="1"/>
  <c r="B43331" i="1"/>
  <c r="B43326" i="1"/>
  <c r="B43321" i="1"/>
  <c r="B43318" i="1"/>
  <c r="B43313" i="1"/>
  <c r="B43309" i="1"/>
  <c r="B43305" i="1"/>
  <c r="B43301" i="1"/>
  <c r="B43297" i="1"/>
  <c r="B43293" i="1"/>
  <c r="B43289" i="1"/>
  <c r="B43285" i="1"/>
  <c r="B43281" i="1"/>
  <c r="B43276" i="1"/>
  <c r="B43270" i="1"/>
  <c r="B43265" i="1"/>
  <c r="B43260" i="1"/>
  <c r="B43257" i="1"/>
  <c r="B43254" i="1"/>
  <c r="B43250" i="1"/>
  <c r="B43246" i="1"/>
  <c r="B43243" i="1"/>
  <c r="B43239" i="1"/>
  <c r="B43235" i="1"/>
  <c r="B43231" i="1"/>
  <c r="B43227" i="1"/>
  <c r="B43223" i="1"/>
  <c r="B43220" i="1"/>
  <c r="B43216" i="1"/>
  <c r="B43211" i="1"/>
  <c r="B43206" i="1"/>
  <c r="B43202" i="1"/>
  <c r="B43198" i="1"/>
  <c r="B43193" i="1"/>
  <c r="B43190" i="1"/>
  <c r="B43187" i="1"/>
  <c r="B43184" i="1"/>
  <c r="B43180" i="1"/>
  <c r="B43176" i="1"/>
  <c r="B43172" i="1"/>
  <c r="B43168" i="1"/>
  <c r="B43164" i="1"/>
  <c r="B43160" i="1"/>
  <c r="B43155" i="1"/>
  <c r="B43150" i="1"/>
  <c r="B43146" i="1"/>
  <c r="B43142" i="1"/>
  <c r="B43138" i="1"/>
  <c r="B43134" i="1"/>
  <c r="B43130" i="1"/>
  <c r="B43124" i="1"/>
  <c r="B43121" i="1"/>
  <c r="B43116" i="1"/>
  <c r="B43111" i="1"/>
  <c r="B43106" i="1"/>
  <c r="B43101" i="1"/>
  <c r="B43097" i="1"/>
  <c r="B43093" i="1"/>
  <c r="B43089" i="1"/>
  <c r="B43085" i="1"/>
  <c r="B43081" i="1"/>
  <c r="B43077" i="1"/>
  <c r="B43073" i="1"/>
  <c r="B43070" i="1"/>
  <c r="B43067" i="1"/>
  <c r="B43063" i="1"/>
  <c r="B43059" i="1"/>
  <c r="B43055" i="1"/>
  <c r="B43051" i="1"/>
  <c r="B43047" i="1"/>
  <c r="B43043" i="1"/>
  <c r="B43039" i="1"/>
  <c r="B43035" i="1"/>
  <c r="B43031" i="1"/>
  <c r="B43027" i="1"/>
  <c r="B43023" i="1"/>
  <c r="B43019" i="1"/>
  <c r="B43015" i="1"/>
  <c r="B43011" i="1"/>
  <c r="B43007" i="1"/>
  <c r="B43003" i="1"/>
  <c r="B43000" i="1"/>
  <c r="B42996" i="1"/>
  <c r="B42992" i="1"/>
  <c r="B42988" i="1"/>
  <c r="B42985" i="1"/>
  <c r="B42982" i="1"/>
  <c r="B42978" i="1"/>
  <c r="B42974" i="1"/>
  <c r="B42970" i="1"/>
  <c r="B42966" i="1"/>
  <c r="B42962" i="1"/>
  <c r="B42958" i="1"/>
  <c r="B42954" i="1"/>
  <c r="B42950" i="1"/>
  <c r="B42945" i="1"/>
  <c r="B42940" i="1"/>
  <c r="B42936" i="1"/>
  <c r="B42932" i="1"/>
  <c r="B42927" i="1"/>
  <c r="B42921" i="1"/>
  <c r="B42916" i="1"/>
  <c r="B42911" i="1"/>
  <c r="B42905" i="1"/>
  <c r="B42900" i="1"/>
  <c r="B42895" i="1"/>
  <c r="B42890" i="1"/>
  <c r="B42885" i="1"/>
  <c r="B42880" i="1"/>
  <c r="B42874" i="1"/>
  <c r="B42869" i="1"/>
  <c r="B42863" i="1"/>
  <c r="B42859" i="1"/>
  <c r="B42854" i="1"/>
  <c r="B42850" i="1"/>
  <c r="B42845" i="1"/>
  <c r="B42841" i="1"/>
  <c r="B42835" i="1"/>
  <c r="B42831" i="1"/>
  <c r="B42827" i="1"/>
  <c r="B42823" i="1"/>
  <c r="B42819" i="1"/>
  <c r="B42815" i="1"/>
  <c r="B42811" i="1"/>
  <c r="B42808" i="1"/>
  <c r="B42804" i="1"/>
  <c r="B42799" i="1"/>
  <c r="B42794" i="1"/>
  <c r="B42789" i="1"/>
  <c r="B42786" i="1"/>
  <c r="B42782" i="1"/>
  <c r="B42778" i="1"/>
  <c r="B42774" i="1"/>
  <c r="B42769" i="1"/>
  <c r="B42765" i="1"/>
  <c r="B42760" i="1"/>
  <c r="B42756" i="1"/>
  <c r="B42752" i="1"/>
  <c r="B42748" i="1"/>
  <c r="B42743" i="1"/>
  <c r="B42737" i="1"/>
  <c r="B42732" i="1"/>
  <c r="B42729" i="1"/>
  <c r="B42723" i="1"/>
  <c r="B42719" i="1"/>
  <c r="B42714" i="1"/>
  <c r="B42710" i="1"/>
  <c r="B42706" i="1"/>
  <c r="B42702" i="1"/>
  <c r="B42698" i="1"/>
  <c r="B42693" i="1"/>
  <c r="B42688" i="1"/>
  <c r="B42685" i="1"/>
  <c r="B42681" i="1"/>
  <c r="B42676" i="1"/>
  <c r="B42671" i="1"/>
  <c r="B42667" i="1"/>
  <c r="B42663" i="1"/>
  <c r="B42659" i="1"/>
  <c r="B42654" i="1"/>
  <c r="B42650" i="1"/>
  <c r="B42647" i="1"/>
  <c r="B42643" i="1"/>
  <c r="B42639" i="1"/>
  <c r="B42635" i="1"/>
  <c r="B42631" i="1"/>
  <c r="B42627" i="1"/>
  <c r="B42623" i="1"/>
  <c r="B42619" i="1"/>
  <c r="B42615" i="1"/>
  <c r="B42612" i="1"/>
  <c r="B42609" i="1"/>
  <c r="B42605" i="1"/>
  <c r="B42600" i="1"/>
  <c r="B42595" i="1"/>
  <c r="B42590" i="1"/>
  <c r="B42586" i="1"/>
  <c r="B42581" i="1"/>
  <c r="B42577" i="1"/>
  <c r="B42573" i="1"/>
  <c r="B42569" i="1"/>
  <c r="B42565" i="1"/>
  <c r="B42562" i="1"/>
  <c r="B42558" i="1"/>
  <c r="B42554" i="1"/>
  <c r="B42550" i="1"/>
  <c r="B42545" i="1"/>
  <c r="B42540" i="1"/>
  <c r="B42537" i="1"/>
  <c r="B42533" i="1"/>
  <c r="B42529" i="1"/>
  <c r="B42525" i="1"/>
  <c r="B42522" i="1"/>
  <c r="B42517" i="1"/>
  <c r="B42512" i="1"/>
  <c r="B42508" i="1"/>
  <c r="B42504" i="1"/>
  <c r="B42500" i="1"/>
  <c r="B42495" i="1"/>
  <c r="B42490" i="1"/>
  <c r="B42487" i="1"/>
  <c r="B42483" i="1"/>
  <c r="B42479" i="1"/>
  <c r="B42474" i="1"/>
  <c r="B42469" i="1"/>
  <c r="B42466" i="1"/>
  <c r="B42461" i="1"/>
  <c r="B42457" i="1"/>
  <c r="B42453" i="1"/>
  <c r="B42447" i="1"/>
  <c r="B42442" i="1"/>
  <c r="B42438" i="1"/>
  <c r="B42435" i="1"/>
  <c r="B42431" i="1"/>
  <c r="B42426" i="1"/>
  <c r="B42423" i="1"/>
  <c r="B42418" i="1"/>
  <c r="B42414" i="1"/>
  <c r="B42408" i="1"/>
  <c r="B42403" i="1"/>
  <c r="B42399" i="1"/>
  <c r="B42396" i="1"/>
  <c r="B42392" i="1"/>
  <c r="B42387" i="1"/>
  <c r="B42382" i="1"/>
  <c r="B42378" i="1"/>
  <c r="B42374" i="1"/>
  <c r="B42369" i="1"/>
  <c r="B42364" i="1"/>
  <c r="B42360" i="1"/>
  <c r="B42356" i="1"/>
  <c r="B42352" i="1"/>
  <c r="B42348" i="1"/>
  <c r="B42344" i="1"/>
  <c r="B42340" i="1"/>
  <c r="B42336" i="1"/>
  <c r="B42333" i="1"/>
  <c r="B42329" i="1"/>
  <c r="B42325" i="1"/>
  <c r="B42321" i="1"/>
  <c r="B42317" i="1"/>
  <c r="B42313" i="1"/>
  <c r="B42309" i="1"/>
  <c r="B42305" i="1"/>
  <c r="B42302" i="1"/>
  <c r="B42299" i="1"/>
  <c r="B42295" i="1"/>
  <c r="B42291" i="1"/>
  <c r="B42287" i="1"/>
  <c r="B42283" i="1"/>
  <c r="B42279" i="1"/>
  <c r="B42274" i="1"/>
  <c r="B42270" i="1"/>
  <c r="B42266" i="1"/>
  <c r="B42262" i="1"/>
  <c r="B42258" i="1"/>
  <c r="B42253" i="1"/>
  <c r="B42249" i="1"/>
  <c r="B42245" i="1"/>
  <c r="B42241" i="1"/>
  <c r="B42237" i="1"/>
  <c r="B42233" i="1"/>
  <c r="B42229" i="1"/>
  <c r="B42224" i="1"/>
  <c r="B42220" i="1"/>
  <c r="B42217" i="1"/>
  <c r="B42214" i="1"/>
  <c r="B42210" i="1"/>
  <c r="B42205" i="1"/>
  <c r="B42202" i="1"/>
  <c r="B42198" i="1"/>
  <c r="B42194" i="1"/>
  <c r="B42190" i="1"/>
  <c r="B42186" i="1"/>
  <c r="B42183" i="1"/>
  <c r="B42179" i="1"/>
  <c r="B42176" i="1"/>
  <c r="B42173" i="1"/>
  <c r="B42170" i="1"/>
  <c r="B42166" i="1"/>
  <c r="B42163" i="1"/>
  <c r="B42158" i="1"/>
  <c r="B42154" i="1"/>
  <c r="B42150" i="1"/>
  <c r="B42146" i="1"/>
  <c r="B42142" i="1"/>
  <c r="B42137" i="1"/>
  <c r="B42132" i="1"/>
  <c r="B42128" i="1"/>
  <c r="B42123" i="1"/>
  <c r="B42118" i="1"/>
  <c r="B42113" i="1"/>
  <c r="B42108" i="1"/>
  <c r="B42105" i="1"/>
  <c r="B42102" i="1"/>
  <c r="B42099" i="1"/>
  <c r="B42096" i="1"/>
  <c r="B42092" i="1"/>
  <c r="B42088" i="1"/>
  <c r="B42084" i="1"/>
  <c r="B42081" i="1"/>
  <c r="B42078" i="1"/>
  <c r="B42074" i="1"/>
  <c r="B42070" i="1"/>
  <c r="B42066" i="1"/>
  <c r="B42061" i="1"/>
  <c r="B42056" i="1"/>
  <c r="B42052" i="1"/>
  <c r="B42049" i="1"/>
  <c r="B42044" i="1"/>
  <c r="B42041" i="1"/>
  <c r="B42036" i="1"/>
  <c r="B42032" i="1"/>
  <c r="B42028" i="1"/>
  <c r="B42023" i="1"/>
  <c r="B42018" i="1"/>
  <c r="B42014" i="1"/>
  <c r="B42010" i="1"/>
  <c r="B42007" i="1"/>
  <c r="B42003" i="1"/>
  <c r="B41999" i="1"/>
  <c r="B41995" i="1"/>
  <c r="B41992" i="1"/>
  <c r="B41988" i="1"/>
  <c r="B41984" i="1"/>
  <c r="B41979" i="1"/>
  <c r="B41974" i="1"/>
  <c r="B41971" i="1"/>
  <c r="B41968" i="1"/>
  <c r="B41964" i="1"/>
  <c r="B41961" i="1"/>
  <c r="B41957" i="1"/>
  <c r="B41953" i="1"/>
  <c r="B41950" i="1"/>
  <c r="B41946" i="1"/>
  <c r="B41941" i="1"/>
  <c r="B41937" i="1"/>
  <c r="B41932" i="1"/>
  <c r="B41928" i="1"/>
  <c r="B41924" i="1"/>
  <c r="B41920" i="1"/>
  <c r="B41915" i="1"/>
  <c r="B41910" i="1"/>
  <c r="B41905" i="1"/>
  <c r="B41902" i="1"/>
  <c r="B41899" i="1"/>
  <c r="B41894" i="1"/>
  <c r="B41891" i="1"/>
  <c r="B41888" i="1"/>
  <c r="B41883" i="1"/>
  <c r="B41879" i="1"/>
  <c r="B41875" i="1"/>
  <c r="B41871" i="1"/>
  <c r="B41867" i="1"/>
  <c r="B41863" i="1"/>
  <c r="B41859" i="1"/>
  <c r="B41855" i="1"/>
  <c r="B41851" i="1"/>
  <c r="B41847" i="1"/>
  <c r="B41842" i="1"/>
  <c r="B41837" i="1"/>
  <c r="B41834" i="1"/>
  <c r="B41831" i="1"/>
  <c r="B41827" i="1"/>
  <c r="B41823" i="1"/>
  <c r="B41819" i="1"/>
  <c r="B41816" i="1"/>
  <c r="B41813" i="1"/>
  <c r="B41810" i="1"/>
  <c r="B41807" i="1"/>
  <c r="B41803" i="1"/>
  <c r="B41799" i="1"/>
  <c r="B41795" i="1"/>
  <c r="B41792" i="1"/>
  <c r="B41787" i="1"/>
  <c r="B41782" i="1"/>
  <c r="B41778" i="1"/>
  <c r="B41775" i="1"/>
  <c r="B41772" i="1"/>
  <c r="B41768" i="1"/>
  <c r="B41765" i="1"/>
  <c r="B41761" i="1"/>
  <c r="B41757" i="1"/>
  <c r="B41752" i="1"/>
  <c r="B41747" i="1"/>
  <c r="B41743" i="1"/>
  <c r="B41739" i="1"/>
  <c r="B41734" i="1"/>
  <c r="B41729" i="1"/>
  <c r="B41726" i="1"/>
  <c r="B41723" i="1"/>
  <c r="B41720" i="1"/>
  <c r="B41716" i="1"/>
  <c r="B41712" i="1"/>
  <c r="B41706" i="1"/>
  <c r="B41700" i="1"/>
  <c r="B41696" i="1"/>
  <c r="B41690" i="1"/>
  <c r="B41686" i="1"/>
  <c r="B41681" i="1"/>
  <c r="B41677" i="1"/>
  <c r="B41672" i="1"/>
  <c r="B41668" i="1"/>
  <c r="B41665" i="1"/>
  <c r="B41661" i="1"/>
  <c r="B41657" i="1"/>
  <c r="B41653" i="1"/>
  <c r="B41650" i="1"/>
  <c r="B41646" i="1"/>
  <c r="B41641" i="1"/>
  <c r="B41636" i="1"/>
  <c r="B41632" i="1"/>
  <c r="B41627" i="1"/>
  <c r="B41623" i="1"/>
  <c r="B41620" i="1"/>
  <c r="B41617" i="1"/>
  <c r="B41613" i="1"/>
  <c r="B41609" i="1"/>
  <c r="B41605" i="1"/>
  <c r="B41601" i="1"/>
  <c r="B41598" i="1"/>
  <c r="B41594" i="1"/>
  <c r="B41591" i="1"/>
  <c r="B41587" i="1"/>
  <c r="B41583" i="1"/>
  <c r="B41579" i="1"/>
  <c r="B41575" i="1"/>
  <c r="B41571" i="1"/>
  <c r="B41567" i="1"/>
  <c r="B41564" i="1"/>
  <c r="B41560" i="1"/>
  <c r="B41557" i="1"/>
  <c r="B41553" i="1"/>
  <c r="B41549" i="1"/>
  <c r="B41545" i="1"/>
  <c r="B41541" i="1"/>
  <c r="B41537" i="1"/>
  <c r="B41532" i="1"/>
  <c r="B41527" i="1"/>
  <c r="B41523" i="1"/>
  <c r="B41519" i="1"/>
  <c r="B41515" i="1"/>
  <c r="B41510" i="1"/>
  <c r="B41506" i="1"/>
  <c r="B41502" i="1"/>
  <c r="B41497" i="1"/>
  <c r="B41492" i="1"/>
  <c r="B41488" i="1"/>
  <c r="B41484" i="1"/>
  <c r="B41480" i="1"/>
  <c r="B41475" i="1"/>
  <c r="B41470" i="1"/>
  <c r="B41467" i="1"/>
  <c r="B41462" i="1"/>
  <c r="B41457" i="1"/>
  <c r="B41452" i="1"/>
  <c r="B41449" i="1"/>
  <c r="B41446" i="1"/>
  <c r="B41442" i="1"/>
  <c r="B41438" i="1"/>
  <c r="B41435" i="1"/>
  <c r="B41432" i="1"/>
  <c r="B41428" i="1"/>
  <c r="B41424" i="1"/>
  <c r="B41421" i="1"/>
  <c r="B41417" i="1"/>
  <c r="B41414" i="1"/>
  <c r="B41410" i="1"/>
  <c r="B41404" i="1"/>
  <c r="B41399" i="1"/>
  <c r="B41396" i="1"/>
  <c r="B41391" i="1"/>
  <c r="B41386" i="1"/>
  <c r="B41381" i="1"/>
  <c r="B41377" i="1"/>
  <c r="B41372" i="1"/>
  <c r="B41368" i="1"/>
  <c r="B41364" i="1"/>
  <c r="B41360" i="1"/>
  <c r="B41357" i="1"/>
  <c r="B41353" i="1"/>
  <c r="B41348" i="1"/>
  <c r="B41345" i="1"/>
  <c r="B41340" i="1"/>
  <c r="B41336" i="1"/>
  <c r="B41331" i="1"/>
  <c r="B41328" i="1"/>
  <c r="B41324" i="1"/>
  <c r="B41320" i="1"/>
  <c r="B41315" i="1"/>
  <c r="B41310" i="1"/>
  <c r="B41305" i="1"/>
  <c r="B41300" i="1"/>
  <c r="B41295" i="1"/>
  <c r="B41291" i="1"/>
  <c r="B41287" i="1"/>
  <c r="B41282" i="1"/>
  <c r="B41277" i="1"/>
  <c r="B41273" i="1"/>
  <c r="B41268" i="1"/>
  <c r="B41265" i="1"/>
  <c r="B41261" i="1"/>
  <c r="B41258" i="1"/>
  <c r="B41254" i="1"/>
  <c r="B41250" i="1"/>
  <c r="B41245" i="1"/>
  <c r="B41240" i="1"/>
  <c r="B41235" i="1"/>
  <c r="B41232" i="1"/>
  <c r="B41229" i="1"/>
  <c r="B41226" i="1"/>
  <c r="B41222" i="1"/>
  <c r="B41217" i="1"/>
  <c r="B41214" i="1"/>
  <c r="B41209" i="1"/>
  <c r="B41205" i="1"/>
  <c r="B41200" i="1"/>
  <c r="B41196" i="1"/>
  <c r="B41192" i="1"/>
  <c r="B41189" i="1"/>
  <c r="B41186" i="1"/>
  <c r="B41182" i="1"/>
  <c r="B41178" i="1"/>
  <c r="B41173" i="1"/>
  <c r="B41168" i="1"/>
  <c r="B41163" i="1"/>
  <c r="B41160" i="1"/>
  <c r="B41155" i="1"/>
  <c r="B41152" i="1"/>
  <c r="B41149" i="1"/>
  <c r="B41145" i="1"/>
  <c r="B41141" i="1"/>
  <c r="B41137" i="1"/>
  <c r="B41134" i="1"/>
  <c r="B41131" i="1"/>
  <c r="B41127" i="1"/>
  <c r="B41123" i="1"/>
  <c r="B41119" i="1"/>
  <c r="B41116" i="1"/>
  <c r="B41112" i="1"/>
  <c r="B41107" i="1"/>
  <c r="B41103" i="1"/>
  <c r="B41099" i="1"/>
  <c r="B41095" i="1"/>
  <c r="B41090" i="1"/>
  <c r="B41087" i="1"/>
  <c r="B41083" i="1"/>
  <c r="B41078" i="1"/>
  <c r="B41074" i="1"/>
  <c r="B41071" i="1"/>
  <c r="B41068" i="1"/>
  <c r="B41065" i="1"/>
  <c r="B41061" i="1"/>
  <c r="B41057" i="1"/>
  <c r="B41053" i="1"/>
  <c r="B41050" i="1"/>
  <c r="B41047" i="1"/>
  <c r="B41043" i="1"/>
  <c r="B41038" i="1"/>
  <c r="B41033" i="1"/>
  <c r="B41029" i="1"/>
  <c r="B41025" i="1"/>
  <c r="B41021" i="1"/>
  <c r="B41016" i="1"/>
  <c r="B41008" i="1"/>
  <c r="B41004" i="1"/>
  <c r="B40999" i="1"/>
  <c r="B40994" i="1"/>
  <c r="B40990" i="1"/>
  <c r="B40986" i="1"/>
  <c r="B40982" i="1"/>
  <c r="B40977" i="1"/>
  <c r="B40973" i="1"/>
  <c r="B40969" i="1"/>
  <c r="B40965" i="1"/>
  <c r="B40961" i="1"/>
  <c r="B40957" i="1"/>
  <c r="B40954" i="1"/>
  <c r="B40950" i="1"/>
  <c r="B40947" i="1"/>
  <c r="B40943" i="1"/>
  <c r="B40937" i="1"/>
  <c r="B40933" i="1"/>
  <c r="B40929" i="1"/>
  <c r="B40925" i="1"/>
  <c r="B40920" i="1"/>
  <c r="B40916" i="1"/>
  <c r="B40912" i="1"/>
  <c r="B40909" i="1"/>
  <c r="B40905" i="1"/>
  <c r="B40902" i="1"/>
  <c r="B40898" i="1"/>
  <c r="B40894" i="1"/>
  <c r="B40889" i="1"/>
  <c r="B40885" i="1"/>
  <c r="B40880" i="1"/>
  <c r="B40875" i="1"/>
  <c r="B40871" i="1"/>
  <c r="B40867" i="1"/>
  <c r="B40863" i="1"/>
  <c r="B40858" i="1"/>
  <c r="B40853" i="1"/>
  <c r="B40848" i="1"/>
  <c r="B40845" i="1"/>
  <c r="B40841" i="1"/>
  <c r="B40836" i="1"/>
  <c r="B40831" i="1"/>
  <c r="B40826" i="1"/>
  <c r="B40821" i="1"/>
  <c r="B40817" i="1"/>
  <c r="B40813" i="1"/>
  <c r="B40809" i="1"/>
  <c r="B40805" i="1"/>
  <c r="B40800" i="1"/>
  <c r="B40795" i="1"/>
  <c r="B40791" i="1"/>
  <c r="B40786" i="1"/>
  <c r="B40781" i="1"/>
  <c r="B40776" i="1"/>
  <c r="B40771" i="1"/>
  <c r="B40766" i="1"/>
  <c r="B40763" i="1"/>
  <c r="B40759" i="1"/>
  <c r="B40755" i="1"/>
  <c r="B40751" i="1"/>
  <c r="B40747" i="1"/>
  <c r="B40744" i="1"/>
  <c r="B40740" i="1"/>
  <c r="B40735" i="1"/>
  <c r="B40731" i="1"/>
  <c r="B40729" i="1"/>
  <c r="B40726" i="1"/>
  <c r="B40724" i="1"/>
  <c r="B40720" i="1"/>
  <c r="B40716" i="1"/>
  <c r="B40712" i="1"/>
  <c r="B40709" i="1"/>
  <c r="B40706" i="1"/>
  <c r="B40701" i="1"/>
  <c r="B40696" i="1"/>
  <c r="B40692" i="1"/>
  <c r="B40687" i="1"/>
  <c r="B40682" i="1"/>
  <c r="B40678" i="1"/>
  <c r="B40674" i="1"/>
  <c r="B40670" i="1"/>
  <c r="B40666" i="1"/>
  <c r="B40662" i="1"/>
  <c r="B40658" i="1"/>
  <c r="B40653" i="1"/>
  <c r="B40648" i="1"/>
  <c r="B40643" i="1"/>
  <c r="B40639" i="1"/>
  <c r="B40635" i="1"/>
  <c r="B40630" i="1"/>
  <c r="B40625" i="1"/>
  <c r="B40620" i="1"/>
  <c r="B40614" i="1"/>
  <c r="B40610" i="1"/>
  <c r="B40606" i="1"/>
  <c r="B40602" i="1"/>
  <c r="B40598" i="1"/>
  <c r="B40593" i="1"/>
  <c r="B40588" i="1"/>
  <c r="B40584" i="1"/>
  <c r="B40579" i="1"/>
  <c r="B40575" i="1"/>
  <c r="B40570" i="1"/>
  <c r="B40565" i="1"/>
  <c r="B40560" i="1"/>
  <c r="B40556" i="1"/>
  <c r="B40551" i="1"/>
  <c r="B40546" i="1"/>
  <c r="B40541" i="1"/>
  <c r="B40536" i="1"/>
  <c r="B40533" i="1"/>
  <c r="B40529" i="1"/>
  <c r="B40524" i="1"/>
  <c r="B40521" i="1"/>
  <c r="B40517" i="1"/>
  <c r="B40513" i="1"/>
  <c r="B40508" i="1"/>
  <c r="B40504" i="1"/>
  <c r="B40500" i="1"/>
  <c r="B40497" i="1"/>
  <c r="B40494" i="1"/>
  <c r="B40490" i="1"/>
  <c r="B40487" i="1"/>
  <c r="B40483" i="1"/>
  <c r="B40478" i="1"/>
  <c r="B40473" i="1"/>
  <c r="B40470" i="1"/>
  <c r="B40466" i="1"/>
  <c r="B40463" i="1"/>
  <c r="B40460" i="1"/>
  <c r="B40456" i="1"/>
  <c r="B40453" i="1"/>
  <c r="B40449" i="1"/>
  <c r="B40445" i="1"/>
  <c r="B40442" i="1"/>
  <c r="B40438" i="1"/>
  <c r="B40434" i="1"/>
  <c r="B40430" i="1"/>
  <c r="B40426" i="1"/>
  <c r="B40422" i="1"/>
  <c r="B40418" i="1"/>
  <c r="B40414" i="1"/>
  <c r="B40411" i="1"/>
  <c r="B40406" i="1"/>
  <c r="B40402" i="1"/>
  <c r="B40398" i="1"/>
  <c r="B40394" i="1"/>
  <c r="B40391" i="1"/>
  <c r="B40388" i="1"/>
  <c r="B40384" i="1"/>
  <c r="B40380" i="1"/>
  <c r="B40376" i="1"/>
  <c r="B40372" i="1"/>
  <c r="B40368" i="1"/>
  <c r="B40364" i="1"/>
  <c r="B40360" i="1"/>
  <c r="B40355" i="1"/>
  <c r="B40351" i="1"/>
  <c r="B40347" i="1"/>
  <c r="B40344" i="1"/>
  <c r="B40340" i="1"/>
  <c r="B40337" i="1"/>
  <c r="B40333" i="1"/>
  <c r="B40328" i="1"/>
  <c r="B40325" i="1"/>
  <c r="B40321" i="1"/>
  <c r="B40317" i="1"/>
  <c r="B40314" i="1"/>
  <c r="B40310" i="1"/>
  <c r="B40306" i="1"/>
  <c r="B40302" i="1"/>
  <c r="B40297" i="1"/>
  <c r="B40292" i="1"/>
  <c r="B40287" i="1"/>
  <c r="B40282" i="1"/>
  <c r="B40278" i="1"/>
  <c r="B40274" i="1"/>
  <c r="B40270" i="1"/>
  <c r="B40267" i="1"/>
  <c r="B40263" i="1"/>
  <c r="B40259" i="1"/>
  <c r="B40255" i="1"/>
  <c r="B40251" i="1"/>
  <c r="B40246" i="1"/>
  <c r="B40241" i="1"/>
  <c r="B40236" i="1"/>
  <c r="B40232" i="1"/>
  <c r="B40228" i="1"/>
  <c r="B40224" i="1"/>
  <c r="B40221" i="1"/>
  <c r="B40218" i="1"/>
  <c r="B40214" i="1"/>
  <c r="B40211" i="1"/>
  <c r="B40207" i="1"/>
  <c r="B40203" i="1"/>
  <c r="B40200" i="1"/>
  <c r="B40197" i="1"/>
  <c r="B40192" i="1"/>
  <c r="B40186" i="1"/>
  <c r="B40182" i="1"/>
  <c r="B40177" i="1"/>
  <c r="B40172" i="1"/>
  <c r="B40168" i="1"/>
  <c r="B40164" i="1"/>
  <c r="B40160" i="1"/>
  <c r="B40156" i="1"/>
  <c r="B40152" i="1"/>
  <c r="B40148" i="1"/>
  <c r="B40144" i="1"/>
  <c r="B40140" i="1"/>
  <c r="B40134" i="1"/>
  <c r="B40129" i="1"/>
  <c r="B40123" i="1"/>
  <c r="B40119" i="1"/>
  <c r="B40115" i="1"/>
  <c r="B40110" i="1"/>
  <c r="B40105" i="1"/>
  <c r="B40100" i="1"/>
  <c r="B40096" i="1"/>
  <c r="B40093" i="1"/>
  <c r="B40089" i="1"/>
  <c r="B40084" i="1"/>
  <c r="B40079" i="1"/>
  <c r="B40074" i="1"/>
  <c r="B40070" i="1"/>
  <c r="B40066" i="1"/>
  <c r="B40062" i="1"/>
  <c r="B40058" i="1"/>
  <c r="B40054" i="1"/>
  <c r="B40050" i="1"/>
  <c r="B40046" i="1"/>
  <c r="B40042" i="1"/>
  <c r="B40037" i="1"/>
  <c r="B40032" i="1"/>
  <c r="B40023" i="1"/>
  <c r="B40018" i="1"/>
  <c r="B40013" i="1"/>
  <c r="B40009" i="1"/>
  <c r="B40005" i="1"/>
  <c r="B40002" i="1"/>
  <c r="B39999" i="1"/>
  <c r="B39995" i="1"/>
  <c r="B39991" i="1"/>
  <c r="B39987" i="1"/>
  <c r="B39984" i="1"/>
  <c r="B39980" i="1"/>
  <c r="B39976" i="1"/>
  <c r="B39973" i="1"/>
  <c r="B39970" i="1"/>
  <c r="B39964" i="1"/>
  <c r="B39958" i="1"/>
  <c r="B39952" i="1"/>
  <c r="B39946" i="1"/>
  <c r="B39940" i="1"/>
  <c r="B39934" i="1"/>
  <c r="B39928" i="1"/>
  <c r="B39923" i="1"/>
  <c r="B39919" i="1"/>
  <c r="B39915" i="1"/>
  <c r="B39911" i="1"/>
  <c r="B39907" i="1"/>
  <c r="B39903" i="1"/>
  <c r="B39898" i="1"/>
  <c r="B39893" i="1"/>
  <c r="B39888" i="1"/>
  <c r="B39883" i="1"/>
  <c r="B39878" i="1"/>
  <c r="B39873" i="1"/>
  <c r="B39869" i="1"/>
  <c r="B39864" i="1"/>
  <c r="B39859" i="1"/>
  <c r="B39856" i="1"/>
  <c r="B39852" i="1"/>
  <c r="B39849" i="1"/>
  <c r="B39845" i="1"/>
  <c r="B39841" i="1"/>
  <c r="B39837" i="1"/>
  <c r="B39833" i="1"/>
  <c r="B39828" i="1"/>
  <c r="B39824" i="1"/>
  <c r="B39820" i="1"/>
  <c r="B39815" i="1"/>
  <c r="B39811" i="1"/>
  <c r="B39806" i="1"/>
  <c r="B39801" i="1"/>
  <c r="B39797" i="1"/>
  <c r="B39793" i="1"/>
  <c r="B39789" i="1"/>
  <c r="B39785" i="1"/>
  <c r="B39780" i="1"/>
  <c r="B39775" i="1"/>
  <c r="B39770" i="1"/>
  <c r="B39766" i="1"/>
  <c r="B39761" i="1"/>
  <c r="B39756" i="1"/>
  <c r="B39751" i="1"/>
  <c r="B39747" i="1"/>
  <c r="B39743" i="1"/>
  <c r="B39738" i="1"/>
  <c r="B39734" i="1"/>
  <c r="B39730" i="1"/>
  <c r="B39725" i="1"/>
  <c r="B39720" i="1"/>
  <c r="B39716" i="1"/>
  <c r="B39712" i="1"/>
  <c r="B39707" i="1"/>
  <c r="B39702" i="1"/>
  <c r="B39697" i="1"/>
  <c r="B39692" i="1"/>
  <c r="B39687" i="1"/>
  <c r="B39682" i="1"/>
  <c r="B39677" i="1"/>
  <c r="B39672" i="1"/>
  <c r="B39668" i="1"/>
  <c r="B39664" i="1"/>
  <c r="B39660" i="1"/>
  <c r="B39656" i="1"/>
  <c r="B39651" i="1"/>
  <c r="B39647" i="1"/>
  <c r="B39642" i="1"/>
  <c r="B39637" i="1"/>
  <c r="B39632" i="1"/>
  <c r="B39627" i="1"/>
  <c r="B39622" i="1"/>
  <c r="B39617" i="1"/>
  <c r="B39612" i="1"/>
  <c r="B39607" i="1"/>
  <c r="B39602" i="1"/>
  <c r="B39597" i="1"/>
  <c r="B39592" i="1"/>
  <c r="B39588" i="1"/>
  <c r="B39584" i="1"/>
  <c r="B39580" i="1"/>
  <c r="B39576" i="1"/>
  <c r="B39572" i="1"/>
  <c r="B39567" i="1"/>
  <c r="B39562" i="1"/>
  <c r="B39557" i="1"/>
  <c r="B39552" i="1"/>
  <c r="B39547" i="1"/>
  <c r="B39542" i="1"/>
  <c r="B39537" i="1"/>
  <c r="B39532" i="1"/>
  <c r="B39527" i="1"/>
  <c r="B39522" i="1"/>
  <c r="B39517" i="1"/>
  <c r="B39512" i="1"/>
  <c r="B39507" i="1"/>
  <c r="B39503" i="1"/>
  <c r="B39498" i="1"/>
  <c r="B39493" i="1"/>
  <c r="B39488" i="1"/>
  <c r="B39483" i="1"/>
  <c r="B39478" i="1"/>
  <c r="B39474" i="1"/>
  <c r="B39469" i="1"/>
  <c r="B39465" i="1"/>
  <c r="B39460" i="1"/>
  <c r="B39455" i="1"/>
  <c r="B39450" i="1"/>
  <c r="B39446" i="1"/>
  <c r="B39442" i="1"/>
  <c r="B39438" i="1"/>
  <c r="B39434" i="1"/>
  <c r="B39429" i="1"/>
  <c r="B39425" i="1"/>
  <c r="B39421" i="1"/>
  <c r="B39417" i="1"/>
  <c r="B39412" i="1"/>
  <c r="B39407" i="1"/>
  <c r="B39402" i="1"/>
  <c r="B39397" i="1"/>
  <c r="B39393" i="1"/>
  <c r="B39389" i="1"/>
  <c r="B39386" i="1"/>
  <c r="B39382" i="1"/>
  <c r="B39378" i="1"/>
  <c r="B39374" i="1"/>
  <c r="B39369" i="1"/>
  <c r="B39364" i="1"/>
  <c r="B39360" i="1"/>
  <c r="B39356" i="1"/>
  <c r="B39352" i="1"/>
  <c r="B39347" i="1"/>
  <c r="B39344" i="1"/>
  <c r="B39340" i="1"/>
  <c r="B39336" i="1"/>
  <c r="B39333" i="1"/>
  <c r="B39329" i="1"/>
  <c r="B39325" i="1"/>
  <c r="B39323" i="1"/>
  <c r="B39321" i="1"/>
  <c r="B39318" i="1"/>
  <c r="B39315" i="1"/>
  <c r="B39312" i="1"/>
  <c r="B39308" i="1"/>
  <c r="B39303" i="1"/>
  <c r="B39299" i="1"/>
  <c r="B39295" i="1"/>
  <c r="B39290" i="1"/>
  <c r="B39286" i="1"/>
  <c r="B39281" i="1"/>
  <c r="B39276" i="1"/>
  <c r="B39270" i="1"/>
  <c r="B39266" i="1"/>
  <c r="B39262" i="1"/>
  <c r="B39258" i="1"/>
  <c r="B39254" i="1"/>
  <c r="B39250" i="1"/>
  <c r="B39246" i="1"/>
  <c r="B39242" i="1"/>
  <c r="B39238" i="1"/>
  <c r="B39234" i="1"/>
  <c r="B39230" i="1"/>
  <c r="B39226" i="1"/>
  <c r="B39217" i="1"/>
  <c r="B39213" i="1"/>
  <c r="B39204" i="1"/>
  <c r="B39195" i="1"/>
  <c r="B39191" i="1"/>
  <c r="B39187" i="1"/>
  <c r="B39183" i="1"/>
  <c r="B39179" i="1"/>
  <c r="B39175" i="1"/>
  <c r="B39171" i="1"/>
  <c r="B39167" i="1"/>
  <c r="B39163" i="1"/>
  <c r="B39159" i="1"/>
  <c r="B39155" i="1"/>
  <c r="B39150" i="1"/>
  <c r="B39145" i="1"/>
  <c r="B39140" i="1"/>
  <c r="B39135" i="1"/>
  <c r="B39130" i="1"/>
  <c r="B39125" i="1"/>
  <c r="B39121" i="1"/>
  <c r="B39117" i="1"/>
  <c r="B39113" i="1"/>
  <c r="B39108" i="1"/>
  <c r="B39103" i="1"/>
  <c r="B39099" i="1"/>
  <c r="B39095" i="1"/>
  <c r="B39091" i="1"/>
  <c r="B39087" i="1"/>
  <c r="B39082" i="1"/>
  <c r="B39077" i="1"/>
  <c r="B39072" i="1"/>
  <c r="B39068" i="1"/>
  <c r="B39064" i="1"/>
  <c r="B39060" i="1"/>
  <c r="B39056" i="1"/>
  <c r="B39052" i="1"/>
  <c r="B39048" i="1"/>
  <c r="B39043" i="1"/>
  <c r="B39040" i="1"/>
  <c r="B39035" i="1"/>
  <c r="B39030" i="1"/>
  <c r="B39025" i="1"/>
  <c r="B39020" i="1"/>
  <c r="B39015" i="1"/>
  <c r="B39010" i="1"/>
  <c r="B39005" i="1"/>
  <c r="B39000" i="1"/>
  <c r="B38995" i="1"/>
  <c r="B38990" i="1"/>
  <c r="B38985" i="1"/>
  <c r="B38980" i="1"/>
  <c r="B38976" i="1"/>
  <c r="B38971" i="1"/>
  <c r="B38967" i="1"/>
  <c r="B38963" i="1"/>
  <c r="B38959" i="1"/>
  <c r="B38955" i="1"/>
  <c r="B38950" i="1"/>
  <c r="B38945" i="1"/>
  <c r="B38939" i="1"/>
  <c r="B38934" i="1"/>
  <c r="B38929" i="1"/>
  <c r="B38924" i="1"/>
  <c r="B38920" i="1"/>
  <c r="B38916" i="1"/>
  <c r="B38912" i="1"/>
  <c r="B38908" i="1"/>
  <c r="B38904" i="1"/>
  <c r="B38900" i="1"/>
  <c r="B38896" i="1"/>
  <c r="B38891" i="1"/>
  <c r="B38886" i="1"/>
  <c r="B38882" i="1"/>
  <c r="B38878" i="1"/>
  <c r="B38874" i="1"/>
  <c r="B38870" i="1"/>
  <c r="B38865" i="1"/>
  <c r="B38860" i="1"/>
  <c r="B38855" i="1"/>
  <c r="B38850" i="1"/>
  <c r="B38845" i="1"/>
  <c r="B38841" i="1"/>
  <c r="B38837" i="1"/>
  <c r="B38833" i="1"/>
  <c r="B38829" i="1"/>
  <c r="B38825" i="1"/>
  <c r="B38820" i="1"/>
  <c r="B38816" i="1"/>
  <c r="B38811" i="1"/>
  <c r="B38807" i="1"/>
  <c r="B38802" i="1"/>
  <c r="B38797" i="1"/>
  <c r="B38792" i="1"/>
  <c r="B38787" i="1"/>
  <c r="B38783" i="1"/>
  <c r="B38778" i="1"/>
  <c r="B38773" i="1"/>
  <c r="B38768" i="1"/>
  <c r="B38764" i="1"/>
  <c r="B38760" i="1"/>
  <c r="B38756" i="1"/>
  <c r="B38751" i="1"/>
  <c r="B38746" i="1"/>
  <c r="B38741" i="1"/>
  <c r="B38736" i="1"/>
  <c r="B38731" i="1"/>
  <c r="B38727" i="1"/>
  <c r="B38722" i="1"/>
  <c r="B38718" i="1"/>
  <c r="B38714" i="1"/>
  <c r="B38710" i="1"/>
  <c r="B38704" i="1"/>
  <c r="B38700" i="1"/>
  <c r="B38696" i="1"/>
  <c r="B38692" i="1"/>
  <c r="B38688" i="1"/>
  <c r="B38682" i="1"/>
  <c r="B38677" i="1"/>
  <c r="B38672" i="1"/>
  <c r="B38668" i="1"/>
  <c r="B38664" i="1"/>
  <c r="B38660" i="1"/>
  <c r="B38656" i="1"/>
  <c r="B38652" i="1"/>
  <c r="B38648" i="1"/>
  <c r="B38644" i="1"/>
  <c r="B38640" i="1"/>
  <c r="B38636" i="1"/>
  <c r="B38632" i="1"/>
  <c r="B38627" i="1"/>
  <c r="B38622" i="1"/>
  <c r="B38618" i="1"/>
  <c r="B38614" i="1"/>
  <c r="B38611" i="1"/>
  <c r="B38607" i="1"/>
  <c r="B38603" i="1"/>
  <c r="B38599" i="1"/>
  <c r="B38595" i="1"/>
  <c r="B38590" i="1"/>
  <c r="B38585" i="1"/>
  <c r="B38580" i="1"/>
  <c r="B38575" i="1"/>
  <c r="B38571" i="1"/>
  <c r="B38567" i="1"/>
  <c r="B38563" i="1"/>
  <c r="B38559" i="1"/>
  <c r="B38556" i="1"/>
  <c r="B38553" i="1"/>
  <c r="B38550" i="1"/>
  <c r="B38546" i="1"/>
  <c r="B38542" i="1"/>
  <c r="B38538" i="1"/>
  <c r="B38534" i="1"/>
  <c r="B38530" i="1"/>
  <c r="B38525" i="1"/>
  <c r="B38520" i="1"/>
  <c r="B38516" i="1"/>
  <c r="B38512" i="1"/>
  <c r="B38507" i="1"/>
  <c r="B38502" i="1"/>
  <c r="B38497" i="1"/>
  <c r="B38492" i="1"/>
  <c r="B38487" i="1"/>
  <c r="B38482" i="1"/>
  <c r="B38477" i="1"/>
  <c r="B38472" i="1"/>
  <c r="B38467" i="1"/>
  <c r="B38462" i="1"/>
  <c r="B38457" i="1"/>
  <c r="B38453" i="1"/>
  <c r="B38448" i="1"/>
  <c r="B38443" i="1"/>
  <c r="B38439" i="1"/>
  <c r="B38435" i="1"/>
  <c r="B38430" i="1"/>
  <c r="B38425" i="1"/>
  <c r="B38420" i="1"/>
  <c r="B38415" i="1"/>
  <c r="B38411" i="1"/>
  <c r="B38406" i="1"/>
  <c r="B38401" i="1"/>
  <c r="B38397" i="1"/>
  <c r="B38393" i="1"/>
  <c r="B38389" i="1"/>
  <c r="B38385" i="1"/>
  <c r="B38381" i="1"/>
  <c r="B38376" i="1"/>
  <c r="B38371" i="1"/>
  <c r="B38366" i="1"/>
  <c r="B38361" i="1"/>
  <c r="B38357" i="1"/>
  <c r="B38353" i="1"/>
  <c r="B38349" i="1"/>
  <c r="B38345" i="1"/>
  <c r="B38341" i="1"/>
  <c r="B38336" i="1"/>
  <c r="B38332" i="1"/>
  <c r="B38328" i="1"/>
  <c r="B38323" i="1"/>
  <c r="B38319" i="1"/>
  <c r="B38315" i="1"/>
  <c r="B38311" i="1"/>
  <c r="B38307" i="1"/>
  <c r="B38302" i="1"/>
  <c r="B38297" i="1"/>
  <c r="B38292" i="1"/>
  <c r="B38287" i="1"/>
  <c r="B38282" i="1"/>
  <c r="B38278" i="1"/>
  <c r="B38274" i="1"/>
  <c r="B38269" i="1"/>
  <c r="B38264" i="1"/>
  <c r="B38260" i="1"/>
  <c r="B38256" i="1"/>
  <c r="B38252" i="1"/>
  <c r="B38248" i="1"/>
  <c r="B38244" i="1"/>
  <c r="B38240" i="1"/>
  <c r="B38235" i="1"/>
  <c r="B38230" i="1"/>
  <c r="B38225" i="1"/>
  <c r="B38220" i="1"/>
  <c r="B38215" i="1"/>
  <c r="B38212" i="1"/>
  <c r="B38208" i="1"/>
  <c r="B38204" i="1"/>
  <c r="B38200" i="1"/>
  <c r="B38196" i="1"/>
  <c r="B38192" i="1"/>
  <c r="B38188" i="1"/>
  <c r="B38184" i="1"/>
  <c r="B38180" i="1"/>
  <c r="B38176" i="1"/>
  <c r="B38172" i="1"/>
  <c r="B38167" i="1"/>
  <c r="B38163" i="1"/>
  <c r="B38158" i="1"/>
  <c r="B38152" i="1"/>
  <c r="B38148" i="1"/>
  <c r="B38144" i="1"/>
  <c r="B38140" i="1"/>
  <c r="B38135" i="1"/>
  <c r="B38130" i="1"/>
  <c r="B38126" i="1"/>
  <c r="B38122" i="1"/>
  <c r="B38118" i="1"/>
  <c r="B38113" i="1"/>
  <c r="B38109" i="1"/>
  <c r="B38105" i="1"/>
  <c r="B38101" i="1"/>
  <c r="B38097" i="1"/>
  <c r="B38093" i="1"/>
  <c r="B38089" i="1"/>
  <c r="B38085" i="1"/>
  <c r="B38081" i="1"/>
  <c r="B38077" i="1"/>
  <c r="B38074" i="1"/>
  <c r="B38070" i="1"/>
  <c r="B38066" i="1"/>
  <c r="B38062" i="1"/>
  <c r="B38059" i="1"/>
  <c r="B38054" i="1"/>
  <c r="B38049" i="1"/>
  <c r="B38044" i="1"/>
  <c r="B38039" i="1"/>
  <c r="B38035" i="1"/>
  <c r="B38031" i="1"/>
  <c r="B38027" i="1"/>
  <c r="B38023" i="1"/>
  <c r="B38019" i="1"/>
  <c r="B38015" i="1"/>
  <c r="B38011" i="1"/>
  <c r="B38007" i="1"/>
  <c r="B38003" i="1"/>
  <c r="B37999" i="1"/>
  <c r="B37995" i="1"/>
  <c r="B37991" i="1"/>
  <c r="B37987" i="1"/>
  <c r="B37983" i="1"/>
  <c r="B37979" i="1"/>
  <c r="B37975" i="1"/>
  <c r="B37971" i="1"/>
  <c r="B37967" i="1"/>
  <c r="B37963" i="1"/>
  <c r="B37959" i="1"/>
  <c r="B37955" i="1"/>
  <c r="B37951" i="1"/>
  <c r="B37946" i="1"/>
  <c r="B37941" i="1"/>
  <c r="B37936" i="1"/>
  <c r="B37931" i="1"/>
  <c r="B37927" i="1"/>
  <c r="B37923" i="1"/>
  <c r="B37919" i="1"/>
  <c r="B37915" i="1"/>
  <c r="B37911" i="1"/>
  <c r="B37907" i="1"/>
  <c r="B37904" i="1"/>
  <c r="B37901" i="1"/>
  <c r="B37898" i="1"/>
  <c r="B37893" i="1"/>
  <c r="B37889" i="1"/>
  <c r="B37885" i="1"/>
  <c r="B37881" i="1"/>
  <c r="B37877" i="1"/>
  <c r="B37873" i="1"/>
  <c r="B37869" i="1"/>
  <c r="B37865" i="1"/>
  <c r="B37861" i="1"/>
  <c r="B37857" i="1"/>
  <c r="B37853" i="1"/>
  <c r="B37849" i="1"/>
  <c r="B37845" i="1"/>
  <c r="B37841" i="1"/>
  <c r="B37837" i="1"/>
  <c r="B37833" i="1"/>
  <c r="B37829" i="1"/>
  <c r="B37824" i="1"/>
  <c r="B37819" i="1"/>
  <c r="B37814" i="1"/>
  <c r="B37809" i="1"/>
  <c r="B37804" i="1"/>
  <c r="B37799" i="1"/>
  <c r="B37794" i="1"/>
  <c r="B37789" i="1"/>
  <c r="B37784" i="1"/>
  <c r="B37780" i="1"/>
  <c r="B37776" i="1"/>
  <c r="B37772" i="1"/>
  <c r="B37768" i="1"/>
  <c r="B37764" i="1"/>
  <c r="B37760" i="1"/>
  <c r="B37756" i="1"/>
  <c r="B37751" i="1"/>
  <c r="B37746" i="1"/>
  <c r="B37742" i="1"/>
  <c r="B37738" i="1"/>
  <c r="B37734" i="1"/>
  <c r="B37730" i="1"/>
  <c r="B37725" i="1"/>
  <c r="B37720" i="1"/>
  <c r="B37716" i="1"/>
  <c r="B37712" i="1"/>
  <c r="B37708" i="1"/>
  <c r="B37704" i="1"/>
  <c r="B37700" i="1"/>
  <c r="B37696" i="1"/>
  <c r="B37691" i="1"/>
  <c r="B37686" i="1"/>
  <c r="B37682" i="1"/>
  <c r="B37678" i="1"/>
  <c r="B37674" i="1"/>
  <c r="B37670" i="1"/>
  <c r="B37667" i="1"/>
  <c r="B37663" i="1"/>
  <c r="B37659" i="1"/>
  <c r="B37654" i="1"/>
  <c r="B37649" i="1"/>
  <c r="B37644" i="1"/>
  <c r="B37640" i="1"/>
  <c r="B37636" i="1"/>
  <c r="B37633" i="1"/>
  <c r="B37629" i="1"/>
  <c r="B37626" i="1"/>
  <c r="B37622" i="1"/>
  <c r="B37617" i="1"/>
  <c r="B37613" i="1"/>
  <c r="B37608" i="1"/>
  <c r="B37603" i="1"/>
  <c r="B37599" i="1"/>
  <c r="B37595" i="1"/>
  <c r="B37591" i="1"/>
  <c r="B37588" i="1"/>
  <c r="B37584" i="1"/>
  <c r="B37580" i="1"/>
  <c r="B37576" i="1"/>
  <c r="B37572" i="1"/>
  <c r="B37568" i="1"/>
  <c r="B37564" i="1"/>
  <c r="B37560" i="1"/>
  <c r="B37555" i="1"/>
  <c r="B37550" i="1"/>
  <c r="B37544" i="1"/>
  <c r="B37538" i="1"/>
  <c r="B37532" i="1"/>
  <c r="B37527" i="1"/>
  <c r="B37523" i="1"/>
  <c r="B37519" i="1"/>
  <c r="B37514" i="1"/>
  <c r="B37509" i="1"/>
  <c r="B37504" i="1"/>
  <c r="B37499" i="1"/>
  <c r="B37494" i="1"/>
  <c r="B37489" i="1"/>
  <c r="B37484" i="1"/>
  <c r="B37479" i="1"/>
  <c r="B37474" i="1"/>
  <c r="B37469" i="1"/>
  <c r="B37465" i="1"/>
  <c r="B37461" i="1"/>
  <c r="B37457" i="1"/>
  <c r="B37452" i="1"/>
  <c r="B37447" i="1"/>
  <c r="B37443" i="1"/>
  <c r="B37439" i="1"/>
  <c r="B37435" i="1"/>
  <c r="B37431" i="1"/>
  <c r="B37427" i="1"/>
  <c r="B37423" i="1"/>
  <c r="B37419" i="1"/>
  <c r="B37415" i="1"/>
  <c r="B37410" i="1"/>
  <c r="B37405" i="1"/>
  <c r="B37400" i="1"/>
  <c r="B37395" i="1"/>
  <c r="B37391" i="1"/>
  <c r="B37387" i="1"/>
  <c r="B37382" i="1"/>
  <c r="B37377" i="1"/>
  <c r="B37373" i="1"/>
  <c r="B37369" i="1"/>
  <c r="B37365" i="1"/>
  <c r="B37361" i="1"/>
  <c r="B37357" i="1"/>
  <c r="B37353" i="1"/>
  <c r="B37349" i="1"/>
  <c r="B37345" i="1"/>
  <c r="B37341" i="1"/>
  <c r="B37337" i="1"/>
  <c r="B37333" i="1"/>
  <c r="B37329" i="1"/>
  <c r="B37325" i="1"/>
  <c r="B37321" i="1"/>
  <c r="B37317" i="1"/>
  <c r="B37314" i="1"/>
  <c r="B37310" i="1"/>
  <c r="B37306" i="1"/>
  <c r="B37302" i="1"/>
  <c r="B37298" i="1"/>
  <c r="B37294" i="1"/>
  <c r="B37290" i="1"/>
  <c r="B37286" i="1"/>
  <c r="B37282" i="1"/>
  <c r="B37277" i="1"/>
  <c r="B37273" i="1"/>
  <c r="B37269" i="1"/>
  <c r="B37265" i="1"/>
  <c r="B37261" i="1"/>
  <c r="B37256" i="1"/>
  <c r="B37252" i="1"/>
  <c r="B37248" i="1"/>
  <c r="B37244" i="1"/>
  <c r="B37241" i="1"/>
  <c r="B37237" i="1"/>
  <c r="B37234" i="1"/>
  <c r="B37230" i="1"/>
  <c r="B37226" i="1"/>
  <c r="B37222" i="1"/>
  <c r="B37218" i="1"/>
  <c r="B37214" i="1"/>
  <c r="B37209" i="1"/>
  <c r="B37205" i="1"/>
  <c r="B37201" i="1"/>
  <c r="B37197" i="1"/>
  <c r="B37193" i="1"/>
  <c r="B37189" i="1"/>
  <c r="B37186" i="1"/>
  <c r="B37182" i="1"/>
  <c r="B37178" i="1"/>
  <c r="B37174" i="1"/>
  <c r="B37169" i="1"/>
  <c r="B37164" i="1"/>
  <c r="B37159" i="1"/>
  <c r="B37156" i="1"/>
  <c r="B37152" i="1"/>
  <c r="B37148" i="1"/>
  <c r="B37144" i="1"/>
  <c r="B37139" i="1"/>
  <c r="B37134" i="1"/>
  <c r="B37129" i="1"/>
  <c r="B37125" i="1"/>
  <c r="B37120" i="1"/>
  <c r="B37117" i="1"/>
  <c r="B37113" i="1"/>
  <c r="B37109" i="1"/>
  <c r="B37106" i="1"/>
  <c r="B37103" i="1"/>
  <c r="B37099" i="1"/>
  <c r="B37095" i="1"/>
  <c r="B37091" i="1"/>
  <c r="B37087" i="1"/>
  <c r="B37081" i="1"/>
  <c r="B37075" i="1"/>
  <c r="B37071" i="1"/>
  <c r="B37065" i="1"/>
  <c r="B37062" i="1"/>
  <c r="B37058" i="1"/>
  <c r="B37054" i="1"/>
  <c r="B37048" i="1"/>
  <c r="B37043" i="1"/>
  <c r="B37039" i="1"/>
  <c r="B37034" i="1"/>
  <c r="B37031" i="1"/>
  <c r="B37025" i="1"/>
  <c r="B37021" i="1"/>
  <c r="B37015" i="1"/>
  <c r="B37009" i="1"/>
  <c r="B37003" i="1"/>
  <c r="B36999" i="1"/>
  <c r="B36994" i="1"/>
  <c r="B36989" i="1"/>
  <c r="B36985" i="1"/>
  <c r="B36981" i="1"/>
  <c r="B36977" i="1"/>
  <c r="B36973" i="1"/>
  <c r="B36969" i="1"/>
  <c r="B36963" i="1"/>
  <c r="B36959" i="1"/>
  <c r="B36955" i="1"/>
  <c r="B36951" i="1"/>
  <c r="B36947" i="1"/>
  <c r="B36943" i="1"/>
  <c r="B36938" i="1"/>
  <c r="B36934" i="1"/>
  <c r="B36930" i="1"/>
  <c r="B36926" i="1"/>
  <c r="B36920" i="1"/>
  <c r="B36915" i="1"/>
  <c r="B36909" i="1"/>
  <c r="B36903" i="1"/>
  <c r="B36898" i="1"/>
  <c r="B36892" i="1"/>
  <c r="B36888" i="1"/>
  <c r="B36884" i="1"/>
  <c r="B36878" i="1"/>
  <c r="B36874" i="1"/>
  <c r="B36870" i="1"/>
  <c r="B36864" i="1"/>
  <c r="B36858" i="1"/>
  <c r="B36852" i="1"/>
  <c r="B36847" i="1"/>
  <c r="B36842" i="1"/>
  <c r="B36836" i="1"/>
  <c r="B36830" i="1"/>
  <c r="B36825" i="1"/>
  <c r="B36820" i="1"/>
  <c r="B36815" i="1"/>
  <c r="B36810" i="1"/>
  <c r="B36806" i="1"/>
  <c r="B36800" i="1"/>
  <c r="B36796" i="1"/>
  <c r="B36792" i="1"/>
  <c r="B36789" i="1"/>
  <c r="B36786" i="1"/>
  <c r="B36782" i="1"/>
  <c r="B36779" i="1"/>
  <c r="B36775" i="1"/>
  <c r="B36772" i="1"/>
  <c r="B36766" i="1"/>
  <c r="B36760" i="1"/>
  <c r="B36755" i="1"/>
  <c r="B36749" i="1"/>
  <c r="B36743" i="1"/>
  <c r="B36737" i="1"/>
  <c r="B36733" i="1"/>
  <c r="B36728" i="1"/>
  <c r="B36723" i="1"/>
  <c r="B36718" i="1"/>
  <c r="B36714" i="1"/>
  <c r="B36710" i="1"/>
  <c r="B36706" i="1"/>
  <c r="B36700" i="1"/>
  <c r="B36694" i="1"/>
  <c r="B36690" i="1"/>
  <c r="B36686" i="1"/>
  <c r="B36683" i="1"/>
  <c r="B36679" i="1"/>
  <c r="B36674" i="1"/>
  <c r="B36670" i="1"/>
  <c r="B36666" i="1"/>
  <c r="B36662" i="1"/>
  <c r="B36658" i="1"/>
  <c r="B36655" i="1"/>
  <c r="B36650" i="1"/>
  <c r="B36646" i="1"/>
  <c r="B36643" i="1"/>
  <c r="B36639" i="1"/>
  <c r="B36635" i="1"/>
  <c r="B36630" i="1"/>
  <c r="B36624" i="1"/>
  <c r="B36618" i="1"/>
  <c r="B36612" i="1"/>
  <c r="B36609" i="1"/>
  <c r="B36606" i="1"/>
  <c r="B36603" i="1"/>
  <c r="B36599" i="1"/>
  <c r="B36595" i="1"/>
  <c r="B36591" i="1"/>
  <c r="B36588" i="1"/>
  <c r="B36585" i="1"/>
  <c r="B36581" i="1"/>
  <c r="B36576" i="1"/>
  <c r="B36570" i="1"/>
  <c r="B36566" i="1"/>
  <c r="B36560" i="1"/>
  <c r="B36556" i="1"/>
  <c r="B36551" i="1"/>
  <c r="B36547" i="1"/>
  <c r="B36544" i="1"/>
  <c r="B36539" i="1"/>
  <c r="B36534" i="1"/>
  <c r="B36528" i="1"/>
  <c r="B36522" i="1"/>
  <c r="B36517" i="1"/>
  <c r="B36513" i="1"/>
  <c r="B36510" i="1"/>
  <c r="B36506" i="1"/>
  <c r="B36501" i="1"/>
  <c r="B36497" i="1"/>
  <c r="B36492" i="1"/>
  <c r="B36487" i="1"/>
  <c r="B36482" i="1"/>
  <c r="B36478" i="1"/>
  <c r="B36473" i="1"/>
  <c r="B36468" i="1"/>
  <c r="B36462" i="1"/>
  <c r="B36457" i="1"/>
  <c r="B36452" i="1"/>
  <c r="B36447" i="1"/>
  <c r="B36441" i="1"/>
  <c r="B36435" i="1"/>
  <c r="B36429" i="1"/>
  <c r="B36423" i="1"/>
  <c r="B36419" i="1"/>
  <c r="B36415" i="1"/>
  <c r="B36411" i="1"/>
  <c r="B36406" i="1"/>
  <c r="B36400" i="1"/>
  <c r="B36397" i="1"/>
  <c r="B36393" i="1"/>
  <c r="B36389" i="1"/>
  <c r="B36384" i="1"/>
  <c r="B36380" i="1"/>
  <c r="B36376" i="1"/>
  <c r="B36372" i="1"/>
  <c r="B36367" i="1"/>
  <c r="B36361" i="1"/>
  <c r="B36355" i="1"/>
  <c r="B36349" i="1"/>
  <c r="B36343" i="1"/>
  <c r="B36337" i="1"/>
  <c r="B36334" i="1"/>
  <c r="B36330" i="1"/>
  <c r="B36326" i="1"/>
  <c r="B36322" i="1"/>
  <c r="B36318" i="1"/>
  <c r="B36313" i="1"/>
  <c r="B36308" i="1"/>
  <c r="B36302" i="1"/>
  <c r="B36296" i="1"/>
  <c r="B36290" i="1"/>
  <c r="B36284" i="1"/>
  <c r="B36281" i="1"/>
  <c r="B36277" i="1"/>
  <c r="B36274" i="1"/>
  <c r="B36270" i="1"/>
  <c r="B36266" i="1"/>
  <c r="B36262" i="1"/>
  <c r="B36257" i="1"/>
  <c r="B36252" i="1"/>
  <c r="B36249" i="1"/>
  <c r="B36244" i="1"/>
  <c r="B36240" i="1"/>
  <c r="B36236" i="1"/>
  <c r="B36232" i="1"/>
  <c r="B36227" i="1"/>
  <c r="B36223" i="1"/>
  <c r="B36218" i="1"/>
  <c r="B36213" i="1"/>
  <c r="B36208" i="1"/>
  <c r="B36203" i="1"/>
  <c r="B36198" i="1"/>
  <c r="B36194" i="1"/>
  <c r="B36189" i="1"/>
  <c r="B36184" i="1"/>
  <c r="B36180" i="1"/>
  <c r="B36176" i="1"/>
  <c r="B36172" i="1"/>
  <c r="B36166" i="1"/>
  <c r="B36162" i="1"/>
  <c r="B36158" i="1"/>
  <c r="B36153" i="1"/>
  <c r="B36149" i="1"/>
  <c r="B36145" i="1"/>
  <c r="B36141" i="1"/>
  <c r="B36137" i="1"/>
  <c r="B36133" i="1"/>
  <c r="B36129" i="1"/>
  <c r="B36125" i="1"/>
  <c r="B36121" i="1"/>
  <c r="B36117" i="1"/>
  <c r="B36113" i="1"/>
  <c r="B36109" i="1"/>
  <c r="B36104" i="1"/>
  <c r="B36099" i="1"/>
  <c r="B36095" i="1"/>
  <c r="B36091" i="1"/>
  <c r="B36085" i="1"/>
  <c r="B36079" i="1"/>
  <c r="B36074" i="1"/>
  <c r="B36068" i="1"/>
  <c r="B36063" i="1"/>
  <c r="B36057" i="1"/>
  <c r="B36051" i="1"/>
  <c r="B36045" i="1"/>
  <c r="B36039" i="1"/>
  <c r="B36035" i="1"/>
  <c r="B36029" i="1"/>
  <c r="B36023" i="1"/>
  <c r="B36017" i="1"/>
  <c r="B36013" i="1"/>
  <c r="B36010" i="1"/>
  <c r="B36006" i="1"/>
  <c r="B36000" i="1"/>
  <c r="B35994" i="1"/>
  <c r="B35989" i="1"/>
  <c r="B35984" i="1"/>
  <c r="B35979" i="1"/>
  <c r="B35973" i="1"/>
  <c r="B35968" i="1"/>
  <c r="B35962" i="1"/>
  <c r="B35957" i="1"/>
  <c r="B35953" i="1"/>
  <c r="B35949" i="1"/>
  <c r="B35945" i="1"/>
  <c r="B35940" i="1"/>
  <c r="B35934" i="1"/>
  <c r="B35928" i="1"/>
  <c r="B35924" i="1"/>
  <c r="B35920" i="1"/>
  <c r="B35915" i="1"/>
  <c r="B35910" i="1"/>
  <c r="B35906" i="1"/>
  <c r="B35902" i="1"/>
  <c r="B35899" i="1"/>
  <c r="B35896" i="1"/>
  <c r="B35892" i="1"/>
  <c r="B35888" i="1"/>
  <c r="B35884" i="1"/>
  <c r="B35880" i="1"/>
  <c r="B35877" i="1"/>
  <c r="B35873" i="1"/>
  <c r="B35868" i="1"/>
  <c r="B35862" i="1"/>
  <c r="B35859" i="1"/>
  <c r="B35854" i="1"/>
  <c r="B35850" i="1"/>
  <c r="B35844" i="1"/>
  <c r="B35838" i="1"/>
  <c r="B35832" i="1"/>
  <c r="B35826" i="1"/>
  <c r="B35820" i="1"/>
  <c r="B35815" i="1"/>
  <c r="B35811" i="1"/>
  <c r="B35805" i="1"/>
  <c r="B35801" i="1"/>
  <c r="B35795" i="1"/>
  <c r="B35789" i="1"/>
  <c r="B35786" i="1"/>
  <c r="B35781" i="1"/>
  <c r="B35776" i="1"/>
  <c r="B35771" i="1"/>
  <c r="B35765" i="1"/>
  <c r="B35759" i="1"/>
  <c r="B35753" i="1"/>
  <c r="B35749" i="1"/>
  <c r="B35745" i="1"/>
  <c r="B35739" i="1"/>
  <c r="B35734" i="1"/>
  <c r="B35728" i="1"/>
  <c r="B35724" i="1"/>
  <c r="B35720" i="1"/>
  <c r="B35715" i="1"/>
  <c r="B35709" i="1"/>
  <c r="B35703" i="1"/>
  <c r="B35700" i="1"/>
  <c r="B35696" i="1"/>
  <c r="B35692" i="1"/>
  <c r="B35689" i="1"/>
  <c r="B35684" i="1"/>
  <c r="B35679" i="1"/>
  <c r="B35673" i="1"/>
  <c r="B35667" i="1"/>
  <c r="B35662" i="1"/>
  <c r="B35657" i="1"/>
  <c r="B35651" i="1"/>
  <c r="B35647" i="1"/>
  <c r="B35643" i="1"/>
  <c r="B35639" i="1"/>
  <c r="B35634" i="1"/>
  <c r="B35628" i="1"/>
  <c r="B35623" i="1"/>
  <c r="B35619" i="1"/>
  <c r="B35614" i="1"/>
  <c r="B35609" i="1"/>
  <c r="B35604" i="1"/>
  <c r="B35600" i="1"/>
  <c r="B35594" i="1"/>
  <c r="B35588" i="1"/>
  <c r="B35582" i="1"/>
  <c r="B35576" i="1"/>
  <c r="B35571" i="1"/>
  <c r="B35565" i="1"/>
  <c r="B35562" i="1"/>
  <c r="B35558" i="1"/>
  <c r="B35553" i="1"/>
  <c r="B35549" i="1"/>
  <c r="B35545" i="1"/>
  <c r="B35539" i="1"/>
  <c r="B35534" i="1"/>
  <c r="B35529" i="1"/>
  <c r="B35525" i="1"/>
  <c r="B35519" i="1"/>
  <c r="B35515" i="1"/>
  <c r="B35511" i="1"/>
  <c r="B35506" i="1"/>
  <c r="B35501" i="1"/>
  <c r="B35496" i="1"/>
  <c r="B35493" i="1"/>
  <c r="B35489" i="1"/>
  <c r="B35485" i="1"/>
  <c r="B35481" i="1"/>
  <c r="B35477" i="1"/>
  <c r="B35473" i="1"/>
  <c r="B35469" i="1"/>
  <c r="B35465" i="1"/>
  <c r="B35461" i="1"/>
  <c r="B35457" i="1"/>
  <c r="B35453" i="1"/>
  <c r="B35449" i="1"/>
  <c r="B35445" i="1"/>
  <c r="B35441" i="1"/>
  <c r="B35437" i="1"/>
  <c r="B35433" i="1"/>
  <c r="B35429" i="1"/>
  <c r="B35425" i="1"/>
  <c r="B35421" i="1"/>
  <c r="B35417" i="1"/>
  <c r="B35413" i="1"/>
  <c r="B35409" i="1"/>
  <c r="B35405" i="1"/>
  <c r="B35401" i="1"/>
  <c r="B35397" i="1"/>
  <c r="B35393" i="1"/>
  <c r="B35389" i="1"/>
  <c r="B35385" i="1"/>
  <c r="B35381" i="1"/>
  <c r="B35377" i="1"/>
  <c r="B35374" i="1"/>
  <c r="B35370" i="1"/>
  <c r="B35366" i="1"/>
  <c r="B35363" i="1"/>
  <c r="B35359" i="1"/>
  <c r="B35355" i="1"/>
  <c r="B35351" i="1"/>
  <c r="B35348" i="1"/>
  <c r="B35342" i="1"/>
  <c r="B35338" i="1"/>
  <c r="B35334" i="1"/>
  <c r="B35330" i="1"/>
  <c r="B35324" i="1"/>
  <c r="B35320" i="1"/>
  <c r="B35315" i="1"/>
  <c r="B35311" i="1"/>
  <c r="B35307" i="1"/>
  <c r="B35303" i="1"/>
  <c r="B35298" i="1"/>
  <c r="B35293" i="1"/>
  <c r="B35289" i="1"/>
  <c r="B35285" i="1"/>
  <c r="B35281" i="1"/>
  <c r="B35277" i="1"/>
  <c r="B35272" i="1"/>
  <c r="B35268" i="1"/>
  <c r="B35264" i="1"/>
  <c r="B35260" i="1"/>
  <c r="B35256" i="1"/>
  <c r="B35252" i="1"/>
  <c r="B35247" i="1"/>
  <c r="B35244" i="1"/>
  <c r="B35239" i="1"/>
  <c r="B35234" i="1"/>
  <c r="B35229" i="1"/>
  <c r="B35223" i="1"/>
  <c r="B35219" i="1"/>
  <c r="B35215" i="1"/>
  <c r="B35211" i="1"/>
  <c r="B35207" i="1"/>
  <c r="B35203" i="1"/>
  <c r="B35199" i="1"/>
  <c r="B35195" i="1"/>
  <c r="B35190" i="1"/>
  <c r="B35186" i="1"/>
  <c r="B35182" i="1"/>
  <c r="B35179" i="1"/>
  <c r="B35176" i="1"/>
  <c r="B35172" i="1"/>
  <c r="B35168" i="1"/>
  <c r="B35163" i="1"/>
  <c r="B35159" i="1"/>
  <c r="B35155" i="1"/>
  <c r="B35151" i="1"/>
  <c r="B35146" i="1"/>
  <c r="B35142" i="1"/>
  <c r="B35138" i="1"/>
  <c r="B35135" i="1"/>
  <c r="B35131" i="1"/>
  <c r="B35127" i="1"/>
  <c r="B35123" i="1"/>
  <c r="B35119" i="1"/>
  <c r="B35115" i="1"/>
  <c r="B35111" i="1"/>
  <c r="B35107" i="1"/>
  <c r="B35103" i="1"/>
  <c r="B35099" i="1"/>
  <c r="B35094" i="1"/>
  <c r="B35090" i="1"/>
  <c r="B35085" i="1"/>
  <c r="B35080" i="1"/>
  <c r="B35076" i="1"/>
  <c r="B35072" i="1"/>
  <c r="B35069" i="1"/>
  <c r="B35065" i="1"/>
  <c r="B35061" i="1"/>
  <c r="B35057" i="1"/>
  <c r="B35053" i="1"/>
  <c r="B35048" i="1"/>
  <c r="B35043" i="1"/>
  <c r="B35038" i="1"/>
  <c r="B35034" i="1"/>
  <c r="B35030" i="1"/>
  <c r="B35026" i="1"/>
  <c r="B35022" i="1"/>
  <c r="B35018" i="1"/>
  <c r="B35014" i="1"/>
  <c r="B35010" i="1"/>
  <c r="B35006" i="1"/>
  <c r="B35002" i="1"/>
  <c r="B34996" i="1"/>
  <c r="B34990" i="1"/>
  <c r="B34984" i="1"/>
  <c r="B34980" i="1"/>
  <c r="B34976" i="1"/>
  <c r="B34970" i="1"/>
  <c r="B34964" i="1"/>
  <c r="B34961" i="1"/>
  <c r="B34956" i="1"/>
  <c r="B34951" i="1"/>
  <c r="B34945" i="1"/>
  <c r="B34939" i="1"/>
  <c r="B34933" i="1"/>
  <c r="B34929" i="1"/>
  <c r="B34926" i="1"/>
  <c r="B34922" i="1"/>
  <c r="B34917" i="1"/>
  <c r="B34912" i="1"/>
  <c r="B34907" i="1"/>
  <c r="B34902" i="1"/>
  <c r="B34897" i="1"/>
  <c r="B34892" i="1"/>
  <c r="B34888" i="1"/>
  <c r="B34884" i="1"/>
  <c r="B34880" i="1"/>
  <c r="B34876" i="1"/>
  <c r="B34872" i="1"/>
  <c r="B34867" i="1"/>
  <c r="B34862" i="1"/>
  <c r="B34858" i="1"/>
  <c r="B34854" i="1"/>
  <c r="B34849" i="1"/>
  <c r="B34845" i="1"/>
  <c r="B34841" i="1"/>
  <c r="B34837" i="1"/>
  <c r="B34832" i="1"/>
  <c r="B34827" i="1"/>
  <c r="B34823" i="1"/>
  <c r="B34818" i="1"/>
  <c r="B34813" i="1"/>
  <c r="B34809" i="1"/>
  <c r="B34805" i="1"/>
  <c r="B34801" i="1"/>
  <c r="B34797" i="1"/>
  <c r="B34793" i="1"/>
  <c r="B34789" i="1"/>
  <c r="B34782" i="1"/>
  <c r="B34778" i="1"/>
  <c r="B34773" i="1"/>
  <c r="B34769" i="1"/>
  <c r="B34765" i="1"/>
  <c r="B34760" i="1"/>
  <c r="B34755" i="1"/>
  <c r="B34750" i="1"/>
  <c r="B34746" i="1"/>
  <c r="B34742" i="1"/>
  <c r="B34738" i="1"/>
  <c r="B34733" i="1"/>
  <c r="B34729" i="1"/>
  <c r="B34725" i="1"/>
  <c r="B34721" i="1"/>
  <c r="B34716" i="1"/>
  <c r="B34711" i="1"/>
  <c r="B34707" i="1"/>
  <c r="B34703" i="1"/>
  <c r="B34699" i="1"/>
  <c r="B34695" i="1"/>
  <c r="B34691" i="1"/>
  <c r="B34687" i="1"/>
  <c r="B34682" i="1"/>
  <c r="B34678" i="1"/>
  <c r="B34674" i="1"/>
  <c r="B34670" i="1"/>
  <c r="B34665" i="1"/>
  <c r="B34660" i="1"/>
  <c r="B34655" i="1"/>
  <c r="B34649" i="1"/>
  <c r="B34644" i="1"/>
  <c r="B34639" i="1"/>
  <c r="B34634" i="1"/>
  <c r="B34629" i="1"/>
  <c r="B34624" i="1"/>
  <c r="B34619" i="1"/>
  <c r="B34616" i="1"/>
  <c r="B34612" i="1"/>
  <c r="B34608" i="1"/>
  <c r="B34604" i="1"/>
  <c r="B34600" i="1"/>
  <c r="B34596" i="1"/>
  <c r="B34592" i="1"/>
  <c r="B34587" i="1"/>
  <c r="B34582" i="1"/>
  <c r="B34578" i="1"/>
  <c r="B34573" i="1"/>
  <c r="B34568" i="1"/>
  <c r="B34564" i="1"/>
  <c r="B34559" i="1"/>
  <c r="B34554" i="1"/>
  <c r="B34550" i="1"/>
  <c r="B34546" i="1"/>
  <c r="B34542" i="1"/>
  <c r="B34538" i="1"/>
  <c r="B34534" i="1"/>
  <c r="B34530" i="1"/>
  <c r="B34526" i="1"/>
  <c r="B34522" i="1"/>
  <c r="B34517" i="1"/>
  <c r="B34512" i="1"/>
  <c r="B34508" i="1"/>
  <c r="B34504" i="1"/>
  <c r="B34501" i="1"/>
  <c r="B34497" i="1"/>
  <c r="B34493" i="1"/>
  <c r="B34489" i="1"/>
  <c r="B34486" i="1"/>
  <c r="B34482" i="1"/>
  <c r="B34478" i="1"/>
  <c r="B34473" i="1"/>
  <c r="B34470" i="1"/>
  <c r="B34465" i="1"/>
  <c r="B34460" i="1"/>
  <c r="B34455" i="1"/>
  <c r="B34450" i="1"/>
  <c r="B34445" i="1"/>
  <c r="B34440" i="1"/>
  <c r="B34437" i="1"/>
  <c r="B34433" i="1"/>
  <c r="B34429" i="1"/>
  <c r="B34424" i="1"/>
  <c r="B34420" i="1"/>
  <c r="B34416" i="1"/>
  <c r="B34412" i="1"/>
  <c r="B34408" i="1"/>
  <c r="B34403" i="1"/>
  <c r="B34399" i="1"/>
  <c r="B34395" i="1"/>
  <c r="B34391" i="1"/>
  <c r="B34387" i="1"/>
  <c r="B34383" i="1"/>
  <c r="B34379" i="1"/>
  <c r="B34374" i="1"/>
  <c r="B34370" i="1"/>
  <c r="B34366" i="1"/>
  <c r="B34362" i="1"/>
  <c r="B34358" i="1"/>
  <c r="B34354" i="1"/>
  <c r="B34349" i="1"/>
  <c r="B34344" i="1"/>
  <c r="B34340" i="1"/>
  <c r="B34336" i="1"/>
  <c r="B34331" i="1"/>
  <c r="B34327" i="1"/>
  <c r="B34321" i="1"/>
  <c r="B34316" i="1"/>
  <c r="B34310" i="1"/>
  <c r="B34306" i="1"/>
  <c r="B34300" i="1"/>
  <c r="B34294" i="1"/>
  <c r="B34289" i="1"/>
  <c r="B34286" i="1"/>
  <c r="B34282" i="1"/>
  <c r="B34278" i="1"/>
  <c r="B34275" i="1"/>
  <c r="B34269" i="1"/>
  <c r="B34264" i="1"/>
  <c r="B34259" i="1"/>
  <c r="B34254" i="1"/>
  <c r="B34249" i="1"/>
  <c r="B34245" i="1"/>
  <c r="B34241" i="1"/>
  <c r="B34237" i="1"/>
  <c r="B34233" i="1"/>
  <c r="B34230" i="1"/>
  <c r="B34227" i="1"/>
  <c r="B34223" i="1"/>
  <c r="B34219" i="1"/>
  <c r="B34216" i="1"/>
  <c r="B34212" i="1"/>
  <c r="B34209" i="1"/>
  <c r="B34205" i="1"/>
  <c r="B34201" i="1"/>
  <c r="B34197" i="1"/>
  <c r="B34192" i="1"/>
  <c r="B34188" i="1"/>
  <c r="B34183" i="1"/>
  <c r="B34179" i="1"/>
  <c r="B34175" i="1"/>
  <c r="B34170" i="1"/>
  <c r="B34166" i="1"/>
  <c r="B34161" i="1"/>
  <c r="B34156" i="1"/>
  <c r="B34152" i="1"/>
  <c r="B34148" i="1"/>
  <c r="B34144" i="1"/>
  <c r="B34141" i="1"/>
  <c r="B34138" i="1"/>
  <c r="B34134" i="1"/>
  <c r="B34130" i="1"/>
  <c r="B34126" i="1"/>
  <c r="B34122" i="1"/>
  <c r="B34118" i="1"/>
  <c r="B34113" i="1"/>
  <c r="B34108" i="1"/>
  <c r="B34103" i="1"/>
  <c r="B34099" i="1"/>
  <c r="B34096" i="1"/>
  <c r="B34092" i="1"/>
  <c r="B34089" i="1"/>
  <c r="B34086" i="1"/>
  <c r="B34082" i="1"/>
  <c r="B34078" i="1"/>
  <c r="B34075" i="1"/>
  <c r="B34072" i="1"/>
  <c r="B34068" i="1"/>
  <c r="B34064" i="1"/>
  <c r="B34060" i="1"/>
  <c r="B34057" i="1"/>
  <c r="B34053" i="1"/>
  <c r="B34050" i="1"/>
  <c r="B34046" i="1"/>
  <c r="B34042" i="1"/>
  <c r="B34038" i="1"/>
  <c r="B34034" i="1"/>
  <c r="B34030" i="1"/>
  <c r="B34026" i="1"/>
  <c r="B34022" i="1"/>
  <c r="B34018" i="1"/>
  <c r="B34014" i="1"/>
  <c r="B34010" i="1"/>
  <c r="B34006" i="1"/>
  <c r="B34002" i="1"/>
  <c r="B33998" i="1"/>
  <c r="B33994" i="1"/>
  <c r="B33989" i="1"/>
  <c r="B33984" i="1"/>
  <c r="B33979" i="1"/>
  <c r="B33974" i="1"/>
  <c r="B33970" i="1"/>
  <c r="B33966" i="1"/>
  <c r="B33962" i="1"/>
  <c r="B33957" i="1"/>
  <c r="B33952" i="1"/>
  <c r="B33948" i="1"/>
  <c r="B33943" i="1"/>
  <c r="B33939" i="1"/>
  <c r="B33935" i="1"/>
  <c r="B33930" i="1"/>
  <c r="B33927" i="1"/>
  <c r="B33924" i="1"/>
  <c r="B33921" i="1"/>
  <c r="B33916" i="1"/>
  <c r="B33912" i="1"/>
  <c r="B33907" i="1"/>
  <c r="B33902" i="1"/>
  <c r="B33897" i="1"/>
  <c r="B33893" i="1"/>
  <c r="B33887" i="1"/>
  <c r="B33882" i="1"/>
  <c r="B33879" i="1"/>
  <c r="B33873" i="1"/>
  <c r="B33867" i="1"/>
  <c r="B33861" i="1"/>
  <c r="B33855" i="1"/>
  <c r="B33851" i="1"/>
  <c r="B33847" i="1"/>
  <c r="B33843" i="1"/>
  <c r="B33838" i="1"/>
  <c r="B33833" i="1"/>
  <c r="B33828" i="1"/>
  <c r="B33823" i="1"/>
  <c r="B33818" i="1"/>
  <c r="B33813" i="1"/>
  <c r="B33808" i="1"/>
  <c r="B33806" i="1"/>
  <c r="B33803" i="1"/>
  <c r="B33800" i="1"/>
  <c r="B33795" i="1"/>
  <c r="B33791" i="1"/>
  <c r="B33787" i="1"/>
  <c r="B33783" i="1"/>
  <c r="B33779" i="1"/>
  <c r="B33775" i="1"/>
  <c r="B33771" i="1"/>
  <c r="B33767" i="1"/>
  <c r="B33763" i="1"/>
  <c r="B33759" i="1"/>
  <c r="B33755" i="1"/>
  <c r="B33751" i="1"/>
  <c r="B33746" i="1"/>
  <c r="B33735" i="1"/>
  <c r="B33731" i="1"/>
  <c r="B33727" i="1"/>
  <c r="B33722" i="1"/>
  <c r="B33718" i="1"/>
  <c r="B33714" i="1"/>
  <c r="B33709" i="1"/>
  <c r="B33705" i="1"/>
  <c r="B33701" i="1"/>
  <c r="B33697" i="1"/>
  <c r="B33693" i="1"/>
  <c r="B33689" i="1"/>
  <c r="B33685" i="1"/>
  <c r="B33681" i="1"/>
  <c r="B33677" i="1"/>
  <c r="B33673" i="1"/>
  <c r="B33669" i="1"/>
  <c r="B33665" i="1"/>
  <c r="B33662" i="1"/>
  <c r="B33659" i="1"/>
  <c r="B33656" i="1"/>
  <c r="B33653" i="1"/>
  <c r="B33649" i="1"/>
  <c r="B33645" i="1"/>
  <c r="B33639" i="1"/>
  <c r="B33635" i="1"/>
  <c r="B33631" i="1"/>
  <c r="B33626" i="1"/>
  <c r="B33622" i="1"/>
  <c r="B33618" i="1"/>
  <c r="B33614" i="1"/>
  <c r="B33610" i="1"/>
  <c r="B33604" i="1"/>
  <c r="B33600" i="1"/>
  <c r="B33596" i="1"/>
  <c r="B33590" i="1"/>
  <c r="B33584" i="1"/>
  <c r="B33580" i="1"/>
  <c r="B33576" i="1"/>
  <c r="B33572" i="1"/>
  <c r="B33568" i="1"/>
  <c r="B33564" i="1"/>
  <c r="B33560" i="1"/>
  <c r="B33556" i="1"/>
  <c r="B33552" i="1"/>
  <c r="B33548" i="1"/>
  <c r="B33544" i="1"/>
  <c r="B33540" i="1"/>
  <c r="B33536" i="1"/>
  <c r="B33532" i="1"/>
  <c r="B33528" i="1"/>
  <c r="B33524" i="1"/>
  <c r="B33520" i="1"/>
  <c r="B33516" i="1"/>
  <c r="B33512" i="1"/>
  <c r="B33507" i="1"/>
  <c r="B33502" i="1"/>
  <c r="B33498" i="1"/>
  <c r="B33494" i="1"/>
  <c r="B33490" i="1"/>
  <c r="B33486" i="1"/>
  <c r="B33482" i="1"/>
  <c r="B33478" i="1"/>
  <c r="B33474" i="1"/>
  <c r="B33470" i="1"/>
  <c r="B33466" i="1"/>
  <c r="B33462" i="1"/>
  <c r="B33458" i="1"/>
  <c r="B33454" i="1"/>
  <c r="B33450" i="1"/>
  <c r="B33446" i="1"/>
  <c r="B33442" i="1"/>
  <c r="B33438" i="1"/>
  <c r="B33434" i="1"/>
  <c r="B33430" i="1"/>
  <c r="B33426" i="1"/>
  <c r="B33422" i="1"/>
  <c r="B33418" i="1"/>
  <c r="B33414" i="1"/>
  <c r="B33410" i="1"/>
  <c r="B33406" i="1"/>
  <c r="B33401" i="1"/>
  <c r="B33397" i="1"/>
  <c r="B33392" i="1"/>
  <c r="B33388" i="1"/>
  <c r="B33384" i="1"/>
  <c r="B33380" i="1"/>
  <c r="B33375" i="1"/>
  <c r="B33370" i="1"/>
  <c r="B33366" i="1"/>
  <c r="B33362" i="1"/>
  <c r="B33358" i="1"/>
  <c r="B33354" i="1"/>
  <c r="B33350" i="1"/>
  <c r="B33346" i="1"/>
  <c r="B33342" i="1"/>
  <c r="B33338" i="1"/>
  <c r="B33334" i="1"/>
  <c r="B33330" i="1"/>
  <c r="B33326" i="1"/>
  <c r="B33322" i="1"/>
  <c r="B33318" i="1"/>
  <c r="B33314" i="1"/>
  <c r="B33310" i="1"/>
  <c r="B33306" i="1"/>
  <c r="B33302" i="1"/>
  <c r="B33298" i="1"/>
  <c r="B33294" i="1"/>
  <c r="B33289" i="1"/>
  <c r="B33285" i="1"/>
  <c r="B33280" i="1"/>
  <c r="B33275" i="1"/>
  <c r="B33271" i="1"/>
  <c r="B33267" i="1"/>
  <c r="B33263" i="1"/>
  <c r="B33259" i="1"/>
  <c r="B33255" i="1"/>
  <c r="B33251" i="1"/>
  <c r="B33246" i="1"/>
  <c r="B33241" i="1"/>
  <c r="B33236" i="1"/>
  <c r="B33231" i="1"/>
  <c r="B33228" i="1"/>
  <c r="B33224" i="1"/>
  <c r="B33219" i="1"/>
  <c r="B33216" i="1"/>
  <c r="B33213" i="1"/>
  <c r="B33209" i="1"/>
  <c r="B33204" i="1"/>
  <c r="B33201" i="1"/>
  <c r="B33197" i="1"/>
  <c r="B33193" i="1"/>
  <c r="B33189" i="1"/>
  <c r="B33185" i="1"/>
  <c r="B33181" i="1"/>
  <c r="B33177" i="1"/>
  <c r="B33173" i="1"/>
  <c r="B33169" i="1"/>
  <c r="B33166" i="1"/>
  <c r="B33161" i="1"/>
  <c r="B33158" i="1"/>
  <c r="B33153" i="1"/>
  <c r="B33148" i="1"/>
  <c r="B33143" i="1"/>
  <c r="B33138" i="1"/>
  <c r="B33134" i="1"/>
  <c r="B33129" i="1"/>
  <c r="B33123" i="1"/>
  <c r="B33119" i="1"/>
  <c r="B33116" i="1"/>
  <c r="B33112" i="1"/>
  <c r="B33109" i="1"/>
  <c r="B33105" i="1"/>
  <c r="B33101" i="1"/>
  <c r="B33097" i="1"/>
  <c r="B33094" i="1"/>
  <c r="B33090" i="1"/>
  <c r="B33086" i="1"/>
  <c r="B33082" i="1"/>
  <c r="B33078" i="1"/>
  <c r="B33074" i="1"/>
  <c r="B33070" i="1"/>
  <c r="B33066" i="1"/>
  <c r="B33062" i="1"/>
  <c r="B33058" i="1"/>
  <c r="B33054" i="1"/>
  <c r="B33050" i="1"/>
  <c r="B33046" i="1"/>
  <c r="B33042" i="1"/>
  <c r="B33038" i="1"/>
  <c r="B33034" i="1"/>
  <c r="B33030" i="1"/>
  <c r="B33027" i="1"/>
  <c r="B33023" i="1"/>
  <c r="B33019" i="1"/>
  <c r="B33015" i="1"/>
  <c r="B33009" i="1"/>
  <c r="B33005" i="1"/>
  <c r="B33001" i="1"/>
  <c r="B32997" i="1"/>
  <c r="B32993" i="1"/>
  <c r="B32990" i="1"/>
  <c r="B32986" i="1"/>
  <c r="B32982" i="1"/>
  <c r="B32978" i="1"/>
  <c r="B32974" i="1"/>
  <c r="B32970" i="1"/>
  <c r="B32966" i="1"/>
  <c r="B32962" i="1"/>
  <c r="B32958" i="1"/>
  <c r="B32954" i="1"/>
  <c r="B32950" i="1"/>
  <c r="B32946" i="1"/>
  <c r="B32942" i="1"/>
  <c r="B32938" i="1"/>
  <c r="B32934" i="1"/>
  <c r="B32930" i="1"/>
  <c r="B32925" i="1"/>
  <c r="B32920" i="1"/>
  <c r="B32915" i="1"/>
  <c r="B32911" i="1"/>
  <c r="B32907" i="1"/>
  <c r="B32904" i="1"/>
  <c r="B32900" i="1"/>
  <c r="B32896" i="1"/>
  <c r="B32891" i="1"/>
  <c r="B32886" i="1"/>
  <c r="B32883" i="1"/>
  <c r="B32879" i="1"/>
  <c r="B32876" i="1"/>
  <c r="B32872" i="1"/>
  <c r="B32868" i="1"/>
  <c r="B32864" i="1"/>
  <c r="B32860" i="1"/>
  <c r="B32857" i="1"/>
  <c r="B32853" i="1"/>
  <c r="B32849" i="1"/>
  <c r="B32845" i="1"/>
  <c r="B32841" i="1"/>
  <c r="B32837" i="1"/>
  <c r="B32833" i="1"/>
  <c r="B32829" i="1"/>
  <c r="B32825" i="1"/>
  <c r="B32820" i="1"/>
  <c r="B32817" i="1"/>
  <c r="B32814" i="1"/>
  <c r="B32811" i="1"/>
  <c r="B32807" i="1"/>
  <c r="B32803" i="1"/>
  <c r="B32799" i="1"/>
  <c r="B32794" i="1"/>
  <c r="B32789" i="1"/>
  <c r="B32784" i="1"/>
  <c r="B32779" i="1"/>
  <c r="B32775" i="1"/>
  <c r="B32771" i="1"/>
  <c r="B32767" i="1"/>
  <c r="B32763" i="1"/>
  <c r="B32760" i="1"/>
  <c r="B32756" i="1"/>
  <c r="B32752" i="1"/>
  <c r="B32749" i="1"/>
  <c r="B32745" i="1"/>
  <c r="B32742" i="1"/>
  <c r="B32738" i="1"/>
  <c r="B32734" i="1"/>
  <c r="B32729" i="1"/>
  <c r="B32725" i="1"/>
  <c r="B32721" i="1"/>
  <c r="B32717" i="1"/>
  <c r="B32714" i="1"/>
  <c r="B32710" i="1"/>
  <c r="B32706" i="1"/>
  <c r="B32703" i="1"/>
  <c r="B32699" i="1"/>
  <c r="B32695" i="1"/>
  <c r="B32691" i="1"/>
  <c r="B32687" i="1"/>
  <c r="B32683" i="1"/>
  <c r="B32678" i="1"/>
  <c r="B32673" i="1"/>
  <c r="B32669" i="1"/>
  <c r="B32665" i="1"/>
  <c r="B32661" i="1"/>
  <c r="B32657" i="1"/>
  <c r="B32653" i="1"/>
  <c r="B32649" i="1"/>
  <c r="B32646" i="1"/>
  <c r="B32643" i="1"/>
  <c r="B32639" i="1"/>
  <c r="B32635" i="1"/>
  <c r="B32630" i="1"/>
  <c r="B32626" i="1"/>
  <c r="B32623" i="1"/>
  <c r="B32620" i="1"/>
  <c r="B32616" i="1"/>
  <c r="B32613" i="1"/>
  <c r="B32609" i="1"/>
  <c r="B32605" i="1"/>
  <c r="B32601" i="1"/>
  <c r="B32597" i="1"/>
  <c r="B32592" i="1"/>
  <c r="B32586" i="1"/>
  <c r="B32582" i="1"/>
  <c r="B32577" i="1"/>
  <c r="B32572" i="1"/>
  <c r="B32567" i="1"/>
  <c r="B32561" i="1"/>
  <c r="B32557" i="1"/>
  <c r="B32551" i="1"/>
  <c r="B32546" i="1"/>
  <c r="B32541" i="1"/>
  <c r="B32536" i="1"/>
  <c r="B32530" i="1"/>
  <c r="B32526" i="1"/>
  <c r="B32522" i="1"/>
  <c r="B32518" i="1"/>
  <c r="B32514" i="1"/>
  <c r="B32510" i="1"/>
  <c r="B32506" i="1"/>
  <c r="B32501" i="1"/>
  <c r="B32495" i="1"/>
  <c r="B32490" i="1"/>
  <c r="B32486" i="1"/>
  <c r="B32482" i="1"/>
  <c r="B32477" i="1"/>
  <c r="B32473" i="1"/>
  <c r="B32469" i="1"/>
  <c r="B32464" i="1"/>
  <c r="B32460" i="1"/>
  <c r="B32457" i="1"/>
  <c r="B32452" i="1"/>
  <c r="B32447" i="1"/>
  <c r="B32442" i="1"/>
  <c r="B32437" i="1"/>
  <c r="B32432" i="1"/>
  <c r="B32429" i="1"/>
  <c r="B32426" i="1"/>
  <c r="B32423" i="1"/>
  <c r="B32419" i="1"/>
  <c r="B32414" i="1"/>
  <c r="B32411" i="1"/>
  <c r="B32406" i="1"/>
  <c r="B32401" i="1"/>
  <c r="B32396" i="1"/>
  <c r="B32393" i="1"/>
  <c r="B32390" i="1"/>
  <c r="B32387" i="1"/>
  <c r="B32383" i="1"/>
  <c r="B32378" i="1"/>
  <c r="B32373" i="1"/>
  <c r="B32368" i="1"/>
  <c r="B32364" i="1"/>
  <c r="B32360" i="1"/>
  <c r="B32356" i="1"/>
  <c r="B32352" i="1"/>
  <c r="B32348" i="1"/>
  <c r="B32344" i="1"/>
  <c r="B32340" i="1"/>
  <c r="B32335" i="1"/>
  <c r="B32330" i="1"/>
  <c r="B32325" i="1"/>
  <c r="B32320" i="1"/>
  <c r="B32315" i="1"/>
  <c r="B32310" i="1"/>
  <c r="B32304" i="1"/>
  <c r="B32299" i="1"/>
  <c r="B32293" i="1"/>
  <c r="B32287" i="1"/>
  <c r="B32282" i="1"/>
  <c r="B32276" i="1"/>
  <c r="B32272" i="1"/>
  <c r="B32268" i="1"/>
  <c r="B32264" i="1"/>
  <c r="B32260" i="1"/>
  <c r="B32256" i="1"/>
  <c r="B32251" i="1"/>
  <c r="B32246" i="1"/>
  <c r="B32242" i="1"/>
  <c r="B32238" i="1"/>
  <c r="B32234" i="1"/>
  <c r="B32229" i="1"/>
  <c r="B32225" i="1"/>
  <c r="B32221" i="1"/>
  <c r="B32217" i="1"/>
  <c r="B32213" i="1"/>
  <c r="B32209" i="1"/>
  <c r="B32206" i="1"/>
  <c r="B32202" i="1"/>
  <c r="B32198" i="1"/>
  <c r="B32194" i="1"/>
  <c r="B32191" i="1"/>
  <c r="B32187" i="1"/>
  <c r="B32183" i="1"/>
  <c r="B32179" i="1"/>
  <c r="B32174" i="1"/>
  <c r="B32171" i="1"/>
  <c r="B32167" i="1"/>
  <c r="B32163" i="1"/>
  <c r="B32158" i="1"/>
  <c r="B32153" i="1"/>
  <c r="B32148" i="1"/>
  <c r="B32144" i="1"/>
  <c r="B32141" i="1"/>
  <c r="B32137" i="1"/>
  <c r="B32133" i="1"/>
  <c r="B32128" i="1"/>
  <c r="B32124" i="1"/>
  <c r="B32120" i="1"/>
  <c r="B32116" i="1"/>
  <c r="B32112" i="1"/>
  <c r="B32108" i="1"/>
  <c r="B32104" i="1"/>
  <c r="B32100" i="1"/>
  <c r="B32096" i="1"/>
  <c r="B32092" i="1"/>
  <c r="B32089" i="1"/>
  <c r="B32085" i="1"/>
  <c r="B32081" i="1"/>
  <c r="B32077" i="1"/>
  <c r="B32073" i="1"/>
  <c r="B32069" i="1"/>
  <c r="B32065" i="1"/>
  <c r="B32061" i="1"/>
  <c r="B32058" i="1"/>
  <c r="B32054" i="1"/>
  <c r="B32050" i="1"/>
  <c r="B32046" i="1"/>
  <c r="B32042" i="1"/>
  <c r="B32039" i="1"/>
  <c r="B32035" i="1"/>
  <c r="B32031" i="1"/>
  <c r="B32026" i="1"/>
  <c r="B32022" i="1"/>
  <c r="B32017" i="1"/>
  <c r="B32012" i="1"/>
  <c r="B32009" i="1"/>
  <c r="B32005" i="1"/>
  <c r="B32001" i="1"/>
  <c r="B31997" i="1"/>
  <c r="B31994" i="1"/>
  <c r="B31991" i="1"/>
  <c r="B31988" i="1"/>
  <c r="B31984" i="1"/>
  <c r="B31979" i="1"/>
  <c r="B31975" i="1"/>
  <c r="B31971" i="1"/>
  <c r="B31967" i="1"/>
  <c r="B31963" i="1"/>
  <c r="B31959" i="1"/>
  <c r="B31955" i="1"/>
  <c r="B31950" i="1"/>
  <c r="B31945" i="1"/>
  <c r="B31940" i="1"/>
  <c r="B31937" i="1"/>
  <c r="B31933" i="1"/>
  <c r="B31929" i="1"/>
  <c r="B31925" i="1"/>
  <c r="B31921" i="1"/>
  <c r="B31917" i="1"/>
  <c r="B31913" i="1"/>
  <c r="B31910" i="1"/>
  <c r="B31906" i="1"/>
  <c r="B31901" i="1"/>
  <c r="B31898" i="1"/>
  <c r="B31895" i="1"/>
  <c r="B31892" i="1"/>
  <c r="B31888" i="1"/>
  <c r="B31884" i="1"/>
  <c r="B31880" i="1"/>
  <c r="B31876" i="1"/>
  <c r="B31872" i="1"/>
  <c r="B31868" i="1"/>
  <c r="B31864" i="1"/>
  <c r="B31860" i="1"/>
  <c r="B31856" i="1"/>
  <c r="B31852" i="1"/>
  <c r="B31843" i="1"/>
  <c r="B31840" i="1"/>
  <c r="B31836" i="1"/>
  <c r="B31832" i="1"/>
  <c r="B31828" i="1"/>
  <c r="B31823" i="1"/>
  <c r="B31819" i="1"/>
  <c r="B31810" i="1"/>
  <c r="B31807" i="1"/>
  <c r="B31803" i="1"/>
  <c r="B31799" i="1"/>
  <c r="B31795" i="1"/>
  <c r="B31791" i="1"/>
  <c r="B31787" i="1"/>
  <c r="B31782" i="1"/>
  <c r="B31777" i="1"/>
  <c r="B31773" i="1"/>
  <c r="B31770" i="1"/>
  <c r="B31766" i="1"/>
  <c r="B31762" i="1"/>
  <c r="B31758" i="1"/>
  <c r="B31754" i="1"/>
  <c r="B31750" i="1"/>
  <c r="B31746" i="1"/>
  <c r="B31742" i="1"/>
  <c r="B31738" i="1"/>
  <c r="B31734" i="1"/>
  <c r="B31729" i="1"/>
  <c r="B31725" i="1"/>
  <c r="B31720" i="1"/>
  <c r="B31716" i="1"/>
  <c r="B31712" i="1"/>
  <c r="B31709" i="1"/>
  <c r="B31705" i="1"/>
  <c r="B31701" i="1"/>
  <c r="B31698" i="1"/>
  <c r="B31694" i="1"/>
  <c r="B31689" i="1"/>
  <c r="B31684" i="1"/>
  <c r="B31679" i="1"/>
  <c r="B31675" i="1"/>
  <c r="B31671" i="1"/>
  <c r="B31667" i="1"/>
  <c r="B31662" i="1"/>
  <c r="B31656" i="1"/>
  <c r="B31652" i="1"/>
  <c r="B31648" i="1"/>
  <c r="B31644" i="1"/>
  <c r="B31639" i="1"/>
  <c r="B31634" i="1"/>
  <c r="B31631" i="1"/>
  <c r="B31628" i="1"/>
  <c r="B31624" i="1"/>
  <c r="B31620" i="1"/>
  <c r="B31616" i="1"/>
  <c r="B31612" i="1"/>
  <c r="B31608" i="1"/>
  <c r="B31604" i="1"/>
  <c r="B31600" i="1"/>
  <c r="B31596" i="1"/>
  <c r="B31592" i="1"/>
  <c r="B31588" i="1"/>
  <c r="B31584" i="1"/>
  <c r="B31579" i="1"/>
  <c r="B31575" i="1"/>
  <c r="B31570" i="1"/>
  <c r="B31565" i="1"/>
  <c r="B31560" i="1"/>
  <c r="B31556" i="1"/>
  <c r="B31552" i="1"/>
  <c r="B31549" i="1"/>
  <c r="B31544" i="1"/>
  <c r="B31540" i="1"/>
  <c r="B31536" i="1"/>
  <c r="B31532" i="1"/>
  <c r="B31528" i="1"/>
  <c r="B31523" i="1"/>
  <c r="B31519" i="1"/>
  <c r="B31514" i="1"/>
  <c r="B31510" i="1"/>
  <c r="B31506" i="1"/>
  <c r="B31502" i="1"/>
  <c r="B31498" i="1"/>
  <c r="B31494" i="1"/>
  <c r="B31490" i="1"/>
  <c r="B31486" i="1"/>
  <c r="B31482" i="1"/>
  <c r="B31478" i="1"/>
  <c r="B31474" i="1"/>
  <c r="B31470" i="1"/>
  <c r="B31466" i="1"/>
  <c r="B31461" i="1"/>
  <c r="B31457" i="1"/>
  <c r="B31452" i="1"/>
  <c r="B31449" i="1"/>
  <c r="B31444" i="1"/>
  <c r="B31439" i="1"/>
  <c r="B31436" i="1"/>
  <c r="B31432" i="1"/>
  <c r="B31429" i="1"/>
  <c r="B31425" i="1"/>
  <c r="B31421" i="1"/>
  <c r="B31417" i="1"/>
  <c r="B31414" i="1"/>
  <c r="B31408" i="1"/>
  <c r="B31405" i="1"/>
  <c r="B31399" i="1"/>
  <c r="B31394" i="1"/>
  <c r="B31389" i="1"/>
  <c r="B31385" i="1"/>
  <c r="B31381" i="1"/>
  <c r="B31376" i="1"/>
  <c r="B31372" i="1"/>
  <c r="B31368" i="1"/>
  <c r="B31364" i="1"/>
  <c r="B31360" i="1"/>
  <c r="B31356" i="1"/>
  <c r="B31352" i="1"/>
  <c r="B31348" i="1"/>
  <c r="B31345" i="1"/>
  <c r="B31341" i="1"/>
  <c r="B31337" i="1"/>
  <c r="B31333" i="1"/>
  <c r="B31329" i="1"/>
  <c r="B31325" i="1"/>
  <c r="B31321" i="1"/>
  <c r="B31317" i="1"/>
  <c r="B31313" i="1"/>
  <c r="B31309" i="1"/>
  <c r="B31305" i="1"/>
  <c r="B31300" i="1"/>
  <c r="B31297" i="1"/>
  <c r="B31293" i="1"/>
  <c r="B31290" i="1"/>
  <c r="B31286" i="1"/>
  <c r="B31282" i="1"/>
  <c r="B31278" i="1"/>
  <c r="B31274" i="1"/>
  <c r="B31270" i="1"/>
  <c r="B31266" i="1"/>
  <c r="B31262" i="1"/>
  <c r="B31258" i="1"/>
  <c r="B31253" i="1"/>
  <c r="B31248" i="1"/>
  <c r="B31245" i="1"/>
  <c r="B31241" i="1"/>
  <c r="B31238" i="1"/>
  <c r="B31234" i="1"/>
  <c r="B31230" i="1"/>
  <c r="B31226" i="1"/>
  <c r="B31222" i="1"/>
  <c r="B31218" i="1"/>
  <c r="B31213" i="1"/>
  <c r="B31208" i="1"/>
  <c r="B31203" i="1"/>
  <c r="B31198" i="1"/>
  <c r="B31193" i="1"/>
  <c r="B31189" i="1"/>
  <c r="B31185" i="1"/>
  <c r="B31181" i="1"/>
  <c r="B31177" i="1"/>
  <c r="B31172" i="1"/>
  <c r="B31167" i="1"/>
  <c r="B31164" i="1"/>
  <c r="B31160" i="1"/>
  <c r="B31155" i="1"/>
  <c r="B31151" i="1"/>
  <c r="B31147" i="1"/>
  <c r="B31143" i="1"/>
  <c r="B31139" i="1"/>
  <c r="B31136" i="1"/>
  <c r="B31133" i="1"/>
  <c r="B31129" i="1"/>
  <c r="B31125" i="1"/>
  <c r="B31121" i="1"/>
  <c r="B31117" i="1"/>
  <c r="B31109" i="1"/>
  <c r="B31105" i="1"/>
  <c r="B31100" i="1"/>
  <c r="B31095" i="1"/>
  <c r="B31090" i="1"/>
  <c r="B31086" i="1"/>
  <c r="B31082" i="1"/>
  <c r="B31078" i="1"/>
  <c r="B31074" i="1"/>
  <c r="B31071" i="1"/>
  <c r="B31067" i="1"/>
  <c r="B31064" i="1"/>
  <c r="B31062" i="1"/>
  <c r="B31058" i="1"/>
  <c r="B31054" i="1"/>
  <c r="B31050" i="1"/>
  <c r="B31046" i="1"/>
  <c r="B31042" i="1"/>
  <c r="B31036" i="1"/>
  <c r="B31031" i="1"/>
  <c r="B31026" i="1"/>
  <c r="B31023" i="1"/>
  <c r="B31020" i="1"/>
  <c r="B31017" i="1"/>
  <c r="B31013" i="1"/>
  <c r="B31010" i="1"/>
  <c r="B31006" i="1"/>
  <c r="B31003" i="1"/>
  <c r="B30999" i="1"/>
  <c r="B30995" i="1"/>
  <c r="B30991" i="1"/>
  <c r="B30988" i="1"/>
  <c r="B30985" i="1"/>
  <c r="B30982" i="1"/>
  <c r="B30979" i="1"/>
  <c r="B30975" i="1"/>
  <c r="B30971" i="1"/>
  <c r="B30967" i="1"/>
  <c r="B30963" i="1"/>
  <c r="B30959" i="1"/>
  <c r="B30955" i="1"/>
  <c r="B30951" i="1"/>
  <c r="B30947" i="1"/>
  <c r="B30942" i="1"/>
  <c r="B30937" i="1"/>
  <c r="B30933" i="1"/>
  <c r="B30929" i="1"/>
  <c r="B30924" i="1"/>
  <c r="B30920" i="1"/>
  <c r="B30916" i="1"/>
  <c r="B30912" i="1"/>
  <c r="B30908" i="1"/>
  <c r="B30904" i="1"/>
  <c r="B30899" i="1"/>
  <c r="B30894" i="1"/>
  <c r="B30889" i="1"/>
  <c r="B30885" i="1"/>
  <c r="B30881" i="1"/>
  <c r="B30877" i="1"/>
  <c r="B30873" i="1"/>
  <c r="B30869" i="1"/>
  <c r="B30864" i="1"/>
  <c r="B30860" i="1"/>
  <c r="B30854" i="1"/>
  <c r="B30850" i="1"/>
  <c r="B30845" i="1"/>
  <c r="B30841" i="1"/>
  <c r="B30837" i="1"/>
  <c r="B30833" i="1"/>
  <c r="B30829" i="1"/>
  <c r="B30825" i="1"/>
  <c r="B30821" i="1"/>
  <c r="B30817" i="1"/>
  <c r="B30808" i="1"/>
  <c r="B30802" i="1"/>
  <c r="B30796" i="1"/>
  <c r="B30790" i="1"/>
  <c r="B30784" i="1"/>
  <c r="B30780" i="1"/>
  <c r="B30776" i="1"/>
  <c r="B30772" i="1"/>
  <c r="B30768" i="1"/>
  <c r="B30764" i="1"/>
  <c r="B30760" i="1"/>
  <c r="B30754" i="1"/>
  <c r="B30748" i="1"/>
  <c r="B30742" i="1"/>
  <c r="B30739" i="1"/>
  <c r="B30735" i="1"/>
  <c r="B30731" i="1"/>
  <c r="B30726" i="1"/>
  <c r="B30721" i="1"/>
  <c r="B30716" i="1"/>
  <c r="B30711" i="1"/>
  <c r="B30705" i="1"/>
  <c r="B30700" i="1"/>
  <c r="B30696" i="1"/>
  <c r="B30692" i="1"/>
  <c r="B30687" i="1"/>
  <c r="B30679" i="1"/>
  <c r="B30675" i="1"/>
  <c r="B30672" i="1"/>
  <c r="B30668" i="1"/>
  <c r="B30665" i="1"/>
  <c r="B30661" i="1"/>
  <c r="B30657" i="1"/>
  <c r="B30653" i="1"/>
  <c r="B30649" i="1"/>
  <c r="B30645" i="1"/>
  <c r="B30641" i="1"/>
  <c r="B30637" i="1"/>
  <c r="B30633" i="1"/>
  <c r="B30629" i="1"/>
  <c r="B30625" i="1"/>
  <c r="B30620" i="1"/>
  <c r="B30616" i="1"/>
  <c r="B30612" i="1"/>
  <c r="B30608" i="1"/>
  <c r="B30605" i="1"/>
  <c r="B30601" i="1"/>
  <c r="B30597" i="1"/>
  <c r="B30593" i="1"/>
  <c r="B30588" i="1"/>
  <c r="B30584" i="1"/>
  <c r="B30580" i="1"/>
  <c r="B30576" i="1"/>
  <c r="B30572" i="1"/>
  <c r="B30568" i="1"/>
  <c r="B30564" i="1"/>
  <c r="B30560" i="1"/>
  <c r="B30556" i="1"/>
  <c r="B30552" i="1"/>
  <c r="B30548" i="1"/>
  <c r="B30544" i="1"/>
  <c r="B30540" i="1"/>
  <c r="B30536" i="1"/>
  <c r="B30532" i="1"/>
  <c r="B30528" i="1"/>
  <c r="B30524" i="1"/>
  <c r="B30520" i="1"/>
  <c r="B30516" i="1"/>
  <c r="B30512" i="1"/>
  <c r="B30507" i="1"/>
  <c r="B30502" i="1"/>
  <c r="B30497" i="1"/>
  <c r="B30492" i="1"/>
  <c r="B30487" i="1"/>
  <c r="B30483" i="1"/>
  <c r="B30479" i="1"/>
  <c r="B30475" i="1"/>
  <c r="B30471" i="1"/>
  <c r="B30466" i="1"/>
  <c r="B30461" i="1"/>
  <c r="B30457" i="1"/>
  <c r="B30453" i="1"/>
  <c r="B30447" i="1"/>
  <c r="B30441" i="1"/>
  <c r="B30437" i="1"/>
  <c r="B30433" i="1"/>
  <c r="B30429" i="1"/>
  <c r="B30424" i="1"/>
  <c r="B30420" i="1"/>
  <c r="B30416" i="1"/>
  <c r="B30411" i="1"/>
  <c r="B30407" i="1"/>
  <c r="B30403" i="1"/>
  <c r="B30399" i="1"/>
  <c r="B30395" i="1"/>
  <c r="B30391" i="1"/>
  <c r="B30387" i="1"/>
  <c r="B30383" i="1"/>
  <c r="B30379" i="1"/>
  <c r="B30376" i="1"/>
  <c r="B30372" i="1"/>
  <c r="B30368" i="1"/>
  <c r="B30364" i="1"/>
  <c r="B30360" i="1"/>
  <c r="B30356" i="1"/>
  <c r="B30352" i="1"/>
  <c r="B30347" i="1"/>
  <c r="B30342" i="1"/>
  <c r="B30337" i="1"/>
  <c r="B30333" i="1"/>
  <c r="B30329" i="1"/>
  <c r="B30323" i="1"/>
  <c r="B30317" i="1"/>
  <c r="B30313" i="1"/>
  <c r="B30308" i="1"/>
  <c r="B30302" i="1"/>
  <c r="B30297" i="1"/>
  <c r="B30292" i="1"/>
  <c r="B30286" i="1"/>
  <c r="B30280" i="1"/>
  <c r="B30274" i="1"/>
  <c r="B30269" i="1"/>
  <c r="B30265" i="1"/>
  <c r="B30261" i="1"/>
  <c r="B30257" i="1"/>
  <c r="B30253" i="1"/>
  <c r="B30247" i="1"/>
  <c r="B30241" i="1"/>
  <c r="B30238" i="1"/>
  <c r="B30235" i="1"/>
  <c r="B30231" i="1"/>
  <c r="B30226" i="1"/>
  <c r="B30221" i="1"/>
  <c r="B30217" i="1"/>
  <c r="B30213" i="1"/>
  <c r="B30208" i="1"/>
  <c r="B30203" i="1"/>
  <c r="B30199" i="1"/>
  <c r="B30194" i="1"/>
  <c r="B30189" i="1"/>
  <c r="B30186" i="1"/>
  <c r="B30182" i="1"/>
  <c r="B30176" i="1"/>
  <c r="B30170" i="1"/>
  <c r="B30164" i="1"/>
  <c r="B30158" i="1"/>
  <c r="B30154" i="1"/>
  <c r="B30151" i="1"/>
  <c r="B30147" i="1"/>
  <c r="B30143" i="1"/>
  <c r="B30139" i="1"/>
  <c r="B30136" i="1"/>
  <c r="B30132" i="1"/>
  <c r="B30128" i="1"/>
  <c r="B30123" i="1"/>
  <c r="B30120" i="1"/>
  <c r="B30116" i="1"/>
  <c r="B30111" i="1"/>
  <c r="B30106" i="1"/>
  <c r="B30102" i="1"/>
  <c r="B30097" i="1"/>
  <c r="B30093" i="1"/>
  <c r="B30089" i="1"/>
  <c r="B30085" i="1"/>
  <c r="B30080" i="1"/>
  <c r="B30076" i="1"/>
  <c r="B30072" i="1"/>
  <c r="B30068" i="1"/>
  <c r="B30063" i="1"/>
  <c r="B30058" i="1"/>
  <c r="B30054" i="1"/>
  <c r="B30050" i="1"/>
  <c r="B30046" i="1"/>
  <c r="B30042" i="1"/>
  <c r="B30038" i="1"/>
  <c r="B30034" i="1"/>
  <c r="B30030" i="1"/>
  <c r="B30026" i="1"/>
  <c r="B30022" i="1"/>
  <c r="B30018" i="1"/>
  <c r="B30014" i="1"/>
  <c r="B30010" i="1"/>
  <c r="B30006" i="1"/>
  <c r="B30002" i="1"/>
  <c r="B29998" i="1"/>
  <c r="B29994" i="1"/>
  <c r="B29990" i="1"/>
  <c r="B29986" i="1"/>
  <c r="B29981" i="1"/>
  <c r="B29976" i="1"/>
  <c r="B29971" i="1"/>
  <c r="B29966" i="1"/>
  <c r="B29961" i="1"/>
  <c r="B29956" i="1"/>
  <c r="B29951" i="1"/>
  <c r="B29946" i="1"/>
  <c r="B29942" i="1"/>
  <c r="B29938" i="1"/>
  <c r="B29934" i="1"/>
  <c r="B29929" i="1"/>
  <c r="B29925" i="1"/>
  <c r="B29921" i="1"/>
  <c r="B29916" i="1"/>
  <c r="B29911" i="1"/>
  <c r="B29907" i="1"/>
  <c r="B29903" i="1"/>
  <c r="B29898" i="1"/>
  <c r="B29894" i="1"/>
  <c r="B29890" i="1"/>
  <c r="B29886" i="1"/>
  <c r="B29882" i="1"/>
  <c r="B29878" i="1"/>
  <c r="B29874" i="1"/>
  <c r="B29870" i="1"/>
  <c r="B29866" i="1"/>
  <c r="B29863" i="1"/>
  <c r="B29860" i="1"/>
  <c r="B29855" i="1"/>
  <c r="B29851" i="1"/>
  <c r="B29847" i="1"/>
  <c r="B29843" i="1"/>
  <c r="B29839" i="1"/>
  <c r="B29836" i="1"/>
  <c r="B29833" i="1"/>
  <c r="B29828" i="1"/>
  <c r="B29823" i="1"/>
  <c r="B29820" i="1"/>
  <c r="B29815" i="1"/>
  <c r="B29810" i="1"/>
  <c r="B29805" i="1"/>
  <c r="B29802" i="1"/>
  <c r="B29798" i="1"/>
  <c r="B29795" i="1"/>
  <c r="B29791" i="1"/>
  <c r="B29787" i="1"/>
  <c r="B29783" i="1"/>
  <c r="B29779" i="1"/>
  <c r="B29775" i="1"/>
  <c r="B29772" i="1"/>
  <c r="B29769" i="1"/>
  <c r="B29766" i="1"/>
  <c r="B29762" i="1"/>
  <c r="B29758" i="1"/>
  <c r="B29755" i="1"/>
  <c r="B29751" i="1"/>
  <c r="B29747" i="1"/>
  <c r="B29743" i="1"/>
  <c r="B29739" i="1"/>
  <c r="B29734" i="1"/>
  <c r="B29730" i="1"/>
  <c r="B29726" i="1"/>
  <c r="B29722" i="1"/>
  <c r="B29718" i="1"/>
  <c r="B29714" i="1"/>
  <c r="B29709" i="1"/>
  <c r="B29706" i="1"/>
  <c r="B29702" i="1"/>
  <c r="B29698" i="1"/>
  <c r="B29694" i="1"/>
  <c r="B29691" i="1"/>
  <c r="B29687" i="1"/>
  <c r="B29684" i="1"/>
  <c r="B29681" i="1"/>
  <c r="B29677" i="1"/>
  <c r="B29672" i="1"/>
  <c r="B29667" i="1"/>
  <c r="B29662" i="1"/>
  <c r="B29656" i="1"/>
  <c r="B29650" i="1"/>
  <c r="B29645" i="1"/>
  <c r="B29640" i="1"/>
  <c r="B29635" i="1"/>
  <c r="B29631" i="1"/>
  <c r="B29627" i="1"/>
  <c r="B29623" i="1"/>
  <c r="B29619" i="1"/>
  <c r="B29615" i="1"/>
  <c r="B29612" i="1"/>
  <c r="B29608" i="1"/>
  <c r="B29604" i="1"/>
  <c r="B29601" i="1"/>
  <c r="B29597" i="1"/>
  <c r="B29594" i="1"/>
  <c r="B29590" i="1"/>
  <c r="B29586" i="1"/>
  <c r="B29583" i="1"/>
  <c r="B29579" i="1"/>
  <c r="B29575" i="1"/>
  <c r="B29571" i="1"/>
  <c r="B29567" i="1"/>
  <c r="B29562" i="1"/>
  <c r="B29559" i="1"/>
  <c r="B29556" i="1"/>
  <c r="B29552" i="1"/>
  <c r="B29541" i="1"/>
  <c r="B29530" i="1"/>
  <c r="B29526" i="1"/>
  <c r="B29522" i="1"/>
  <c r="B29517" i="1"/>
  <c r="B29513" i="1"/>
  <c r="B29509" i="1"/>
  <c r="B29505" i="1"/>
  <c r="B29501" i="1"/>
  <c r="B29497" i="1"/>
  <c r="B29493" i="1"/>
  <c r="B29489" i="1"/>
  <c r="B29485" i="1"/>
  <c r="B29481" i="1"/>
  <c r="B29477" i="1"/>
  <c r="B29473" i="1"/>
  <c r="B29469" i="1"/>
  <c r="B29464" i="1"/>
  <c r="B29459" i="1"/>
  <c r="B29454" i="1"/>
  <c r="B29450" i="1"/>
  <c r="B29447" i="1"/>
  <c r="B29443" i="1"/>
  <c r="B29439" i="1"/>
  <c r="B29435" i="1"/>
  <c r="B29431" i="1"/>
  <c r="B29426" i="1"/>
  <c r="B29422" i="1"/>
  <c r="B29418" i="1"/>
  <c r="B29414" i="1"/>
  <c r="B29410" i="1"/>
  <c r="B29406" i="1"/>
  <c r="B29402" i="1"/>
  <c r="B29398" i="1"/>
  <c r="B29395" i="1"/>
  <c r="B29391" i="1"/>
  <c r="B29387" i="1"/>
  <c r="B29379" i="1"/>
  <c r="B29375" i="1"/>
  <c r="B29370" i="1"/>
  <c r="B29364" i="1"/>
  <c r="B29360" i="1"/>
  <c r="B29356" i="1"/>
  <c r="B29352" i="1"/>
  <c r="B29347" i="1"/>
  <c r="B29342" i="1"/>
  <c r="B29337" i="1"/>
  <c r="B29332" i="1"/>
  <c r="B29327" i="1"/>
  <c r="B29322" i="1"/>
  <c r="B29317" i="1"/>
  <c r="B29313" i="1"/>
  <c r="B29310" i="1"/>
  <c r="B29306" i="1"/>
  <c r="B29302" i="1"/>
  <c r="B29298" i="1"/>
  <c r="B29294" i="1"/>
  <c r="B29290" i="1"/>
  <c r="B29287" i="1"/>
  <c r="B29283" i="1"/>
  <c r="B29279" i="1"/>
  <c r="B29275" i="1"/>
  <c r="B29271" i="1"/>
  <c r="B29267" i="1"/>
  <c r="B29263" i="1"/>
  <c r="B29258" i="1"/>
  <c r="B29252" i="1"/>
  <c r="B29248" i="1"/>
  <c r="B29244" i="1"/>
  <c r="B29240" i="1"/>
  <c r="B29236" i="1"/>
  <c r="B29232" i="1"/>
  <c r="B29227" i="1"/>
  <c r="B29221" i="1"/>
  <c r="B29216" i="1"/>
  <c r="B29211" i="1"/>
  <c r="B29206" i="1"/>
  <c r="B29201" i="1"/>
  <c r="B29196" i="1"/>
  <c r="B29191" i="1"/>
  <c r="B29186" i="1"/>
  <c r="B29181" i="1"/>
  <c r="B29176" i="1"/>
  <c r="B29171" i="1"/>
  <c r="B29166" i="1"/>
  <c r="B29161" i="1"/>
  <c r="B29156" i="1"/>
  <c r="B29151" i="1"/>
  <c r="B29146" i="1"/>
  <c r="B29141" i="1"/>
  <c r="B29136" i="1"/>
  <c r="B29131" i="1"/>
  <c r="B29126" i="1"/>
  <c r="B29121" i="1"/>
  <c r="B29116" i="1"/>
  <c r="B29111" i="1"/>
  <c r="B29106" i="1"/>
  <c r="B29101" i="1"/>
  <c r="B29096" i="1"/>
  <c r="B29091" i="1"/>
  <c r="B29086" i="1"/>
  <c r="B29081" i="1"/>
  <c r="B29076" i="1"/>
  <c r="B29071" i="1"/>
  <c r="B29066" i="1"/>
  <c r="B29061" i="1"/>
  <c r="B29056" i="1"/>
  <c r="B29051" i="1"/>
  <c r="B29047" i="1"/>
  <c r="B29042" i="1"/>
  <c r="B29037" i="1"/>
  <c r="B29031" i="1"/>
  <c r="B29025" i="1"/>
  <c r="B29021" i="1"/>
  <c r="B29018" i="1"/>
  <c r="B29015" i="1"/>
  <c r="B29011" i="1"/>
  <c r="B29007" i="1"/>
  <c r="B29003" i="1"/>
  <c r="B28998" i="1"/>
  <c r="B28993" i="1"/>
  <c r="B28987" i="1"/>
  <c r="B28983" i="1"/>
  <c r="B28979" i="1"/>
  <c r="B28976" i="1"/>
  <c r="B28972" i="1"/>
  <c r="B28969" i="1"/>
  <c r="B28966" i="1"/>
  <c r="B28963" i="1"/>
  <c r="B28958" i="1"/>
  <c r="B28954" i="1"/>
  <c r="B28950" i="1"/>
  <c r="B28946" i="1"/>
  <c r="B28942" i="1"/>
  <c r="B28937" i="1"/>
  <c r="B28932" i="1"/>
  <c r="B28928" i="1"/>
  <c r="B28924" i="1"/>
  <c r="B28920" i="1"/>
  <c r="B28916" i="1"/>
  <c r="B28912" i="1"/>
  <c r="B28908" i="1"/>
  <c r="B28904" i="1"/>
  <c r="B28900" i="1"/>
  <c r="B28895" i="1"/>
  <c r="B28890" i="1"/>
  <c r="B28886" i="1"/>
  <c r="B28882" i="1"/>
  <c r="B28878" i="1"/>
  <c r="B28873" i="1"/>
  <c r="B28869" i="1"/>
  <c r="B28865" i="1"/>
  <c r="B28861" i="1"/>
  <c r="B28857" i="1"/>
  <c r="B28854" i="1"/>
  <c r="B28850" i="1"/>
  <c r="B28846" i="1"/>
  <c r="B28841" i="1"/>
  <c r="B28836" i="1"/>
  <c r="B28831" i="1"/>
  <c r="B28826" i="1"/>
  <c r="B28823" i="1"/>
  <c r="B28819" i="1"/>
  <c r="B28814" i="1"/>
  <c r="B28810" i="1"/>
  <c r="B28806" i="1"/>
  <c r="B28802" i="1"/>
  <c r="B28798" i="1"/>
  <c r="B28794" i="1"/>
  <c r="B28791" i="1"/>
  <c r="B28787" i="1"/>
  <c r="B28783" i="1"/>
  <c r="B28779" i="1"/>
  <c r="B28775" i="1"/>
  <c r="B28770" i="1"/>
  <c r="B28765" i="1"/>
  <c r="B28761" i="1"/>
  <c r="B28756" i="1"/>
  <c r="B28751" i="1"/>
  <c r="B28747" i="1"/>
  <c r="B28743" i="1"/>
  <c r="B28739" i="1"/>
  <c r="B28735" i="1"/>
  <c r="B28731" i="1"/>
  <c r="B28727" i="1"/>
  <c r="B28724" i="1"/>
  <c r="B28720" i="1"/>
  <c r="B28716" i="1"/>
  <c r="B28713" i="1"/>
  <c r="B28709" i="1"/>
  <c r="B28705" i="1"/>
  <c r="B28700" i="1"/>
  <c r="B28695" i="1"/>
  <c r="B28691" i="1"/>
  <c r="B28687" i="1"/>
  <c r="B28683" i="1"/>
  <c r="B28678" i="1"/>
  <c r="B28673" i="1"/>
  <c r="B28669" i="1"/>
  <c r="B28664" i="1"/>
  <c r="B28661" i="1"/>
  <c r="B28657" i="1"/>
  <c r="B28651" i="1"/>
  <c r="B28646" i="1"/>
  <c r="B28641" i="1"/>
  <c r="B28635" i="1"/>
  <c r="B28631" i="1"/>
  <c r="B28627" i="1"/>
  <c r="B28622" i="1"/>
  <c r="B28618" i="1"/>
  <c r="B28615" i="1"/>
  <c r="B28612" i="1"/>
  <c r="B28608" i="1"/>
  <c r="B28605" i="1"/>
  <c r="B28601" i="1"/>
  <c r="B28597" i="1"/>
  <c r="B28594" i="1"/>
  <c r="B28589" i="1"/>
  <c r="B28585" i="1"/>
  <c r="B28582" i="1"/>
  <c r="B28578" i="1"/>
  <c r="B28574" i="1"/>
  <c r="B28570" i="1"/>
  <c r="B28566" i="1"/>
  <c r="B28562" i="1"/>
  <c r="B28559" i="1"/>
  <c r="B28554" i="1"/>
  <c r="B28549" i="1"/>
  <c r="B28544" i="1"/>
  <c r="B28540" i="1"/>
  <c r="B28536" i="1"/>
  <c r="B28532" i="1"/>
  <c r="B28528" i="1"/>
  <c r="B28524" i="1"/>
  <c r="B28521" i="1"/>
  <c r="B28518" i="1"/>
  <c r="B28514" i="1"/>
  <c r="B28510" i="1"/>
  <c r="B28506" i="1"/>
  <c r="B28502" i="1"/>
  <c r="B28498" i="1"/>
  <c r="B28494" i="1"/>
  <c r="B28491" i="1"/>
  <c r="B28487" i="1"/>
  <c r="B28483" i="1"/>
  <c r="B28479" i="1"/>
  <c r="B28475" i="1"/>
  <c r="B28471" i="1"/>
  <c r="B28467" i="1"/>
  <c r="B28463" i="1"/>
  <c r="B28458" i="1"/>
  <c r="B28454" i="1"/>
  <c r="B28450" i="1"/>
  <c r="B28445" i="1"/>
  <c r="B28440" i="1"/>
  <c r="B28436" i="1"/>
  <c r="B28432" i="1"/>
  <c r="B28428" i="1"/>
  <c r="B28423" i="1"/>
  <c r="B28418" i="1"/>
  <c r="B28413" i="1"/>
  <c r="B28408" i="1"/>
  <c r="B28403" i="1"/>
  <c r="B28398" i="1"/>
  <c r="B28393" i="1"/>
  <c r="B28387" i="1"/>
  <c r="B28382" i="1"/>
  <c r="B28377" i="1"/>
  <c r="B28372" i="1"/>
  <c r="B28367" i="1"/>
  <c r="B28362" i="1"/>
  <c r="B28357" i="1"/>
  <c r="B28352" i="1"/>
  <c r="B28347" i="1"/>
  <c r="B28342" i="1"/>
  <c r="B28337" i="1"/>
  <c r="B28333" i="1"/>
  <c r="B28328" i="1"/>
  <c r="B28324" i="1"/>
  <c r="B28319" i="1"/>
  <c r="B28314" i="1"/>
  <c r="B28310" i="1"/>
  <c r="B28307" i="1"/>
  <c r="B28303" i="1"/>
  <c r="B28298" i="1"/>
  <c r="B28293" i="1"/>
  <c r="B28288" i="1"/>
  <c r="B28283" i="1"/>
  <c r="B28278" i="1"/>
  <c r="B28273" i="1"/>
  <c r="B28269" i="1"/>
  <c r="B28264" i="1"/>
  <c r="B28259" i="1"/>
  <c r="B28255" i="1"/>
  <c r="B28251" i="1"/>
  <c r="B28247" i="1"/>
  <c r="B28243" i="1"/>
  <c r="B28240" i="1"/>
  <c r="B28237" i="1"/>
  <c r="B28233" i="1"/>
  <c r="B28230" i="1"/>
  <c r="B28226" i="1"/>
  <c r="B28221" i="1"/>
  <c r="B28216" i="1"/>
  <c r="B28211" i="1"/>
  <c r="B28206" i="1"/>
  <c r="B28201" i="1"/>
  <c r="B28196" i="1"/>
  <c r="B28191" i="1"/>
  <c r="B28186" i="1"/>
  <c r="B28181" i="1"/>
  <c r="B28177" i="1"/>
  <c r="B28173" i="1"/>
  <c r="B28170" i="1"/>
  <c r="B28166" i="1"/>
  <c r="B28162" i="1"/>
  <c r="B28158" i="1"/>
  <c r="B28154" i="1"/>
  <c r="B28150" i="1"/>
  <c r="B28146" i="1"/>
  <c r="B28142" i="1"/>
  <c r="B28138" i="1"/>
  <c r="B28134" i="1"/>
  <c r="B28130" i="1"/>
  <c r="B28126" i="1"/>
  <c r="B28122" i="1"/>
  <c r="B28118" i="1"/>
  <c r="B28114" i="1"/>
  <c r="B28110" i="1"/>
  <c r="B28106" i="1"/>
  <c r="B28103" i="1"/>
  <c r="B28099" i="1"/>
  <c r="B28095" i="1"/>
  <c r="B28091" i="1"/>
  <c r="B28087" i="1"/>
  <c r="B28082" i="1"/>
  <c r="B28077" i="1"/>
  <c r="B28073" i="1"/>
  <c r="B28068" i="1"/>
  <c r="B28064" i="1"/>
  <c r="B28060" i="1"/>
  <c r="B28056" i="1"/>
  <c r="B28051" i="1"/>
  <c r="B28046" i="1"/>
  <c r="B28041" i="1"/>
  <c r="B28036" i="1"/>
  <c r="B28032" i="1"/>
  <c r="B28028" i="1"/>
  <c r="B28024" i="1"/>
  <c r="B28020" i="1"/>
  <c r="B28017" i="1"/>
  <c r="B28012" i="1"/>
  <c r="B28007" i="1"/>
  <c r="B28004" i="1"/>
  <c r="B28000" i="1"/>
  <c r="B27997" i="1"/>
  <c r="B27994" i="1"/>
  <c r="B27991" i="1"/>
  <c r="B27987" i="1"/>
  <c r="B27983" i="1"/>
  <c r="B27979" i="1"/>
  <c r="B27974" i="1"/>
  <c r="B27970" i="1"/>
  <c r="B27967" i="1"/>
  <c r="B27963" i="1"/>
  <c r="B27959" i="1"/>
  <c r="B27955" i="1"/>
  <c r="B27951" i="1"/>
  <c r="B27946" i="1"/>
  <c r="B27941" i="1"/>
  <c r="B27937" i="1"/>
  <c r="B27933" i="1"/>
  <c r="B27929" i="1"/>
  <c r="B27925" i="1"/>
  <c r="B27920" i="1"/>
  <c r="B27916" i="1"/>
  <c r="B27912" i="1"/>
  <c r="B27908" i="1"/>
  <c r="B27904" i="1"/>
  <c r="B27901" i="1"/>
  <c r="B27898" i="1"/>
  <c r="B27894" i="1"/>
  <c r="B27890" i="1"/>
  <c r="B27886" i="1"/>
  <c r="B27882" i="1"/>
  <c r="B27878" i="1"/>
  <c r="B27874" i="1"/>
  <c r="B27870" i="1"/>
  <c r="B27866" i="1"/>
  <c r="B27862" i="1"/>
  <c r="B27858" i="1"/>
  <c r="B27854" i="1"/>
  <c r="B27850" i="1"/>
  <c r="B27846" i="1"/>
  <c r="B27842" i="1"/>
  <c r="B27838" i="1"/>
  <c r="B27833" i="1"/>
  <c r="B27829" i="1"/>
  <c r="B27826" i="1"/>
  <c r="B27822" i="1"/>
  <c r="B27818" i="1"/>
  <c r="B27813" i="1"/>
  <c r="B27809" i="1"/>
  <c r="B27805" i="1"/>
  <c r="B27801" i="1"/>
  <c r="B27797" i="1"/>
  <c r="B27793" i="1"/>
  <c r="B27789" i="1"/>
  <c r="B27785" i="1"/>
  <c r="B27781" i="1"/>
  <c r="B27777" i="1"/>
  <c r="B27773" i="1"/>
  <c r="B27769" i="1"/>
  <c r="B27765" i="1"/>
  <c r="B27759" i="1"/>
  <c r="B27755" i="1"/>
  <c r="B27752" i="1"/>
  <c r="B27748" i="1"/>
  <c r="B27743" i="1"/>
  <c r="B27739" i="1"/>
  <c r="B27734" i="1"/>
  <c r="B27729" i="1"/>
  <c r="B27724" i="1"/>
  <c r="B27719" i="1"/>
  <c r="B27715" i="1"/>
  <c r="B27711" i="1"/>
  <c r="B27707" i="1"/>
  <c r="B27703" i="1"/>
  <c r="B27698" i="1"/>
  <c r="B27694" i="1"/>
  <c r="B27691" i="1"/>
  <c r="B27686" i="1"/>
  <c r="B27683" i="1"/>
  <c r="B27680" i="1"/>
  <c r="B27676" i="1"/>
  <c r="B27673" i="1"/>
  <c r="B27670" i="1"/>
  <c r="B27666" i="1"/>
  <c r="B27662" i="1"/>
  <c r="B27653" i="1"/>
  <c r="B27648" i="1"/>
  <c r="B27644" i="1"/>
  <c r="B27640" i="1"/>
  <c r="B27636" i="1"/>
  <c r="B27625" i="1"/>
  <c r="B27621" i="1"/>
  <c r="B27616" i="1"/>
  <c r="B27612" i="1"/>
  <c r="B27607" i="1"/>
  <c r="B27602" i="1"/>
  <c r="B27598" i="1"/>
  <c r="B27593" i="1"/>
  <c r="B27588" i="1"/>
  <c r="B27583" i="1"/>
  <c r="B27579" i="1"/>
  <c r="B27574" i="1"/>
  <c r="B27569" i="1"/>
  <c r="B27564" i="1"/>
  <c r="B27560" i="1"/>
  <c r="B27556" i="1"/>
  <c r="B27552" i="1"/>
  <c r="B27544" i="1"/>
  <c r="B27540" i="1"/>
  <c r="B27535" i="1"/>
  <c r="B27531" i="1"/>
  <c r="B27527" i="1"/>
  <c r="B27523" i="1"/>
  <c r="B27519" i="1"/>
  <c r="B27515" i="1"/>
  <c r="B27511" i="1"/>
  <c r="B27506" i="1"/>
  <c r="B27502" i="1"/>
  <c r="B27499" i="1"/>
  <c r="B27496" i="1"/>
  <c r="B27492" i="1"/>
  <c r="B27488" i="1"/>
  <c r="B27484" i="1"/>
  <c r="B27480" i="1"/>
  <c r="B27476" i="1"/>
  <c r="B27472" i="1"/>
  <c r="B27469" i="1"/>
  <c r="B27465" i="1"/>
  <c r="B27461" i="1"/>
  <c r="B27457" i="1"/>
  <c r="B27452" i="1"/>
  <c r="B27448" i="1"/>
  <c r="B27444" i="1"/>
  <c r="B27440" i="1"/>
  <c r="B27436" i="1"/>
  <c r="B27432" i="1"/>
  <c r="B27429" i="1"/>
  <c r="B27425" i="1"/>
  <c r="B27420" i="1"/>
  <c r="B27415" i="1"/>
  <c r="B27411" i="1"/>
  <c r="B27406" i="1"/>
  <c r="B27403" i="1"/>
  <c r="B27399" i="1"/>
  <c r="B27395" i="1"/>
  <c r="B27390" i="1"/>
  <c r="B27385" i="1"/>
  <c r="B27381" i="1"/>
  <c r="B27378" i="1"/>
  <c r="B27374" i="1"/>
  <c r="B27370" i="1"/>
  <c r="B27365" i="1"/>
  <c r="B27361" i="1"/>
  <c r="B27353" i="1"/>
  <c r="B27348" i="1"/>
  <c r="B27344" i="1"/>
  <c r="B27340" i="1"/>
  <c r="B27332" i="1"/>
  <c r="B27328" i="1"/>
  <c r="B27324" i="1"/>
  <c r="B27320" i="1"/>
  <c r="B27316" i="1"/>
  <c r="B27312" i="1"/>
  <c r="B27309" i="1"/>
  <c r="B27304" i="1"/>
  <c r="B27300" i="1"/>
  <c r="B27297" i="1"/>
  <c r="B27293" i="1"/>
  <c r="B27289" i="1"/>
  <c r="B27284" i="1"/>
  <c r="B27280" i="1"/>
  <c r="B27276" i="1"/>
  <c r="B27271" i="1"/>
  <c r="B27268" i="1"/>
  <c r="B27264" i="1"/>
  <c r="B27260" i="1"/>
  <c r="B27256" i="1"/>
  <c r="B27252" i="1"/>
  <c r="B27248" i="1"/>
  <c r="B27243" i="1"/>
  <c r="B27239" i="1"/>
  <c r="B27234" i="1"/>
  <c r="B27229" i="1"/>
  <c r="B27224" i="1"/>
  <c r="B27220" i="1"/>
  <c r="B27215" i="1"/>
  <c r="B27210" i="1"/>
  <c r="B27205" i="1"/>
  <c r="B27201" i="1"/>
  <c r="B27197" i="1"/>
  <c r="B27193" i="1"/>
  <c r="B27189" i="1"/>
  <c r="B27185" i="1"/>
  <c r="B27181" i="1"/>
  <c r="B27177" i="1"/>
  <c r="B27173" i="1"/>
  <c r="B27169" i="1"/>
  <c r="B27160" i="1"/>
  <c r="B27156" i="1"/>
  <c r="B27152" i="1"/>
  <c r="B27148" i="1"/>
  <c r="B27144" i="1"/>
  <c r="B27139" i="1"/>
  <c r="B27134" i="1"/>
  <c r="B27129" i="1"/>
  <c r="B27125" i="1"/>
  <c r="B27120" i="1"/>
  <c r="B27115" i="1"/>
  <c r="B27110" i="1"/>
  <c r="B27105" i="1"/>
  <c r="B27100" i="1"/>
  <c r="B27095" i="1"/>
  <c r="B27090" i="1"/>
  <c r="B27087" i="1"/>
  <c r="B27083" i="1"/>
  <c r="B27078" i="1"/>
  <c r="B27073" i="1"/>
  <c r="B27068" i="1"/>
  <c r="B27063" i="1"/>
  <c r="B27058" i="1"/>
  <c r="B27053" i="1"/>
  <c r="B27048" i="1"/>
  <c r="B27044" i="1"/>
  <c r="B27040" i="1"/>
  <c r="B27036" i="1"/>
  <c r="B27032" i="1"/>
  <c r="B27028" i="1"/>
  <c r="B27024" i="1"/>
  <c r="B27020" i="1"/>
  <c r="B27016" i="1"/>
  <c r="B27013" i="1"/>
  <c r="B27010" i="1"/>
  <c r="B27006" i="1"/>
  <c r="B27002" i="1"/>
  <c r="B26998" i="1"/>
  <c r="B26994" i="1"/>
  <c r="B26990" i="1"/>
  <c r="B26986" i="1"/>
  <c r="B26981" i="1"/>
  <c r="B26977" i="1"/>
  <c r="B26973" i="1"/>
  <c r="B26968" i="1"/>
  <c r="B26964" i="1"/>
  <c r="B26959" i="1"/>
  <c r="B26955" i="1"/>
  <c r="B26951" i="1"/>
  <c r="B26947" i="1"/>
  <c r="B26943" i="1"/>
  <c r="B26939" i="1"/>
  <c r="B26934" i="1"/>
  <c r="B26930" i="1"/>
  <c r="B26925" i="1"/>
  <c r="B26922" i="1"/>
  <c r="B26918" i="1"/>
  <c r="B26914" i="1"/>
  <c r="B26910" i="1"/>
  <c r="B26905" i="1"/>
  <c r="B26900" i="1"/>
  <c r="B26896" i="1"/>
  <c r="B26892" i="1"/>
  <c r="B26887" i="1"/>
  <c r="B26883" i="1"/>
  <c r="B26879" i="1"/>
  <c r="B26875" i="1"/>
  <c r="B26872" i="1"/>
  <c r="B26868" i="1"/>
  <c r="B26864" i="1"/>
  <c r="B26860" i="1"/>
  <c r="B26855" i="1"/>
  <c r="B26850" i="1"/>
  <c r="B26846" i="1"/>
  <c r="B26842" i="1"/>
  <c r="B26838" i="1"/>
  <c r="B26833" i="1"/>
  <c r="B26828" i="1"/>
  <c r="B26824" i="1"/>
  <c r="B26820" i="1"/>
  <c r="B26815" i="1"/>
  <c r="B26811" i="1"/>
  <c r="B26807" i="1"/>
  <c r="B26803" i="1"/>
  <c r="B26799" i="1"/>
  <c r="B26795" i="1"/>
  <c r="B26791" i="1"/>
  <c r="B26787" i="1"/>
  <c r="B26783" i="1"/>
  <c r="B26779" i="1"/>
  <c r="B26775" i="1"/>
  <c r="B26772" i="1"/>
  <c r="B26768" i="1"/>
  <c r="B26764" i="1"/>
  <c r="B26759" i="1"/>
  <c r="B26755" i="1"/>
  <c r="B26750" i="1"/>
  <c r="B26746" i="1"/>
  <c r="B26742" i="1"/>
  <c r="B26738" i="1"/>
  <c r="B26734" i="1"/>
  <c r="B26730" i="1"/>
  <c r="B26726" i="1"/>
  <c r="B26722" i="1"/>
  <c r="B26718" i="1"/>
  <c r="B26714" i="1"/>
  <c r="B26709" i="1"/>
  <c r="B26705" i="1"/>
  <c r="B26701" i="1"/>
  <c r="B26697" i="1"/>
  <c r="B26694" i="1"/>
  <c r="B26690" i="1"/>
  <c r="B26686" i="1"/>
  <c r="B26682" i="1"/>
  <c r="B26677" i="1"/>
  <c r="B26674" i="1"/>
  <c r="B26671" i="1"/>
  <c r="B26667" i="1"/>
  <c r="B26663" i="1"/>
  <c r="B26659" i="1"/>
  <c r="B26655" i="1"/>
  <c r="B26651" i="1"/>
  <c r="B26647" i="1"/>
  <c r="B26643" i="1"/>
  <c r="B26638" i="1"/>
  <c r="B26633" i="1"/>
  <c r="B26629" i="1"/>
  <c r="B26625" i="1"/>
  <c r="B26621" i="1"/>
  <c r="B26617" i="1"/>
  <c r="B26613" i="1"/>
  <c r="B26609" i="1"/>
  <c r="B26605" i="1"/>
  <c r="B26601" i="1"/>
  <c r="B26597" i="1"/>
  <c r="B26593" i="1"/>
  <c r="B26589" i="1"/>
  <c r="B26585" i="1"/>
  <c r="B26581" i="1"/>
  <c r="B26577" i="1"/>
  <c r="B26572" i="1"/>
  <c r="B26568" i="1"/>
  <c r="B26564" i="1"/>
  <c r="B26560" i="1"/>
  <c r="B26556" i="1"/>
  <c r="B26552" i="1"/>
  <c r="B26548" i="1"/>
  <c r="B26544" i="1"/>
  <c r="B26540" i="1"/>
  <c r="B26536" i="1"/>
  <c r="B26532" i="1"/>
  <c r="B26527" i="1"/>
  <c r="B26522" i="1"/>
  <c r="B26518" i="1"/>
  <c r="B26514" i="1"/>
  <c r="B26510" i="1"/>
  <c r="B26505" i="1"/>
  <c r="B26500" i="1"/>
  <c r="B26495" i="1"/>
  <c r="B26490" i="1"/>
  <c r="B26485" i="1"/>
  <c r="B26480" i="1"/>
  <c r="B26475" i="1"/>
  <c r="B26470" i="1"/>
  <c r="B26465" i="1"/>
  <c r="B26460" i="1"/>
  <c r="B26455" i="1"/>
  <c r="B26450" i="1"/>
  <c r="B26445" i="1"/>
  <c r="B26442" i="1"/>
  <c r="B26437" i="1"/>
  <c r="B26432" i="1"/>
  <c r="B26427" i="1"/>
  <c r="B26422" i="1"/>
  <c r="B26417" i="1"/>
  <c r="B26412" i="1"/>
  <c r="B26408" i="1"/>
  <c r="B26403" i="1"/>
  <c r="B26399" i="1"/>
  <c r="B26395" i="1"/>
  <c r="B26391" i="1"/>
  <c r="B26387" i="1"/>
  <c r="B26383" i="1"/>
  <c r="B26379" i="1"/>
  <c r="B26375" i="1"/>
  <c r="B26370" i="1"/>
  <c r="B26366" i="1"/>
  <c r="B26362" i="1"/>
  <c r="B26358" i="1"/>
  <c r="B26354" i="1"/>
  <c r="B26349" i="1"/>
  <c r="B26344" i="1"/>
  <c r="B26340" i="1"/>
  <c r="B26336" i="1"/>
  <c r="B26332" i="1"/>
  <c r="B26328" i="1"/>
  <c r="B26324" i="1"/>
  <c r="B26320" i="1"/>
  <c r="B26316" i="1"/>
  <c r="B26313" i="1"/>
  <c r="B26309" i="1"/>
  <c r="B26305" i="1"/>
  <c r="B26301" i="1"/>
  <c r="B26297" i="1"/>
  <c r="B26293" i="1"/>
  <c r="B26289" i="1"/>
  <c r="B26285" i="1"/>
  <c r="B26281" i="1"/>
  <c r="B26277" i="1"/>
  <c r="B26273" i="1"/>
  <c r="B26270" i="1"/>
  <c r="B26263" i="1"/>
  <c r="B26256" i="1"/>
  <c r="B26252" i="1"/>
  <c r="B26248" i="1"/>
  <c r="B26243" i="1"/>
  <c r="B26238" i="1"/>
  <c r="B26233" i="1"/>
  <c r="B26229" i="1"/>
  <c r="B26225" i="1"/>
  <c r="B26221" i="1"/>
  <c r="B26216" i="1"/>
  <c r="B26212" i="1"/>
  <c r="B26208" i="1"/>
  <c r="B26204" i="1"/>
  <c r="B26200" i="1"/>
  <c r="B26195" i="1"/>
  <c r="B26192" i="1"/>
  <c r="B26187" i="1"/>
  <c r="B26182" i="1"/>
  <c r="B26177" i="1"/>
  <c r="B26173" i="1"/>
  <c r="B26168" i="1"/>
  <c r="B26164" i="1"/>
  <c r="B26160" i="1"/>
  <c r="B26156" i="1"/>
  <c r="B26152" i="1"/>
  <c r="B26148" i="1"/>
  <c r="B26144" i="1"/>
  <c r="B26140" i="1"/>
  <c r="B26136" i="1"/>
  <c r="B26131" i="1"/>
  <c r="B26128" i="1"/>
  <c r="B26124" i="1"/>
  <c r="B26120" i="1"/>
  <c r="B26115" i="1"/>
  <c r="B26112" i="1"/>
  <c r="B26108" i="1"/>
  <c r="B26104" i="1"/>
  <c r="B26101" i="1"/>
  <c r="B26097" i="1"/>
  <c r="B26093" i="1"/>
  <c r="B26089" i="1"/>
  <c r="B26084" i="1"/>
  <c r="B26080" i="1"/>
  <c r="B26077" i="1"/>
  <c r="B26073" i="1"/>
  <c r="B26068" i="1"/>
  <c r="B26063" i="1"/>
  <c r="B26058" i="1"/>
  <c r="B26054" i="1"/>
  <c r="B26049" i="1"/>
  <c r="B26045" i="1"/>
  <c r="B26041" i="1"/>
  <c r="B26037" i="1"/>
  <c r="B26032" i="1"/>
  <c r="B26028" i="1"/>
  <c r="B26024" i="1"/>
  <c r="B26020" i="1"/>
  <c r="B26016" i="1"/>
  <c r="B26012" i="1"/>
  <c r="B26008" i="1"/>
  <c r="B26004" i="1"/>
  <c r="B26001" i="1"/>
  <c r="B25998" i="1"/>
  <c r="B25994" i="1"/>
  <c r="B25991" i="1"/>
  <c r="B25988" i="1"/>
  <c r="B25985" i="1"/>
  <c r="B25982" i="1"/>
  <c r="B25979" i="1"/>
  <c r="B25976" i="1"/>
  <c r="B25972" i="1"/>
  <c r="B25968" i="1"/>
  <c r="B25964" i="1"/>
  <c r="B25960" i="1"/>
  <c r="B25956" i="1"/>
  <c r="B25951" i="1"/>
  <c r="B25948" i="1"/>
  <c r="B25945" i="1"/>
  <c r="B25942" i="1"/>
  <c r="B25937" i="1"/>
  <c r="B25933" i="1"/>
  <c r="B25930" i="1"/>
  <c r="B25926" i="1"/>
  <c r="B25923" i="1"/>
  <c r="B25920" i="1"/>
  <c r="B25916" i="1"/>
  <c r="B25912" i="1"/>
  <c r="B25909" i="1"/>
  <c r="B25905" i="1"/>
  <c r="B25899" i="1"/>
  <c r="B25896" i="1"/>
  <c r="B25893" i="1"/>
  <c r="B25887" i="1"/>
  <c r="B25883" i="1"/>
  <c r="B25879" i="1"/>
  <c r="B25875" i="1"/>
  <c r="B25871" i="1"/>
  <c r="B25867" i="1"/>
  <c r="B25863" i="1"/>
  <c r="B25859" i="1"/>
  <c r="B25853" i="1"/>
  <c r="B25849" i="1"/>
  <c r="B25846" i="1"/>
  <c r="B25843" i="1"/>
  <c r="B25839" i="1"/>
  <c r="B25835" i="1"/>
  <c r="B25832" i="1"/>
  <c r="B25829" i="1"/>
  <c r="B25826" i="1"/>
  <c r="B25823" i="1"/>
  <c r="B25819" i="1"/>
  <c r="B25815" i="1"/>
  <c r="B25811" i="1"/>
  <c r="B25807" i="1"/>
  <c r="B25803" i="1"/>
  <c r="B25799" i="1"/>
  <c r="B25795" i="1"/>
  <c r="B25791" i="1"/>
  <c r="B25787" i="1"/>
  <c r="B25783" i="1"/>
  <c r="B25779" i="1"/>
  <c r="B25775" i="1"/>
  <c r="B25771" i="1"/>
  <c r="B25768" i="1"/>
  <c r="B25764" i="1"/>
  <c r="B25761" i="1"/>
  <c r="B25757" i="1"/>
  <c r="B25753" i="1"/>
  <c r="B25749" i="1"/>
  <c r="B25745" i="1"/>
  <c r="B25741" i="1"/>
  <c r="B25737" i="1"/>
  <c r="B25733" i="1"/>
  <c r="B25729" i="1"/>
  <c r="B25725" i="1"/>
  <c r="B25721" i="1"/>
  <c r="B25716" i="1"/>
  <c r="B25713" i="1"/>
  <c r="B25709" i="1"/>
  <c r="B25705" i="1"/>
  <c r="B25700" i="1"/>
  <c r="B25696" i="1"/>
  <c r="B25692" i="1"/>
  <c r="B25689" i="1"/>
  <c r="B25685" i="1"/>
  <c r="B25682" i="1"/>
  <c r="B25678" i="1"/>
  <c r="B25674" i="1"/>
  <c r="B25670" i="1"/>
  <c r="B25667" i="1"/>
  <c r="B25664" i="1"/>
  <c r="B25659" i="1"/>
  <c r="B25655" i="1"/>
  <c r="B25651" i="1"/>
  <c r="B25647" i="1"/>
  <c r="B25643" i="1"/>
  <c r="B25639" i="1"/>
  <c r="B25635" i="1"/>
  <c r="B25630" i="1"/>
  <c r="B25626" i="1"/>
  <c r="B25622" i="1"/>
  <c r="B25618" i="1"/>
  <c r="B25614" i="1"/>
  <c r="B25610" i="1"/>
  <c r="B25605" i="1"/>
  <c r="B25602" i="1"/>
  <c r="B25598" i="1"/>
  <c r="B25594" i="1"/>
  <c r="B25589" i="1"/>
  <c r="B25584" i="1"/>
  <c r="B25581" i="1"/>
  <c r="B25576" i="1"/>
  <c r="B25571" i="1"/>
  <c r="B25568" i="1"/>
  <c r="B25563" i="1"/>
  <c r="B25558" i="1"/>
  <c r="B25553" i="1"/>
  <c r="B25548" i="1"/>
  <c r="B25545" i="1"/>
  <c r="B25542" i="1"/>
  <c r="B25539" i="1"/>
  <c r="B25536" i="1"/>
  <c r="B25533" i="1"/>
  <c r="B25530" i="1"/>
  <c r="B25527" i="1"/>
  <c r="B25524" i="1"/>
  <c r="B25520" i="1"/>
  <c r="B25516" i="1"/>
  <c r="B25512" i="1"/>
  <c r="B25508" i="1"/>
  <c r="B25504" i="1"/>
  <c r="B25500" i="1"/>
  <c r="B25495" i="1"/>
  <c r="B25492" i="1"/>
  <c r="B25489" i="1"/>
  <c r="B25486" i="1"/>
  <c r="B25483" i="1"/>
  <c r="B25480" i="1"/>
  <c r="B25476" i="1"/>
  <c r="B25472" i="1"/>
  <c r="B25467" i="1"/>
  <c r="B25463" i="1"/>
  <c r="B25460" i="1"/>
  <c r="B25456" i="1"/>
  <c r="B25452" i="1"/>
  <c r="B25449" i="1"/>
  <c r="B25446" i="1"/>
  <c r="B25443" i="1"/>
  <c r="B25440" i="1"/>
  <c r="B25436" i="1"/>
  <c r="B25432" i="1"/>
  <c r="B25428" i="1"/>
  <c r="B25424" i="1"/>
  <c r="B25420" i="1"/>
  <c r="B25417" i="1"/>
  <c r="B25413" i="1"/>
  <c r="B25410" i="1"/>
  <c r="B25406" i="1"/>
  <c r="B25402" i="1"/>
  <c r="B25397" i="1"/>
  <c r="B25392" i="1"/>
  <c r="B25387" i="1"/>
  <c r="B25382" i="1"/>
  <c r="B25378" i="1"/>
  <c r="B25374" i="1"/>
  <c r="B25370" i="1"/>
  <c r="B25366" i="1"/>
  <c r="B25362" i="1"/>
  <c r="B25358" i="1"/>
  <c r="B25354" i="1"/>
  <c r="B25349" i="1"/>
  <c r="B25345" i="1"/>
  <c r="B25341" i="1"/>
  <c r="B25337" i="1"/>
  <c r="B25333" i="1"/>
  <c r="B25329" i="1"/>
  <c r="B25325" i="1"/>
  <c r="B25321" i="1"/>
  <c r="B25317" i="1"/>
  <c r="B25312" i="1"/>
  <c r="B25308" i="1"/>
  <c r="B25304" i="1"/>
  <c r="B25298" i="1"/>
  <c r="B25293" i="1"/>
  <c r="B25289" i="1"/>
  <c r="B25285" i="1"/>
  <c r="B25281" i="1"/>
  <c r="B25276" i="1"/>
  <c r="B25272" i="1"/>
  <c r="B25268" i="1"/>
  <c r="B25263" i="1"/>
  <c r="B25258" i="1"/>
  <c r="B25253" i="1"/>
  <c r="B25249" i="1"/>
  <c r="B25245" i="1"/>
  <c r="B25241" i="1"/>
  <c r="B25237" i="1"/>
  <c r="B25233" i="1"/>
  <c r="B25229" i="1"/>
  <c r="B25224" i="1"/>
  <c r="B25220" i="1"/>
  <c r="B25215" i="1"/>
  <c r="B25211" i="1"/>
  <c r="B25206" i="1"/>
  <c r="B25201" i="1"/>
  <c r="B25198" i="1"/>
  <c r="B25195" i="1"/>
  <c r="B25191" i="1"/>
  <c r="B25187" i="1"/>
  <c r="B25183" i="1"/>
  <c r="B25179" i="1"/>
  <c r="B25175" i="1"/>
  <c r="B25172" i="1"/>
  <c r="B25169" i="1"/>
  <c r="B25165" i="1"/>
  <c r="B25161" i="1"/>
  <c r="B25155" i="1"/>
  <c r="B25149" i="1"/>
  <c r="B25143" i="1"/>
  <c r="B25137" i="1"/>
  <c r="B25132" i="1"/>
  <c r="B25127" i="1"/>
  <c r="B25123" i="1"/>
  <c r="B25119" i="1"/>
  <c r="B25114" i="1"/>
  <c r="B25110" i="1"/>
  <c r="B25106" i="1"/>
  <c r="B25101" i="1"/>
  <c r="B25095" i="1"/>
  <c r="B25089" i="1"/>
  <c r="B25083" i="1"/>
  <c r="B25078" i="1"/>
  <c r="B25074" i="1"/>
  <c r="B25071" i="1"/>
  <c r="B25067" i="1"/>
  <c r="B25062" i="1"/>
  <c r="B25058" i="1"/>
  <c r="B25054" i="1"/>
  <c r="B25050" i="1"/>
  <c r="B25046" i="1"/>
  <c r="B25042" i="1"/>
  <c r="B25038" i="1"/>
  <c r="B25034" i="1"/>
  <c r="B25030" i="1"/>
  <c r="B25026" i="1"/>
  <c r="B25022" i="1"/>
  <c r="B25018" i="1"/>
  <c r="B25014" i="1"/>
  <c r="B25011" i="1"/>
  <c r="B25007" i="1"/>
  <c r="B25004" i="1"/>
  <c r="B25000" i="1"/>
  <c r="B24996" i="1"/>
  <c r="B24992" i="1"/>
  <c r="B24988" i="1"/>
  <c r="B24983" i="1"/>
  <c r="B24980" i="1"/>
  <c r="B24976" i="1"/>
  <c r="B24972" i="1"/>
  <c r="B24967" i="1"/>
  <c r="B24963" i="1"/>
  <c r="B24960" i="1"/>
  <c r="B24957" i="1"/>
  <c r="B24954" i="1"/>
  <c r="B24951" i="1"/>
  <c r="B24948" i="1"/>
  <c r="B24944" i="1"/>
  <c r="B24940" i="1"/>
  <c r="B24935" i="1"/>
  <c r="B24931" i="1"/>
  <c r="B24928" i="1"/>
  <c r="B24924" i="1"/>
  <c r="B24918" i="1"/>
  <c r="B24913" i="1"/>
  <c r="B24910" i="1"/>
  <c r="B24906" i="1"/>
  <c r="B24902" i="1"/>
  <c r="B24898" i="1"/>
  <c r="B24894" i="1"/>
  <c r="B24890" i="1"/>
  <c r="B24886" i="1"/>
  <c r="B24882" i="1"/>
  <c r="B24879" i="1"/>
  <c r="B24875" i="1"/>
  <c r="B24872" i="1"/>
  <c r="B24869" i="1"/>
  <c r="B24865" i="1"/>
  <c r="B24861" i="1"/>
  <c r="B24857" i="1"/>
  <c r="B24854" i="1"/>
  <c r="B24849" i="1"/>
  <c r="B24846" i="1"/>
  <c r="B24841" i="1"/>
  <c r="B24836" i="1"/>
  <c r="B24832" i="1"/>
  <c r="B24829" i="1"/>
  <c r="B24825" i="1"/>
  <c r="B24821" i="1"/>
  <c r="B24815" i="1"/>
  <c r="B24811" i="1"/>
  <c r="B24807" i="1"/>
  <c r="B24804" i="1"/>
  <c r="B24799" i="1"/>
  <c r="B24795" i="1"/>
  <c r="B24790" i="1"/>
  <c r="B24786" i="1"/>
  <c r="B24781" i="1"/>
  <c r="B24778" i="1"/>
  <c r="B24775" i="1"/>
  <c r="B24771" i="1"/>
  <c r="B24765" i="1"/>
  <c r="B24759" i="1"/>
  <c r="B24754" i="1"/>
  <c r="B24749" i="1"/>
  <c r="B24746" i="1"/>
  <c r="B24741" i="1"/>
  <c r="B24736" i="1"/>
  <c r="B24731" i="1"/>
  <c r="B24727" i="1"/>
  <c r="B24723" i="1"/>
  <c r="B24719" i="1"/>
  <c r="B24715" i="1"/>
  <c r="B24712" i="1"/>
  <c r="B24708" i="1"/>
  <c r="B24705" i="1"/>
  <c r="B24700" i="1"/>
  <c r="B24695" i="1"/>
  <c r="B24690" i="1"/>
  <c r="B24685" i="1"/>
  <c r="B24680" i="1"/>
  <c r="B24677" i="1"/>
  <c r="B24673" i="1"/>
  <c r="B24669" i="1"/>
  <c r="B24665" i="1"/>
  <c r="B24661" i="1"/>
  <c r="B24657" i="1"/>
  <c r="B24655" i="1"/>
  <c r="B24652" i="1"/>
  <c r="B24648" i="1"/>
  <c r="B24646" i="1"/>
  <c r="B24642" i="1"/>
  <c r="B24638" i="1"/>
  <c r="B24634" i="1"/>
  <c r="B24631" i="1"/>
  <c r="B24627" i="1"/>
  <c r="B24623" i="1"/>
  <c r="B24618" i="1"/>
  <c r="B24613" i="1"/>
  <c r="B24609" i="1"/>
  <c r="B24604" i="1"/>
  <c r="B24600" i="1"/>
  <c r="B24595" i="1"/>
  <c r="B24591" i="1"/>
  <c r="B24586" i="1"/>
  <c r="B24582" i="1"/>
  <c r="B24578" i="1"/>
  <c r="B24574" i="1"/>
  <c r="B24570" i="1"/>
  <c r="B24566" i="1"/>
  <c r="B24561" i="1"/>
  <c r="B24556" i="1"/>
  <c r="B24551" i="1"/>
  <c r="B24546" i="1"/>
  <c r="B24541" i="1"/>
  <c r="B24537" i="1"/>
  <c r="B24533" i="1"/>
  <c r="B24529" i="1"/>
  <c r="B24525" i="1"/>
  <c r="B24521" i="1"/>
  <c r="B24517" i="1"/>
  <c r="B24513" i="1"/>
  <c r="B24509" i="1"/>
  <c r="B24504" i="1"/>
  <c r="B24499" i="1"/>
  <c r="B24494" i="1"/>
  <c r="B24490" i="1"/>
  <c r="B24486" i="1"/>
  <c r="B24482" i="1"/>
  <c r="B24478" i="1"/>
  <c r="B24473" i="1"/>
  <c r="B24468" i="1"/>
  <c r="B24464" i="1"/>
  <c r="B24460" i="1"/>
  <c r="B24456" i="1"/>
  <c r="B24452" i="1"/>
  <c r="B24447" i="1"/>
  <c r="B24442" i="1"/>
  <c r="B24437" i="1"/>
  <c r="B24433" i="1"/>
  <c r="B24430" i="1"/>
  <c r="B24426" i="1"/>
  <c r="B24422" i="1"/>
  <c r="B24418" i="1"/>
  <c r="B24414" i="1"/>
  <c r="B24410" i="1"/>
  <c r="B24407" i="1"/>
  <c r="B24404" i="1"/>
  <c r="B24401" i="1"/>
  <c r="B24398" i="1"/>
  <c r="B24394" i="1"/>
  <c r="B24388" i="1"/>
  <c r="B24383" i="1"/>
  <c r="B24378" i="1"/>
  <c r="B24375" i="1"/>
  <c r="B24371" i="1"/>
  <c r="B24365" i="1"/>
  <c r="B24361" i="1"/>
  <c r="B24358" i="1"/>
  <c r="B24352" i="1"/>
  <c r="B24346" i="1"/>
  <c r="B24342" i="1"/>
  <c r="B24339" i="1"/>
  <c r="B24336" i="1"/>
  <c r="B24332" i="1"/>
  <c r="B24329" i="1"/>
  <c r="B24326" i="1"/>
  <c r="B24322" i="1"/>
  <c r="B24318" i="1"/>
  <c r="B24314" i="1"/>
  <c r="B24310" i="1"/>
  <c r="B24307" i="1"/>
  <c r="B24303" i="1"/>
  <c r="B24299" i="1"/>
  <c r="B24295" i="1"/>
  <c r="B24291" i="1"/>
  <c r="B24287" i="1"/>
  <c r="B24282" i="1"/>
  <c r="B24277" i="1"/>
  <c r="B24272" i="1"/>
  <c r="B24267" i="1"/>
  <c r="B24263" i="1"/>
  <c r="B24259" i="1"/>
  <c r="B24255" i="1"/>
  <c r="B24250" i="1"/>
  <c r="B24246" i="1"/>
  <c r="B24242" i="1"/>
  <c r="B24239" i="1"/>
  <c r="B24235" i="1"/>
  <c r="B24231" i="1"/>
  <c r="B24226" i="1"/>
  <c r="B24222" i="1"/>
  <c r="B24218" i="1"/>
  <c r="B24215" i="1"/>
  <c r="B24212" i="1"/>
  <c r="B24208" i="1"/>
  <c r="B24204" i="1"/>
  <c r="B24201" i="1"/>
  <c r="B24197" i="1"/>
  <c r="B24192" i="1"/>
  <c r="B24187" i="1"/>
  <c r="B24184" i="1"/>
  <c r="B24181" i="1"/>
  <c r="B24177" i="1"/>
  <c r="B24173" i="1"/>
  <c r="B24169" i="1"/>
  <c r="B24163" i="1"/>
  <c r="B24159" i="1"/>
  <c r="B24155" i="1"/>
  <c r="B24151" i="1"/>
  <c r="B24147" i="1"/>
  <c r="B24143" i="1"/>
  <c r="B24139" i="1"/>
  <c r="B24135" i="1"/>
  <c r="B24131" i="1"/>
  <c r="B24127" i="1"/>
  <c r="B24122" i="1"/>
  <c r="B24118" i="1"/>
  <c r="B24113" i="1"/>
  <c r="B24109" i="1"/>
  <c r="B24105" i="1"/>
  <c r="B24101" i="1"/>
  <c r="B24096" i="1"/>
  <c r="B24091" i="1"/>
  <c r="B24087" i="1"/>
  <c r="B24083" i="1"/>
  <c r="B24078" i="1"/>
  <c r="B24074" i="1"/>
  <c r="B24070" i="1"/>
  <c r="B24065" i="1"/>
  <c r="B24061" i="1"/>
  <c r="B24055" i="1"/>
  <c r="B24049" i="1"/>
  <c r="B24045" i="1"/>
  <c r="B24041" i="1"/>
  <c r="B24037" i="1"/>
  <c r="B24033" i="1"/>
  <c r="B24029" i="1"/>
  <c r="B24025" i="1"/>
  <c r="B24021" i="1"/>
  <c r="B24017" i="1"/>
  <c r="B24013" i="1"/>
  <c r="B24009" i="1"/>
  <c r="B24005" i="1"/>
  <c r="B24001" i="1"/>
  <c r="B23997" i="1"/>
  <c r="B23993" i="1"/>
  <c r="B23989" i="1"/>
  <c r="B23985" i="1"/>
  <c r="B23981" i="1"/>
  <c r="B23977" i="1"/>
  <c r="B23973" i="1"/>
  <c r="B23969" i="1"/>
  <c r="B23964" i="1"/>
  <c r="B23959" i="1"/>
  <c r="B23955" i="1"/>
  <c r="B23951" i="1"/>
  <c r="B23946" i="1"/>
  <c r="B23942" i="1"/>
  <c r="B23938" i="1"/>
  <c r="B23934" i="1"/>
  <c r="B23930" i="1"/>
  <c r="B23926" i="1"/>
  <c r="B23921" i="1"/>
  <c r="B23917" i="1"/>
  <c r="B23913" i="1"/>
  <c r="B23910" i="1"/>
  <c r="B23906" i="1"/>
  <c r="B23902" i="1"/>
  <c r="B23898" i="1"/>
  <c r="B23894" i="1"/>
  <c r="B23890" i="1"/>
  <c r="B23886" i="1"/>
  <c r="B23883" i="1"/>
  <c r="B23879" i="1"/>
  <c r="B23875" i="1"/>
  <c r="B23871" i="1"/>
  <c r="B23867" i="1"/>
  <c r="B23862" i="1"/>
  <c r="B23857" i="1"/>
  <c r="B23852" i="1"/>
  <c r="B23848" i="1"/>
  <c r="B23843" i="1"/>
  <c r="B23840" i="1"/>
  <c r="B23836" i="1"/>
  <c r="B23832" i="1"/>
  <c r="B23829" i="1"/>
  <c r="B23826" i="1"/>
  <c r="B23820" i="1"/>
  <c r="B23815" i="1"/>
  <c r="B23809" i="1"/>
  <c r="B23806" i="1"/>
  <c r="B23803" i="1"/>
  <c r="B23800" i="1"/>
  <c r="B23797" i="1"/>
  <c r="B23794" i="1"/>
  <c r="B23791" i="1"/>
  <c r="B23787" i="1"/>
  <c r="B23783" i="1"/>
  <c r="B23779" i="1"/>
  <c r="B23775" i="1"/>
  <c r="B23769" i="1"/>
  <c r="B23765" i="1"/>
  <c r="B23761" i="1"/>
  <c r="B23757" i="1"/>
  <c r="B23751" i="1"/>
  <c r="B23747" i="1"/>
  <c r="B23744" i="1"/>
  <c r="B23740" i="1"/>
  <c r="B23735" i="1"/>
  <c r="B23731" i="1"/>
  <c r="B23727" i="1"/>
  <c r="B23722" i="1"/>
  <c r="B23718" i="1"/>
  <c r="B23713" i="1"/>
  <c r="B23710" i="1"/>
  <c r="B23706" i="1"/>
  <c r="B23701" i="1"/>
  <c r="B23695" i="1"/>
  <c r="B23692" i="1"/>
  <c r="B23688" i="1"/>
  <c r="B23683" i="1"/>
  <c r="B23677" i="1"/>
  <c r="B23674" i="1"/>
  <c r="B23671" i="1"/>
  <c r="B23667" i="1"/>
  <c r="B23663" i="1"/>
  <c r="B23659" i="1"/>
  <c r="B23655" i="1"/>
  <c r="B23650" i="1"/>
  <c r="B23646" i="1"/>
  <c r="B23642" i="1"/>
  <c r="B23638" i="1"/>
  <c r="B23634" i="1"/>
  <c r="B23630" i="1"/>
  <c r="B23626" i="1"/>
  <c r="B23622" i="1"/>
  <c r="B23617" i="1"/>
  <c r="B23612" i="1"/>
  <c r="B23607" i="1"/>
  <c r="B23603" i="1"/>
  <c r="B23599" i="1"/>
  <c r="B23595" i="1"/>
  <c r="B23591" i="1"/>
  <c r="B23588" i="1"/>
  <c r="B23583" i="1"/>
  <c r="B23578" i="1"/>
  <c r="B23574" i="1"/>
  <c r="B23570" i="1"/>
  <c r="B23566" i="1"/>
  <c r="B23562" i="1"/>
  <c r="B23558" i="1"/>
  <c r="B23554" i="1"/>
  <c r="B23550" i="1"/>
  <c r="B23546" i="1"/>
  <c r="B23543" i="1"/>
  <c r="B23539" i="1"/>
  <c r="B23535" i="1"/>
  <c r="B23532" i="1"/>
  <c r="B23528" i="1"/>
  <c r="B23525" i="1"/>
  <c r="B23521" i="1"/>
  <c r="B23518" i="1"/>
  <c r="B23514" i="1"/>
  <c r="B23510" i="1"/>
  <c r="B23506" i="1"/>
  <c r="B23502" i="1"/>
  <c r="B23498" i="1"/>
  <c r="B23494" i="1"/>
  <c r="B23490" i="1"/>
  <c r="B23486" i="1"/>
  <c r="B23482" i="1"/>
  <c r="B23478" i="1"/>
  <c r="B23474" i="1"/>
  <c r="B23470" i="1"/>
  <c r="B23466" i="1"/>
  <c r="B23462" i="1"/>
  <c r="B23458" i="1"/>
  <c r="B23455" i="1"/>
  <c r="B23451" i="1"/>
  <c r="B23446" i="1"/>
  <c r="B23442" i="1"/>
  <c r="B23437" i="1"/>
  <c r="B23432" i="1"/>
  <c r="B23427" i="1"/>
  <c r="B23424" i="1"/>
  <c r="B23421" i="1"/>
  <c r="B23418" i="1"/>
  <c r="B23415" i="1"/>
  <c r="B23411" i="1"/>
  <c r="B23407" i="1"/>
  <c r="B23403" i="1"/>
  <c r="B23400" i="1"/>
  <c r="B23396" i="1"/>
  <c r="B23392" i="1"/>
  <c r="B23388" i="1"/>
  <c r="B23384" i="1"/>
  <c r="B23381" i="1"/>
  <c r="B23377" i="1"/>
  <c r="B23373" i="1"/>
  <c r="B23368" i="1"/>
  <c r="B23363" i="1"/>
  <c r="B23358" i="1"/>
  <c r="B23354" i="1"/>
  <c r="B23351" i="1"/>
  <c r="B23347" i="1"/>
  <c r="B23343" i="1"/>
  <c r="B23338" i="1"/>
  <c r="B23333" i="1"/>
  <c r="B23329" i="1"/>
  <c r="B23325" i="1"/>
  <c r="B23321" i="1"/>
  <c r="B23317" i="1"/>
  <c r="B23313" i="1"/>
  <c r="B23309" i="1"/>
  <c r="B23305" i="1"/>
  <c r="B23300" i="1"/>
  <c r="B23295" i="1"/>
  <c r="B23291" i="1"/>
  <c r="B23287" i="1"/>
  <c r="B23283" i="1"/>
  <c r="B23278" i="1"/>
  <c r="B23273" i="1"/>
  <c r="B23268" i="1"/>
  <c r="B23264" i="1"/>
  <c r="B23260" i="1"/>
  <c r="B23256" i="1"/>
  <c r="B23252" i="1"/>
  <c r="B23248" i="1"/>
  <c r="B23244" i="1"/>
  <c r="B23239" i="1"/>
  <c r="B23234" i="1"/>
  <c r="B23230" i="1"/>
  <c r="B23225" i="1"/>
  <c r="B23220" i="1"/>
  <c r="B23216" i="1"/>
  <c r="B23212" i="1"/>
  <c r="B23207" i="1"/>
  <c r="B23202" i="1"/>
  <c r="B23197" i="1"/>
  <c r="B23192" i="1"/>
  <c r="B23187" i="1"/>
  <c r="B23182" i="1"/>
  <c r="B23178" i="1"/>
  <c r="B23173" i="1"/>
  <c r="B23169" i="1"/>
  <c r="B23166" i="1"/>
  <c r="B23162" i="1"/>
  <c r="B23159" i="1"/>
  <c r="B23155" i="1"/>
  <c r="B23149" i="1"/>
  <c r="B23146" i="1"/>
  <c r="B23143" i="1"/>
  <c r="B23139" i="1"/>
  <c r="B23134" i="1"/>
  <c r="B23129" i="1"/>
  <c r="B23124" i="1"/>
  <c r="B23119" i="1"/>
  <c r="B23114" i="1"/>
  <c r="B23108" i="1"/>
  <c r="B23104" i="1"/>
  <c r="B23099" i="1"/>
  <c r="B23094" i="1"/>
  <c r="B23090" i="1"/>
  <c r="B23086" i="1"/>
  <c r="B23082" i="1"/>
  <c r="B23077" i="1"/>
  <c r="B23072" i="1"/>
  <c r="B23067" i="1"/>
  <c r="B23064" i="1"/>
  <c r="B23060" i="1"/>
  <c r="B23054" i="1"/>
  <c r="B23050" i="1"/>
  <c r="B23045" i="1"/>
  <c r="B23040" i="1"/>
  <c r="B23035" i="1"/>
  <c r="B23030" i="1"/>
  <c r="B23024" i="1"/>
  <c r="B23020" i="1"/>
  <c r="B23016" i="1"/>
  <c r="B23012" i="1"/>
  <c r="B23008" i="1"/>
  <c r="B23004" i="1"/>
  <c r="B22999" i="1"/>
  <c r="B22995" i="1"/>
  <c r="B22991" i="1"/>
  <c r="B22987" i="1"/>
  <c r="B22983" i="1"/>
  <c r="B22978" i="1"/>
  <c r="B22974" i="1"/>
  <c r="B22969" i="1"/>
  <c r="B22965" i="1"/>
  <c r="B22961" i="1"/>
  <c r="B22957" i="1"/>
  <c r="B22952" i="1"/>
  <c r="B22947" i="1"/>
  <c r="B22943" i="1"/>
  <c r="B22939" i="1"/>
  <c r="B22935" i="1"/>
  <c r="B22930" i="1"/>
  <c r="B22925" i="1"/>
  <c r="B22920" i="1"/>
  <c r="B22915" i="1"/>
  <c r="B22910" i="1"/>
  <c r="B22906" i="1"/>
  <c r="B22901" i="1"/>
  <c r="B22896" i="1"/>
  <c r="B22892" i="1"/>
  <c r="B22888" i="1"/>
  <c r="B22884" i="1"/>
  <c r="B22880" i="1"/>
  <c r="B22876" i="1"/>
  <c r="B22872" i="1"/>
  <c r="B22869" i="1"/>
  <c r="B22866" i="1"/>
  <c r="B22862" i="1"/>
  <c r="B22858" i="1"/>
  <c r="B22854" i="1"/>
  <c r="B22850" i="1"/>
  <c r="B22846" i="1"/>
  <c r="B22842" i="1"/>
  <c r="B22837" i="1"/>
  <c r="B22832" i="1"/>
  <c r="B22827" i="1"/>
  <c r="B22822" i="1"/>
  <c r="B22818" i="1"/>
  <c r="B22813" i="1"/>
  <c r="B22809" i="1"/>
  <c r="B22804" i="1"/>
  <c r="B22799" i="1"/>
  <c r="B22795" i="1"/>
  <c r="B22791" i="1"/>
  <c r="B22786" i="1"/>
  <c r="B22781" i="1"/>
  <c r="B22776" i="1"/>
  <c r="B22772" i="1"/>
  <c r="B22768" i="1"/>
  <c r="B22763" i="1"/>
  <c r="B22758" i="1"/>
  <c r="B22754" i="1"/>
  <c r="B22749" i="1"/>
  <c r="B22744" i="1"/>
  <c r="B22740" i="1"/>
  <c r="B22735" i="1"/>
  <c r="B22730" i="1"/>
  <c r="B22726" i="1"/>
  <c r="B22721" i="1"/>
  <c r="B22716" i="1"/>
  <c r="B22711" i="1"/>
  <c r="B22707" i="1"/>
  <c r="B22703" i="1"/>
  <c r="B22699" i="1"/>
  <c r="B22695" i="1"/>
  <c r="B22691" i="1"/>
  <c r="B22686" i="1"/>
  <c r="B22681" i="1"/>
  <c r="B22676" i="1"/>
  <c r="B22673" i="1"/>
  <c r="B22669" i="1"/>
  <c r="B22665" i="1"/>
  <c r="B22660" i="1"/>
  <c r="B22656" i="1"/>
  <c r="B22651" i="1"/>
  <c r="B22647" i="1"/>
  <c r="B22642" i="1"/>
  <c r="B22637" i="1"/>
  <c r="B22633" i="1"/>
  <c r="B22628" i="1"/>
  <c r="B22623" i="1"/>
  <c r="B22620" i="1"/>
  <c r="B22616" i="1"/>
  <c r="B22612" i="1"/>
  <c r="B22608" i="1"/>
  <c r="B22603" i="1"/>
  <c r="B22599" i="1"/>
  <c r="B22595" i="1"/>
  <c r="B22590" i="1"/>
  <c r="B22586" i="1"/>
  <c r="B22580" i="1"/>
  <c r="B22576" i="1"/>
  <c r="B22572" i="1"/>
  <c r="B22569" i="1"/>
  <c r="B22566" i="1"/>
  <c r="B22562" i="1"/>
  <c r="B22558" i="1"/>
  <c r="B22553" i="1"/>
  <c r="B22548" i="1"/>
  <c r="B22544" i="1"/>
  <c r="B22539" i="1"/>
  <c r="B22534" i="1"/>
  <c r="B22529" i="1"/>
  <c r="B22525" i="1"/>
  <c r="B22521" i="1"/>
  <c r="B22517" i="1"/>
  <c r="B22514" i="1"/>
  <c r="B22510" i="1"/>
  <c r="B22507" i="1"/>
  <c r="B22503" i="1"/>
  <c r="B22497" i="1"/>
  <c r="B22492" i="1"/>
  <c r="B22487" i="1"/>
  <c r="B22483" i="1"/>
  <c r="B22479" i="1"/>
  <c r="B22476" i="1"/>
  <c r="B22473" i="1"/>
  <c r="B22469" i="1"/>
  <c r="B22465" i="1"/>
  <c r="B22461" i="1"/>
  <c r="B22457" i="1"/>
  <c r="B22453" i="1"/>
  <c r="B22449" i="1"/>
  <c r="B22445" i="1"/>
  <c r="B22441" i="1"/>
  <c r="B22437" i="1"/>
  <c r="B22433" i="1"/>
  <c r="B22429" i="1"/>
  <c r="B22425" i="1"/>
  <c r="B22421" i="1"/>
  <c r="B22416" i="1"/>
  <c r="B22412" i="1"/>
  <c r="B22408" i="1"/>
  <c r="B22404" i="1"/>
  <c r="B22400" i="1"/>
  <c r="B22396" i="1"/>
  <c r="B22392" i="1"/>
  <c r="B22388" i="1"/>
  <c r="B22383" i="1"/>
  <c r="B22378" i="1"/>
  <c r="B22374" i="1"/>
  <c r="B22369" i="1"/>
  <c r="B22365" i="1"/>
  <c r="B22360" i="1"/>
  <c r="B22354" i="1"/>
  <c r="B22350" i="1"/>
  <c r="B22346" i="1"/>
  <c r="B22342" i="1"/>
  <c r="B22338" i="1"/>
  <c r="B22334" i="1"/>
  <c r="B22330" i="1"/>
  <c r="B22326" i="1"/>
  <c r="B22322" i="1"/>
  <c r="B22317" i="1"/>
  <c r="B22313" i="1"/>
  <c r="B22310" i="1"/>
  <c r="B22307" i="1"/>
  <c r="B22302" i="1"/>
  <c r="B22297" i="1"/>
  <c r="B22293" i="1"/>
  <c r="B22289" i="1"/>
  <c r="B22285" i="1"/>
  <c r="B22281" i="1"/>
  <c r="B22278" i="1"/>
  <c r="B22274" i="1"/>
  <c r="B22269" i="1"/>
  <c r="B22265" i="1"/>
  <c r="B22260" i="1"/>
  <c r="B22256" i="1"/>
  <c r="B22252" i="1"/>
  <c r="B22247" i="1"/>
  <c r="B22242" i="1"/>
  <c r="B22237" i="1"/>
  <c r="B22231" i="1"/>
  <c r="B22221" i="1"/>
  <c r="B22217" i="1"/>
  <c r="B22212" i="1"/>
  <c r="B22207" i="1"/>
  <c r="B22201" i="1"/>
  <c r="B22190" i="1"/>
  <c r="B22186" i="1"/>
  <c r="B22182" i="1"/>
  <c r="B22177" i="1"/>
  <c r="B22173" i="1"/>
  <c r="B22169" i="1"/>
  <c r="B22164" i="1"/>
  <c r="B22159" i="1"/>
  <c r="B22154" i="1"/>
  <c r="B22150" i="1"/>
  <c r="B22145" i="1"/>
  <c r="B22140" i="1"/>
  <c r="B22136" i="1"/>
  <c r="B22131" i="1"/>
  <c r="B22127" i="1"/>
  <c r="B22123" i="1"/>
  <c r="B22119" i="1"/>
  <c r="B22114" i="1"/>
  <c r="B22110" i="1"/>
  <c r="B22105" i="1"/>
  <c r="B22101" i="1"/>
  <c r="B22098" i="1"/>
  <c r="B22094" i="1"/>
  <c r="B22090" i="1"/>
  <c r="B22087" i="1"/>
  <c r="B22083" i="1"/>
  <c r="B22079" i="1"/>
  <c r="B22075" i="1"/>
  <c r="B22071" i="1"/>
  <c r="B22067" i="1"/>
  <c r="B22064" i="1"/>
  <c r="B22061" i="1"/>
  <c r="B22058" i="1"/>
  <c r="B22055" i="1"/>
  <c r="B22051" i="1"/>
  <c r="B22047" i="1"/>
  <c r="B22043" i="1"/>
  <c r="B22039" i="1"/>
  <c r="B22035" i="1"/>
  <c r="B22031" i="1"/>
  <c r="B22027" i="1"/>
  <c r="B22023" i="1"/>
  <c r="B22018" i="1"/>
  <c r="B22013" i="1"/>
  <c r="B22008" i="1"/>
  <c r="B22004" i="1"/>
  <c r="B21999" i="1"/>
  <c r="B21994" i="1"/>
  <c r="B21989" i="1"/>
  <c r="B21985" i="1"/>
  <c r="B21981" i="1"/>
  <c r="B21976" i="1"/>
  <c r="B21972" i="1"/>
  <c r="B21967" i="1"/>
  <c r="B21963" i="1"/>
  <c r="B21959" i="1"/>
  <c r="B21955" i="1"/>
  <c r="B21951" i="1"/>
  <c r="B21947" i="1"/>
  <c r="B21943" i="1"/>
  <c r="B21938" i="1"/>
  <c r="B21934" i="1"/>
  <c r="B21930" i="1"/>
  <c r="B21926" i="1"/>
  <c r="B21921" i="1"/>
  <c r="B21917" i="1"/>
  <c r="B21913" i="1"/>
  <c r="B21909" i="1"/>
  <c r="B21905" i="1"/>
  <c r="B21901" i="1"/>
  <c r="B21896" i="1"/>
  <c r="B21893" i="1"/>
  <c r="B21890" i="1"/>
  <c r="B21886" i="1"/>
  <c r="B21882" i="1"/>
  <c r="B21878" i="1"/>
  <c r="B21874" i="1"/>
  <c r="B21870" i="1"/>
  <c r="B21866" i="1"/>
  <c r="B21861" i="1"/>
  <c r="B21856" i="1"/>
  <c r="B21851" i="1"/>
  <c r="B21847" i="1"/>
  <c r="B21843" i="1"/>
  <c r="B21839" i="1"/>
  <c r="B21835" i="1"/>
  <c r="B21831" i="1"/>
  <c r="B21827" i="1"/>
  <c r="B21822" i="1"/>
  <c r="B21817" i="1"/>
  <c r="B21813" i="1"/>
  <c r="B21808" i="1"/>
  <c r="B21804" i="1"/>
  <c r="B21799" i="1"/>
  <c r="B21796" i="1"/>
  <c r="B21792" i="1"/>
  <c r="B21788" i="1"/>
  <c r="B21784" i="1"/>
  <c r="B21780" i="1"/>
  <c r="B21776" i="1"/>
  <c r="B21771" i="1"/>
  <c r="B21766" i="1"/>
  <c r="B21761" i="1"/>
  <c r="B21756" i="1"/>
  <c r="B21753" i="1"/>
  <c r="B21748" i="1"/>
  <c r="B21744" i="1"/>
  <c r="B21740" i="1"/>
  <c r="B21736" i="1"/>
  <c r="B21732" i="1"/>
  <c r="B21728" i="1"/>
  <c r="B21723" i="1"/>
  <c r="B21719" i="1"/>
  <c r="B21715" i="1"/>
  <c r="B21710" i="1"/>
  <c r="B21706" i="1"/>
  <c r="B21701" i="1"/>
  <c r="B21696" i="1"/>
  <c r="B21691" i="1"/>
  <c r="B21686" i="1"/>
  <c r="B21682" i="1"/>
  <c r="B21678" i="1"/>
  <c r="B21674" i="1"/>
  <c r="B21670" i="1"/>
  <c r="B21666" i="1"/>
  <c r="B21662" i="1"/>
  <c r="B21658" i="1"/>
  <c r="B21654" i="1"/>
  <c r="B21649" i="1"/>
  <c r="B21644" i="1"/>
  <c r="B21639" i="1"/>
  <c r="B21634" i="1"/>
  <c r="B21629" i="1"/>
  <c r="B21626" i="1"/>
  <c r="B21622" i="1"/>
  <c r="B21618" i="1"/>
  <c r="B21613" i="1"/>
  <c r="B21608" i="1"/>
  <c r="B21605" i="1"/>
  <c r="B21601" i="1"/>
  <c r="B21597" i="1"/>
  <c r="B21593" i="1"/>
  <c r="B21589" i="1"/>
  <c r="B21584" i="1"/>
  <c r="B21580" i="1"/>
  <c r="B21576" i="1"/>
  <c r="B21571" i="1"/>
  <c r="B21566" i="1"/>
  <c r="B21562" i="1"/>
  <c r="B21558" i="1"/>
  <c r="B21554" i="1"/>
  <c r="B21550" i="1"/>
  <c r="B21546" i="1"/>
  <c r="B21542" i="1"/>
  <c r="B21538" i="1"/>
  <c r="B21534" i="1"/>
  <c r="B21530" i="1"/>
  <c r="B21526" i="1"/>
  <c r="B21522" i="1"/>
  <c r="B21518" i="1"/>
  <c r="B21514" i="1"/>
  <c r="B21510" i="1"/>
  <c r="B21505" i="1"/>
  <c r="B21501" i="1"/>
  <c r="B21496" i="1"/>
  <c r="B21492" i="1"/>
  <c r="B21487" i="1"/>
  <c r="B21483" i="1"/>
  <c r="B21478" i="1"/>
  <c r="B21473" i="1"/>
  <c r="B21470" i="1"/>
  <c r="B21467" i="1"/>
  <c r="B21462" i="1"/>
  <c r="B21457" i="1"/>
  <c r="B21452" i="1"/>
  <c r="B21447" i="1"/>
  <c r="B21442" i="1"/>
  <c r="B21437" i="1"/>
  <c r="B21432" i="1"/>
  <c r="B21427" i="1"/>
  <c r="B21422" i="1"/>
  <c r="B21417" i="1"/>
  <c r="B21412" i="1"/>
  <c r="B21406" i="1"/>
  <c r="B21402" i="1"/>
  <c r="B21397" i="1"/>
  <c r="B21391" i="1"/>
  <c r="B21387" i="1"/>
  <c r="B21382" i="1"/>
  <c r="B21378" i="1"/>
  <c r="B21375" i="1"/>
  <c r="B21371" i="1"/>
  <c r="B21368" i="1"/>
  <c r="B21364" i="1"/>
  <c r="B21361" i="1"/>
  <c r="B21357" i="1"/>
  <c r="B21353" i="1"/>
  <c r="B21348" i="1"/>
  <c r="B21345" i="1"/>
  <c r="B21342" i="1"/>
  <c r="B21338" i="1"/>
  <c r="B21334" i="1"/>
  <c r="B21330" i="1"/>
  <c r="B21325" i="1"/>
  <c r="B21320" i="1"/>
  <c r="B21316" i="1"/>
  <c r="B21312" i="1"/>
  <c r="B21307" i="1"/>
  <c r="B21302" i="1"/>
  <c r="B21297" i="1"/>
  <c r="B21293" i="1"/>
  <c r="B21288" i="1"/>
  <c r="B21284" i="1"/>
  <c r="B21279" i="1"/>
  <c r="B21275" i="1"/>
  <c r="B21270" i="1"/>
  <c r="B21266" i="1"/>
  <c r="B21262" i="1"/>
  <c r="B21258" i="1"/>
  <c r="B21253" i="1"/>
  <c r="B21248" i="1"/>
  <c r="B21244" i="1"/>
  <c r="B21240" i="1"/>
  <c r="B21235" i="1"/>
  <c r="B21232" i="1"/>
  <c r="B21229" i="1"/>
  <c r="B21226" i="1"/>
  <c r="B21223" i="1"/>
  <c r="B21220" i="1"/>
  <c r="B21216" i="1"/>
  <c r="B21212" i="1"/>
  <c r="B21208" i="1"/>
  <c r="B21204" i="1"/>
  <c r="B21199" i="1"/>
  <c r="B21195" i="1"/>
  <c r="B21190" i="1"/>
  <c r="B21186" i="1"/>
  <c r="B21182" i="1"/>
  <c r="B21177" i="1"/>
  <c r="B21172" i="1"/>
  <c r="B21168" i="1"/>
  <c r="B21164" i="1"/>
  <c r="B21160" i="1"/>
  <c r="B21156" i="1"/>
  <c r="B21153" i="1"/>
  <c r="B21149" i="1"/>
  <c r="B21145" i="1"/>
  <c r="B21141" i="1"/>
  <c r="B21137" i="1"/>
  <c r="B21133" i="1"/>
  <c r="B21129" i="1"/>
  <c r="B21125" i="1"/>
  <c r="B21121" i="1"/>
  <c r="B21117" i="1"/>
  <c r="B21113" i="1"/>
  <c r="B21109" i="1"/>
  <c r="B21104" i="1"/>
  <c r="B21100" i="1"/>
  <c r="B21096" i="1"/>
  <c r="B21091" i="1"/>
  <c r="B21086" i="1"/>
  <c r="B21082" i="1"/>
  <c r="B21079" i="1"/>
  <c r="B21075" i="1"/>
  <c r="B21071" i="1"/>
  <c r="B21067" i="1"/>
  <c r="B21064" i="1"/>
  <c r="B21060" i="1"/>
  <c r="B21056" i="1"/>
  <c r="B21052" i="1"/>
  <c r="B21048" i="1"/>
  <c r="B21044" i="1"/>
  <c r="B21040" i="1"/>
  <c r="B21036" i="1"/>
  <c r="B21032" i="1"/>
  <c r="B21028" i="1"/>
  <c r="B21024" i="1"/>
  <c r="B21020" i="1"/>
  <c r="B21016" i="1"/>
  <c r="B21012" i="1"/>
  <c r="B21008" i="1"/>
  <c r="B21004" i="1"/>
  <c r="B21000" i="1"/>
  <c r="B20996" i="1"/>
  <c r="B20992" i="1"/>
  <c r="B20988" i="1"/>
  <c r="B20984" i="1"/>
  <c r="B20980" i="1"/>
  <c r="B20976" i="1"/>
  <c r="B20972" i="1"/>
  <c r="B20968" i="1"/>
  <c r="B20964" i="1"/>
  <c r="B20960" i="1"/>
  <c r="B20956" i="1"/>
  <c r="B20952" i="1"/>
  <c r="B20947" i="1"/>
  <c r="B20943" i="1"/>
  <c r="B20939" i="1"/>
  <c r="B20935" i="1"/>
  <c r="B20931" i="1"/>
  <c r="B20926" i="1"/>
  <c r="B20921" i="1"/>
  <c r="B20916" i="1"/>
  <c r="B20912" i="1"/>
  <c r="B20909" i="1"/>
  <c r="B20904" i="1"/>
  <c r="B20900" i="1"/>
  <c r="B20897" i="1"/>
  <c r="B20895" i="1"/>
  <c r="B20890" i="1"/>
  <c r="B20884" i="1"/>
  <c r="B20881" i="1"/>
  <c r="B20876" i="1"/>
  <c r="B20873" i="1"/>
  <c r="B20869" i="1"/>
  <c r="B20865" i="1"/>
  <c r="B20860" i="1"/>
  <c r="B20856" i="1"/>
  <c r="B20852" i="1"/>
  <c r="B20847" i="1"/>
  <c r="B20843" i="1"/>
  <c r="B20839" i="1"/>
  <c r="B20835" i="1"/>
  <c r="B20831" i="1"/>
  <c r="B20827" i="1"/>
  <c r="B20823" i="1"/>
  <c r="B20819" i="1"/>
  <c r="B20814" i="1"/>
  <c r="B20810" i="1"/>
  <c r="B20806" i="1"/>
  <c r="B20802" i="1"/>
  <c r="B20798" i="1"/>
  <c r="B20794" i="1"/>
  <c r="B20790" i="1"/>
  <c r="B20786" i="1"/>
  <c r="B20781" i="1"/>
  <c r="B20777" i="1"/>
  <c r="B20772" i="1"/>
  <c r="B20769" i="1"/>
  <c r="B20764" i="1"/>
  <c r="B20760" i="1"/>
  <c r="B20756" i="1"/>
  <c r="B20752" i="1"/>
  <c r="B20748" i="1"/>
  <c r="B20744" i="1"/>
  <c r="B20740" i="1"/>
  <c r="B20735" i="1"/>
  <c r="B20730" i="1"/>
  <c r="B20725" i="1"/>
  <c r="B20720" i="1"/>
  <c r="B20716" i="1"/>
  <c r="B20712" i="1"/>
  <c r="B20708" i="1"/>
  <c r="B20704" i="1"/>
  <c r="B20700" i="1"/>
  <c r="B20696" i="1"/>
  <c r="B20692" i="1"/>
  <c r="B20688" i="1"/>
  <c r="B20684" i="1"/>
  <c r="B20681" i="1"/>
  <c r="B20677" i="1"/>
  <c r="B20673" i="1"/>
  <c r="B20669" i="1"/>
  <c r="B20665" i="1"/>
  <c r="B20661" i="1"/>
  <c r="B20657" i="1"/>
  <c r="B20653" i="1"/>
  <c r="B20649" i="1"/>
  <c r="B20645" i="1"/>
  <c r="B20641" i="1"/>
  <c r="B20637" i="1"/>
  <c r="B20633" i="1"/>
  <c r="B20629" i="1"/>
  <c r="B20625" i="1"/>
  <c r="B20620" i="1"/>
  <c r="B20616" i="1"/>
  <c r="B20612" i="1"/>
  <c r="B20608" i="1"/>
  <c r="B20603" i="1"/>
  <c r="B20599" i="1"/>
  <c r="B20595" i="1"/>
  <c r="B20592" i="1"/>
  <c r="B20589" i="1"/>
  <c r="B20585" i="1"/>
  <c r="B20580" i="1"/>
  <c r="B20576" i="1"/>
  <c r="B20572" i="1"/>
  <c r="B20568" i="1"/>
  <c r="B20564" i="1"/>
  <c r="B20560" i="1"/>
  <c r="B20556" i="1"/>
  <c r="B20552" i="1"/>
  <c r="B20549" i="1"/>
  <c r="B20546" i="1"/>
  <c r="B20541" i="1"/>
  <c r="B20536" i="1"/>
  <c r="B20531" i="1"/>
  <c r="B20527" i="1"/>
  <c r="B20523" i="1"/>
  <c r="B20519" i="1"/>
  <c r="B20515" i="1"/>
  <c r="B20511" i="1"/>
  <c r="B20506" i="1"/>
  <c r="B20502" i="1"/>
  <c r="B20497" i="1"/>
  <c r="B20492" i="1"/>
  <c r="B20487" i="1"/>
  <c r="B20484" i="1"/>
  <c r="B20480" i="1"/>
  <c r="B20475" i="1"/>
  <c r="B20470" i="1"/>
  <c r="B20465" i="1"/>
  <c r="B20461" i="1"/>
  <c r="B20457" i="1"/>
  <c r="B20453" i="1"/>
  <c r="B20449" i="1"/>
  <c r="B20445" i="1"/>
  <c r="B20441" i="1"/>
  <c r="B20437" i="1"/>
  <c r="B20433" i="1"/>
  <c r="B20428" i="1"/>
  <c r="B20423" i="1"/>
  <c r="B20418" i="1"/>
  <c r="B20414" i="1"/>
  <c r="B20411" i="1"/>
  <c r="B20408" i="1"/>
  <c r="B20403" i="1"/>
  <c r="B20399" i="1"/>
  <c r="B20394" i="1"/>
  <c r="B20389" i="1"/>
  <c r="B20385" i="1"/>
  <c r="B20380" i="1"/>
  <c r="B20375" i="1"/>
  <c r="B20371" i="1"/>
  <c r="B20367" i="1"/>
  <c r="B20362" i="1"/>
  <c r="B20357" i="1"/>
  <c r="B20353" i="1"/>
  <c r="B20349" i="1"/>
  <c r="B20346" i="1"/>
  <c r="B20342" i="1"/>
  <c r="B20338" i="1"/>
  <c r="B20335" i="1"/>
  <c r="B20331" i="1"/>
  <c r="B20327" i="1"/>
  <c r="B20323" i="1"/>
  <c r="B20319" i="1"/>
  <c r="B20315" i="1"/>
  <c r="B20311" i="1"/>
  <c r="B20307" i="1"/>
  <c r="B20302" i="1"/>
  <c r="B20297" i="1"/>
  <c r="B20293" i="1"/>
  <c r="B20289" i="1"/>
  <c r="B20285" i="1"/>
  <c r="B20280" i="1"/>
  <c r="B20276" i="1"/>
  <c r="B20273" i="1"/>
  <c r="B20268" i="1"/>
  <c r="B20263" i="1"/>
  <c r="B20258" i="1"/>
  <c r="B20254" i="1"/>
  <c r="B20249" i="1"/>
  <c r="B20244" i="1"/>
  <c r="B20240" i="1"/>
  <c r="B20236" i="1"/>
  <c r="B20232" i="1"/>
  <c r="B20228" i="1"/>
  <c r="B20224" i="1"/>
  <c r="B20220" i="1"/>
  <c r="B20216" i="1"/>
  <c r="B20212" i="1"/>
  <c r="B20208" i="1"/>
  <c r="B20204" i="1"/>
  <c r="B20200" i="1"/>
  <c r="B20197" i="1"/>
  <c r="B20193" i="1"/>
  <c r="B20189" i="1"/>
  <c r="B20186" i="1"/>
  <c r="B20182" i="1"/>
  <c r="B20178" i="1"/>
  <c r="B20174" i="1"/>
  <c r="B20170" i="1"/>
  <c r="B20166" i="1"/>
  <c r="B20162" i="1"/>
  <c r="B20158" i="1"/>
  <c r="B20154" i="1"/>
  <c r="B20149" i="1"/>
  <c r="B20144" i="1"/>
  <c r="B20139" i="1"/>
  <c r="B20134" i="1"/>
  <c r="B20129" i="1"/>
  <c r="B20125" i="1"/>
  <c r="B20121" i="1"/>
  <c r="B20117" i="1"/>
  <c r="B20113" i="1"/>
  <c r="B20109" i="1"/>
  <c r="B20105" i="1"/>
  <c r="B20101" i="1"/>
  <c r="B20097" i="1"/>
  <c r="B20093" i="1"/>
  <c r="B20088" i="1"/>
  <c r="B20084" i="1"/>
  <c r="B20080" i="1"/>
  <c r="B20076" i="1"/>
  <c r="B20072" i="1"/>
  <c r="B20068" i="1"/>
  <c r="B20064" i="1"/>
  <c r="B20060" i="1"/>
  <c r="B20056" i="1"/>
  <c r="B20052" i="1"/>
  <c r="B20048" i="1"/>
  <c r="B20044" i="1"/>
  <c r="B20040" i="1"/>
  <c r="B20036" i="1"/>
  <c r="B20032" i="1"/>
  <c r="B20028" i="1"/>
  <c r="B20024" i="1"/>
  <c r="B20020" i="1"/>
  <c r="B20016" i="1"/>
  <c r="B20011" i="1"/>
  <c r="B20007" i="1"/>
  <c r="B20003" i="1"/>
  <c r="B19999" i="1"/>
  <c r="B19994" i="1"/>
  <c r="B19989" i="1"/>
  <c r="B19985" i="1"/>
  <c r="B19981" i="1"/>
  <c r="B19977" i="1"/>
  <c r="B19974" i="1"/>
  <c r="B19970" i="1"/>
  <c r="B19966" i="1"/>
  <c r="B19961" i="1"/>
  <c r="B19957" i="1"/>
  <c r="B19953" i="1"/>
  <c r="B19949" i="1"/>
  <c r="B19945" i="1"/>
  <c r="B19941" i="1"/>
  <c r="B19937" i="1"/>
  <c r="B19933" i="1"/>
  <c r="B19928" i="1"/>
  <c r="B19923" i="1"/>
  <c r="B19918" i="1"/>
  <c r="B19915" i="1"/>
  <c r="B19912" i="1"/>
  <c r="B19908" i="1"/>
  <c r="B19904" i="1"/>
  <c r="B19900" i="1"/>
  <c r="B19896" i="1"/>
  <c r="B19892" i="1"/>
  <c r="B19888" i="1"/>
  <c r="B19883" i="1"/>
  <c r="B19879" i="1"/>
  <c r="B19875" i="1"/>
  <c r="B19871" i="1"/>
  <c r="B19867" i="1"/>
  <c r="B19863" i="1"/>
  <c r="B19856" i="1"/>
  <c r="B19852" i="1"/>
  <c r="B19848" i="1"/>
  <c r="B19844" i="1"/>
  <c r="B19840" i="1"/>
  <c r="B19835" i="1"/>
  <c r="B19830" i="1"/>
  <c r="B19825" i="1"/>
  <c r="B19820" i="1"/>
  <c r="B19816" i="1"/>
  <c r="B19813" i="1"/>
  <c r="B19810" i="1"/>
  <c r="B19806" i="1"/>
  <c r="B19802" i="1"/>
  <c r="B19798" i="1"/>
  <c r="B19794" i="1"/>
  <c r="B19790" i="1"/>
  <c r="B19787" i="1"/>
  <c r="B19782" i="1"/>
  <c r="B19777" i="1"/>
  <c r="B19773" i="1"/>
  <c r="B19770" i="1"/>
  <c r="B19766" i="1"/>
  <c r="B19761" i="1"/>
  <c r="B19757" i="1"/>
  <c r="B19752" i="1"/>
  <c r="B19748" i="1"/>
  <c r="B19743" i="1"/>
  <c r="B19739" i="1"/>
  <c r="B19736" i="1"/>
  <c r="B19732" i="1"/>
  <c r="B19728" i="1"/>
  <c r="B19724" i="1"/>
  <c r="B19720" i="1"/>
  <c r="B19715" i="1"/>
  <c r="B19710" i="1"/>
  <c r="B19706" i="1"/>
  <c r="B19701" i="1"/>
  <c r="B19697" i="1"/>
  <c r="B19693" i="1"/>
  <c r="B19689" i="1"/>
  <c r="B19685" i="1"/>
  <c r="B19681" i="1"/>
  <c r="B19677" i="1"/>
  <c r="B19673" i="1"/>
  <c r="B19669" i="1"/>
  <c r="B19665" i="1"/>
  <c r="B19660" i="1"/>
  <c r="B19655" i="1"/>
  <c r="B19650" i="1"/>
  <c r="B19646" i="1"/>
  <c r="B19642" i="1"/>
  <c r="B19637" i="1"/>
  <c r="B19632" i="1"/>
  <c r="B19627" i="1"/>
  <c r="B19622" i="1"/>
  <c r="B19617" i="1"/>
  <c r="B19612" i="1"/>
  <c r="B19608" i="1"/>
  <c r="B19604" i="1"/>
  <c r="B19599" i="1"/>
  <c r="B19594" i="1"/>
  <c r="B19589" i="1"/>
  <c r="B19584" i="1"/>
  <c r="B19579" i="1"/>
  <c r="B19574" i="1"/>
  <c r="B19569" i="1"/>
  <c r="B19564" i="1"/>
  <c r="B19559" i="1"/>
  <c r="B19554" i="1"/>
  <c r="B19549" i="1"/>
  <c r="B19543" i="1"/>
  <c r="B19539" i="1"/>
  <c r="B19535" i="1"/>
  <c r="B19531" i="1"/>
  <c r="B19526" i="1"/>
  <c r="B19521" i="1"/>
  <c r="B19516" i="1"/>
  <c r="B19511" i="1"/>
  <c r="B19506" i="1"/>
  <c r="B19501" i="1"/>
  <c r="B19496" i="1"/>
  <c r="B19491" i="1"/>
  <c r="B19487" i="1"/>
  <c r="B19482" i="1"/>
  <c r="B19477" i="1"/>
  <c r="B19472" i="1"/>
  <c r="B19467" i="1"/>
  <c r="B19462" i="1"/>
  <c r="B19457" i="1"/>
  <c r="B19451" i="1"/>
  <c r="B19445" i="1"/>
  <c r="B19439" i="1"/>
  <c r="B19433" i="1"/>
  <c r="B19429" i="1"/>
  <c r="B19425" i="1"/>
  <c r="B19421" i="1"/>
  <c r="B19414" i="1"/>
  <c r="B19407" i="1"/>
  <c r="B19400" i="1"/>
  <c r="B19395" i="1"/>
  <c r="B19390" i="1"/>
  <c r="B19385" i="1"/>
  <c r="B19380" i="1"/>
  <c r="B19375" i="1"/>
  <c r="B19370" i="1"/>
  <c r="B19365" i="1"/>
  <c r="B19360" i="1"/>
  <c r="B19355" i="1"/>
  <c r="B19349" i="1"/>
  <c r="B19343" i="1"/>
  <c r="B19340" i="1"/>
  <c r="B19336" i="1"/>
  <c r="B19332" i="1"/>
  <c r="B19326" i="1"/>
  <c r="B19321" i="1"/>
  <c r="B19316" i="1"/>
  <c r="B19312" i="1"/>
  <c r="B19308" i="1"/>
  <c r="B19304" i="1"/>
  <c r="B19300" i="1"/>
  <c r="B19297" i="1"/>
  <c r="B19293" i="1"/>
  <c r="B19288" i="1"/>
  <c r="B19283" i="1"/>
  <c r="B19279" i="1"/>
  <c r="B19273" i="1"/>
  <c r="B19269" i="1"/>
  <c r="B19265" i="1"/>
  <c r="B19261" i="1"/>
  <c r="B19257" i="1"/>
  <c r="B19252" i="1"/>
  <c r="B19247" i="1"/>
  <c r="B19242" i="1"/>
  <c r="B19238" i="1"/>
  <c r="B19233" i="1"/>
  <c r="B19228" i="1"/>
  <c r="B19224" i="1"/>
  <c r="B19220" i="1"/>
  <c r="B19216" i="1"/>
  <c r="B19212" i="1"/>
  <c r="B19208" i="1"/>
  <c r="B19203" i="1"/>
  <c r="B19199" i="1"/>
  <c r="B19194" i="1"/>
  <c r="B19189" i="1"/>
  <c r="B19184" i="1"/>
  <c r="B19180" i="1"/>
  <c r="B19176" i="1"/>
  <c r="B19172" i="1"/>
  <c r="B19168" i="1"/>
  <c r="B19164" i="1"/>
  <c r="B19160" i="1"/>
  <c r="B19154" i="1"/>
  <c r="B19150" i="1"/>
  <c r="B19146" i="1"/>
  <c r="B19141" i="1"/>
  <c r="B19136" i="1"/>
  <c r="B19127" i="1"/>
  <c r="B19122" i="1"/>
  <c r="B19117" i="1"/>
  <c r="B19114" i="1"/>
  <c r="B19110" i="1"/>
  <c r="B19106" i="1"/>
  <c r="B19100" i="1"/>
  <c r="B19095" i="1"/>
  <c r="B19090" i="1"/>
  <c r="B19086" i="1"/>
  <c r="B19082" i="1"/>
  <c r="B19078" i="1"/>
  <c r="B19074" i="1"/>
  <c r="B19070" i="1"/>
  <c r="B19066" i="1"/>
  <c r="B19061" i="1"/>
  <c r="B19057" i="1"/>
  <c r="B19051" i="1"/>
  <c r="B19047" i="1"/>
  <c r="B19043" i="1"/>
  <c r="B19038" i="1"/>
  <c r="B19033" i="1"/>
  <c r="B19029" i="1"/>
  <c r="B19025" i="1"/>
  <c r="B19020" i="1"/>
  <c r="B19015" i="1"/>
  <c r="B19011" i="1"/>
  <c r="B19007" i="1"/>
  <c r="B19003" i="1"/>
  <c r="B18999" i="1"/>
  <c r="B18994" i="1"/>
  <c r="B18989" i="1"/>
  <c r="B18986" i="1"/>
  <c r="B18980" i="1"/>
  <c r="B18976" i="1"/>
  <c r="B18972" i="1"/>
  <c r="B18968" i="1"/>
  <c r="B18965" i="1"/>
  <c r="B18961" i="1"/>
  <c r="B18957" i="1"/>
  <c r="B18952" i="1"/>
  <c r="B18948" i="1"/>
  <c r="B18944" i="1"/>
  <c r="B18939" i="1"/>
  <c r="B18934" i="1"/>
  <c r="B18930" i="1"/>
  <c r="B18926" i="1"/>
  <c r="B18922" i="1"/>
  <c r="B18917" i="1"/>
  <c r="B18912" i="1"/>
  <c r="B18907" i="1"/>
  <c r="B18903" i="1"/>
  <c r="B18898" i="1"/>
  <c r="B18893" i="1"/>
  <c r="B18888" i="1"/>
  <c r="B18884" i="1"/>
  <c r="B18880" i="1"/>
  <c r="B18875" i="1"/>
  <c r="B18870" i="1"/>
  <c r="B18865" i="1"/>
  <c r="B18860" i="1"/>
  <c r="B18856" i="1"/>
  <c r="B18852" i="1"/>
  <c r="B18847" i="1"/>
  <c r="B18842" i="1"/>
  <c r="B18838" i="1"/>
  <c r="B18833" i="1"/>
  <c r="B18828" i="1"/>
  <c r="B18823" i="1"/>
  <c r="B18818" i="1"/>
  <c r="B18813" i="1"/>
  <c r="B18808" i="1"/>
  <c r="B18804" i="1"/>
  <c r="B18799" i="1"/>
  <c r="B18796" i="1"/>
  <c r="B18793" i="1"/>
  <c r="B18789" i="1"/>
  <c r="B18785" i="1"/>
  <c r="B18780" i="1"/>
  <c r="B18775" i="1"/>
  <c r="B18771" i="1"/>
  <c r="B18767" i="1"/>
  <c r="B18763" i="1"/>
  <c r="B18759" i="1"/>
  <c r="B18755" i="1"/>
  <c r="B18751" i="1"/>
  <c r="B18747" i="1"/>
  <c r="B18743" i="1"/>
  <c r="B18738" i="1"/>
  <c r="B18733" i="1"/>
  <c r="B18728" i="1"/>
  <c r="B18723" i="1"/>
  <c r="B18718" i="1"/>
  <c r="B18714" i="1"/>
  <c r="B18710" i="1"/>
  <c r="B18706" i="1"/>
  <c r="B18702" i="1"/>
  <c r="B18698" i="1"/>
  <c r="B18695" i="1"/>
  <c r="B18691" i="1"/>
  <c r="B18687" i="1"/>
  <c r="B18683" i="1"/>
  <c r="B18679" i="1"/>
  <c r="B18675" i="1"/>
  <c r="B18672" i="1"/>
  <c r="B18668" i="1"/>
  <c r="B18664" i="1"/>
  <c r="B18660" i="1"/>
  <c r="B18656" i="1"/>
  <c r="B18652" i="1"/>
  <c r="B18648" i="1"/>
  <c r="B18644" i="1"/>
  <c r="B18641" i="1"/>
  <c r="B18637" i="1"/>
  <c r="B18633" i="1"/>
  <c r="B18629" i="1"/>
  <c r="B18625" i="1"/>
  <c r="B18621" i="1"/>
  <c r="B18616" i="1"/>
  <c r="B18612" i="1"/>
  <c r="B18608" i="1"/>
  <c r="B18603" i="1"/>
  <c r="B18599" i="1"/>
  <c r="B18595" i="1"/>
  <c r="B18591" i="1"/>
  <c r="B18586" i="1"/>
  <c r="B18582" i="1"/>
  <c r="B18578" i="1"/>
  <c r="B18572" i="1"/>
  <c r="B18568" i="1"/>
  <c r="B18562" i="1"/>
  <c r="B18557" i="1"/>
  <c r="B18553" i="1"/>
  <c r="B18549" i="1"/>
  <c r="B18545" i="1"/>
  <c r="B18541" i="1"/>
  <c r="B18536" i="1"/>
  <c r="B18532" i="1"/>
  <c r="B18528" i="1"/>
  <c r="B18524" i="1"/>
  <c r="B18520" i="1"/>
  <c r="B18515" i="1"/>
  <c r="B18511" i="1"/>
  <c r="B18506" i="1"/>
  <c r="B18502" i="1"/>
  <c r="B18498" i="1"/>
  <c r="B18494" i="1"/>
  <c r="B18489" i="1"/>
  <c r="B18484" i="1"/>
  <c r="B18481" i="1"/>
  <c r="B18478" i="1"/>
  <c r="B18474" i="1"/>
  <c r="B18470" i="1"/>
  <c r="B18466" i="1"/>
  <c r="B18462" i="1"/>
  <c r="B18458" i="1"/>
  <c r="B18454" i="1"/>
  <c r="B18449" i="1"/>
  <c r="B18444" i="1"/>
  <c r="B18440" i="1"/>
  <c r="B18435" i="1"/>
  <c r="B18430" i="1"/>
  <c r="B18426" i="1"/>
  <c r="B18421" i="1"/>
  <c r="B18416" i="1"/>
  <c r="B18412" i="1"/>
  <c r="B18408" i="1"/>
  <c r="B18404" i="1"/>
  <c r="B18400" i="1"/>
  <c r="B18396" i="1"/>
  <c r="B18392" i="1"/>
  <c r="B18388" i="1"/>
  <c r="B18384" i="1"/>
  <c r="B18380" i="1"/>
  <c r="B18375" i="1"/>
  <c r="B18370" i="1"/>
  <c r="B18366" i="1"/>
  <c r="B18362" i="1"/>
  <c r="B18358" i="1"/>
  <c r="B18353" i="1"/>
  <c r="B18348" i="1"/>
  <c r="B18343" i="1"/>
  <c r="B18339" i="1"/>
  <c r="B18335" i="1"/>
  <c r="B18331" i="1"/>
  <c r="B18328" i="1"/>
  <c r="B18324" i="1"/>
  <c r="B18320" i="1"/>
  <c r="B18316" i="1"/>
  <c r="B18313" i="1"/>
  <c r="B18308" i="1"/>
  <c r="B18303" i="1"/>
  <c r="B18298" i="1"/>
  <c r="B18293" i="1"/>
  <c r="B18289" i="1"/>
  <c r="B18285" i="1"/>
  <c r="B18280" i="1"/>
  <c r="B18276" i="1"/>
  <c r="B18272" i="1"/>
  <c r="B18268" i="1"/>
  <c r="B18264" i="1"/>
  <c r="B18261" i="1"/>
  <c r="B18258" i="1"/>
  <c r="B18254" i="1"/>
  <c r="B18250" i="1"/>
  <c r="B18246" i="1"/>
  <c r="B18243" i="1"/>
  <c r="B18239" i="1"/>
  <c r="B18236" i="1"/>
  <c r="B18232" i="1"/>
  <c r="B18227" i="1"/>
  <c r="B18223" i="1"/>
  <c r="B18219" i="1"/>
  <c r="B18215" i="1"/>
  <c r="B18211" i="1"/>
  <c r="B18208" i="1"/>
  <c r="B18204" i="1"/>
  <c r="B18200" i="1"/>
  <c r="B18195" i="1"/>
  <c r="B18190" i="1"/>
  <c r="B18185" i="1"/>
  <c r="B18181" i="1"/>
  <c r="B18177" i="1"/>
  <c r="B18173" i="1"/>
  <c r="B18169" i="1"/>
  <c r="B18165" i="1"/>
  <c r="B18161" i="1"/>
  <c r="B18157" i="1"/>
  <c r="B18153" i="1"/>
  <c r="B18148" i="1"/>
  <c r="B18144" i="1"/>
  <c r="B18140" i="1"/>
  <c r="B18135" i="1"/>
  <c r="B18131" i="1"/>
  <c r="B18127" i="1"/>
  <c r="B18123" i="1"/>
  <c r="B18118" i="1"/>
  <c r="B18114" i="1"/>
  <c r="B18110" i="1"/>
  <c r="B18105" i="1"/>
  <c r="B18101" i="1"/>
  <c r="B18097" i="1"/>
  <c r="B18093" i="1"/>
  <c r="B18088" i="1"/>
  <c r="B18083" i="1"/>
  <c r="B18078" i="1"/>
  <c r="B18075" i="1"/>
  <c r="B18070" i="1"/>
  <c r="B18066" i="1"/>
  <c r="B18062" i="1"/>
  <c r="B18058" i="1"/>
  <c r="B18054" i="1"/>
  <c r="B18050" i="1"/>
  <c r="B18046" i="1"/>
  <c r="B18041" i="1"/>
  <c r="B18037" i="1"/>
  <c r="B18033" i="1"/>
  <c r="B18030" i="1"/>
  <c r="B18026" i="1"/>
  <c r="B18023" i="1"/>
  <c r="B18020" i="1"/>
  <c r="B18016" i="1"/>
  <c r="B18012" i="1"/>
  <c r="B18007" i="1"/>
  <c r="B18002" i="1"/>
  <c r="B17998" i="1"/>
  <c r="B17993" i="1"/>
  <c r="B17988" i="1"/>
  <c r="B17984" i="1"/>
  <c r="B17980" i="1"/>
  <c r="B17976" i="1"/>
  <c r="B17972" i="1"/>
  <c r="B17968" i="1"/>
  <c r="B17964" i="1"/>
  <c r="B17960" i="1"/>
  <c r="B17956" i="1"/>
  <c r="B17952" i="1"/>
  <c r="B17947" i="1"/>
  <c r="B17942" i="1"/>
  <c r="B17937" i="1"/>
  <c r="B17933" i="1"/>
  <c r="B17929" i="1"/>
  <c r="B17925" i="1"/>
  <c r="B17921" i="1"/>
  <c r="B17915" i="1"/>
  <c r="B17910" i="1"/>
  <c r="B17905" i="1"/>
  <c r="B17900" i="1"/>
  <c r="B17896" i="1"/>
  <c r="B17892" i="1"/>
  <c r="B17888" i="1"/>
  <c r="B17883" i="1"/>
  <c r="B17879" i="1"/>
  <c r="B17875" i="1"/>
  <c r="B17871" i="1"/>
  <c r="B17866" i="1"/>
  <c r="B17861" i="1"/>
  <c r="B17856" i="1"/>
  <c r="B17851" i="1"/>
  <c r="B17846" i="1"/>
  <c r="B17842" i="1"/>
  <c r="B17836" i="1"/>
  <c r="B17832" i="1"/>
  <c r="B17827" i="1"/>
  <c r="B17822" i="1"/>
  <c r="B17817" i="1"/>
  <c r="B17812" i="1"/>
  <c r="B17807" i="1"/>
  <c r="B17802" i="1"/>
  <c r="B17800" i="1"/>
  <c r="B17796" i="1"/>
  <c r="B17792" i="1"/>
  <c r="B17788" i="1"/>
  <c r="B17784" i="1"/>
  <c r="B17780" i="1"/>
  <c r="B17776" i="1"/>
  <c r="B17772" i="1"/>
  <c r="B17767" i="1"/>
  <c r="B17763" i="1"/>
  <c r="B17758" i="1"/>
  <c r="B17752" i="1"/>
  <c r="B17746" i="1"/>
  <c r="B17741" i="1"/>
  <c r="B17736" i="1"/>
  <c r="B17732" i="1"/>
  <c r="B17727" i="1"/>
  <c r="B17722" i="1"/>
  <c r="B17717" i="1"/>
  <c r="B17713" i="1"/>
  <c r="B17708" i="1"/>
  <c r="B17703" i="1"/>
  <c r="B17699" i="1"/>
  <c r="B17695" i="1"/>
  <c r="B17690" i="1"/>
  <c r="B17686" i="1"/>
  <c r="B17682" i="1"/>
  <c r="B17677" i="1"/>
  <c r="B17673" i="1"/>
  <c r="B17669" i="1"/>
  <c r="B17666" i="1"/>
  <c r="B17662" i="1"/>
  <c r="B17658" i="1"/>
  <c r="B17655" i="1"/>
  <c r="B17651" i="1"/>
  <c r="B17646" i="1"/>
  <c r="B17642" i="1"/>
  <c r="B17638" i="1"/>
  <c r="B17634" i="1"/>
  <c r="B17631" i="1"/>
  <c r="B17627" i="1"/>
  <c r="B17622" i="1"/>
  <c r="B17618" i="1"/>
  <c r="B17613" i="1"/>
  <c r="B17608" i="1"/>
  <c r="B17605" i="1"/>
  <c r="B17600" i="1"/>
  <c r="B17595" i="1"/>
  <c r="B17590" i="1"/>
  <c r="B17586" i="1"/>
  <c r="B17583" i="1"/>
  <c r="B17579" i="1"/>
  <c r="B17575" i="1"/>
  <c r="B17571" i="1"/>
  <c r="B17567" i="1"/>
  <c r="B17564" i="1"/>
  <c r="B17560" i="1"/>
  <c r="B17556" i="1"/>
  <c r="B17552" i="1"/>
  <c r="B17547" i="1"/>
  <c r="B17543" i="1"/>
  <c r="B17538" i="1"/>
  <c r="B17533" i="1"/>
  <c r="B17529" i="1"/>
  <c r="B17524" i="1"/>
  <c r="B17519" i="1"/>
  <c r="B17514" i="1"/>
  <c r="B17510" i="1"/>
  <c r="B17506" i="1"/>
  <c r="B17502" i="1"/>
  <c r="B17497" i="1"/>
  <c r="B17491" i="1"/>
  <c r="B17485" i="1"/>
  <c r="B17479" i="1"/>
  <c r="B17475" i="1"/>
  <c r="B17470" i="1"/>
  <c r="B17465" i="1"/>
  <c r="B17461" i="1"/>
  <c r="B17457" i="1"/>
  <c r="B17453" i="1"/>
  <c r="B17450" i="1"/>
  <c r="B17446" i="1"/>
  <c r="B17443" i="1"/>
  <c r="B17440" i="1"/>
  <c r="B17436" i="1"/>
  <c r="B17432" i="1"/>
  <c r="B17428" i="1"/>
  <c r="B17423" i="1"/>
  <c r="B17418" i="1"/>
  <c r="B17413" i="1"/>
  <c r="B17409" i="1"/>
  <c r="B17405" i="1"/>
  <c r="B17400" i="1"/>
  <c r="B17395" i="1"/>
  <c r="B17391" i="1"/>
  <c r="B17386" i="1"/>
  <c r="B17382" i="1"/>
  <c r="B17377" i="1"/>
  <c r="B17373" i="1"/>
  <c r="B17368" i="1"/>
  <c r="B17363" i="1"/>
  <c r="B17359" i="1"/>
  <c r="B17354" i="1"/>
  <c r="B17351" i="1"/>
  <c r="B17347" i="1"/>
  <c r="B17342" i="1"/>
  <c r="B17338" i="1"/>
  <c r="B17334" i="1"/>
  <c r="B17330" i="1"/>
  <c r="B17326" i="1"/>
  <c r="B17322" i="1"/>
  <c r="B17317" i="1"/>
  <c r="B17312" i="1"/>
  <c r="B17308" i="1"/>
  <c r="B17303" i="1"/>
  <c r="B17298" i="1"/>
  <c r="B17293" i="1"/>
  <c r="B17288" i="1"/>
  <c r="B17283" i="1"/>
  <c r="B17279" i="1"/>
  <c r="B17275" i="1"/>
  <c r="B17271" i="1"/>
  <c r="B17267" i="1"/>
  <c r="B17263" i="1"/>
  <c r="B17259" i="1"/>
  <c r="B17255" i="1"/>
  <c r="B17251" i="1"/>
  <c r="B17247" i="1"/>
  <c r="B17242" i="1"/>
  <c r="B17237" i="1"/>
  <c r="B17233" i="1"/>
  <c r="B17229" i="1"/>
  <c r="B17225" i="1"/>
  <c r="B17221" i="1"/>
  <c r="B17216" i="1"/>
  <c r="B17211" i="1"/>
  <c r="B17206" i="1"/>
  <c r="B17202" i="1"/>
  <c r="B17194" i="1"/>
  <c r="B17189" i="1"/>
  <c r="B17184" i="1"/>
  <c r="B17180" i="1"/>
  <c r="B17176" i="1"/>
  <c r="B17171" i="1"/>
  <c r="B17167" i="1"/>
  <c r="B17162" i="1"/>
  <c r="B17158" i="1"/>
  <c r="B17154" i="1"/>
  <c r="B17150" i="1"/>
  <c r="B17146" i="1"/>
  <c r="B17142" i="1"/>
  <c r="B17138" i="1"/>
  <c r="B17134" i="1"/>
  <c r="B17130" i="1"/>
  <c r="B17126" i="1"/>
  <c r="B17122" i="1"/>
  <c r="B17118" i="1"/>
  <c r="B17115" i="1"/>
  <c r="B17111" i="1"/>
  <c r="B17105" i="1"/>
  <c r="B17101" i="1"/>
  <c r="B17097" i="1"/>
  <c r="B17093" i="1"/>
  <c r="B17088" i="1"/>
  <c r="B17083" i="1"/>
  <c r="B17079" i="1"/>
  <c r="B17074" i="1"/>
  <c r="B17071" i="1"/>
  <c r="B17067" i="1"/>
  <c r="B17063" i="1"/>
  <c r="B17059" i="1"/>
  <c r="B17055" i="1"/>
  <c r="B17051" i="1"/>
  <c r="B17047" i="1"/>
  <c r="B17041" i="1"/>
  <c r="B17038" i="1"/>
  <c r="B17034" i="1"/>
  <c r="B17030" i="1"/>
  <c r="B17025" i="1"/>
  <c r="B17020" i="1"/>
  <c r="B17015" i="1"/>
  <c r="B17011" i="1"/>
  <c r="B17006" i="1"/>
  <c r="B17003" i="1"/>
  <c r="B16999" i="1"/>
  <c r="B16995" i="1"/>
  <c r="B16990" i="1"/>
  <c r="B16985" i="1"/>
  <c r="B16980" i="1"/>
  <c r="B16972" i="1"/>
  <c r="B16967" i="1"/>
  <c r="B16963" i="1"/>
  <c r="B16960" i="1"/>
  <c r="B16957" i="1"/>
  <c r="B16953" i="1"/>
  <c r="B16948" i="1"/>
  <c r="B16943" i="1"/>
  <c r="B16939" i="1"/>
  <c r="B16935" i="1"/>
  <c r="B16931" i="1"/>
  <c r="B16927" i="1"/>
  <c r="B16923" i="1"/>
  <c r="B16919" i="1"/>
  <c r="B16915" i="1"/>
  <c r="B16911" i="1"/>
  <c r="B16907" i="1"/>
  <c r="B16903" i="1"/>
  <c r="B16899" i="1"/>
  <c r="B16895" i="1"/>
  <c r="B16890" i="1"/>
  <c r="B16886" i="1"/>
  <c r="B16882" i="1"/>
  <c r="B16878" i="1"/>
  <c r="B16874" i="1"/>
  <c r="B16871" i="1"/>
  <c r="B16868" i="1"/>
  <c r="B16864" i="1"/>
  <c r="B16860" i="1"/>
  <c r="B16856" i="1"/>
  <c r="B16851" i="1"/>
  <c r="B16847" i="1"/>
  <c r="B16843" i="1"/>
  <c r="B16839" i="1"/>
  <c r="B16834" i="1"/>
  <c r="B16829" i="1"/>
  <c r="B16824" i="1"/>
  <c r="B16820" i="1"/>
  <c r="B16815" i="1"/>
  <c r="B16810" i="1"/>
  <c r="B16806" i="1"/>
  <c r="B16801" i="1"/>
  <c r="B16797" i="1"/>
  <c r="B16792" i="1"/>
  <c r="B16786" i="1"/>
  <c r="B16783" i="1"/>
  <c r="B16779" i="1"/>
  <c r="B16775" i="1"/>
  <c r="B16770" i="1"/>
  <c r="B16765" i="1"/>
  <c r="B16761" i="1"/>
  <c r="B16756" i="1"/>
  <c r="B16751" i="1"/>
  <c r="B16747" i="1"/>
  <c r="B16742" i="1"/>
  <c r="B16738" i="1"/>
  <c r="B16734" i="1"/>
  <c r="B16730" i="1"/>
  <c r="B16725" i="1"/>
  <c r="B16720" i="1"/>
  <c r="B16716" i="1"/>
  <c r="B16706" i="1"/>
  <c r="B16702" i="1"/>
  <c r="B16698" i="1"/>
  <c r="B16688" i="1"/>
  <c r="B16683" i="1"/>
  <c r="B16678" i="1"/>
  <c r="B16674" i="1"/>
  <c r="B16670" i="1"/>
  <c r="B16665" i="1"/>
  <c r="B16660" i="1"/>
  <c r="B16656" i="1"/>
  <c r="B16651" i="1"/>
  <c r="B16647" i="1"/>
  <c r="B16643" i="1"/>
  <c r="B16639" i="1"/>
  <c r="B16633" i="1"/>
  <c r="B16629" i="1"/>
  <c r="B16625" i="1"/>
  <c r="B16621" i="1"/>
  <c r="B16617" i="1"/>
  <c r="B16611" i="1"/>
  <c r="B16607" i="1"/>
  <c r="B16603" i="1"/>
  <c r="B16600" i="1"/>
  <c r="B16595" i="1"/>
  <c r="B16590" i="1"/>
  <c r="B16586" i="1"/>
  <c r="B16582" i="1"/>
  <c r="B16578" i="1"/>
  <c r="B16574" i="1"/>
  <c r="B16569" i="1"/>
  <c r="B16564" i="1"/>
  <c r="B16559" i="1"/>
  <c r="B16554" i="1"/>
  <c r="B16550" i="1"/>
  <c r="B16545" i="1"/>
  <c r="B16540" i="1"/>
  <c r="B16535" i="1"/>
  <c r="B16531" i="1"/>
  <c r="B16526" i="1"/>
  <c r="B16522" i="1"/>
  <c r="B16518" i="1"/>
  <c r="B16514" i="1"/>
  <c r="B16510" i="1"/>
  <c r="B16506" i="1"/>
  <c r="B16503" i="1"/>
  <c r="B16499" i="1"/>
  <c r="B16495" i="1"/>
  <c r="B16491" i="1"/>
  <c r="B16487" i="1"/>
  <c r="B16483" i="1"/>
  <c r="B16479" i="1"/>
  <c r="B16475" i="1"/>
  <c r="B16471" i="1"/>
  <c r="B16467" i="1"/>
  <c r="B16463" i="1"/>
  <c r="B16459" i="1"/>
  <c r="B16454" i="1"/>
  <c r="B16450" i="1"/>
  <c r="B16446" i="1"/>
  <c r="B16442" i="1"/>
  <c r="B16438" i="1"/>
  <c r="B16433" i="1"/>
  <c r="B16428" i="1"/>
  <c r="B16425" i="1"/>
  <c r="B16421" i="1"/>
  <c r="B16418" i="1"/>
  <c r="B16414" i="1"/>
  <c r="B16410" i="1"/>
  <c r="B16406" i="1"/>
  <c r="B16402" i="1"/>
  <c r="B16398" i="1"/>
  <c r="B16393" i="1"/>
  <c r="B16388" i="1"/>
  <c r="B16384" i="1"/>
  <c r="B16380" i="1"/>
  <c r="B16375" i="1"/>
  <c r="B16370" i="1"/>
  <c r="B16366" i="1"/>
  <c r="B16361" i="1"/>
  <c r="B16357" i="1"/>
  <c r="B16353" i="1"/>
  <c r="B16349" i="1"/>
  <c r="B16345" i="1"/>
  <c r="B16341" i="1"/>
  <c r="B16337" i="1"/>
  <c r="B16333" i="1"/>
  <c r="B16329" i="1"/>
  <c r="B16325" i="1"/>
  <c r="B16320" i="1"/>
  <c r="B16316" i="1"/>
  <c r="B16311" i="1"/>
  <c r="B16307" i="1"/>
  <c r="B16303" i="1"/>
  <c r="B16300" i="1"/>
  <c r="B16297" i="1"/>
  <c r="B16294" i="1"/>
  <c r="B16290" i="1"/>
  <c r="B16287" i="1"/>
  <c r="B16283" i="1"/>
  <c r="B16279" i="1"/>
  <c r="B16275" i="1"/>
  <c r="B16270" i="1"/>
  <c r="B16266" i="1"/>
  <c r="B16262" i="1"/>
  <c r="B16258" i="1"/>
  <c r="B16254" i="1"/>
  <c r="B16248" i="1"/>
  <c r="B16242" i="1"/>
  <c r="B16237" i="1"/>
  <c r="B16232" i="1"/>
  <c r="B16228" i="1"/>
  <c r="B16224" i="1"/>
  <c r="B16220" i="1"/>
  <c r="B16216" i="1"/>
  <c r="B16212" i="1"/>
  <c r="B16209" i="1"/>
  <c r="B16205" i="1"/>
  <c r="B16200" i="1"/>
  <c r="B16194" i="1"/>
  <c r="B16188" i="1"/>
  <c r="B16183" i="1"/>
  <c r="B16178" i="1"/>
  <c r="B16174" i="1"/>
  <c r="B16170" i="1"/>
  <c r="B16165" i="1"/>
  <c r="B16160" i="1"/>
  <c r="B16156" i="1"/>
  <c r="B16152" i="1"/>
  <c r="B16148" i="1"/>
  <c r="B16143" i="1"/>
  <c r="B16139" i="1"/>
  <c r="B16135" i="1"/>
  <c r="B16132" i="1"/>
  <c r="B16128" i="1"/>
  <c r="B16124" i="1"/>
  <c r="B16119" i="1"/>
  <c r="B16115" i="1"/>
  <c r="B16112" i="1"/>
  <c r="B16108" i="1"/>
  <c r="B16104" i="1"/>
  <c r="B16100" i="1"/>
  <c r="B16096" i="1"/>
  <c r="B16092" i="1"/>
  <c r="B16087" i="1"/>
  <c r="B16083" i="1"/>
  <c r="B16077" i="1"/>
  <c r="B16073" i="1"/>
  <c r="B16071" i="1"/>
  <c r="B16068" i="1"/>
  <c r="B16064" i="1"/>
  <c r="B16060" i="1"/>
  <c r="B16056" i="1"/>
  <c r="B16052" i="1"/>
  <c r="B16047" i="1"/>
  <c r="B16044" i="1"/>
  <c r="B16040" i="1"/>
  <c r="B16035" i="1"/>
  <c r="B16030" i="1"/>
  <c r="B16025" i="1"/>
  <c r="B16019" i="1"/>
  <c r="B16013" i="1"/>
  <c r="B16009" i="1"/>
  <c r="B16006" i="1"/>
  <c r="B16002" i="1"/>
  <c r="B15998" i="1"/>
  <c r="B15994" i="1"/>
  <c r="B15990" i="1"/>
  <c r="B15986" i="1"/>
  <c r="B15981" i="1"/>
  <c r="B15976" i="1"/>
  <c r="B15971" i="1"/>
  <c r="B15967" i="1"/>
  <c r="B15961" i="1"/>
  <c r="B15955" i="1"/>
  <c r="B15951" i="1"/>
  <c r="B15946" i="1"/>
  <c r="B15941" i="1"/>
  <c r="B15936" i="1"/>
  <c r="B15932" i="1"/>
  <c r="B15928" i="1"/>
  <c r="B15924" i="1"/>
  <c r="B15920" i="1"/>
  <c r="B15916" i="1"/>
  <c r="B15912" i="1"/>
  <c r="B15908" i="1"/>
  <c r="B15904" i="1"/>
  <c r="B15900" i="1"/>
  <c r="B15896" i="1"/>
  <c r="B15892" i="1"/>
  <c r="B15888" i="1"/>
  <c r="B15884" i="1"/>
  <c r="B15880" i="1"/>
  <c r="B15876" i="1"/>
  <c r="B15872" i="1"/>
  <c r="B15868" i="1"/>
  <c r="B15864" i="1"/>
  <c r="B15859" i="1"/>
  <c r="B15855" i="1"/>
  <c r="B15851" i="1"/>
  <c r="B15847" i="1"/>
  <c r="B15842" i="1"/>
  <c r="B15839" i="1"/>
  <c r="B15835" i="1"/>
  <c r="B15831" i="1"/>
  <c r="B15827" i="1"/>
  <c r="B15822" i="1"/>
  <c r="B15817" i="1"/>
  <c r="B15813" i="1"/>
  <c r="B15808" i="1"/>
  <c r="B15803" i="1"/>
  <c r="B15798" i="1"/>
  <c r="B15794" i="1"/>
  <c r="B15789" i="1"/>
  <c r="B15784" i="1"/>
  <c r="B15779" i="1"/>
  <c r="B15774" i="1"/>
  <c r="B15769" i="1"/>
  <c r="B15764" i="1"/>
  <c r="B15760" i="1"/>
  <c r="B15756" i="1"/>
  <c r="B15751" i="1"/>
  <c r="B15746" i="1"/>
  <c r="B15741" i="1"/>
  <c r="B15737" i="1"/>
  <c r="B15732" i="1"/>
  <c r="B15728" i="1"/>
  <c r="B15724" i="1"/>
  <c r="B15720" i="1"/>
  <c r="B15716" i="1"/>
  <c r="B15711" i="1"/>
  <c r="B15707" i="1"/>
  <c r="B15701" i="1"/>
  <c r="B15697" i="1"/>
  <c r="B15693" i="1"/>
  <c r="B15689" i="1"/>
  <c r="B15685" i="1"/>
  <c r="B15680" i="1"/>
  <c r="B15675" i="1"/>
  <c r="B15670" i="1"/>
  <c r="B15665" i="1"/>
  <c r="B15660" i="1"/>
  <c r="B15655" i="1"/>
  <c r="B15651" i="1"/>
  <c r="B15647" i="1"/>
  <c r="B15642" i="1"/>
  <c r="B15637" i="1"/>
  <c r="B15633" i="1"/>
  <c r="B15629" i="1"/>
  <c r="B15624" i="1"/>
  <c r="B15619" i="1"/>
  <c r="B15614" i="1"/>
  <c r="B15609" i="1"/>
  <c r="B15604" i="1"/>
  <c r="B15599" i="1"/>
  <c r="B15594" i="1"/>
  <c r="B15589" i="1"/>
  <c r="B15584" i="1"/>
  <c r="B15579" i="1"/>
  <c r="B15574" i="1"/>
  <c r="B15569" i="1"/>
  <c r="B15564" i="1"/>
  <c r="B15560" i="1"/>
  <c r="B15556" i="1"/>
  <c r="B15552" i="1"/>
  <c r="B15548" i="1"/>
  <c r="B15543" i="1"/>
  <c r="B15538" i="1"/>
  <c r="B15533" i="1"/>
  <c r="B15529" i="1"/>
  <c r="B15525" i="1"/>
  <c r="B15520" i="1"/>
  <c r="B15515" i="1"/>
  <c r="B15511" i="1"/>
  <c r="B15507" i="1"/>
  <c r="B15503" i="1"/>
  <c r="B15499" i="1"/>
  <c r="B15495" i="1"/>
  <c r="B15491" i="1"/>
  <c r="B15487" i="1"/>
  <c r="B15482" i="1"/>
  <c r="B15478" i="1"/>
  <c r="B15474" i="1"/>
  <c r="B15470" i="1"/>
  <c r="B15466" i="1"/>
  <c r="B15461" i="1"/>
  <c r="B15456" i="1"/>
  <c r="B15451" i="1"/>
  <c r="B15446" i="1"/>
  <c r="B15441" i="1"/>
  <c r="B15436" i="1"/>
  <c r="B15431" i="1"/>
  <c r="B15426" i="1"/>
  <c r="B15421" i="1"/>
  <c r="B15417" i="1"/>
  <c r="B15413" i="1"/>
  <c r="B15409" i="1"/>
  <c r="B15404" i="1"/>
  <c r="B15399" i="1"/>
  <c r="B15395" i="1"/>
  <c r="B15391" i="1"/>
  <c r="B15387" i="1"/>
  <c r="B15383" i="1"/>
  <c r="B15379" i="1"/>
  <c r="B15375" i="1"/>
  <c r="B15371" i="1"/>
  <c r="B15367" i="1"/>
  <c r="B15363" i="1"/>
  <c r="B15358" i="1"/>
  <c r="B15353" i="1"/>
  <c r="B15349" i="1"/>
  <c r="B15345" i="1"/>
  <c r="B15341" i="1"/>
  <c r="B15337" i="1"/>
  <c r="B15333" i="1"/>
  <c r="B15329" i="1"/>
  <c r="B15325" i="1"/>
  <c r="B15321" i="1"/>
  <c r="B15317" i="1"/>
  <c r="B15313" i="1"/>
  <c r="B15309" i="1"/>
  <c r="B15305" i="1"/>
  <c r="B15301" i="1"/>
  <c r="B15297" i="1"/>
  <c r="B15293" i="1"/>
  <c r="B15289" i="1"/>
  <c r="B15285" i="1"/>
  <c r="B15281" i="1"/>
  <c r="B15277" i="1"/>
  <c r="B15272" i="1"/>
  <c r="B15267" i="1"/>
  <c r="B15262" i="1"/>
  <c r="B15257" i="1"/>
  <c r="B15252" i="1"/>
  <c r="B15247" i="1"/>
  <c r="B15242" i="1"/>
  <c r="B15237" i="1"/>
  <c r="B15232" i="1"/>
  <c r="B15227" i="1"/>
  <c r="B15222" i="1"/>
  <c r="B15217" i="1"/>
  <c r="B15212" i="1"/>
  <c r="B15207" i="1"/>
  <c r="B15202" i="1"/>
  <c r="B15197" i="1"/>
  <c r="B15192" i="1"/>
  <c r="B15187" i="1"/>
  <c r="B15182" i="1"/>
  <c r="B15177" i="1"/>
  <c r="B15172" i="1"/>
  <c r="B15167" i="1"/>
  <c r="B15162" i="1"/>
  <c r="B15157" i="1"/>
  <c r="B15152" i="1"/>
  <c r="B15147" i="1"/>
  <c r="B15142" i="1"/>
  <c r="B15137" i="1"/>
  <c r="B15132" i="1"/>
  <c r="B15127" i="1"/>
  <c r="B15122" i="1"/>
  <c r="B15117" i="1"/>
  <c r="B15112" i="1"/>
  <c r="B15107" i="1"/>
  <c r="B15102" i="1"/>
  <c r="B15097" i="1"/>
  <c r="B15092" i="1"/>
  <c r="B15087" i="1"/>
  <c r="B15082" i="1"/>
  <c r="B15077" i="1"/>
  <c r="B15072" i="1"/>
  <c r="B15067" i="1"/>
  <c r="B15062" i="1"/>
  <c r="B15057" i="1"/>
  <c r="B15052" i="1"/>
  <c r="B15047" i="1"/>
  <c r="B15042" i="1"/>
  <c r="B15037" i="1"/>
  <c r="B15032" i="1"/>
  <c r="B15027" i="1"/>
  <c r="B15021" i="1"/>
  <c r="B15015" i="1"/>
  <c r="B15009" i="1"/>
  <c r="B15003" i="1"/>
  <c r="B14999" i="1"/>
  <c r="B14995" i="1"/>
  <c r="B14991" i="1"/>
  <c r="B14987" i="1"/>
  <c r="B14983" i="1"/>
  <c r="B14979" i="1"/>
  <c r="B14975" i="1"/>
  <c r="B14971" i="1"/>
  <c r="B14967" i="1"/>
  <c r="B14963" i="1"/>
  <c r="B14959" i="1"/>
  <c r="B14955" i="1"/>
  <c r="B14951" i="1"/>
  <c r="B14947" i="1"/>
  <c r="B14943" i="1"/>
  <c r="B14939" i="1"/>
  <c r="B14935" i="1"/>
  <c r="B14931" i="1"/>
  <c r="B14927" i="1"/>
  <c r="B14923" i="1"/>
  <c r="B14919" i="1"/>
  <c r="B14915" i="1"/>
  <c r="B14911" i="1"/>
  <c r="B14907" i="1"/>
  <c r="B14903" i="1"/>
  <c r="B14899" i="1"/>
  <c r="B14895" i="1"/>
  <c r="B14891" i="1"/>
  <c r="B14887" i="1"/>
  <c r="B14883" i="1"/>
  <c r="B14879" i="1"/>
  <c r="B14875" i="1"/>
  <c r="B14871" i="1"/>
  <c r="B14867" i="1"/>
  <c r="B14863" i="1"/>
  <c r="B14859" i="1"/>
  <c r="B14855" i="1"/>
  <c r="B14851" i="1"/>
  <c r="B14847" i="1"/>
  <c r="B14843" i="1"/>
  <c r="B14839" i="1"/>
  <c r="B14835" i="1"/>
  <c r="B14831" i="1"/>
  <c r="B14827" i="1"/>
  <c r="B14823" i="1"/>
  <c r="B14819" i="1"/>
  <c r="B14815" i="1"/>
  <c r="B14811" i="1"/>
  <c r="B14807" i="1"/>
  <c r="B14803" i="1"/>
  <c r="B14799" i="1"/>
  <c r="B14795" i="1"/>
  <c r="B14791" i="1"/>
  <c r="B14787" i="1"/>
  <c r="B14783" i="1"/>
  <c r="B14779" i="1"/>
  <c r="B14775" i="1"/>
  <c r="B14771" i="1"/>
  <c r="B14767" i="1"/>
  <c r="B14763" i="1"/>
  <c r="B14759" i="1"/>
  <c r="B14755" i="1"/>
  <c r="B14751" i="1"/>
  <c r="B14747" i="1"/>
  <c r="B14743" i="1"/>
  <c r="B14739" i="1"/>
  <c r="B14735" i="1"/>
  <c r="B14731" i="1"/>
  <c r="B14727" i="1"/>
  <c r="B14723" i="1"/>
  <c r="B14719" i="1"/>
  <c r="B14715" i="1"/>
  <c r="B14711" i="1"/>
  <c r="B14707" i="1"/>
  <c r="B14703" i="1"/>
  <c r="B14699" i="1"/>
  <c r="B14695" i="1"/>
  <c r="B14691" i="1"/>
  <c r="B14687" i="1"/>
  <c r="B14683" i="1"/>
  <c r="B14679" i="1"/>
  <c r="B14675" i="1"/>
  <c r="B14671" i="1"/>
  <c r="B14667" i="1"/>
  <c r="B14663" i="1"/>
  <c r="B14659" i="1"/>
  <c r="B14655" i="1"/>
  <c r="B14651" i="1"/>
  <c r="B14647" i="1"/>
  <c r="B14643" i="1"/>
  <c r="B14639" i="1"/>
  <c r="B14635" i="1"/>
  <c r="B14631" i="1"/>
  <c r="B14627" i="1"/>
  <c r="B14623" i="1"/>
  <c r="B14619" i="1"/>
  <c r="B14615" i="1"/>
  <c r="B14611" i="1"/>
  <c r="B14607" i="1"/>
  <c r="B14603" i="1"/>
  <c r="B14599" i="1"/>
  <c r="B14595" i="1"/>
  <c r="B14591" i="1"/>
  <c r="B14587" i="1"/>
  <c r="B14583" i="1"/>
  <c r="B14579" i="1"/>
  <c r="B14575" i="1"/>
  <c r="B14571" i="1"/>
  <c r="B14567" i="1"/>
  <c r="B14563" i="1"/>
  <c r="B14559" i="1"/>
  <c r="B14555" i="1"/>
  <c r="B14551" i="1"/>
  <c r="B14547" i="1"/>
  <c r="B14543" i="1"/>
  <c r="B14539" i="1"/>
  <c r="B14535" i="1"/>
  <c r="B14531" i="1"/>
  <c r="B14527" i="1"/>
  <c r="B14523" i="1"/>
  <c r="B14519" i="1"/>
  <c r="B14515" i="1"/>
  <c r="B14511" i="1"/>
  <c r="B14507" i="1"/>
  <c r="B14503" i="1"/>
  <c r="B14499" i="1"/>
  <c r="B14495" i="1"/>
  <c r="B14491" i="1"/>
  <c r="B14487" i="1"/>
  <c r="B14483" i="1"/>
  <c r="B14479" i="1"/>
  <c r="B14475" i="1"/>
  <c r="B14471" i="1"/>
  <c r="B14467" i="1"/>
  <c r="B14463" i="1"/>
  <c r="B14459" i="1"/>
  <c r="B14455" i="1"/>
  <c r="B14451" i="1"/>
  <c r="B14447" i="1"/>
  <c r="B14443" i="1"/>
  <c r="B14439" i="1"/>
  <c r="B14435" i="1"/>
  <c r="B14431" i="1"/>
  <c r="B14427" i="1"/>
  <c r="B14423" i="1"/>
  <c r="B14419" i="1"/>
  <c r="B14415" i="1"/>
  <c r="B14411" i="1"/>
  <c r="B14407" i="1"/>
  <c r="B14403" i="1"/>
  <c r="B14399" i="1"/>
  <c r="B14395" i="1"/>
  <c r="B14391" i="1"/>
  <c r="B14387" i="1"/>
  <c r="B14383" i="1"/>
  <c r="B14379" i="1"/>
  <c r="B14375" i="1"/>
  <c r="B14371" i="1"/>
  <c r="B14367" i="1"/>
  <c r="B14363" i="1"/>
  <c r="B14359" i="1"/>
  <c r="B14355" i="1"/>
  <c r="B14351" i="1"/>
  <c r="B14347" i="1"/>
  <c r="B14343" i="1"/>
  <c r="B14339" i="1"/>
  <c r="B14335" i="1"/>
  <c r="B14331" i="1"/>
  <c r="B14327" i="1"/>
  <c r="B14323" i="1"/>
  <c r="B14318" i="1"/>
  <c r="B14313" i="1"/>
  <c r="B14308" i="1"/>
  <c r="B14303" i="1"/>
  <c r="B14298" i="1"/>
  <c r="B14293" i="1"/>
  <c r="B14289" i="1"/>
  <c r="B14283" i="1"/>
  <c r="B14277" i="1"/>
  <c r="B14271" i="1"/>
  <c r="B14265" i="1"/>
  <c r="B14261" i="1"/>
  <c r="B14257" i="1"/>
  <c r="B14253" i="1"/>
  <c r="B14249" i="1"/>
  <c r="B14245" i="1"/>
  <c r="B14241" i="1"/>
  <c r="B14237" i="1"/>
  <c r="B14233" i="1"/>
  <c r="B14229" i="1"/>
  <c r="B14225" i="1"/>
  <c r="B14221" i="1"/>
  <c r="B14217" i="1"/>
  <c r="B14213" i="1"/>
  <c r="B14209" i="1"/>
  <c r="B14205" i="1"/>
  <c r="B14201" i="1"/>
  <c r="B14197" i="1"/>
  <c r="B14193" i="1"/>
  <c r="B14189" i="1"/>
  <c r="B14185" i="1"/>
  <c r="B14181" i="1"/>
  <c r="B14177" i="1"/>
  <c r="B14173" i="1"/>
  <c r="B14169" i="1"/>
  <c r="B14165" i="1"/>
  <c r="B14161" i="1"/>
  <c r="B14156" i="1"/>
  <c r="B14148" i="1"/>
  <c r="B14140" i="1"/>
  <c r="B14132" i="1"/>
  <c r="B14124" i="1"/>
  <c r="B14119" i="1"/>
  <c r="B14114" i="1"/>
  <c r="B14109" i="1"/>
  <c r="B14104" i="1"/>
  <c r="B14099" i="1"/>
  <c r="B14094" i="1"/>
  <c r="B14089" i="1"/>
  <c r="B14084" i="1"/>
  <c r="B14079" i="1"/>
  <c r="B14074" i="1"/>
  <c r="B14069" i="1"/>
  <c r="B14063" i="1"/>
  <c r="B14058" i="1"/>
  <c r="B14053" i="1"/>
  <c r="B14048" i="1"/>
  <c r="B14043" i="1"/>
  <c r="B14038" i="1"/>
  <c r="B14033" i="1"/>
  <c r="B14028" i="1"/>
  <c r="B14023" i="1"/>
  <c r="B14018" i="1"/>
  <c r="B14013" i="1"/>
  <c r="B14008" i="1"/>
  <c r="B14003" i="1"/>
  <c r="B13999" i="1"/>
  <c r="B13995" i="1"/>
  <c r="B13991" i="1"/>
  <c r="B13986" i="1"/>
  <c r="B13983" i="1"/>
  <c r="B13980" i="1"/>
  <c r="B13976" i="1"/>
  <c r="B13971" i="1"/>
  <c r="B13966" i="1"/>
  <c r="B13961" i="1"/>
  <c r="B13957" i="1"/>
  <c r="B13949" i="1"/>
  <c r="B13944" i="1"/>
  <c r="B13940" i="1"/>
  <c r="B13936" i="1"/>
  <c r="B13933" i="1"/>
  <c r="B13929" i="1"/>
  <c r="B13925" i="1"/>
  <c r="B13922" i="1"/>
  <c r="B13918" i="1"/>
  <c r="B13914" i="1"/>
  <c r="B13910" i="1"/>
  <c r="B13906" i="1"/>
  <c r="B13902" i="1"/>
  <c r="B13897" i="1"/>
  <c r="B13892" i="1"/>
  <c r="B13887" i="1"/>
  <c r="B13882" i="1"/>
  <c r="B13877" i="1"/>
  <c r="B13872" i="1"/>
  <c r="B13868" i="1"/>
  <c r="B13864" i="1"/>
  <c r="B13859" i="1"/>
  <c r="B13855" i="1"/>
  <c r="B13850" i="1"/>
  <c r="B13846" i="1"/>
  <c r="B13842" i="1"/>
  <c r="B13838" i="1"/>
  <c r="B13835" i="1"/>
  <c r="B13831" i="1"/>
  <c r="B13826" i="1"/>
  <c r="B13821" i="1"/>
  <c r="B13817" i="1"/>
  <c r="B13813" i="1"/>
  <c r="B13809" i="1"/>
  <c r="B13806" i="1"/>
  <c r="B13801" i="1"/>
  <c r="B13796" i="1"/>
  <c r="B13791" i="1"/>
  <c r="B13787" i="1"/>
  <c r="B13777" i="1"/>
  <c r="B13773" i="1"/>
  <c r="B13768" i="1"/>
  <c r="B13764" i="1"/>
  <c r="B13760" i="1"/>
  <c r="B13756" i="1"/>
  <c r="B13753" i="1"/>
  <c r="B13748" i="1"/>
  <c r="B13743" i="1"/>
  <c r="B13738" i="1"/>
  <c r="B13733" i="1"/>
  <c r="B13728" i="1"/>
  <c r="B13723" i="1"/>
  <c r="B13719" i="1"/>
  <c r="B13711" i="1"/>
  <c r="B13707" i="1"/>
  <c r="B13703" i="1"/>
  <c r="B13699" i="1"/>
  <c r="B13695" i="1"/>
  <c r="B13690" i="1"/>
  <c r="B13685" i="1"/>
  <c r="B13681" i="1"/>
  <c r="B13678" i="1"/>
  <c r="B13675" i="1"/>
  <c r="B13671" i="1"/>
  <c r="B13667" i="1"/>
  <c r="B13663" i="1"/>
  <c r="B13661" i="1"/>
  <c r="B13658" i="1"/>
  <c r="B13654" i="1"/>
  <c r="B13651" i="1"/>
  <c r="B13648" i="1"/>
  <c r="B13644" i="1"/>
  <c r="B13640" i="1"/>
  <c r="B13636" i="1"/>
  <c r="B13633" i="1"/>
  <c r="B13631" i="1"/>
  <c r="B13628" i="1"/>
  <c r="B13624" i="1"/>
  <c r="B13620" i="1"/>
  <c r="B13616" i="1"/>
  <c r="B13611" i="1"/>
  <c r="B13607" i="1"/>
  <c r="B13603" i="1"/>
  <c r="B13599" i="1"/>
  <c r="B13596" i="1"/>
  <c r="B13592" i="1"/>
  <c r="B13588" i="1"/>
  <c r="B13584" i="1"/>
  <c r="B13579" i="1"/>
  <c r="B13575" i="1"/>
  <c r="B13571" i="1"/>
  <c r="B13567" i="1"/>
  <c r="B13563" i="1"/>
  <c r="B13558" i="1"/>
  <c r="B13553" i="1"/>
  <c r="B13548" i="1"/>
  <c r="B13544" i="1"/>
  <c r="B13540" i="1"/>
  <c r="B13536" i="1"/>
  <c r="B13531" i="1"/>
  <c r="B13527" i="1"/>
  <c r="B13523" i="1"/>
  <c r="B13519" i="1"/>
  <c r="B13515" i="1"/>
  <c r="B13511" i="1"/>
  <c r="B13507" i="1"/>
  <c r="B13502" i="1"/>
  <c r="B13499" i="1"/>
  <c r="B13496" i="1"/>
  <c r="B13492" i="1"/>
  <c r="B13488" i="1"/>
  <c r="B13484" i="1"/>
  <c r="B13480" i="1"/>
  <c r="B13476" i="1"/>
  <c r="B13470" i="1"/>
  <c r="B13466" i="1"/>
  <c r="B13462" i="1"/>
  <c r="B13458" i="1"/>
  <c r="B13454" i="1"/>
  <c r="B13450" i="1"/>
  <c r="B13444" i="1"/>
  <c r="B13440" i="1"/>
  <c r="B13436" i="1"/>
  <c r="B13431" i="1"/>
  <c r="B13428" i="1"/>
  <c r="B13424" i="1"/>
  <c r="B13420" i="1"/>
  <c r="B13416" i="1"/>
  <c r="B13412" i="1"/>
  <c r="B13408" i="1"/>
  <c r="B13403" i="1"/>
  <c r="B13398" i="1"/>
  <c r="B13393" i="1"/>
  <c r="B13389" i="1"/>
  <c r="B13386" i="1"/>
  <c r="B13383" i="1"/>
  <c r="B13379" i="1"/>
  <c r="B13375" i="1"/>
  <c r="B13371" i="1"/>
  <c r="B13368" i="1"/>
  <c r="B13364" i="1"/>
  <c r="B13361" i="1"/>
  <c r="B13355" i="1"/>
  <c r="B13351" i="1"/>
  <c r="B13348" i="1"/>
  <c r="B13344" i="1"/>
  <c r="B13339" i="1"/>
  <c r="B13335" i="1"/>
  <c r="B13331" i="1"/>
  <c r="B13327" i="1"/>
  <c r="B13322" i="1"/>
  <c r="B13318" i="1"/>
  <c r="B13314" i="1"/>
  <c r="B13310" i="1"/>
  <c r="B13306" i="1"/>
  <c r="B13302" i="1"/>
  <c r="B13298" i="1"/>
  <c r="B13294" i="1"/>
  <c r="B13290" i="1"/>
  <c r="B13286" i="1"/>
  <c r="B13282" i="1"/>
  <c r="B13278" i="1"/>
  <c r="B13274" i="1"/>
  <c r="B13270" i="1"/>
  <c r="B13265" i="1"/>
  <c r="B13261" i="1"/>
  <c r="B13257" i="1"/>
  <c r="B13253" i="1"/>
  <c r="B13249" i="1"/>
  <c r="B13245" i="1"/>
  <c r="B13241" i="1"/>
  <c r="B13237" i="1"/>
  <c r="B13233" i="1"/>
  <c r="B13229" i="1"/>
  <c r="B13225" i="1"/>
  <c r="B13221" i="1"/>
  <c r="B13217" i="1"/>
  <c r="B13213" i="1"/>
  <c r="B13209" i="1"/>
  <c r="B13205" i="1"/>
  <c r="B13202" i="1"/>
  <c r="B13198" i="1"/>
  <c r="B13193" i="1"/>
  <c r="B13188" i="1"/>
  <c r="B13184" i="1"/>
  <c r="B13180" i="1"/>
  <c r="B13176" i="1"/>
  <c r="B13172" i="1"/>
  <c r="B13168" i="1"/>
  <c r="B13164" i="1"/>
  <c r="B13161" i="1"/>
  <c r="B13158" i="1"/>
  <c r="B13155" i="1"/>
  <c r="B13152" i="1"/>
  <c r="B13149" i="1"/>
  <c r="B13146" i="1"/>
  <c r="B13143" i="1"/>
  <c r="B13139" i="1"/>
  <c r="B13135" i="1"/>
  <c r="B13133" i="1"/>
  <c r="B13128" i="1"/>
  <c r="B13123" i="1"/>
  <c r="B13119" i="1"/>
  <c r="B13115" i="1"/>
  <c r="B13111" i="1"/>
  <c r="B13107" i="1"/>
  <c r="B13103" i="1"/>
  <c r="B13098" i="1"/>
  <c r="B13094" i="1"/>
  <c r="B13089" i="1"/>
  <c r="B13085" i="1"/>
  <c r="B13082" i="1"/>
  <c r="B13077" i="1"/>
  <c r="B13072" i="1"/>
  <c r="B13069" i="1"/>
  <c r="B13065" i="1"/>
  <c r="B13061" i="1"/>
  <c r="B13058" i="1"/>
  <c r="B13054" i="1"/>
  <c r="B13051" i="1"/>
  <c r="B13048" i="1"/>
  <c r="B13045" i="1"/>
  <c r="B13040" i="1"/>
  <c r="B13035" i="1"/>
  <c r="B13030" i="1"/>
  <c r="B13026" i="1"/>
  <c r="B13022" i="1"/>
  <c r="B13018" i="1"/>
  <c r="B13013" i="1"/>
  <c r="B13008" i="1"/>
  <c r="B13003" i="1"/>
  <c r="B12998" i="1"/>
  <c r="B12993" i="1"/>
  <c r="B12989" i="1"/>
  <c r="B12985" i="1"/>
  <c r="B12982" i="1"/>
  <c r="B12979" i="1"/>
  <c r="B12976" i="1"/>
  <c r="B12972" i="1"/>
  <c r="B12967" i="1"/>
  <c r="B12963" i="1"/>
  <c r="B12959" i="1"/>
  <c r="B12955" i="1"/>
  <c r="B12951" i="1"/>
  <c r="B12947" i="1"/>
  <c r="B12943" i="1"/>
  <c r="B12939" i="1"/>
  <c r="B12935" i="1"/>
  <c r="B12931" i="1"/>
  <c r="B12928" i="1"/>
  <c r="B12925" i="1"/>
  <c r="B12921" i="1"/>
  <c r="B12917" i="1"/>
  <c r="B12913" i="1"/>
  <c r="B12908" i="1"/>
  <c r="B12903" i="1"/>
  <c r="B12898" i="1"/>
  <c r="B12894" i="1"/>
  <c r="B12890" i="1"/>
  <c r="B12886" i="1"/>
  <c r="B12882" i="1"/>
  <c r="B12877" i="1"/>
  <c r="B12872" i="1"/>
  <c r="B12868" i="1"/>
  <c r="B12864" i="1"/>
  <c r="B12861" i="1"/>
  <c r="B12858" i="1"/>
  <c r="B12854" i="1"/>
  <c r="B12850" i="1"/>
  <c r="B12847" i="1"/>
  <c r="B12843" i="1"/>
  <c r="B12839" i="1"/>
  <c r="B12835" i="1"/>
  <c r="B12830" i="1"/>
  <c r="B12826" i="1"/>
  <c r="B12822" i="1"/>
  <c r="B12818" i="1"/>
  <c r="B12814" i="1"/>
  <c r="B12811" i="1"/>
  <c r="B12806" i="1"/>
  <c r="B12802" i="1"/>
  <c r="B12798" i="1"/>
  <c r="B12793" i="1"/>
  <c r="B12789" i="1"/>
  <c r="B12785" i="1"/>
  <c r="B12781" i="1"/>
  <c r="B12777" i="1"/>
  <c r="B12773" i="1"/>
  <c r="B12769" i="1"/>
  <c r="B12764" i="1"/>
  <c r="B12759" i="1"/>
  <c r="B12754" i="1"/>
  <c r="B12750" i="1"/>
  <c r="B12746" i="1"/>
  <c r="B12742" i="1"/>
  <c r="B12738" i="1"/>
  <c r="B12735" i="1"/>
  <c r="B12730" i="1"/>
  <c r="B12726" i="1"/>
  <c r="B12722" i="1"/>
  <c r="B12718" i="1"/>
  <c r="B12714" i="1"/>
  <c r="B12710" i="1"/>
  <c r="B12706" i="1"/>
  <c r="B12702" i="1"/>
  <c r="B12698" i="1"/>
  <c r="B12694" i="1"/>
  <c r="B12691" i="1"/>
  <c r="B12688" i="1"/>
  <c r="B12684" i="1"/>
  <c r="B12680" i="1"/>
  <c r="B12677" i="1"/>
  <c r="B12674" i="1"/>
  <c r="B12671" i="1"/>
  <c r="B12667" i="1"/>
  <c r="B12664" i="1"/>
  <c r="B12659" i="1"/>
  <c r="B12656" i="1"/>
  <c r="B12652" i="1"/>
  <c r="B12649" i="1"/>
  <c r="B12646" i="1"/>
  <c r="B12642" i="1"/>
  <c r="B12638" i="1"/>
  <c r="B12634" i="1"/>
  <c r="B12630" i="1"/>
  <c r="B12626" i="1"/>
  <c r="B12622" i="1"/>
  <c r="B12618" i="1"/>
  <c r="B12614" i="1"/>
  <c r="B12610" i="1"/>
  <c r="B12606" i="1"/>
  <c r="B12603" i="1"/>
  <c r="B12599" i="1"/>
  <c r="B12595" i="1"/>
  <c r="B12591" i="1"/>
  <c r="B12588" i="1"/>
  <c r="B12583" i="1"/>
  <c r="B12579" i="1"/>
  <c r="B12575" i="1"/>
  <c r="B12571" i="1"/>
  <c r="B12567" i="1"/>
  <c r="B12563" i="1"/>
  <c r="B12560" i="1"/>
  <c r="B12556" i="1"/>
  <c r="B12552" i="1"/>
  <c r="B12548" i="1"/>
  <c r="B12544" i="1"/>
  <c r="B12540" i="1"/>
  <c r="B12536" i="1"/>
  <c r="B12531" i="1"/>
  <c r="B12526" i="1"/>
  <c r="B12521" i="1"/>
  <c r="B12517" i="1"/>
  <c r="B12513" i="1"/>
  <c r="B12509" i="1"/>
  <c r="B12506" i="1"/>
  <c r="B12501" i="1"/>
  <c r="B12497" i="1"/>
  <c r="B12493" i="1"/>
  <c r="B12490" i="1"/>
  <c r="B12487" i="1"/>
  <c r="B12482" i="1"/>
  <c r="B12479" i="1"/>
  <c r="B12475" i="1"/>
  <c r="B12472" i="1"/>
  <c r="B12468" i="1"/>
  <c r="B12463" i="1"/>
  <c r="B12458" i="1"/>
  <c r="B12453" i="1"/>
  <c r="B12448" i="1"/>
  <c r="B12443" i="1"/>
  <c r="B12437" i="1"/>
  <c r="B12434" i="1"/>
  <c r="B12430" i="1"/>
  <c r="B12426" i="1"/>
  <c r="B12423" i="1"/>
  <c r="B12420" i="1"/>
  <c r="B12416" i="1"/>
  <c r="B12411" i="1"/>
  <c r="B12408" i="1"/>
  <c r="B12405" i="1"/>
  <c r="B12402" i="1"/>
  <c r="B12399" i="1"/>
  <c r="B12396" i="1"/>
  <c r="B12393" i="1"/>
  <c r="B12389" i="1"/>
  <c r="B12385" i="1"/>
  <c r="B12382" i="1"/>
  <c r="B12378" i="1"/>
  <c r="B12374" i="1"/>
  <c r="B12370" i="1"/>
  <c r="B12365" i="1"/>
  <c r="B12360" i="1"/>
  <c r="B12357" i="1"/>
  <c r="B12351" i="1"/>
  <c r="B12348" i="1"/>
  <c r="B12345" i="1"/>
  <c r="B12341" i="1"/>
  <c r="B12338" i="1"/>
  <c r="B12334" i="1"/>
  <c r="B12331" i="1"/>
  <c r="B12327" i="1"/>
  <c r="B12323" i="1"/>
  <c r="B12319" i="1"/>
  <c r="B12315" i="1"/>
  <c r="B12311" i="1"/>
  <c r="B12307" i="1"/>
  <c r="B12302" i="1"/>
  <c r="B12299" i="1"/>
  <c r="B12295" i="1"/>
  <c r="B12291" i="1"/>
  <c r="B12287" i="1"/>
  <c r="B12283" i="1"/>
  <c r="B12280" i="1"/>
  <c r="B12274" i="1"/>
  <c r="B12271" i="1"/>
  <c r="B12266" i="1"/>
  <c r="B12261" i="1"/>
  <c r="B12258" i="1"/>
  <c r="B12255" i="1"/>
  <c r="B12251" i="1"/>
  <c r="B12247" i="1"/>
  <c r="B12244" i="1"/>
  <c r="B12241" i="1"/>
  <c r="B12237" i="1"/>
  <c r="B12232" i="1"/>
  <c r="B12227" i="1"/>
  <c r="B12223" i="1"/>
  <c r="B12219" i="1"/>
  <c r="B12215" i="1"/>
  <c r="B12211" i="1"/>
  <c r="B12207" i="1"/>
  <c r="B12203" i="1"/>
  <c r="B12199" i="1"/>
  <c r="B12196" i="1"/>
  <c r="B12192" i="1"/>
  <c r="B12189" i="1"/>
  <c r="B12184" i="1"/>
  <c r="B12180" i="1"/>
  <c r="B12176" i="1"/>
  <c r="B12173" i="1"/>
  <c r="B12169" i="1"/>
  <c r="B12165" i="1"/>
  <c r="B12162" i="1"/>
  <c r="B12158" i="1"/>
  <c r="B12154" i="1"/>
  <c r="B12149" i="1"/>
  <c r="B12145" i="1"/>
  <c r="B12141" i="1"/>
  <c r="B12137" i="1"/>
  <c r="B12131" i="1"/>
  <c r="B12125" i="1"/>
  <c r="B12122" i="1"/>
  <c r="B12119" i="1"/>
  <c r="B12115" i="1"/>
  <c r="B12111" i="1"/>
  <c r="B12107" i="1"/>
  <c r="B12103" i="1"/>
  <c r="B12099" i="1"/>
  <c r="B12095" i="1"/>
  <c r="B12091" i="1"/>
  <c r="B12087" i="1"/>
  <c r="B12084" i="1"/>
  <c r="B12081" i="1"/>
  <c r="B12077" i="1"/>
  <c r="B12073" i="1"/>
  <c r="B12069" i="1"/>
  <c r="B12065" i="1"/>
  <c r="B12061" i="1"/>
  <c r="B12057" i="1"/>
  <c r="B12053" i="1"/>
  <c r="B12049" i="1"/>
  <c r="B12045" i="1"/>
  <c r="B12041" i="1"/>
  <c r="B12037" i="1"/>
  <c r="B12033" i="1"/>
  <c r="B12029" i="1"/>
  <c r="B12025" i="1"/>
  <c r="B12022" i="1"/>
  <c r="B12017" i="1"/>
  <c r="B12012" i="1"/>
  <c r="B12007" i="1"/>
  <c r="B12003" i="1"/>
  <c r="B12000" i="1"/>
  <c r="B11996" i="1"/>
  <c r="B11991" i="1"/>
  <c r="B11986" i="1"/>
  <c r="B11982" i="1"/>
  <c r="B11979" i="1"/>
  <c r="B11975" i="1"/>
  <c r="B11970" i="1"/>
  <c r="B11966" i="1"/>
  <c r="B11961" i="1"/>
  <c r="B11957" i="1"/>
  <c r="B11953" i="1"/>
  <c r="B11949" i="1"/>
  <c r="B11945" i="1"/>
  <c r="B11941" i="1"/>
  <c r="B11937" i="1"/>
  <c r="B11933" i="1"/>
  <c r="B11929" i="1"/>
  <c r="B11925" i="1"/>
  <c r="B11922" i="1"/>
  <c r="B11918" i="1"/>
  <c r="B11914" i="1"/>
  <c r="B11909" i="1"/>
  <c r="B11905" i="1"/>
  <c r="B11900" i="1"/>
  <c r="B11897" i="1"/>
  <c r="B11894" i="1"/>
  <c r="B11888" i="1"/>
  <c r="B11880" i="1"/>
  <c r="B11877" i="1"/>
  <c r="B11873" i="1"/>
  <c r="B11869" i="1"/>
  <c r="B11865" i="1"/>
  <c r="B11861" i="1"/>
  <c r="B11857" i="1"/>
  <c r="B11852" i="1"/>
  <c r="B11847" i="1"/>
  <c r="B11842" i="1"/>
  <c r="B11836" i="1"/>
  <c r="B11833" i="1"/>
  <c r="B11827" i="1"/>
  <c r="B11823" i="1"/>
  <c r="B11819" i="1"/>
  <c r="B11815" i="1"/>
  <c r="B11811" i="1"/>
  <c r="B11808" i="1"/>
  <c r="B11804" i="1"/>
  <c r="B11800" i="1"/>
  <c r="B11795" i="1"/>
  <c r="B11790" i="1"/>
  <c r="B11786" i="1"/>
  <c r="B11782" i="1"/>
  <c r="B11778" i="1"/>
  <c r="B11773" i="1"/>
  <c r="B11769" i="1"/>
  <c r="B11766" i="1"/>
  <c r="B11762" i="1"/>
  <c r="B11758" i="1"/>
  <c r="B11754" i="1"/>
  <c r="B11749" i="1"/>
  <c r="B11744" i="1"/>
  <c r="B11739" i="1"/>
  <c r="B11735" i="1"/>
  <c r="B11731" i="1"/>
  <c r="B11726" i="1"/>
  <c r="B11722" i="1"/>
  <c r="B11719" i="1"/>
  <c r="B11715" i="1"/>
  <c r="B11711" i="1"/>
  <c r="B11707" i="1"/>
  <c r="B11702" i="1"/>
  <c r="B11697" i="1"/>
  <c r="B11694" i="1"/>
  <c r="B11690" i="1"/>
  <c r="B11686" i="1"/>
  <c r="B11682" i="1"/>
  <c r="B11678" i="1"/>
  <c r="B11673" i="1"/>
  <c r="B11669" i="1"/>
  <c r="B11665" i="1"/>
  <c r="B11661" i="1"/>
  <c r="B11657" i="1"/>
  <c r="B11651" i="1"/>
  <c r="B11647" i="1"/>
  <c r="B11643" i="1"/>
  <c r="B11639" i="1"/>
  <c r="B11634" i="1"/>
  <c r="B11630" i="1"/>
  <c r="B11626" i="1"/>
  <c r="B11623" i="1"/>
  <c r="B11619" i="1"/>
  <c r="B11616" i="1"/>
  <c r="B11613" i="1"/>
  <c r="B11609" i="1"/>
  <c r="B11605" i="1"/>
  <c r="B11602" i="1"/>
  <c r="B11597" i="1"/>
  <c r="B11594" i="1"/>
  <c r="B11590" i="1"/>
  <c r="B11586" i="1"/>
  <c r="B11582" i="1"/>
  <c r="B11579" i="1"/>
  <c r="B11575" i="1"/>
  <c r="B11571" i="1"/>
  <c r="B11567" i="1"/>
  <c r="B11564" i="1"/>
  <c r="B11560" i="1"/>
  <c r="B11556" i="1"/>
  <c r="B11552" i="1"/>
  <c r="B11549" i="1"/>
  <c r="B11544" i="1"/>
  <c r="B11539" i="1"/>
  <c r="B11534" i="1"/>
  <c r="B11529" i="1"/>
  <c r="B11525" i="1"/>
  <c r="B11520" i="1"/>
  <c r="B11515" i="1"/>
  <c r="B11510" i="1"/>
  <c r="B11505" i="1"/>
  <c r="B11501" i="1"/>
  <c r="B11497" i="1"/>
  <c r="B11492" i="1"/>
  <c r="B11487" i="1"/>
  <c r="B11481" i="1"/>
  <c r="B11476" i="1"/>
  <c r="B11472" i="1"/>
  <c r="B11469" i="1"/>
  <c r="B11466" i="1"/>
  <c r="B11462" i="1"/>
  <c r="B11459" i="1"/>
  <c r="B11455" i="1"/>
  <c r="B11451" i="1"/>
  <c r="B11446" i="1"/>
  <c r="B11442" i="1"/>
  <c r="B11439" i="1"/>
  <c r="B11435" i="1"/>
  <c r="B11432" i="1"/>
  <c r="B11428" i="1"/>
  <c r="B11425" i="1"/>
  <c r="B11421" i="1"/>
  <c r="B11418" i="1"/>
  <c r="B11413" i="1"/>
  <c r="B11408" i="1"/>
  <c r="B11403" i="1"/>
  <c r="B11398" i="1"/>
  <c r="B11394" i="1"/>
  <c r="B11390" i="1"/>
  <c r="B11386" i="1"/>
  <c r="B11382" i="1"/>
  <c r="B11379" i="1"/>
  <c r="B11375" i="1"/>
  <c r="B11372" i="1"/>
  <c r="B11368" i="1"/>
  <c r="B11365" i="1"/>
  <c r="B11361" i="1"/>
  <c r="B11357" i="1"/>
  <c r="B11353" i="1"/>
  <c r="B11349" i="1"/>
  <c r="B11344" i="1"/>
  <c r="B11339" i="1"/>
  <c r="B11334" i="1"/>
  <c r="B11331" i="1"/>
  <c r="B11328" i="1"/>
  <c r="B11324" i="1"/>
  <c r="B11321" i="1"/>
  <c r="B11317" i="1"/>
  <c r="B11313" i="1"/>
  <c r="B11309" i="1"/>
  <c r="B11304" i="1"/>
  <c r="B11299" i="1"/>
  <c r="B11294" i="1"/>
  <c r="B11289" i="1"/>
  <c r="B11286" i="1"/>
  <c r="B11282" i="1"/>
  <c r="B11279" i="1"/>
  <c r="B11275" i="1"/>
  <c r="B11272" i="1"/>
  <c r="B11268" i="1"/>
  <c r="B11264" i="1"/>
  <c r="B11260" i="1"/>
  <c r="B11256" i="1"/>
  <c r="B11251" i="1"/>
  <c r="B11246" i="1"/>
  <c r="B11243" i="1"/>
  <c r="B11239" i="1"/>
  <c r="B11234" i="1"/>
  <c r="B11230" i="1"/>
  <c r="B11226" i="1"/>
  <c r="B11222" i="1"/>
  <c r="B11217" i="1"/>
  <c r="B11213" i="1"/>
  <c r="B11210" i="1"/>
  <c r="B11206" i="1"/>
  <c r="B11202" i="1"/>
  <c r="B11198" i="1"/>
  <c r="B11194" i="1"/>
  <c r="B11189" i="1"/>
  <c r="B11187" i="1"/>
  <c r="B11183" i="1"/>
  <c r="B11178" i="1"/>
  <c r="B11174" i="1"/>
  <c r="B11170" i="1"/>
  <c r="B11167" i="1"/>
  <c r="B11164" i="1"/>
  <c r="B11161" i="1"/>
  <c r="B11158" i="1"/>
  <c r="B11155" i="1"/>
  <c r="B11152" i="1"/>
  <c r="B11148" i="1"/>
  <c r="B11144" i="1"/>
  <c r="B11140" i="1"/>
  <c r="B11136" i="1"/>
  <c r="B11132" i="1"/>
  <c r="B11128" i="1"/>
  <c r="B11124" i="1"/>
  <c r="B11120" i="1"/>
  <c r="B11116" i="1"/>
  <c r="B11112" i="1"/>
  <c r="B11107" i="1"/>
  <c r="B11103" i="1"/>
  <c r="B11099" i="1"/>
  <c r="B11095" i="1"/>
  <c r="B11090" i="1"/>
  <c r="B11085" i="1"/>
  <c r="B11081" i="1"/>
  <c r="B11077" i="1"/>
  <c r="B11073" i="1"/>
  <c r="B11069" i="1"/>
  <c r="B11064" i="1"/>
  <c r="B11059" i="1"/>
  <c r="B11055" i="1"/>
  <c r="B11051" i="1"/>
  <c r="B11047" i="1"/>
  <c r="B11043" i="1"/>
  <c r="B11039" i="1"/>
  <c r="B11035" i="1"/>
  <c r="B11031" i="1"/>
  <c r="B11027" i="1"/>
  <c r="B11022" i="1"/>
  <c r="B11017" i="1"/>
  <c r="B11013" i="1"/>
  <c r="B11009" i="1"/>
  <c r="B11004" i="1"/>
  <c r="B10999" i="1"/>
  <c r="B10995" i="1"/>
  <c r="B10991" i="1"/>
  <c r="B10987" i="1"/>
  <c r="B10983" i="1"/>
  <c r="B10979" i="1"/>
  <c r="B10975" i="1"/>
  <c r="B10970" i="1"/>
  <c r="B10966" i="1"/>
  <c r="B10962" i="1"/>
  <c r="B10959" i="1"/>
  <c r="B10956" i="1"/>
  <c r="B10952" i="1"/>
  <c r="B10948" i="1"/>
  <c r="B10943" i="1"/>
  <c r="B10938" i="1"/>
  <c r="B10934" i="1"/>
  <c r="B10930" i="1"/>
  <c r="B10926" i="1"/>
  <c r="B10922" i="1"/>
  <c r="B10918" i="1"/>
  <c r="B10913" i="1"/>
  <c r="B10908" i="1"/>
  <c r="B10903" i="1"/>
  <c r="B10898" i="1"/>
  <c r="B10893" i="1"/>
  <c r="B10888" i="1"/>
  <c r="B10883" i="1"/>
  <c r="B10880" i="1"/>
  <c r="B10877" i="1"/>
  <c r="B10874" i="1"/>
  <c r="B10871" i="1"/>
  <c r="B10868" i="1"/>
  <c r="B10865" i="1"/>
  <c r="B10862" i="1"/>
  <c r="B10859" i="1"/>
  <c r="B10855" i="1"/>
  <c r="B10851" i="1"/>
  <c r="B10847" i="1"/>
  <c r="B10843" i="1"/>
  <c r="B10839" i="1"/>
  <c r="B10835" i="1"/>
  <c r="B10831" i="1"/>
  <c r="B10827" i="1"/>
  <c r="B10823" i="1"/>
  <c r="B10819" i="1"/>
  <c r="B10815" i="1"/>
  <c r="B10811" i="1"/>
  <c r="B10807" i="1"/>
  <c r="B10803" i="1"/>
  <c r="B10799" i="1"/>
  <c r="B10795" i="1"/>
  <c r="B10791" i="1"/>
  <c r="B10787" i="1"/>
  <c r="B10783" i="1"/>
  <c r="B10779" i="1"/>
  <c r="B10775" i="1"/>
  <c r="B10771" i="1"/>
  <c r="B10767" i="1"/>
  <c r="B10763" i="1"/>
  <c r="B10759" i="1"/>
  <c r="B10755" i="1"/>
  <c r="B10751" i="1"/>
  <c r="B10747" i="1"/>
  <c r="B10743" i="1"/>
  <c r="B10739" i="1"/>
  <c r="B10735" i="1"/>
  <c r="B10731" i="1"/>
  <c r="B10727" i="1"/>
  <c r="B10723" i="1"/>
  <c r="B10718" i="1"/>
  <c r="B10713" i="1"/>
  <c r="B10710" i="1"/>
  <c r="B10706" i="1"/>
  <c r="B10702" i="1"/>
  <c r="B10698" i="1"/>
  <c r="B10695" i="1"/>
  <c r="B10691" i="1"/>
  <c r="B10688" i="1"/>
  <c r="B10684" i="1"/>
  <c r="B10680" i="1"/>
  <c r="B10676" i="1"/>
  <c r="B10671" i="1"/>
  <c r="B10667" i="1"/>
  <c r="B10662" i="1"/>
  <c r="B10657" i="1"/>
  <c r="B10652" i="1"/>
  <c r="B10647" i="1"/>
  <c r="B10642" i="1"/>
  <c r="B10639" i="1"/>
  <c r="B10636" i="1"/>
  <c r="B10632" i="1"/>
  <c r="B10628" i="1"/>
  <c r="B10625" i="1"/>
  <c r="B10620" i="1"/>
  <c r="B10616" i="1"/>
  <c r="B10613" i="1"/>
  <c r="B10609" i="1"/>
  <c r="B10606" i="1"/>
  <c r="B10602" i="1"/>
  <c r="B10598" i="1"/>
  <c r="B10594" i="1"/>
  <c r="B10590" i="1"/>
  <c r="B10586" i="1"/>
  <c r="B10582" i="1"/>
  <c r="B10578" i="1"/>
  <c r="B10574" i="1"/>
  <c r="B10570" i="1"/>
  <c r="B10567" i="1"/>
  <c r="B10563" i="1"/>
  <c r="B10559" i="1"/>
  <c r="B10555" i="1"/>
  <c r="B10551" i="1"/>
  <c r="B10547" i="1"/>
  <c r="B10542" i="1"/>
  <c r="B10537" i="1"/>
  <c r="B10533" i="1"/>
  <c r="B10529" i="1"/>
  <c r="B10525" i="1"/>
  <c r="B10522" i="1"/>
  <c r="B10517" i="1"/>
  <c r="B10512" i="1"/>
  <c r="B10508" i="1"/>
  <c r="B10504" i="1"/>
  <c r="B10500" i="1"/>
  <c r="B10497" i="1"/>
  <c r="B10494" i="1"/>
  <c r="B10491" i="1"/>
  <c r="B10487" i="1"/>
  <c r="B10483" i="1"/>
  <c r="B10479" i="1"/>
  <c r="B10475" i="1"/>
  <c r="B10472" i="1"/>
  <c r="B10468" i="1"/>
  <c r="B10464" i="1"/>
  <c r="B10461" i="1"/>
  <c r="B10457" i="1"/>
  <c r="B10448" i="1"/>
  <c r="B10440" i="1"/>
  <c r="B10436" i="1"/>
  <c r="B10431" i="1"/>
  <c r="B10427" i="1"/>
  <c r="B10422" i="1"/>
  <c r="B10418" i="1"/>
  <c r="B10414" i="1"/>
  <c r="B10409" i="1"/>
  <c r="B10404" i="1"/>
  <c r="B10400" i="1"/>
  <c r="B10397" i="1"/>
  <c r="B10393" i="1"/>
  <c r="B10389" i="1"/>
  <c r="B10385" i="1"/>
  <c r="B10381" i="1"/>
  <c r="B10377" i="1"/>
  <c r="B10373" i="1"/>
  <c r="B10369" i="1"/>
  <c r="B10365" i="1"/>
  <c r="B10359" i="1"/>
  <c r="B10355" i="1"/>
  <c r="B10350" i="1"/>
  <c r="B10346" i="1"/>
  <c r="B10342" i="1"/>
  <c r="B10339" i="1"/>
  <c r="B10335" i="1"/>
  <c r="B10331" i="1"/>
  <c r="B10326" i="1"/>
  <c r="B10322" i="1"/>
  <c r="B10318" i="1"/>
  <c r="B10313" i="1"/>
  <c r="B10309" i="1"/>
  <c r="B10305" i="1"/>
  <c r="B10300" i="1"/>
  <c r="B10296" i="1"/>
  <c r="B10292" i="1"/>
  <c r="B10288" i="1"/>
  <c r="B10284" i="1"/>
  <c r="B10279" i="1"/>
  <c r="B10275" i="1"/>
  <c r="B10271" i="1"/>
  <c r="B10266" i="1"/>
  <c r="B10262" i="1"/>
  <c r="B10258" i="1"/>
  <c r="B10254" i="1"/>
  <c r="B10249" i="1"/>
  <c r="B10245" i="1"/>
  <c r="B10241" i="1"/>
  <c r="B10237" i="1"/>
  <c r="B10233" i="1"/>
  <c r="B10229" i="1"/>
  <c r="B10225" i="1"/>
  <c r="B10220" i="1"/>
  <c r="B10216" i="1"/>
  <c r="B10210" i="1"/>
  <c r="B10206" i="1"/>
  <c r="B10204" i="1"/>
  <c r="B10201" i="1"/>
  <c r="B10198" i="1"/>
  <c r="B10195" i="1"/>
  <c r="B10191" i="1"/>
  <c r="B10187" i="1"/>
  <c r="B10184" i="1"/>
  <c r="B10180" i="1"/>
  <c r="B10176" i="1"/>
  <c r="B10173" i="1"/>
  <c r="B10169" i="1"/>
  <c r="B10165" i="1"/>
  <c r="B10160" i="1"/>
  <c r="B10155" i="1"/>
  <c r="B10151" i="1"/>
  <c r="B10146" i="1"/>
  <c r="B10141" i="1"/>
  <c r="B10137" i="1"/>
  <c r="B10132" i="1"/>
  <c r="B10127" i="1"/>
  <c r="B10122" i="1"/>
  <c r="B10117" i="1"/>
  <c r="B10112" i="1"/>
  <c r="B10107" i="1"/>
  <c r="B10103" i="1"/>
  <c r="B10098" i="1"/>
  <c r="B10093" i="1"/>
  <c r="B10089" i="1"/>
  <c r="B10085" i="1"/>
  <c r="B10081" i="1"/>
  <c r="B10076" i="1"/>
  <c r="B10073" i="1"/>
  <c r="B10070" i="1"/>
  <c r="B10066" i="1"/>
  <c r="B10062" i="1"/>
  <c r="B10059" i="1"/>
  <c r="B10054" i="1"/>
  <c r="B10050" i="1"/>
  <c r="B10047" i="1"/>
  <c r="B10044" i="1"/>
  <c r="B10040" i="1"/>
  <c r="B10035" i="1"/>
  <c r="B10031" i="1"/>
  <c r="B10028" i="1"/>
  <c r="B10024" i="1"/>
  <c r="B10020" i="1"/>
  <c r="B10017" i="1"/>
  <c r="B10012" i="1"/>
  <c r="B10006" i="1"/>
  <c r="B10002" i="1"/>
  <c r="B9998" i="1"/>
  <c r="B9994" i="1"/>
  <c r="B9990" i="1"/>
  <c r="B9986" i="1"/>
  <c r="B9980" i="1"/>
  <c r="B9976" i="1"/>
  <c r="B9972" i="1"/>
  <c r="B9968" i="1"/>
  <c r="B9964" i="1"/>
  <c r="B9960" i="1"/>
  <c r="B9956" i="1"/>
  <c r="B9951" i="1"/>
  <c r="B9946" i="1"/>
  <c r="B9942" i="1"/>
  <c r="B9938" i="1"/>
  <c r="B9935" i="1"/>
  <c r="B9931" i="1"/>
  <c r="B9926" i="1"/>
  <c r="B9921" i="1"/>
  <c r="B9914" i="1"/>
  <c r="B9907" i="1"/>
  <c r="B9903" i="1"/>
  <c r="B9899" i="1"/>
  <c r="B9895" i="1"/>
  <c r="B9891" i="1"/>
  <c r="B9887" i="1"/>
  <c r="B9882" i="1"/>
  <c r="B9877" i="1"/>
  <c r="B9873" i="1"/>
  <c r="B9869" i="1"/>
  <c r="B9865" i="1"/>
  <c r="B9861" i="1"/>
  <c r="B9855" i="1"/>
  <c r="B9849" i="1"/>
  <c r="B9845" i="1"/>
  <c r="B9842" i="1"/>
  <c r="B9838" i="1"/>
  <c r="B9834" i="1"/>
  <c r="B9830" i="1"/>
  <c r="B9825" i="1"/>
  <c r="B9822" i="1"/>
  <c r="B9819" i="1"/>
  <c r="B9816" i="1"/>
  <c r="B9813" i="1"/>
  <c r="B9809" i="1"/>
  <c r="B9805" i="1"/>
  <c r="B9800" i="1"/>
  <c r="B9797" i="1"/>
  <c r="B9794" i="1"/>
  <c r="B9791" i="1"/>
  <c r="B9787" i="1"/>
  <c r="B9783" i="1"/>
  <c r="B9777" i="1"/>
  <c r="B9771" i="1"/>
  <c r="B9767" i="1"/>
  <c r="B9762" i="1"/>
  <c r="B9757" i="1"/>
  <c r="B9753" i="1"/>
  <c r="B9750" i="1"/>
  <c r="B9747" i="1"/>
  <c r="B9744" i="1"/>
  <c r="B9741" i="1"/>
  <c r="B9738" i="1"/>
  <c r="B9734" i="1"/>
  <c r="B9730" i="1"/>
  <c r="B9725" i="1"/>
  <c r="B9722" i="1"/>
  <c r="B9717" i="1"/>
  <c r="B9713" i="1"/>
  <c r="B9709" i="1"/>
  <c r="B9705" i="1"/>
  <c r="B9701" i="1"/>
  <c r="B9697" i="1"/>
  <c r="B9692" i="1"/>
  <c r="B9687" i="1"/>
  <c r="B9682" i="1"/>
  <c r="B9679" i="1"/>
  <c r="B9676" i="1"/>
  <c r="B9673" i="1"/>
  <c r="B9670" i="1"/>
  <c r="B9666" i="1"/>
  <c r="B9662" i="1"/>
  <c r="B9658" i="1"/>
  <c r="B9654" i="1"/>
  <c r="B9651" i="1"/>
  <c r="B9647" i="1"/>
  <c r="B9643" i="1"/>
  <c r="B9640" i="1"/>
  <c r="B9632" i="1"/>
  <c r="B9628" i="1"/>
  <c r="B9625" i="1"/>
  <c r="B9621" i="1"/>
  <c r="B9617" i="1"/>
  <c r="B9613" i="1"/>
  <c r="B9610" i="1"/>
  <c r="B9605" i="1"/>
  <c r="B9601" i="1"/>
  <c r="B9598" i="1"/>
  <c r="B9595" i="1"/>
  <c r="B9591" i="1"/>
  <c r="B9587" i="1"/>
  <c r="B9583" i="1"/>
  <c r="B9579" i="1"/>
  <c r="B9574" i="1"/>
  <c r="B9569" i="1"/>
  <c r="B9564" i="1"/>
  <c r="B9560" i="1"/>
  <c r="B9556" i="1"/>
  <c r="B9552" i="1"/>
  <c r="B9547" i="1"/>
  <c r="B9543" i="1"/>
  <c r="B9540" i="1"/>
  <c r="B9537" i="1"/>
  <c r="B9533" i="1"/>
  <c r="B9529" i="1"/>
  <c r="B9524" i="1"/>
  <c r="B9519" i="1"/>
  <c r="B9515" i="1"/>
  <c r="B9511" i="1"/>
  <c r="B9507" i="1"/>
  <c r="B9502" i="1"/>
  <c r="B9497" i="1"/>
  <c r="B9492" i="1"/>
  <c r="B9487" i="1"/>
  <c r="B9483" i="1"/>
  <c r="B9479" i="1"/>
  <c r="B9475" i="1"/>
  <c r="B9470" i="1"/>
  <c r="B9465" i="1"/>
  <c r="B9461" i="1"/>
  <c r="B9456" i="1"/>
  <c r="B9451" i="1"/>
  <c r="B9446" i="1"/>
  <c r="B9442" i="1"/>
  <c r="B9438" i="1"/>
  <c r="B9434" i="1"/>
  <c r="B9431" i="1"/>
  <c r="B9428" i="1"/>
  <c r="B9424" i="1"/>
  <c r="B9421" i="1"/>
  <c r="B9417" i="1"/>
  <c r="B9412" i="1"/>
  <c r="B9408" i="1"/>
  <c r="B9404" i="1"/>
  <c r="B9401" i="1"/>
  <c r="B9397" i="1"/>
  <c r="B9392" i="1"/>
  <c r="B9389" i="1"/>
  <c r="B9385" i="1"/>
  <c r="B9380" i="1"/>
  <c r="B9376" i="1"/>
  <c r="B9373" i="1"/>
  <c r="B9369" i="1"/>
  <c r="B9366" i="1"/>
  <c r="B9362" i="1"/>
  <c r="B9358" i="1"/>
  <c r="B9354" i="1"/>
  <c r="B9350" i="1"/>
  <c r="B9347" i="1"/>
  <c r="B9343" i="1"/>
  <c r="B9339" i="1"/>
  <c r="B9335" i="1"/>
  <c r="B9331" i="1"/>
  <c r="B9327" i="1"/>
  <c r="B9323" i="1"/>
  <c r="B9319" i="1"/>
  <c r="B9315" i="1"/>
  <c r="B9309" i="1"/>
  <c r="B9303" i="1"/>
  <c r="B9298" i="1"/>
  <c r="B9292" i="1"/>
  <c r="B9287" i="1"/>
  <c r="B9282" i="1"/>
  <c r="B9278" i="1"/>
  <c r="B9274" i="1"/>
  <c r="B9270" i="1"/>
  <c r="B9266" i="1"/>
  <c r="B9262" i="1"/>
  <c r="B9258" i="1"/>
  <c r="B9254" i="1"/>
  <c r="B9246" i="1"/>
  <c r="B9242" i="1"/>
  <c r="B9238" i="1"/>
  <c r="B9234" i="1"/>
  <c r="B9230" i="1"/>
  <c r="B9226" i="1"/>
  <c r="B9221" i="1"/>
  <c r="B9218" i="1"/>
  <c r="B9214" i="1"/>
  <c r="B9210" i="1"/>
  <c r="B9206" i="1"/>
  <c r="B9202" i="1"/>
  <c r="B9198" i="1"/>
  <c r="B9195" i="1"/>
  <c r="B9191" i="1"/>
  <c r="B9187" i="1"/>
  <c r="B9183" i="1"/>
  <c r="B9179" i="1"/>
  <c r="B9176" i="1"/>
  <c r="B9172" i="1"/>
  <c r="B9169" i="1"/>
  <c r="B9164" i="1"/>
  <c r="B9160" i="1"/>
  <c r="B9155" i="1"/>
  <c r="B9151" i="1"/>
  <c r="B9148" i="1"/>
  <c r="B9144" i="1"/>
  <c r="B9140" i="1"/>
  <c r="B9136" i="1"/>
  <c r="B9131" i="1"/>
  <c r="B9127" i="1"/>
  <c r="B9123" i="1"/>
  <c r="B9119" i="1"/>
  <c r="B9114" i="1"/>
  <c r="B9110" i="1"/>
  <c r="B9106" i="1"/>
  <c r="B9101" i="1"/>
  <c r="B9098" i="1"/>
  <c r="B9094" i="1"/>
  <c r="B9090" i="1"/>
  <c r="B9086" i="1"/>
  <c r="B9081" i="1"/>
  <c r="B9077" i="1"/>
  <c r="B9073" i="1"/>
  <c r="B9069" i="1"/>
  <c r="B9064" i="1"/>
  <c r="B9061" i="1"/>
  <c r="B9057" i="1"/>
  <c r="B9053" i="1"/>
  <c r="B9048" i="1"/>
  <c r="B9043" i="1"/>
  <c r="B9038" i="1"/>
  <c r="B9035" i="1"/>
  <c r="B9031" i="1"/>
  <c r="B9028" i="1"/>
  <c r="B9025" i="1"/>
  <c r="B9022" i="1"/>
  <c r="B9019" i="1"/>
  <c r="B9016" i="1"/>
  <c r="B9012" i="1"/>
  <c r="B9007" i="1"/>
  <c r="B9003" i="1"/>
  <c r="B9001" i="1"/>
  <c r="B8998" i="1"/>
  <c r="B8994" i="1"/>
  <c r="B8991" i="1"/>
  <c r="B8987" i="1"/>
  <c r="B8983" i="1"/>
  <c r="B8979" i="1"/>
  <c r="B8975" i="1"/>
  <c r="B8972" i="1"/>
  <c r="B8969" i="1"/>
  <c r="B8965" i="1"/>
  <c r="B8961" i="1"/>
  <c r="B8957" i="1"/>
  <c r="B8953" i="1"/>
  <c r="B8949" i="1"/>
  <c r="B8945" i="1"/>
  <c r="B8941" i="1"/>
  <c r="B8936" i="1"/>
  <c r="B8932" i="1"/>
  <c r="B8927" i="1"/>
  <c r="B8924" i="1"/>
  <c r="B8921" i="1"/>
  <c r="B8917" i="1"/>
  <c r="B8914" i="1"/>
  <c r="B8910" i="1"/>
  <c r="B8905" i="1"/>
  <c r="B8902" i="1"/>
  <c r="B8898" i="1"/>
  <c r="B8895" i="1"/>
  <c r="B8891" i="1"/>
  <c r="B8888" i="1"/>
  <c r="B8885" i="1"/>
  <c r="B8881" i="1"/>
  <c r="B8877" i="1"/>
  <c r="B8873" i="1"/>
  <c r="B8869" i="1"/>
  <c r="B8865" i="1"/>
  <c r="B8861" i="1"/>
  <c r="B8858" i="1"/>
  <c r="B8854" i="1"/>
  <c r="B8850" i="1"/>
  <c r="B8846" i="1"/>
  <c r="B8841" i="1"/>
  <c r="B8837" i="1"/>
  <c r="B8833" i="1"/>
  <c r="B8830" i="1"/>
  <c r="B8827" i="1"/>
  <c r="B8822" i="1"/>
  <c r="B8818" i="1"/>
  <c r="B8814" i="1"/>
  <c r="B8808" i="1"/>
  <c r="B8805" i="1"/>
  <c r="B8801" i="1"/>
  <c r="B8795" i="1"/>
  <c r="B8791" i="1"/>
  <c r="B8786" i="1"/>
  <c r="B8781" i="1"/>
  <c r="B8777" i="1"/>
  <c r="B8772" i="1"/>
  <c r="B8768" i="1"/>
  <c r="B8765" i="1"/>
  <c r="B8761" i="1"/>
  <c r="B8756" i="1"/>
  <c r="B8753" i="1"/>
  <c r="B8750" i="1"/>
  <c r="B8747" i="1"/>
  <c r="B8744" i="1"/>
  <c r="B8740" i="1"/>
  <c r="B8736" i="1"/>
  <c r="B8731" i="1"/>
  <c r="B8727" i="1"/>
  <c r="B8723" i="1"/>
  <c r="B8719" i="1"/>
  <c r="B8714" i="1"/>
  <c r="B8711" i="1"/>
  <c r="B8706" i="1"/>
  <c r="B8703" i="1"/>
  <c r="B8700" i="1"/>
  <c r="B8696" i="1"/>
  <c r="B8692" i="1"/>
  <c r="B8688" i="1"/>
  <c r="B8684" i="1"/>
  <c r="B8680" i="1"/>
  <c r="B8675" i="1"/>
  <c r="B8671" i="1"/>
  <c r="B8667" i="1"/>
  <c r="B8663" i="1"/>
  <c r="B8659" i="1"/>
  <c r="B8655" i="1"/>
  <c r="B8651" i="1"/>
  <c r="B8648" i="1"/>
  <c r="B8645" i="1"/>
  <c r="B8641" i="1"/>
  <c r="B8637" i="1"/>
  <c r="B8633" i="1"/>
  <c r="B8629" i="1"/>
  <c r="B8625" i="1"/>
  <c r="B8620" i="1"/>
  <c r="B8616" i="1"/>
  <c r="B8612" i="1"/>
  <c r="B8608" i="1"/>
  <c r="B8604" i="1"/>
  <c r="B8599" i="1"/>
  <c r="B8594" i="1"/>
  <c r="B8589" i="1"/>
  <c r="B8584" i="1"/>
  <c r="B8579" i="1"/>
  <c r="B8574" i="1"/>
  <c r="B8569" i="1"/>
  <c r="B8564" i="1"/>
  <c r="B8559" i="1"/>
  <c r="B8554" i="1"/>
  <c r="B8549" i="1"/>
  <c r="B8544" i="1"/>
  <c r="B8540" i="1"/>
  <c r="B8534" i="1"/>
  <c r="B8528" i="1"/>
  <c r="B8522" i="1"/>
  <c r="B8516" i="1"/>
  <c r="B8511" i="1"/>
  <c r="B8506" i="1"/>
  <c r="B8502" i="1"/>
  <c r="B8498" i="1"/>
  <c r="B8494" i="1"/>
  <c r="B8490" i="1"/>
  <c r="B8486" i="1"/>
  <c r="B8482" i="1"/>
  <c r="B8479" i="1"/>
  <c r="B8471" i="1"/>
  <c r="B8467" i="1"/>
  <c r="B8462" i="1"/>
  <c r="B8458" i="1"/>
  <c r="B8454" i="1"/>
  <c r="B8450" i="1"/>
  <c r="B8446" i="1"/>
  <c r="B8442" i="1"/>
  <c r="B8438" i="1"/>
  <c r="B8434" i="1"/>
  <c r="B8429" i="1"/>
  <c r="B8425" i="1"/>
  <c r="B8421" i="1"/>
  <c r="B8417" i="1"/>
  <c r="B8413" i="1"/>
  <c r="B8409" i="1"/>
  <c r="B8405" i="1"/>
  <c r="B8401" i="1"/>
  <c r="B8397" i="1"/>
  <c r="B8393" i="1"/>
  <c r="B8389" i="1"/>
  <c r="B8385" i="1"/>
  <c r="B8381" i="1"/>
  <c r="B8377" i="1"/>
  <c r="B8373" i="1"/>
  <c r="B8369" i="1"/>
  <c r="B8365" i="1"/>
  <c r="B8361" i="1"/>
  <c r="B8357" i="1"/>
  <c r="B8353" i="1"/>
  <c r="B8348" i="1"/>
  <c r="B8344" i="1"/>
  <c r="B8340" i="1"/>
  <c r="B8336" i="1"/>
  <c r="B8332" i="1"/>
  <c r="B8328" i="1"/>
  <c r="B8324" i="1"/>
  <c r="B8320" i="1"/>
  <c r="B8316" i="1"/>
  <c r="B8312" i="1"/>
  <c r="B8308" i="1"/>
  <c r="B8304" i="1"/>
  <c r="B8300" i="1"/>
  <c r="B8296" i="1"/>
  <c r="B8292" i="1"/>
  <c r="B8288" i="1"/>
  <c r="B8284" i="1"/>
  <c r="B8280" i="1"/>
  <c r="B8276" i="1"/>
  <c r="B8272" i="1"/>
  <c r="B8268" i="1"/>
  <c r="B8264" i="1"/>
  <c r="B8260" i="1"/>
  <c r="B8256" i="1"/>
  <c r="B8252" i="1"/>
  <c r="B8248" i="1"/>
  <c r="B8244" i="1"/>
  <c r="B8240" i="1"/>
  <c r="B8236" i="1"/>
  <c r="B8232" i="1"/>
  <c r="B8228" i="1"/>
  <c r="B8224" i="1"/>
  <c r="B8220" i="1"/>
  <c r="B8216" i="1"/>
  <c r="B8212" i="1"/>
  <c r="B8208" i="1"/>
  <c r="B8203" i="1"/>
  <c r="B8198" i="1"/>
  <c r="B8193" i="1"/>
  <c r="B8188" i="1"/>
  <c r="B8183" i="1"/>
  <c r="B8180" i="1"/>
  <c r="B8177" i="1"/>
  <c r="B8173" i="1"/>
  <c r="B8169" i="1"/>
  <c r="B8165" i="1"/>
  <c r="B8161" i="1"/>
  <c r="B8157" i="1"/>
  <c r="B8153" i="1"/>
  <c r="B8149" i="1"/>
  <c r="B8145" i="1"/>
  <c r="B8141" i="1"/>
  <c r="B8137" i="1"/>
  <c r="B8133" i="1"/>
  <c r="B8129" i="1"/>
  <c r="B8125" i="1"/>
  <c r="B8121" i="1"/>
  <c r="B8117" i="1"/>
  <c r="B8113" i="1"/>
  <c r="B8109" i="1"/>
  <c r="B8105" i="1"/>
  <c r="B8101" i="1"/>
  <c r="B8096" i="1"/>
  <c r="B8091" i="1"/>
  <c r="B8086" i="1"/>
  <c r="B8080" i="1"/>
  <c r="B8075" i="1"/>
  <c r="B8070" i="1"/>
  <c r="B8065" i="1"/>
  <c r="B8060" i="1"/>
  <c r="B8054" i="1"/>
  <c r="B8049" i="1"/>
  <c r="B8044" i="1"/>
  <c r="B8039" i="1"/>
  <c r="B8034" i="1"/>
  <c r="B8030" i="1"/>
  <c r="B8026" i="1"/>
  <c r="B8022" i="1"/>
  <c r="B8018" i="1"/>
  <c r="B8013" i="1"/>
  <c r="B8008" i="1"/>
  <c r="B8005" i="1"/>
  <c r="B8002" i="1"/>
  <c r="B7999" i="1"/>
  <c r="B7995" i="1"/>
  <c r="B7990" i="1"/>
  <c r="B7985" i="1"/>
  <c r="B7980" i="1"/>
  <c r="B7975" i="1"/>
  <c r="B7971" i="1"/>
  <c r="B7967" i="1"/>
  <c r="B7963" i="1"/>
  <c r="B7959" i="1"/>
  <c r="B7950" i="1"/>
  <c r="B7946" i="1"/>
  <c r="B7942" i="1"/>
  <c r="B7938" i="1"/>
  <c r="B7934" i="1"/>
  <c r="B7930" i="1"/>
  <c r="B7927" i="1"/>
  <c r="B7923" i="1"/>
  <c r="B7919" i="1"/>
  <c r="B7914" i="1"/>
  <c r="B7910" i="1"/>
  <c r="B7905" i="1"/>
  <c r="B7901" i="1"/>
  <c r="B7896" i="1"/>
  <c r="B7891" i="1"/>
  <c r="B7887" i="1"/>
  <c r="B7883" i="1"/>
  <c r="B7879" i="1"/>
  <c r="B7874" i="1"/>
  <c r="B7869" i="1"/>
  <c r="B7865" i="1"/>
  <c r="B7861" i="1"/>
  <c r="B7857" i="1"/>
  <c r="B7852" i="1"/>
  <c r="B7848" i="1"/>
  <c r="B7844" i="1"/>
  <c r="B7840" i="1"/>
  <c r="B7836" i="1"/>
  <c r="B7832" i="1"/>
  <c r="B7827" i="1"/>
  <c r="B7822" i="1"/>
  <c r="B7817" i="1"/>
  <c r="B7812" i="1"/>
  <c r="B7809" i="1"/>
  <c r="B7804" i="1"/>
  <c r="B7799" i="1"/>
  <c r="B7794" i="1"/>
  <c r="B7789" i="1"/>
  <c r="B7784" i="1"/>
  <c r="B7779" i="1"/>
  <c r="B7774" i="1"/>
  <c r="B7769" i="1"/>
  <c r="B7764" i="1"/>
  <c r="B7759" i="1"/>
  <c r="B7754" i="1"/>
  <c r="B7749" i="1"/>
  <c r="B7744" i="1"/>
  <c r="B7739" i="1"/>
  <c r="B7733" i="1"/>
  <c r="B7727" i="1"/>
  <c r="B7722" i="1"/>
  <c r="B7717" i="1"/>
  <c r="B7712" i="1"/>
  <c r="B7708" i="1"/>
  <c r="B7704" i="1"/>
  <c r="B7700" i="1"/>
  <c r="B7696" i="1"/>
  <c r="B7689" i="1"/>
  <c r="B7683" i="1"/>
  <c r="B7678" i="1"/>
  <c r="B7673" i="1"/>
  <c r="B7668" i="1"/>
  <c r="B7663" i="1"/>
  <c r="B7658" i="1"/>
  <c r="B7653" i="1"/>
  <c r="B7648" i="1"/>
  <c r="B7643" i="1"/>
  <c r="B7637" i="1"/>
  <c r="B7631" i="1"/>
  <c r="B7625" i="1"/>
  <c r="B7619" i="1"/>
  <c r="B7613" i="1"/>
  <c r="B7607" i="1"/>
  <c r="B7603" i="1"/>
  <c r="B7598" i="1"/>
  <c r="B7593" i="1"/>
  <c r="B7588" i="1"/>
  <c r="B7583" i="1"/>
  <c r="B7578" i="1"/>
  <c r="B7573" i="1"/>
  <c r="B7568" i="1"/>
  <c r="B7563" i="1"/>
  <c r="B7558" i="1"/>
  <c r="B7553" i="1"/>
  <c r="B7548" i="1"/>
  <c r="B7543" i="1"/>
  <c r="B7538" i="1"/>
  <c r="B7533" i="1"/>
  <c r="B7528" i="1"/>
  <c r="B7523" i="1"/>
  <c r="B7518" i="1"/>
  <c r="B7513" i="1"/>
  <c r="B7508" i="1"/>
  <c r="B7503" i="1"/>
  <c r="B7498" i="1"/>
  <c r="B7493" i="1"/>
  <c r="B7488" i="1"/>
  <c r="B7483" i="1"/>
  <c r="B7478" i="1"/>
  <c r="B7473" i="1"/>
  <c r="B7468" i="1"/>
  <c r="B7463" i="1"/>
  <c r="B7458" i="1"/>
  <c r="B7453" i="1"/>
  <c r="B7448" i="1"/>
  <c r="B7443" i="1"/>
  <c r="B7438" i="1"/>
  <c r="B7432" i="1"/>
  <c r="B7428" i="1"/>
  <c r="B7424" i="1"/>
  <c r="B7420" i="1"/>
  <c r="B7416" i="1"/>
  <c r="B7411" i="1"/>
  <c r="B7406" i="1"/>
  <c r="B7401" i="1"/>
  <c r="B7396" i="1"/>
  <c r="B7391" i="1"/>
  <c r="B7386" i="1"/>
  <c r="B7381" i="1"/>
  <c r="B7376" i="1"/>
  <c r="B7371" i="1"/>
  <c r="B7366" i="1"/>
  <c r="B7361" i="1"/>
  <c r="B7356" i="1"/>
  <c r="B7351" i="1"/>
  <c r="B7345" i="1"/>
  <c r="B7339" i="1"/>
  <c r="B7333" i="1"/>
  <c r="B7329" i="1"/>
  <c r="B7323" i="1"/>
  <c r="B7319" i="1"/>
  <c r="B7314" i="1"/>
  <c r="B7309" i="1"/>
  <c r="B7304" i="1"/>
  <c r="B7300" i="1"/>
  <c r="B7295" i="1"/>
  <c r="B7290" i="1"/>
  <c r="B7285" i="1"/>
  <c r="B7280" i="1"/>
  <c r="B7276" i="1"/>
  <c r="B7272" i="1"/>
  <c r="B7268" i="1"/>
  <c r="B7264" i="1"/>
  <c r="B7259" i="1"/>
  <c r="B7254" i="1"/>
  <c r="B7250" i="1"/>
  <c r="B7246" i="1"/>
  <c r="B7242" i="1"/>
  <c r="B7238" i="1"/>
  <c r="B7233" i="1"/>
  <c r="B7229" i="1"/>
  <c r="B7225" i="1"/>
  <c r="B7221" i="1"/>
  <c r="B7217" i="1"/>
  <c r="B7213" i="1"/>
  <c r="B7208" i="1"/>
  <c r="B7203" i="1"/>
  <c r="B7199" i="1"/>
  <c r="B7194" i="1"/>
  <c r="B7191" i="1"/>
  <c r="B7186" i="1"/>
  <c r="B7180" i="1"/>
  <c r="B7174" i="1"/>
  <c r="B7169" i="1"/>
  <c r="B7165" i="1"/>
  <c r="B7161" i="1"/>
  <c r="B7157" i="1"/>
  <c r="B7153" i="1"/>
  <c r="B7148" i="1"/>
  <c r="B7143" i="1"/>
  <c r="B7138" i="1"/>
  <c r="B7133" i="1"/>
  <c r="B7127" i="1"/>
  <c r="B7121" i="1"/>
  <c r="B7115" i="1"/>
  <c r="B7109" i="1"/>
  <c r="B7104" i="1"/>
  <c r="B7099" i="1"/>
  <c r="B7094" i="1"/>
  <c r="B7089" i="1"/>
  <c r="B7084" i="1"/>
  <c r="B7079" i="1"/>
  <c r="B7074" i="1"/>
  <c r="B7069" i="1"/>
  <c r="B7064" i="1"/>
  <c r="B7059" i="1"/>
  <c r="B7054" i="1"/>
  <c r="B7049" i="1"/>
  <c r="B7043" i="1"/>
  <c r="B7037" i="1"/>
  <c r="B7032" i="1"/>
  <c r="B7027" i="1"/>
  <c r="B7022" i="1"/>
  <c r="B7017" i="1"/>
  <c r="B7012" i="1"/>
  <c r="B7009" i="1"/>
  <c r="B7005" i="1"/>
  <c r="B6998" i="1"/>
  <c r="B6991" i="1"/>
  <c r="B6984" i="1"/>
  <c r="B6977" i="1"/>
  <c r="B6971" i="1"/>
  <c r="B6966" i="1"/>
  <c r="B6961" i="1"/>
  <c r="B6956" i="1"/>
  <c r="B6951" i="1"/>
  <c r="B6946" i="1"/>
  <c r="B6941" i="1"/>
  <c r="B6936" i="1"/>
  <c r="B6931" i="1"/>
  <c r="B6926" i="1"/>
  <c r="B6921" i="1"/>
  <c r="B6916" i="1"/>
  <c r="B6911" i="1"/>
  <c r="B6906" i="1"/>
  <c r="B6901" i="1"/>
  <c r="B6896" i="1"/>
  <c r="B6891" i="1"/>
  <c r="B6885" i="1"/>
  <c r="B6879" i="1"/>
  <c r="B6873" i="1"/>
  <c r="B6867" i="1"/>
  <c r="B6861" i="1"/>
  <c r="B6855" i="1"/>
  <c r="B6849" i="1"/>
  <c r="B6845" i="1"/>
  <c r="B6841" i="1"/>
  <c r="B6836" i="1"/>
  <c r="B6831" i="1"/>
  <c r="B6826" i="1"/>
  <c r="B6821" i="1"/>
  <c r="B6816" i="1"/>
  <c r="B6811" i="1"/>
  <c r="B6806" i="1"/>
  <c r="B6801" i="1"/>
  <c r="B6796" i="1"/>
  <c r="B6791" i="1"/>
  <c r="B6786" i="1"/>
  <c r="B6781" i="1"/>
  <c r="B6776" i="1"/>
  <c r="B6771" i="1"/>
  <c r="B6766" i="1"/>
  <c r="B6761" i="1"/>
  <c r="B6756" i="1"/>
  <c r="B6751" i="1"/>
  <c r="B6746" i="1"/>
  <c r="B6741" i="1"/>
  <c r="B6736" i="1"/>
  <c r="B6731" i="1"/>
  <c r="B6726" i="1"/>
  <c r="B6721" i="1"/>
  <c r="B6716" i="1"/>
  <c r="B6711" i="1"/>
  <c r="B6706" i="1"/>
  <c r="B6701" i="1"/>
  <c r="B6696" i="1"/>
  <c r="B6691" i="1"/>
  <c r="B6686" i="1"/>
  <c r="B6681" i="1"/>
  <c r="B6676" i="1"/>
  <c r="B6670" i="1"/>
  <c r="B6666" i="1"/>
  <c r="B6662" i="1"/>
  <c r="B6658" i="1"/>
  <c r="B6654" i="1"/>
  <c r="B6650" i="1"/>
  <c r="B6646" i="1"/>
  <c r="B6641" i="1"/>
  <c r="B6636" i="1"/>
  <c r="B6631" i="1"/>
  <c r="B6625" i="1"/>
  <c r="B6619" i="1"/>
  <c r="B6614" i="1"/>
  <c r="B6609" i="1"/>
  <c r="B6604" i="1"/>
  <c r="B6599" i="1"/>
  <c r="B6594" i="1"/>
  <c r="B6589" i="1"/>
  <c r="B6584" i="1"/>
  <c r="B6579" i="1"/>
  <c r="B6574" i="1"/>
  <c r="B6569" i="1"/>
  <c r="B6564" i="1"/>
  <c r="B6559" i="1"/>
  <c r="B6554" i="1"/>
  <c r="B6549" i="1"/>
  <c r="B6543" i="1"/>
  <c r="B6537" i="1"/>
  <c r="B6531" i="1"/>
  <c r="B6527" i="1"/>
  <c r="B6523" i="1"/>
  <c r="B6519" i="1"/>
  <c r="B6515" i="1"/>
  <c r="B6511" i="1"/>
  <c r="B6506" i="1"/>
  <c r="B6503" i="1"/>
  <c r="B6499" i="1"/>
  <c r="B6495" i="1"/>
  <c r="B6491" i="1"/>
  <c r="B6487" i="1"/>
  <c r="B6484" i="1"/>
  <c r="B6481" i="1"/>
  <c r="B6478" i="1"/>
  <c r="B6474" i="1"/>
  <c r="B6470" i="1"/>
  <c r="B6466" i="1"/>
  <c r="B6462" i="1"/>
  <c r="B6458" i="1"/>
  <c r="B6454" i="1"/>
  <c r="B6450" i="1"/>
  <c r="B6446" i="1"/>
  <c r="B6441" i="1"/>
  <c r="B6436" i="1"/>
  <c r="B6431" i="1"/>
  <c r="B6427" i="1"/>
  <c r="B6423" i="1"/>
  <c r="B6420" i="1"/>
  <c r="B6416" i="1"/>
  <c r="B6412" i="1"/>
  <c r="B6408" i="1"/>
  <c r="B6404" i="1"/>
  <c r="B6400" i="1"/>
  <c r="B6396" i="1"/>
  <c r="B6392" i="1"/>
  <c r="B6388" i="1"/>
  <c r="B6384" i="1"/>
  <c r="B6380" i="1"/>
  <c r="B6376" i="1"/>
  <c r="B6372" i="1"/>
  <c r="B6368" i="1"/>
  <c r="B6364" i="1"/>
  <c r="B6360" i="1"/>
  <c r="B6355" i="1"/>
  <c r="B6350" i="1"/>
  <c r="B6345" i="1"/>
  <c r="B6340" i="1"/>
  <c r="B6335" i="1"/>
  <c r="B6330" i="1"/>
  <c r="B6325" i="1"/>
  <c r="B6320" i="1"/>
  <c r="B6316" i="1"/>
  <c r="B6312" i="1"/>
  <c r="B6307" i="1"/>
  <c r="B6302" i="1"/>
  <c r="B6298" i="1"/>
  <c r="B6294" i="1"/>
  <c r="B6289" i="1"/>
  <c r="B6284" i="1"/>
  <c r="B6279" i="1"/>
  <c r="B6274" i="1"/>
  <c r="B6270" i="1"/>
  <c r="B6265" i="1"/>
  <c r="B6260" i="1"/>
  <c r="B6255" i="1"/>
  <c r="B6250" i="1"/>
  <c r="B6245" i="1"/>
  <c r="B6240" i="1"/>
  <c r="B6235" i="1"/>
  <c r="B6232" i="1"/>
  <c r="B6228" i="1"/>
  <c r="B6224" i="1"/>
  <c r="B6220" i="1"/>
  <c r="B6216" i="1"/>
  <c r="B6212" i="1"/>
  <c r="B6208" i="1"/>
  <c r="B6204" i="1"/>
  <c r="B6200" i="1"/>
  <c r="B6195" i="1"/>
  <c r="B6190" i="1"/>
  <c r="B6185" i="1"/>
  <c r="B6180" i="1"/>
  <c r="B6175" i="1"/>
  <c r="B6170" i="1"/>
  <c r="B6166" i="1"/>
  <c r="B6162" i="1"/>
  <c r="B6158" i="1"/>
  <c r="B6153" i="1"/>
  <c r="B6149" i="1"/>
  <c r="B6145" i="1"/>
  <c r="B6141" i="1"/>
  <c r="B6137" i="1"/>
  <c r="B6132" i="1"/>
  <c r="B6128" i="1"/>
  <c r="B6125" i="1"/>
  <c r="B6121" i="1"/>
  <c r="B6116" i="1"/>
  <c r="B6113" i="1"/>
  <c r="B6109" i="1"/>
  <c r="B6105" i="1"/>
  <c r="B6101" i="1"/>
  <c r="B6098" i="1"/>
  <c r="B6094" i="1"/>
  <c r="B6089" i="1"/>
  <c r="B6085" i="1"/>
  <c r="B6082" i="1"/>
  <c r="B6078" i="1"/>
  <c r="B6074" i="1"/>
  <c r="B6070" i="1"/>
  <c r="B6066" i="1"/>
  <c r="B6062" i="1"/>
  <c r="B6058" i="1"/>
  <c r="B6055" i="1"/>
  <c r="B6050" i="1"/>
  <c r="B6046" i="1"/>
  <c r="B6042" i="1"/>
  <c r="B6038" i="1"/>
  <c r="B6034" i="1"/>
  <c r="B6030" i="1"/>
  <c r="B6026" i="1"/>
  <c r="B6022" i="1"/>
  <c r="B6018" i="1"/>
  <c r="B6012" i="1"/>
  <c r="B6007" i="1"/>
  <c r="B6002" i="1"/>
  <c r="B5998" i="1"/>
  <c r="B5994" i="1"/>
  <c r="B5990" i="1"/>
  <c r="B5986" i="1"/>
  <c r="B5982" i="1"/>
  <c r="B5977" i="1"/>
  <c r="B5972" i="1"/>
  <c r="B5967" i="1"/>
  <c r="B5962" i="1"/>
  <c r="B5958" i="1"/>
  <c r="B5953" i="1"/>
  <c r="B5947" i="1"/>
  <c r="B5942" i="1"/>
  <c r="B5936" i="1"/>
  <c r="B5931" i="1"/>
  <c r="B5928" i="1"/>
  <c r="B5925" i="1"/>
  <c r="B5922" i="1"/>
  <c r="B5919" i="1"/>
  <c r="B5916" i="1"/>
  <c r="B5913" i="1"/>
  <c r="B5909" i="1"/>
  <c r="B5904" i="1"/>
  <c r="B5900" i="1"/>
  <c r="B5896" i="1"/>
  <c r="B5890" i="1"/>
  <c r="B5885" i="1"/>
  <c r="B5879" i="1"/>
  <c r="B5874" i="1"/>
  <c r="B5869" i="1"/>
  <c r="B5864" i="1"/>
  <c r="B5859" i="1"/>
  <c r="B5855" i="1"/>
  <c r="B5850" i="1"/>
  <c r="B5845" i="1"/>
  <c r="B5841" i="1"/>
  <c r="B5836" i="1"/>
  <c r="B5831" i="1"/>
  <c r="B5826" i="1"/>
  <c r="B5823" i="1"/>
  <c r="B5817" i="1"/>
  <c r="B5813" i="1"/>
  <c r="B5809" i="1"/>
  <c r="B5805" i="1"/>
  <c r="B5801" i="1"/>
  <c r="B5796" i="1"/>
  <c r="B5792" i="1"/>
  <c r="B5788" i="1"/>
  <c r="B5783" i="1"/>
  <c r="B5778" i="1"/>
  <c r="B5774" i="1"/>
  <c r="B5770" i="1"/>
  <c r="B5766" i="1"/>
  <c r="B5762" i="1"/>
  <c r="B5757" i="1"/>
  <c r="B5752" i="1"/>
  <c r="B5748" i="1"/>
  <c r="B5744" i="1"/>
  <c r="B5740" i="1"/>
  <c r="B5736" i="1"/>
  <c r="B5731" i="1"/>
  <c r="B5727" i="1"/>
  <c r="B5723" i="1"/>
  <c r="B5717" i="1"/>
  <c r="B5712" i="1"/>
  <c r="B5707" i="1"/>
  <c r="B5702" i="1"/>
  <c r="B5698" i="1"/>
  <c r="B5695" i="1"/>
  <c r="B5692" i="1"/>
  <c r="B5687" i="1"/>
  <c r="B5682" i="1"/>
  <c r="B5678" i="1"/>
  <c r="B5674" i="1"/>
  <c r="B5670" i="1"/>
  <c r="B5666" i="1"/>
  <c r="B5662" i="1"/>
  <c r="B5658" i="1"/>
  <c r="B5654" i="1"/>
  <c r="B5650" i="1"/>
  <c r="B5645" i="1"/>
  <c r="B5641" i="1"/>
  <c r="B5637" i="1"/>
  <c r="B5631" i="1"/>
  <c r="B5627" i="1"/>
  <c r="B5622" i="1"/>
  <c r="B5617" i="1"/>
  <c r="B5612" i="1"/>
  <c r="B5606" i="1"/>
  <c r="B5601" i="1"/>
  <c r="B5595" i="1"/>
  <c r="B5591" i="1"/>
  <c r="B5586" i="1"/>
  <c r="B5582" i="1"/>
  <c r="B5578" i="1"/>
  <c r="B5574" i="1"/>
  <c r="B5570" i="1"/>
  <c r="B5566" i="1"/>
  <c r="B5562" i="1"/>
  <c r="B5557" i="1"/>
  <c r="B5553" i="1"/>
  <c r="B5548" i="1"/>
  <c r="B5542" i="1"/>
  <c r="B5538" i="1"/>
  <c r="B5534" i="1"/>
  <c r="B5530" i="1"/>
  <c r="B5526" i="1"/>
  <c r="B5522" i="1"/>
  <c r="B5517" i="1"/>
  <c r="B5512" i="1"/>
  <c r="B5507" i="1"/>
  <c r="B5502" i="1"/>
  <c r="B5497" i="1"/>
  <c r="B5492" i="1"/>
  <c r="B5488" i="1"/>
  <c r="B5484" i="1"/>
  <c r="B5480" i="1"/>
  <c r="B5476" i="1"/>
  <c r="B5471" i="1"/>
  <c r="B5467" i="1"/>
  <c r="B5463" i="1"/>
  <c r="B5459" i="1"/>
  <c r="B5455" i="1"/>
  <c r="B5448" i="1"/>
  <c r="B5444" i="1"/>
  <c r="B5440" i="1"/>
  <c r="B5435" i="1"/>
  <c r="B5431" i="1"/>
  <c r="B5427" i="1"/>
  <c r="B5422" i="1"/>
  <c r="B5417" i="1"/>
  <c r="B5412" i="1"/>
  <c r="B5408" i="1"/>
  <c r="B5404" i="1"/>
  <c r="B5400" i="1"/>
  <c r="B5396" i="1"/>
  <c r="B5391" i="1"/>
  <c r="B5386" i="1"/>
  <c r="B5381" i="1"/>
  <c r="B5376" i="1"/>
  <c r="B5370" i="1"/>
  <c r="B5365" i="1"/>
  <c r="B5360" i="1"/>
  <c r="B5355" i="1"/>
  <c r="B5350" i="1"/>
  <c r="B5346" i="1"/>
  <c r="B5342" i="1"/>
  <c r="B5338" i="1"/>
  <c r="B5334" i="1"/>
  <c r="B5329" i="1"/>
  <c r="B5325" i="1"/>
  <c r="B5321" i="1"/>
  <c r="B5317" i="1"/>
  <c r="B5313" i="1"/>
  <c r="B5309" i="1"/>
  <c r="B5305" i="1"/>
  <c r="B5300" i="1"/>
  <c r="B5297" i="1"/>
  <c r="B5293" i="1"/>
  <c r="B5290" i="1"/>
  <c r="B5286" i="1"/>
  <c r="B5282" i="1"/>
  <c r="B5278" i="1"/>
  <c r="B5274" i="1"/>
  <c r="B5270" i="1"/>
  <c r="B5266" i="1"/>
  <c r="B5262" i="1"/>
  <c r="B5258" i="1"/>
  <c r="B5254" i="1"/>
  <c r="B5250" i="1"/>
  <c r="B5247" i="1"/>
  <c r="B5243" i="1"/>
  <c r="B5239" i="1"/>
  <c r="B5235" i="1"/>
  <c r="B5231" i="1"/>
  <c r="B5227" i="1"/>
  <c r="B5223" i="1"/>
  <c r="B5219" i="1"/>
  <c r="B5215" i="1"/>
  <c r="B5208" i="1"/>
  <c r="B5204" i="1"/>
  <c r="B5200" i="1"/>
  <c r="B5196" i="1"/>
  <c r="B5192" i="1"/>
  <c r="B5188" i="1"/>
  <c r="B5183" i="1"/>
  <c r="B5178" i="1"/>
  <c r="B5173" i="1"/>
  <c r="B5168" i="1"/>
  <c r="B5163" i="1"/>
  <c r="B5158" i="1"/>
  <c r="B5154" i="1"/>
  <c r="B5150" i="1"/>
  <c r="B5146" i="1"/>
  <c r="B5142" i="1"/>
  <c r="B5138" i="1"/>
  <c r="B5134" i="1"/>
  <c r="B5130" i="1"/>
  <c r="B5126" i="1"/>
  <c r="B5122" i="1"/>
  <c r="B5118" i="1"/>
  <c r="B5113" i="1"/>
  <c r="B5108" i="1"/>
  <c r="B5103" i="1"/>
  <c r="B5098" i="1"/>
  <c r="B5093" i="1"/>
  <c r="B5089" i="1"/>
  <c r="B5084" i="1"/>
  <c r="B5079" i="1"/>
  <c r="B5074" i="1"/>
  <c r="B5069" i="1"/>
  <c r="B5064" i="1"/>
  <c r="B5059" i="1"/>
  <c r="B5054" i="1"/>
  <c r="B5049" i="1"/>
  <c r="B5044" i="1"/>
  <c r="B5039" i="1"/>
  <c r="B5035" i="1"/>
  <c r="B5031" i="1"/>
  <c r="B5027" i="1"/>
  <c r="B5023" i="1"/>
  <c r="B5018" i="1"/>
  <c r="B5013" i="1"/>
  <c r="B5008" i="1"/>
  <c r="B5003" i="1"/>
  <c r="B4998" i="1"/>
  <c r="B4992" i="1"/>
  <c r="B4987" i="1"/>
  <c r="B4982" i="1"/>
  <c r="B4977" i="1"/>
  <c r="B4972" i="1"/>
  <c r="B4967" i="1"/>
  <c r="B4962" i="1"/>
  <c r="B4959" i="1"/>
  <c r="B4955" i="1"/>
  <c r="B4951" i="1"/>
  <c r="B4947" i="1"/>
  <c r="B4943" i="1"/>
  <c r="B4938" i="1"/>
  <c r="B4935" i="1"/>
  <c r="B4931" i="1"/>
  <c r="B4927" i="1"/>
  <c r="B4922" i="1"/>
  <c r="B4916" i="1"/>
  <c r="B4913" i="1"/>
  <c r="B4909" i="1"/>
  <c r="B4906" i="1"/>
  <c r="B4900" i="1"/>
  <c r="B4895" i="1"/>
  <c r="B4891" i="1"/>
  <c r="B4886" i="1"/>
  <c r="B4882" i="1"/>
  <c r="B4878" i="1"/>
  <c r="B4874" i="1"/>
  <c r="B4869" i="1"/>
  <c r="B4864" i="1"/>
  <c r="B4859" i="1"/>
  <c r="B4855" i="1"/>
  <c r="B4850" i="1"/>
  <c r="B4845" i="1"/>
  <c r="B4840" i="1"/>
  <c r="B4836" i="1"/>
  <c r="B4832" i="1"/>
  <c r="B4827" i="1"/>
  <c r="B4822" i="1"/>
  <c r="B4817" i="1"/>
  <c r="B4812" i="1"/>
  <c r="B4808" i="1"/>
  <c r="B4803" i="1"/>
  <c r="B4798" i="1"/>
  <c r="B4792" i="1"/>
  <c r="B4788" i="1"/>
  <c r="B4784" i="1"/>
  <c r="B4780" i="1"/>
  <c r="B4776" i="1"/>
  <c r="B4772" i="1"/>
  <c r="B4767" i="1"/>
  <c r="B4763" i="1"/>
  <c r="B4758" i="1"/>
  <c r="B4754" i="1"/>
  <c r="B4749" i="1"/>
  <c r="B4745" i="1"/>
  <c r="B4741" i="1"/>
  <c r="B4736" i="1"/>
  <c r="B4732" i="1"/>
  <c r="B4728" i="1"/>
  <c r="B4724" i="1"/>
  <c r="B4720" i="1"/>
  <c r="B4716" i="1"/>
  <c r="B4712" i="1"/>
  <c r="B4708" i="1"/>
  <c r="B4704" i="1"/>
  <c r="B4700" i="1"/>
  <c r="B4695" i="1"/>
  <c r="B4691" i="1"/>
  <c r="B4687" i="1"/>
  <c r="B4682" i="1"/>
  <c r="B4677" i="1"/>
  <c r="B4672" i="1"/>
  <c r="B4667" i="1"/>
  <c r="B4662" i="1"/>
  <c r="B4657" i="1"/>
  <c r="B4652" i="1"/>
  <c r="B4648" i="1"/>
  <c r="B4644" i="1"/>
  <c r="B4641" i="1"/>
  <c r="B4637" i="1"/>
  <c r="B4633" i="1"/>
  <c r="B4629" i="1"/>
  <c r="B4623" i="1"/>
  <c r="B4617" i="1"/>
  <c r="B4613" i="1"/>
  <c r="B4609" i="1"/>
  <c r="B4605" i="1"/>
  <c r="B4600" i="1"/>
  <c r="B4595" i="1"/>
  <c r="B4590" i="1"/>
  <c r="B4585" i="1"/>
  <c r="B4580" i="1"/>
  <c r="B4576" i="1"/>
  <c r="B4571" i="1"/>
  <c r="B4566" i="1"/>
  <c r="B4561" i="1"/>
  <c r="B4555" i="1"/>
  <c r="B4551" i="1"/>
  <c r="B4545" i="1"/>
  <c r="B4541" i="1"/>
  <c r="B4537" i="1"/>
  <c r="B4532" i="1"/>
  <c r="B4527" i="1"/>
  <c r="B4522" i="1"/>
  <c r="B4517" i="1"/>
  <c r="B4513" i="1"/>
  <c r="B4509" i="1"/>
  <c r="B4503" i="1"/>
  <c r="B4499" i="1"/>
  <c r="B4493" i="1"/>
  <c r="B4488" i="1"/>
  <c r="B4480" i="1"/>
  <c r="B4472" i="1"/>
  <c r="B4468" i="1"/>
  <c r="B4461" i="1"/>
  <c r="B4457" i="1"/>
  <c r="B4453" i="1"/>
  <c r="B4447" i="1"/>
  <c r="B4443" i="1"/>
  <c r="B4439" i="1"/>
  <c r="B4435" i="1"/>
  <c r="B4432" i="1"/>
  <c r="B4427" i="1"/>
  <c r="B4423" i="1"/>
  <c r="B4419" i="1"/>
  <c r="B4414" i="1"/>
  <c r="B4409" i="1"/>
  <c r="B4403" i="1"/>
  <c r="B4398" i="1"/>
  <c r="B4393" i="1"/>
  <c r="B4388" i="1"/>
  <c r="B4383" i="1"/>
  <c r="B4378" i="1"/>
  <c r="B4374" i="1"/>
  <c r="B4370" i="1"/>
  <c r="B4365" i="1"/>
  <c r="B4361" i="1"/>
  <c r="B4356" i="1"/>
  <c r="B4351" i="1"/>
  <c r="B4347" i="1"/>
  <c r="B4343" i="1"/>
  <c r="B4338" i="1"/>
  <c r="B4334" i="1"/>
  <c r="B4330" i="1"/>
  <c r="B4325" i="1"/>
  <c r="B4320" i="1"/>
  <c r="B4316" i="1"/>
  <c r="B4311" i="1"/>
  <c r="B4306" i="1"/>
  <c r="B4303" i="1"/>
  <c r="B4299" i="1"/>
  <c r="B4295" i="1"/>
  <c r="B4290" i="1"/>
  <c r="B4286" i="1"/>
  <c r="B4282" i="1"/>
  <c r="B4278" i="1"/>
  <c r="B4274" i="1"/>
  <c r="B4270" i="1"/>
  <c r="B4265" i="1"/>
  <c r="B4261" i="1"/>
  <c r="B4257" i="1"/>
  <c r="B4253" i="1"/>
  <c r="B4249" i="1"/>
  <c r="B4245" i="1"/>
  <c r="B4242" i="1"/>
  <c r="B4237" i="1"/>
  <c r="B4233" i="1"/>
  <c r="B4229" i="1"/>
  <c r="B4224" i="1"/>
  <c r="B4221" i="1"/>
  <c r="B4215" i="1"/>
  <c r="B4209" i="1"/>
  <c r="B4205" i="1"/>
  <c r="B4201" i="1"/>
  <c r="B4197" i="1"/>
  <c r="B4191" i="1"/>
  <c r="B4188" i="1"/>
  <c r="B4183" i="1"/>
  <c r="B4178" i="1"/>
  <c r="B4175" i="1"/>
  <c r="B4169" i="1"/>
  <c r="B4164" i="1"/>
  <c r="B4160" i="1"/>
  <c r="B4156" i="1"/>
  <c r="B4151" i="1"/>
  <c r="B4147" i="1"/>
  <c r="B4142" i="1"/>
  <c r="B4139" i="1"/>
  <c r="B4135" i="1"/>
  <c r="B4130" i="1"/>
  <c r="B4126" i="1"/>
  <c r="B4121" i="1"/>
  <c r="B4116" i="1"/>
  <c r="B4111" i="1"/>
  <c r="B4107" i="1"/>
  <c r="B4102" i="1"/>
  <c r="B4098" i="1"/>
  <c r="B4094" i="1"/>
  <c r="B4090" i="1"/>
  <c r="B4086" i="1"/>
  <c r="B4082" i="1"/>
  <c r="B4078" i="1"/>
  <c r="B4074" i="1"/>
  <c r="B4071" i="1"/>
  <c r="B4068" i="1"/>
  <c r="B4065" i="1"/>
  <c r="B4062" i="1"/>
  <c r="B4059" i="1"/>
  <c r="B4056" i="1"/>
  <c r="B4053" i="1"/>
  <c r="B4049" i="1"/>
  <c r="B4045" i="1"/>
  <c r="B4041" i="1"/>
  <c r="B4037" i="1"/>
  <c r="B4033" i="1"/>
  <c r="B4029" i="1"/>
  <c r="B4025" i="1"/>
  <c r="B4021" i="1"/>
  <c r="B4017" i="1"/>
  <c r="B4013" i="1"/>
  <c r="B4009" i="1"/>
  <c r="B4005" i="1"/>
  <c r="B4001" i="1"/>
  <c r="B3997" i="1"/>
  <c r="B3993" i="1"/>
  <c r="B3989" i="1"/>
  <c r="B3985" i="1"/>
  <c r="B3981" i="1"/>
  <c r="B3977" i="1"/>
  <c r="B3972" i="1"/>
  <c r="B3967" i="1"/>
  <c r="B3963" i="1"/>
  <c r="B3958" i="1"/>
  <c r="B3954" i="1"/>
  <c r="B3950" i="1"/>
  <c r="B3946" i="1"/>
  <c r="B3942" i="1"/>
  <c r="B3938" i="1"/>
  <c r="B3933" i="1"/>
  <c r="B3928" i="1"/>
  <c r="B3923" i="1"/>
  <c r="B3919" i="1"/>
  <c r="B3915" i="1"/>
  <c r="B3911" i="1"/>
  <c r="B3906" i="1"/>
  <c r="B3902" i="1"/>
  <c r="B3898" i="1"/>
  <c r="B3894" i="1"/>
  <c r="B3889" i="1"/>
  <c r="B3885" i="1"/>
  <c r="B3881" i="1"/>
  <c r="B3877" i="1"/>
  <c r="B3873" i="1"/>
  <c r="B3869" i="1"/>
  <c r="B3866" i="1"/>
  <c r="B3862" i="1"/>
  <c r="B3858" i="1"/>
  <c r="B3853" i="1"/>
  <c r="B3848" i="1"/>
  <c r="B3844" i="1"/>
  <c r="B3840" i="1"/>
  <c r="B3835" i="1"/>
  <c r="B3832" i="1"/>
  <c r="B3828" i="1"/>
  <c r="B3824" i="1"/>
  <c r="B3820" i="1"/>
  <c r="B3815" i="1"/>
  <c r="B3810" i="1"/>
  <c r="B3805" i="1"/>
  <c r="B3800" i="1"/>
  <c r="B3796" i="1"/>
  <c r="B3792" i="1"/>
  <c r="B3788" i="1"/>
  <c r="B3784" i="1"/>
  <c r="B3780" i="1"/>
  <c r="B3775" i="1"/>
  <c r="B3770" i="1"/>
  <c r="B3765" i="1"/>
  <c r="B3760" i="1"/>
  <c r="B3755" i="1"/>
  <c r="B3751" i="1"/>
  <c r="B3747" i="1"/>
  <c r="B3743" i="1"/>
  <c r="B3738" i="1"/>
  <c r="B3734" i="1"/>
  <c r="B3730" i="1"/>
  <c r="B3727" i="1"/>
  <c r="B3724" i="1"/>
  <c r="B3721" i="1"/>
  <c r="B3718" i="1"/>
  <c r="B3714" i="1"/>
  <c r="B3710" i="1"/>
  <c r="B3706" i="1"/>
  <c r="B3702" i="1"/>
  <c r="B3698" i="1"/>
  <c r="B3694" i="1"/>
  <c r="B3690" i="1"/>
  <c r="B3686" i="1"/>
  <c r="B3682" i="1"/>
  <c r="B3679" i="1"/>
  <c r="B3675" i="1"/>
  <c r="B3671" i="1"/>
  <c r="B3667" i="1"/>
  <c r="B3663" i="1"/>
  <c r="B3659" i="1"/>
  <c r="B3655" i="1"/>
  <c r="B3652" i="1"/>
  <c r="B3648" i="1"/>
  <c r="B3644" i="1"/>
  <c r="B3640" i="1"/>
  <c r="B3636" i="1"/>
  <c r="B3632" i="1"/>
  <c r="B3628" i="1"/>
  <c r="B3623" i="1"/>
  <c r="B3618" i="1"/>
  <c r="B3614" i="1"/>
  <c r="B3610" i="1"/>
  <c r="B3606" i="1"/>
  <c r="B3601" i="1"/>
  <c r="B3597" i="1"/>
  <c r="B3592" i="1"/>
  <c r="B3588" i="1"/>
  <c r="B3584" i="1"/>
  <c r="B3580" i="1"/>
  <c r="B3577" i="1"/>
  <c r="B3573" i="1"/>
  <c r="B3568" i="1"/>
  <c r="B3563" i="1"/>
  <c r="B3557" i="1"/>
  <c r="B3551" i="1"/>
  <c r="B3545" i="1"/>
  <c r="B3541" i="1"/>
  <c r="B3538" i="1"/>
  <c r="B3535" i="1"/>
  <c r="B3531" i="1"/>
  <c r="B3527" i="1"/>
  <c r="B3523" i="1"/>
  <c r="B3519" i="1"/>
  <c r="B3515" i="1"/>
  <c r="B3510" i="1"/>
  <c r="B3506" i="1"/>
  <c r="B3498" i="1"/>
  <c r="B3490" i="1"/>
  <c r="B3486" i="1"/>
  <c r="B3482" i="1"/>
  <c r="B3477" i="1"/>
  <c r="B3472" i="1"/>
  <c r="B3467" i="1"/>
  <c r="B3462" i="1"/>
  <c r="B3458" i="1"/>
  <c r="B3454" i="1"/>
  <c r="B3448" i="1"/>
  <c r="B3444" i="1"/>
  <c r="B3440" i="1"/>
  <c r="B3435" i="1"/>
  <c r="B3430" i="1"/>
  <c r="B3427" i="1"/>
  <c r="B3423" i="1"/>
  <c r="B3419" i="1"/>
  <c r="B3414" i="1"/>
  <c r="B3410" i="1"/>
  <c r="B3406" i="1"/>
  <c r="B3402" i="1"/>
  <c r="B3398" i="1"/>
  <c r="B3394" i="1"/>
  <c r="B3391" i="1"/>
  <c r="B3387" i="1"/>
  <c r="B3383" i="1"/>
  <c r="B3379" i="1"/>
  <c r="B3375" i="1"/>
  <c r="B3370" i="1"/>
  <c r="B3366" i="1"/>
  <c r="B3362" i="1"/>
  <c r="B3357" i="1"/>
  <c r="B3352" i="1"/>
  <c r="B3347" i="1"/>
  <c r="B3343" i="1"/>
  <c r="B3339" i="1"/>
  <c r="B3334" i="1"/>
  <c r="B3330" i="1"/>
  <c r="B3325" i="1"/>
  <c r="B3320" i="1"/>
  <c r="B3316" i="1"/>
  <c r="B3313" i="1"/>
  <c r="B3309" i="1"/>
  <c r="B3305" i="1"/>
  <c r="B3301" i="1"/>
  <c r="B3296" i="1"/>
  <c r="B3291" i="1"/>
  <c r="B3286" i="1"/>
  <c r="B3282" i="1"/>
  <c r="B3277" i="1"/>
  <c r="B3271" i="1"/>
  <c r="B3268" i="1"/>
  <c r="B3264" i="1"/>
  <c r="B3260" i="1"/>
  <c r="B3257" i="1"/>
  <c r="B3253" i="1"/>
  <c r="B3250" i="1"/>
  <c r="B3245" i="1"/>
  <c r="B3241" i="1"/>
  <c r="B3236" i="1"/>
  <c r="B3233" i="1"/>
  <c r="B3229" i="1"/>
  <c r="B3225" i="1"/>
  <c r="B3221" i="1"/>
  <c r="B3217" i="1"/>
  <c r="B3212" i="1"/>
  <c r="B3208" i="1"/>
  <c r="B3204" i="1"/>
  <c r="B3198" i="1"/>
  <c r="B3192" i="1"/>
  <c r="B3186" i="1"/>
  <c r="B3180" i="1"/>
  <c r="B3174" i="1"/>
  <c r="B3170" i="1"/>
  <c r="B3166" i="1"/>
  <c r="B3162" i="1"/>
  <c r="B3158" i="1"/>
  <c r="B3154" i="1"/>
  <c r="B3150" i="1"/>
  <c r="B3146" i="1"/>
  <c r="B3142" i="1"/>
  <c r="B3138" i="1"/>
  <c r="B3134" i="1"/>
  <c r="B3130" i="1"/>
  <c r="B3125" i="1"/>
  <c r="B3120" i="1"/>
  <c r="B3116" i="1"/>
  <c r="B3111" i="1"/>
  <c r="B3106" i="1"/>
  <c r="B3101" i="1"/>
  <c r="B3097" i="1"/>
  <c r="B3093" i="1"/>
  <c r="B3090" i="1"/>
  <c r="B3085" i="1"/>
  <c r="B3082" i="1"/>
  <c r="B3079" i="1"/>
  <c r="B3076" i="1"/>
  <c r="B3073" i="1"/>
  <c r="B3069" i="1"/>
  <c r="B3065" i="1"/>
  <c r="B3061" i="1"/>
  <c r="B3057" i="1"/>
  <c r="B3054" i="1"/>
  <c r="B3051" i="1"/>
  <c r="B3047" i="1"/>
  <c r="B3042" i="1"/>
  <c r="B3037" i="1"/>
  <c r="B3032" i="1"/>
  <c r="B3027" i="1"/>
  <c r="B3024" i="1"/>
  <c r="B3020" i="1"/>
  <c r="B3016" i="1"/>
  <c r="B3012" i="1"/>
  <c r="B3008" i="1"/>
  <c r="B3003" i="1"/>
  <c r="B2999" i="1"/>
  <c r="B2995" i="1"/>
  <c r="B2991" i="1"/>
  <c r="B2987" i="1"/>
  <c r="B2984" i="1"/>
  <c r="B2979" i="1"/>
  <c r="B2976" i="1"/>
  <c r="B2972" i="1"/>
  <c r="B2969" i="1"/>
  <c r="B2965" i="1"/>
  <c r="B2961" i="1"/>
  <c r="B2957" i="1"/>
  <c r="B2954" i="1"/>
  <c r="B2950" i="1"/>
  <c r="B2942" i="1"/>
  <c r="B2938" i="1"/>
  <c r="B2933" i="1"/>
  <c r="B2928" i="1"/>
  <c r="B2924" i="1"/>
  <c r="B2920" i="1"/>
  <c r="B2917" i="1"/>
  <c r="B2913" i="1"/>
  <c r="B2909" i="1"/>
  <c r="B2904" i="1"/>
  <c r="B2899" i="1"/>
  <c r="B2895" i="1"/>
  <c r="B2891" i="1"/>
  <c r="B2887" i="1"/>
  <c r="B2882" i="1"/>
  <c r="B2878" i="1"/>
  <c r="B2874" i="1"/>
  <c r="B2871" i="1"/>
  <c r="B2868" i="1"/>
  <c r="B2864" i="1"/>
  <c r="B2860" i="1"/>
  <c r="B2856" i="1"/>
  <c r="B2853" i="1"/>
  <c r="B2850" i="1"/>
  <c r="B2847" i="1"/>
  <c r="B2843" i="1"/>
  <c r="B2839" i="1"/>
  <c r="B2835" i="1"/>
  <c r="B2830" i="1"/>
  <c r="B2826" i="1"/>
  <c r="B2822" i="1"/>
  <c r="B2818" i="1"/>
  <c r="B2814" i="1"/>
  <c r="B2809" i="1"/>
  <c r="B2804" i="1"/>
  <c r="B2800" i="1"/>
  <c r="B2796" i="1"/>
  <c r="B2792" i="1"/>
  <c r="B2788" i="1"/>
  <c r="B2784" i="1"/>
  <c r="B2780" i="1"/>
  <c r="B2776" i="1"/>
  <c r="B2772" i="1"/>
  <c r="B2768" i="1"/>
  <c r="B2764" i="1"/>
  <c r="B2760" i="1"/>
  <c r="B2756" i="1"/>
  <c r="B2752" i="1"/>
  <c r="B2748" i="1"/>
  <c r="B2744" i="1"/>
  <c r="B2741" i="1"/>
  <c r="B2738" i="1"/>
  <c r="B2734" i="1"/>
  <c r="B2730" i="1"/>
  <c r="B2726" i="1"/>
  <c r="B2722" i="1"/>
  <c r="B2718" i="1"/>
  <c r="B2714" i="1"/>
  <c r="B2710" i="1"/>
  <c r="B2705" i="1"/>
  <c r="B2700" i="1"/>
  <c r="B2697" i="1"/>
  <c r="B2693" i="1"/>
  <c r="B2689" i="1"/>
  <c r="B2685" i="1"/>
  <c r="B2682" i="1"/>
  <c r="B2679" i="1"/>
  <c r="B2676" i="1"/>
  <c r="B2673" i="1"/>
  <c r="B2669" i="1"/>
  <c r="B2664" i="1"/>
  <c r="B2660" i="1"/>
  <c r="B2656" i="1"/>
  <c r="B2652" i="1"/>
  <c r="B2648" i="1"/>
  <c r="B2644" i="1"/>
  <c r="B2640" i="1"/>
  <c r="B2636" i="1"/>
  <c r="B2631" i="1"/>
  <c r="B2626" i="1"/>
  <c r="B2621" i="1"/>
  <c r="B2616" i="1"/>
  <c r="B2613" i="1"/>
  <c r="B2608" i="1"/>
  <c r="B2603" i="1"/>
  <c r="B2598" i="1"/>
  <c r="B2593" i="1"/>
  <c r="B2588" i="1"/>
  <c r="B2584" i="1"/>
  <c r="B2580" i="1"/>
  <c r="B2576" i="1"/>
  <c r="B2568" i="1"/>
  <c r="B2563" i="1"/>
  <c r="B2559" i="1"/>
  <c r="B2555" i="1"/>
  <c r="B2552" i="1"/>
  <c r="B2548" i="1"/>
  <c r="B2544" i="1"/>
  <c r="B2540" i="1"/>
  <c r="B2536" i="1"/>
  <c r="B2532" i="1"/>
  <c r="B2528" i="1"/>
  <c r="B2525" i="1"/>
  <c r="B2521" i="1"/>
  <c r="B2517" i="1"/>
  <c r="B2513" i="1"/>
  <c r="B2508" i="1"/>
  <c r="B2504" i="1"/>
  <c r="B2500" i="1"/>
  <c r="B2496" i="1"/>
  <c r="B2492" i="1"/>
  <c r="B2488" i="1"/>
  <c r="B2484" i="1"/>
  <c r="B2480" i="1"/>
  <c r="B2475" i="1"/>
  <c r="B2470" i="1"/>
  <c r="B2466" i="1"/>
  <c r="B2462" i="1"/>
  <c r="B2459" i="1"/>
  <c r="B2456" i="1"/>
  <c r="B2453" i="1"/>
  <c r="B2450" i="1"/>
  <c r="B2447" i="1"/>
  <c r="B2443" i="1"/>
  <c r="B2439" i="1"/>
  <c r="B2435" i="1"/>
  <c r="B2431" i="1"/>
  <c r="B2427" i="1"/>
  <c r="B2423" i="1"/>
  <c r="B2419" i="1"/>
  <c r="B2415" i="1"/>
  <c r="B2411" i="1"/>
  <c r="B2407" i="1"/>
  <c r="B2403" i="1"/>
  <c r="B2399" i="1"/>
  <c r="B2395" i="1"/>
  <c r="B2390" i="1"/>
  <c r="B2386" i="1"/>
  <c r="B2383" i="1"/>
  <c r="B2380" i="1"/>
  <c r="B2376" i="1"/>
  <c r="B2373" i="1"/>
  <c r="B2368" i="1"/>
  <c r="B2363" i="1"/>
  <c r="B2359" i="1"/>
  <c r="B2356" i="1"/>
  <c r="B2352" i="1"/>
  <c r="B2349" i="1"/>
  <c r="B2345" i="1"/>
  <c r="B2340" i="1"/>
  <c r="B2336" i="1"/>
  <c r="B2332" i="1"/>
  <c r="B2327" i="1"/>
  <c r="B2323" i="1"/>
  <c r="B2319" i="1"/>
  <c r="B2314" i="1"/>
  <c r="B2310" i="1"/>
  <c r="B2305" i="1"/>
  <c r="B2301" i="1"/>
  <c r="B2296" i="1"/>
  <c r="B2293" i="1"/>
  <c r="B2290" i="1"/>
  <c r="B2287" i="1"/>
  <c r="B2284" i="1"/>
  <c r="B2280" i="1"/>
  <c r="B2277" i="1"/>
  <c r="B2274" i="1"/>
  <c r="B2271" i="1"/>
  <c r="B2268" i="1"/>
  <c r="B2264" i="1"/>
  <c r="B2260" i="1"/>
  <c r="B2256" i="1"/>
  <c r="B2252" i="1"/>
  <c r="B2249" i="1"/>
  <c r="B2245" i="1"/>
  <c r="B2241" i="1"/>
  <c r="B2238" i="1"/>
  <c r="B2235" i="1"/>
  <c r="B2232" i="1"/>
  <c r="B2228" i="1"/>
  <c r="B2224" i="1"/>
  <c r="B2220" i="1"/>
  <c r="B2217" i="1"/>
  <c r="B2214" i="1"/>
  <c r="B2210" i="1"/>
  <c r="B2205" i="1"/>
  <c r="B2201" i="1"/>
  <c r="B2197" i="1"/>
  <c r="B2192" i="1"/>
  <c r="B2189" i="1"/>
  <c r="B2186" i="1"/>
  <c r="B2183" i="1"/>
  <c r="B2180" i="1"/>
  <c r="B2177" i="1"/>
  <c r="B2174" i="1"/>
  <c r="B2171" i="1"/>
  <c r="B2168" i="1"/>
  <c r="B2164" i="1"/>
  <c r="B2160" i="1"/>
  <c r="B2156" i="1"/>
  <c r="B2152" i="1"/>
  <c r="B2148" i="1"/>
  <c r="B2144" i="1"/>
  <c r="B2140" i="1"/>
  <c r="B2136" i="1"/>
  <c r="B2132" i="1"/>
  <c r="B2128" i="1"/>
  <c r="B2124" i="1"/>
  <c r="B2119" i="1"/>
  <c r="B2114" i="1"/>
  <c r="B2110" i="1"/>
  <c r="B2106" i="1"/>
  <c r="B2102" i="1"/>
  <c r="B2097" i="1"/>
  <c r="B2092" i="1"/>
  <c r="B2088" i="1"/>
  <c r="B2084" i="1"/>
  <c r="B2079" i="1"/>
  <c r="B2074" i="1"/>
  <c r="B2070" i="1"/>
  <c r="B2066" i="1"/>
  <c r="B2062" i="1"/>
  <c r="B2058" i="1"/>
  <c r="B2054" i="1"/>
  <c r="B2050" i="1"/>
  <c r="B2046" i="1"/>
  <c r="B2042" i="1"/>
  <c r="B2038" i="1"/>
  <c r="B2034" i="1"/>
  <c r="B2030" i="1"/>
  <c r="B2026" i="1"/>
  <c r="B2022" i="1"/>
  <c r="B2018" i="1"/>
  <c r="B2014" i="1"/>
  <c r="B2009" i="1"/>
  <c r="B2005" i="1"/>
  <c r="B2001" i="1"/>
  <c r="B1997" i="1"/>
  <c r="B1993" i="1"/>
  <c r="B1989" i="1"/>
  <c r="B1985" i="1"/>
  <c r="B1981" i="1"/>
  <c r="B1977" i="1"/>
  <c r="B1973" i="1"/>
  <c r="B1969" i="1"/>
  <c r="B1965" i="1"/>
  <c r="B1961" i="1"/>
  <c r="B1956" i="1"/>
  <c r="B1951" i="1"/>
  <c r="B1948" i="1"/>
  <c r="B1945" i="1"/>
  <c r="B1941" i="1"/>
  <c r="B1937" i="1"/>
  <c r="B1932" i="1"/>
  <c r="B1927" i="1"/>
  <c r="B1923" i="1"/>
  <c r="B1919" i="1"/>
  <c r="B1914" i="1"/>
  <c r="B1909" i="1"/>
  <c r="B1905" i="1"/>
  <c r="B1901" i="1"/>
  <c r="B1897" i="1"/>
  <c r="B1893" i="1"/>
  <c r="B1889" i="1"/>
  <c r="B1885" i="1"/>
  <c r="B1881" i="1"/>
  <c r="B1877" i="1"/>
  <c r="B1873" i="1"/>
  <c r="B1869" i="1"/>
  <c r="B1864" i="1"/>
  <c r="B1859" i="1"/>
  <c r="B1855" i="1"/>
  <c r="B1851" i="1"/>
  <c r="B1847" i="1"/>
  <c r="B1843" i="1"/>
  <c r="B1839" i="1"/>
  <c r="B1835" i="1"/>
  <c r="B1831" i="1"/>
  <c r="B1827" i="1"/>
  <c r="B1823" i="1"/>
  <c r="B1819" i="1"/>
  <c r="B1814" i="1"/>
  <c r="B1809" i="1"/>
  <c r="B1805" i="1"/>
  <c r="B1801" i="1"/>
  <c r="B1797" i="1"/>
  <c r="B1792" i="1"/>
  <c r="B1787" i="1"/>
  <c r="B1782" i="1"/>
  <c r="B1778" i="1"/>
  <c r="B1774" i="1"/>
  <c r="B1770" i="1"/>
  <c r="B1767" i="1"/>
  <c r="B1764" i="1"/>
  <c r="B1761" i="1"/>
  <c r="B1758" i="1"/>
  <c r="B1754" i="1"/>
  <c r="B1750" i="1"/>
  <c r="B1746" i="1"/>
  <c r="B1741" i="1"/>
  <c r="B1736" i="1"/>
  <c r="B1732" i="1"/>
  <c r="B1728" i="1"/>
  <c r="B1723" i="1"/>
  <c r="B1718" i="1"/>
  <c r="B1714" i="1"/>
  <c r="B1710" i="1"/>
  <c r="B1706" i="1"/>
  <c r="B1702" i="1"/>
  <c r="B1698" i="1"/>
  <c r="B1694" i="1"/>
  <c r="B1689" i="1"/>
  <c r="B1685" i="1"/>
  <c r="B1681" i="1"/>
  <c r="B1677" i="1"/>
  <c r="B1673" i="1"/>
  <c r="B1669" i="1"/>
  <c r="B1665" i="1"/>
  <c r="B1660" i="1"/>
  <c r="B1655" i="1"/>
  <c r="B1651" i="1"/>
  <c r="B1647" i="1"/>
  <c r="B1643" i="1"/>
  <c r="B1639" i="1"/>
  <c r="B1635" i="1"/>
  <c r="B1631" i="1"/>
  <c r="B1627" i="1"/>
  <c r="B1623" i="1"/>
  <c r="B1618" i="1"/>
  <c r="B1613" i="1"/>
  <c r="B1609" i="1"/>
  <c r="B1605" i="1"/>
  <c r="B1601" i="1"/>
  <c r="B1597" i="1"/>
  <c r="B1593" i="1"/>
  <c r="B1589" i="1"/>
  <c r="B1585" i="1"/>
  <c r="B1580" i="1"/>
  <c r="B1575" i="1"/>
  <c r="B1571" i="1"/>
  <c r="B1567" i="1"/>
  <c r="B1563" i="1"/>
  <c r="B1559" i="1"/>
  <c r="B1555" i="1"/>
  <c r="B1551" i="1"/>
  <c r="B1547" i="1"/>
  <c r="B1543" i="1"/>
  <c r="B1539" i="1"/>
  <c r="B1535" i="1"/>
  <c r="B1531" i="1"/>
  <c r="B1527" i="1"/>
  <c r="B1523" i="1"/>
  <c r="B1519" i="1"/>
  <c r="B1515" i="1"/>
  <c r="B1511" i="1"/>
  <c r="B1507" i="1"/>
  <c r="B1503" i="1"/>
  <c r="B1499" i="1"/>
  <c r="B1495" i="1"/>
  <c r="B1491" i="1"/>
  <c r="B1487" i="1"/>
  <c r="B1483" i="1"/>
  <c r="B1479" i="1"/>
  <c r="B1475" i="1"/>
  <c r="B1471" i="1"/>
  <c r="B1467" i="1"/>
  <c r="B1463" i="1"/>
  <c r="B1459" i="1"/>
  <c r="B1455" i="1"/>
  <c r="B1451" i="1"/>
  <c r="B1447" i="1"/>
  <c r="B1443" i="1"/>
  <c r="B1439" i="1"/>
  <c r="B1435" i="1"/>
  <c r="B1431" i="1"/>
  <c r="B1427" i="1"/>
  <c r="B1423" i="1"/>
  <c r="B1419" i="1"/>
  <c r="B1415" i="1"/>
  <c r="B1411" i="1"/>
  <c r="B1407" i="1"/>
  <c r="B1403" i="1"/>
  <c r="B1399" i="1"/>
  <c r="B1395" i="1"/>
  <c r="B1391" i="1"/>
  <c r="B1387" i="1"/>
  <c r="B1383" i="1"/>
  <c r="B1379" i="1"/>
  <c r="B1374" i="1"/>
  <c r="B1369" i="1"/>
  <c r="B1364" i="1"/>
  <c r="B1359" i="1"/>
  <c r="B1354" i="1"/>
  <c r="B1349" i="1"/>
  <c r="B1344" i="1"/>
  <c r="B1339" i="1"/>
  <c r="B1334" i="1"/>
  <c r="B1329" i="1"/>
  <c r="B1324" i="1"/>
  <c r="B1319" i="1"/>
  <c r="B1314" i="1"/>
  <c r="B1309" i="1"/>
  <c r="B1304" i="1"/>
  <c r="B1299" i="1"/>
  <c r="B1294" i="1"/>
  <c r="B1289" i="1"/>
  <c r="B1284" i="1"/>
  <c r="B1279" i="1"/>
  <c r="B1274" i="1"/>
  <c r="B1269" i="1"/>
  <c r="B1264" i="1"/>
  <c r="B1259" i="1"/>
  <c r="B1254" i="1"/>
  <c r="B1249" i="1"/>
  <c r="B1243" i="1"/>
  <c r="B1237" i="1"/>
  <c r="B1231" i="1"/>
  <c r="B1227" i="1"/>
  <c r="B1223" i="1"/>
  <c r="B1219" i="1"/>
  <c r="B1215" i="1"/>
  <c r="B1211" i="1"/>
  <c r="B1207" i="1"/>
  <c r="B1203" i="1"/>
  <c r="B1198" i="1"/>
  <c r="B1193" i="1"/>
  <c r="B1185" i="1"/>
  <c r="B1182" i="1"/>
  <c r="B1179" i="1"/>
  <c r="B1176" i="1"/>
  <c r="B1173" i="1"/>
  <c r="B1170" i="1"/>
  <c r="B1167" i="1"/>
  <c r="B1164" i="1"/>
  <c r="B1161" i="1"/>
  <c r="B1158" i="1"/>
  <c r="B1155" i="1"/>
  <c r="B1151" i="1"/>
  <c r="B1147" i="1"/>
  <c r="B1143" i="1"/>
  <c r="B1139" i="1"/>
  <c r="B1135" i="1"/>
  <c r="B1131" i="1"/>
  <c r="B1127" i="1"/>
  <c r="F1123" i="1"/>
  <c r="B1123" i="1"/>
  <c r="B1119" i="1"/>
  <c r="B1115" i="1"/>
  <c r="B1111" i="1"/>
  <c r="B1107" i="1"/>
  <c r="B1102" i="1"/>
  <c r="B1097" i="1"/>
  <c r="B1092" i="1"/>
  <c r="B1087" i="1"/>
  <c r="B1082" i="1"/>
  <c r="B1077" i="1"/>
  <c r="B1072" i="1"/>
  <c r="B1067" i="1"/>
  <c r="B1062" i="1"/>
  <c r="B1058" i="1"/>
  <c r="B1054" i="1"/>
  <c r="B1050" i="1"/>
  <c r="B1046" i="1"/>
  <c r="B1042" i="1"/>
  <c r="B1038" i="1"/>
  <c r="B1034" i="1"/>
  <c r="B1030" i="1"/>
  <c r="B1026" i="1"/>
  <c r="B1022" i="1"/>
  <c r="B1018" i="1"/>
  <c r="B1014" i="1"/>
  <c r="B1010" i="1"/>
  <c r="B1006" i="1"/>
  <c r="B1002" i="1"/>
  <c r="B998" i="1"/>
  <c r="B995" i="1"/>
  <c r="B990" i="1"/>
  <c r="B987" i="1"/>
  <c r="B982" i="1"/>
  <c r="B977" i="1"/>
  <c r="B973" i="1"/>
  <c r="B968" i="1"/>
  <c r="B963" i="1"/>
  <c r="B958" i="1"/>
  <c r="B953" i="1"/>
  <c r="B950" i="1"/>
  <c r="B946" i="1"/>
  <c r="B942" i="1"/>
  <c r="B938" i="1"/>
  <c r="B934" i="1"/>
  <c r="B929" i="1"/>
  <c r="B925" i="1"/>
  <c r="B920" i="1"/>
  <c r="B915" i="1"/>
  <c r="B910" i="1"/>
  <c r="B900" i="1"/>
  <c r="B895" i="1"/>
  <c r="B891" i="1"/>
  <c r="B887" i="1"/>
  <c r="B883" i="1"/>
  <c r="B878" i="1"/>
  <c r="B873" i="1"/>
  <c r="B869" i="1"/>
  <c r="B865" i="1"/>
  <c r="B861" i="1"/>
  <c r="B857" i="1"/>
  <c r="B853" i="1"/>
  <c r="B849" i="1"/>
  <c r="B845" i="1"/>
  <c r="B841" i="1"/>
  <c r="B837" i="1"/>
  <c r="B832" i="1"/>
  <c r="B827" i="1"/>
  <c r="B823" i="1"/>
  <c r="B819" i="1"/>
  <c r="B814" i="1"/>
  <c r="B809" i="1"/>
  <c r="B804" i="1"/>
  <c r="B799" i="1"/>
  <c r="B794" i="1"/>
  <c r="B789" i="1"/>
  <c r="B784" i="1"/>
  <c r="B779" i="1"/>
  <c r="B774" i="1"/>
  <c r="B770" i="1"/>
  <c r="B766" i="1"/>
  <c r="B761" i="1"/>
  <c r="B758" i="1"/>
  <c r="B754" i="1"/>
  <c r="B750" i="1"/>
  <c r="B746" i="1"/>
  <c r="B742" i="1"/>
  <c r="B738" i="1"/>
  <c r="B734" i="1"/>
  <c r="B725" i="1"/>
  <c r="B721" i="1"/>
  <c r="B717" i="1"/>
  <c r="B712" i="1"/>
  <c r="B707" i="1"/>
  <c r="B702" i="1"/>
  <c r="B697" i="1"/>
  <c r="B692" i="1"/>
  <c r="B687" i="1"/>
  <c r="B682" i="1"/>
  <c r="B677" i="1"/>
  <c r="B672" i="1"/>
  <c r="B667" i="1"/>
  <c r="B662" i="1"/>
  <c r="B657" i="1"/>
  <c r="B652" i="1"/>
  <c r="B648" i="1"/>
  <c r="B644" i="1"/>
  <c r="B639" i="1"/>
  <c r="B634" i="1"/>
  <c r="B629" i="1"/>
  <c r="B625" i="1"/>
  <c r="B621" i="1"/>
  <c r="B618" i="1"/>
  <c r="B614" i="1"/>
  <c r="B611" i="1"/>
  <c r="B607" i="1"/>
  <c r="B604" i="1"/>
  <c r="B600" i="1"/>
  <c r="B595" i="1"/>
  <c r="B591" i="1"/>
  <c r="B587" i="1"/>
  <c r="B583" i="1"/>
  <c r="B579" i="1"/>
  <c r="B576" i="1"/>
  <c r="B571" i="1"/>
  <c r="B568" i="1"/>
  <c r="B565" i="1"/>
  <c r="B560" i="1"/>
  <c r="B555" i="1"/>
  <c r="B551" i="1"/>
  <c r="B547" i="1"/>
  <c r="B543" i="1"/>
  <c r="B540" i="1"/>
  <c r="B537" i="1"/>
  <c r="B534" i="1"/>
  <c r="B531" i="1"/>
  <c r="B526" i="1"/>
  <c r="B523" i="1"/>
  <c r="B520" i="1"/>
  <c r="B517" i="1"/>
  <c r="B513" i="1"/>
  <c r="B509" i="1"/>
  <c r="B505" i="1"/>
  <c r="B501" i="1"/>
  <c r="B497" i="1"/>
  <c r="B494" i="1"/>
  <c r="B490" i="1"/>
  <c r="B486" i="1"/>
  <c r="B482" i="1"/>
  <c r="B478" i="1"/>
  <c r="B474" i="1"/>
  <c r="B469" i="1"/>
  <c r="B465" i="1"/>
  <c r="B461" i="1"/>
  <c r="B456" i="1"/>
  <c r="B452" i="1"/>
  <c r="B448" i="1"/>
  <c r="B443" i="1"/>
  <c r="B439" i="1"/>
  <c r="B435" i="1"/>
  <c r="B430" i="1"/>
  <c r="B427" i="1"/>
  <c r="B424" i="1"/>
  <c r="B422" i="1"/>
  <c r="B419" i="1"/>
  <c r="B415" i="1"/>
  <c r="B411" i="1"/>
  <c r="B407" i="1"/>
  <c r="B403" i="1"/>
  <c r="B400" i="1"/>
  <c r="B397" i="1"/>
  <c r="B393" i="1"/>
  <c r="B390" i="1"/>
  <c r="B386" i="1"/>
  <c r="B383" i="1"/>
  <c r="B378" i="1"/>
  <c r="B375" i="1"/>
  <c r="B372" i="1"/>
  <c r="B369" i="1"/>
  <c r="B365" i="1"/>
  <c r="B360" i="1"/>
  <c r="B355" i="1"/>
  <c r="B351" i="1"/>
  <c r="B347" i="1"/>
  <c r="B343" i="1"/>
  <c r="B340" i="1"/>
  <c r="B336" i="1"/>
  <c r="B332" i="1"/>
  <c r="B328" i="1"/>
  <c r="B325" i="1"/>
  <c r="B322" i="1"/>
  <c r="B318" i="1"/>
  <c r="B314" i="1"/>
  <c r="B310" i="1"/>
  <c r="B307" i="1"/>
  <c r="B303" i="1"/>
  <c r="B298" i="1"/>
  <c r="B293" i="1"/>
  <c r="B289" i="1"/>
  <c r="B285" i="1"/>
  <c r="B282" i="1"/>
  <c r="B278" i="1"/>
  <c r="B275" i="1"/>
  <c r="B272" i="1"/>
  <c r="B268" i="1"/>
  <c r="B264" i="1"/>
  <c r="B260" i="1"/>
  <c r="B256" i="1"/>
  <c r="B251" i="1"/>
  <c r="B248" i="1"/>
  <c r="B244" i="1"/>
  <c r="B240" i="1"/>
  <c r="B235" i="1"/>
  <c r="B231" i="1"/>
  <c r="B227" i="1"/>
  <c r="B223" i="1"/>
  <c r="B218" i="1"/>
  <c r="B214" i="1"/>
  <c r="B210" i="1"/>
  <c r="B206" i="1"/>
  <c r="B202" i="1"/>
  <c r="B198" i="1"/>
  <c r="B194" i="1"/>
  <c r="B190" i="1"/>
  <c r="B186" i="1"/>
  <c r="B182" i="1"/>
  <c r="B178" i="1"/>
  <c r="B173" i="1"/>
  <c r="B168" i="1"/>
  <c r="B164" i="1"/>
  <c r="B160" i="1"/>
  <c r="B156" i="1"/>
  <c r="B151" i="1"/>
  <c r="B148" i="1"/>
  <c r="B144" i="1"/>
  <c r="B139" i="1"/>
  <c r="B135" i="1"/>
  <c r="B131" i="1"/>
  <c r="B127" i="1"/>
  <c r="B123" i="1"/>
  <c r="B117" i="1"/>
  <c r="B112" i="1"/>
  <c r="B108" i="1"/>
  <c r="B104" i="1"/>
  <c r="B100" i="1"/>
  <c r="B97" i="1"/>
  <c r="B93" i="1"/>
  <c r="B89" i="1"/>
  <c r="B85" i="1"/>
  <c r="B81" i="1"/>
  <c r="B77" i="1"/>
  <c r="B73" i="1"/>
  <c r="B70" i="1"/>
  <c r="B66" i="1"/>
  <c r="B61" i="1"/>
  <c r="B57" i="1"/>
  <c r="B53" i="1"/>
  <c r="B47" i="1"/>
  <c r="B44" i="1"/>
  <c r="B40" i="1"/>
  <c r="B36" i="1"/>
  <c r="B32" i="1"/>
  <c r="B28" i="1"/>
  <c r="B24" i="1"/>
  <c r="B20" i="1"/>
  <c r="B16" i="1"/>
  <c r="B13" i="1"/>
  <c r="B9" i="1"/>
  <c r="B6" i="1"/>
  <c r="B2" i="1"/>
</calcChain>
</file>

<file path=xl/sharedStrings.xml><?xml version="1.0" encoding="utf-8"?>
<sst xmlns="http://schemas.openxmlformats.org/spreadsheetml/2006/main" count="82973" uniqueCount="24595">
  <si>
    <t>"=-001"</t>
  </si>
  <si>
    <t>ACT: 1</t>
  </si>
  <si>
    <t>PAT: 4; 1</t>
  </si>
  <si>
    <t>"abdikovat-001"</t>
  </si>
  <si>
    <t>"absentovat-001"</t>
  </si>
  <si>
    <t>LOC: *</t>
  </si>
  <si>
    <t>"absentovat-002"</t>
  </si>
  <si>
    <t>"absolvovat-001"</t>
  </si>
  <si>
    <t>PAT: 4</t>
  </si>
  <si>
    <t>PAT(ARG1/1)</t>
  </si>
  <si>
    <t>ACT-&gt;ARG0/2271,ARG1/23</t>
  </si>
  <si>
    <t>PAT-&gt;ARG0/1,ARG1/2372,ARG2/6</t>
  </si>
  <si>
    <t>PAT-&gt;---</t>
  </si>
  <si>
    <t>PAT-&gt;--- ()</t>
  </si>
  <si>
    <t>"absolvovat-002"</t>
  </si>
  <si>
    <t>"absorbovat-001"</t>
  </si>
  <si>
    <t>ACT-&gt;ARG0/17</t>
  </si>
  <si>
    <t>PAT-&gt;ARG1/28</t>
  </si>
  <si>
    <t>"abstrahovat-001"</t>
  </si>
  <si>
    <t>PAT: od+2</t>
  </si>
  <si>
    <t>"abstrahovat-002"</t>
  </si>
  <si>
    <t>"adaptovat-001"</t>
  </si>
  <si>
    <t>ACT-&gt;ARG0/7</t>
  </si>
  <si>
    <t>PAT-&gt;ARG1/6</t>
  </si>
  <si>
    <t>?ORIG: z+2</t>
  </si>
  <si>
    <t>?EFF: na+4; do+2</t>
  </si>
  <si>
    <t>EFF-&gt;ARG2/1</t>
  </si>
  <si>
    <t>"adaptovat-se-001"</t>
  </si>
  <si>
    <t>PAT: na+4</t>
  </si>
  <si>
    <t>"adoptovat-001"</t>
  </si>
  <si>
    <t>ACT-&gt;ARG0/57</t>
  </si>
  <si>
    <t>PAT-&gt;ARG1/69</t>
  </si>
  <si>
    <t>"adresovat-001"</t>
  </si>
  <si>
    <t>ACT-&gt;ARG0/2</t>
  </si>
  <si>
    <t>PAT-&gt;ARG1/2</t>
  </si>
  <si>
    <t>ADDR: 3</t>
  </si>
  <si>
    <t>ADDR-&gt;ARG1/4,ARG2/1</t>
  </si>
  <si>
    <t>"agitovat-001"</t>
  </si>
  <si>
    <t>PAT: pro+4; proti+3; za+4; ↓že</t>
  </si>
  <si>
    <t>"akcelerovat-001"</t>
  </si>
  <si>
    <t>"akcentovat-001"</t>
  </si>
  <si>
    <t>PAT: 4; ↓že</t>
  </si>
  <si>
    <t>"akceptovat-001"</t>
  </si>
  <si>
    <t>ACT-&gt;ARG0/81</t>
  </si>
  <si>
    <t>PAT-&gt;ARG1/131</t>
  </si>
  <si>
    <t>"aklimatizovat-se-001"</t>
  </si>
  <si>
    <t>?PAT: na+4</t>
  </si>
  <si>
    <t>"akreditovat-001"</t>
  </si>
  <si>
    <t>"aktivizovat-001"</t>
  </si>
  <si>
    <t>"aktivizovat-se-001"</t>
  </si>
  <si>
    <t>"aktivovat-001"</t>
  </si>
  <si>
    <t>ACT-&gt;ARG0/49</t>
  </si>
  <si>
    <t>PAT-&gt;ARG1/490,ARG2/6</t>
  </si>
  <si>
    <t>"aktualizovat-001"</t>
  </si>
  <si>
    <t>PAT-&gt;ARG1/8</t>
  </si>
  <si>
    <t>"akumulovat-001"</t>
  </si>
  <si>
    <t>PAT-&gt;ARG1/9</t>
  </si>
  <si>
    <t>"alarmovat-001"</t>
  </si>
  <si>
    <t>ADDR: 4</t>
  </si>
  <si>
    <t>?PAT: k+3; ↓aby; ↓ať</t>
  </si>
  <si>
    <t>"alokovat-001"</t>
  </si>
  <si>
    <t>?EFF: na+4</t>
  </si>
  <si>
    <t>"alternovat-001"</t>
  </si>
  <si>
    <t>PAT: 4; s+7</t>
  </si>
  <si>
    <t>"amputovat-001"</t>
  </si>
  <si>
    <t>"analyzovat-001"</t>
  </si>
  <si>
    <t>ACT-&gt;ARG0/59</t>
  </si>
  <si>
    <t>PAT: 4; ↓jak-2; ↓c</t>
  </si>
  <si>
    <t>PAT-&gt;ARG1/84</t>
  </si>
  <si>
    <t>"anektovat-001"</t>
  </si>
  <si>
    <t>"angažovat-001"</t>
  </si>
  <si>
    <t>?EFF: 4[{jako,jakožto}:/AuxY]; za+4</t>
  </si>
  <si>
    <t>"angažovat-002"</t>
  </si>
  <si>
    <t>ACT-&gt;ARG1/9,ARG2/80</t>
  </si>
  <si>
    <t>PAT-&gt;ARG1/170,ARG2/8</t>
  </si>
  <si>
    <t>"angažovat-se-001"</t>
  </si>
  <si>
    <t>ACT-&gt;ARG0/24,ARG1/39,ARG2/81</t>
  </si>
  <si>
    <t>"anoncovat-001"</t>
  </si>
  <si>
    <t>?ADDR: 3</t>
  </si>
  <si>
    <t>"anulovat-001"</t>
  </si>
  <si>
    <t>ACT-&gt;ARG0/11</t>
  </si>
  <si>
    <t>PAT-&gt;ARG1/29</t>
  </si>
  <si>
    <t>"apelovat-001"</t>
  </si>
  <si>
    <t>ACT-&gt;ARG0/5</t>
  </si>
  <si>
    <t>PAT-&gt;ARG1/4</t>
  </si>
  <si>
    <t>"aplaudovat-001"</t>
  </si>
  <si>
    <t>?PAT: 3</t>
  </si>
  <si>
    <t>"aplikovat-001"</t>
  </si>
  <si>
    <t>ADDR: na+4</t>
  </si>
  <si>
    <t>"aplikovat-002"</t>
  </si>
  <si>
    <t>DIR3: *</t>
  </si>
  <si>
    <t>"aplikovat-003"</t>
  </si>
  <si>
    <t>ACT-&gt;ARG0/21</t>
  </si>
  <si>
    <t>PAT-&gt;ARG1/58</t>
  </si>
  <si>
    <t>"archivovat-001"</t>
  </si>
  <si>
    <t>"argumentovat-001"</t>
  </si>
  <si>
    <t>ACT-&gt;ARG0/141</t>
  </si>
  <si>
    <t>PAT: 7; ↓že; .s</t>
  </si>
  <si>
    <t>PAT-&gt;ARG1/157</t>
  </si>
  <si>
    <t>"asfaltovat-001"</t>
  </si>
  <si>
    <t>"asimilovat-001"</t>
  </si>
  <si>
    <t>"asistovat-001"</t>
  </si>
  <si>
    <t>ACT-&gt;ARG0/118</t>
  </si>
  <si>
    <t>PAT: 3</t>
  </si>
  <si>
    <t>PAT-&gt;ARG1/169,ARG2/3</t>
  </si>
  <si>
    <t>"asociovat-001"</t>
  </si>
  <si>
    <t>"aspirovat-001"</t>
  </si>
  <si>
    <t>PAT: na+4; .f</t>
  </si>
  <si>
    <t>"atakovat-001"</t>
  </si>
  <si>
    <t>ACT-&gt;ARG0/14</t>
  </si>
  <si>
    <t>PAT-&gt;ARG1/21</t>
  </si>
  <si>
    <t>"atomizovat-001"</t>
  </si>
  <si>
    <t>"automatizovat-001"</t>
  </si>
  <si>
    <t>PAT-&gt;ARG1/1</t>
  </si>
  <si>
    <t>"autorizovat-001"</t>
  </si>
  <si>
    <t>ACT-&gt;ARG0/18</t>
  </si>
  <si>
    <t>PAT-&gt;ARG1/23</t>
  </si>
  <si>
    <t>"avansovat-001"</t>
  </si>
  <si>
    <t>"avizovat-001"</t>
  </si>
  <si>
    <t>ACT-&gt;ARG0/193,ARG1/3</t>
  </si>
  <si>
    <t>PAT: 4; ↓že; ↓aby; ↓c</t>
  </si>
  <si>
    <t>PAT-&gt;ARG1/219</t>
  </si>
  <si>
    <t>"bacit-001"</t>
  </si>
  <si>
    <t>"bagatelizovat-001"</t>
  </si>
  <si>
    <t>PAT: 4; ↓že; ↓c</t>
  </si>
  <si>
    <t>PAT-&gt;ARG1/24</t>
  </si>
  <si>
    <t>"balancovat-001"</t>
  </si>
  <si>
    <t>ACT-&gt;ARG1/8</t>
  </si>
  <si>
    <t>"balit-001"</t>
  </si>
  <si>
    <t>PAT-&gt;ARG1/11,ARG2/1</t>
  </si>
  <si>
    <t>?EFF: do+2</t>
  </si>
  <si>
    <t>EFF-&gt;ARG2/4</t>
  </si>
  <si>
    <t>"balit-002"</t>
  </si>
  <si>
    <t>ACT-&gt;ARG0/3</t>
  </si>
  <si>
    <t>PAT-&gt;ARG1/4,ARG2/3</t>
  </si>
  <si>
    <t>"balit-003"</t>
  </si>
  <si>
    <t>"balit-004"</t>
  </si>
  <si>
    <t>DPHR: fidlátko.P4</t>
  </si>
  <si>
    <t>"balit-005"</t>
  </si>
  <si>
    <t>"balit-se-001"</t>
  </si>
  <si>
    <t>ACT-&gt;ARG0/1</t>
  </si>
  <si>
    <t>"bankrotovat-001"</t>
  </si>
  <si>
    <t>"barvit-001"</t>
  </si>
  <si>
    <t>"batolit-se-001"</t>
  </si>
  <si>
    <t>"bavit-001"</t>
  </si>
  <si>
    <t>"bavit-002"</t>
  </si>
  <si>
    <t>ACT: 4</t>
  </si>
  <si>
    <t>ACT-&gt;ARG1/2</t>
  </si>
  <si>
    <t>ACT-&gt;PAT</t>
  </si>
  <si>
    <t>PAT: 1; ↓že; ↓zda; ↓jestli; .f; ↓c</t>
  </si>
  <si>
    <t>PAT-&gt;ARG0/1</t>
  </si>
  <si>
    <t>"bavit-se-001"</t>
  </si>
  <si>
    <t>PAT: o+6; na-1[téma.4]; ↓že</t>
  </si>
  <si>
    <t>ADDR: s+7</t>
  </si>
  <si>
    <t>ACT-&gt;ARG0/87</t>
  </si>
  <si>
    <t>PAT-&gt;ARG1/81</t>
  </si>
  <si>
    <t>ADDR-&gt;ARG2/39</t>
  </si>
  <si>
    <t>"bavit-se-002"</t>
  </si>
  <si>
    <t>PAT: 7</t>
  </si>
  <si>
    <t>"bavit-se-003"</t>
  </si>
  <si>
    <t>"bazírovat-001"</t>
  </si>
  <si>
    <t>PAT: na+6</t>
  </si>
  <si>
    <t>"baštit-001"</t>
  </si>
  <si>
    <t>"bdít-001"</t>
  </si>
  <si>
    <t>PAT: nad+7</t>
  </si>
  <si>
    <t>"bdít-002"</t>
  </si>
  <si>
    <t>"belhat-se-001"</t>
  </si>
  <si>
    <t>"benefitovat-001"</t>
  </si>
  <si>
    <t>PAT: z+2</t>
  </si>
  <si>
    <t>"betonovat-001"</t>
  </si>
  <si>
    <t>"bečet-001"</t>
  </si>
  <si>
    <t>"bilancovat-001"</t>
  </si>
  <si>
    <t>PAT: 4; ↓c</t>
  </si>
  <si>
    <t>"bičovat-001"</t>
  </si>
  <si>
    <t>"biřmovat-001"</t>
  </si>
  <si>
    <t>"blahopřát-001"</t>
  </si>
  <si>
    <t>PAT: k+3</t>
  </si>
  <si>
    <t>"blahořečit-001"</t>
  </si>
  <si>
    <t>?PAT: za+4; ↓že</t>
  </si>
  <si>
    <t>"blamovat-001"</t>
  </si>
  <si>
    <t>"blbnout-001"</t>
  </si>
  <si>
    <t>"blednout-001"</t>
  </si>
  <si>
    <t>"blekotat-001"</t>
  </si>
  <si>
    <t>PAT: o+6</t>
  </si>
  <si>
    <t>EFF: 4</t>
  </si>
  <si>
    <t>"blikat-001"</t>
  </si>
  <si>
    <t>ACT-&gt;ARG1/1</t>
  </si>
  <si>
    <t>"blokovat-001"</t>
  </si>
  <si>
    <t>ACT-&gt;ARG0/19,ARG1/52,ARG3/5</t>
  </si>
  <si>
    <t>PAT-&gt;ARG0/1,ARG1/58</t>
  </si>
  <si>
    <t>"bloudit-001"</t>
  </si>
  <si>
    <t>"bloumat-001"</t>
  </si>
  <si>
    <t>DIR2: *</t>
  </si>
  <si>
    <t>"bláznit-001"</t>
  </si>
  <si>
    <t>"bláznit-002"</t>
  </si>
  <si>
    <t>"blížit-se-001"</t>
  </si>
  <si>
    <t>ACT: 1; .f</t>
  </si>
  <si>
    <t>ACT-&gt;ARG0/1,ARG1/3531,ARG2/299</t>
  </si>
  <si>
    <t>PAT: 3; k+3</t>
  </si>
  <si>
    <t>PAT-&gt;ARG1/123,ARG2/3755</t>
  </si>
  <si>
    <t>"blížit-se-002"</t>
  </si>
  <si>
    <t>ACT-&gt;ARG1/7</t>
  </si>
  <si>
    <t>PAT-&gt;ARG2/7</t>
  </si>
  <si>
    <t>"blížit-se-003"</t>
  </si>
  <si>
    <t>ACT-&gt;ARG1/99</t>
  </si>
  <si>
    <t>DIR3: =</t>
  </si>
  <si>
    <t>DIR3-&gt;ARG1/1,ARG2/91</t>
  </si>
  <si>
    <t>"blížit-se-004"</t>
  </si>
  <si>
    <t>ACT-&gt;ARG0/1,ARG1/17</t>
  </si>
  <si>
    <t>DIR3-&gt;ARG2/18</t>
  </si>
  <si>
    <t>"blížit-se-005"</t>
  </si>
  <si>
    <t>ACT-&gt;ARG1/191</t>
  </si>
  <si>
    <t>"blýskat-se-001"</t>
  </si>
  <si>
    <t>"blýskat-se-002"</t>
  </si>
  <si>
    <t>"blýsknout-se-001"</t>
  </si>
  <si>
    <t>PAT: 7; ↓že</t>
  </si>
  <si>
    <t>?ADDR: 3; před+7</t>
  </si>
  <si>
    <t>"bodnout-001"</t>
  </si>
  <si>
    <t>"bodnout-002"</t>
  </si>
  <si>
    <t>"bodnout-003"</t>
  </si>
  <si>
    <t>?PAT: 4</t>
  </si>
  <si>
    <t>"bodovat-001"</t>
  </si>
  <si>
    <t>"bodovat-002"</t>
  </si>
  <si>
    <t>?PAT: s+7; proti+3</t>
  </si>
  <si>
    <t>"bohatnout-001"</t>
  </si>
  <si>
    <t>?PAT: 7; o+4</t>
  </si>
  <si>
    <t>?ORIG: z+2; na+6</t>
  </si>
  <si>
    <t>"bojkotovat-001"</t>
  </si>
  <si>
    <t>PAT: 4; .f</t>
  </si>
  <si>
    <t>"bojovat-001"</t>
  </si>
  <si>
    <t>ACT-&gt;ARG0/28</t>
  </si>
  <si>
    <t>PAT: s+7; proti+3</t>
  </si>
  <si>
    <t>PAT-&gt;ARG1/80</t>
  </si>
  <si>
    <t>"bojovat-002"</t>
  </si>
  <si>
    <t>ACT-&gt;ARG0/138</t>
  </si>
  <si>
    <t>ADDR: proti+3; s+7; mezi-1[.P7]; mezi+7,mezi+7</t>
  </si>
  <si>
    <t>ADDR-&gt;ARG1/122,ARG2/1</t>
  </si>
  <si>
    <t>?PAT: o+4; za+4</t>
  </si>
  <si>
    <t>PAT-&gt;ARG1/58,ARG2/27</t>
  </si>
  <si>
    <t>"bojovat-003"</t>
  </si>
  <si>
    <t>PAT-&gt;ARG1/55</t>
  </si>
  <si>
    <t>"bolet-001"</t>
  </si>
  <si>
    <t>ACT-&gt;ARG1/115</t>
  </si>
  <si>
    <t>PAT: 1</t>
  </si>
  <si>
    <t>PAT-&gt;ARG0/27,ARG1/4,ARG2/76</t>
  </si>
  <si>
    <t>"bolet-002"</t>
  </si>
  <si>
    <t>"bolet-003"</t>
  </si>
  <si>
    <t>?PAT: od+2</t>
  </si>
  <si>
    <t>"bombardovat-001"</t>
  </si>
  <si>
    <t>ACT-&gt;ARG0/4</t>
  </si>
  <si>
    <t>"bortit-se-001"</t>
  </si>
  <si>
    <t>"bouchat-001"</t>
  </si>
  <si>
    <t xml:space="preserve">DIR3: </t>
  </si>
  <si>
    <t>"bouchnout-001"</t>
  </si>
  <si>
    <t>"bouchnout-002"</t>
  </si>
  <si>
    <t>"bouchnout-003"</t>
  </si>
  <si>
    <t>"bouchnout-004"</t>
  </si>
  <si>
    <t>"bouchnout-se-001"</t>
  </si>
  <si>
    <t>"bourat-001"</t>
  </si>
  <si>
    <t>"bouřit-001"</t>
  </si>
  <si>
    <t>"bouřit-002"</t>
  </si>
  <si>
    <t>"bouřit-se-001"</t>
  </si>
  <si>
    <t>"boxovat-001"</t>
  </si>
  <si>
    <t>"brblat-001"</t>
  </si>
  <si>
    <t>?PAT: na+4; ↓že; .s</t>
  </si>
  <si>
    <t>"brebentit-001"</t>
  </si>
  <si>
    <t>"brebentit-002"</t>
  </si>
  <si>
    <t>EFF: 4; ↓že; ↓aby; ↓ať; ↓jak-2; ↓jestli; .s; ↓c</t>
  </si>
  <si>
    <t>EFF-&gt;ARG1/1</t>
  </si>
  <si>
    <t>?PAT: o+6</t>
  </si>
  <si>
    <t>"brečet-001"</t>
  </si>
  <si>
    <t>"brnkat-001"</t>
  </si>
  <si>
    <t>"brnknout-001"</t>
  </si>
  <si>
    <t>PAT: 4; ↓že; ↓c; .s</t>
  </si>
  <si>
    <t>"brodit-se-001"</t>
  </si>
  <si>
    <t>"brodit-se-002"</t>
  </si>
  <si>
    <t>"brojit-001"</t>
  </si>
  <si>
    <t>PAT: proti+3; pro+4; za+4</t>
  </si>
  <si>
    <t>"broukat-001"</t>
  </si>
  <si>
    <t>PAT: 4; .s</t>
  </si>
  <si>
    <t>"brousit-001"</t>
  </si>
  <si>
    <t>"brousit-si-001"</t>
  </si>
  <si>
    <t>DPHR: zub.P4</t>
  </si>
  <si>
    <t>DPHR-&gt;ARG1/2</t>
  </si>
  <si>
    <t>"brouzdat-001"</t>
  </si>
  <si>
    <t>"brouzdat-se-001"</t>
  </si>
  <si>
    <t>"brumlat-001"</t>
  </si>
  <si>
    <t>?PAT: na+4; ↓že; ↓c; .s</t>
  </si>
  <si>
    <t>"bruslit-001"</t>
  </si>
  <si>
    <t>"bruslit-002"</t>
  </si>
  <si>
    <t>PAT: v+6</t>
  </si>
  <si>
    <t>"bruslívat-001"</t>
  </si>
  <si>
    <t>"bručet-001"</t>
  </si>
  <si>
    <t>"brzdit-001"</t>
  </si>
  <si>
    <t>ACT-&gt;ARG0/35</t>
  </si>
  <si>
    <t>PAT-&gt;ARG1/45,ARG2/1</t>
  </si>
  <si>
    <t>"brzdit-002"</t>
  </si>
  <si>
    <t>ADDR-&gt;ARG1/2</t>
  </si>
  <si>
    <t>?PAT: od+2; v+6</t>
  </si>
  <si>
    <t>PAT-&gt;ARG2/2</t>
  </si>
  <si>
    <t>"bránit-001"</t>
  </si>
  <si>
    <t>ACT-&gt;ARG0/113,ARG3/13</t>
  </si>
  <si>
    <t>?PAT: v+6; .f; ↓aby</t>
  </si>
  <si>
    <t>PAT-&gt;ARG0/1,ARG1/148,ARG2/103</t>
  </si>
  <si>
    <t>ADDR-&gt;ARG0/2,ARG1/155</t>
  </si>
  <si>
    <t>"bránit-002"</t>
  </si>
  <si>
    <t>ACT-&gt;ARG0/52</t>
  </si>
  <si>
    <t>PAT-&gt;ARG1/73</t>
  </si>
  <si>
    <t>?EFF: před+7; proti+3</t>
  </si>
  <si>
    <t>"bránit-003"</t>
  </si>
  <si>
    <t>ACT-&gt;ARG0/157,ARG1/1,ARG3/3</t>
  </si>
  <si>
    <t>PAT-&gt;ARG1/223,ARG2/18</t>
  </si>
  <si>
    <t>"bránit-se-001"</t>
  </si>
  <si>
    <t>ACT-&gt;ARG0/294,ARG1/2</t>
  </si>
  <si>
    <t>PAT: 3; proti+3; před+7; ↓aby; .f</t>
  </si>
  <si>
    <t>PAT-&gt;ARG1/188,ARG2/2</t>
  </si>
  <si>
    <t>"brát-001"</t>
  </si>
  <si>
    <t>ACT-&gt;ARG0/68</t>
  </si>
  <si>
    <t>PAT-&gt;ARG1/58,ARG2/46</t>
  </si>
  <si>
    <t>ADDR-&gt;ARG1/48,ARG2/16</t>
  </si>
  <si>
    <t>"brát-002"</t>
  </si>
  <si>
    <t>?ORIG: od+2</t>
  </si>
  <si>
    <t>ACT-&gt;ARG0/56,ARG1/2</t>
  </si>
  <si>
    <t>PAT-&gt;ARG1/21,ARG2/52</t>
  </si>
  <si>
    <t>"brát-003"</t>
  </si>
  <si>
    <t>"brát-004"</t>
  </si>
  <si>
    <t>EFF: 4[{jako,jakožto}:/AuxY]; .a4[{jako,jakožto}:/AuxY]; za+4; za-1[.a4]; ↓že</t>
  </si>
  <si>
    <t>ACT-&gt;ARG0/55,ARG1/1,ARG2/1</t>
  </si>
  <si>
    <t>PAT-&gt;ARG1/64</t>
  </si>
  <si>
    <t>EFF-&gt;ARG1/59,ARG2/43</t>
  </si>
  <si>
    <t>"brát-005"</t>
  </si>
  <si>
    <t>ACT: :1</t>
  </si>
  <si>
    <t>"brát-006"</t>
  </si>
  <si>
    <t>DIR1: *</t>
  </si>
  <si>
    <t>ACT-&gt;ARG0/10</t>
  </si>
  <si>
    <t>PAT-&gt;ARG1/10</t>
  </si>
  <si>
    <t>"brát-007"</t>
  </si>
  <si>
    <t>ACT-&gt;ARG0/27</t>
  </si>
  <si>
    <t>PAT-&gt;ARG1/37</t>
  </si>
  <si>
    <t>"brát-008"</t>
  </si>
  <si>
    <t>ACT-&gt;ARG0/50</t>
  </si>
  <si>
    <t>PAT-&gt;ARG1/82</t>
  </si>
  <si>
    <t>"brát-009"</t>
  </si>
  <si>
    <t>"brát-010"</t>
  </si>
  <si>
    <t>ACT-&gt;ARG0/105,ARG1/3104,ARG2/296</t>
  </si>
  <si>
    <t>PAT-&gt;ARG1/142,ARG2/1</t>
  </si>
  <si>
    <t>ALT-MANN: *</t>
  </si>
  <si>
    <t>MANN-&gt;ARG1/121,ARG2/3458</t>
  </si>
  <si>
    <t>ALT-MEANS: *</t>
  </si>
  <si>
    <t>ALT-ACMP: *</t>
  </si>
  <si>
    <t>ALT-CRIT: *</t>
  </si>
  <si>
    <t>ALT-CPR: *</t>
  </si>
  <si>
    <t>"brát-011"</t>
  </si>
  <si>
    <t>"brát-012"</t>
  </si>
  <si>
    <t>PAT-&gt;ARG1/13</t>
  </si>
  <si>
    <t>"brát-013"</t>
  </si>
  <si>
    <t>"brát-014"</t>
  </si>
  <si>
    <t>PAT: za+4</t>
  </si>
  <si>
    <t>"brát-015"</t>
  </si>
  <si>
    <t>PAT-&gt;ARG1/22</t>
  </si>
  <si>
    <t>"brát-016"</t>
  </si>
  <si>
    <t>"brát-017"</t>
  </si>
  <si>
    <t>CPHR: {právo,právo,...}.4</t>
  </si>
  <si>
    <t>"brát-018"</t>
  </si>
  <si>
    <t>ACT-&gt;ARG1/3102,ARG2/296</t>
  </si>
  <si>
    <t>CPHR: {ohled,zřetel,...}.4</t>
  </si>
  <si>
    <t>CPHR-&gt;ARG1/121,ARG2/3451</t>
  </si>
  <si>
    <t>"brát-019"</t>
  </si>
  <si>
    <t>CPHR: {podíl,...}.4</t>
  </si>
  <si>
    <t>"brát-020"</t>
  </si>
  <si>
    <t>ACT-&gt;ARG0/20</t>
  </si>
  <si>
    <t>DPHR: na-1[se.4]</t>
  </si>
  <si>
    <t>"brát-021"</t>
  </si>
  <si>
    <t>ACT-&gt;ARG0/9</t>
  </si>
  <si>
    <t>DPHR: na-1[váha:4[lehký:#]]</t>
  </si>
  <si>
    <t>DPHR-&gt;ARG2/7</t>
  </si>
  <si>
    <t>"brát-022"</t>
  </si>
  <si>
    <t>DPHR: na-1[vědomí.4]</t>
  </si>
  <si>
    <t>"brát-023"</t>
  </si>
  <si>
    <t>DPHR: v-1[potaz.4]</t>
  </si>
  <si>
    <t>"brát-024"</t>
  </si>
  <si>
    <t>ACT-&gt;ARG0/84</t>
  </si>
  <si>
    <t>DPHR: v-1[úvaha.S4]; do-1[úvaha.S2]</t>
  </si>
  <si>
    <t>DPHR-&gt;ARG2/4</t>
  </si>
  <si>
    <t>PAT-&gt;ARG1/172</t>
  </si>
  <si>
    <t>"brát-025"</t>
  </si>
  <si>
    <t>DPHR: zavděk</t>
  </si>
  <si>
    <t>"brát-026"</t>
  </si>
  <si>
    <t>DPHR: zpět</t>
  </si>
  <si>
    <t>"brát-027"</t>
  </si>
  <si>
    <t>DPHR: ten.NS4</t>
  </si>
  <si>
    <t>"brát-028"</t>
  </si>
  <si>
    <t>DPHR: konec.S2</t>
  </si>
  <si>
    <t>"brát-029"</t>
  </si>
  <si>
    <t>DPHR: rozum.S4</t>
  </si>
  <si>
    <t>"brát-030"</t>
  </si>
  <si>
    <t>DPHR: vítr.S4[z-1[plachta.P2]]</t>
  </si>
  <si>
    <t>DPHR-&gt;ARG1/1</t>
  </si>
  <si>
    <t>"brát-031"</t>
  </si>
  <si>
    <t>"brát-032"</t>
  </si>
  <si>
    <t>"brát-033"</t>
  </si>
  <si>
    <t>"brát-034"</t>
  </si>
  <si>
    <t>"brát-035"</t>
  </si>
  <si>
    <t>DPHR: za-1[svůj-1.#]</t>
  </si>
  <si>
    <t>"brát-036"</t>
  </si>
  <si>
    <t>"brát-037"</t>
  </si>
  <si>
    <t>"brát-se-001"</t>
  </si>
  <si>
    <t>"brát-se-002"</t>
  </si>
  <si>
    <t>PAT: za+4; o+4</t>
  </si>
  <si>
    <t>"brát-se-003"</t>
  </si>
  <si>
    <t>"--brát-se-004"</t>
  </si>
  <si>
    <t>PAT: s+7</t>
  </si>
  <si>
    <t>"brát-si-001"</t>
  </si>
  <si>
    <t>?EFF: za+4</t>
  </si>
  <si>
    <t>"brát-si-002"</t>
  </si>
  <si>
    <t>ALT-BEN: *</t>
  </si>
  <si>
    <t>MANN-&gt;ARG2/7</t>
  </si>
  <si>
    <t>"brát-si-003"</t>
  </si>
  <si>
    <t>DPHR: na-1[muška.S4]</t>
  </si>
  <si>
    <t>"brát-si-004"</t>
  </si>
  <si>
    <t>"brát-si-005"</t>
  </si>
  <si>
    <t>DPHR: servítek.P4</t>
  </si>
  <si>
    <t>"brát-si-006"</t>
  </si>
  <si>
    <t>"brát-si-007"</t>
  </si>
  <si>
    <t>"brávat-001"</t>
  </si>
  <si>
    <t>"brázdit-001"</t>
  </si>
  <si>
    <t>"brázdit-002"</t>
  </si>
  <si>
    <t>"bubnovat-001"</t>
  </si>
  <si>
    <t>"budit-001"</t>
  </si>
  <si>
    <t>"budit-002"</t>
  </si>
  <si>
    <t>ACT-&gt;ARG0/6</t>
  </si>
  <si>
    <t>CPHR: {dojem,nostalgie,pocit,podiv,pohoršení,pohrdání,pochybnost,pozornost-1,rozpaky,strach,závist,zdání,...}.4</t>
  </si>
  <si>
    <t>CPHR-&gt;ARG1/8</t>
  </si>
  <si>
    <t>ACT-&gt;ARG0/103,ARG1/143</t>
  </si>
  <si>
    <t>CPHR-&gt;ARG1/124</t>
  </si>
  <si>
    <t>ACT-&gt;ARG1/41</t>
  </si>
  <si>
    <t>CPHR-&gt;ARG1/2</t>
  </si>
  <si>
    <t>"budit-se-001"</t>
  </si>
  <si>
    <t>?PAT: z+2</t>
  </si>
  <si>
    <t>"budovat-001"</t>
  </si>
  <si>
    <t>ACT-&gt;ARG0/348,ARG1/1</t>
  </si>
  <si>
    <t>PAT-&gt;ARG1/622,ARG2/2</t>
  </si>
  <si>
    <t>?ORIG: na+6</t>
  </si>
  <si>
    <t>ORIG-&gt;ARG1/1,ARG2/14</t>
  </si>
  <si>
    <t>"budovat-002"</t>
  </si>
  <si>
    <t>ACT-&gt;ARG0/416,ARG1/1</t>
  </si>
  <si>
    <t>PAT-&gt;ARG1/725,ARG2/2,ARG4/5</t>
  </si>
  <si>
    <t>ORIG-&gt;ARG1/1,ARG2/13</t>
  </si>
  <si>
    <t>"bujet-001"</t>
  </si>
  <si>
    <t>"burcovat-001"</t>
  </si>
  <si>
    <t>"burácet-001"</t>
  </si>
  <si>
    <t>"bučet-001"</t>
  </si>
  <si>
    <t>?PAT: na+4; ↓že</t>
  </si>
  <si>
    <t>"bušit-001"</t>
  </si>
  <si>
    <t>"bušit-002"</t>
  </si>
  <si>
    <t>ACT: 3</t>
  </si>
  <si>
    <t>"bušit-003"</t>
  </si>
  <si>
    <t>"bušit-004"</t>
  </si>
  <si>
    <t>"bušit-005"</t>
  </si>
  <si>
    <t>"bydlet-001"</t>
  </si>
  <si>
    <t>ACT-&gt;ARG0/101,ARG1/8</t>
  </si>
  <si>
    <t>LOC-&gt;ARG1/51,ARG2/2</t>
  </si>
  <si>
    <t>"bydlívat-001"</t>
  </si>
  <si>
    <t>"bádat-001"</t>
  </si>
  <si>
    <t>PAT: o+6; nad+7; ↓že; ↓zda; ↓jestli; ↓c</t>
  </si>
  <si>
    <t>"básnit-001"</t>
  </si>
  <si>
    <t>"bát-se-001"</t>
  </si>
  <si>
    <t>PAT: o+4</t>
  </si>
  <si>
    <t>"bát-se-002"</t>
  </si>
  <si>
    <t>ACT-&gt;ARG0/94,ARG1/2</t>
  </si>
  <si>
    <t>?PAT: 2; ↓že; ↓aby; ↓zda; ↓jestli; .f; ↓c</t>
  </si>
  <si>
    <t>PAT-&gt;ARG0/4,ARG1/101</t>
  </si>
  <si>
    <t>"bít-001"</t>
  </si>
  <si>
    <t>"bít-002"</t>
  </si>
  <si>
    <t>DPHR: na-1[poplach.4]</t>
  </si>
  <si>
    <t>"bít-003"</t>
  </si>
  <si>
    <t>DPHR: do-1[oko.P2]</t>
  </si>
  <si>
    <t>"bít-004"</t>
  </si>
  <si>
    <t>"být-001"</t>
  </si>
  <si>
    <t>ACT: 1; .f; ↓že</t>
  </si>
  <si>
    <t>PAT: .a1; všechen.1; 1</t>
  </si>
  <si>
    <t>PAT-&gt;ARG1/121,ARG2/3451</t>
  </si>
  <si>
    <t>ORIG: od+2; strana-3.S2[z-1,.2]; z-1[strana-3.S2[.u#]]</t>
  </si>
  <si>
    <t>"být-002"</t>
  </si>
  <si>
    <t>EFF: za+4</t>
  </si>
  <si>
    <t>"být-003"</t>
  </si>
  <si>
    <t>EFF: do+2</t>
  </si>
  <si>
    <t>"být-004"</t>
  </si>
  <si>
    <t>ACT: 1; ↓že</t>
  </si>
  <si>
    <t>EFF: .aNS2; .aNS2; .S2</t>
  </si>
  <si>
    <t>ACT-&gt;ARG1/3503,ARG2/296</t>
  </si>
  <si>
    <t>EFF-&gt;ARG1/121,ARG2/3451</t>
  </si>
  <si>
    <t>"být-005"</t>
  </si>
  <si>
    <t>"být-006"</t>
  </si>
  <si>
    <t>ACT-&gt;ARG1/3114,ARG2/296</t>
  </si>
  <si>
    <t>PAT-&gt;ARG1/121,ARG2/3463</t>
  </si>
  <si>
    <t>"být-007"</t>
  </si>
  <si>
    <t>ACT: 1; 2; ↓že; ↓když; ↓aby; ↓kdyby; ↓jestli; ↓pokud; ↓zda; ↓co-3; ↓jak-2; ↓c; .f</t>
  </si>
  <si>
    <t>PAT: nefér; prima; rád; raději; jasno-2; známo; svůj-2; 1; 2; 7; .a1; .a7; .$1&lt;A&gt;$2&lt;C&gt;$3&lt;N&gt;$4&lt;S&gt;; .i; .f; ↓že; ↓jak-2; ↓c; .$1&lt;C&gt;$2&lt;v&gt;</t>
  </si>
  <si>
    <t>ACT-&gt;ARG0/17063,ARG1/7385,ARG2/895,ARG3/61</t>
  </si>
  <si>
    <t>ACT-&gt;PAT (ARG1/1)</t>
  </si>
  <si>
    <t>PAT-&gt;ARG0/5,ARG1/18667,ARG2/5358,ARG3/290,ARG4/437</t>
  </si>
  <si>
    <t>ACT-&gt;ARG0/199,ARG1/4542,ARG2/389</t>
  </si>
  <si>
    <t>PAT-&gt;ARG1/1247,ARG2/4333</t>
  </si>
  <si>
    <t>"být-008"</t>
  </si>
  <si>
    <t>"být-009"</t>
  </si>
  <si>
    <t>ACT-&gt;ARG0/59,ARG1/5385,ARG2/296</t>
  </si>
  <si>
    <t>MANN: *</t>
  </si>
  <si>
    <t>MANN-&gt;ARG1/121,ARG2/3460</t>
  </si>
  <si>
    <t>"být-010"</t>
  </si>
  <si>
    <t>ACT: nad-1[.4]</t>
  </si>
  <si>
    <t>---: .~</t>
  </si>
  <si>
    <t>"být-011"</t>
  </si>
  <si>
    <t>ACT: 1; 2; 3; .f; ↓aby; ↓jak-2; ↓kdyby; ↓že; ↓když; ↓zda; ↓jestli; ↓co-3; ↓c</t>
  </si>
  <si>
    <t>ACT-&gt;ARG0/1316,ARG1/9183,ARG2/399,ARG3/290,ARG4/1</t>
  </si>
  <si>
    <t>"být-012"</t>
  </si>
  <si>
    <t>ACT: .f</t>
  </si>
  <si>
    <t>ACT-&gt;ARG1/401</t>
  </si>
  <si>
    <t>"být-013"</t>
  </si>
  <si>
    <t>ACT: po+6</t>
  </si>
  <si>
    <t>"být-014"</t>
  </si>
  <si>
    <t>TWHEN: *</t>
  </si>
  <si>
    <t>TWHEN-&gt;ARG2/6</t>
  </si>
  <si>
    <t>"být-015"</t>
  </si>
  <si>
    <t>EXT: *</t>
  </si>
  <si>
    <t>"být-016"</t>
  </si>
  <si>
    <t>THL: *</t>
  </si>
  <si>
    <t>"být-017"</t>
  </si>
  <si>
    <t>MANN-&gt;ARG0/1,ARG1/2377,ARG2/3451</t>
  </si>
  <si>
    <t>"být-018"</t>
  </si>
  <si>
    <t>ACT: 1; .f; ↓že; ↓když; ↓jestli; ↓zda; ↓c</t>
  </si>
  <si>
    <t>ACT-&gt;ARG1/3125,ARG2/296</t>
  </si>
  <si>
    <t>CPHR: {stydno-1}; {hanba,trapno}.S1; jeden.NS1</t>
  </si>
  <si>
    <t>ADDR-&gt;ARG0/23</t>
  </si>
  <si>
    <t>"být-019"</t>
  </si>
  <si>
    <t>ACT: .f; ↓že; ↓když; 2</t>
  </si>
  <si>
    <t>CPHR: {líto}</t>
  </si>
  <si>
    <t>ADDR-&gt;ARG1/3102,ARG2/296</t>
  </si>
  <si>
    <t>"být-020"</t>
  </si>
  <si>
    <t>ACT: 1; 2; .f; ↓aby; ↓že; ↓když</t>
  </si>
  <si>
    <t>CPHR: třeba-1; potřeba.S1; zapotřebí; škoda</t>
  </si>
  <si>
    <t>ACT-&gt;ARG0/286,ARG1/3504,ARG2/296</t>
  </si>
  <si>
    <t>"být-021"</t>
  </si>
  <si>
    <t>ACT: .f; ↓aby; ↓že</t>
  </si>
  <si>
    <t>CPHR: {možný,nutný,vhodný}.$1&lt;A&gt;$2&lt;C&gt;$3&lt;N&gt;$4&lt;S&gt;; {těžko-2,záhodno-1,zatěžko,...}</t>
  </si>
  <si>
    <t>ACT-&gt;ARG1/3694,ARG2/302</t>
  </si>
  <si>
    <t>CPHR-&gt;ARG1/121,ARG2/3924</t>
  </si>
  <si>
    <t>ACT-&gt;ARG1/3543,ARG2/302</t>
  </si>
  <si>
    <t>CPHR-&gt;ARG1/522,ARG2/3924</t>
  </si>
  <si>
    <t>"být-022"</t>
  </si>
  <si>
    <t>DPHR: zajedno</t>
  </si>
  <si>
    <t>?PAT: v+6</t>
  </si>
  <si>
    <t>DPHR-&gt;ARG1/121,ARG2/3451</t>
  </si>
  <si>
    <t>ACT-&gt;ARG1/10</t>
  </si>
  <si>
    <t>ADDR-&gt;ARG2/12</t>
  </si>
  <si>
    <t>"být-023"</t>
  </si>
  <si>
    <t>DPHR: daleký</t>
  </si>
  <si>
    <t>PAT: .f</t>
  </si>
  <si>
    <t>"být-024"</t>
  </si>
  <si>
    <t>DPHR: to-9[s-9]</t>
  </si>
  <si>
    <t>"být-025"</t>
  </si>
  <si>
    <t>DPHR: zadobře</t>
  </si>
  <si>
    <t>"být-026"</t>
  </si>
  <si>
    <t>DPHR: k-1[smích.S3]; pro-1[smích.S4]; do-1[smích.S2]</t>
  </si>
  <si>
    <t>PAT-&gt;ARG1/3102,ARG2/296</t>
  </si>
  <si>
    <t>"být-027"</t>
  </si>
  <si>
    <t>ACT-&gt;ARG1/30</t>
  </si>
  <si>
    <t>DPHR: krátký</t>
  </si>
  <si>
    <t>PAT-&gt;ARG0/21</t>
  </si>
  <si>
    <t>"být-028"</t>
  </si>
  <si>
    <t>ACT-&gt;ARG1/280,ARG2/3</t>
  </si>
  <si>
    <t>DPHR: na-1[cesta.S6[dobrý.@3#]]; na-1[cesta.S6[dobrý.@1#]]; na-1[cesta.S6]</t>
  </si>
  <si>
    <t>DPHR-&gt;ARG1/2,ARG2/279</t>
  </si>
  <si>
    <t>PAT: .f; k+3</t>
  </si>
  <si>
    <t>DPHR-&gt;ARG1/1,ARG2/91</t>
  </si>
  <si>
    <t>"být-029"</t>
  </si>
  <si>
    <t>DPHR: v-1[kontakt.S6]</t>
  </si>
  <si>
    <t>"být-030"</t>
  </si>
  <si>
    <t>ACT: 1; ↓aby; .f</t>
  </si>
  <si>
    <t>ACT-&gt;ARG1/11</t>
  </si>
  <si>
    <t>DPHR: v-1[zájem.S6[.2]]; v-1[zájem.S6[.#]]</t>
  </si>
  <si>
    <t>DPHR-&gt;ARG2/13</t>
  </si>
  <si>
    <t>?PAT: 2</t>
  </si>
  <si>
    <t>ACT-&gt;ARG0/2154,ARG1/30,ARG2/27</t>
  </si>
  <si>
    <t>DPHR-&gt;ARG0/1,ARG1/2284,ARG2/13</t>
  </si>
  <si>
    <t>"být-031"</t>
  </si>
  <si>
    <t>DPHR: názor.S2[{jiný,stejný,podobný,opačný}.#]; názor.S2[že[.v]]; názor.S2[ten.#,že[.v]]</t>
  </si>
  <si>
    <t>?PAT: ↓že</t>
  </si>
  <si>
    <t>"být-032"</t>
  </si>
  <si>
    <t>ACT-&gt;ARG1/3201,ARG2/296</t>
  </si>
  <si>
    <t>DPHR: na-1[ten.S6]</t>
  </si>
  <si>
    <t>MANN-&gt;ARG1/122,ARG2/3542</t>
  </si>
  <si>
    <t>"být-033"</t>
  </si>
  <si>
    <t>DPHR: ani[vid.S2,ani[slech.S2]]</t>
  </si>
  <si>
    <t>"být-034"</t>
  </si>
  <si>
    <t>ACT: ↓že; ten.NS1; ↓kdyby</t>
  </si>
  <si>
    <t>DPHR: div.S2</t>
  </si>
  <si>
    <t>"být-035"</t>
  </si>
  <si>
    <t>ACT: ↓že; ten.NS1</t>
  </si>
  <si>
    <t>DPHR: spor.S2</t>
  </si>
  <si>
    <t>"být-036"</t>
  </si>
  <si>
    <t>ACT: 1; ↓c; .f</t>
  </si>
  <si>
    <t>DPHR: na-1[povážená.S4]</t>
  </si>
  <si>
    <t>"být-037"</t>
  </si>
  <si>
    <t>ACT: 1; ↓že; ↓c</t>
  </si>
  <si>
    <t>DPHR: nasnadě</t>
  </si>
  <si>
    <t>"být-038"</t>
  </si>
  <si>
    <t>ACT: 1; ↓že; .f</t>
  </si>
  <si>
    <t>DPHR: na-1[místo-1.S6]; namístě</t>
  </si>
  <si>
    <t>"být-039"</t>
  </si>
  <si>
    <t>DPHR: nabíledni</t>
  </si>
  <si>
    <t>"být-040"</t>
  </si>
  <si>
    <t>DPHR: do-1[práce.S2]</t>
  </si>
  <si>
    <t>"být-041"</t>
  </si>
  <si>
    <t>ACT-&gt;ARG1/4776,ARG2/305</t>
  </si>
  <si>
    <t>DPHR: k-1[dispozice.S3]</t>
  </si>
  <si>
    <t>DPHR-&gt;ARG1/121,ARG2/3924</t>
  </si>
  <si>
    <t>"být-042"</t>
  </si>
  <si>
    <t>DPHR: k-1[dosažení.S3]</t>
  </si>
  <si>
    <t>"být-043"</t>
  </si>
  <si>
    <t>DPHR: k-1[mání.3]</t>
  </si>
  <si>
    <t>"být-044"</t>
  </si>
  <si>
    <t>DPHR: k-1[zaplacení.~]</t>
  </si>
  <si>
    <t>"být-045"</t>
  </si>
  <si>
    <t>DPHR: mimo-1[obraz.S4]</t>
  </si>
  <si>
    <t>"být-046"</t>
  </si>
  <si>
    <t>DPHR: mínění.S2[{jiný,stejný,podobný}.#]; mínění.S2[že[.v]]; mínění.S2[ten.#,že[.v]]</t>
  </si>
  <si>
    <t>"být-047"</t>
  </si>
  <si>
    <t>DPHR: na-1[co-1.S6]</t>
  </si>
  <si>
    <t>"být-048"</t>
  </si>
  <si>
    <t>DPHR: na-1[štír.S6]</t>
  </si>
  <si>
    <t>"být-049"</t>
  </si>
  <si>
    <t>DPHR: na-1[vina.S6]</t>
  </si>
  <si>
    <t>"být-050"</t>
  </si>
  <si>
    <t>DPHR: na-1[závada.S4]</t>
  </si>
  <si>
    <t>"být-051"</t>
  </si>
  <si>
    <t>DPHR: nad-1[všechen.NS4]</t>
  </si>
  <si>
    <t>"být-052"</t>
  </si>
  <si>
    <t>DPHR: při-1[ruka.S6]; po-1[ruka.S6]</t>
  </si>
  <si>
    <t>"být-053"</t>
  </si>
  <si>
    <t>DPHR: pro-1[kočka.S4]</t>
  </si>
  <si>
    <t>"být-054"</t>
  </si>
  <si>
    <t>DPHR: v-1[hra.S6]</t>
  </si>
  <si>
    <t>"být-055"</t>
  </si>
  <si>
    <t>DPHR: v-1[obraz.S6]</t>
  </si>
  <si>
    <t>"být-056"</t>
  </si>
  <si>
    <t>DPHR: v-1[plán.S6]</t>
  </si>
  <si>
    <t>DPHR-&gt;ARG1/401</t>
  </si>
  <si>
    <t>"být-057"</t>
  </si>
  <si>
    <t>DPHR: v-1[prach.S6]</t>
  </si>
  <si>
    <t>"být-058"</t>
  </si>
  <si>
    <t>ACT-&gt;ARG1/220,ARG2/3451</t>
  </si>
  <si>
    <t>DPHR: v-1[sázka.S6]</t>
  </si>
  <si>
    <t>DPHR-&gt;ARG1/3103,ARG2/388</t>
  </si>
  <si>
    <t>"být-059"</t>
  </si>
  <si>
    <t>DPHR: v-1[úzký.P6]</t>
  </si>
  <si>
    <t>"být-060"</t>
  </si>
  <si>
    <t>DPHR: za-1[voda.S7]</t>
  </si>
  <si>
    <t>"být-061"</t>
  </si>
  <si>
    <t>ACT: ↓aby; .f</t>
  </si>
  <si>
    <t>DPHR: na-1[čas.S6]; načase</t>
  </si>
  <si>
    <t>DPHR-&gt;ARG2/6</t>
  </si>
  <si>
    <t>"být-062"</t>
  </si>
  <si>
    <t>ACT: na+6</t>
  </si>
  <si>
    <t>DPHR: řada.S1</t>
  </si>
  <si>
    <t>"být-063"</t>
  </si>
  <si>
    <t>ACT: 1; ↓aby</t>
  </si>
  <si>
    <t>DPHR: na-1[čas.S6]</t>
  </si>
  <si>
    <t>"být-064"</t>
  </si>
  <si>
    <t>ACT-&gt;ARG0/3,ARG2/3</t>
  </si>
  <si>
    <t>DPHR: na-1[škoda.S4]</t>
  </si>
  <si>
    <t>"být-065"</t>
  </si>
  <si>
    <t>DPHR: bez-1[se.2]</t>
  </si>
  <si>
    <t>"být-066"</t>
  </si>
  <si>
    <t>DPHR: jako-1[ušitý.1@1$11&lt;A&gt;]; jako-1[dělaný.1@1$11&lt;A&gt;]</t>
  </si>
  <si>
    <t>"být-067"</t>
  </si>
  <si>
    <t>ACT-&gt;ARG1/3129,ARG2/296</t>
  </si>
  <si>
    <t>DPHR: k-1[dostání.S3]</t>
  </si>
  <si>
    <t>"být-068"</t>
  </si>
  <si>
    <t>ACT-&gt;ARG1/3382,ARG2/299</t>
  </si>
  <si>
    <t>DPHR: k-1[zastižení.S3]</t>
  </si>
  <si>
    <t>"být-069"</t>
  </si>
  <si>
    <t>ACT-&gt;ARG0/364,ARG1/1</t>
  </si>
  <si>
    <t>DPHR: na-1[dno.S6]</t>
  </si>
  <si>
    <t>DPHR-&gt;ARG1/483,ARG2/1</t>
  </si>
  <si>
    <t>"být-070"</t>
  </si>
  <si>
    <t>DPHR: na-1[dosah.S4]; na-1[dosah.S4[ruka.S2]]</t>
  </si>
  <si>
    <t>"být-071"</t>
  </si>
  <si>
    <t>DPHR: na-1[kůň.S6]</t>
  </si>
  <si>
    <t>"být-072"</t>
  </si>
  <si>
    <t>DPHR: na-1[ostří.S1[nůž.S2]]</t>
  </si>
  <si>
    <t>"být-073"</t>
  </si>
  <si>
    <t>DPHR: slovo.S1[slabý.@1$11&lt;A&gt;#]</t>
  </si>
  <si>
    <t>"být-074"</t>
  </si>
  <si>
    <t>DPHR: v-1[dohled.S6]</t>
  </si>
  <si>
    <t>"být-075"</t>
  </si>
  <si>
    <t>DPHR: v-1[platnost.S6]</t>
  </si>
  <si>
    <t>"být-076"</t>
  </si>
  <si>
    <t>ACT: 1; ↓jestli</t>
  </si>
  <si>
    <t>DPHR: v-1[pořádek.S6]</t>
  </si>
  <si>
    <t>ACT-&gt;ARG0/1,ARG1/3129,ARG2/296</t>
  </si>
  <si>
    <t>DPHR-&gt;ARG1/121,ARG2/3464</t>
  </si>
  <si>
    <t>"být-077"</t>
  </si>
  <si>
    <t>ACT-&gt;ARG1/104</t>
  </si>
  <si>
    <t>DPHR: v-1[provoz.S6]</t>
  </si>
  <si>
    <t>DPHR-&gt;ARG2/5</t>
  </si>
  <si>
    <t>"být-078"</t>
  </si>
  <si>
    <t>DPHR: o-1[ten.P4]</t>
  </si>
  <si>
    <t>"být-079"</t>
  </si>
  <si>
    <t>"být-080"</t>
  </si>
  <si>
    <t>PAT: .a1</t>
  </si>
  <si>
    <t>"být-081"</t>
  </si>
  <si>
    <t>"být-082"</t>
  </si>
  <si>
    <t>DPHR: jako[na-1[trní.S6]]</t>
  </si>
  <si>
    <t>"být-083"</t>
  </si>
  <si>
    <t>ACT-&gt;ARG1/4</t>
  </si>
  <si>
    <t>DPHR: k-1[nalezení.S3]</t>
  </si>
  <si>
    <t>"být-084"</t>
  </si>
  <si>
    <t>DPHR: k-1[popukání.S3]</t>
  </si>
  <si>
    <t>"být-085"</t>
  </si>
  <si>
    <t>DPHR: k-1[smích.S3]</t>
  </si>
  <si>
    <t>"být-086"</t>
  </si>
  <si>
    <t>DPHR: k-1[vidění.S3]</t>
  </si>
  <si>
    <t>"být-087"</t>
  </si>
  <si>
    <t>DPHR: na-1[dohled.S4]</t>
  </si>
  <si>
    <t>DPHR-&gt;ARG1/8</t>
  </si>
  <si>
    <t>"být-088"</t>
  </si>
  <si>
    <t>DPHR: na-1[mizina.S6]</t>
  </si>
  <si>
    <t>"být-089"</t>
  </si>
  <si>
    <t>DPHR: na-1[bod.S6[mrtvý.#]]</t>
  </si>
  <si>
    <t>"být-090"</t>
  </si>
  <si>
    <t>DPHR: na-1[oko.P6]</t>
  </si>
  <si>
    <t>PAT-&gt;ARG1/83</t>
  </si>
  <si>
    <t>"být-091"</t>
  </si>
  <si>
    <t>DPHR: na-1[program.S6]</t>
  </si>
  <si>
    <t>"být-092"</t>
  </si>
  <si>
    <t>DPHR: na-1[řada.S6]</t>
  </si>
  <si>
    <t>"být-093"</t>
  </si>
  <si>
    <t>ACT: ↓že</t>
  </si>
  <si>
    <t>DPHR: s-1[podiv.S7]</t>
  </si>
  <si>
    <t>"být-094"</t>
  </si>
  <si>
    <t>DPHR: venku</t>
  </si>
  <si>
    <t>"být-095"</t>
  </si>
  <si>
    <t>DPHR: v-1[jednání.S6]</t>
  </si>
  <si>
    <t>"být-096"</t>
  </si>
  <si>
    <t>DPHR: v-1[nevýhoda.S6]</t>
  </si>
  <si>
    <t>"být-097"</t>
  </si>
  <si>
    <t>DPHR: v-1[plenka.P6]</t>
  </si>
  <si>
    <t>"být-098"</t>
  </si>
  <si>
    <t>DPHR: v-1[ruka.P6[dobrý.#]]</t>
  </si>
  <si>
    <t>"být-099"</t>
  </si>
  <si>
    <t>DPHR: na-1[výběr.S4]</t>
  </si>
  <si>
    <t>"být-100"</t>
  </si>
  <si>
    <t>DPHR: u-1[vytržení.S2]</t>
  </si>
  <si>
    <t>"být-101"</t>
  </si>
  <si>
    <t>DPHR: v-1[nesnáz.P6]</t>
  </si>
  <si>
    <t>"být-102"</t>
  </si>
  <si>
    <t>DPHR: na-1[pochod.S6]</t>
  </si>
  <si>
    <t>"být-103"</t>
  </si>
  <si>
    <t>DPHR: naruby</t>
  </si>
  <si>
    <t>"být-104"</t>
  </si>
  <si>
    <t>ACT: na+4</t>
  </si>
  <si>
    <t>"být-105"</t>
  </si>
  <si>
    <t>ACT: ↓jak-2</t>
  </si>
  <si>
    <t>"být-106"</t>
  </si>
  <si>
    <t>"být-107"</t>
  </si>
  <si>
    <t>"být-108"</t>
  </si>
  <si>
    <t>PAT: přes+4</t>
  </si>
  <si>
    <t>"být-109"</t>
  </si>
  <si>
    <t>"--být-110"</t>
  </si>
  <si>
    <t>"--být-111"</t>
  </si>
  <si>
    <t>PAT: .aNS2</t>
  </si>
  <si>
    <t>EFF: na+6</t>
  </si>
  <si>
    <t>"--být-112"</t>
  </si>
  <si>
    <t>CPHR: {užitečný,známý}</t>
  </si>
  <si>
    <t>EFF: jako[.1]</t>
  </si>
  <si>
    <t>"--být-113"</t>
  </si>
  <si>
    <t>DPHR: k,dosažení</t>
  </si>
  <si>
    <t>"být-114"</t>
  </si>
  <si>
    <t>DPHR: báseň.S1[jeden-1]</t>
  </si>
  <si>
    <t>"být-115"</t>
  </si>
  <si>
    <t>DPHR: známo.$1&lt;A&gt;$2&lt;C&gt;$3&lt;N&gt;$4&lt;S&gt;</t>
  </si>
  <si>
    <t>"být-116"</t>
  </si>
  <si>
    <t>DPHR: co-1</t>
  </si>
  <si>
    <t>"být-117"</t>
  </si>
  <si>
    <t>DPHR: doma</t>
  </si>
  <si>
    <t>"být-118"</t>
  </si>
  <si>
    <t>DPHR: k-1[hovno.S3]</t>
  </si>
  <si>
    <t>"být-119"</t>
  </si>
  <si>
    <t>DPHR: k-1[posrání.S3]</t>
  </si>
  <si>
    <t>"být-120"</t>
  </si>
  <si>
    <t>DPHR: k-1[sehnání.S3]</t>
  </si>
  <si>
    <t>"být-121"</t>
  </si>
  <si>
    <t>DPHR: na-1[větev.S]</t>
  </si>
  <si>
    <t>"být-122"</t>
  </si>
  <si>
    <t>DPHR: na-1[loket.P4[dlouhý.#]]</t>
  </si>
  <si>
    <t>"být-123"</t>
  </si>
  <si>
    <t>DPHR: levý</t>
  </si>
  <si>
    <t>"být-124"</t>
  </si>
  <si>
    <t>DPHR: spolehnutí.S1</t>
  </si>
  <si>
    <t>"být-125"</t>
  </si>
  <si>
    <t>DPHR: u-1[foch.S2]</t>
  </si>
  <si>
    <t>"být-126"</t>
  </si>
  <si>
    <t>DPHR: vedle</t>
  </si>
  <si>
    <t>"být-127"</t>
  </si>
  <si>
    <t>DPHR: v-1[spojení.S6]</t>
  </si>
  <si>
    <t>"být-128"</t>
  </si>
  <si>
    <t>DPHR: z-1[ruka.S2]</t>
  </si>
  <si>
    <t>"být-129"</t>
  </si>
  <si>
    <t>DPHR: v-1[styk.S6]</t>
  </si>
  <si>
    <t>"být-130"</t>
  </si>
  <si>
    <t>ACT: 1; ↓když</t>
  </si>
  <si>
    <t>DPHR: k-1[vztek.S3]</t>
  </si>
  <si>
    <t>"být-131"</t>
  </si>
  <si>
    <t>DPHR: ruka,v-1[rukáv.S6]</t>
  </si>
  <si>
    <t>"být-132"</t>
  </si>
  <si>
    <t>DPHR: blázen.P1</t>
  </si>
  <si>
    <t>PAT: do+2</t>
  </si>
  <si>
    <t>"být-133"</t>
  </si>
  <si>
    <t>DPHR: bída.S1[jeden.#]</t>
  </si>
  <si>
    <t>"být-134"</t>
  </si>
  <si>
    <t>DPHR: koníček.S1</t>
  </si>
  <si>
    <t>"být-135"</t>
  </si>
  <si>
    <t>DPHR: na-1[rána.S6]</t>
  </si>
  <si>
    <t>"být-136"</t>
  </si>
  <si>
    <t>DPHR: v-1[pohoda.S6]</t>
  </si>
  <si>
    <t>"být-137"</t>
  </si>
  <si>
    <t>DPHR: on-1.NS1</t>
  </si>
  <si>
    <t>"být-138"</t>
  </si>
  <si>
    <t>DPHR: k-1[nepotřeba.S3]</t>
  </si>
  <si>
    <t>"být-139"</t>
  </si>
  <si>
    <t>DPHR: pod-1[kámen.S7]</t>
  </si>
  <si>
    <t>"být-140"</t>
  </si>
  <si>
    <t>DPHR: med.S1</t>
  </si>
  <si>
    <t>"být-141"</t>
  </si>
  <si>
    <t>"být-142"</t>
  </si>
  <si>
    <t>ACT: 2</t>
  </si>
  <si>
    <t>DPHR: nazbyt</t>
  </si>
  <si>
    <t>"být-143"</t>
  </si>
  <si>
    <t>DPHR: mimo-2</t>
  </si>
  <si>
    <t>"být-144"</t>
  </si>
  <si>
    <t>"být-145"</t>
  </si>
  <si>
    <t>DPHR: k-1[zasmání.S3]</t>
  </si>
  <si>
    <t>"být-146"</t>
  </si>
  <si>
    <t>DPHR: na-1[obzor.S6]</t>
  </si>
  <si>
    <t>"být-147"</t>
  </si>
  <si>
    <t>DPHR: parketa.S1[.u#]</t>
  </si>
  <si>
    <t>"být-148"</t>
  </si>
  <si>
    <t>DPHR: .u</t>
  </si>
  <si>
    <t>"být-149"</t>
  </si>
  <si>
    <t>DPHR: bída.1[jeden.#]</t>
  </si>
  <si>
    <t>"být-150"</t>
  </si>
  <si>
    <t>DPHR: sám.NS1,se.7$2&lt;6&gt;</t>
  </si>
  <si>
    <t>"být-151"</t>
  </si>
  <si>
    <t>DPHR: v-1[kurz.S6]</t>
  </si>
  <si>
    <t>"být-152"</t>
  </si>
  <si>
    <t>DPHR: z-1[škola.S2[starý.#]]</t>
  </si>
  <si>
    <t>"být-153"</t>
  </si>
  <si>
    <t>DPHR: na-1[rozpaky.P6]</t>
  </si>
  <si>
    <t>PAT: ↓zda; ↓jestli</t>
  </si>
  <si>
    <t>"být-154"</t>
  </si>
  <si>
    <t>DPHR: hudba.S1[budoucnost.S2]</t>
  </si>
  <si>
    <t>"být-155"</t>
  </si>
  <si>
    <t>DPHR: k-1[nevíra.S3]</t>
  </si>
  <si>
    <t>"být-156"</t>
  </si>
  <si>
    <t>DPHR: pryč</t>
  </si>
  <si>
    <t>?ORIG: z+2; ↓že</t>
  </si>
  <si>
    <t>"být-157"</t>
  </si>
  <si>
    <t>DPHR: pod-1[pantofel.S7]</t>
  </si>
  <si>
    <t>"být-158"</t>
  </si>
  <si>
    <t>DPHR: na-1[loď.S6[jedna.#]]</t>
  </si>
  <si>
    <t>"být-159"</t>
  </si>
  <si>
    <t>PAT: .a1; .a7; .d</t>
  </si>
  <si>
    <t>"být-160"</t>
  </si>
  <si>
    <t>DPHR: na-1[nerv.P4]</t>
  </si>
  <si>
    <t>"--být-si-001"</t>
  </si>
  <si>
    <t>"bývat-001"</t>
  </si>
  <si>
    <t>"bývat-002"</t>
  </si>
  <si>
    <t>ACT: 1; 2; ↓že; ↓c; .f</t>
  </si>
  <si>
    <t>ACT-&gt;ARG1/3172,ARG2/296</t>
  </si>
  <si>
    <t>PAT: 1; 2; 7; .a1; .a7; .i; .f; ↓že; ↓c</t>
  </si>
  <si>
    <t>PAT-&gt;ARG1/121,ARG2/3522</t>
  </si>
  <si>
    <t>"bývat-003"</t>
  </si>
  <si>
    <t>"bývat-004"</t>
  </si>
  <si>
    <t>"bývat-005"</t>
  </si>
  <si>
    <t>"bývat-006"</t>
  </si>
  <si>
    <t>ORIG: z+2; od+2</t>
  </si>
  <si>
    <t>"bývat-007"</t>
  </si>
  <si>
    <t>"bývat-008"</t>
  </si>
  <si>
    <t xml:space="preserve">LOC: </t>
  </si>
  <si>
    <t>"bývat-009"</t>
  </si>
  <si>
    <t>"bývat-010"</t>
  </si>
  <si>
    <t>"bývat-011"</t>
  </si>
  <si>
    <t>"bývat-012"</t>
  </si>
  <si>
    <t>AIM: *</t>
  </si>
  <si>
    <t>"bývat-013"</t>
  </si>
  <si>
    <t>ACT: 1; 2; 3; .f; ↓aby</t>
  </si>
  <si>
    <t>ACT-&gt;ARG1/70</t>
  </si>
  <si>
    <t>"bývat-014"</t>
  </si>
  <si>
    <t>ACT: 1; 2; .f</t>
  </si>
  <si>
    <t>"bývat-015"</t>
  </si>
  <si>
    <t>"bývat-016"</t>
  </si>
  <si>
    <t>"bývat-017"</t>
  </si>
  <si>
    <t>"bývat-018"</t>
  </si>
  <si>
    <t>"bývat-019"</t>
  </si>
  <si>
    <t>"bývat-020"</t>
  </si>
  <si>
    <t>"bývat-021"</t>
  </si>
  <si>
    <t>ACT: .f; ↓že</t>
  </si>
  <si>
    <t>CPHR: {hanba,jeden,líto,stydno-1,trapno,...}</t>
  </si>
  <si>
    <t>"bývat-022"</t>
  </si>
  <si>
    <t>ACT: 1; 2; .f; ↓aby</t>
  </si>
  <si>
    <t>CPHR: {potřeba,třeba-1,...}</t>
  </si>
  <si>
    <t>"bývat-023"</t>
  </si>
  <si>
    <t>ACT: .f; ↓aby</t>
  </si>
  <si>
    <t>CPHR: {možný,nutný,záhodno-1,zatěžko,...}</t>
  </si>
  <si>
    <t>"bývat-024"</t>
  </si>
  <si>
    <t>DPHR: líto</t>
  </si>
  <si>
    <t>PAT: 2</t>
  </si>
  <si>
    <t>"bývávat-001"</t>
  </si>
  <si>
    <t>"bývávat-002"</t>
  </si>
  <si>
    <t>"bědovat-001"</t>
  </si>
  <si>
    <t>?PAT: na+4; ↓že; ↓c; nad+7</t>
  </si>
  <si>
    <t>"běhat-001"</t>
  </si>
  <si>
    <t>"běhat-002"</t>
  </si>
  <si>
    <t>"běhat-003"</t>
  </si>
  <si>
    <t>"běhat-004"</t>
  </si>
  <si>
    <t>DPHR: mráz.S1,po-1[záda:P6]</t>
  </si>
  <si>
    <t>"běhat-005"</t>
  </si>
  <si>
    <t>"bělat-se-001"</t>
  </si>
  <si>
    <t>"běžet-001"</t>
  </si>
  <si>
    <t>"běžet-002"</t>
  </si>
  <si>
    <t>"běžet-003"</t>
  </si>
  <si>
    <t>ACT-&gt;ARG0/10,ARG1/4</t>
  </si>
  <si>
    <t>DIR3-&gt;ARG2/4</t>
  </si>
  <si>
    <t>"běžet-004"</t>
  </si>
  <si>
    <t>ACT-&gt;ARG0/15,ARG1/259</t>
  </si>
  <si>
    <t>"běžet-005"</t>
  </si>
  <si>
    <t>"běžet-006"</t>
  </si>
  <si>
    <t>ACT-&gt;ARG0/4,ARG1/211</t>
  </si>
  <si>
    <t>"běžet-007"</t>
  </si>
  <si>
    <t>ACT-&gt;ARG0/1,ARG1/32</t>
  </si>
  <si>
    <t>"běžet-008"</t>
  </si>
  <si>
    <t>DPHR: jako[na-1[drátek.P6]]; jako[po-1[drátek.P6]]</t>
  </si>
  <si>
    <t>"běžet-009"</t>
  </si>
  <si>
    <t>"běžkařit-001"</t>
  </si>
  <si>
    <t>"běžkovat-001"</t>
  </si>
  <si>
    <t>"cachtat-se-001"</t>
  </si>
  <si>
    <t>"cedit-001"</t>
  </si>
  <si>
    <t>PAT: .s</t>
  </si>
  <si>
    <t>?ADDR: k+3; na+4</t>
  </si>
  <si>
    <t>"cedit-002"</t>
  </si>
  <si>
    <t>"cejchovat-001"</t>
  </si>
  <si>
    <t>EFF: 7; 4[{jako,jakožto}:/AuxY]; .a4[{jako,jakožto}:/AuxY]; za+4; za-1[.a4]</t>
  </si>
  <si>
    <t>"cejchovat-002"</t>
  </si>
  <si>
    <t>"ceknout-001"</t>
  </si>
  <si>
    <t>PAT: o+6; ↓c</t>
  </si>
  <si>
    <t>"celebrovat-001"</t>
  </si>
  <si>
    <t>"cementovat-001"</t>
  </si>
  <si>
    <t>"cenit-001"</t>
  </si>
  <si>
    <t>ACT-&gt;ARG0/26,ARG1/4</t>
  </si>
  <si>
    <t>PAT-&gt;ARG1/96,ARG2/6</t>
  </si>
  <si>
    <t>EFF-&gt;ARG2/184</t>
  </si>
  <si>
    <t>"cenit-002"</t>
  </si>
  <si>
    <t>"cenit-si-001"</t>
  </si>
  <si>
    <t>ACT-&gt;ARG0/23</t>
  </si>
  <si>
    <t>PAT: 2; 4; ↓že</t>
  </si>
  <si>
    <t>"cenit-si-002"</t>
  </si>
  <si>
    <t>ACT-&gt;ARG0/25</t>
  </si>
  <si>
    <t>PAT: 2; 4</t>
  </si>
  <si>
    <t>PAT-&gt;ARG1/30</t>
  </si>
  <si>
    <t>EFF-&gt;ARG2/80</t>
  </si>
  <si>
    <t>"centralizovat-001"</t>
  </si>
  <si>
    <t>"centrovat-001"</t>
  </si>
  <si>
    <t>"cenzurovat-001"</t>
  </si>
  <si>
    <t>"cestovat-001"</t>
  </si>
  <si>
    <t>"charakterizovat-001"</t>
  </si>
  <si>
    <t>ACT-&gt;ARG0/46</t>
  </si>
  <si>
    <t>PAT-&gt;ARG1/47</t>
  </si>
  <si>
    <t>"chatovat-001"</t>
  </si>
  <si>
    <t>"chcát-001"</t>
  </si>
  <si>
    <t>"chladit-001"</t>
  </si>
  <si>
    <t>"chladnout-001"</t>
  </si>
  <si>
    <t>"chladnout-002"</t>
  </si>
  <si>
    <t>"chlastat-001"</t>
  </si>
  <si>
    <t>"chlubit-se-001"</t>
  </si>
  <si>
    <t>ACT-&gt;ARG0/146,ARG1/1</t>
  </si>
  <si>
    <t>PAT-&gt;ARG1/179</t>
  </si>
  <si>
    <t>ADDR-&gt;ARG2/1</t>
  </si>
  <si>
    <t>"chlácholit-001"</t>
  </si>
  <si>
    <t>"chodit-001"</t>
  </si>
  <si>
    <t>ACT-&gt;ARG0/12</t>
  </si>
  <si>
    <t>PAT-&gt;ARG1/3</t>
  </si>
  <si>
    <t>"chodit-002"</t>
  </si>
  <si>
    <t>PAT: .a</t>
  </si>
  <si>
    <t>"chodit-003"</t>
  </si>
  <si>
    <t>"chodit-004"</t>
  </si>
  <si>
    <t>PAT: za+4; 1[{jako,jakožto}:/AuxY]</t>
  </si>
  <si>
    <t>"chodit-005"</t>
  </si>
  <si>
    <t>DIR2-&gt;ARG2/10</t>
  </si>
  <si>
    <t>"chodit-006"</t>
  </si>
  <si>
    <t>ACT-&gt;ARG0/55,ARG1/199</t>
  </si>
  <si>
    <t>DIR3-&gt;ARG1/36</t>
  </si>
  <si>
    <t>"chodit-007"</t>
  </si>
  <si>
    <t>ACT-&gt;ARG0/160</t>
  </si>
  <si>
    <t>"chodit-008"</t>
  </si>
  <si>
    <t>"chodit-009"</t>
  </si>
  <si>
    <t>DPHR: kolem-1[kaše.S2[horký.#]]</t>
  </si>
  <si>
    <t>"chodit-010"</t>
  </si>
  <si>
    <t>DPHR: po-1[špička.P6]</t>
  </si>
  <si>
    <t>"chodit-011"</t>
  </si>
  <si>
    <t>"chodit-012"</t>
  </si>
  <si>
    <t>"chodit-013"</t>
  </si>
  <si>
    <t>DPHR: ten.NS1</t>
  </si>
  <si>
    <t>"chodit-014"</t>
  </si>
  <si>
    <t>"chodit-015"</t>
  </si>
  <si>
    <t>DPHR: pro-1[rána.S4],daleko-1</t>
  </si>
  <si>
    <t>"chodit-016"</t>
  </si>
  <si>
    <t>"chodívat-001"</t>
  </si>
  <si>
    <t>"chodívat-002"</t>
  </si>
  <si>
    <t>"chodívávat-001"</t>
  </si>
  <si>
    <t>"chopit-se-001"</t>
  </si>
  <si>
    <t>ACT-&gt;ARG0/550,ARG1/26,ARG2/1</t>
  </si>
  <si>
    <t>PAT-&gt;ARG1/708,ARG2/26</t>
  </si>
  <si>
    <t>"choulit-se-001"</t>
  </si>
  <si>
    <t>"chovat-001"</t>
  </si>
  <si>
    <t>PAT-&gt;ARG1/12</t>
  </si>
  <si>
    <t>"chovat-002"</t>
  </si>
  <si>
    <t>"chovat-003"</t>
  </si>
  <si>
    <t>"chovat-004"</t>
  </si>
  <si>
    <t>CPHR: {cit,důvěra,naděje,nenávist,nepřátelství,podezření,přátelství,...}.4</t>
  </si>
  <si>
    <t>"chovat-005"</t>
  </si>
  <si>
    <t>DPHR: jako[v-1[bavlnka.S6]]</t>
  </si>
  <si>
    <t>"chovat-se-001"</t>
  </si>
  <si>
    <t>ACT-&gt;ARG0/99,ARG1/3191,ARG2/298</t>
  </si>
  <si>
    <t>MANN-&gt;ARG1/192,ARG2/3547</t>
  </si>
  <si>
    <t>CRIT-&gt;ARG1/9</t>
  </si>
  <si>
    <t>"chovávat-001"</t>
  </si>
  <si>
    <t>"christianizovat-001"</t>
  </si>
  <si>
    <t>"chrlit-001"</t>
  </si>
  <si>
    <t>"chránit-001"</t>
  </si>
  <si>
    <t>?EFF: před+7; proti+3; od+2</t>
  </si>
  <si>
    <t>ACT-&gt;ARG0/103,ARG1/1,ARG3/28</t>
  </si>
  <si>
    <t>PAT-&gt;ARG1/284,ARG2/2</t>
  </si>
  <si>
    <t>EFF-&gt;ARG1/1,ARG2/91</t>
  </si>
  <si>
    <t>PAT-&gt;ARG1/7</t>
  </si>
  <si>
    <t>EFF-&gt;ARG2/5</t>
  </si>
  <si>
    <t>"chránit-002"</t>
  </si>
  <si>
    <t>DPHR: Pán[Bůh.S1]; pánbůh; Bůh</t>
  </si>
  <si>
    <t>"chrápat-001"</t>
  </si>
  <si>
    <t>"chtít-001"</t>
  </si>
  <si>
    <t>PAT: 4; 3; ↓aby; .f</t>
  </si>
  <si>
    <t>?ORIG: po+6; na+6; od+2</t>
  </si>
  <si>
    <t>ACT-&gt;ARG0/3620,ARG1/19</t>
  </si>
  <si>
    <t>PAT-&gt;ARG0/1,ARG1/3800</t>
  </si>
  <si>
    <t>"chtít-002"</t>
  </si>
  <si>
    <t>PAT: .f; 4</t>
  </si>
  <si>
    <t>---: [se]</t>
  </si>
  <si>
    <t>ACT-&gt;ARG0/607</t>
  </si>
  <si>
    <t>PAT-&gt;ARG1/632</t>
  </si>
  <si>
    <t>"chudnout-001"</t>
  </si>
  <si>
    <t>"chutnat-001"</t>
  </si>
  <si>
    <t>"chutnat-002"</t>
  </si>
  <si>
    <t>?PAT: po+6</t>
  </si>
  <si>
    <t>"chutnat-003"</t>
  </si>
  <si>
    <t>"chválit-001"</t>
  </si>
  <si>
    <t>ACT-&gt;ARG0/16</t>
  </si>
  <si>
    <t>PAT-&gt;ARG1/16</t>
  </si>
  <si>
    <t>"chvástat-se-001"</t>
  </si>
  <si>
    <t>"chvátat-001"</t>
  </si>
  <si>
    <t>"chvátat-002"</t>
  </si>
  <si>
    <t>"chvět-se-001"</t>
  </si>
  <si>
    <t>"chybit-001"</t>
  </si>
  <si>
    <t>"chybovat-001"</t>
  </si>
  <si>
    <t>"chybět-001"</t>
  </si>
  <si>
    <t>ACT-&gt;ARG1/62,ARG2/1</t>
  </si>
  <si>
    <t>PAT-&gt;ARG0/41,ARG1/401</t>
  </si>
  <si>
    <t>"chybět-002"</t>
  </si>
  <si>
    <t>ACT-&gt;ARG0/36</t>
  </si>
  <si>
    <t>PAT-&gt;ARG1/57</t>
  </si>
  <si>
    <t>"chybět-003"</t>
  </si>
  <si>
    <t>ACT-&gt;ARG1/3308,ARG2/297</t>
  </si>
  <si>
    <t>LOC-&gt;ARG0/4</t>
  </si>
  <si>
    <t>"chybět-004"</t>
  </si>
  <si>
    <t>"chybět-005"</t>
  </si>
  <si>
    <t>EFF: .f</t>
  </si>
  <si>
    <t>"chystat-001"</t>
  </si>
  <si>
    <t>ACT-&gt;ARG0/2154,ARG1/19</t>
  </si>
  <si>
    <t>PAT-&gt;ARG0/1,ARG1/2256</t>
  </si>
  <si>
    <t>"chystat-002"</t>
  </si>
  <si>
    <t>ACT-&gt;ARG0/343</t>
  </si>
  <si>
    <t>PAT-&gt;ARG1/3631,ARG2/298</t>
  </si>
  <si>
    <t>"chystat-se-001"</t>
  </si>
  <si>
    <t>PAT: .f; na+4; k+3; ↓že</t>
  </si>
  <si>
    <t>ACT-&gt;ARG0/416,ARG1/84</t>
  </si>
  <si>
    <t>PAT-&gt;ARG1/397,ARG2/29</t>
  </si>
  <si>
    <t>"chytat-001"</t>
  </si>
  <si>
    <t>"chytat-002"</t>
  </si>
  <si>
    <t>"chytat-003"</t>
  </si>
  <si>
    <t>"chytat-004"</t>
  </si>
  <si>
    <t>"--chytat-005"</t>
  </si>
  <si>
    <t>"chytat-006"</t>
  </si>
  <si>
    <t>"chytat-se-001"</t>
  </si>
  <si>
    <t>"chytat-se-002"</t>
  </si>
  <si>
    <t>DPHR: za-1[hlava.S4]</t>
  </si>
  <si>
    <t>"chytat-se-003"</t>
  </si>
  <si>
    <t>"chytit-001"</t>
  </si>
  <si>
    <t>ACT-&gt;ARG0/37</t>
  </si>
  <si>
    <t>PAT-&gt;ARG1/71</t>
  </si>
  <si>
    <t>"chytit-002"</t>
  </si>
  <si>
    <t>PAT-&gt;ARG1/18</t>
  </si>
  <si>
    <t>"chytit-003"</t>
  </si>
  <si>
    <t>"chytit-004"</t>
  </si>
  <si>
    <t>"chytit-005"</t>
  </si>
  <si>
    <t>DPHR: dech:S4[druhý-1.#]; dech</t>
  </si>
  <si>
    <t>DPHR-&gt;ARG1/4</t>
  </si>
  <si>
    <t>"chytit-006"</t>
  </si>
  <si>
    <t>DPHR: za-1[pačesy.P4]</t>
  </si>
  <si>
    <t>"chytit-007"</t>
  </si>
  <si>
    <t>DPHR: vítr.S4</t>
  </si>
  <si>
    <t>DPHR-&gt;ARG1/1,ARG2/1</t>
  </si>
  <si>
    <t>"chytit-008"</t>
  </si>
  <si>
    <t>"chytit-009"</t>
  </si>
  <si>
    <t>"chytit-010"</t>
  </si>
  <si>
    <t>"chytit-011"</t>
  </si>
  <si>
    <t>"chytit-se-001"</t>
  </si>
  <si>
    <t>ACT-&gt;ARG0/6,ARG1/1</t>
  </si>
  <si>
    <t>PAT-&gt;ARG0/1,ARG1/6</t>
  </si>
  <si>
    <t>"chytit-se-002"</t>
  </si>
  <si>
    <t>PAT-&gt;ARG1/5</t>
  </si>
  <si>
    <t>"chytit-se-003"</t>
  </si>
  <si>
    <t>ACT-&gt;ARG0/1,ARG1/39</t>
  </si>
  <si>
    <t>"chytit-se-004"</t>
  </si>
  <si>
    <t>"chytit-se-005"</t>
  </si>
  <si>
    <t>"chytit-se-006"</t>
  </si>
  <si>
    <t>"chytit-se-007"</t>
  </si>
  <si>
    <t>"chytnout-001"</t>
  </si>
  <si>
    <t>"chytnout-002"</t>
  </si>
  <si>
    <t>"chytnout-003"</t>
  </si>
  <si>
    <t>"chytnout-004"</t>
  </si>
  <si>
    <t>"chytnout-005"</t>
  </si>
  <si>
    <t>"chytnout-006"</t>
  </si>
  <si>
    <t>"chytnout-007"</t>
  </si>
  <si>
    <t>?ORIG: od+2; z+2</t>
  </si>
  <si>
    <t>"chytnout-008"</t>
  </si>
  <si>
    <t>"chytnout-009"</t>
  </si>
  <si>
    <t>"chytnout-se-001"</t>
  </si>
  <si>
    <t>"chytnout-se-002"</t>
  </si>
  <si>
    <t>"chytnout-se-003"</t>
  </si>
  <si>
    <t>"chápat-001"</t>
  </si>
  <si>
    <t>ACT-&gt;ARG0/466,ARG1/1,ARG2/1</t>
  </si>
  <si>
    <t>PAT-&gt;ARG1/621,ARG3/4</t>
  </si>
  <si>
    <t>EFF: 4[{jako,jakožto}:/AuxY]; .a4[{jako,jakožto}:/AuxY]</t>
  </si>
  <si>
    <t>EFF-&gt;ARG1/28,ARG2/463</t>
  </si>
  <si>
    <t>"chápat-002"</t>
  </si>
  <si>
    <t>PAT: 7; pod+7</t>
  </si>
  <si>
    <t>"chápat-003"</t>
  </si>
  <si>
    <t>ACT-&gt;ARG0/528,ARG1/1</t>
  </si>
  <si>
    <t>PAT: 4; 2; ↓že; ↓jak-2; ↓c</t>
  </si>
  <si>
    <t>PAT-&gt;ARG1/555,ARG2/1</t>
  </si>
  <si>
    <t>"chápat-004"</t>
  </si>
  <si>
    <t>"chápat-se-001"</t>
  </si>
  <si>
    <t>"chátrat-001"</t>
  </si>
  <si>
    <t>ACT-&gt;ARG1/14</t>
  </si>
  <si>
    <t>"chýlit-se-001"</t>
  </si>
  <si>
    <t>"chňapat-001"</t>
  </si>
  <si>
    <t>PAT: po+6</t>
  </si>
  <si>
    <t>"chňapnout-001"</t>
  </si>
  <si>
    <t>"chřadnout-001"</t>
  </si>
  <si>
    <t>ACT-&gt;ARG1/6</t>
  </si>
  <si>
    <t>"cinkat-001"</t>
  </si>
  <si>
    <t>"cinkat-002"</t>
  </si>
  <si>
    <t>"cinknout-001"</t>
  </si>
  <si>
    <t>"cirkulovat-001"</t>
  </si>
  <si>
    <t>"citovat-001"</t>
  </si>
  <si>
    <t>ACT-&gt;ARG0/110,ARG1/4</t>
  </si>
  <si>
    <t>PAT-&gt;ARG1/284,ARG2/8</t>
  </si>
  <si>
    <t>"civilizovat-001"</t>
  </si>
  <si>
    <t>"civět-001"</t>
  </si>
  <si>
    <t>PAT: na+4; ↓c</t>
  </si>
  <si>
    <t>"cizelovat-001"</t>
  </si>
  <si>
    <t>"claimovat-001"</t>
  </si>
  <si>
    <t>PAT: 4; .f; ↓aby</t>
  </si>
  <si>
    <t>?ORIG: od+2; na+6; po+6</t>
  </si>
  <si>
    <t>"clít-001"</t>
  </si>
  <si>
    <t>"couvat-001"</t>
  </si>
  <si>
    <t>ACT-&gt;ARG0/7,ARG1/7</t>
  </si>
  <si>
    <t>?PAT: před+7</t>
  </si>
  <si>
    <t>"couvnout-001"</t>
  </si>
  <si>
    <t>ACT-&gt;ARG0/1,ARG1/19</t>
  </si>
  <si>
    <t>?PAT: před+7; od+2</t>
  </si>
  <si>
    <t>PAT-&gt;ARG1/14</t>
  </si>
  <si>
    <t>"couvnout-002"</t>
  </si>
  <si>
    <t>"cpát-001"</t>
  </si>
  <si>
    <t>EFF: 7</t>
  </si>
  <si>
    <t>"cpát-002"</t>
  </si>
  <si>
    <t>"cpát-003"</t>
  </si>
  <si>
    <t>"cpát-004"</t>
  </si>
  <si>
    <t>"cpát-se-001"</t>
  </si>
  <si>
    <t>"cpát-se-002"</t>
  </si>
  <si>
    <t>"crčet-001"</t>
  </si>
  <si>
    <t>"ctít-001"</t>
  </si>
  <si>
    <t>"cukat-001"</t>
  </si>
  <si>
    <t>"cukat-002"</t>
  </si>
  <si>
    <t>"cukat-003"</t>
  </si>
  <si>
    <t>"cukat-se-001"</t>
  </si>
  <si>
    <t>"cuknout-001"</t>
  </si>
  <si>
    <t>"cupkat-001"</t>
  </si>
  <si>
    <t>"cupovat-001"</t>
  </si>
  <si>
    <t>"cvaknout-se-001"</t>
  </si>
  <si>
    <t>"cvičit-001"</t>
  </si>
  <si>
    <t>"cvičit-002"</t>
  </si>
  <si>
    <t>ACT-&gt;ARG0/160,ARG1/1</t>
  </si>
  <si>
    <t>PAT-&gt;ARG1/216</t>
  </si>
  <si>
    <t>"cvičit-003"</t>
  </si>
  <si>
    <t>"cílit-001"</t>
  </si>
  <si>
    <t>PAT-&gt;ARG1/30,ARG2/1</t>
  </si>
  <si>
    <t>EFF: na+4,k+3</t>
  </si>
  <si>
    <t>EFF-&gt;ARG2/73</t>
  </si>
  <si>
    <t>"cílit-002"</t>
  </si>
  <si>
    <t>"cílit-003"</t>
  </si>
  <si>
    <t>"cítit-001"</t>
  </si>
  <si>
    <t>PAT: 4; ↓že; .f</t>
  </si>
  <si>
    <t>"cítit-002"</t>
  </si>
  <si>
    <t>"cítit-003"</t>
  </si>
  <si>
    <t>ACT-&gt;ARG0/132,ARG1/1</t>
  </si>
  <si>
    <t>PAT-&gt;ARG1/152,ARG2/1</t>
  </si>
  <si>
    <t>"cítit-004"</t>
  </si>
  <si>
    <t>PAT: 4; ↓že; ↓jak-2; ↓c</t>
  </si>
  <si>
    <t>PAT-&gt;ARG1/160,ARG2/1</t>
  </si>
  <si>
    <t>"cítit-005"</t>
  </si>
  <si>
    <t>"cítit-006"</t>
  </si>
  <si>
    <t>CPHR: {důvěra,lítost,nespokojenost,nutkání,pocit,potřeba,povinnost,příkaz,respekt,úleva,...}.4</t>
  </si>
  <si>
    <t>ACT-&gt;ARG0/79</t>
  </si>
  <si>
    <t>CPHR-&gt;ARG1/80,ARG2/1</t>
  </si>
  <si>
    <t>ACT-&gt;ARG0/69</t>
  </si>
  <si>
    <t>CPHR-&gt;ARG1/75,ARG2/1</t>
  </si>
  <si>
    <t>ACT-&gt;ARG0/2329,ARG1/20</t>
  </si>
  <si>
    <t>CPHR-&gt;ARG0/1,ARG1/2437</t>
  </si>
  <si>
    <t>"cítit-se-001"</t>
  </si>
  <si>
    <t>ACT-&gt;ARG0/99,ARG1/5</t>
  </si>
  <si>
    <t>PAT: 7; být[.1]; být[.7]; .a1; .a7; .f</t>
  </si>
  <si>
    <t>PAT-&gt;ARG1/113</t>
  </si>
  <si>
    <t>"cítit-se-002"</t>
  </si>
  <si>
    <t>"cítit-se-003"</t>
  </si>
  <si>
    <t>"cítit-se-004"</t>
  </si>
  <si>
    <t>ALT-LOC: *</t>
  </si>
  <si>
    <t>ACT-&gt;ARG0/70,ARG1/8</t>
  </si>
  <si>
    <t>LOC-&gt;ARG1/3</t>
  </si>
  <si>
    <t>MANN-&gt;ARG1/82</t>
  </si>
  <si>
    <t>ACT-&gt;ARG0/66,ARG1/5</t>
  </si>
  <si>
    <t>LOC-&gt;ARG1/17</t>
  </si>
  <si>
    <t>MANN-&gt;ARG1/61</t>
  </si>
  <si>
    <t>"dabovat-001"</t>
  </si>
  <si>
    <t>"danit-001"</t>
  </si>
  <si>
    <t>"darovat-001"</t>
  </si>
  <si>
    <t>ADDR-&gt;ARG2/15</t>
  </si>
  <si>
    <t>"datovat-001"</t>
  </si>
  <si>
    <t>"datovat-se-001"</t>
  </si>
  <si>
    <t>PAT: z+2; od+2</t>
  </si>
  <si>
    <t>"datovat-se-002"</t>
  </si>
  <si>
    <t>TOWH: *</t>
  </si>
  <si>
    <t>TOWH-&gt;ARG2/13</t>
  </si>
  <si>
    <t>"dařit-se-001"</t>
  </si>
  <si>
    <t>PAT: 1; .f; ↓že; ↓aby</t>
  </si>
  <si>
    <t>PAT-&gt;ARG1/41</t>
  </si>
  <si>
    <t>"dařit-se-002"</t>
  </si>
  <si>
    <t>"dařit-se-003"</t>
  </si>
  <si>
    <t>ACT-&gt;ARG0/134,ARG1/105,ARGm-MNR/2</t>
  </si>
  <si>
    <t>MANN-&gt;ARG1/10,ARGm-MNR/22</t>
  </si>
  <si>
    <t>ALT-EXT: *</t>
  </si>
  <si>
    <t>"dbát-001"</t>
  </si>
  <si>
    <t>ACT-&gt;ARG0/67</t>
  </si>
  <si>
    <t>PAT: na+4; 2; o+4; ↓aby; ↓zda</t>
  </si>
  <si>
    <t>PAT-&gt;ARG1/146</t>
  </si>
  <si>
    <t>"debatovat-001"</t>
  </si>
  <si>
    <t>ACT-&gt;ARG0/60</t>
  </si>
  <si>
    <t>PAT: o+6; ↓zda; ↓zdali; ↓jestli; na-1[téma.4]</t>
  </si>
  <si>
    <t>PAT-&gt;ARG1/101</t>
  </si>
  <si>
    <t>ADDR-&gt;ARG2/21</t>
  </si>
  <si>
    <t>"debutovat-001"</t>
  </si>
  <si>
    <t>"decentralizovat-001"</t>
  </si>
  <si>
    <t>"defilovat-001"</t>
  </si>
  <si>
    <t>"definovat-001"</t>
  </si>
  <si>
    <t>ACT-&gt;ARG0/132,ARG1/2,ARG2/1</t>
  </si>
  <si>
    <t>PAT: 4; ↓že; ↓zda; ↓jestli; ↓c</t>
  </si>
  <si>
    <t>PAT-&gt;ARG1/211</t>
  </si>
  <si>
    <t>"deformovat-001"</t>
  </si>
  <si>
    <t>"degenerovat-001"</t>
  </si>
  <si>
    <t>"degradovat-001"</t>
  </si>
  <si>
    <t>ORIG-&gt;ARG3/1</t>
  </si>
  <si>
    <t>EFF-&gt;ARG2/2</t>
  </si>
  <si>
    <t>"deklarovat-001"</t>
  </si>
  <si>
    <t>EFF: za+4; 4[{jako,jakožto}:/AuxY]; .a4[{jako,jakožto}:/AuxY]; za-1[.a4]</t>
  </si>
  <si>
    <t>"deklarovat-002"</t>
  </si>
  <si>
    <t>ACT-&gt;ARG0/65</t>
  </si>
  <si>
    <t>PAT-&gt;ARG1/75,ARG2/1</t>
  </si>
  <si>
    <t>"dekontaminovat-001"</t>
  </si>
  <si>
    <t>"delegovat-001"</t>
  </si>
  <si>
    <t>"delegovat-002"</t>
  </si>
  <si>
    <t>"dementovat-001"</t>
  </si>
  <si>
    <t>"demilitarizovat-001"</t>
  </si>
  <si>
    <t>PAT-&gt;ARG2/1</t>
  </si>
  <si>
    <t>"demobilizovat-001"</t>
  </si>
  <si>
    <t>"demobilizovat-002"</t>
  </si>
  <si>
    <t>"demokratizovat-001"</t>
  </si>
  <si>
    <t>"demolovat-001"</t>
  </si>
  <si>
    <t>"demonstrovat-001"</t>
  </si>
  <si>
    <t>PAT: 4; ↓že; ↓aby; ↓ať; ↓zda; ↓jak-2; ↓c</t>
  </si>
  <si>
    <t>"demonstrovat-002"</t>
  </si>
  <si>
    <t>ACT-&gt;ARG0/9,ARG1/3</t>
  </si>
  <si>
    <t>?PAT: proti+3</t>
  </si>
  <si>
    <t>"demontovat-001"</t>
  </si>
  <si>
    <t>"demoralizovat-001"</t>
  </si>
  <si>
    <t>"denominovat-001"</t>
  </si>
  <si>
    <t>"deponovat-001"</t>
  </si>
  <si>
    <t>"deponovat-002"</t>
  </si>
  <si>
    <t>"deportovat-001"</t>
  </si>
  <si>
    <t>"deprimovat-001"</t>
  </si>
  <si>
    <t>"deptat-001"</t>
  </si>
  <si>
    <t>"desinfikovat-001"</t>
  </si>
  <si>
    <t>"destabilizovat-001"</t>
  </si>
  <si>
    <t>"detekovat-001"</t>
  </si>
  <si>
    <t>"determinovat-001"</t>
  </si>
  <si>
    <t>"devalvovat-001"</t>
  </si>
  <si>
    <t>"devalvovat-002"</t>
  </si>
  <si>
    <t>"devastovat-001"</t>
  </si>
  <si>
    <t>ACT-&gt;ARG2/3</t>
  </si>
  <si>
    <t>"dezertovat-001"</t>
  </si>
  <si>
    <t>"dezinterpretovat-001"</t>
  </si>
  <si>
    <t>"dešifrovat-001"</t>
  </si>
  <si>
    <t>"diagnostikovat-001"</t>
  </si>
  <si>
    <t>PAT-&gt;ARG1/1,ARG2/1</t>
  </si>
  <si>
    <t>"diferencovat-001"</t>
  </si>
  <si>
    <t>PAT: 4; mezi+7</t>
  </si>
  <si>
    <t>ORIG: od+2</t>
  </si>
  <si>
    <t>"diferencovat-se-001"</t>
  </si>
  <si>
    <t>"diferencovat-se-002"</t>
  </si>
  <si>
    <t>"diferencovat-se-003"</t>
  </si>
  <si>
    <t>"diktovat-001"</t>
  </si>
  <si>
    <t>PAT: 4; .f; ↓že; ↓aby; ↓ať; ↓c</t>
  </si>
  <si>
    <t>PAT-&gt;ARG1/11</t>
  </si>
  <si>
    <t>"diktovat-002"</t>
  </si>
  <si>
    <t>"dirigovat-001"</t>
  </si>
  <si>
    <t>PAT-&gt;ARG1/42</t>
  </si>
  <si>
    <t>"dirigovat-002"</t>
  </si>
  <si>
    <t>"diskontovat-001"</t>
  </si>
  <si>
    <t>"diskreditovat-001"</t>
  </si>
  <si>
    <t>"diskriminovat-001"</t>
  </si>
  <si>
    <t>"diskutovat-001"</t>
  </si>
  <si>
    <t>ACT-&gt;ARG0/63</t>
  </si>
  <si>
    <t>PAT: o+6; 4; ↓zda; ↓zdali; ↓jestli; na-1[téma.4]</t>
  </si>
  <si>
    <t>PAT-&gt;ARG1/107</t>
  </si>
  <si>
    <t>"diskvalifikovat-001"</t>
  </si>
  <si>
    <t>"dislokovat-001"</t>
  </si>
  <si>
    <t>"dislokovat-002"</t>
  </si>
  <si>
    <t>"disociovat-001"</t>
  </si>
  <si>
    <t>"disponovat-001"</t>
  </si>
  <si>
    <t>"disponovat-002"</t>
  </si>
  <si>
    <t>PAT: s+7; 7</t>
  </si>
  <si>
    <t>"distancovat-se-001"</t>
  </si>
  <si>
    <t>PAT-&gt;ARG1/1,ARG2/5</t>
  </si>
  <si>
    <t>"distribuovat-001"</t>
  </si>
  <si>
    <t>PAT-&gt;ARG1/118</t>
  </si>
  <si>
    <t>?ADDR: 3; mezi+4</t>
  </si>
  <si>
    <t>ADDR-&gt;ARG1/1,ARG2/16</t>
  </si>
  <si>
    <t>"distribuovat-002"</t>
  </si>
  <si>
    <t>ACT-&gt;ARG0/32</t>
  </si>
  <si>
    <t>PAT-&gt;ARG0/1,ARG1/94</t>
  </si>
  <si>
    <t>"diverzifikovat-001"</t>
  </si>
  <si>
    <t>PAT-&gt;ARG0/4,ARG1/1</t>
  </si>
  <si>
    <t>"divit-se-001"</t>
  </si>
  <si>
    <t>PAT: 3; ↓že; ↓zda; ↓jestli; ↓když; ↓kdyby; ↓c; ↓jak</t>
  </si>
  <si>
    <t>ACT-&gt;ARG0/115</t>
  </si>
  <si>
    <t>"divočet-001"</t>
  </si>
  <si>
    <t>"divočet-002"</t>
  </si>
  <si>
    <t>"dloubat-001"</t>
  </si>
  <si>
    <t>"dlužit-001"</t>
  </si>
  <si>
    <t>ACT-&gt;ARG0/2181,ARG1/19</t>
  </si>
  <si>
    <t>PAT-&gt;ARG0/2,ARG1/2285</t>
  </si>
  <si>
    <t>ADDR-&gt;ARG1/1,ARG2/37</t>
  </si>
  <si>
    <t>"dlužit-002"</t>
  </si>
  <si>
    <t>EXT-&gt;ARG0/1,ARG1/29</t>
  </si>
  <si>
    <t>?PAT: za+4</t>
  </si>
  <si>
    <t>"dlužit-003"</t>
  </si>
  <si>
    <t>PAT-&gt;ARG0/1,ARG1/29</t>
  </si>
  <si>
    <t>EFF-&gt;ARG1/1,ARG3/5</t>
  </si>
  <si>
    <t>"dláždit-001"</t>
  </si>
  <si>
    <t>"dláždit-002"</t>
  </si>
  <si>
    <t>DPHR: cesta.S4</t>
  </si>
  <si>
    <t>"dlít-001"</t>
  </si>
  <si>
    <t>"dmout-se-001"</t>
  </si>
  <si>
    <t>"dobelhat-001"</t>
  </si>
  <si>
    <t>"doblekotat-se-001"</t>
  </si>
  <si>
    <t>"dobrat-001"</t>
  </si>
  <si>
    <t>"dobrat-se-001"</t>
  </si>
  <si>
    <t>PAT: 2; ↓aby</t>
  </si>
  <si>
    <t>?ORIG: na+6; od+2</t>
  </si>
  <si>
    <t>"dobrat-se-002"</t>
  </si>
  <si>
    <t>PAT: k+3; 2</t>
  </si>
  <si>
    <t>"dobudovat-001"</t>
  </si>
  <si>
    <t>"dobíjet-001"</t>
  </si>
  <si>
    <t>DPHR: baterky</t>
  </si>
  <si>
    <t>"dobírat-si-001"</t>
  </si>
  <si>
    <t>"dobít-001"</t>
  </si>
  <si>
    <t>"dobýt-001"</t>
  </si>
  <si>
    <t>ACT-&gt;ARG0/117,ARG1/2</t>
  </si>
  <si>
    <t>"dobývat-001"</t>
  </si>
  <si>
    <t>"dobývat-se-001"</t>
  </si>
  <si>
    <t>"doběhnout-001"</t>
  </si>
  <si>
    <t>"doběhnout-002"</t>
  </si>
  <si>
    <t>PAT: pro+4</t>
  </si>
  <si>
    <t>"doběhnout-003"</t>
  </si>
  <si>
    <t>"doběhnout-004"</t>
  </si>
  <si>
    <t>ACT-&gt;ARG0/3,ARG1/2</t>
  </si>
  <si>
    <t>"docenit-001"</t>
  </si>
  <si>
    <t>PAT: 4; ↓že; ↓když; ↓c</t>
  </si>
  <si>
    <t>"doceňovat-001"</t>
  </si>
  <si>
    <t>PAT: 4; ↓že; ↓když</t>
  </si>
  <si>
    <t>"dochodit-001"</t>
  </si>
  <si>
    <t>"dochovat-001"</t>
  </si>
  <si>
    <t>"dochovat-se-001"</t>
  </si>
  <si>
    <t>"dochytat-001"</t>
  </si>
  <si>
    <t>"docházet-001"</t>
  </si>
  <si>
    <t>"docházet-002"</t>
  </si>
  <si>
    <t>"docházet-003"</t>
  </si>
  <si>
    <t>ACT-&gt;ARG2/2</t>
  </si>
  <si>
    <t>PAT: 1; ↓že; ↓zda; ↓jestli; ↓jak-2</t>
  </si>
  <si>
    <t>"docházet-004"</t>
  </si>
  <si>
    <t>"docházet-005"</t>
  </si>
  <si>
    <t>"docházet-006"</t>
  </si>
  <si>
    <t>ACT-&gt;ARG1/3116,ARG2/296</t>
  </si>
  <si>
    <t>"docházet-007"</t>
  </si>
  <si>
    <t>"docházet-008"</t>
  </si>
  <si>
    <t>ACT: k+3</t>
  </si>
  <si>
    <t>ACT-&gt;ARG0/249,ARG1/976,ARG4/1</t>
  </si>
  <si>
    <t>"docházet-009"</t>
  </si>
  <si>
    <t>"docilovat-001"</t>
  </si>
  <si>
    <t>PAT-&gt;ARG1/165</t>
  </si>
  <si>
    <t>"docvičit-001"</t>
  </si>
  <si>
    <t>"docílit-001"</t>
  </si>
  <si>
    <t>ACT-&gt;ARG0/2499,ARG1/21</t>
  </si>
  <si>
    <t>PAT: 2; 4; ↓aby</t>
  </si>
  <si>
    <t>PAT-&gt;ARG0/1,ARG1/2726</t>
  </si>
  <si>
    <t>ORIG-&gt;ARG1/1,ARG2/2</t>
  </si>
  <si>
    <t>"docílit-002"</t>
  </si>
  <si>
    <t>ACT-&gt;ARG0/2443,ARG1/89</t>
  </si>
  <si>
    <t>PAT-&gt;ARG0/1,ARG1/2638,ARG2/15</t>
  </si>
  <si>
    <t>"docílit-003"</t>
  </si>
  <si>
    <t>DPHR: svůj-1.2</t>
  </si>
  <si>
    <t>"dodanit-001"</t>
  </si>
  <si>
    <t>"dodat-001"</t>
  </si>
  <si>
    <t>ACT-&gt;ARG0/366,ARG1/5</t>
  </si>
  <si>
    <t>PAT: 4; 2; na+6</t>
  </si>
  <si>
    <t>PAT-&gt;ARG1/539</t>
  </si>
  <si>
    <t>ADDR-&gt;ARG1/22,ARG2/132</t>
  </si>
  <si>
    <t>"dodat-002"</t>
  </si>
  <si>
    <t>ACT-&gt;ARG0/965,ARG1/10</t>
  </si>
  <si>
    <t>PAT-&gt;ARG0/1,ARG1/1340,ARG2/51</t>
  </si>
  <si>
    <t>ADDR-&gt;ARG1/20,ARG2/204</t>
  </si>
  <si>
    <t>"dodat-003"</t>
  </si>
  <si>
    <t>ACT-&gt;ARG1/50</t>
  </si>
  <si>
    <t>PAT-&gt;ARG2/88</t>
  </si>
  <si>
    <t>EFF: na+4</t>
  </si>
  <si>
    <t>EFF-&gt;ARG4/100</t>
  </si>
  <si>
    <t>"dodat-004"</t>
  </si>
  <si>
    <t>PAT-&gt;ARG0/1,ARG1/300</t>
  </si>
  <si>
    <t>DIR3-&gt;ARG2/8</t>
  </si>
  <si>
    <t>"dodat-005"</t>
  </si>
  <si>
    <t>ACT-&gt;ARG0/12490,ARG1/40</t>
  </si>
  <si>
    <t>EFF: 4; ↓že; ↓aby; ↓zda; ↓jestli; ↓c; .s</t>
  </si>
  <si>
    <t>EFF-&gt;ARG0/2,ARG1/10907,ARG2/2</t>
  </si>
  <si>
    <t>?PAT: k+3</t>
  </si>
  <si>
    <t>PAT-&gt;ARG0/2,ARG1/8,ARG2/1,ARG3/29</t>
  </si>
  <si>
    <t>"dodržet-001"</t>
  </si>
  <si>
    <t>ACT-&gt;ARG0/138,ARG1/4</t>
  </si>
  <si>
    <t>PAT-&gt;ARG1/287,ARG2/1</t>
  </si>
  <si>
    <t>"dodržovat-001"</t>
  </si>
  <si>
    <t>ACT-&gt;ARG0/60,ARG1/101</t>
  </si>
  <si>
    <t>PAT-&gt;ARG1/79,ARG2/1</t>
  </si>
  <si>
    <t>"dodržovat-002"</t>
  </si>
  <si>
    <t>ACT-&gt;ARG0/43,ARG1/2</t>
  </si>
  <si>
    <t>PAT-&gt;ARG1/58,ARG2/1</t>
  </si>
  <si>
    <t>"dodržovávat-001"</t>
  </si>
  <si>
    <t>"dodávat-001"</t>
  </si>
  <si>
    <t>ACT-&gt;ARG0/605,ARG1/2</t>
  </si>
  <si>
    <t>PAT-&gt;ARG1/953,ARG2/1</t>
  </si>
  <si>
    <t>ADDR-&gt;ARG1/24,ARG2/431</t>
  </si>
  <si>
    <t>"dodávat-002"</t>
  </si>
  <si>
    <t>ACT-&gt;ARG0/333</t>
  </si>
  <si>
    <t>PAT-&gt;ARG0/2,ARG1/545</t>
  </si>
  <si>
    <t>ADDR-&gt;ARG1/20,ARG2/154</t>
  </si>
  <si>
    <t>"dodávat-003"</t>
  </si>
  <si>
    <t>ACT-&gt;ARG0/177,ARG1/1</t>
  </si>
  <si>
    <t>PAT-&gt;ARG0/1,ARG1/318</t>
  </si>
  <si>
    <t>DIR3-&gt;ARG1/2,ARG2/41</t>
  </si>
  <si>
    <t>"dodávat-004"</t>
  </si>
  <si>
    <t>ACT-&gt;ARG0/12535,ARG1/40</t>
  </si>
  <si>
    <t>EFF-&gt;ARG0/2,ARG1/10962,ARG2/2</t>
  </si>
  <si>
    <t>"dodělat-001"</t>
  </si>
  <si>
    <t>"dodělat-se-001"</t>
  </si>
  <si>
    <t>"dodělávat-001"</t>
  </si>
  <si>
    <t>"dodělávat-002"</t>
  </si>
  <si>
    <t>"dofinišovat-001"</t>
  </si>
  <si>
    <t>"dohadovat-001"</t>
  </si>
  <si>
    <t>ACT-&gt;ARG0/61</t>
  </si>
  <si>
    <t>PAT: 4; ↓že; ↓aby; ↓c; ↓ať</t>
  </si>
  <si>
    <t>PAT-&gt;ARG1/2,ARG2/63</t>
  </si>
  <si>
    <t>ADDR-&gt;ARG1/34,ARG2/3</t>
  </si>
  <si>
    <t>"dohadovat-se-001"</t>
  </si>
  <si>
    <t>PAT: o+6; na+6; ↓že; ↓zda; ↓jestli; ↓c; ↓aby; .s</t>
  </si>
  <si>
    <t>PAT-&gt;ARG1/19</t>
  </si>
  <si>
    <t>"dohasit-001"</t>
  </si>
  <si>
    <t>"dohasnout-001"</t>
  </si>
  <si>
    <t>"dohledávat-001"</t>
  </si>
  <si>
    <t>PAT: 4; ↓jestli; ↓zda; ↓c</t>
  </si>
  <si>
    <t>"dohlédnout-001"</t>
  </si>
  <si>
    <t>PAT: na+4; ↓aby; ↓zda; ↓jestli; ↓ať; ↓c</t>
  </si>
  <si>
    <t>"dohlédnout-002"</t>
  </si>
  <si>
    <t>"dohlídnout-001"</t>
  </si>
  <si>
    <t>"dohlížet-001"</t>
  </si>
  <si>
    <t>ACT-&gt;ARG0/127</t>
  </si>
  <si>
    <t>PAT: na+4; nad+7; ↓aby; ↓zda; ↓jestli; ↓ať; ↓c</t>
  </si>
  <si>
    <t>PAT-&gt;ARG1/148</t>
  </si>
  <si>
    <t>"dohnat-001"</t>
  </si>
  <si>
    <t>ACT-&gt;ARG0/29</t>
  </si>
  <si>
    <t>ADDR-&gt;ARG1/52</t>
  </si>
  <si>
    <t>"dohnat-002"</t>
  </si>
  <si>
    <t>"dohnat-003"</t>
  </si>
  <si>
    <t>"dohnat-004"</t>
  </si>
  <si>
    <t>PAT-&gt;ARG1/39</t>
  </si>
  <si>
    <t>"dohnat-005"</t>
  </si>
  <si>
    <t>"dohodit-001"</t>
  </si>
  <si>
    <t>PAT: 4; 7</t>
  </si>
  <si>
    <t>"dohodit-002"</t>
  </si>
  <si>
    <t>DPHR: co-1:1,být:$1&lt;V&gt;$2&lt;c&gt;$4&lt;-&gt;$8&lt;-&gt;,kámen.S7</t>
  </si>
  <si>
    <t>"dohodit-003"</t>
  </si>
  <si>
    <t>"dohodnout-001"</t>
  </si>
  <si>
    <t>ACT-&gt;ARG0/379</t>
  </si>
  <si>
    <t>PAT-&gt;ARG0/1,ARG1/343</t>
  </si>
  <si>
    <t>"dohodnout-se-001"</t>
  </si>
  <si>
    <t>ACT-&gt;ARG0/718,ARG1/1</t>
  </si>
  <si>
    <t>PAT: o+6; na+6; ↓že; ↓zda; ↓jestli; ↓c; ↓aby; .f; .s</t>
  </si>
  <si>
    <t>PAT-&gt;ARG0/1,ARG1/736,ARG2/36</t>
  </si>
  <si>
    <t>ADDR: s+7; mezi-1[.P7]; mezi+7,mezi+7</t>
  </si>
  <si>
    <t>ADDR-&gt;ARG2/8</t>
  </si>
  <si>
    <t>"dohonit-001"</t>
  </si>
  <si>
    <t>"dohonit-002"</t>
  </si>
  <si>
    <t>"dohonit-003"</t>
  </si>
  <si>
    <t>"dohrát-001"</t>
  </si>
  <si>
    <t>ACT-&gt;ARG0/31,ARG1/2</t>
  </si>
  <si>
    <t>"dohrávat-001"</t>
  </si>
  <si>
    <t>"dohánět-001"</t>
  </si>
  <si>
    <t>PAT-&gt;ARG1/1,ARG2/3</t>
  </si>
  <si>
    <t>ADDR-&gt;ARG1/7</t>
  </si>
  <si>
    <t>"dohánět-002"</t>
  </si>
  <si>
    <t>"dojednat-001"</t>
  </si>
  <si>
    <t>ACT-&gt;ARG0/227</t>
  </si>
  <si>
    <t>PAT: 4; ↓že; ↓aby; ↓zda; ↓jestli; ↓c</t>
  </si>
  <si>
    <t>PAT-&gt;ARG1/294,ARG2/63</t>
  </si>
  <si>
    <t>ADDR-&gt;ARG1/37,ARG2/20</t>
  </si>
  <si>
    <t>"dojednávat-001"</t>
  </si>
  <si>
    <t>ACT-&gt;ARG0/121</t>
  </si>
  <si>
    <t>PAT-&gt;ARG1/103,ARG2/63</t>
  </si>
  <si>
    <t>ADDR-&gt;ARG1/34,ARG2/24</t>
  </si>
  <si>
    <t>"dojet-001"</t>
  </si>
  <si>
    <t>"dojet-002"</t>
  </si>
  <si>
    <t>ACT-&gt;ARG0/19</t>
  </si>
  <si>
    <t>"dojet-003"</t>
  </si>
  <si>
    <t>"dojit-001"</t>
  </si>
  <si>
    <t>"dojit-002"</t>
  </si>
  <si>
    <t>"dojmout-001"</t>
  </si>
  <si>
    <t>"dojímat-001"</t>
  </si>
  <si>
    <t>"dojíst-001"</t>
  </si>
  <si>
    <t>"dojít-001"</t>
  </si>
  <si>
    <t>PAT: 2; do+2</t>
  </si>
  <si>
    <t>"dojít-002"</t>
  </si>
  <si>
    <t>"dojít-003"</t>
  </si>
  <si>
    <t>ACT-&gt;ARG0/464,ARG1/10</t>
  </si>
  <si>
    <t>PAT-&gt;ARG1/1041,ARG2/3451</t>
  </si>
  <si>
    <t>"dojít-004"</t>
  </si>
  <si>
    <t>PAT: 1; ↓že; ↓zda; ↓jestli; ↓jak-2; ↓c</t>
  </si>
  <si>
    <t>ACT-&gt;ARG0/39</t>
  </si>
  <si>
    <t>"dojít-005"</t>
  </si>
  <si>
    <t>ACT-&gt;ARG0/5,ARG1/82</t>
  </si>
  <si>
    <t>DIR3-&gt;ARG4/27</t>
  </si>
  <si>
    <t>"dojít-006"</t>
  </si>
  <si>
    <t>ACT-&gt;ARG1/101</t>
  </si>
  <si>
    <t>"dojít-007"</t>
  </si>
  <si>
    <t>ACT-&gt;ARG1/3,ARG2/7</t>
  </si>
  <si>
    <t>"dojít-008"</t>
  </si>
  <si>
    <t>"dojít-009"</t>
  </si>
  <si>
    <t>ACT-&gt;ARG0/434,ARG1/7675,ARG2/304</t>
  </si>
  <si>
    <t>"dojít-010"</t>
  </si>
  <si>
    <t>ACT-&gt;ARG1/15</t>
  </si>
  <si>
    <t>"dojít-011"</t>
  </si>
  <si>
    <t>"dojít-012"</t>
  </si>
  <si>
    <t>ACT-&gt;ARG0/5,ARG1/212</t>
  </si>
  <si>
    <t>DPHR: daleko-1</t>
  </si>
  <si>
    <t>"dojít-013"</t>
  </si>
  <si>
    <t>"dojít-014"</t>
  </si>
  <si>
    <t>"dojít-015"</t>
  </si>
  <si>
    <t>"dojíždět-001"</t>
  </si>
  <si>
    <t>"dojíždět-002"</t>
  </si>
  <si>
    <t>"dokazovat-001"</t>
  </si>
  <si>
    <t>PAT-&gt;ARG1/379</t>
  </si>
  <si>
    <t>"dokazovat-002"</t>
  </si>
  <si>
    <t>ACT-&gt;ARG0/20,ARG1/2</t>
  </si>
  <si>
    <t>PAT-&gt;ARG1/421</t>
  </si>
  <si>
    <t>"dokazovat-003"</t>
  </si>
  <si>
    <t>EFF: 4; ↓že</t>
  </si>
  <si>
    <t>"dokladovat-001"</t>
  </si>
  <si>
    <t>"doklepnout-001"</t>
  </si>
  <si>
    <t>"doklopýtat-001"</t>
  </si>
  <si>
    <t>"dokládat-001"</t>
  </si>
  <si>
    <t>ACT-&gt;ARG0/22,ARG1/11</t>
  </si>
  <si>
    <t>PAT-&gt;ARG0/6,ARG1/22</t>
  </si>
  <si>
    <t>"dokonat-001"</t>
  </si>
  <si>
    <t>"dokonat-002"</t>
  </si>
  <si>
    <t>"dokončit-001"</t>
  </si>
  <si>
    <t>ACT-&gt;ARG0/201,ARG1/1</t>
  </si>
  <si>
    <t>PAT-&gt;ARG1/380</t>
  </si>
  <si>
    <t>"dokončit-002"</t>
  </si>
  <si>
    <t>ACT-&gt;ARG0/379,ARG1/3106,ARG2/296,ARG3/1</t>
  </si>
  <si>
    <t>PAT-&gt;ARG1/732,ARG2/3451</t>
  </si>
  <si>
    <t>"dokončovat-001"</t>
  </si>
  <si>
    <t>"dokončovat-002"</t>
  </si>
  <si>
    <t>"dokopat-001"</t>
  </si>
  <si>
    <t>"dokopat-002"</t>
  </si>
  <si>
    <t>"dokoupit-001"</t>
  </si>
  <si>
    <t>?ADDR: 3; pro+4</t>
  </si>
  <si>
    <t>"dokralovat-001"</t>
  </si>
  <si>
    <t>"dokreslit-001"</t>
  </si>
  <si>
    <t>?EFF: o+4</t>
  </si>
  <si>
    <t>"dokreslovat-001"</t>
  </si>
  <si>
    <t>"dokrvovat-se-001"</t>
  </si>
  <si>
    <t>"dokumentovat-001"</t>
  </si>
  <si>
    <t>PAT: 4; ↓že; ↓zda</t>
  </si>
  <si>
    <t>"dokumentovat-002"</t>
  </si>
  <si>
    <t>"dokumentovat-003"</t>
  </si>
  <si>
    <t>"dokupovat-001"</t>
  </si>
  <si>
    <t>"dokvétat-001"</t>
  </si>
  <si>
    <t>"dokázat-001"</t>
  </si>
  <si>
    <t>ACT-&gt;ARG0/97,ARG1/29</t>
  </si>
  <si>
    <t>PAT-&gt;ARG1/159</t>
  </si>
  <si>
    <t>ADDR-&gt;ARG0/2,ARG1/64,ARG2/6</t>
  </si>
  <si>
    <t>"dokázat-002"</t>
  </si>
  <si>
    <t>ACT-&gt;ARG0/965,ARG1/458,ARG2/3</t>
  </si>
  <si>
    <t>PAT-&gt;ARG0/3,ARG1/4413,ARG2/446,ARG3/1</t>
  </si>
  <si>
    <t>"dokázat-003"</t>
  </si>
  <si>
    <t>ACT-&gt;ARG0/93,ARG1/2</t>
  </si>
  <si>
    <t>PAT-&gt;ARG1/570</t>
  </si>
  <si>
    <t>"dokázat-004"</t>
  </si>
  <si>
    <t>"dokázat-005"</t>
  </si>
  <si>
    <t>"doladit-001"</t>
  </si>
  <si>
    <t>"dolaďovat-001"</t>
  </si>
  <si>
    <t>"dolehnout-001"</t>
  </si>
  <si>
    <t>"dolehnout-002"</t>
  </si>
  <si>
    <t>"doletět-001"</t>
  </si>
  <si>
    <t>"doložit-001"</t>
  </si>
  <si>
    <t>"doložit-002"</t>
  </si>
  <si>
    <t>"doléhat-001"</t>
  </si>
  <si>
    <t>"doléhat-002"</t>
  </si>
  <si>
    <t>"dolétnout-001"</t>
  </si>
  <si>
    <t>"doléčit-001"</t>
  </si>
  <si>
    <t>"dolít-001"</t>
  </si>
  <si>
    <t>"domazat-001"</t>
  </si>
  <si>
    <t>"dominovat-001"</t>
  </si>
  <si>
    <t>ACT-&gt;ARG0/182</t>
  </si>
  <si>
    <t>PAT: 3; nad+7</t>
  </si>
  <si>
    <t>"dominovat-002"</t>
  </si>
  <si>
    <t>"domlouvat-001"</t>
  </si>
  <si>
    <t>PAT: ↓aby; ↓ať</t>
  </si>
  <si>
    <t>ADDR-&gt;ARG1/3</t>
  </si>
  <si>
    <t>"domlouvat-se-001"</t>
  </si>
  <si>
    <t>"domlouvat-se-002"</t>
  </si>
  <si>
    <t>"domluvit-001"</t>
  </si>
  <si>
    <t>"domluvit-002"</t>
  </si>
  <si>
    <t>"domluvit-003"</t>
  </si>
  <si>
    <t>"domluvit-se-001"</t>
  </si>
  <si>
    <t>"domluvit-se-002"</t>
  </si>
  <si>
    <t>ACT-&gt;ARG0/78</t>
  </si>
  <si>
    <t>PAT-&gt;ARG1/70</t>
  </si>
  <si>
    <t>"domnívat-se-001"</t>
  </si>
  <si>
    <t>ACT-&gt;ARG0/13417,ARG1/3147,ARG2/301</t>
  </si>
  <si>
    <t>PAT: ↓že; .s</t>
  </si>
  <si>
    <t>PAT-&gt;ARG0/2,ARG1/1557,ARG2/3496,ARG3/29</t>
  </si>
  <si>
    <t>"domnívat-se-002"</t>
  </si>
  <si>
    <t>ACT-&gt;ARG0/799,ARG1/8</t>
  </si>
  <si>
    <t>EFF: 4; ↓že; .s</t>
  </si>
  <si>
    <t>EFF-&gt;ARG1/841,ARG2/1</t>
  </si>
  <si>
    <t>PAT-&gt;ARG1/2,ARG2/3</t>
  </si>
  <si>
    <t>"domoci-se-001"</t>
  </si>
  <si>
    <t>"domyslet-001"</t>
  </si>
  <si>
    <t>PAT: 4; ↓zda; ↓jestli; ↓c</t>
  </si>
  <si>
    <t>"domáhat-se-001"</t>
  </si>
  <si>
    <t>ACT-&gt;ARG0/305,ARG2/1</t>
  </si>
  <si>
    <t>PAT-&gt;ARG1/419,ARG2/20</t>
  </si>
  <si>
    <t>ORIG-&gt;ARG1/4,ARG2/13</t>
  </si>
  <si>
    <t>"domýšlet-se-001"</t>
  </si>
  <si>
    <t>PAT: ↓že; ↓zda; ↓jestli; ↓c; .s</t>
  </si>
  <si>
    <t>"donosit-001"</t>
  </si>
  <si>
    <t>"donutit-001"</t>
  </si>
  <si>
    <t>PAT: k+3; ↓aby; ↓ať; .f; ↓že</t>
  </si>
  <si>
    <t>ACT-&gt;ARG0/370</t>
  </si>
  <si>
    <t>PAT-&gt;ARG0/1,ARG1/374,ARG2/191</t>
  </si>
  <si>
    <t>ADDR-&gt;ARG1/518,ARG2/7</t>
  </si>
  <si>
    <t>"donášet-001"</t>
  </si>
  <si>
    <t>"donášet-002"</t>
  </si>
  <si>
    <t>"donášet-003"</t>
  </si>
  <si>
    <t>ACT-&gt;ARG0/3,ARG1/1</t>
  </si>
  <si>
    <t>"donést-001"</t>
  </si>
  <si>
    <t>"donést-002"</t>
  </si>
  <si>
    <t>PAT-&gt;ARG0/3</t>
  </si>
  <si>
    <t>DIR3-&gt;ARG1/3</t>
  </si>
  <si>
    <t>"donést-se-001"</t>
  </si>
  <si>
    <t>"donést-se-002"</t>
  </si>
  <si>
    <t>"dooblíknout-001"</t>
  </si>
  <si>
    <t>"doobědvat-001"</t>
  </si>
  <si>
    <t>"doopravit-001"</t>
  </si>
  <si>
    <t>"dopadat-001"</t>
  </si>
  <si>
    <t>ACT-&gt;ARG0/100</t>
  </si>
  <si>
    <t>PAT-&gt;ARG1/136</t>
  </si>
  <si>
    <t>"dopadat-002"</t>
  </si>
  <si>
    <t>"dopadat-003"</t>
  </si>
  <si>
    <t>"dopadnout-001"</t>
  </si>
  <si>
    <t>"dopadnout-002"</t>
  </si>
  <si>
    <t>ACT-&gt;ARG0/5,ARG2/1</t>
  </si>
  <si>
    <t>"dopadnout-003"</t>
  </si>
  <si>
    <t>"dopadnout-004"</t>
  </si>
  <si>
    <t>"dopadnout-005"</t>
  </si>
  <si>
    <t>ALT-RESL: *</t>
  </si>
  <si>
    <t>ACT-&gt;ARG0/64,ARG1/106,ARGm-MNR/2</t>
  </si>
  <si>
    <t>MANN-&gt;ARG1/61,ARG2/73,ARGm-MNR/22</t>
  </si>
  <si>
    <t>ACMP-&gt;ARG2/6</t>
  </si>
  <si>
    <t>"dopisovat-si-001"</t>
  </si>
  <si>
    <t>"doplatit-001"</t>
  </si>
  <si>
    <t>"doplatit-002"</t>
  </si>
  <si>
    <t>PAT-&gt;ARG1/151,ARG2/8</t>
  </si>
  <si>
    <t>"doplatit-003"</t>
  </si>
  <si>
    <t>"doplavat-001"</t>
  </si>
  <si>
    <t>"doplazit-se-001"</t>
  </si>
  <si>
    <t>"doplnit-001"</t>
  </si>
  <si>
    <t>ACT-&gt;ARG0/148,ARG1/7,ARG2/27</t>
  </si>
  <si>
    <t>PAT-&gt;ARG1/90,ARG2/1</t>
  </si>
  <si>
    <t>?EFF: o+4; 7; .s; ↓c</t>
  </si>
  <si>
    <t>EFF-&gt;ARG0/26,ARG1/256</t>
  </si>
  <si>
    <t>"doplnit-002"</t>
  </si>
  <si>
    <t>ACT-&gt;ARG0/453,ARG1/5</t>
  </si>
  <si>
    <t>EFF-&gt;ARG1/566</t>
  </si>
  <si>
    <t>"doplnit-003"</t>
  </si>
  <si>
    <t>PAT-&gt;ARG1/35</t>
  </si>
  <si>
    <t>EFF-&gt;ARG2/2,ARG3/37</t>
  </si>
  <si>
    <t>"doplnit-004"</t>
  </si>
  <si>
    <t>?EFF: k+3</t>
  </si>
  <si>
    <t>"doplout-001"</t>
  </si>
  <si>
    <t>"doplácet-001"</t>
  </si>
  <si>
    <t>"doplácet-002"</t>
  </si>
  <si>
    <t>"doplácet-003"</t>
  </si>
  <si>
    <t>"doplňovat-001"</t>
  </si>
  <si>
    <t>ACT-&gt;ARG0/42,ARG1/3</t>
  </si>
  <si>
    <t>PAT-&gt;ARG1/49,ARG2/2</t>
  </si>
  <si>
    <t>?EFF: o+4; 7</t>
  </si>
  <si>
    <t>EFF-&gt;ARG1/2,ARG2/24</t>
  </si>
  <si>
    <t>"doplňovat-002"</t>
  </si>
  <si>
    <t>"doplňovat-003"</t>
  </si>
  <si>
    <t>"doplňovat-se-001"</t>
  </si>
  <si>
    <t>"dopomoci-001"</t>
  </si>
  <si>
    <t>?PAT: k+3; .f</t>
  </si>
  <si>
    <t>"dopomáhat-001"</t>
  </si>
  <si>
    <t>"doporučit-001"</t>
  </si>
  <si>
    <t>PAT: 4; .f; ↓že; ↓aby; ↓ať; ↓c; .s</t>
  </si>
  <si>
    <t>PAT-&gt;ARG1/69,ARG2/99,ARG3/1</t>
  </si>
  <si>
    <t>ADDR-&gt;ARG1/95,ARG2/9</t>
  </si>
  <si>
    <t>"doporučit-002"</t>
  </si>
  <si>
    <t>ACT-&gt;ARG0/56</t>
  </si>
  <si>
    <t>PAT-&gt;ARG1/68,ARG3/1</t>
  </si>
  <si>
    <t>"doporučovat-001"</t>
  </si>
  <si>
    <t>ACT-&gt;ARG0/326</t>
  </si>
  <si>
    <t>PAT-&gt;ARG1/331,ARG2/61,ARG3/1</t>
  </si>
  <si>
    <t>ADDR-&gt;ARG1/62,ARG2/8</t>
  </si>
  <si>
    <t>"dopouštět-se-001"</t>
  </si>
  <si>
    <t>"dopovat-001"</t>
  </si>
  <si>
    <t>"dopovat-002"</t>
  </si>
  <si>
    <t>"dopovídat-001"</t>
  </si>
  <si>
    <t>"dopovědět-001"</t>
  </si>
  <si>
    <t>"dopočítat-001"</t>
  </si>
  <si>
    <t>"dopočítat-se-001"</t>
  </si>
  <si>
    <t>PAT: 2; k+3</t>
  </si>
  <si>
    <t>"dopočítávat-001"</t>
  </si>
  <si>
    <t>"dopočítávat-002"</t>
  </si>
  <si>
    <t>"dopracovat-001"</t>
  </si>
  <si>
    <t>"dopracovat-se-001"</t>
  </si>
  <si>
    <t>ACT-&gt;ARG0/186</t>
  </si>
  <si>
    <t>"dopravit-001"</t>
  </si>
  <si>
    <t>"dopravit-002"</t>
  </si>
  <si>
    <t>PAT-&gt;ARG1/78,ARG2/1</t>
  </si>
  <si>
    <t>DIR3-&gt;ARG1/1</t>
  </si>
  <si>
    <t>"dopravovat-001"</t>
  </si>
  <si>
    <t>PAT-&gt;ARG1/36</t>
  </si>
  <si>
    <t>"doprodat-001"</t>
  </si>
  <si>
    <t>"doprodávat-001"</t>
  </si>
  <si>
    <t>"doprovodit-001"</t>
  </si>
  <si>
    <t>"doprovodit-002"</t>
  </si>
  <si>
    <t>"doprovodit-003"</t>
  </si>
  <si>
    <t>"doprovázet-001"</t>
  </si>
  <si>
    <t>ACT-&gt;ARG0/26</t>
  </si>
  <si>
    <t>"doprovázet-002"</t>
  </si>
  <si>
    <t>"doprovázet-003"</t>
  </si>
  <si>
    <t>ACT-&gt;ARG0/28,ARG1/121</t>
  </si>
  <si>
    <t>PAT-&gt;ARG1/26,ARG2/89</t>
  </si>
  <si>
    <t>"doprovázet-004"</t>
  </si>
  <si>
    <t>ACT-&gt;ARG1/23</t>
  </si>
  <si>
    <t>PAT-&gt;ARG0/26</t>
  </si>
  <si>
    <t>"dopustit-001"</t>
  </si>
  <si>
    <t>PAT: 4; ↓aby; .f; ↓že</t>
  </si>
  <si>
    <t>PAT-&gt;ARG1/119</t>
  </si>
  <si>
    <t>"dopustit-se-001"</t>
  </si>
  <si>
    <t>ACT-&gt;ARG0/312,ARG1/3</t>
  </si>
  <si>
    <t>PAT-&gt;ARG1/406,ARG2/36</t>
  </si>
  <si>
    <t>"doputovat-001"</t>
  </si>
  <si>
    <t>"dopátrat-se-001"</t>
  </si>
  <si>
    <t>PAT: 2; ↓c</t>
  </si>
  <si>
    <t>"dopéci-001"</t>
  </si>
  <si>
    <t>"dopéci-002"</t>
  </si>
  <si>
    <t>PAT: ↓c; 4</t>
  </si>
  <si>
    <t>"dopřipravit-se-001"</t>
  </si>
  <si>
    <t>?PAT: na+4; k+3</t>
  </si>
  <si>
    <t>"dopřát-001"</t>
  </si>
  <si>
    <t>"dopřát-si-001"</t>
  </si>
  <si>
    <t>PAT: 4; .f; ↓c</t>
  </si>
  <si>
    <t>"dopřávat-001"</t>
  </si>
  <si>
    <t>"dopřávat-si-001"</t>
  </si>
  <si>
    <t>PAT-&gt;ARG1/4,ARG2/1</t>
  </si>
  <si>
    <t>"dorazit-001"</t>
  </si>
  <si>
    <t>"dorazit-002"</t>
  </si>
  <si>
    <t>"dorazit-003"</t>
  </si>
  <si>
    <t>"dorazit-004"</t>
  </si>
  <si>
    <t>"dorazit-005"</t>
  </si>
  <si>
    <t>ACT-&gt;ARG0/90,ARG1/103</t>
  </si>
  <si>
    <t>DIR3-&gt;ARG1/127</t>
  </si>
  <si>
    <t>"dorazit-006"</t>
  </si>
  <si>
    <t>"dorovnat-001"</t>
  </si>
  <si>
    <t>"dorozumívat-se-001"</t>
  </si>
  <si>
    <t>PAT: o+6; na+6; ↓že; ↓aby; ↓c</t>
  </si>
  <si>
    <t>"dorozumět-se-001"</t>
  </si>
  <si>
    <t>"dorozumět-se-002"</t>
  </si>
  <si>
    <t>"doručit-001"</t>
  </si>
  <si>
    <t>ACT-&gt;ARG0/359,ARG1/2</t>
  </si>
  <si>
    <t>PAT-&gt;ARG0/1,ARG1/431</t>
  </si>
  <si>
    <t>"doručit-002"</t>
  </si>
  <si>
    <t>ACT-&gt;ARG0/421,ARG1/16</t>
  </si>
  <si>
    <t>PAT-&gt;ARG0/14,ARG1/530,ARG2/1</t>
  </si>
  <si>
    <t>DIR3-&gt;ARG2/14</t>
  </si>
  <si>
    <t>"doručovat-001"</t>
  </si>
  <si>
    <t>PAT-&gt;ARG0/1,ARG1/65</t>
  </si>
  <si>
    <t>"doručovat-002"</t>
  </si>
  <si>
    <t>"dorážet-001"</t>
  </si>
  <si>
    <t>"dorážet-002"</t>
  </si>
  <si>
    <t>"dorůst-001"</t>
  </si>
  <si>
    <t>PAT: v+4; do+2</t>
  </si>
  <si>
    <t>"dorůst-002"</t>
  </si>
  <si>
    <t>"dorůstat-001"</t>
  </si>
  <si>
    <t>"dosadit-001"</t>
  </si>
  <si>
    <t>PAT-&gt;ARG1/147</t>
  </si>
  <si>
    <t>"dosahovat-001"</t>
  </si>
  <si>
    <t>ACT-&gt;ARG0/249,ARG1/6</t>
  </si>
  <si>
    <t>PAT-&gt;ARG1/341,ARG4/1</t>
  </si>
  <si>
    <t>ORIG-&gt;ARG1/3,ARG2/30</t>
  </si>
  <si>
    <t>"dosahovat-002"</t>
  </si>
  <si>
    <t>ACT-&gt;ARG0/2318,ARG1/4608,ARG2/303</t>
  </si>
  <si>
    <t>PAT-&gt;ARG0/2,ARG1/2639,ARG2/3967,ARG4/773</t>
  </si>
  <si>
    <t>"dosahovat-003"</t>
  </si>
  <si>
    <t>"dosahovat-004"</t>
  </si>
  <si>
    <t>"dosazovat-001"</t>
  </si>
  <si>
    <t>"dosekat-001"</t>
  </si>
  <si>
    <t>"doslechnout-se-001"</t>
  </si>
  <si>
    <t>PAT: 4; o+6; ↓jak-2; ↓c; ↓zda; ↓že; ↓jestli</t>
  </si>
  <si>
    <t>?ORIG: z+2; od+2; odtud; odsud; odkudkoliv; odevšad; odtamtud; odjinud; odkud; odněkud; odnikud; odkudsi</t>
  </si>
  <si>
    <t>"doslechnout-se-002"</t>
  </si>
  <si>
    <t>EFF: 4; ↓že; ↓zda; ↓jak-2; ↓jestli; ↓c; .s</t>
  </si>
  <si>
    <t>"dosloužit-001"</t>
  </si>
  <si>
    <t>"dosloužit-002"</t>
  </si>
  <si>
    <t>"dosluhovat-001"</t>
  </si>
  <si>
    <t>"doslýchat-se-001"</t>
  </si>
  <si>
    <t>EFF: 4; ↓že; ↓jak-2; ↓jestli; ↓zda; ↓c; .s</t>
  </si>
  <si>
    <t>EFF-&gt;ARG1/29</t>
  </si>
  <si>
    <t>?ORIG: od+2; strana-3.S2[z-1,.2]</t>
  </si>
  <si>
    <t>ORIG-&gt;ARG2/7</t>
  </si>
  <si>
    <t>"dospívat-001"</t>
  </si>
  <si>
    <t>PAT: v+4</t>
  </si>
  <si>
    <t>"dospívat-002"</t>
  </si>
  <si>
    <t>ACT-&gt;ARG0/162</t>
  </si>
  <si>
    <t>PAT-&gt;ARG1/215</t>
  </si>
  <si>
    <t>"dospívat-003"</t>
  </si>
  <si>
    <t>"dospívat-004"</t>
  </si>
  <si>
    <t>ACT-&gt;ARG1/29</t>
  </si>
  <si>
    <t>"dospět-001"</t>
  </si>
  <si>
    <t>"dospět-002"</t>
  </si>
  <si>
    <t>ACT-&gt;ARG0/2963,ARG1/149</t>
  </si>
  <si>
    <t>PAT-&gt;ARG0/1,ARG1/3424,ARG2/3,ARG4/4</t>
  </si>
  <si>
    <t>"dospět-003"</t>
  </si>
  <si>
    <t>ACT-&gt;ARG0/69,ARG1/31</t>
  </si>
  <si>
    <t>DIR3-&gt;ARG1/50</t>
  </si>
  <si>
    <t>"dospět-004"</t>
  </si>
  <si>
    <t>ACT-&gt;ARG1/31</t>
  </si>
  <si>
    <t>"dospět-005"</t>
  </si>
  <si>
    <t>ACT-&gt;ARG0/36,ARG1/8</t>
  </si>
  <si>
    <t>"dostat-001"</t>
  </si>
  <si>
    <t>PAT: 4; ↓c; .f</t>
  </si>
  <si>
    <t>ACT-&gt;ARG0/2996,ARG1/64,ARG2/365</t>
  </si>
  <si>
    <t>PAT-&gt;ARG0/1,ARG1/4176,ARG2/57,ARG4/1</t>
  </si>
  <si>
    <t>ORIG-&gt;ARG0/74,ARG1/6,ARG2/137,ARG3/5</t>
  </si>
  <si>
    <t>"dostat-002"</t>
  </si>
  <si>
    <t>ACT-&gt;ARG0/2158,ARG1/19</t>
  </si>
  <si>
    <t>PAT-&gt;ARG0/1,ARG1/2261</t>
  </si>
  <si>
    <t>"dostat-003"</t>
  </si>
  <si>
    <t>ACT-&gt;ARG0/2739,ARG1/264,ARG2/1</t>
  </si>
  <si>
    <t>PAT-&gt;ARG0/1,ARG1/2963,ARG2/141,ARG4/1</t>
  </si>
  <si>
    <t>ORIG-&gt;ARG0/1,ARG1/5,ARG2/117,ARG3/5</t>
  </si>
  <si>
    <t>"dostat-004"</t>
  </si>
  <si>
    <t>"dostat-005"</t>
  </si>
  <si>
    <t>PAT: 4; ↓že; ↓aby; .f</t>
  </si>
  <si>
    <t>EFF: za+4; 7; :4[{jako,jakožto}:/AuxY]</t>
  </si>
  <si>
    <t>"dostat-006"</t>
  </si>
  <si>
    <t>DIR1: =</t>
  </si>
  <si>
    <t>"dostat-007"</t>
  </si>
  <si>
    <t>ACT-&gt;ARG0/368,ARG1/1</t>
  </si>
  <si>
    <t>PAT-&gt;ARG1/503,ARG2/1</t>
  </si>
  <si>
    <t>"dostat-008"</t>
  </si>
  <si>
    <t>"dostat-009"</t>
  </si>
  <si>
    <t>ACT-&gt;ARG0/509,ARG1/3</t>
  </si>
  <si>
    <t>PAT-&gt;ARG1/618,ARG2/1</t>
  </si>
  <si>
    <t>DIR3-&gt;ARG1/180,ARG2/31</t>
  </si>
  <si>
    <t>"dostat-010"</t>
  </si>
  <si>
    <t>ACT-&gt;ARG0/171,ARG1/2</t>
  </si>
  <si>
    <t>PAT-&gt;ARG1/273</t>
  </si>
  <si>
    <t>DIR3-&gt;ARG1/17</t>
  </si>
  <si>
    <t>"dostat-011"</t>
  </si>
  <si>
    <t>ACT-&gt;ARG0/302,ARG1/6</t>
  </si>
  <si>
    <t>PAT-&gt;ARG1/397,ARG4/1</t>
  </si>
  <si>
    <t>"dostat-012"</t>
  </si>
  <si>
    <t>"dostat-013"</t>
  </si>
  <si>
    <t>"dostat-014"</t>
  </si>
  <si>
    <t>CPHR: {doporučení,dotaz,impuls,informace,lekce,možnost,nabídka,návrh,odpověď,odškodnění,otázka,pokuta,pokyn,posudek,povolení,právo,právo,prostor,přednost,příkaz,příležitost,příslib,přístup,rada,rozkaz,sleva,slib,souhlas,stížnost,svolení,šance,trest,ujištění,úkol,výpověď,vysvětlení,zákaz,zpráva,...}.4</t>
  </si>
  <si>
    <t>?ORIG: z+2; od+2</t>
  </si>
  <si>
    <t>ACT-&gt;ARG0/3052,ARG1/30</t>
  </si>
  <si>
    <t>CPHR-&gt;ARG0/1,ARG1/3360,ARG4/1</t>
  </si>
  <si>
    <t>ORIG-&gt;ARG1/5,ARG2/118,ARG3/5</t>
  </si>
  <si>
    <t>CPHR-&gt;ARG1/341,ARG4/1</t>
  </si>
  <si>
    <t>ACT-&gt;ARG0/336,ARG1/2</t>
  </si>
  <si>
    <t>CPHR-&gt;ARG1/366</t>
  </si>
  <si>
    <t>ORIG-&gt;ARG1/2,ARG2/87,ARG3/5</t>
  </si>
  <si>
    <t>ACT-&gt;ARG0/2490,ARG1/21</t>
  </si>
  <si>
    <t>CPHR-&gt;ARG0/1,ARG1/2622</t>
  </si>
  <si>
    <t>ACT-&gt;ARG0/585,ARG1/8</t>
  </si>
  <si>
    <t>CPHR-&gt;ARG1/707,ARG4/1</t>
  </si>
  <si>
    <t>ACT-&gt;ARG0/2516,ARG1/21</t>
  </si>
  <si>
    <t>CPHR-&gt;ARG0/1,ARG1/2651</t>
  </si>
  <si>
    <t>ORIG-&gt;ARG1/3,ARG2/89,ARG3/5</t>
  </si>
  <si>
    <t>ACT-&gt;ARG0/408,ARG1/2</t>
  </si>
  <si>
    <t>CPHR-&gt;ARG1/454</t>
  </si>
  <si>
    <t>"dostat-015"</t>
  </si>
  <si>
    <t>CPHR: {chuť,nápad,...}.4</t>
  </si>
  <si>
    <t>CPHR-&gt;ARG0/1,ARG1/2256</t>
  </si>
  <si>
    <t>"dostat-016"</t>
  </si>
  <si>
    <t>DPHR: do-1[vínek.S2]</t>
  </si>
  <si>
    <t>"dostat-017"</t>
  </si>
  <si>
    <t>"dostat-018"</t>
  </si>
  <si>
    <t>DPHR: na-1[starost.4]</t>
  </si>
  <si>
    <t>"dostat-019"</t>
  </si>
  <si>
    <t>DPHR: kanár.S4</t>
  </si>
  <si>
    <t>"dostat-020"</t>
  </si>
  <si>
    <t>DPHR: na-1[frak.S4]</t>
  </si>
  <si>
    <t>"dostat-021"</t>
  </si>
  <si>
    <t>DPHR: na-1[zadek.S4]</t>
  </si>
  <si>
    <t>"dostat-022"</t>
  </si>
  <si>
    <t>DPHR: přes-1[prst.P4]</t>
  </si>
  <si>
    <t>"dostat-023"</t>
  </si>
  <si>
    <t>DPHR: ruka.S4[volný.#]</t>
  </si>
  <si>
    <t>"dostat-024"</t>
  </si>
  <si>
    <t>DPHR: spád.S4</t>
  </si>
  <si>
    <t>"dostat-025"</t>
  </si>
  <si>
    <t>DPHR: zabrat</t>
  </si>
  <si>
    <t>"dostat-026"</t>
  </si>
  <si>
    <t>DPHR: zelený.FS4</t>
  </si>
  <si>
    <t>"dostat-027"</t>
  </si>
  <si>
    <t>DPHR: hodně[muzika.S2]</t>
  </si>
  <si>
    <t>DPHR-&gt;ARG1/341,ARG4/1</t>
  </si>
  <si>
    <t>"dostat-028"</t>
  </si>
  <si>
    <t>DPHR: co-5,proto-1</t>
  </si>
  <si>
    <t>"dostat-029"</t>
  </si>
  <si>
    <t>DPHR: za-1[vyučený.S4]</t>
  </si>
  <si>
    <t>ACT-&gt;ARG0/72</t>
  </si>
  <si>
    <t>DPHR-&gt;ARG1/88</t>
  </si>
  <si>
    <t>"dostat-se-001"</t>
  </si>
  <si>
    <t>ACT-&gt;ARG0/74,ARG1/2</t>
  </si>
  <si>
    <t>PAT-&gt;ARG1/89</t>
  </si>
  <si>
    <t>"dostat-se-002"</t>
  </si>
  <si>
    <t>PAT: 2; 1</t>
  </si>
  <si>
    <t>ACT-&gt;ARG0/585,ARG1/12,ARG2/22</t>
  </si>
  <si>
    <t>PAT-&gt;ARG1/736,ARG4/1</t>
  </si>
  <si>
    <t>ORIG-&gt;ARG1/5,ARG2/117,ARG3/5</t>
  </si>
  <si>
    <t>"dostat-se-003"</t>
  </si>
  <si>
    <t>ACT: 1; 2</t>
  </si>
  <si>
    <t>"dostat-se-004"</t>
  </si>
  <si>
    <t>ACT-&gt;ARG0/452,ARG1/61</t>
  </si>
  <si>
    <t>PAT-&gt;ARG1/565,ARG2/26,ARG4/1</t>
  </si>
  <si>
    <t>"dostat-se-005"</t>
  </si>
  <si>
    <t>ACT-&gt;ARG0/1,ARG1/9</t>
  </si>
  <si>
    <t>ALT-COMPL: *</t>
  </si>
  <si>
    <t>"dostat-se-006"</t>
  </si>
  <si>
    <t>ACT-&gt;ARG0/24,ARG1/28</t>
  </si>
  <si>
    <t>DIR1-&gt;ARGm-MNR/1</t>
  </si>
  <si>
    <t>"dostat-se-007"</t>
  </si>
  <si>
    <t>ACT-&gt;ARG0/84,ARG1/869,ARG2/4</t>
  </si>
  <si>
    <t>DIR3-&gt;ARG0/19,ARG1/77,ARG2/437</t>
  </si>
  <si>
    <t>"dostat-se-008"</t>
  </si>
  <si>
    <t>ACT-&gt;ARG0/515,ARG1/4088,ARG2/304</t>
  </si>
  <si>
    <t>DIR3-&gt;ARG1/855,ARG2/3924,ARG4/1</t>
  </si>
  <si>
    <t>"dostat-se-009"</t>
  </si>
  <si>
    <t>"dostat-se-010"</t>
  </si>
  <si>
    <t>CPHR: do-1[{kontakt,konflikt,spor,styk,...}.2]</t>
  </si>
  <si>
    <t>ACT-&gt;ARG0/5,ARG1/127</t>
  </si>
  <si>
    <t>CPHR-&gt;ARG1/1,ARG2/91</t>
  </si>
  <si>
    <t>"dostat-se-011"</t>
  </si>
  <si>
    <t>DPHR: do-1[úzký.FP2]</t>
  </si>
  <si>
    <t>"dostat-se-012"</t>
  </si>
  <si>
    <t>DPHR: na-1[led:S4[tenký:#]]</t>
  </si>
  <si>
    <t>"dostat-se-013"</t>
  </si>
  <si>
    <t>DPHR: na-1[přetřes.S4]</t>
  </si>
  <si>
    <t>"dostat-se-014"</t>
  </si>
  <si>
    <t>ACT-&gt;ARG0/90</t>
  </si>
  <si>
    <t>DPHR: do-1[ulička.S2[slepý.#]]</t>
  </si>
  <si>
    <t>DPHR-&gt;ARG1/127</t>
  </si>
  <si>
    <t>"dostat-se-015"</t>
  </si>
  <si>
    <t>"dostat-se-016"</t>
  </si>
  <si>
    <t>DPHR: pod-1[čepec.S4]</t>
  </si>
  <si>
    <t>"dostavit-se-001"</t>
  </si>
  <si>
    <t>ACT-&gt;ARG0/29,ARG1/61</t>
  </si>
  <si>
    <t>"dostavit-se-002"</t>
  </si>
  <si>
    <t>ACT-&gt;ARG1/742,ARG4/1</t>
  </si>
  <si>
    <t>"dostavovat-se-001"</t>
  </si>
  <si>
    <t>"dostavovat-se-002"</t>
  </si>
  <si>
    <t>"dostavět-001"</t>
  </si>
  <si>
    <t>"dostačovat-001"</t>
  </si>
  <si>
    <t>ACT: 1; .f; ↓že; ↓aby; ↓když</t>
  </si>
  <si>
    <t>"dostihnout-001"</t>
  </si>
  <si>
    <t>ACT-&gt;ARG0/12,ARG1/4</t>
  </si>
  <si>
    <t>PAT-&gt;ARG1/14,ARG2/7</t>
  </si>
  <si>
    <t>"dostopovat-001"</t>
  </si>
  <si>
    <t>"dostoupit-001"</t>
  </si>
  <si>
    <t>"dostoupit-002"</t>
  </si>
  <si>
    <t>"dostrkat-001"</t>
  </si>
  <si>
    <t>"dostudovat-001"</t>
  </si>
  <si>
    <t>"dostudovat-002"</t>
  </si>
  <si>
    <t>"dostudovávat-001"</t>
  </si>
  <si>
    <t>"dostát-001"</t>
  </si>
  <si>
    <t>ACT-&gt;ARG0/54,ARG1/50</t>
  </si>
  <si>
    <t>PAT-&gt;ARG1/140,ARG2/43</t>
  </si>
  <si>
    <t>"dostávat-001"</t>
  </si>
  <si>
    <t>ACT-&gt;ARG0/764,ARG1/15,ARG2/437,ARG3/4</t>
  </si>
  <si>
    <t>PAT-&gt;ARG1/1661,ARG2/12,ARG3/9,ARG4/1</t>
  </si>
  <si>
    <t>ORIG-&gt;ARG1/7,ARG2/122,ARG3/12</t>
  </si>
  <si>
    <t>"dostávat-002"</t>
  </si>
  <si>
    <t>ACT-&gt;ARG0/1,ARG1/1,ARG2/128,ARG3/4</t>
  </si>
  <si>
    <t>PAT-&gt;ARG1/337,ARG2/11,ARG3/9</t>
  </si>
  <si>
    <t>"dostávat-003"</t>
  </si>
  <si>
    <t>"dostávat-004"</t>
  </si>
  <si>
    <t>"dostávat-005"</t>
  </si>
  <si>
    <t>"dostávat-006"</t>
  </si>
  <si>
    <t>"dostávat-007"</t>
  </si>
  <si>
    <t>"dostávat-008"</t>
  </si>
  <si>
    <t>"dostávat-009"</t>
  </si>
  <si>
    <t>"dostávat-010"</t>
  </si>
  <si>
    <t>"dostávat-011"</t>
  </si>
  <si>
    <t>"dostávat-012"</t>
  </si>
  <si>
    <t>"dostávat-013"</t>
  </si>
  <si>
    <t>CPHR: {doporučení,impuls,lekce,možnost,nabídka,návrh,odpověď,pokuta,povolení,prostor,přednost,příkaz,příležitost,příslib,přístup,rozkaz,slib,souhlas,ujištění,úkol,zákaz,zpráva,...}.4</t>
  </si>
  <si>
    <t>CPHR-&gt;ARG1/88</t>
  </si>
  <si>
    <t>ORIG-&gt;ARG2/8</t>
  </si>
  <si>
    <t>ACT-&gt;ARG0/275,ARG1/6</t>
  </si>
  <si>
    <t>CPHR-&gt;ARG1/370,ARG4/1</t>
  </si>
  <si>
    <t>"dostávat-014"</t>
  </si>
  <si>
    <t>"dostávat-se-001"</t>
  </si>
  <si>
    <t>ACT-&gt;ARG0/621,ARG1/8</t>
  </si>
  <si>
    <t>PAT-&gt;ARG1/752,ARG4/1</t>
  </si>
  <si>
    <t>"dostávat-se-002"</t>
  </si>
  <si>
    <t>"dostávat-se-003"</t>
  </si>
  <si>
    <t>"dostávat-se-004"</t>
  </si>
  <si>
    <t>"dostávat-se-005"</t>
  </si>
  <si>
    <t>"dostávat-se-006"</t>
  </si>
  <si>
    <t>ACT-&gt;ARG0/21,ARG1/275</t>
  </si>
  <si>
    <t>DIR3-&gt;ARG1/15,ARG2/98</t>
  </si>
  <si>
    <t>"dostávat-se-007"</t>
  </si>
  <si>
    <t>ACT-&gt;ARG0/250,ARG1/457,ARG2/9</t>
  </si>
  <si>
    <t>DIR3-&gt;ARG1/372,ARG2/473</t>
  </si>
  <si>
    <t>"dostávat-se-008"</t>
  </si>
  <si>
    <t>ACT-&gt;ARG0/5,ARG1/28</t>
  </si>
  <si>
    <t>DPHR: pod-1[kůže.S4]</t>
  </si>
  <si>
    <t>"dostávat-se-009"</t>
  </si>
  <si>
    <t>DPHR: do-1[světlo:S2[jiný:#]]</t>
  </si>
  <si>
    <t>"dostávat-se-010"</t>
  </si>
  <si>
    <t>"dostávat-se-011"</t>
  </si>
  <si>
    <t>CPHR: do-1[{konflikt,spor,styk,...}.2]</t>
  </si>
  <si>
    <t>"dostříknout-001"</t>
  </si>
  <si>
    <t>"dosvědčit-001"</t>
  </si>
  <si>
    <t>ACT-&gt;ARG0/15,ARG1/1</t>
  </si>
  <si>
    <t>"dosvědčovat-001"</t>
  </si>
  <si>
    <t>"dosáhnout-001"</t>
  </si>
  <si>
    <t>ACT-&gt;ARG0/2673,ARG1/22</t>
  </si>
  <si>
    <t>PAT-&gt;ARG0/1,ARG1/3011</t>
  </si>
  <si>
    <t>"dosáhnout-002"</t>
  </si>
  <si>
    <t>PAT: 2; 4; na+4</t>
  </si>
  <si>
    <t>PAT-&gt;ARG1/50</t>
  </si>
  <si>
    <t>ACT-&gt;ARG0/4134,ARG1/4297,ARG2/307</t>
  </si>
  <si>
    <t>PAT-&gt;ARG0/1,ARG1/5309,ARG2/4150,ARG4/178</t>
  </si>
  <si>
    <t>"dosáhnout-003"</t>
  </si>
  <si>
    <t>"dosáhnout-004"</t>
  </si>
  <si>
    <t>ACT-&gt;ARG0/8,ARG1/1</t>
  </si>
  <si>
    <t>DPHR-&gt;ARG1/19</t>
  </si>
  <si>
    <t>"dosáhnout-005"</t>
  </si>
  <si>
    <t>PAT-&gt;ARG2/20</t>
  </si>
  <si>
    <t>"dosáhnout-006"</t>
  </si>
  <si>
    <t>"dotahovat-001"</t>
  </si>
  <si>
    <t>"dotahovat-002"</t>
  </si>
  <si>
    <t>ACT-&gt;ARG0/47</t>
  </si>
  <si>
    <t>EFF-&gt;ARG1/129</t>
  </si>
  <si>
    <t>"dotazovat-se-001"</t>
  </si>
  <si>
    <t>ACT-&gt;ARG0/398,ARG2/1</t>
  </si>
  <si>
    <t>PAT: na+4; ↓zda; ↓jak-2; ↓jestli; ↓c; .s</t>
  </si>
  <si>
    <t>PAT-&gt;ARG1/541</t>
  </si>
  <si>
    <t>ADDR: 2</t>
  </si>
  <si>
    <t>ADDR-&gt;ARG1/22,ARG2/49</t>
  </si>
  <si>
    <t>"dotisknout-001"</t>
  </si>
  <si>
    <t>"dotknout-se-001"</t>
  </si>
  <si>
    <t>ACT: 7</t>
  </si>
  <si>
    <t>---: .$2&lt;s&gt;</t>
  </si>
  <si>
    <t>"dotknout-se-002"</t>
  </si>
  <si>
    <t>ACT-&gt;ARG0/106,ARG1/9,ARG2/80</t>
  </si>
  <si>
    <t>PAT-&gt;ARG1/316,ARG2/8</t>
  </si>
  <si>
    <t>"dotknout-se-003"</t>
  </si>
  <si>
    <t>"dotknout-se-004"</t>
  </si>
  <si>
    <t>"dotknout-se-005"</t>
  </si>
  <si>
    <t>ACT-&gt;ARG0/190</t>
  </si>
  <si>
    <t>PAT-&gt;ARG1/263</t>
  </si>
  <si>
    <t>ACT-&gt;ARG0/102</t>
  </si>
  <si>
    <t>PAT-&gt;ARG1/138</t>
  </si>
  <si>
    <t>"dotlačit-001"</t>
  </si>
  <si>
    <t>ACT-&gt;ARG0/74</t>
  </si>
  <si>
    <t>PAT: k+3; ↓aby; ↓ať; .f</t>
  </si>
  <si>
    <t>PAT-&gt;ARG2/91</t>
  </si>
  <si>
    <t>ADDR-&gt;ARG1/101,ARG2/2</t>
  </si>
  <si>
    <t>"dotovat-001"</t>
  </si>
  <si>
    <t>ACT-&gt;ARG0/20,ARG1/2,ARG2/89,ARG3/5</t>
  </si>
  <si>
    <t>PAT-&gt;ARG0/336,ARG1/54</t>
  </si>
  <si>
    <t>"dotvořit-001"</t>
  </si>
  <si>
    <t>?EFF: do+2; v+4</t>
  </si>
  <si>
    <t>"dotvrzovat-001"</t>
  </si>
  <si>
    <t>PAT: 4; ↓že; ↓zda; ↓jestli; ↓c; .s</t>
  </si>
  <si>
    <t>"dotvářet-001"</t>
  </si>
  <si>
    <t>"dotáhnout-001"</t>
  </si>
  <si>
    <t>"dotáhnout-002"</t>
  </si>
  <si>
    <t>"dotáhnout-003"</t>
  </si>
  <si>
    <t>"dotáhnout-004"</t>
  </si>
  <si>
    <t>"dotáhnout-se-001"</t>
  </si>
  <si>
    <t>DIR3-&gt;ARG1/104</t>
  </si>
  <si>
    <t>"dotápět-001"</t>
  </si>
  <si>
    <t>"dotázat-se-001"</t>
  </si>
  <si>
    <t>ACT-&gt;ARG0/88</t>
  </si>
  <si>
    <t>PAT-&gt;ARG1/128</t>
  </si>
  <si>
    <t>ADDR-&gt;ARG2/36</t>
  </si>
  <si>
    <t>"dotéci-001"</t>
  </si>
  <si>
    <t>ACT-&gt;ARG1/3</t>
  </si>
  <si>
    <t>"dotírat-001"</t>
  </si>
  <si>
    <t>"dotýkat-se-001"</t>
  </si>
  <si>
    <t>ACT-&gt;ARG0/154,ARG1/3</t>
  </si>
  <si>
    <t>PAT-&gt;ARG1/658,ARG2/3</t>
  </si>
  <si>
    <t>"dotýkat-se-002"</t>
  </si>
  <si>
    <t>"dotýkat-se-003"</t>
  </si>
  <si>
    <t>"doufat-001"</t>
  </si>
  <si>
    <t>PAT: v+4; ↓že; ↓jestli; .f</t>
  </si>
  <si>
    <t>ACT-&gt;ARG0/1146,ARG1/3106,ARG2/296</t>
  </si>
  <si>
    <t>PAT-&gt;ARG1/1275</t>
  </si>
  <si>
    <t>PAT-&gt;ARG0/193,ARG1/205</t>
  </si>
  <si>
    <t>"doufat-002"</t>
  </si>
  <si>
    <t>EFF: ↓že</t>
  </si>
  <si>
    <t>EFF-&gt;ARG1/205</t>
  </si>
  <si>
    <t>PAT-&gt;ARG0/193</t>
  </si>
  <si>
    <t>"doutnat-001"</t>
  </si>
  <si>
    <t>ACT-&gt;ARG0/2,ARG1/5</t>
  </si>
  <si>
    <t>"doutnat-002"</t>
  </si>
  <si>
    <t>"doučit-se-001"</t>
  </si>
  <si>
    <t>PAT: 3; 7; na+4</t>
  </si>
  <si>
    <t>"doučovat-001"</t>
  </si>
  <si>
    <t>?ADDR: 4</t>
  </si>
  <si>
    <t>"doučovat-se-001"</t>
  </si>
  <si>
    <t>PAT: 4; 3; ↓že; .f; ↓c</t>
  </si>
  <si>
    <t>"dovařit-001"</t>
  </si>
  <si>
    <t>"dovařit-002"</t>
  </si>
  <si>
    <t>"dovažovat-001"</t>
  </si>
  <si>
    <t>"dovodit-001"</t>
  </si>
  <si>
    <t>"dovolat-se-001"</t>
  </si>
  <si>
    <t>"dovolat-se-002"</t>
  </si>
  <si>
    <t>"dovolat-se-003"</t>
  </si>
  <si>
    <t>"dovolit-001"</t>
  </si>
  <si>
    <t>ACT-&gt;ARG0/315,ARG1/1,ARG3/3</t>
  </si>
  <si>
    <t>PAT: 4; ↓aby; ↓ať; .f; ↓že</t>
  </si>
  <si>
    <t>PAT-&gt;ARG1/570,ARG2/2</t>
  </si>
  <si>
    <t>ADDR-&gt;ARG1/142,ARG2/63</t>
  </si>
  <si>
    <t>"dovolit-se-001"</t>
  </si>
  <si>
    <t>?EFF: ↓zda; ↓jestli; ↓že</t>
  </si>
  <si>
    <t>"dovolit-si-001"</t>
  </si>
  <si>
    <t>PAT: 4; na+4; .f; ↓aby; .f</t>
  </si>
  <si>
    <t>PAT-&gt;ARG1/33</t>
  </si>
  <si>
    <t>ACT-&gt;ARG0/140</t>
  </si>
  <si>
    <t>"dovolit-si-002"</t>
  </si>
  <si>
    <t>"dovolovat-001"</t>
  </si>
  <si>
    <t>ACT-&gt;ARG0/285,ARG1/1,ARG3/10</t>
  </si>
  <si>
    <t>PAT: 4; ↓aby; ↓ať; ↓že; .f</t>
  </si>
  <si>
    <t>PAT-&gt;ARG1/464,ARG2/54</t>
  </si>
  <si>
    <t>ADDR-&gt;ARG1/197,ARG2/67</t>
  </si>
  <si>
    <t>"dovolovat-se-001"</t>
  </si>
  <si>
    <t>"dovolovat-si-001"</t>
  </si>
  <si>
    <t>"dovolávat-se-001"</t>
  </si>
  <si>
    <t>"dovozovat-001"</t>
  </si>
  <si>
    <t>"dovršit-001"</t>
  </si>
  <si>
    <t>"dovršit-002"</t>
  </si>
  <si>
    <t>ACT-&gt;ARG0/75</t>
  </si>
  <si>
    <t>PAT-&gt;ARG1/163</t>
  </si>
  <si>
    <t>"dovtípit-se-001"</t>
  </si>
  <si>
    <t>PAT: 2; ↓že</t>
  </si>
  <si>
    <t>"dovyprávět-001"</t>
  </si>
  <si>
    <t>"dovádět-001"</t>
  </si>
  <si>
    <t>"dovádět-002"</t>
  </si>
  <si>
    <t>"dovážet-001"</t>
  </si>
  <si>
    <t>PAT-&gt;ARG1/27</t>
  </si>
  <si>
    <t>"dovážet-002"</t>
  </si>
  <si>
    <t>ACT-&gt;ARG0/48</t>
  </si>
  <si>
    <t>"dovážit-001"</t>
  </si>
  <si>
    <t>ACT-&gt;ARG0/8</t>
  </si>
  <si>
    <t>PAT-&gt;ARG1/15</t>
  </si>
  <si>
    <t>"dovést-001"</t>
  </si>
  <si>
    <t>ACT-&gt;ARG0/774,ARG1/1</t>
  </si>
  <si>
    <t>PAT-&gt;ARG1/445,ARG2/1</t>
  </si>
  <si>
    <t>DIR3-&gt;ARG1/748,ARG2/146</t>
  </si>
  <si>
    <t>"dovést-002"</t>
  </si>
  <si>
    <t>"dovést-003"</t>
  </si>
  <si>
    <t>"dovést-004"</t>
  </si>
  <si>
    <t>"dovézt-001"</t>
  </si>
  <si>
    <t>"dovézt-002"</t>
  </si>
  <si>
    <t>PAT-&gt;ARG1/109,ARG2/1</t>
  </si>
  <si>
    <t>"dovídat-se-001"</t>
  </si>
  <si>
    <t>"dovídat-se-002"</t>
  </si>
  <si>
    <t>PAT-&gt;ARG1/88</t>
  </si>
  <si>
    <t>"dovědět-se-001"</t>
  </si>
  <si>
    <t>ACT-&gt;ARG0/72,ARG1/20</t>
  </si>
  <si>
    <t>"dovědět-se-002"</t>
  </si>
  <si>
    <t>ACT-&gt;ARG1/2,ARG2/323</t>
  </si>
  <si>
    <t>EFF-&gt;ARG1/342</t>
  </si>
  <si>
    <t>ORIG-&gt;ARG0/302,ARG1/2</t>
  </si>
  <si>
    <t>"dozdívat-001"</t>
  </si>
  <si>
    <t>"doznat-001"</t>
  </si>
  <si>
    <t>PAT-&gt;ARG1/56</t>
  </si>
  <si>
    <t>"doznat-se-001"</t>
  </si>
  <si>
    <t>ACT-&gt;ARG0/33</t>
  </si>
  <si>
    <t>PAT: k+3; ↓že; ↓jak-2; ↓c; .s</t>
  </si>
  <si>
    <t>PAT-&gt;ARG1/5,ARG2/28</t>
  </si>
  <si>
    <t>"doznávat-001"</t>
  </si>
  <si>
    <t>"doznít-001"</t>
  </si>
  <si>
    <t>"doznívat-001"</t>
  </si>
  <si>
    <t>"dozrát-001"</t>
  </si>
  <si>
    <t>"dozrát-002"</t>
  </si>
  <si>
    <t>"dozrávat-001"</t>
  </si>
  <si>
    <t>"dozrávat-002"</t>
  </si>
  <si>
    <t>"dozvídat-se-001"</t>
  </si>
  <si>
    <t>"dozvídat-se-002"</t>
  </si>
  <si>
    <t>EFF-&gt;ARG1/63,ARG3/4</t>
  </si>
  <si>
    <t>"dozvědět-se-001"</t>
  </si>
  <si>
    <t>ACT-&gt;ARG0/682,ARG1/10,ARG2/323</t>
  </si>
  <si>
    <t>PAT-&gt;ARG1/1170,ARG2/22,ARG4/1</t>
  </si>
  <si>
    <t>ORIG-&gt;ARG0/302,ARG1/5,ARG2/38</t>
  </si>
  <si>
    <t>"dozvědět-se-002"</t>
  </si>
  <si>
    <t>ACT-&gt;ARG0/707,ARG1/7</t>
  </si>
  <si>
    <t>EFF-&gt;ARG1/414,ARG2/20</t>
  </si>
  <si>
    <t>PAT-&gt;ARG1/439,ARG4/1</t>
  </si>
  <si>
    <t>ORIG-&gt;ARG1/3,ARG2/39</t>
  </si>
  <si>
    <t>"dozávodit-001"</t>
  </si>
  <si>
    <t>?PAT: o+4</t>
  </si>
  <si>
    <t>?ADDR: s+7; proti+3</t>
  </si>
  <si>
    <t>"dozírat-001"</t>
  </si>
  <si>
    <t>PAT-&gt;ARG1/44</t>
  </si>
  <si>
    <t>"dočkat-se-001"</t>
  </si>
  <si>
    <t>"dočkat-se-002"</t>
  </si>
  <si>
    <t>PAT-&gt;ARG1/483,ARG2/1</t>
  </si>
  <si>
    <t>"dočkat-se-003"</t>
  </si>
  <si>
    <t>PAT: ↓až-3</t>
  </si>
  <si>
    <t>"dočíst-se-001"</t>
  </si>
  <si>
    <t>"dočíst-se-002"</t>
  </si>
  <si>
    <t>EFF-&gt;ARG1/64,ARG3/14</t>
  </si>
  <si>
    <t>"dočítat-se-001"</t>
  </si>
  <si>
    <t>"dořezat-se-001"</t>
  </si>
  <si>
    <t>DPHR: krev.S2</t>
  </si>
  <si>
    <t>"dořešit-001"</t>
  </si>
  <si>
    <t>ACT-&gt;ARG0/13</t>
  </si>
  <si>
    <t>PAT: 4; ↓že; ↓jestli; ↓zda; ↓c</t>
  </si>
  <si>
    <t>PAT-&gt;ARG1/63</t>
  </si>
  <si>
    <t>"dořvat-001"</t>
  </si>
  <si>
    <t>"doříci-001"</t>
  </si>
  <si>
    <t>"doškolovat-001"</t>
  </si>
  <si>
    <t>"došlápnout-001"</t>
  </si>
  <si>
    <t>"došlápnout-si-001"</t>
  </si>
  <si>
    <t>"došplhat-se-001"</t>
  </si>
  <si>
    <t>"doštráchat-se-001"</t>
  </si>
  <si>
    <t>"dožadovat-se-001"</t>
  </si>
  <si>
    <t>ACT-&gt;ARG0/323,ARG2/1</t>
  </si>
  <si>
    <t>PAT: 2; ↓aby; .s</t>
  </si>
  <si>
    <t>PAT-&gt;ARG1/455,ARG2/12</t>
  </si>
  <si>
    <t>"dožít-001"</t>
  </si>
  <si>
    <t>"dožít-002"</t>
  </si>
  <si>
    <t>"dožít-se-001"</t>
  </si>
  <si>
    <t>"dožívat-se-001"</t>
  </si>
  <si>
    <t>"dramatizovat-001"</t>
  </si>
  <si>
    <t>"dramatizovat-002"</t>
  </si>
  <si>
    <t>"drancovat-001"</t>
  </si>
  <si>
    <t>"drandit-001"</t>
  </si>
  <si>
    <t>"dražit-001"</t>
  </si>
  <si>
    <t>"drbat-001"</t>
  </si>
  <si>
    <t>PAT: o+6; ↓že</t>
  </si>
  <si>
    <t>?ADDR: s+7</t>
  </si>
  <si>
    <t>"drbat-002"</t>
  </si>
  <si>
    <t>"drhnout-001"</t>
  </si>
  <si>
    <t>"drhnout-002"</t>
  </si>
  <si>
    <t>"drncat-001"</t>
  </si>
  <si>
    <t>"drobit-001"</t>
  </si>
  <si>
    <t>?EFF: na+4; do+2; v+4</t>
  </si>
  <si>
    <t>"drolit-se-001"</t>
  </si>
  <si>
    <t>?PAT: na+4; do+2; v+4</t>
  </si>
  <si>
    <t>"drožkařit-001"</t>
  </si>
  <si>
    <t>"drtit-001"</t>
  </si>
  <si>
    <t>"družit-se-001"</t>
  </si>
  <si>
    <t>"družit-se-002"</t>
  </si>
  <si>
    <t>"družit-se-003"</t>
  </si>
  <si>
    <t>"drápat-se-001"</t>
  </si>
  <si>
    <t>"drát-se-001"</t>
  </si>
  <si>
    <t>PAT-&gt;ARG1/26</t>
  </si>
  <si>
    <t>"drát-se-002"</t>
  </si>
  <si>
    <t>"dráždit-001"</t>
  </si>
  <si>
    <t>ACT-&gt;ARG0/7,ARG1/1</t>
  </si>
  <si>
    <t>PAT-&gt;ARG0/3,ARG1/8</t>
  </si>
  <si>
    <t>"dráždit-002"</t>
  </si>
  <si>
    <t>"dráždit-003"</t>
  </si>
  <si>
    <t>?PAT: k+3; na+4</t>
  </si>
  <si>
    <t>"držet-001"</t>
  </si>
  <si>
    <t>ACT-&gt;ARG0/38</t>
  </si>
  <si>
    <t>PAT-&gt;ARG0/2,ARG1/43</t>
  </si>
  <si>
    <t>EFF: .a; .d</t>
  </si>
  <si>
    <t>EFF-&gt;ARG1/78</t>
  </si>
  <si>
    <t>"držet-002"</t>
  </si>
  <si>
    <t>ACT-&gt;ARG0/349,ARG1/3</t>
  </si>
  <si>
    <t>PAT-&gt;ARG0/2,ARG1/458</t>
  </si>
  <si>
    <t>LOC: =</t>
  </si>
  <si>
    <t>LOC-&gt;ARG1/88,ARG2/38</t>
  </si>
  <si>
    <t>"držet-003"</t>
  </si>
  <si>
    <t>ACT-&gt;ARG0/197,ARG1/3</t>
  </si>
  <si>
    <t>PAT-&gt;ARG1/239</t>
  </si>
  <si>
    <t>LOC-&gt;ARG1/7,ARG2/34</t>
  </si>
  <si>
    <t>"držet-004"</t>
  </si>
  <si>
    <t>ACT-&gt;ARG0/210,ARG1/2</t>
  </si>
  <si>
    <t>PAT-&gt;ARG1/247</t>
  </si>
  <si>
    <t>"držet-005"</t>
  </si>
  <si>
    <t>ACT-&gt;ARG0/2546,ARG1/3125,ARG2/296</t>
  </si>
  <si>
    <t>PAT-&gt;ARG0/3,ARG1/2817,ARG2/3451</t>
  </si>
  <si>
    <t>"držet-006"</t>
  </si>
  <si>
    <t>ACT-&gt;ARG0/180,ARG1/2</t>
  </si>
  <si>
    <t>PAT-&gt;ARG1/195</t>
  </si>
  <si>
    <t>"držet-007"</t>
  </si>
  <si>
    <t>ACT-&gt;ARG0/209,ARG1/2</t>
  </si>
  <si>
    <t>PAT-&gt;ARG1/244</t>
  </si>
  <si>
    <t>"držet-008"</t>
  </si>
  <si>
    <t>ACT-&gt;ARG0/323,ARG1/3209,ARG2/296</t>
  </si>
  <si>
    <t>PAT-&gt;ARG0/2,ARG1/554,ARG2/3545</t>
  </si>
  <si>
    <t>"držet-009"</t>
  </si>
  <si>
    <t>"držet-010"</t>
  </si>
  <si>
    <t>ACT-&gt;ARG1/199</t>
  </si>
  <si>
    <t>"držet-011"</t>
  </si>
  <si>
    <t>DPHR: při-1[život.S6]</t>
  </si>
  <si>
    <t>"držet-012"</t>
  </si>
  <si>
    <t>ACT-&gt;ARG0/13,ARG1/99</t>
  </si>
  <si>
    <t>DPHR: krok.S4</t>
  </si>
  <si>
    <t>DPHR-&gt;ARG1/7,ARG2/91</t>
  </si>
  <si>
    <t>PAT-&gt;ARG1/14,ARG2/4</t>
  </si>
  <si>
    <t>"držet-013"</t>
  </si>
  <si>
    <t>DPHR: na-1[oprať.S6]</t>
  </si>
  <si>
    <t>"držet-014"</t>
  </si>
  <si>
    <t>DPHR: na-1[uzda.S6]</t>
  </si>
  <si>
    <t>"držet-015"</t>
  </si>
  <si>
    <t>DPHR: nad-1[voda.7]</t>
  </si>
  <si>
    <t>"držet-016"</t>
  </si>
  <si>
    <t>DPHR: v-1[šach-1.S6]</t>
  </si>
  <si>
    <t>"držet-017"</t>
  </si>
  <si>
    <t>ACT-&gt;ARG0/51</t>
  </si>
  <si>
    <t>DPHR: v-1[tajnost.6]</t>
  </si>
  <si>
    <t>PAT-&gt;ARG1/72</t>
  </si>
  <si>
    <t>"držet-018"</t>
  </si>
  <si>
    <t>DPHR: rekord.4</t>
  </si>
  <si>
    <t>DPHR-&gt;ARG1/195</t>
  </si>
  <si>
    <t>"držet-019"</t>
  </si>
  <si>
    <t>ADDR-&gt;ARG1/2,ARG2/4</t>
  </si>
  <si>
    <t>"držet-020"</t>
  </si>
  <si>
    <t>ACT-&gt;ARG0/9,ARG1/1</t>
  </si>
  <si>
    <t>DPHR: pod-1[poklička.S7]</t>
  </si>
  <si>
    <t>DPHR-&gt;ARG1/30</t>
  </si>
  <si>
    <t>PAT-&gt;ARG1/3,ARG2/27</t>
  </si>
  <si>
    <t>"držet-021"</t>
  </si>
  <si>
    <t>DPHR: huba.S4</t>
  </si>
  <si>
    <t>"držet-022"</t>
  </si>
  <si>
    <t>DPHR: palec.P4</t>
  </si>
  <si>
    <t>"držet-023"</t>
  </si>
  <si>
    <t>DPHR: parta.S4</t>
  </si>
  <si>
    <t>"držet-024"</t>
  </si>
  <si>
    <t>DPHR: ruka.S4</t>
  </si>
  <si>
    <t>"držet-025"</t>
  </si>
  <si>
    <t>DPHR: pohromadě</t>
  </si>
  <si>
    <t>?PAT: s+7</t>
  </si>
  <si>
    <t>"držet-026"</t>
  </si>
  <si>
    <t>DPHR: pospolu</t>
  </si>
  <si>
    <t>"držet-027"</t>
  </si>
  <si>
    <t>DPHR: zpátky</t>
  </si>
  <si>
    <t>"držet-028"</t>
  </si>
  <si>
    <t>"držet-029"</t>
  </si>
  <si>
    <t>"držet-030"</t>
  </si>
  <si>
    <t>DPHR: zvyk.P4</t>
  </si>
  <si>
    <t>"držet-031"</t>
  </si>
  <si>
    <t>"držet-032"</t>
  </si>
  <si>
    <t>PAT: s+7; při+6</t>
  </si>
  <si>
    <t>"držet-033"</t>
  </si>
  <si>
    <t>"držet-034"</t>
  </si>
  <si>
    <t>"držet-se-001"</t>
  </si>
  <si>
    <t>ACT-&gt;ARG0/30,ARG1/47</t>
  </si>
  <si>
    <t>PAT-&gt;ARG1/74</t>
  </si>
  <si>
    <t>"držet-se-002"</t>
  </si>
  <si>
    <t>ACT-&gt;ARG0/150,ARG1/159</t>
  </si>
  <si>
    <t>PAT-&gt;ARG1/235,ARG2/167</t>
  </si>
  <si>
    <t>"držet-se-003"</t>
  </si>
  <si>
    <t>ACT-&gt;ARG1/12</t>
  </si>
  <si>
    <t>ACT-&gt;ARG0/190,ARG1/3497,ARG2/299</t>
  </si>
  <si>
    <t>LOC-&gt;ARG1/330,ARG2/3781</t>
  </si>
  <si>
    <t>"držet-se-004"</t>
  </si>
  <si>
    <t>ACT-&gt;ARG0/33,ARG1/114</t>
  </si>
  <si>
    <t>LOC-&gt;ARG1/51,ARG2/3,ARG3/32</t>
  </si>
  <si>
    <t>"držet-se-005"</t>
  </si>
  <si>
    <t>ACT-&gt;ARG1/16</t>
  </si>
  <si>
    <t>"držet-se-006"</t>
  </si>
  <si>
    <t>ACT-&gt;ARG0/2,ARG1/43</t>
  </si>
  <si>
    <t>DPHR: nad-1[voda.S7]</t>
  </si>
  <si>
    <t>DPHR-&gt;ARG1/78</t>
  </si>
  <si>
    <t>"držet-se-007"</t>
  </si>
  <si>
    <t>DPHR: zpátky; dál</t>
  </si>
  <si>
    <t>ACT-&gt;ARG1/47</t>
  </si>
  <si>
    <t>DPHR-&gt;ARG3/32</t>
  </si>
  <si>
    <t>"držet-se-008"</t>
  </si>
  <si>
    <t>DPHR: při-1[zeď.S6]</t>
  </si>
  <si>
    <t>"držet-se-009"</t>
  </si>
  <si>
    <t>"držet-se-010"</t>
  </si>
  <si>
    <t>"držet-se-011"</t>
  </si>
  <si>
    <t>"držet-si-001"</t>
  </si>
  <si>
    <t>DPHR: odstup.S4</t>
  </si>
  <si>
    <t>"dublovat-001"</t>
  </si>
  <si>
    <t>"dumat-001"</t>
  </si>
  <si>
    <t>PAT: o+6; nad+7; ↓že; ↓zda; ↓c; ↓jestli; .s</t>
  </si>
  <si>
    <t>"dunět-001"</t>
  </si>
  <si>
    <t>"dupnout-si-001"</t>
  </si>
  <si>
    <t>"dusat-001"</t>
  </si>
  <si>
    <t>"dusit-001"</t>
  </si>
  <si>
    <t>"dusit-002"</t>
  </si>
  <si>
    <t>"dusit-003"</t>
  </si>
  <si>
    <t>"dusit-004"</t>
  </si>
  <si>
    <t>"dusit-se-001"</t>
  </si>
  <si>
    <t>"dutat-001"</t>
  </si>
  <si>
    <t>"dušovat-se-001"</t>
  </si>
  <si>
    <t>PAT: ↓že</t>
  </si>
  <si>
    <t>"dvořit-se-001"</t>
  </si>
  <si>
    <t>"dychtit-001"</t>
  </si>
  <si>
    <t>PAT: po+6; .f</t>
  </si>
  <si>
    <t>"--dychtit-002"</t>
  </si>
  <si>
    <t>"dát-001"</t>
  </si>
  <si>
    <t>ACT-&gt;ARG0/239</t>
  </si>
  <si>
    <t>PAT-&gt;ARG1/342,ARG2/1</t>
  </si>
  <si>
    <t>ADDR-&gt;ARG1/4,ARG2/309</t>
  </si>
  <si>
    <t>?EFF: za+4; 7; 4[{jako,jakožto}:/AuxY]</t>
  </si>
  <si>
    <t>"dát-002"</t>
  </si>
  <si>
    <t>?EFF: 7; 4[{jako,jakožto}:/AuxY]; za+4</t>
  </si>
  <si>
    <t>"dát-003"</t>
  </si>
  <si>
    <t>ACT-&gt;ARG0/132,ARG3/1</t>
  </si>
  <si>
    <t>PAT-&gt;ARG1/39,ARG3/143</t>
  </si>
  <si>
    <t>EFF-&gt;ARG1/118,ARG2/12,ARG3/1</t>
  </si>
  <si>
    <t>"dát-004"</t>
  </si>
  <si>
    <t>PAT: 4; ↓aby; .f; ↓že; .v</t>
  </si>
  <si>
    <t>"dát-005"</t>
  </si>
  <si>
    <t>ACT-&gt;ARG0/714</t>
  </si>
  <si>
    <t>PAT-&gt;ARG1/1105,ARG2/1</t>
  </si>
  <si>
    <t>ADDR-&gt;ARG1/15,ARG2/492,ARG4/2</t>
  </si>
  <si>
    <t>"dát-006"</t>
  </si>
  <si>
    <t>ACT-&gt;ARG0/432,ARG1/3</t>
  </si>
  <si>
    <t>PAT-&gt;ARG1/621,ARG2/1</t>
  </si>
  <si>
    <t>ADDR-&gt;ARG1/4,ARG2/309,ARG3/10</t>
  </si>
  <si>
    <t>"dát-007"</t>
  </si>
  <si>
    <t>ACT-&gt;ARG0/386</t>
  </si>
  <si>
    <t>PAT-&gt;ARG1/552,ARG2/1</t>
  </si>
  <si>
    <t>ADDR-&gt;ARG1/12,ARG2/468</t>
  </si>
  <si>
    <t>"dát-008"</t>
  </si>
  <si>
    <t>ACT: 1; .f; ↓než-3</t>
  </si>
  <si>
    <t>"dát-009"</t>
  </si>
  <si>
    <t>"dát-010"</t>
  </si>
  <si>
    <t>"dát-011"</t>
  </si>
  <si>
    <t>"dát-012"</t>
  </si>
  <si>
    <t>DIR3-&gt;ARG1/7,ARG2/15</t>
  </si>
  <si>
    <t>"dát-013"</t>
  </si>
  <si>
    <t>PAT-&gt;ARG1/510,ARG2/1</t>
  </si>
  <si>
    <t>DIR3-&gt;ARG1/4,ARG2/309</t>
  </si>
  <si>
    <t>"dát-014"</t>
  </si>
  <si>
    <t>ACT-&gt;ARG0/349</t>
  </si>
  <si>
    <t>PAT-&gt;ARG1/522</t>
  </si>
  <si>
    <t>DIR3-&gt;ARG1/270,ARG2/12</t>
  </si>
  <si>
    <t>"dát-015"</t>
  </si>
  <si>
    <t>"dát-016"</t>
  </si>
  <si>
    <t>"dát-017"</t>
  </si>
  <si>
    <t>PAT: .~f</t>
  </si>
  <si>
    <t>"dát-018"</t>
  </si>
  <si>
    <t>"dát-019"</t>
  </si>
  <si>
    <t>ACT-&gt;ARG0/110</t>
  </si>
  <si>
    <t>PAT: 4; ↓že; ↓c; ↓zda</t>
  </si>
  <si>
    <t>PAT-&gt;ARG1/188</t>
  </si>
  <si>
    <t>ACT-&gt;ARG0/101</t>
  </si>
  <si>
    <t>PAT-&gt;ARG1/1,ARG2/115</t>
  </si>
  <si>
    <t>"dát-020"</t>
  </si>
  <si>
    <t>EXT-&gt;ARG1/342,ARG2/1</t>
  </si>
  <si>
    <t>"dát-021"</t>
  </si>
  <si>
    <t>CPHR: {branka,facka,gól,pohlavek,políček,pusa,rána,...}.4</t>
  </si>
  <si>
    <t>CPHR-&gt;ARG1/342,ARG2/1</t>
  </si>
  <si>
    <t>"dát-022"</t>
  </si>
  <si>
    <t>CPHR: {hlas,...}.4</t>
  </si>
  <si>
    <t>ADDR: 3; pro+4</t>
  </si>
  <si>
    <t>"dát-023"</t>
  </si>
  <si>
    <t>CPHR: {možnost,naděje,popud,právo,prostor,příležitost,šance,...}.4</t>
  </si>
  <si>
    <t>CPHR-&gt;ARG1/159</t>
  </si>
  <si>
    <t>ADDR-&gt;ARG1/8,ARG2/154</t>
  </si>
  <si>
    <t>"dát-024"</t>
  </si>
  <si>
    <t>CPHR: {důkaz,důvod,informace,nabídka,návrh,oznámení,podnět,rada,stížnost,svolení,výhoda,výpověď,vysvětlení,záruka,zpráva,žádost,žaloba,...}.4</t>
  </si>
  <si>
    <t>ACT-&gt;ARG0/359</t>
  </si>
  <si>
    <t>CPHR-&gt;ARG1/467,ARG2/1</t>
  </si>
  <si>
    <t>ADDR-&gt;ARG1/39,ARG2/326</t>
  </si>
  <si>
    <t>ACT-&gt;ARG0/199</t>
  </si>
  <si>
    <t>CPHR-&gt;ARG1/284</t>
  </si>
  <si>
    <t>ADDR-&gt;ARG1/11,ARG2/171</t>
  </si>
  <si>
    <t>ACT-&gt;ARG0/45</t>
  </si>
  <si>
    <t>CPHR-&gt;ARG1/60</t>
  </si>
  <si>
    <t>"dát-025"</t>
  </si>
  <si>
    <t>CPHR: {hodnota}</t>
  </si>
  <si>
    <t>"dát-026"</t>
  </si>
  <si>
    <t>CPHR: {impuls,instrukce,motiv,možnost,naděje,odpověď,otázka,podmínka,podpora,pokyn,popud,povel,pověření,právo,pravomoc,příčina,příkaz,příležitost,přístup,signál,síla,slib,souhlas,šance,znamení,zpráva,...}.4</t>
  </si>
  <si>
    <t>ACT-&gt;ARG0/2503,ARG1/19</t>
  </si>
  <si>
    <t>CPHR-&gt;ARG0/1,ARG1/2757,ARG2/1</t>
  </si>
  <si>
    <t>ADDR-&gt;ARG1/12,ARG2/463</t>
  </si>
  <si>
    <t>ACT-&gt;ARG0/350</t>
  </si>
  <si>
    <t>CPHR-&gt;ARG1/501,ARG2/1</t>
  </si>
  <si>
    <t>ACT-&gt;ARG0/89</t>
  </si>
  <si>
    <t>CPHR-&gt;ARG1/125</t>
  </si>
  <si>
    <t>ADDR-&gt;ARG1/3,ARG2/17</t>
  </si>
  <si>
    <t>"dát-027"</t>
  </si>
  <si>
    <t>CPHR: {oprávnění,pokuta,sankce,upozornění,...}.4</t>
  </si>
  <si>
    <t>ACT-&gt;ARG0/34</t>
  </si>
  <si>
    <t>CPHR-&gt;ARG1/61</t>
  </si>
  <si>
    <t>ADDR-&gt;ARG1/7,ARG2/35</t>
  </si>
  <si>
    <t>"dát-028"</t>
  </si>
  <si>
    <t>CPHR: {preference,přednost,...}.4</t>
  </si>
  <si>
    <t>ADDR: 3; .f</t>
  </si>
  <si>
    <t>"dát-029"</t>
  </si>
  <si>
    <t>CPHR: {důkaz,informace,návrh,oznámení,podnět,stížnost,zpráva,žádost,žaloba,...}.4</t>
  </si>
  <si>
    <t>"dát-030"</t>
  </si>
  <si>
    <t>CPHR: {důkaz,informace,návrh,oznámení,podnět,pravomoc,stížnost,zpráva,žádost,žaloba,...}.4</t>
  </si>
  <si>
    <t>"dát-031"</t>
  </si>
  <si>
    <t>CPHR: {důraz,...}.4</t>
  </si>
  <si>
    <t>"dát-032"</t>
  </si>
  <si>
    <t>CPHR: {pečeť,...}.4</t>
  </si>
  <si>
    <t>"dát-033"</t>
  </si>
  <si>
    <t>ACT-&gt;ARG0/462</t>
  </si>
  <si>
    <t>DPHR-&gt;ARG1/264</t>
  </si>
  <si>
    <t>PAT-&gt;ARG1/669,ARG2/1</t>
  </si>
  <si>
    <t>"dát-034"</t>
  </si>
  <si>
    <t>DPHR: na-1[srozuměná.FS4]</t>
  </si>
  <si>
    <t>"dát-035"</t>
  </si>
  <si>
    <t>DPHR: na-1[vědomí.S4]</t>
  </si>
  <si>
    <t>"dát-036"</t>
  </si>
  <si>
    <t>ACT-&gt;ARG0/376,ARG1/3102,ARG2/296</t>
  </si>
  <si>
    <t>DPHR: najevo</t>
  </si>
  <si>
    <t>DPHR-&gt;ARG1/169</t>
  </si>
  <si>
    <t>PAT: 4; ↓že; ↓aby; ↓ať; ↓zda; ↓jestli; ↓c</t>
  </si>
  <si>
    <t>PAT-&gt;ARG0/1,ARG1/430,ARG2/3605</t>
  </si>
  <si>
    <t>ADDR-&gt;ARG0/1,ARG2/2</t>
  </si>
  <si>
    <t>"dát-037"</t>
  </si>
  <si>
    <t>DPHR: na-1[starost.S4]</t>
  </si>
  <si>
    <t>"dát-038"</t>
  </si>
  <si>
    <t>DPHR: do-1[soulad.S2]</t>
  </si>
  <si>
    <t>EFF: s+7</t>
  </si>
  <si>
    <t>"dát-039"</t>
  </si>
  <si>
    <t>DPHR: dohromady</t>
  </si>
  <si>
    <t>ACT-&gt;ARG0/150,ARG1/1</t>
  </si>
  <si>
    <t>DPHR-&gt;ARG2/22</t>
  </si>
  <si>
    <t>PAT-&gt;ARG1/286</t>
  </si>
  <si>
    <t>"dát-040"</t>
  </si>
  <si>
    <t>DPHR: pozor-2.S4</t>
  </si>
  <si>
    <t>DPHR-&gt;ARG1/79,ARG2/2</t>
  </si>
  <si>
    <t>PAT: na+4; ↓aby; ↓c</t>
  </si>
  <si>
    <t>"dát-041"</t>
  </si>
  <si>
    <t>DPHR: slyšet,se</t>
  </si>
  <si>
    <t>"dát-042"</t>
  </si>
  <si>
    <t>DPHR: z-1[ruka.2]</t>
  </si>
  <si>
    <t>"dát-043"</t>
  </si>
  <si>
    <t>DPHR: za-1[vyučená.FS4]</t>
  </si>
  <si>
    <t>"dát-044"</t>
  </si>
  <si>
    <t>DPHR-&gt;ARG1/342,ARG2/1</t>
  </si>
  <si>
    <t>PAT-&gt;ARG1/4,ARG2/309</t>
  </si>
  <si>
    <t>"dát-045"</t>
  </si>
  <si>
    <t>DPHR: práce.S4</t>
  </si>
  <si>
    <t>PAT: 1; .f</t>
  </si>
  <si>
    <t>"dát-046"</t>
  </si>
  <si>
    <t>DPHR: rozum.S1</t>
  </si>
  <si>
    <t>"dát-047"</t>
  </si>
  <si>
    <t>DPHR: červený.FS4</t>
  </si>
  <si>
    <t>"dát-048"</t>
  </si>
  <si>
    <t>DPHR: váha.S4[velký.#]; váha.S4[velký.@2#]</t>
  </si>
  <si>
    <t>"dát-049"</t>
  </si>
  <si>
    <t>DPHR: pokoj.4</t>
  </si>
  <si>
    <t>"dát-050"</t>
  </si>
  <si>
    <t>DPHR: ten.NS3</t>
  </si>
  <si>
    <t>"dát-051"</t>
  </si>
  <si>
    <t>DPHR: za-1[pravda.S4]</t>
  </si>
  <si>
    <t>?PAT: ↓že; v+6</t>
  </si>
  <si>
    <t>"dát-052"</t>
  </si>
  <si>
    <t>DPHR: vědět.f</t>
  </si>
  <si>
    <t>EFF: 4; ↓že; zda[v]; ↓c</t>
  </si>
  <si>
    <t>DPHR-&gt;ARG1/119</t>
  </si>
  <si>
    <t>ADDR-&gt;ARG1/125</t>
  </si>
  <si>
    <t>"dát-053"</t>
  </si>
  <si>
    <t>DPHR: čekat[na-1[se.4]]</t>
  </si>
  <si>
    <t>"dát-054"</t>
  </si>
  <si>
    <t>DPHR: bůh.S5</t>
  </si>
  <si>
    <t>"dát-055"</t>
  </si>
  <si>
    <t>"dát-056"</t>
  </si>
  <si>
    <t>CPHR: {chuť}.4</t>
  </si>
  <si>
    <t>"dát-057"</t>
  </si>
  <si>
    <t>CPHR: {jméno}.4</t>
  </si>
  <si>
    <t>"dát-058"</t>
  </si>
  <si>
    <t>"dát-059"</t>
  </si>
  <si>
    <t>ACT-&gt;ARG0/155,ARG1/2,ARG2/3</t>
  </si>
  <si>
    <t>DPHR-&gt;ARG1/245</t>
  </si>
  <si>
    <t>PAT-&gt;ARG2/27</t>
  </si>
  <si>
    <t>"dát-060"</t>
  </si>
  <si>
    <t>DPHR: srdce.S4</t>
  </si>
  <si>
    <t>"dát-061"</t>
  </si>
  <si>
    <t>DPHR: vale</t>
  </si>
  <si>
    <t>"dát-062"</t>
  </si>
  <si>
    <t>DPHR: v-1[sázka.S4]</t>
  </si>
  <si>
    <t>DPHR-&gt;ARG1/6,ARG2/12</t>
  </si>
  <si>
    <t>PAT-&gt;ARG0/31,ARG1/38</t>
  </si>
  <si>
    <t>"dát-063"</t>
  </si>
  <si>
    <t>"dát-064"</t>
  </si>
  <si>
    <t>DPHR: co-1,proto-1</t>
  </si>
  <si>
    <t>"dát-065"</t>
  </si>
  <si>
    <t>DPHR: dopustit.$2&lt;f&gt;</t>
  </si>
  <si>
    <t>"dát-066"</t>
  </si>
  <si>
    <t>?PAT: 4; z+2; ↓c</t>
  </si>
  <si>
    <t>"dát-067"</t>
  </si>
  <si>
    <t>DPHR: pánbůh.S1</t>
  </si>
  <si>
    <t>"dát-068"</t>
  </si>
  <si>
    <t>DPHR: ruka.S4,do-1[oheň.S2]</t>
  </si>
  <si>
    <t>"dát-069"</t>
  </si>
  <si>
    <t>"dát-070"</t>
  </si>
  <si>
    <t>"dát-071"</t>
  </si>
  <si>
    <t>DPHR: moc</t>
  </si>
  <si>
    <t>"dát-072"</t>
  </si>
  <si>
    <t>"dát-073"</t>
  </si>
  <si>
    <t>"dát-074"</t>
  </si>
  <si>
    <t>DPHR: slovo.S1,slovo.S4</t>
  </si>
  <si>
    <t>"--dát-075"</t>
  </si>
  <si>
    <t>"dát-076"</t>
  </si>
  <si>
    <t>"dát-077"</t>
  </si>
  <si>
    <t>DIR3: do+2</t>
  </si>
  <si>
    <t>"dát-078"</t>
  </si>
  <si>
    <t>"dát-se-001"</t>
  </si>
  <si>
    <t>PAT-&gt;ARG2/6</t>
  </si>
  <si>
    <t>"dát-se-002"</t>
  </si>
  <si>
    <t>"dát-se-003"</t>
  </si>
  <si>
    <t>"dát-se-004"</t>
  </si>
  <si>
    <t>CPHR: do-1[{hospodaření,let,pohyb,práce,rybaření,výklad,výroba,...}.2]; v-1[{let,...}.4]</t>
  </si>
  <si>
    <t>CPHR-&gt;ARG1/4</t>
  </si>
  <si>
    <t>"dát-se-005"</t>
  </si>
  <si>
    <t>ACT-&gt;ARG0/1,ARG1/1</t>
  </si>
  <si>
    <t>"dát-se-006"</t>
  </si>
  <si>
    <t>DPHR: cesta.S7</t>
  </si>
  <si>
    <t>"dát-se-007"</t>
  </si>
  <si>
    <t>ACT-&gt;ARG0/10,ARG1/2</t>
  </si>
  <si>
    <t>CPHR: na-1[{ústup,útěk}.4]</t>
  </si>
  <si>
    <t>"dát-se-008"</t>
  </si>
  <si>
    <t>DPHR: do-1[řeč.S2]</t>
  </si>
  <si>
    <t>"dát-se-009"</t>
  </si>
  <si>
    <t>"dát-si-001"</t>
  </si>
  <si>
    <t>"dát-si-002"</t>
  </si>
  <si>
    <t>"dát-si-003"</t>
  </si>
  <si>
    <t>"dát-si-004"</t>
  </si>
  <si>
    <t>DPHR: záležet.f</t>
  </si>
  <si>
    <t>?PAT: na+6</t>
  </si>
  <si>
    <t>"dát-si-005"</t>
  </si>
  <si>
    <t>"dát-si-006"</t>
  </si>
  <si>
    <t>DPHR: bacha.4</t>
  </si>
  <si>
    <t>"dát-si-007"</t>
  </si>
  <si>
    <t>ACT-&gt;ARG0/197,ARG1/25</t>
  </si>
  <si>
    <t>DPHR: načas; čas.S4</t>
  </si>
  <si>
    <t>DPHR-&gt;ARG1/224,ARG2/26</t>
  </si>
  <si>
    <t>"dát-si-008"</t>
  </si>
  <si>
    <t>DPHR: šlofík.S4</t>
  </si>
  <si>
    <t>"dát-si-009"</t>
  </si>
  <si>
    <t>DPHR: říci.f$11&lt;A&gt;</t>
  </si>
  <si>
    <t>?PAT: ↓aby</t>
  </si>
  <si>
    <t>"dát-si-010"</t>
  </si>
  <si>
    <t>"dávat-001"</t>
  </si>
  <si>
    <t>"dávat-002"</t>
  </si>
  <si>
    <t>"dávat-003"</t>
  </si>
  <si>
    <t>ACT-&gt;ARG0/463</t>
  </si>
  <si>
    <t>PAT-&gt;ARG1/641,ARG2/16</t>
  </si>
  <si>
    <t>ADDR-&gt;ARG1/27,ARG2/496</t>
  </si>
  <si>
    <t>"dávat-004"</t>
  </si>
  <si>
    <t>ACT-&gt;ARG0/485</t>
  </si>
  <si>
    <t>PAT-&gt;ARG1/705,ARG2/1</t>
  </si>
  <si>
    <t>ADDR-&gt;ARG1/15,ARG2/481</t>
  </si>
  <si>
    <t>"dávat-005"</t>
  </si>
  <si>
    <t>"dávat-006"</t>
  </si>
  <si>
    <t>"dávat-007"</t>
  </si>
  <si>
    <t>"dávat-008"</t>
  </si>
  <si>
    <t>PAT-&gt;ARG1/501,ARG2/1</t>
  </si>
  <si>
    <t>"dávat-009"</t>
  </si>
  <si>
    <t>ACT-&gt;ARG0/272,ARG1/1</t>
  </si>
  <si>
    <t>PAT-&gt;ARG1/580,ARG2/1</t>
  </si>
  <si>
    <t>"dávat-010"</t>
  </si>
  <si>
    <t>"dávat-011"</t>
  </si>
  <si>
    <t>"dávat-012"</t>
  </si>
  <si>
    <t>PAT-&gt;ARG1/60</t>
  </si>
  <si>
    <t>"dávat-013"</t>
  </si>
  <si>
    <t>ACT-&gt;ARG0/86</t>
  </si>
  <si>
    <t>PAT-&gt;ARG1/143</t>
  </si>
  <si>
    <t>"dávat-014"</t>
  </si>
  <si>
    <t>ACT-&gt;ARG0/325</t>
  </si>
  <si>
    <t>PAT-&gt;ARG1/485,ARG2/1</t>
  </si>
  <si>
    <t>"dávat-015"</t>
  </si>
  <si>
    <t>PAT-&gt;ARG1/31</t>
  </si>
  <si>
    <t>"dávat-016"</t>
  </si>
  <si>
    <t>"dávat-017"</t>
  </si>
  <si>
    <t>"dávat-018"</t>
  </si>
  <si>
    <t>"dávat-019"</t>
  </si>
  <si>
    <t>"dávat-020"</t>
  </si>
  <si>
    <t>CPHR: {důkaz,informace,návrh,oznámení,podnět,povolení,stížnost,vysvětlení,zpráva,žádost,žaloba,...}.4</t>
  </si>
  <si>
    <t>"dávat-021"</t>
  </si>
  <si>
    <t>CPHR: {hlas,pohlavek,políček,pusa,rada,...}.4</t>
  </si>
  <si>
    <t>CPHR-&gt;ARG1/6</t>
  </si>
  <si>
    <t>"dávat-022"</t>
  </si>
  <si>
    <t>CPHR: {podmínka,pokuta,sankce,výpověď,...}.4</t>
  </si>
  <si>
    <t>"dávat-023"</t>
  </si>
  <si>
    <t>CPHR: {preference,přednost,výhodu,...}.4</t>
  </si>
  <si>
    <t>ADDR-&gt;ARG1/60</t>
  </si>
  <si>
    <t>"dávat-024"</t>
  </si>
  <si>
    <t>CPHR: {cíl,cíl,hlas,impuls,instruktáž,mandát,mandát,moc,možnost,nabídka,náboj,náboj,naděje,oprávnění,podpora,pokyn,pokyn,popud,povel,pověření,povinnost,požehnání,právo,pravomoc,pravomoc,prostor,příčina,příkaz,příležitost,rada,schopnost,signál,síla,smysl,šance,vina,výhoda,závazek,...}.4</t>
  </si>
  <si>
    <t>ACT-&gt;ARG0/394</t>
  </si>
  <si>
    <t>CPHR-&gt;ARG1/561,ARG2/1</t>
  </si>
  <si>
    <t>ACT-&gt;ARG0/501,ARG1/1</t>
  </si>
  <si>
    <t>CPHR-&gt;ARG1/733,ARG2/1</t>
  </si>
  <si>
    <t>ADDR-&gt;ARG1/19,ARG2/463,ARG3/5</t>
  </si>
  <si>
    <t>ACT-&gt;ARG0/4,ARG2/11</t>
  </si>
  <si>
    <t>CPHR-&gt;ARG1/16</t>
  </si>
  <si>
    <t>"dávat-025"</t>
  </si>
  <si>
    <t>CPHR: {pocit,...}</t>
  </si>
  <si>
    <t>"dávat-026"</t>
  </si>
  <si>
    <t>CPHR: {záruka,...}.4</t>
  </si>
  <si>
    <t>"dávat-027"</t>
  </si>
  <si>
    <t>"dávat-028"</t>
  </si>
  <si>
    <t>"dávat-029"</t>
  </si>
  <si>
    <t>"dávat-030"</t>
  </si>
  <si>
    <t>ACT-&gt;ARG0/178</t>
  </si>
  <si>
    <t>PAT-&gt;ARG1/267</t>
  </si>
  <si>
    <t>"dávat-031"</t>
  </si>
  <si>
    <t>"dávat-032"</t>
  </si>
  <si>
    <t>"dávat-033"</t>
  </si>
  <si>
    <t>"dávat-034"</t>
  </si>
  <si>
    <t>"dávat-035"</t>
  </si>
  <si>
    <t>DPHR: za-1[vina.S4]</t>
  </si>
  <si>
    <t>PAT-&gt;ARG1/1,ARG2/21</t>
  </si>
  <si>
    <t>ADDR-&gt;ARG1/24,ARG2/1</t>
  </si>
  <si>
    <t>"dávat-036"</t>
  </si>
  <si>
    <t>"dávat-037"</t>
  </si>
  <si>
    <t>PAT: na+4; ↓aby; ↓c; ↓jestli; ↓zda</t>
  </si>
  <si>
    <t>DPHR-&gt;ARG1/15</t>
  </si>
  <si>
    <t>PAT-&gt;ARG1/1,ARG2/15</t>
  </si>
  <si>
    <t>"dávat-038"</t>
  </si>
  <si>
    <t>DPHR: šťáva.S3</t>
  </si>
  <si>
    <t>"dávat-039"</t>
  </si>
  <si>
    <t>DPHR: váha.4</t>
  </si>
  <si>
    <t>"dávat-040"</t>
  </si>
  <si>
    <t>DPHR: vina.S4</t>
  </si>
  <si>
    <t>"dávat-041"</t>
  </si>
  <si>
    <t>"dávat-042"</t>
  </si>
  <si>
    <t>ADDR-&gt;ARG1/1</t>
  </si>
  <si>
    <t>"dávat-043"</t>
  </si>
  <si>
    <t>"dávat-044"</t>
  </si>
  <si>
    <t>ACT-&gt;ARG0/3,ARG2/11</t>
  </si>
  <si>
    <t>DPHR: smysl.S4</t>
  </si>
  <si>
    <t>DPHR-&gt;ARG1/16</t>
  </si>
  <si>
    <t>"dávat-045"</t>
  </si>
  <si>
    <t>ADDR-&gt;ARG2/18</t>
  </si>
  <si>
    <t>"dávat-046"</t>
  </si>
  <si>
    <t>"dávat-047"</t>
  </si>
  <si>
    <t>DPHR: na-1[odiv.S4]</t>
  </si>
  <si>
    <t>PAT: ↓.4,že</t>
  </si>
  <si>
    <t>"dávat-048"</t>
  </si>
  <si>
    <t>"dávat-049"</t>
  </si>
  <si>
    <t>DPHR: zelený.FS4@1$11&lt;A&gt;</t>
  </si>
  <si>
    <t>DPHR-&gt;ARG1/159</t>
  </si>
  <si>
    <t>PAT-&gt;ARG1/8,ARG2/154</t>
  </si>
  <si>
    <t>"dávat-050"</t>
  </si>
  <si>
    <t>CPHR: {gól}.4</t>
  </si>
  <si>
    <t>"dávat-051"</t>
  </si>
  <si>
    <t>"dávat-052"</t>
  </si>
  <si>
    <t>DPHR: k-1[dobro.NS3]</t>
  </si>
  <si>
    <t>"dávat-053"</t>
  </si>
  <si>
    <t>DPHR: práce.S2</t>
  </si>
  <si>
    <t>PAT: 1; .f; ↓než-3</t>
  </si>
  <si>
    <t>"dávat-054"</t>
  </si>
  <si>
    <t>"dávat-055"</t>
  </si>
  <si>
    <t>"dávat-056"</t>
  </si>
  <si>
    <t>DPHR: liška.P1,noc.S4[dobrý.#]</t>
  </si>
  <si>
    <t>"dávat-057"</t>
  </si>
  <si>
    <t>DPHR: do-1[puc.S2]</t>
  </si>
  <si>
    <t>"dávat-058"</t>
  </si>
  <si>
    <t>"dávat-059"</t>
  </si>
  <si>
    <t>DPHR: kouř.S4</t>
  </si>
  <si>
    <t>"dávat-se-001"</t>
  </si>
  <si>
    <t>"dávat-se-002"</t>
  </si>
  <si>
    <t>"dávat-se-003"</t>
  </si>
  <si>
    <t>"dávat-se-004"</t>
  </si>
  <si>
    <t>"dávat-se-005"</t>
  </si>
  <si>
    <t>CPHR: do-1[{hospodaření,pohyb,pochod,práce,výklad,výroba,...}.2]</t>
  </si>
  <si>
    <t>"dávat-se-006"</t>
  </si>
  <si>
    <t>"dávat-si-001"</t>
  </si>
  <si>
    <t>CPHR: {rande,schůzka}.4</t>
  </si>
  <si>
    <t>"dávat-si-002"</t>
  </si>
  <si>
    <t>DPHR: líbit</t>
  </si>
  <si>
    <t>"dávat-si-003"</t>
  </si>
  <si>
    <t>"dávat-si-004"</t>
  </si>
  <si>
    <t>DPHR: načas; na-1[čas.S4]</t>
  </si>
  <si>
    <t>"dávat-si-006"</t>
  </si>
  <si>
    <t>DPHR: do-1[nos.S2]</t>
  </si>
  <si>
    <t>"dávat-si-007"</t>
  </si>
  <si>
    <t>DPHR: pozor.S4</t>
  </si>
  <si>
    <t>"dávat-si-008"</t>
  </si>
  <si>
    <t>"dávkovat-001"</t>
  </si>
  <si>
    <t>"démonizovat-001"</t>
  </si>
  <si>
    <t>"dít-001"</t>
  </si>
  <si>
    <t>"dít-se-001"</t>
  </si>
  <si>
    <t>ACT-&gt;ARG1/445</t>
  </si>
  <si>
    <t>PAT-&gt;ARG2/28</t>
  </si>
  <si>
    <t>"dít-se-002"</t>
  </si>
  <si>
    <t>"dít-se-003"</t>
  </si>
  <si>
    <t>ACT: 1; tak-3</t>
  </si>
  <si>
    <t>ACT-&gt;ARG1/1031</t>
  </si>
  <si>
    <t>"dívat-se-001"</t>
  </si>
  <si>
    <t>PAT: na+4; ↓jak-2; ↓c; ↓jestli; na+6</t>
  </si>
  <si>
    <t>ACT-&gt;ARG0/471,ARG1/2</t>
  </si>
  <si>
    <t>PAT-&gt;ARG1/639,ARG2/2</t>
  </si>
  <si>
    <t>"dívat-se-002"</t>
  </si>
  <si>
    <t>ACT-&gt;ARG0/279</t>
  </si>
  <si>
    <t>PAT-&gt;ARG1/354,ARG2/1</t>
  </si>
  <si>
    <t>ALT-DIR1: *</t>
  </si>
  <si>
    <t>MANN-&gt;ARG2/74</t>
  </si>
  <si>
    <t>CPR-&gt;ARG1/1,ARG2/344</t>
  </si>
  <si>
    <t>"dívat-se-003"</t>
  </si>
  <si>
    <t>PAT-&gt;ARG1/74,ARG2/1</t>
  </si>
  <si>
    <t>"dívat-se-004"</t>
  </si>
  <si>
    <t>PAT-&gt;ARG1/20</t>
  </si>
  <si>
    <t>"dívat-se-005"</t>
  </si>
  <si>
    <t>DIR3-&gt;ARG1/74,ARG2/1</t>
  </si>
  <si>
    <t>"dívat-se-006"</t>
  </si>
  <si>
    <t>DPHR: přes-1[rameno.S4]</t>
  </si>
  <si>
    <t>"dívat-se-007"</t>
  </si>
  <si>
    <t>?EFF: ↓jestli</t>
  </si>
  <si>
    <t>"dýchat-001"</t>
  </si>
  <si>
    <t>"dýchat-002"</t>
  </si>
  <si>
    <t>"dýchat-003"</t>
  </si>
  <si>
    <t>DPHR: na-1[krk.S4]</t>
  </si>
  <si>
    <t>"dýchat-004"</t>
  </si>
  <si>
    <t>"dýchat-005"</t>
  </si>
  <si>
    <t>"dědit-001"</t>
  </si>
  <si>
    <t>"děkovat-001"</t>
  </si>
  <si>
    <t>ADDR-&gt;ARG1/6</t>
  </si>
  <si>
    <t>PAT-&gt;ARG2/5</t>
  </si>
  <si>
    <t>"dělat-001"</t>
  </si>
  <si>
    <t>ACT-&gt;ARG0/4,ARG1/3112,ARG2/296</t>
  </si>
  <si>
    <t>PAT-&gt;ARG1/236,ARG2/3451</t>
  </si>
  <si>
    <t>ADDR-&gt;ARG0/113</t>
  </si>
  <si>
    <t>"dělat-002"</t>
  </si>
  <si>
    <t>"dělat-003"</t>
  </si>
  <si>
    <t>ACT-&gt;ARG0/216,ARG1/1</t>
  </si>
  <si>
    <t>PAT-&gt;ARG1/295</t>
  </si>
  <si>
    <t>ADDR-&gt;ARG1/6,ARG2/34,ARG3/1</t>
  </si>
  <si>
    <t>"dělat-004"</t>
  </si>
  <si>
    <t>ACT-&gt;ARG0/286,ARG1/4,ARG2/3,ARG3/1</t>
  </si>
  <si>
    <t>PAT-&gt;ARG1/441</t>
  </si>
  <si>
    <t>ORIG-&gt;ARG2/27</t>
  </si>
  <si>
    <t>"dělat-005"</t>
  </si>
  <si>
    <t>PAT-&gt;ARG1/245</t>
  </si>
  <si>
    <t>ORIG: z+2</t>
  </si>
  <si>
    <t>"dělat-006"</t>
  </si>
  <si>
    <t>ACT-&gt;ARG0/640,ARG1/4,ARG2/3</t>
  </si>
  <si>
    <t>PAT-&gt;ARG1/956</t>
  </si>
  <si>
    <t>ORIG-&gt;ARG1/267,ARG2/30</t>
  </si>
  <si>
    <t>"dělat-007"</t>
  </si>
  <si>
    <t>EFF-&gt;ARG1/264</t>
  </si>
  <si>
    <t>"dělat-008"</t>
  </si>
  <si>
    <t>PAT-&gt;ARG0/178,ARG1/267</t>
  </si>
  <si>
    <t>EFF: 7; .a7</t>
  </si>
  <si>
    <t>"dělat-009"</t>
  </si>
  <si>
    <t>MANN-&gt;ARG1/2</t>
  </si>
  <si>
    <t>"dělat-010"</t>
  </si>
  <si>
    <t>ACT-&gt;ARG0/3124,ARG1/3152,ARG2/300,ARG3/1</t>
  </si>
  <si>
    <t>PAT-&gt;ARG0/2,ARG1/3714,ARG2/3451</t>
  </si>
  <si>
    <t>"dělat-011"</t>
  </si>
  <si>
    <t>PAT: 4; .d; tak-3</t>
  </si>
  <si>
    <t>ACT-&gt;ARG0/2536,ARG1/22,ARG3/1</t>
  </si>
  <si>
    <t>PAT-&gt;ARG0/1,ARG1/2804</t>
  </si>
  <si>
    <t>"dělat-012"</t>
  </si>
  <si>
    <t>PAT: 4; ↓že; ↓c; jako[že[.v]]; jako[by[.v]]</t>
  </si>
  <si>
    <t>"dělat-013"</t>
  </si>
  <si>
    <t>"dělat-014"</t>
  </si>
  <si>
    <t>"dělat-015"</t>
  </si>
  <si>
    <t>"dělat-016"</t>
  </si>
  <si>
    <t>"dělat-017"</t>
  </si>
  <si>
    <t>"dělat-018"</t>
  </si>
  <si>
    <t>"dělat-019"</t>
  </si>
  <si>
    <t>ACT-&gt;ARG0/131,ARG1/2,ARG3/1</t>
  </si>
  <si>
    <t>"dělat-020"</t>
  </si>
  <si>
    <t>"dělat-021"</t>
  </si>
  <si>
    <t>CPHR: {dojem,...}.4</t>
  </si>
  <si>
    <t>"dělat-022"</t>
  </si>
  <si>
    <t>CPHR: {soud,rešerše,závěr,...}.4</t>
  </si>
  <si>
    <t>CPHR-&gt;ARG1/128</t>
  </si>
  <si>
    <t>"dělat-023"</t>
  </si>
  <si>
    <t>CPHR: {analýza,činnost,elektrifikace,expertíza,fotbálek,hlášení,hodnocení,hovor,chyba,instruktáž,kladení,kontrola,kouzlo,krájení,krok,léčení,lyžování,maturita,nábor,nácvik,nákup,ohledání,omezení,opatření,operace,oprava,plán,pokrok,pokus,poradenství,postavení,postřik,práce,prognóza,projekt,propagace,průkaz,průzkum,příprava,přitahování,rekonstrukce,reorganizace,restrukturalizace,rozhodnutí,rozhovor,sčítání,slib,sport,škoda,tenis,test,údržba,úprava,ústupek,vklad,vyčištění,vyhrabování,výkop,vyšetření,výzkum,zátah,zatravňování,zkouška,změna,...}.4</t>
  </si>
  <si>
    <t>CPHR-&gt;ARG1/38</t>
  </si>
  <si>
    <t>ACT-&gt;ARG0/286,ARG1/3,ARG3/1</t>
  </si>
  <si>
    <t>CPHR-&gt;ARG1/413</t>
  </si>
  <si>
    <t>ACT-&gt;ARG0/221,ARG1/2,ARG3/1</t>
  </si>
  <si>
    <t>CPHR-&gt;ARG1/324</t>
  </si>
  <si>
    <t>ACT-&gt;ARG0/244,ARG1/2,ARG3/1</t>
  </si>
  <si>
    <t>CPHR-&gt;ARG1/362</t>
  </si>
  <si>
    <t>"dělat-024"</t>
  </si>
  <si>
    <t>CPHR: {nabídka,návrh,...}.4</t>
  </si>
  <si>
    <t>"dělat-025"</t>
  </si>
  <si>
    <t>CPHR: {obchod,...}.4</t>
  </si>
  <si>
    <t>"dělat-026"</t>
  </si>
  <si>
    <t>CPHR: {lumpárna,povyk,rachot,rámus,vtípky,...}.4</t>
  </si>
  <si>
    <t>"dělat-027"</t>
  </si>
  <si>
    <t>ACT: 1; ↓kdyby</t>
  </si>
  <si>
    <t>DPHR: dobrota.S4</t>
  </si>
  <si>
    <t>"dělat-028"</t>
  </si>
  <si>
    <t>DPHR: neplecha.4</t>
  </si>
  <si>
    <t>"dělat-029"</t>
  </si>
  <si>
    <t>DPHR: svůj-2.NS4</t>
  </si>
  <si>
    <t>"dělat-030"</t>
  </si>
  <si>
    <t>DPHR: zloděj.4</t>
  </si>
  <si>
    <t>"dělat-031"</t>
  </si>
  <si>
    <t>DPHR: nos.S4[dlouhý:#]</t>
  </si>
  <si>
    <t>"dělat-032"</t>
  </si>
  <si>
    <t>"dělat-033"</t>
  </si>
  <si>
    <t>DPHR: ostuda.S4</t>
  </si>
  <si>
    <t>"dělat-034"</t>
  </si>
  <si>
    <t>DPHR: pitomina.P4</t>
  </si>
  <si>
    <t>"dělat-035"</t>
  </si>
  <si>
    <t>DPHR: rotyka.S4</t>
  </si>
  <si>
    <t>"dělat-036"</t>
  </si>
  <si>
    <t>DPHR: scéna.P4</t>
  </si>
  <si>
    <t>"--dělat-037"</t>
  </si>
  <si>
    <t>"dělat-038"</t>
  </si>
  <si>
    <t>CPHR: {hostina,koncert,svatba,vycházka,výlet,zájezd}.4</t>
  </si>
  <si>
    <t>"dělat-039"</t>
  </si>
  <si>
    <t>CPHR: {stín}.4</t>
  </si>
  <si>
    <t>"dělat-040"</t>
  </si>
  <si>
    <t>"dělat-041"</t>
  </si>
  <si>
    <t>DPHR: vědět.~S$2&lt;B&gt;$8&lt;1&gt;$9&lt;P&gt;$12&lt;A&gt;[co-1.4]</t>
  </si>
  <si>
    <t>"dělat-042"</t>
  </si>
  <si>
    <t>DPHR: zle</t>
  </si>
  <si>
    <t>"dělat-043"</t>
  </si>
  <si>
    <t>"--dělat-044"</t>
  </si>
  <si>
    <t>CPHR: {analýza,expertíza,hodnocení,chyba,instruktáž,kontrola,krájení,krok,nákup,ohledání,omezení,opatření,pokrok,pokus,poradenství,práce,prognóza,propagace,průzkum,reorganizace,restrukturalizace,rozhodnutí,rozhovor,slib,sport,test,údržba,ústupek,vklad,vyšetření,zátah,změna,...}.4</t>
  </si>
  <si>
    <t>"dělat-045"</t>
  </si>
  <si>
    <t>CPHR: {fotka,fotografie,snímek,zápis,záznam,...}.4</t>
  </si>
  <si>
    <t>"dělat-046"</t>
  </si>
  <si>
    <t>"dělat-047"</t>
  </si>
  <si>
    <t>"--dělat-048"</t>
  </si>
  <si>
    <t>"dělat-se-001"</t>
  </si>
  <si>
    <t>"dělat-se-002"</t>
  </si>
  <si>
    <t>"dělat-se-003"</t>
  </si>
  <si>
    <t>"dělat-se-004"</t>
  </si>
  <si>
    <t>"dělat-si-001"</t>
  </si>
  <si>
    <t>"dělat-si-002"</t>
  </si>
  <si>
    <t>CPHR: {naděje,nárok,představa,...}.4</t>
  </si>
  <si>
    <t>"dělat-si-003"</t>
  </si>
  <si>
    <t>CPHR: {obava,starost,...}.4</t>
  </si>
  <si>
    <t>"dělat-si-004"</t>
  </si>
  <si>
    <t>DPHR: hlava:S4[těžký.#]</t>
  </si>
  <si>
    <t>"dělat-si-005"</t>
  </si>
  <si>
    <t>DPHR: nic.4</t>
  </si>
  <si>
    <t>"dělat-si-006"</t>
  </si>
  <si>
    <t>DPHR: legrace.S4; blázen.P4; sranda.S4</t>
  </si>
  <si>
    <t>?EFF: ↓že</t>
  </si>
  <si>
    <t>"dělat-si-007"</t>
  </si>
  <si>
    <t>DPHR: iluze.P4</t>
  </si>
  <si>
    <t>"dělat-si-008"</t>
  </si>
  <si>
    <t>DPHR: hlava.S4; hlava.S4[velký.#]</t>
  </si>
  <si>
    <t>PAT: s+7; z+2</t>
  </si>
  <si>
    <t>"dělat-si-009"</t>
  </si>
  <si>
    <t>PAT: ↓c</t>
  </si>
  <si>
    <t>ADDR-&gt;ARG1/2,ARG2/13,ARG3/1</t>
  </si>
  <si>
    <t>"dělat-si-010"</t>
  </si>
  <si>
    <t>DPHR: blázen.P4</t>
  </si>
  <si>
    <t>"--dělat-si-011"</t>
  </si>
  <si>
    <t>DPHR: velkou,hlavu</t>
  </si>
  <si>
    <t>"dělit-001"</t>
  </si>
  <si>
    <t>?ADDR: 3; mezi+4; na+4; do+2</t>
  </si>
  <si>
    <t>"dělit-002"</t>
  </si>
  <si>
    <t>"dělit-003"</t>
  </si>
  <si>
    <t>"dělit-004"</t>
  </si>
  <si>
    <t>"dělit-se-001"</t>
  </si>
  <si>
    <t>PAT-&gt;ARG1/46</t>
  </si>
  <si>
    <t>ADDR-&gt;ARG2/19</t>
  </si>
  <si>
    <t>"dělit-se-002"</t>
  </si>
  <si>
    <t>ACT-&gt;ARG1/33</t>
  </si>
  <si>
    <t>?PAT: na+4; do+2</t>
  </si>
  <si>
    <t>"dělávat-001"</t>
  </si>
  <si>
    <t>"dělávat-002"</t>
  </si>
  <si>
    <t>"dělávat-003"</t>
  </si>
  <si>
    <t>"dělávat-004"</t>
  </si>
  <si>
    <t>"dělávat-005"</t>
  </si>
  <si>
    <t>"děsit-001"</t>
  </si>
  <si>
    <t>ACT-&gt;ARG0/1,ARG2/3</t>
  </si>
  <si>
    <t>"děsit-se-001"</t>
  </si>
  <si>
    <t>"dřepnout-si-001"</t>
  </si>
  <si>
    <t>"dřímat-001"</t>
  </si>
  <si>
    <t>"dřímat-002"</t>
  </si>
  <si>
    <t>"dřít-001"</t>
  </si>
  <si>
    <t>"dřít-se-001"</t>
  </si>
  <si>
    <t>?PAT: na+6; s+7</t>
  </si>
  <si>
    <t>"dřít-se-002"</t>
  </si>
  <si>
    <t>"dštít-001"</t>
  </si>
  <si>
    <t>DPHR: oheň.S4</t>
  </si>
  <si>
    <t>DPHR-&gt;ARG1/3</t>
  </si>
  <si>
    <t>"důvěřovat-001"</t>
  </si>
  <si>
    <t>ACT-&gt;ARG0/104</t>
  </si>
  <si>
    <t>PAT: 3; ↓že</t>
  </si>
  <si>
    <t>"důvěřovat-002"</t>
  </si>
  <si>
    <t>"důvěřovat-003"</t>
  </si>
  <si>
    <t>ADDR-&gt;ARG1/35</t>
  </si>
  <si>
    <t>"--důvěřovat-si-001"</t>
  </si>
  <si>
    <t>"elektrifikovat-001"</t>
  </si>
  <si>
    <t>"eliminovat-001"</t>
  </si>
  <si>
    <t>PAT-&gt;ARG1/100</t>
  </si>
  <si>
    <t>"emigrovat-001"</t>
  </si>
  <si>
    <t>"emitovat-001"</t>
  </si>
  <si>
    <t>ACT-&gt;ARG0/127,ARG2/1</t>
  </si>
  <si>
    <t>PAT-&gt;ARG1/150</t>
  </si>
  <si>
    <t>"erodovat-001"</t>
  </si>
  <si>
    <t>"eskalovat-001"</t>
  </si>
  <si>
    <t>"eskortovat-001"</t>
  </si>
  <si>
    <t>"etablovat-se-001"</t>
  </si>
  <si>
    <t>ACT-&gt;ARG0/54</t>
  </si>
  <si>
    <t>"evakuovat-001"</t>
  </si>
  <si>
    <t>"evakuovat-002"</t>
  </si>
  <si>
    <t>"evaluovat-001"</t>
  </si>
  <si>
    <t>"evidovat-001"</t>
  </si>
  <si>
    <t>PAT-&gt;ARG1/5,ARG2/1</t>
  </si>
  <si>
    <t>"evidovat-002"</t>
  </si>
  <si>
    <t>EFF: 4; ↓že; ↓jak-2; .s; ↓c</t>
  </si>
  <si>
    <t>"evokovat-001"</t>
  </si>
  <si>
    <t>"excelovat-001"</t>
  </si>
  <si>
    <t>?PAT: nad+7</t>
  </si>
  <si>
    <t>"existovat-001"</t>
  </si>
  <si>
    <t>ACT: 1; ↓že; ↓aby</t>
  </si>
  <si>
    <t>ACT-&gt;ARG0/1,ARG1/6084,ARG2/299</t>
  </si>
  <si>
    <t>"expandovat-001"</t>
  </si>
  <si>
    <t>ACT-&gt;ARG0/2,ARG1/24</t>
  </si>
  <si>
    <t>"expedovat-001"</t>
  </si>
  <si>
    <t>PAT-&gt;ARG0/1,ARG1/38</t>
  </si>
  <si>
    <t>"experimentovat-001"</t>
  </si>
  <si>
    <t>"explodovat-001"</t>
  </si>
  <si>
    <t>"exponovat-001"</t>
  </si>
  <si>
    <t>"exportovat-001"</t>
  </si>
  <si>
    <t>ACT-&gt;ARG0/133,ARG1/1</t>
  </si>
  <si>
    <t>PAT-&gt;ARG1/222</t>
  </si>
  <si>
    <t>"externalizovat-001"</t>
  </si>
  <si>
    <t>"extradikovat-001"</t>
  </si>
  <si>
    <t>"extrahovat-001"</t>
  </si>
  <si>
    <t>"extrahovat-002"</t>
  </si>
  <si>
    <t>"extrapolovat-001"</t>
  </si>
  <si>
    <t>"fackovat-001"</t>
  </si>
  <si>
    <t>"fajrat-001"</t>
  </si>
  <si>
    <t>"fakturovat-001"</t>
  </si>
  <si>
    <t>"falšovat-001"</t>
  </si>
  <si>
    <t>ACT-&gt;ARG0/18,ARG1/1</t>
  </si>
  <si>
    <t>PAT-&gt;ARG1/3,ARG2/36</t>
  </si>
  <si>
    <t>"fandit-001"</t>
  </si>
  <si>
    <t>"fantazírovat-001"</t>
  </si>
  <si>
    <t>EFF: ↓že; ↓jak-2</t>
  </si>
  <si>
    <t>"fantazírovat-002"</t>
  </si>
  <si>
    <t>"farmařit-001"</t>
  </si>
  <si>
    <t>"fascinovat-001"</t>
  </si>
  <si>
    <t>ACT: 1; ↓jak-2</t>
  </si>
  <si>
    <t>"fasovat-001"</t>
  </si>
  <si>
    <t>"faulovat-001"</t>
  </si>
  <si>
    <t>"favorizovat-001"</t>
  </si>
  <si>
    <t>"figurovat-001"</t>
  </si>
  <si>
    <t>ACT-&gt;ARG0/6,ARG1/19</t>
  </si>
  <si>
    <t>LOC-&gt;ARG1/7</t>
  </si>
  <si>
    <t>"fiknout-001"</t>
  </si>
  <si>
    <t>"filmovat-001"</t>
  </si>
  <si>
    <t>"filozofovat-001"</t>
  </si>
  <si>
    <t>"filtrovat-001"</t>
  </si>
  <si>
    <t>"filtrovat-002"</t>
  </si>
  <si>
    <t>"financovat-001"</t>
  </si>
  <si>
    <t>ACT-&gt;ARG0/388,ARG1/75,ARG2/16,ARG3/8</t>
  </si>
  <si>
    <t>PAT-&gt;ARG0/40,ARG1/530,ARG2/11,ARG3/9</t>
  </si>
  <si>
    <t>"finišovat-001"</t>
  </si>
  <si>
    <t>ACT-&gt;ARG1/67</t>
  </si>
  <si>
    <t>"fixlovat-001"</t>
  </si>
  <si>
    <t>"fixovat-001"</t>
  </si>
  <si>
    <t>"fičet-001"</t>
  </si>
  <si>
    <t>"flinkat-001"</t>
  </si>
  <si>
    <t>"flinkat-se-001"</t>
  </si>
  <si>
    <t>"flirtovat-001"</t>
  </si>
  <si>
    <t>?PAT: o+6; ↓že; .s; ↓c</t>
  </si>
  <si>
    <t>"flirtovat-002"</t>
  </si>
  <si>
    <t>"fluktuovat-001"</t>
  </si>
  <si>
    <t>"flákat-001"</t>
  </si>
  <si>
    <t>"flákat-se-001"</t>
  </si>
  <si>
    <t>"fláknout-001"</t>
  </si>
  <si>
    <t>"formalizovat-001"</t>
  </si>
  <si>
    <t>"formovat-001"</t>
  </si>
  <si>
    <t>?EFF: v+4; do+2</t>
  </si>
  <si>
    <t>"formovat-se-001"</t>
  </si>
  <si>
    <t>ACT-&gt;ARG1/55</t>
  </si>
  <si>
    <t>PAT-&gt;ARG2/3</t>
  </si>
  <si>
    <t>"formulovat-001"</t>
  </si>
  <si>
    <t>"formátovat-001"</t>
  </si>
  <si>
    <t>"fotit-001"</t>
  </si>
  <si>
    <t>"fotit-002"</t>
  </si>
  <si>
    <t>"fotit-se-001"</t>
  </si>
  <si>
    <t>"fotografovat-001"</t>
  </si>
  <si>
    <t>"fotografovat-002"</t>
  </si>
  <si>
    <t>"fotografovat-se-001"</t>
  </si>
  <si>
    <t>"fotívat-001"</t>
  </si>
  <si>
    <t>"foukat-001"</t>
  </si>
  <si>
    <t>"foukat-002"</t>
  </si>
  <si>
    <t>"foukat-003"</t>
  </si>
  <si>
    <t>"fragmentovat-001"</t>
  </si>
  <si>
    <t>"frustrovat-001"</t>
  </si>
  <si>
    <t>ACT-&gt;ARG0/3,ARG2/1</t>
  </si>
  <si>
    <t>"fungovat-001"</t>
  </si>
  <si>
    <t>ACT-&gt;ARG0/352,ARG1/529,ARG2/3</t>
  </si>
  <si>
    <t>"fungovat-002"</t>
  </si>
  <si>
    <t>ACT-&gt;ARG0/334,ARG1/64</t>
  </si>
  <si>
    <t>"fungovat-003"</t>
  </si>
  <si>
    <t>"funět-001"</t>
  </si>
  <si>
    <t>"funět-002"</t>
  </si>
  <si>
    <t>"fušovat-001"</t>
  </si>
  <si>
    <t>"fárat-001"</t>
  </si>
  <si>
    <t>"fúzovat-001"</t>
  </si>
  <si>
    <t>"fúzovat-002"</t>
  </si>
  <si>
    <t>"garantovat-001"</t>
  </si>
  <si>
    <t>PAT-&gt;ARG1/66</t>
  </si>
  <si>
    <t>ADDR-&gt;ARG2/11</t>
  </si>
  <si>
    <t>"generalizovat-001"</t>
  </si>
  <si>
    <t>"generovat-001"</t>
  </si>
  <si>
    <t>"gestikulovat-001"</t>
  </si>
  <si>
    <t>"gestikulovat-002"</t>
  </si>
  <si>
    <t>?PAT: 4; ↓že; ↓aby; ↓ať</t>
  </si>
  <si>
    <t>"glajchšaltovat-001"</t>
  </si>
  <si>
    <t>"globalizovat-001"</t>
  </si>
  <si>
    <t>"glosovat-001"</t>
  </si>
  <si>
    <t>"gratulovat-001"</t>
  </si>
  <si>
    <t>"grilovat-001"</t>
  </si>
  <si>
    <t>"habilitovat-001"</t>
  </si>
  <si>
    <t>"habilitovat-se-001"</t>
  </si>
  <si>
    <t>"halit-001"</t>
  </si>
  <si>
    <t>PAT: 4; ↓že; ↓jestli; ↓jak-2; ↓c</t>
  </si>
  <si>
    <t>?ADDR: před+7</t>
  </si>
  <si>
    <t>"halit-se-001"</t>
  </si>
  <si>
    <t>?PAT: do+2</t>
  </si>
  <si>
    <t>"handicapovat-001"</t>
  </si>
  <si>
    <t>"handrkovat-se-001"</t>
  </si>
  <si>
    <t>?PAT: o+6; ↓zda; ↓jestli; ↓c; .s</t>
  </si>
  <si>
    <t>"hanobit-001"</t>
  </si>
  <si>
    <t>"hanět-001"</t>
  </si>
  <si>
    <t>"haprovat-001"</t>
  </si>
  <si>
    <t>"harmonizovat-001"</t>
  </si>
  <si>
    <t>"harmonovat-001"</t>
  </si>
  <si>
    <t>"hasit-001"</t>
  </si>
  <si>
    <t>"hauzírovat-001"</t>
  </si>
  <si>
    <t>"havarovat-001"</t>
  </si>
  <si>
    <t>"hazardovat-001"</t>
  </si>
  <si>
    <t>PAT: 7; s+7</t>
  </si>
  <si>
    <t>"hašteřit-se-001"</t>
  </si>
  <si>
    <t>"hecovat-001"</t>
  </si>
  <si>
    <t>"hecovat-002"</t>
  </si>
  <si>
    <t>?PAT: proti+3; ↓ať; .s</t>
  </si>
  <si>
    <t>"hejbat-se-001"</t>
  </si>
  <si>
    <t>"hemžit-se-001"</t>
  </si>
  <si>
    <t>"hemžit-se-002"</t>
  </si>
  <si>
    <t>"hemžit-se-003"</t>
  </si>
  <si>
    <t>ACT: to</t>
  </si>
  <si>
    <t>?PAT: 7</t>
  </si>
  <si>
    <t>"hladit-001"</t>
  </si>
  <si>
    <t>"hladovět-001"</t>
  </si>
  <si>
    <t>"hladovět-002"</t>
  </si>
  <si>
    <t>"hlasovat-001"</t>
  </si>
  <si>
    <t>"hlasovat-002"</t>
  </si>
  <si>
    <t>ACT-&gt;ARG0/78,ARG2/1</t>
  </si>
  <si>
    <t>PAT: o+6; ↓zda</t>
  </si>
  <si>
    <t>PAT-&gt;ARG1/86</t>
  </si>
  <si>
    <t>ACT-&gt;ARG0/81,ARG2/1</t>
  </si>
  <si>
    <t>PAT-&gt;ARG0/1,ARG1/88</t>
  </si>
  <si>
    <t>"hlasovat-003"</t>
  </si>
  <si>
    <t>ACT-&gt;ARG0/454,ARG2/1</t>
  </si>
  <si>
    <t>?PAT: pro+4; proti+3; za+4</t>
  </si>
  <si>
    <t>PAT-&gt;ARG1/439</t>
  </si>
  <si>
    <t>ACT-&gt;ARG0/161,ARG1/1,ARG2/1</t>
  </si>
  <si>
    <t>"hlavičkovat-001"</t>
  </si>
  <si>
    <t>"hledat-001"</t>
  </si>
  <si>
    <t>ACT-&gt;ARG0/463,ARG1/1,ARG2/1</t>
  </si>
  <si>
    <t>PAT-&gt;ARG1/672,ARG2/7</t>
  </si>
  <si>
    <t>LOC-&gt;ARG1/9</t>
  </si>
  <si>
    <t>"hledat-002"</t>
  </si>
  <si>
    <t>ACT-&gt;ARG0/379,ARG1/5,ARG2/1</t>
  </si>
  <si>
    <t>PAT: 4; ↓c; ↓zda; ↓jestli; ↓jak-2</t>
  </si>
  <si>
    <t>PAT-&gt;ARG1/556,ARG2/11</t>
  </si>
  <si>
    <t>"hledat-003"</t>
  </si>
  <si>
    <t>ACT-&gt;ARG0/1260,ARG1/2,ARG2/1</t>
  </si>
  <si>
    <t>PAT-&gt;ARG0/1,ARG1/1474,ARG2/5</t>
  </si>
  <si>
    <t>"hledět-001"</t>
  </si>
  <si>
    <t>"hledět-002"</t>
  </si>
  <si>
    <t>ACT-&gt;ARG0/53</t>
  </si>
  <si>
    <t>PAT-&gt;ARG1/85,ARG2/1</t>
  </si>
  <si>
    <t>"hledět-003"</t>
  </si>
  <si>
    <t>PAT-&gt;ARG0/7,ARG1/4</t>
  </si>
  <si>
    <t>"hledět-004"</t>
  </si>
  <si>
    <t>"hledět-005"</t>
  </si>
  <si>
    <t>PAT: ↓aby</t>
  </si>
  <si>
    <t>"hledět-si-001"</t>
  </si>
  <si>
    <t>"hloubat-001"</t>
  </si>
  <si>
    <t>"hloubit-001"</t>
  </si>
  <si>
    <t>"hltat-001"</t>
  </si>
  <si>
    <t>"hltat-002"</t>
  </si>
  <si>
    <t>"hlásat-001"</t>
  </si>
  <si>
    <t>PAT: 4; .s; ↓c</t>
  </si>
  <si>
    <t>"hlásat-002"</t>
  </si>
  <si>
    <t>PAT-&gt;ARG1/85</t>
  </si>
  <si>
    <t>"hlásat-003"</t>
  </si>
  <si>
    <t>"hlásit-001"</t>
  </si>
  <si>
    <t>ACT-&gt;ARG0/712,ARG1/4</t>
  </si>
  <si>
    <t>PAT-&gt;ARG1/794</t>
  </si>
  <si>
    <t>ADDR-&gt;ARG1/1,ARG2/9</t>
  </si>
  <si>
    <t>"hlásit-002"</t>
  </si>
  <si>
    <t>ACT-&gt;ARG0/519,ARG1/1</t>
  </si>
  <si>
    <t>EFF: 4; ↓jak-2; ↓že</t>
  </si>
  <si>
    <t>EFF-&gt;ARG1/575</t>
  </si>
  <si>
    <t>ADDR-&gt;ARG2/9</t>
  </si>
  <si>
    <t>"hlásit-003"</t>
  </si>
  <si>
    <t>"hlásit-se-001"</t>
  </si>
  <si>
    <t>"hlásit-se-002"</t>
  </si>
  <si>
    <t>"hlásit-se-003"</t>
  </si>
  <si>
    <t>PAT: o+4; ↓aby</t>
  </si>
  <si>
    <t>"hlásit-se-004"</t>
  </si>
  <si>
    <t>"hlásit-se-005"</t>
  </si>
  <si>
    <t>"hlásit-se-006"</t>
  </si>
  <si>
    <t>"hláskovat-001"</t>
  </si>
  <si>
    <t>"hlídat-001"</t>
  </si>
  <si>
    <t>PAT: 4; ↓zda; ↓jestli; ↓c; ↓aby</t>
  </si>
  <si>
    <t>ACT-&gt;ARG0/40</t>
  </si>
  <si>
    <t>PAT-&gt;ARG1/77,ARG2/4</t>
  </si>
  <si>
    <t>"hlídkovat-001"</t>
  </si>
  <si>
    <t>"hlídávat-001"</t>
  </si>
  <si>
    <t>"hnisat-001"</t>
  </si>
  <si>
    <t>"hnout-001"</t>
  </si>
  <si>
    <t>"hnout-002"</t>
  </si>
  <si>
    <t>DPHR: žluč.S7</t>
  </si>
  <si>
    <t>"hnout-003"</t>
  </si>
  <si>
    <t>DPHR: brva.S7</t>
  </si>
  <si>
    <t>"hnout-se-001"</t>
  </si>
  <si>
    <t>ACT-&gt;ARG0/4,ARG1/75</t>
  </si>
  <si>
    <t>"hnát-001"</t>
  </si>
  <si>
    <t>PAT-&gt;ARG1/97</t>
  </si>
  <si>
    <t>"hnát-002"</t>
  </si>
  <si>
    <t>ACT-&gt;ARG0/30</t>
  </si>
  <si>
    <t>PAT-&gt;ARG1/45</t>
  </si>
  <si>
    <t>"hnát-003"</t>
  </si>
  <si>
    <t>"hnát-004"</t>
  </si>
  <si>
    <t>"hnát-005"</t>
  </si>
  <si>
    <t>"hnát-006"</t>
  </si>
  <si>
    <t>"hnát-se-001"</t>
  </si>
  <si>
    <t>ACT-&gt;ARG0/6,ARG1/28,ARG2/1</t>
  </si>
  <si>
    <t>"hnát-se-002"</t>
  </si>
  <si>
    <t>"hnát-se-003"</t>
  </si>
  <si>
    <t>PAT: za+7; po+6</t>
  </si>
  <si>
    <t>"hnít-001"</t>
  </si>
  <si>
    <t>"hněvat-se-001"</t>
  </si>
  <si>
    <t>"hoblovat-001"</t>
  </si>
  <si>
    <t>"hodit-001"</t>
  </si>
  <si>
    <t>"hodit-002"</t>
  </si>
  <si>
    <t>"hodit-003"</t>
  </si>
  <si>
    <t>PAT-&gt;ARG1/61</t>
  </si>
  <si>
    <t>"hodit-004"</t>
  </si>
  <si>
    <t>"hodit-005"</t>
  </si>
  <si>
    <t>DPHR: přes-1[paluba.4]</t>
  </si>
  <si>
    <t>PAT-&gt;ARG1/78</t>
  </si>
  <si>
    <t>"hodit-006"</t>
  </si>
  <si>
    <t>"hodit-007"</t>
  </si>
  <si>
    <t>DPHR: jiskra.S4</t>
  </si>
  <si>
    <t>"hodit-008"</t>
  </si>
  <si>
    <t>DPHR: flinta.S4,do-1[žito.S2]</t>
  </si>
  <si>
    <t>DPHR-&gt;ARG1/5</t>
  </si>
  <si>
    <t>"hodit-009"</t>
  </si>
  <si>
    <t>"hodit-se-001"</t>
  </si>
  <si>
    <t>ACT: 1; .f; ↓když</t>
  </si>
  <si>
    <t>PAT: 3; pro+4</t>
  </si>
  <si>
    <t>?EFF: 1[{jako,jakožto}:/AuxY]; za+4; na+4</t>
  </si>
  <si>
    <t>ACT-&gt;ARG0/31,ARG1/685,ARG2/1</t>
  </si>
  <si>
    <t>PAT-&gt;ARG0/315,ARG1/51,ARG2/34</t>
  </si>
  <si>
    <t>"hodit-se-002"</t>
  </si>
  <si>
    <t>"hodit-se-003"</t>
  </si>
  <si>
    <t>PAT: k+3; na+4</t>
  </si>
  <si>
    <t>ACT-&gt;ARG0/1,ARG1/16</t>
  </si>
  <si>
    <t>"hodnotit-001"</t>
  </si>
  <si>
    <t>EFF: 4[{jako,jakožto}:/AuxY]; .a4[{jako,jakožto}:/AuxY]; za-1[.a4]</t>
  </si>
  <si>
    <t>EFF-&gt;ARG2/56</t>
  </si>
  <si>
    <t>"hodnotit-002"</t>
  </si>
  <si>
    <t>"hodnotit-003"</t>
  </si>
  <si>
    <t>PAT: 4; ↓že; ↓zda; ↓c; ↓jestli</t>
  </si>
  <si>
    <t>ACT-&gt;ARG0/446</t>
  </si>
  <si>
    <t>PAT-&gt;ARG0/26,ARG1/111,ARG2/309</t>
  </si>
  <si>
    <t>"hodovat-001"</t>
  </si>
  <si>
    <t>"hojit-se-001"</t>
  </si>
  <si>
    <t>"holdovat-001"</t>
  </si>
  <si>
    <t>"holedbat-se-001"</t>
  </si>
  <si>
    <t>ACT-&gt;ARG0/15</t>
  </si>
  <si>
    <t>"holit-001"</t>
  </si>
  <si>
    <t>"homologovat-001"</t>
  </si>
  <si>
    <t>"honit-001"</t>
  </si>
  <si>
    <t>ACT-&gt;ARG0/7,ARG1/280,ARG2/3</t>
  </si>
  <si>
    <t>"honit-002"</t>
  </si>
  <si>
    <t>PAT: ↓aby; na+4; .f</t>
  </si>
  <si>
    <t>"honit-003"</t>
  </si>
  <si>
    <t>"honit-004"</t>
  </si>
  <si>
    <t>"honit-se-001"</t>
  </si>
  <si>
    <t>PAT: za+7</t>
  </si>
  <si>
    <t>"honit-se-002"</t>
  </si>
  <si>
    <t>"honit-se-003"</t>
  </si>
  <si>
    <t>"honit-se-004"</t>
  </si>
  <si>
    <t>"honorovat-001"</t>
  </si>
  <si>
    <t>"honosit-se-001"</t>
  </si>
  <si>
    <t>PAT: 7; ↓že; ↓c</t>
  </si>
  <si>
    <t>?ADDR: před+7; nad+7</t>
  </si>
  <si>
    <t>"hopsat-001"</t>
  </si>
  <si>
    <t>"horlit-001"</t>
  </si>
  <si>
    <t>"horlit-002"</t>
  </si>
  <si>
    <t>?PAT: na+4; nad+7; ↓že</t>
  </si>
  <si>
    <t>"horovat-001"</t>
  </si>
  <si>
    <t>"horšit-se-001"</t>
  </si>
  <si>
    <t>"hospitalizovat-001"</t>
  </si>
  <si>
    <t>"hospodařit-001"</t>
  </si>
  <si>
    <t>ACT-&gt;ARG0/55</t>
  </si>
  <si>
    <t>"hospodařit-002"</t>
  </si>
  <si>
    <t>"hostit-001"</t>
  </si>
  <si>
    <t>"hostovat-001"</t>
  </si>
  <si>
    <t>"houbařit-001"</t>
  </si>
  <si>
    <t>"houfovat-se-001"</t>
  </si>
  <si>
    <t>?PAT: do+2; v+4</t>
  </si>
  <si>
    <t>"houkat-001"</t>
  </si>
  <si>
    <t>"houpat-001"</t>
  </si>
  <si>
    <t>"houpat-se-001"</t>
  </si>
  <si>
    <t>"houpat-se-002"</t>
  </si>
  <si>
    <t>"houstnout-001"</t>
  </si>
  <si>
    <t>"hovořit-001"</t>
  </si>
  <si>
    <t>ACT-&gt;ARG0/12618,ARG1/3140,ARG2/296</t>
  </si>
  <si>
    <t>PAT: o+6; na-1[téma.4[.2]]; na-1[téma.4[tento.#]]; na-1[téma.4[.u#]]</t>
  </si>
  <si>
    <t>PAT-&gt;ARG0/2,ARG1/10718,ARG2/2</t>
  </si>
  <si>
    <t>ADDR-&gt;ARG1/3,ARG2/403</t>
  </si>
  <si>
    <t>"hovořit-002"</t>
  </si>
  <si>
    <t>PAT: o+6; .s; k+3</t>
  </si>
  <si>
    <t>PAT-&gt;ARG1/171</t>
  </si>
  <si>
    <t>ADDR-&gt;ARG2/60</t>
  </si>
  <si>
    <t>"hovořit-003"</t>
  </si>
  <si>
    <t>"hovořit-004"</t>
  </si>
  <si>
    <t>"hovořit-005"</t>
  </si>
  <si>
    <t>ACT-&gt;ARG0/78,ARG1/11</t>
  </si>
  <si>
    <t>PAT-&gt;ARG1/70,ARG2/13</t>
  </si>
  <si>
    <t>"hovořit-006"</t>
  </si>
  <si>
    <t>PAT: pro+4; proti+3; za+4; {neprospěch,prospěch}.S4/AuxP[v-1,.2]; v-1[{prospěch,neprospěch}.S4[.u#]]</t>
  </si>
  <si>
    <t>"hovořit-007"</t>
  </si>
  <si>
    <t>ACT-&gt;ARG0/12119,ARG1/36</t>
  </si>
  <si>
    <t>EFF: ↓že; .s</t>
  </si>
  <si>
    <t>EFF-&gt;ARG0/2,ARG1/10492,ARG2/2</t>
  </si>
  <si>
    <t>"hovořit-008"</t>
  </si>
  <si>
    <t>ACT-&gt;ARG0/10,ARG1/1</t>
  </si>
  <si>
    <t>"hovořit-009"</t>
  </si>
  <si>
    <t>DPHR: do-1[duše.2]</t>
  </si>
  <si>
    <t>"hovořit-010"</t>
  </si>
  <si>
    <t>DPHR: za-1[se.S4]</t>
  </si>
  <si>
    <t>"hovořit-011"</t>
  </si>
  <si>
    <t>DPHR: za-1[všechen.NS4]</t>
  </si>
  <si>
    <t>"hovět-si-001"</t>
  </si>
  <si>
    <t>"hořet-001"</t>
  </si>
  <si>
    <t>"hořet-002"</t>
  </si>
  <si>
    <t>"hořet-003"</t>
  </si>
  <si>
    <t>"hořet-004"</t>
  </si>
  <si>
    <t>CPHR: {nenávist,touha,...}.7</t>
  </si>
  <si>
    <t>"hrabat-001"</t>
  </si>
  <si>
    <t>?EFF: do+2; na+4</t>
  </si>
  <si>
    <t>ACT-&gt;ARG0/14,ARG1/1</t>
  </si>
  <si>
    <t>PAT-&gt;ARG1/32</t>
  </si>
  <si>
    <t>"hrabat-se-001"</t>
  </si>
  <si>
    <t>LOC-&gt;ARG1/1</t>
  </si>
  <si>
    <t>"hradit-001"</t>
  </si>
  <si>
    <t>ACT-&gt;ARG0/359,ARG1/2,ARG2/50</t>
  </si>
  <si>
    <t>PAT-&gt;ARG1/666,ARG2/14,ARG3/19</t>
  </si>
  <si>
    <t>ADDR-&gt;ARG0/1,ARG1/1,ARG2/141,ARG3/4</t>
  </si>
  <si>
    <t>"hradit-002"</t>
  </si>
  <si>
    <t>"hraničit-001"</t>
  </si>
  <si>
    <t>"hraničit-002"</t>
  </si>
  <si>
    <t>"hrkat-001"</t>
  </si>
  <si>
    <t>"hrknout-001"</t>
  </si>
  <si>
    <t>"hrknout-002"</t>
  </si>
  <si>
    <t>"hrnout-001"</t>
  </si>
  <si>
    <t>"hrnout-se-001"</t>
  </si>
  <si>
    <t>ACT-&gt;ARG0/10,ARG1/103,ARG2/1</t>
  </si>
  <si>
    <t>DIR3-&gt;ARG2/1,ARG4/39</t>
  </si>
  <si>
    <t>"hromadit-001"</t>
  </si>
  <si>
    <t>"hromadit-se-001"</t>
  </si>
  <si>
    <t>"hroutit-se-001"</t>
  </si>
  <si>
    <t>"hroutit-se-002"</t>
  </si>
  <si>
    <t>"hrozit-001"</t>
  </si>
  <si>
    <t>PAT: 7; ↓že; .f; .s</t>
  </si>
  <si>
    <t>PAT-&gt;ARG0/1,ARG1/77,ARG2/9</t>
  </si>
  <si>
    <t>"hrozit-002"</t>
  </si>
  <si>
    <t>ACT-&gt;ARG0/48,ARG1/727,ARG2/3452</t>
  </si>
  <si>
    <t>PAT-&gt;ARG0/170,ARG1/3252,ARG2/319</t>
  </si>
  <si>
    <t>"hrozit-003"</t>
  </si>
  <si>
    <t>"hrozit-se-001"</t>
  </si>
  <si>
    <t>PAT: 2; ↓že; ↓c</t>
  </si>
  <si>
    <t>"hrrr-001"</t>
  </si>
  <si>
    <t>"hrábnout-001"</t>
  </si>
  <si>
    <t>"hrát-001"</t>
  </si>
  <si>
    <t>PAT: 4; v+4; na+4</t>
  </si>
  <si>
    <t>ACT-&gt;ARG0/50,ARG1/3506,ARG2/296</t>
  </si>
  <si>
    <t>"hrát-002"</t>
  </si>
  <si>
    <t>"hrát-003"</t>
  </si>
  <si>
    <t>ACT-&gt;ARG0/381,ARG1/3137,ARG2/296</t>
  </si>
  <si>
    <t>PAT-&gt;ARG0/1,ARG1/1000,ARG2/3477</t>
  </si>
  <si>
    <t>"hrát-004"</t>
  </si>
  <si>
    <t>ACT-&gt;ARG0/83,ARG1/3</t>
  </si>
  <si>
    <t>PAT-&gt;ARG1/53,ARG2/2</t>
  </si>
  <si>
    <t>"hrát-005"</t>
  </si>
  <si>
    <t>"hrát-006"</t>
  </si>
  <si>
    <t>DPHR: do-1[nota.S2]</t>
  </si>
  <si>
    <t>"hrát-007"</t>
  </si>
  <si>
    <t>"hrát-008"</t>
  </si>
  <si>
    <t>DPHR: na-1[strana-1:P4[dva.#]]</t>
  </si>
  <si>
    <t>"hrát-009"</t>
  </si>
  <si>
    <t>ACT: 1; ↓že; ↓jestli; ↓c</t>
  </si>
  <si>
    <t>ACT-&gt;ARG0/2209,ARG1/3121,ARG2/296</t>
  </si>
  <si>
    <t>DPHR: role-2.S4</t>
  </si>
  <si>
    <t>DPHR-&gt;ARG0/1,ARG1/2839,ARG2/3451</t>
  </si>
  <si>
    <t>"hrát-010"</t>
  </si>
  <si>
    <t>ACT: 1; ↓že; ↓jestli</t>
  </si>
  <si>
    <t>DPHR: úloha.S4</t>
  </si>
  <si>
    <t>DPHR-&gt;ARG1/38</t>
  </si>
  <si>
    <t>"hrát-011"</t>
  </si>
  <si>
    <t>DPHR: prim.4</t>
  </si>
  <si>
    <t>"hrát-012"</t>
  </si>
  <si>
    <t>DPHR: housle:P4[druhý-1.@1$11&lt;A&gt;#]</t>
  </si>
  <si>
    <t>"hrát-013"</t>
  </si>
  <si>
    <t xml:space="preserve">ALT-MANN: </t>
  </si>
  <si>
    <t xml:space="preserve">ALT-CRIT: </t>
  </si>
  <si>
    <t>"hrát-014"</t>
  </si>
  <si>
    <t>DPHR: do-1[karta.P2]</t>
  </si>
  <si>
    <t>"hrát-015"</t>
  </si>
  <si>
    <t>"hrát-016"</t>
  </si>
  <si>
    <t>"hrát-017"</t>
  </si>
  <si>
    <t>"hrát-018"</t>
  </si>
  <si>
    <t>"hrát-si-001"</t>
  </si>
  <si>
    <t>?EFF: na+4; 4</t>
  </si>
  <si>
    <t>PAT-&gt;ARG1/7,ARG2/2</t>
  </si>
  <si>
    <t>"hrát-si-002"</t>
  </si>
  <si>
    <t>"hrát-si-003"</t>
  </si>
  <si>
    <t>DPHR: na-1[píseček.S6[vlastní.#]]</t>
  </si>
  <si>
    <t>"hrát-si-004"</t>
  </si>
  <si>
    <t>DPHR: s-1[oheň.S7]</t>
  </si>
  <si>
    <t>"hrát-si-005"</t>
  </si>
  <si>
    <t>"hrávat-001"</t>
  </si>
  <si>
    <t>PAT: 4; v+4</t>
  </si>
  <si>
    <t>"hrávat-002"</t>
  </si>
  <si>
    <t>"hrávat-003"</t>
  </si>
  <si>
    <t>"hrávat-004"</t>
  </si>
  <si>
    <t>"hrávat-005"</t>
  </si>
  <si>
    <t>"hrávat-006"</t>
  </si>
  <si>
    <t>"hrávat-si-001"</t>
  </si>
  <si>
    <t>"hubnout-001"</t>
  </si>
  <si>
    <t>"hubovat-001"</t>
  </si>
  <si>
    <t>"hubovat-002"</t>
  </si>
  <si>
    <t>"huhňat-001"</t>
  </si>
  <si>
    <t>"hulit-001"</t>
  </si>
  <si>
    <t>"hulákat-001"</t>
  </si>
  <si>
    <t>PAT: 4; ↓aby</t>
  </si>
  <si>
    <t>?ADDR: na+4</t>
  </si>
  <si>
    <t>"hupnout-001"</t>
  </si>
  <si>
    <t>"hučet-001"</t>
  </si>
  <si>
    <t>"hučet-002"</t>
  </si>
  <si>
    <t>"hučet-003"</t>
  </si>
  <si>
    <t>"hvízdat-001"</t>
  </si>
  <si>
    <t>PAT: 4; ↓že; ↓zda; ↓jestli; ↓aby; .s</t>
  </si>
  <si>
    <t>"hvízdat-002"</t>
  </si>
  <si>
    <t>"hvízdat-si-001"</t>
  </si>
  <si>
    <t>"hvízdnout-001"</t>
  </si>
  <si>
    <t>"hynout-001"</t>
  </si>
  <si>
    <t>"hypertrofovat-001"</t>
  </si>
  <si>
    <t>"hypnotizovat-001"</t>
  </si>
  <si>
    <t>"hyzdit-001"</t>
  </si>
  <si>
    <t>"hádat-001"</t>
  </si>
  <si>
    <t>ACT-&gt;ARG0/41</t>
  </si>
  <si>
    <t>PAT: 4; o+6; ↓že; ↓zda; ↓jestli; ↓c; .s</t>
  </si>
  <si>
    <t>"hádat-se-001"</t>
  </si>
  <si>
    <t>"hájit-001"</t>
  </si>
  <si>
    <t>"hájit-se-001"</t>
  </si>
  <si>
    <t>?PAT: proti+3; před+7</t>
  </si>
  <si>
    <t>"házet-001"</t>
  </si>
  <si>
    <t>ADDR: 3; po+6</t>
  </si>
  <si>
    <t>"házet-002"</t>
  </si>
  <si>
    <t>"házet-003"</t>
  </si>
  <si>
    <t>"házet-004"</t>
  </si>
  <si>
    <t>"házet-005"</t>
  </si>
  <si>
    <t>DPHR: klacek:P4,pod-1[noha:P4]</t>
  </si>
  <si>
    <t>"házet-006"</t>
  </si>
  <si>
    <t>"házet-007"</t>
  </si>
  <si>
    <t>"háčkovat-001"</t>
  </si>
  <si>
    <t>"hýbat-001"</t>
  </si>
  <si>
    <t>"hýbat-002"</t>
  </si>
  <si>
    <t>ACT-&gt;ARG0/35,ARG1/1</t>
  </si>
  <si>
    <t>"hýbat-se-001"</t>
  </si>
  <si>
    <t>ACT-&gt;ARG0/20,ARG1/89</t>
  </si>
  <si>
    <t>"hýčkat-001"</t>
  </si>
  <si>
    <t>"hýřit-001"</t>
  </si>
  <si>
    <t>"hýřit-002"</t>
  </si>
  <si>
    <t>"hřebelcovat-001"</t>
  </si>
  <si>
    <t>"hřešit-001"</t>
  </si>
  <si>
    <t>"hřešit-002"</t>
  </si>
  <si>
    <t>"hřmět-001"</t>
  </si>
  <si>
    <t>"hřmět-002"</t>
  </si>
  <si>
    <t>"hřmět-003"</t>
  </si>
  <si>
    <t>"hřát-001"</t>
  </si>
  <si>
    <t>"hřímat-001"</t>
  </si>
  <si>
    <t>EFF: 4; ↓že; ↓aby; ↓ať; ↓zda; ↓jak-2; .s; ↓c</t>
  </si>
  <si>
    <t>"idealizovat-si-001"</t>
  </si>
  <si>
    <t>"identifikovat-001"</t>
  </si>
  <si>
    <t>"identifikovat-002"</t>
  </si>
  <si>
    <t>"ideologizovat-001"</t>
  </si>
  <si>
    <t>"ignorovat-001"</t>
  </si>
  <si>
    <t>ACT-&gt;ARG0/93</t>
  </si>
  <si>
    <t>PAT-&gt;ARG1/140</t>
  </si>
  <si>
    <t>"ilustrovat-001"</t>
  </si>
  <si>
    <t>ACT-&gt;ARG0/22</t>
  </si>
  <si>
    <t>"ilustrovat-002"</t>
  </si>
  <si>
    <t>"imitovat-001"</t>
  </si>
  <si>
    <t>"implantovat-001"</t>
  </si>
  <si>
    <t>"implementovat-001"</t>
  </si>
  <si>
    <t>"implikovat-001"</t>
  </si>
  <si>
    <t>"imponovat-001"</t>
  </si>
  <si>
    <t>ACT-&gt;ARG0/82</t>
  </si>
  <si>
    <t>"importovat-001"</t>
  </si>
  <si>
    <t>"impregnovat-001"</t>
  </si>
  <si>
    <t>"improvizovat-001"</t>
  </si>
  <si>
    <t>"imunizovat-001"</t>
  </si>
  <si>
    <t>"inaugurovat-001"</t>
  </si>
  <si>
    <t>"indikovat-001"</t>
  </si>
  <si>
    <t>ACT-&gt;ARG0/151</t>
  </si>
  <si>
    <t>PAT-&gt;ARG1/183</t>
  </si>
  <si>
    <t>"infikovat-001"</t>
  </si>
  <si>
    <t>ACT-&gt;ARG2/8</t>
  </si>
  <si>
    <t>"infiltrovat-001"</t>
  </si>
  <si>
    <t>"informovat-001"</t>
  </si>
  <si>
    <t>ACT-&gt;ARG0/1476,ARG1/7</t>
  </si>
  <si>
    <t>PAT: o+6; ↓že; .s; ↓c</t>
  </si>
  <si>
    <t>PAT-&gt;ARG1/1293,ARG2/106</t>
  </si>
  <si>
    <t>ADDR-&gt;ARG1/238,ARG2/334</t>
  </si>
  <si>
    <t>"informovat-se-001"</t>
  </si>
  <si>
    <t>PAT: na+4; o+6; ↓že; ↓c</t>
  </si>
  <si>
    <t>"iniciovat-001"</t>
  </si>
  <si>
    <t>ACT-&gt;ARG0/23,ARG2/1</t>
  </si>
  <si>
    <t>PAT-&gt;ARG0/1,ARG1/22,ARG3/3</t>
  </si>
  <si>
    <t>"inkasovat-001"</t>
  </si>
  <si>
    <t>"inklinovat-001"</t>
  </si>
  <si>
    <t>ACT-&gt;ARG0/8,ARG1/72</t>
  </si>
  <si>
    <t>PAT-&gt;ARG1/4,ARG2/71</t>
  </si>
  <si>
    <t>"inovovat-001"</t>
  </si>
  <si>
    <t>"inscenovat-001"</t>
  </si>
  <si>
    <t>"inscenovat-002"</t>
  </si>
  <si>
    <t>"inspirovat-001"</t>
  </si>
  <si>
    <t>"inspirovat-se-001"</t>
  </si>
  <si>
    <t>"instalovat-001"</t>
  </si>
  <si>
    <t>ACT-&gt;ARG0/43</t>
  </si>
  <si>
    <t>"institucionalizovat-001"</t>
  </si>
  <si>
    <t>"instruovat-001"</t>
  </si>
  <si>
    <t>PAT: o+6; k+3; ↓že; ↓aby; ↓ať; .s; ↓c</t>
  </si>
  <si>
    <t>PAT-&gt;ARG1/1,ARG2/12</t>
  </si>
  <si>
    <t>ADDR-&gt;ARG1/14</t>
  </si>
  <si>
    <t>"intarzovat-001"</t>
  </si>
  <si>
    <t>"integrovat-001"</t>
  </si>
  <si>
    <t>"integrovat-se-001"</t>
  </si>
  <si>
    <t>"interagovat-001"</t>
  </si>
  <si>
    <t>"internacionalizovat-001"</t>
  </si>
  <si>
    <t>"internalizovat-001"</t>
  </si>
  <si>
    <t>"internovat-001"</t>
  </si>
  <si>
    <t>"interpelovat-001"</t>
  </si>
  <si>
    <t>"interpretovat-001"</t>
  </si>
  <si>
    <t>ACT-&gt;ARG0/66</t>
  </si>
  <si>
    <t>PAT-&gt;ARG1/96</t>
  </si>
  <si>
    <t>"intervenovat-001"</t>
  </si>
  <si>
    <t>PAT: prospěch.S4[v-1,.u#]; prospěch.S4[v-1,.2]; za+4</t>
  </si>
  <si>
    <t>"intrikovat-001"</t>
  </si>
  <si>
    <t>"inventarizovat-001"</t>
  </si>
  <si>
    <t>"investovat-001"</t>
  </si>
  <si>
    <t>ACT-&gt;ARG0/393,ARG1/2,ARG3/1</t>
  </si>
  <si>
    <t>PAT-&gt;ARG0/1,ARG1/307,ARG2/41,ARG3/143</t>
  </si>
  <si>
    <t>EFF-&gt;ARG1/6,ARG2/12</t>
  </si>
  <si>
    <t>"investovat-002"</t>
  </si>
  <si>
    <t>ACT-&gt;ARG0/165,ARG3/1</t>
  </si>
  <si>
    <t>PAT-&gt;ARG0/1,ARG1/55,ARG2/6,ARG3/143</t>
  </si>
  <si>
    <t>?EFF: za+4; do+2; na+4</t>
  </si>
  <si>
    <t>EFF-&gt;ARG1/112,ARG3/1</t>
  </si>
  <si>
    <t>"inzerovat-001"</t>
  </si>
  <si>
    <t>"iritovat-001"</t>
  </si>
  <si>
    <t>"izolovat-001"</t>
  </si>
  <si>
    <t>ACT-&gt;ARG0/9,ARG3/1</t>
  </si>
  <si>
    <t>ORIG-&gt;ARG2/3</t>
  </si>
  <si>
    <t>"izolovat-002"</t>
  </si>
  <si>
    <t>ACT-&gt;ARG3/1</t>
  </si>
  <si>
    <t>"jednat-001"</t>
  </si>
  <si>
    <t>ACT-&gt;ARG0/647,ARG1/433,ARG2/83</t>
  </si>
  <si>
    <t>PAT: o+6; v+6; na-1[téma.4]</t>
  </si>
  <si>
    <t>PAT-&gt;ARG1/564,ARG2/75</t>
  </si>
  <si>
    <t>ADDR-&gt;ARG1/171,ARG2/83</t>
  </si>
  <si>
    <t>"jednat-002"</t>
  </si>
  <si>
    <t>"jednat-003"</t>
  </si>
  <si>
    <t>PAT-&gt;ARG1/142</t>
  </si>
  <si>
    <t>"jednat-004"</t>
  </si>
  <si>
    <t>ACT-&gt;ARG0/265,ARG1/82</t>
  </si>
  <si>
    <t>MANN-&gt;ARG1/223,ARG2/3</t>
  </si>
  <si>
    <t>CRIT-&gt;ARG1/1</t>
  </si>
  <si>
    <t>ALT-AIM: *</t>
  </si>
  <si>
    <t>"jednat-se-001"</t>
  </si>
  <si>
    <t>"jednat-se-002"</t>
  </si>
  <si>
    <t>ACT: o+4</t>
  </si>
  <si>
    <t>ACT-&gt;ARG1/1094,ARG2/3730,ARG4/1</t>
  </si>
  <si>
    <t>"jektat-001"</t>
  </si>
  <si>
    <t>"jektat-002"</t>
  </si>
  <si>
    <t>"jet-001"</t>
  </si>
  <si>
    <t>"jet-002"</t>
  </si>
  <si>
    <t>"jet-003"</t>
  </si>
  <si>
    <t>ACT: 3; ↓že; ↓c</t>
  </si>
  <si>
    <t>"jet-004"</t>
  </si>
  <si>
    <t>ACT-&gt;ARG0/134,ARG1/78</t>
  </si>
  <si>
    <t>DIR3-&gt;ARG1/128</t>
  </si>
  <si>
    <t>"jet-005"</t>
  </si>
  <si>
    <t>ACT-&gt;ARG0/2160,ARG1/97</t>
  </si>
  <si>
    <t>"jet-006"</t>
  </si>
  <si>
    <t>"jet-007"</t>
  </si>
  <si>
    <t>DPHR: na-1[loď:S6[stejný.#]]</t>
  </si>
  <si>
    <t>"jet-008"</t>
  </si>
  <si>
    <t>DPHR: po-1[svůj.NS6]</t>
  </si>
  <si>
    <t>"jet-009"</t>
  </si>
  <si>
    <t>"jet-010"</t>
  </si>
  <si>
    <t>"jet-011"</t>
  </si>
  <si>
    <t>"jevit-001"</t>
  </si>
  <si>
    <t>CPHR: {tendence,zájem,...}.4</t>
  </si>
  <si>
    <t>"jevit-002"</t>
  </si>
  <si>
    <t>CPHR: {známka,...}.4</t>
  </si>
  <si>
    <t>CPHR-&gt;ARG1/377</t>
  </si>
  <si>
    <t>"jevit-se-001"</t>
  </si>
  <si>
    <t>ACT-&gt;ARG0/88,ARG1/41,ARG2/1</t>
  </si>
  <si>
    <t>PAT: 1; ↓že; .f</t>
  </si>
  <si>
    <t>PAT-&gt;ARG1/297</t>
  </si>
  <si>
    <t>EFF: 7; být[.7]; .a1; .a7; ↓že; 1[{jako,jakožto}:/AuxY]; .a1[{jako,jakožto}:/AuxY]</t>
  </si>
  <si>
    <t>EFF-&gt;ARG1/256,ARG2/88</t>
  </si>
  <si>
    <t>"jevit-se-002"</t>
  </si>
  <si>
    <t>"jevit-se-003"</t>
  </si>
  <si>
    <t>PAT: 1; ↓že; ↓jako</t>
  </si>
  <si>
    <t>"jezdit-001"</t>
  </si>
  <si>
    <t>"jezdit-002"</t>
  </si>
  <si>
    <t>ACT-&gt;ARG0/38,ARG1/3</t>
  </si>
  <si>
    <t>DIR3-&gt;ARG4/3</t>
  </si>
  <si>
    <t>"jezdit-003"</t>
  </si>
  <si>
    <t>ACT-&gt;ARG0/224,ARG1/164</t>
  </si>
  <si>
    <t>"jezdit-004"</t>
  </si>
  <si>
    <t xml:space="preserve">DIR2: </t>
  </si>
  <si>
    <t>"jezdit-005"</t>
  </si>
  <si>
    <t>"jezdit-006"</t>
  </si>
  <si>
    <t>"jezdit-007"</t>
  </si>
  <si>
    <t>"jezdívat-001"</t>
  </si>
  <si>
    <t>"jezdívat-002"</t>
  </si>
  <si>
    <t>"jezdívat-003"</t>
  </si>
  <si>
    <t>"jezdívávat-001"</t>
  </si>
  <si>
    <t>"jezdívávat-002"</t>
  </si>
  <si>
    <t>"jezdívávat-003"</t>
  </si>
  <si>
    <t>"ječet-001"</t>
  </si>
  <si>
    <t>PAT: 4; ↓že; ↓zda; ↓jestli; ↓aby; .s; ↓c</t>
  </si>
  <si>
    <t>ADDR-&gt;ARG1/1,ARG2/1</t>
  </si>
  <si>
    <t>"ječet-002"</t>
  </si>
  <si>
    <t>"ježit-se-001"</t>
  </si>
  <si>
    <t>"ježit-se-002"</t>
  </si>
  <si>
    <t>"ježit-se-003"</t>
  </si>
  <si>
    <t>"jiskřit-001"</t>
  </si>
  <si>
    <t>"jistit-001"</t>
  </si>
  <si>
    <t>ACT-&gt;ARG0/13,ARG1/1</t>
  </si>
  <si>
    <t>PAT-&gt;ARG1/103</t>
  </si>
  <si>
    <t>EFF-&gt;ARG4/3</t>
  </si>
  <si>
    <t>"jmenovat-001"</t>
  </si>
  <si>
    <t>ACT-&gt;ARG0/151,ARG1/1</t>
  </si>
  <si>
    <t>PAT-&gt;ARG1/345,ARG2/15</t>
  </si>
  <si>
    <t>"jmenovat-002"</t>
  </si>
  <si>
    <t>ACT-&gt;ARG0/25,ARG1/1</t>
  </si>
  <si>
    <t>PAT-&gt;ARG1/242,ARG2/1</t>
  </si>
  <si>
    <t>EFF: 7; 4[{jako,jakožto}:/AuxY]; za+4; do+2</t>
  </si>
  <si>
    <t>EFF-&gt;ARG2/224</t>
  </si>
  <si>
    <t>ACT-&gt;ARG0/227,ARG1/2</t>
  </si>
  <si>
    <t>PAT-&gt;ARG1/711,ARG2/16</t>
  </si>
  <si>
    <t>EFF-&gt;ARG2/300</t>
  </si>
  <si>
    <t>"jmenovat-003"</t>
  </si>
  <si>
    <t>ACT-&gt;ARG0/72,ARG1/1</t>
  </si>
  <si>
    <t>PAT-&gt;ARG1/349,ARG2/21</t>
  </si>
  <si>
    <t>"jmenovat-004"</t>
  </si>
  <si>
    <t>"jmenovat-se-001"</t>
  </si>
  <si>
    <t>ACT-&gt;ARG1/204,ARG2/1</t>
  </si>
  <si>
    <t>PAT-&gt;ARG1/1,ARG2/351</t>
  </si>
  <si>
    <t>"jmenovat-se-002"</t>
  </si>
  <si>
    <t>"jmout-se-001"</t>
  </si>
  <si>
    <t>"joggovat-001"</t>
  </si>
  <si>
    <t>"jásat-001"</t>
  </si>
  <si>
    <t>"jídávat-001"</t>
  </si>
  <si>
    <t>"jídávat-002"</t>
  </si>
  <si>
    <t>"jímat-001"</t>
  </si>
  <si>
    <t>CPHR: {nenávist,strach,touha,úzkost,...}.1</t>
  </si>
  <si>
    <t>"jíst-001"</t>
  </si>
  <si>
    <t>ACT-&gt;ARG0/19,ARG1/1</t>
  </si>
  <si>
    <t>PAT: 4; 2</t>
  </si>
  <si>
    <t>"jíst-002"</t>
  </si>
  <si>
    <t>"jít-001"</t>
  </si>
  <si>
    <t>EFF: k+3</t>
  </si>
  <si>
    <t>"jít-002"</t>
  </si>
  <si>
    <t>ACT-&gt;ARG1/30,ARG2/1</t>
  </si>
  <si>
    <t>"jít-003"</t>
  </si>
  <si>
    <t>PAT-&gt;ARG1/17</t>
  </si>
  <si>
    <t>"jít-004"</t>
  </si>
  <si>
    <t>"jít-005"</t>
  </si>
  <si>
    <t>"jít-006"</t>
  </si>
  <si>
    <t>ACT-&gt;ARG0/108,ARG1/84</t>
  </si>
  <si>
    <t>PAT-&gt;ARG1/86,ARG2/11</t>
  </si>
  <si>
    <t>"jít-007"</t>
  </si>
  <si>
    <t>"jít-008"</t>
  </si>
  <si>
    <t>ACT-&gt;ARG1/44</t>
  </si>
  <si>
    <t>PAT-&gt;ARG2/40</t>
  </si>
  <si>
    <t>"jít-009"</t>
  </si>
  <si>
    <t>"jít-010"</t>
  </si>
  <si>
    <t>"jít-011"</t>
  </si>
  <si>
    <t>"jít-012"</t>
  </si>
  <si>
    <t>ACT-&gt;ARG0/22,ARG1/78</t>
  </si>
  <si>
    <t>PAT: proti+3</t>
  </si>
  <si>
    <t>PAT-&gt;ARG1/62</t>
  </si>
  <si>
    <t>"jít-013"</t>
  </si>
  <si>
    <t>"jít-014"</t>
  </si>
  <si>
    <t>ACT-&gt;ARG0/34,ARG1/78</t>
  </si>
  <si>
    <t>"jít-015"</t>
  </si>
  <si>
    <t>"jít-016"</t>
  </si>
  <si>
    <t>"jít-017"</t>
  </si>
  <si>
    <t>"jít-018"</t>
  </si>
  <si>
    <t>ACT-&gt;ARG1/39</t>
  </si>
  <si>
    <t>PAT-&gt;ARG2/34</t>
  </si>
  <si>
    <t>"jít-019"</t>
  </si>
  <si>
    <t>"jít-020"</t>
  </si>
  <si>
    <t>ACT-&gt;ARG0/7,ARG1/78</t>
  </si>
  <si>
    <t>DIR2-&gt;ARG1/4</t>
  </si>
  <si>
    <t>"jít-021"</t>
  </si>
  <si>
    <t>ACT-&gt;ARG0/37,ARG1/82</t>
  </si>
  <si>
    <t>DIR3-&gt;ARG1/37,ARG2/11</t>
  </si>
  <si>
    <t>"jít-022"</t>
  </si>
  <si>
    <t>ACT-&gt;ARG0/127,ARG1/3759,ARG2/300</t>
  </si>
  <si>
    <t>DIR3-&gt;ARG1/13,ARG2/408</t>
  </si>
  <si>
    <t>"jít-023"</t>
  </si>
  <si>
    <t>ACT-&gt;ARG0/8,ARG1/2</t>
  </si>
  <si>
    <t>DIR3-&gt;ARG1/5,ARG2/4</t>
  </si>
  <si>
    <t>"jít-024"</t>
  </si>
  <si>
    <t>DIR3-&gt;ARG2/34</t>
  </si>
  <si>
    <t>"jít-025"</t>
  </si>
  <si>
    <t>ACT-&gt;ARG0/10,ARG1/466,ARG2/4</t>
  </si>
  <si>
    <t>DIR3-&gt;ARG1/2,ARG2/358</t>
  </si>
  <si>
    <t>"jít-026"</t>
  </si>
  <si>
    <t>ACT-&gt;ARG0/4,ARG1/181</t>
  </si>
  <si>
    <t>DIR3-&gt;ARG1/2</t>
  </si>
  <si>
    <t>"jít-027"</t>
  </si>
  <si>
    <t>ACT-&gt;ARG1/394,ARG2/4</t>
  </si>
  <si>
    <t>DIR3-&gt;ARG1/2,ARG2/279</t>
  </si>
  <si>
    <t>"jít-028"</t>
  </si>
  <si>
    <t>ACT-&gt;ARG1/78</t>
  </si>
  <si>
    <t>"jít-029"</t>
  </si>
  <si>
    <t>ACT: 1; .f; ↓aby</t>
  </si>
  <si>
    <t>"jít-030"</t>
  </si>
  <si>
    <t>"jít-031"</t>
  </si>
  <si>
    <t>ACT-&gt;ARG1/3391,ARG2/299</t>
  </si>
  <si>
    <t>"jít-032"</t>
  </si>
  <si>
    <t>ACT-&gt;ARG0/1,ARG1/289,ARG2/3</t>
  </si>
  <si>
    <t>"jít-033"</t>
  </si>
  <si>
    <t>"jít-034"</t>
  </si>
  <si>
    <t>"jít-035"</t>
  </si>
  <si>
    <t>ACT-&gt;ARG0/58,ARG1/1230,ARG2/3454</t>
  </si>
  <si>
    <t>"jít-036"</t>
  </si>
  <si>
    <t>"jít-037"</t>
  </si>
  <si>
    <t>ACT-&gt;ARG2/4</t>
  </si>
  <si>
    <t>DPHR: k-1[duhu.S3]</t>
  </si>
  <si>
    <t>"jít-038"</t>
  </si>
  <si>
    <t>DPHR: po-1[krk.S6]</t>
  </si>
  <si>
    <t>"jít-039"</t>
  </si>
  <si>
    <t>DPHR: pod-1[vous.P4]</t>
  </si>
  <si>
    <t>"jít-040"</t>
  </si>
  <si>
    <t>DPHR: z-1[kopec.S2]; s-1[kopec.S2]</t>
  </si>
  <si>
    <t>ACT-&gt;ARG0/1,ARG1/3111,ARG2/296</t>
  </si>
  <si>
    <t>"jít-041"</t>
  </si>
  <si>
    <t>DPHR: s-1[cena-1.7]</t>
  </si>
  <si>
    <t>"jít-042"</t>
  </si>
  <si>
    <t>ACT-&gt;ARG1/108,ARG2/1</t>
  </si>
  <si>
    <t>"jít-043"</t>
  </si>
  <si>
    <t>DPHR: klouzat.f[se]</t>
  </si>
  <si>
    <t>"jít-044"</t>
  </si>
  <si>
    <t>ACT-&gt;ARG0/4,ARG1/34</t>
  </si>
  <si>
    <t>DPHR: na-1[odbyt.S4]</t>
  </si>
  <si>
    <t>"jít-045"</t>
  </si>
  <si>
    <t>DPHR: příklad.S7</t>
  </si>
  <si>
    <t>"jít-046"</t>
  </si>
  <si>
    <t>DPHR: proti-1[proud.S3]</t>
  </si>
  <si>
    <t>"jít-047"</t>
  </si>
  <si>
    <t>DPHR: ruka:S4,v-1[ruka:S6]</t>
  </si>
  <si>
    <t>"jít-048"</t>
  </si>
  <si>
    <t>DPHR: vzor.7</t>
  </si>
  <si>
    <t>"jít-049"</t>
  </si>
  <si>
    <t>DPHR: s-1.7[kůže.S7[na-1.4[trh.S4]]]</t>
  </si>
  <si>
    <t>"jít-050"</t>
  </si>
  <si>
    <t>DPHR: do-1[tuhý.2]</t>
  </si>
  <si>
    <t>DPHR-&gt;ARG2/141</t>
  </si>
  <si>
    <t>"jít-051"</t>
  </si>
  <si>
    <t>DPHR: tlustý.IS1,do-1[tenký.IP2]</t>
  </si>
  <si>
    <t>"jít-052"</t>
  </si>
  <si>
    <t>"jít-053"</t>
  </si>
  <si>
    <t>"jít-054"</t>
  </si>
  <si>
    <t>DPHR: do-1</t>
  </si>
  <si>
    <t>"jít-055"</t>
  </si>
  <si>
    <t>DPHR: do-1[háj.S2]</t>
  </si>
  <si>
    <t>"jít-056"</t>
  </si>
  <si>
    <t>DPHR: k-1[dno.S3]</t>
  </si>
  <si>
    <t>"jít-057"</t>
  </si>
  <si>
    <t>"jít-058"</t>
  </si>
  <si>
    <t>DPHR: od-1[vál.S2]</t>
  </si>
  <si>
    <t>"jít-059"</t>
  </si>
  <si>
    <t>DPHR: proti-1[srst.S3]</t>
  </si>
  <si>
    <t>"jít-060"</t>
  </si>
  <si>
    <t>"jít-061"</t>
  </si>
  <si>
    <t>"jít-062"</t>
  </si>
  <si>
    <t>DPHR: do-1[prdel.S2]</t>
  </si>
  <si>
    <t>"jít-063"</t>
  </si>
  <si>
    <t>DPHR: k-1[čert.S3]</t>
  </si>
  <si>
    <t>"jít-064"</t>
  </si>
  <si>
    <t>DPHR: na-1[ruka.S4]</t>
  </si>
  <si>
    <t>"jít-065"</t>
  </si>
  <si>
    <t>DPHR: vniveč</t>
  </si>
  <si>
    <t>"jít-066"</t>
  </si>
  <si>
    <t>DPHR: o-1[život.S4]</t>
  </si>
  <si>
    <t>"jít-067"</t>
  </si>
  <si>
    <t>DPHR: od-1[deset.S2],k-1[pět.S3]</t>
  </si>
  <si>
    <t>"jít-068"</t>
  </si>
  <si>
    <t>DPHR: s-1[pravda.S7],ven</t>
  </si>
  <si>
    <t>"jít-069"</t>
  </si>
  <si>
    <t>DPHR: v-1[stopa.P6]</t>
  </si>
  <si>
    <t>"jít-070"</t>
  </si>
  <si>
    <t>DPHR: mezi-1[já.P7]</t>
  </si>
  <si>
    <t>"jít-071"</t>
  </si>
  <si>
    <t>"jít-072"</t>
  </si>
  <si>
    <t>"jít-073"</t>
  </si>
  <si>
    <t>"jít-074"</t>
  </si>
  <si>
    <t>DPHR: přes-1[a-1[hora.P4,důl.P4]]</t>
  </si>
  <si>
    <t>"jít-075"</t>
  </si>
  <si>
    <t>PAT: na+4; do+2</t>
  </si>
  <si>
    <t>"jít-076"</t>
  </si>
  <si>
    <t>"jít-077"</t>
  </si>
  <si>
    <t>"jít-078"</t>
  </si>
  <si>
    <t>"jít-079"</t>
  </si>
  <si>
    <t>"jít-080"</t>
  </si>
  <si>
    <t>DPHR: mimo-1[.4$1&lt;P&gt;$2&lt;P&gt;]</t>
  </si>
  <si>
    <t>"jít-081"</t>
  </si>
  <si>
    <t>DPHR: cesta.S7[svůj-1.#]</t>
  </si>
  <si>
    <t>"jít-082"</t>
  </si>
  <si>
    <t xml:space="preserve">MANN: </t>
  </si>
  <si>
    <t>"jít-083"</t>
  </si>
  <si>
    <t>"jít-084"</t>
  </si>
  <si>
    <t>"--jít-085"</t>
  </si>
  <si>
    <t>DPHR: NOT PARSED:ruka:S4v-1[ruka:S6]</t>
  </si>
  <si>
    <t>"jít-si-001"</t>
  </si>
  <si>
    <t>DPHR: za-1[cíl.S7[svůj-1.#]]; za-1[cíl.P7[svůj-1.#]]</t>
  </si>
  <si>
    <t>"jít-si-002"</t>
  </si>
  <si>
    <t>DPHR: po-1[svůj-1.P6]</t>
  </si>
  <si>
    <t>DPHR-&gt;ARG1/5,ARG2/4</t>
  </si>
  <si>
    <t>"kakat-001"</t>
  </si>
  <si>
    <t>"kalit-001"</t>
  </si>
  <si>
    <t>"kalkulovat-001"</t>
  </si>
  <si>
    <t>"kalkulovat-002"</t>
  </si>
  <si>
    <t>PAT: s+7; ↓že</t>
  </si>
  <si>
    <t>"kamarádit-001"</t>
  </si>
  <si>
    <t>"kamarádit-se-001"</t>
  </si>
  <si>
    <t>"kandidovat-001"</t>
  </si>
  <si>
    <t>"kandidovat-002"</t>
  </si>
  <si>
    <t>"kapat-001"</t>
  </si>
  <si>
    <t>"kapitalizovat-001"</t>
  </si>
  <si>
    <t>"kapitulovat-001"</t>
  </si>
  <si>
    <t>"karikovat-001"</t>
  </si>
  <si>
    <t>"katalyzovat-001"</t>
  </si>
  <si>
    <t>"katapultovat-001"</t>
  </si>
  <si>
    <t>"katapultovat-se-001"</t>
  </si>
  <si>
    <t>"kazit-001"</t>
  </si>
  <si>
    <t>ACT-&gt;ARG0/163,ARG1/2,ARG2/6</t>
  </si>
  <si>
    <t>PAT-&gt;ARG1/257</t>
  </si>
  <si>
    <t>"kazit-se-001"</t>
  </si>
  <si>
    <t>"kašlat-001"</t>
  </si>
  <si>
    <t>"kašlat-002"</t>
  </si>
  <si>
    <t>"kecat-001"</t>
  </si>
  <si>
    <t>"kecat-002"</t>
  </si>
  <si>
    <t>"kecat-003"</t>
  </si>
  <si>
    <t>"kibicovat-001"</t>
  </si>
  <si>
    <t>"klamat-001"</t>
  </si>
  <si>
    <t>"klanět-se-001"</t>
  </si>
  <si>
    <t>"klapat-001"</t>
  </si>
  <si>
    <t>"klapat-002"</t>
  </si>
  <si>
    <t>"klapat-003"</t>
  </si>
  <si>
    <t>"klapnout-001"</t>
  </si>
  <si>
    <t>"klasifikovat-001"</t>
  </si>
  <si>
    <t>PAT-&gt;ARG1/3114,ARG2/296</t>
  </si>
  <si>
    <t>EFF-&gt;ARG2/10</t>
  </si>
  <si>
    <t>"klasifikovat-002"</t>
  </si>
  <si>
    <t>EFF-&gt;ARG2/3</t>
  </si>
  <si>
    <t>"klasifikovat-003"</t>
  </si>
  <si>
    <t>"klekat-si-001"</t>
  </si>
  <si>
    <t>"kleknout-001"</t>
  </si>
  <si>
    <t>"kleknout-si-001"</t>
  </si>
  <si>
    <t>"klenout-se-001"</t>
  </si>
  <si>
    <t>"klepat-001"</t>
  </si>
  <si>
    <t>"klepat-002"</t>
  </si>
  <si>
    <t>"klepat-003"</t>
  </si>
  <si>
    <t>"klepat-004"</t>
  </si>
  <si>
    <t>"klepetat-001"</t>
  </si>
  <si>
    <t>"klepnout-001"</t>
  </si>
  <si>
    <t>"klepnout-002"</t>
  </si>
  <si>
    <t>"klepnout-003"</t>
  </si>
  <si>
    <t>"klesat-001"</t>
  </si>
  <si>
    <t>ACT-&gt;ARG0/197,ARG1/4709,ARG2/303</t>
  </si>
  <si>
    <t>PAT-&gt;ARG2/21,ARG4/730,ARGm-LOC/2</t>
  </si>
  <si>
    <t>ORIG-&gt;ARG2/8,ARG3/234,ARG4/5</t>
  </si>
  <si>
    <t>"klesnout-001"</t>
  </si>
  <si>
    <t>ACT-&gt;ARG0/1,ARG1/1660,ARG2/8</t>
  </si>
  <si>
    <t>?PAT: na+4; pod+4</t>
  </si>
  <si>
    <t>PAT-&gt;ARG1/2,ARG2/293,ARG4/834,ARGm-LOC/2</t>
  </si>
  <si>
    <t>ORIG-&gt;ARG3/256,ARG4/5,ARGm-LOC/1</t>
  </si>
  <si>
    <t>ACT-&gt;ARG0/260,ARG1/4798,ARG2/301</t>
  </si>
  <si>
    <t>PAT-&gt;ARG1/67,ARG2/30,ARG4/878,ARGm-LOC/2</t>
  </si>
  <si>
    <t>ORIG-&gt;ARG2/8,ARG3/266,ARG4/5,ARGm-LOC/1</t>
  </si>
  <si>
    <t>ACT-&gt;ARG1/616,ARG2/4</t>
  </si>
  <si>
    <t>PAT-&gt;ARG2/5,ARG4/435</t>
  </si>
  <si>
    <t>ORIG-&gt;ARG3/157,ARG4/1</t>
  </si>
  <si>
    <t>"klesnout-002"</t>
  </si>
  <si>
    <t>"klestit-001"</t>
  </si>
  <si>
    <t>"klečet-001"</t>
  </si>
  <si>
    <t>"klidit-001"</t>
  </si>
  <si>
    <t>"klikatit-se-001"</t>
  </si>
  <si>
    <t>"kliknout-001"</t>
  </si>
  <si>
    <t>"kličkovat-001"</t>
  </si>
  <si>
    <t>"klonit-se-001"</t>
  </si>
  <si>
    <t>PAT-&gt;ARG2/71</t>
  </si>
  <si>
    <t>"klonovat-001"</t>
  </si>
  <si>
    <t>"klopýtat-001"</t>
  </si>
  <si>
    <t>?PAT: o+4; přes+4</t>
  </si>
  <si>
    <t>"klopýtat-002"</t>
  </si>
  <si>
    <t>ACT-&gt;ARG0/7,ARG1/9</t>
  </si>
  <si>
    <t>"klopýtnout-001"</t>
  </si>
  <si>
    <t>"klouzat-001"</t>
  </si>
  <si>
    <t>ACT-&gt;ARG1/5</t>
  </si>
  <si>
    <t>"klouzat-se-001"</t>
  </si>
  <si>
    <t>"klubat-se-001"</t>
  </si>
  <si>
    <t>"klábosit-002"</t>
  </si>
  <si>
    <t>"klást-001"</t>
  </si>
  <si>
    <t>ADDR-&gt;ARG1/5</t>
  </si>
  <si>
    <t>EFF: za+4; 7; 4[{jako,jakožto}:/AuxY]</t>
  </si>
  <si>
    <t>EFF-&gt;ARG1/8</t>
  </si>
  <si>
    <t>"klást-002"</t>
  </si>
  <si>
    <t>DIR3-&gt;ARG2/22</t>
  </si>
  <si>
    <t>"klást-003"</t>
  </si>
  <si>
    <t>"klást-004"</t>
  </si>
  <si>
    <t>"klást-005"</t>
  </si>
  <si>
    <t>"klást-006"</t>
  </si>
  <si>
    <t>CPHR: {cíl,mez,odpor,podmínka,překážka,...}.4</t>
  </si>
  <si>
    <t>"klást-007"</t>
  </si>
  <si>
    <t>ACT-&gt;ARG0/586,ARG1/1</t>
  </si>
  <si>
    <t>CPHR: {dotaz,otázka,...}.4</t>
  </si>
  <si>
    <t>CPHR-&gt;ARG1/809,ARG2/1</t>
  </si>
  <si>
    <t>ADDR-&gt;ARG1/8,ARG2/190</t>
  </si>
  <si>
    <t>"klást-008"</t>
  </si>
  <si>
    <t>CPHR: {nárok,omezení,požadavek,zátěž,...}.4</t>
  </si>
  <si>
    <t>CPHR-&gt;ARG1/14</t>
  </si>
  <si>
    <t>"klást-009"</t>
  </si>
  <si>
    <t>ACT-&gt;ARG0/144,ARG1/3102,ARG2/296</t>
  </si>
  <si>
    <t>CPHR-&gt;ARG1/712,ARG2/3451</t>
  </si>
  <si>
    <t>"klást-010"</t>
  </si>
  <si>
    <t>DIR3-&gt;ARG1/2,ARG2/6</t>
  </si>
  <si>
    <t>"klást-011"</t>
  </si>
  <si>
    <t>DPHR: rovnítko.S4</t>
  </si>
  <si>
    <t>"klást-012"</t>
  </si>
  <si>
    <t>DPHR: na-1[srdce.S4]</t>
  </si>
  <si>
    <t>"klást-se-001"</t>
  </si>
  <si>
    <t>"klátit-001"</t>
  </si>
  <si>
    <t>"klátit-002"</t>
  </si>
  <si>
    <t>"klít-001"</t>
  </si>
  <si>
    <t>PAT: ↓že; ↓c</t>
  </si>
  <si>
    <t>"kmitat-001"</t>
  </si>
  <si>
    <t>"knokautovat-001"</t>
  </si>
  <si>
    <t>"kochat-se-001"</t>
  </si>
  <si>
    <t>"kodifikovat-001"</t>
  </si>
  <si>
    <t>"kodrcat-001"</t>
  </si>
  <si>
    <t>"koexistovat-001"</t>
  </si>
  <si>
    <t>"kojit-001"</t>
  </si>
  <si>
    <t>"koketovat-001"</t>
  </si>
  <si>
    <t>"koktat-001"</t>
  </si>
  <si>
    <t>"kolaborovat-001"</t>
  </si>
  <si>
    <t>ADDR: s+7; mezi+7</t>
  </si>
  <si>
    <t>?PAT: na+6; v+6; při+6</t>
  </si>
  <si>
    <t>PAT-&gt;ARG2/8</t>
  </si>
  <si>
    <t>"koledovat-001"</t>
  </si>
  <si>
    <t>"kolidovat-001"</t>
  </si>
  <si>
    <t>"kolorovat-001"</t>
  </si>
  <si>
    <t>"kolovat-001"</t>
  </si>
  <si>
    <t>ACT-&gt;ARG0/5,ARG1/411</t>
  </si>
  <si>
    <t>"kolébat-se-001"</t>
  </si>
  <si>
    <t>"kolíbat-001"</t>
  </si>
  <si>
    <t>"kolísat-001"</t>
  </si>
  <si>
    <t>ACT-&gt;ARG0/3,ARG1/89</t>
  </si>
  <si>
    <t>"kolísat-002"</t>
  </si>
  <si>
    <t>PAT: mezi+7</t>
  </si>
  <si>
    <t>"komandovat-001"</t>
  </si>
  <si>
    <t>"kombinovat-001"</t>
  </si>
  <si>
    <t>PAT-&gt;ARG1/55,ARG2/1</t>
  </si>
  <si>
    <t>EFF-&gt;ARG3/1</t>
  </si>
  <si>
    <t>"komentovat-001"</t>
  </si>
  <si>
    <t>PAT: 4; .s; ↓c; ↓zda</t>
  </si>
  <si>
    <t>ACT-&gt;ARG0/163</t>
  </si>
  <si>
    <t>PAT-&gt;ARG1/246</t>
  </si>
  <si>
    <t>"komolit-001"</t>
  </si>
  <si>
    <t>"kompenzovat-001"</t>
  </si>
  <si>
    <t>ACT-&gt;ARG0/10,ARG2/69</t>
  </si>
  <si>
    <t>PAT-&gt;ARG1/109</t>
  </si>
  <si>
    <t>"kompenzovat-002"</t>
  </si>
  <si>
    <t>ACT-&gt;ARG0/16,ARG2/69</t>
  </si>
  <si>
    <t>PAT-&gt;ARG1/120</t>
  </si>
  <si>
    <t>"komplikovat-001"</t>
  </si>
  <si>
    <t>PAT-&gt;ARG1/39,ARG2/1</t>
  </si>
  <si>
    <t>"komponovat-001"</t>
  </si>
  <si>
    <t>"komputerizovat-001"</t>
  </si>
  <si>
    <t>"komunikovat-001"</t>
  </si>
  <si>
    <t>ADDR-&gt;ARG2/44</t>
  </si>
  <si>
    <t>"konat-001"</t>
  </si>
  <si>
    <t>"konat-002"</t>
  </si>
  <si>
    <t>CPHR: {čin,dozor,krok,pokus,pozorování,práce,příprava,schůze,skutek,služba,uzdravování,...}.4</t>
  </si>
  <si>
    <t>CPHR-&gt;ARG1/72</t>
  </si>
  <si>
    <t>"konat-se-001"</t>
  </si>
  <si>
    <t>ACT-&gt;ARG1/1792,ARG2/2</t>
  </si>
  <si>
    <t>"koncentrovat-001"</t>
  </si>
  <si>
    <t>PAT-&gt;ARG1/3104,ARG2/308</t>
  </si>
  <si>
    <t>LOC-&gt;ARG1/12</t>
  </si>
  <si>
    <t>"koncentrovat-002"</t>
  </si>
  <si>
    <t>"koncentrovat-se-001"</t>
  </si>
  <si>
    <t>ACT-&gt;ARG0/27,ARG1/2,ARG2/9</t>
  </si>
  <si>
    <t>"koncentrovat-se-002"</t>
  </si>
  <si>
    <t>ACT-&gt;ARG1/2,ARG2/8</t>
  </si>
  <si>
    <t>"koncentrovat-se-003"</t>
  </si>
  <si>
    <t>"koncertovat-001"</t>
  </si>
  <si>
    <t>"koncipovat-001"</t>
  </si>
  <si>
    <t>ACT-&gt;ARG0/24</t>
  </si>
  <si>
    <t>PAT-&gt;ARG1/77</t>
  </si>
  <si>
    <t>"kondolovat-001"</t>
  </si>
  <si>
    <t>"konejšit-001"</t>
  </si>
  <si>
    <t>"konferovat-001"</t>
  </si>
  <si>
    <t>"konfiskovat-001"</t>
  </si>
  <si>
    <t>?ADDR: :3</t>
  </si>
  <si>
    <t>"konfrontovat-001"</t>
  </si>
  <si>
    <t>EFF: s+7; 7</t>
  </si>
  <si>
    <t>"konkretizovat-001"</t>
  </si>
  <si>
    <t>"konkurovat-001"</t>
  </si>
  <si>
    <t>PAT-&gt;ARG1/35,ARG2/1</t>
  </si>
  <si>
    <t>"konsolidovat-001"</t>
  </si>
  <si>
    <t>"konspirovat-001"</t>
  </si>
  <si>
    <t>"konstatovat-001"</t>
  </si>
  <si>
    <t>"konstatovat-002"</t>
  </si>
  <si>
    <t>ACT-&gt;ARG0/12257,ARG1/37</t>
  </si>
  <si>
    <t>EFF: 4; ↓že; ↓zda; .s</t>
  </si>
  <si>
    <t>EFF-&gt;ARG0/2,ARG1/10661,ARG2/2</t>
  </si>
  <si>
    <t>"konsternovat-001"</t>
  </si>
  <si>
    <t>"konstituovat-001"</t>
  </si>
  <si>
    <t>"konstruovat-001"</t>
  </si>
  <si>
    <t>PAT-&gt;ARG1/227</t>
  </si>
  <si>
    <t>"kontaktovat-001"</t>
  </si>
  <si>
    <t>"kontaktovat-002"</t>
  </si>
  <si>
    <t>ACT-&gt;ARG0/17,ARG1/21</t>
  </si>
  <si>
    <t>PAT-&gt;ARG1/106,ARG2/21</t>
  </si>
  <si>
    <t>"kontaminovat-001"</t>
  </si>
  <si>
    <t>"kontinuovat-001"</t>
  </si>
  <si>
    <t>"kontrahovat-001"</t>
  </si>
  <si>
    <t>"kontrastovat-001"</t>
  </si>
  <si>
    <t>PAT-&gt;ARG2/11</t>
  </si>
  <si>
    <t>"kontrolovat-001"</t>
  </si>
  <si>
    <t>ACT-&gt;ARG0/209,ARG1/25</t>
  </si>
  <si>
    <t>PAT-&gt;ARG0/13,ARG1/284,ARG2/1</t>
  </si>
  <si>
    <t>"kontrolovat-002"</t>
  </si>
  <si>
    <t>ACT-&gt;ARG0/108,ARG2/49</t>
  </si>
  <si>
    <t>PAT-&gt;ARG1/231,ARG2/1</t>
  </si>
  <si>
    <t>"kontrovat-001"</t>
  </si>
  <si>
    <t>EFF: 4; ↓že; ↓zda; ↓aby; ↓ať; .s</t>
  </si>
  <si>
    <t>EFF-&gt;ARG2/9</t>
  </si>
  <si>
    <t>PAT-&gt;ARG1/13,ARG2/2</t>
  </si>
  <si>
    <t>"kontrovat-002"</t>
  </si>
  <si>
    <t>"konvertovat-001"</t>
  </si>
  <si>
    <t>PAT-&gt;ARG1/52,ARG2/1</t>
  </si>
  <si>
    <t>?EFF: na+4; v+4; do-1[.4]</t>
  </si>
  <si>
    <t>EFF-&gt;ARG2/51</t>
  </si>
  <si>
    <t>"konverzovat-001"</t>
  </si>
  <si>
    <t>"konzervovat-001"</t>
  </si>
  <si>
    <t>"konzultovat-001"</t>
  </si>
  <si>
    <t>?PAT: 4; o+6; ↓jak-2; .s; ↓zda; ↓jestli; ↓c</t>
  </si>
  <si>
    <t>"konzumovat-001"</t>
  </si>
  <si>
    <t>"konzumovat-002"</t>
  </si>
  <si>
    <t>"končit-001"</t>
  </si>
  <si>
    <t>ACT-&gt;ARG0/30,ARG1/310</t>
  </si>
  <si>
    <t>PAT-&gt;ARG1/85,ARGm-EXT/352,ARGm-MNR/260</t>
  </si>
  <si>
    <t>"končit-002"</t>
  </si>
  <si>
    <t>"končit-003"</t>
  </si>
  <si>
    <t>ACT-&gt;ARG0/27,ARG1/61</t>
  </si>
  <si>
    <t>PAT-&gt;ARG1/58,ARG2/16</t>
  </si>
  <si>
    <t>"končit-004"</t>
  </si>
  <si>
    <t>ACT-&gt;ARG0/3,ARG1/3546,ARG2/296</t>
  </si>
  <si>
    <t>"končit-005"</t>
  </si>
  <si>
    <t>ACT-&gt;ARG0/11,ARG1/102</t>
  </si>
  <si>
    <t>MANN-&gt;ARG1/9,ARG2/26</t>
  </si>
  <si>
    <t>MEANS-&gt;ARG1/2,ARG2/14</t>
  </si>
  <si>
    <t>"končit-006"</t>
  </si>
  <si>
    <t>ACT-&gt;ARG1/399</t>
  </si>
  <si>
    <t>LOC-&gt;ARG1/1,ARG2/14,ARG4/29,ARGm-EXT/392,ARGm-MNR/281</t>
  </si>
  <si>
    <t>"končit-se-001"</t>
  </si>
  <si>
    <t>"končívat-001"</t>
  </si>
  <si>
    <t>"kooperovat-001"</t>
  </si>
  <si>
    <t>?PAT: na+6; v+6</t>
  </si>
  <si>
    <t>"kooptovat-001"</t>
  </si>
  <si>
    <t>"koordinovat-001"</t>
  </si>
  <si>
    <t>PAT-&gt;ARG1/17,ARG2/2</t>
  </si>
  <si>
    <t>"kopat-001"</t>
  </si>
  <si>
    <t>"kopat-002"</t>
  </si>
  <si>
    <t>"kopat-003"</t>
  </si>
  <si>
    <t>"kopat-004"</t>
  </si>
  <si>
    <t>"--kopat-005"</t>
  </si>
  <si>
    <t>"kopat-si-001"</t>
  </si>
  <si>
    <t>?PAT: s+7; 7</t>
  </si>
  <si>
    <t>"kopnout-001"</t>
  </si>
  <si>
    <t>"kopírovat-001"</t>
  </si>
  <si>
    <t>ACT-&gt;ARG0/39,ARG1/2</t>
  </si>
  <si>
    <t>PAT-&gt;ARG0/1,ARG1/46</t>
  </si>
  <si>
    <t>"kopírovat-002"</t>
  </si>
  <si>
    <t>"korepetovat-001"</t>
  </si>
  <si>
    <t>"korespondovat-001"</t>
  </si>
  <si>
    <t>"korespondovat-002"</t>
  </si>
  <si>
    <t>"korespondovat-003"</t>
  </si>
  <si>
    <t>"korigovat-001"</t>
  </si>
  <si>
    <t>?EFF: na+4; v+4</t>
  </si>
  <si>
    <t>"kormidlovat-001"</t>
  </si>
  <si>
    <t>"korodovat-001"</t>
  </si>
  <si>
    <t>"korumpovat-001"</t>
  </si>
  <si>
    <t>"korunovat-001"</t>
  </si>
  <si>
    <t>?EFF: .7,na+4,za+4</t>
  </si>
  <si>
    <t>"korunovat-002"</t>
  </si>
  <si>
    <t>"korzovat-001"</t>
  </si>
  <si>
    <t>"kosit-001"</t>
  </si>
  <si>
    <t>"kotovat-001"</t>
  </si>
  <si>
    <t>ACT-&gt;ARG0/2,ARG1/4</t>
  </si>
  <si>
    <t>PAT-&gt;ARG1/74,ARG2/6</t>
  </si>
  <si>
    <t>EFF-&gt;ARG2/104</t>
  </si>
  <si>
    <t>"kotvit-001"</t>
  </si>
  <si>
    <t>"kotvit-002"</t>
  </si>
  <si>
    <t>"koukat-001"</t>
  </si>
  <si>
    <t>PAT: .f; ↓aby</t>
  </si>
  <si>
    <t>"koukat-002"</t>
  </si>
  <si>
    <t>PAT: na+4; ↓c; ↓že; po+6; ↓jestli; ↓jak-2</t>
  </si>
  <si>
    <t>"koukat-003"</t>
  </si>
  <si>
    <t>"koukat-004"</t>
  </si>
  <si>
    <t>"koukat-005"</t>
  </si>
  <si>
    <t>"koukat-006"</t>
  </si>
  <si>
    <t>DPHR: do-1[blbo.S2]</t>
  </si>
  <si>
    <t>"koukat-007"</t>
  </si>
  <si>
    <t>"--koukat-008"</t>
  </si>
  <si>
    <t>"koukat-se-001"</t>
  </si>
  <si>
    <t>PAT: na+4; ↓jak-2; ↓c; ↓že</t>
  </si>
  <si>
    <t>"koukat-se-002"</t>
  </si>
  <si>
    <t>"kouknout-001"</t>
  </si>
  <si>
    <t>"kouknout-002"</t>
  </si>
  <si>
    <t>"kouknout-se-001"</t>
  </si>
  <si>
    <t>"koulovat-001"</t>
  </si>
  <si>
    <t>"koupat-001"</t>
  </si>
  <si>
    <t>"koupat-se-001"</t>
  </si>
  <si>
    <t>"koupat-se-002"</t>
  </si>
  <si>
    <t>"koupit-001"</t>
  </si>
  <si>
    <t>ACT-&gt;ARG0/920,ARG1/7</t>
  </si>
  <si>
    <t>PAT-&gt;ARG0/2,ARG1/1584,ARG3/1,ARG4/1</t>
  </si>
  <si>
    <t>ADDR-&gt;ARG1/1,ARG4/7</t>
  </si>
  <si>
    <t>ORIG-&gt;ARG1/4,ARG2/120</t>
  </si>
  <si>
    <t>"kousat-001"</t>
  </si>
  <si>
    <t>"kousat-002"</t>
  </si>
  <si>
    <t>PAT: 4; do+2</t>
  </si>
  <si>
    <t>"kousat-se-001"</t>
  </si>
  <si>
    <t>DPHR: nuda.S7</t>
  </si>
  <si>
    <t>"kouskovat-001"</t>
  </si>
  <si>
    <t>"kousnout-001"</t>
  </si>
  <si>
    <t>"kousnout-002"</t>
  </si>
  <si>
    <t>"kousnout-se-001"</t>
  </si>
  <si>
    <t>"kousnout-si-001"</t>
  </si>
  <si>
    <t>"kout-001"</t>
  </si>
  <si>
    <t>DPHR: pikle.P4</t>
  </si>
  <si>
    <t>"kouzlit-001"</t>
  </si>
  <si>
    <t>"kouřit-001"</t>
  </si>
  <si>
    <t>"kouřit-002"</t>
  </si>
  <si>
    <t>"kočkovat-se-001"</t>
  </si>
  <si>
    <t>"kočovat-001"</t>
  </si>
  <si>
    <t>"kořenit-001"</t>
  </si>
  <si>
    <t>"krachovat-001"</t>
  </si>
  <si>
    <t>"kreslit-001"</t>
  </si>
  <si>
    <t>"kriminalizovat-001"</t>
  </si>
  <si>
    <t>"kritizovat-001"</t>
  </si>
  <si>
    <t>ACT-&gt;ARG0/129,ARG1/1</t>
  </si>
  <si>
    <t>"krmit-001"</t>
  </si>
  <si>
    <t>PAT-&gt;ARG1/3,ARG2/14</t>
  </si>
  <si>
    <t>"kropit-001"</t>
  </si>
  <si>
    <t>"krotit-001"</t>
  </si>
  <si>
    <t>"krotit-002"</t>
  </si>
  <si>
    <t>ADDR-&gt;ARG1/4</t>
  </si>
  <si>
    <t>"krouhat-001"</t>
  </si>
  <si>
    <t>"kroutit-001"</t>
  </si>
  <si>
    <t>"kroutit-se-001"</t>
  </si>
  <si>
    <t>"kroužit-001"</t>
  </si>
  <si>
    <t>"kručet-001"</t>
  </si>
  <si>
    <t>"kručet-002"</t>
  </si>
  <si>
    <t>"krvácet-001"</t>
  </si>
  <si>
    <t>"krvácet-002"</t>
  </si>
  <si>
    <t>ACT-&gt;ARG0/4,ARG1/1</t>
  </si>
  <si>
    <t>"krájet-001"</t>
  </si>
  <si>
    <t>?EFF: do+2; na+4; v+4</t>
  </si>
  <si>
    <t>"krást-001"</t>
  </si>
  <si>
    <t>"krást-002"</t>
  </si>
  <si>
    <t>"krátit-001"</t>
  </si>
  <si>
    <t>"krátit-se-001"</t>
  </si>
  <si>
    <t>"kráčet-001"</t>
  </si>
  <si>
    <t>"kráčet-002"</t>
  </si>
  <si>
    <t>"kráčet-003"</t>
  </si>
  <si>
    <t>DPHR: v-1[šlépěj.P6[:u#]]; v-1[šlépěj.P6]</t>
  </si>
  <si>
    <t>"kráčet-004"</t>
  </si>
  <si>
    <t>DPHR: v-1.6[závěs.S6]</t>
  </si>
  <si>
    <t>"kráčet-si-001"</t>
  </si>
  <si>
    <t>"krýt-001"</t>
  </si>
  <si>
    <t>"krýt-002"</t>
  </si>
  <si>
    <t>"krýt-003"</t>
  </si>
  <si>
    <t>ACT-&gt;ARG0/12,ARG2/49</t>
  </si>
  <si>
    <t>PAT-&gt;ARG1/226,ARG2/81</t>
  </si>
  <si>
    <t>"krýt-004"</t>
  </si>
  <si>
    <t>PAT-&gt;ARG1/140,ARG2/1</t>
  </si>
  <si>
    <t>"krýt-se-001"</t>
  </si>
  <si>
    <t>"krčit-001"</t>
  </si>
  <si>
    <t>"krčit-se-001"</t>
  </si>
  <si>
    <t>"krčit-se-002"</t>
  </si>
  <si>
    <t>ACT-&gt;ARG0/1,ARG1/14</t>
  </si>
  <si>
    <t>"kuchat-001"</t>
  </si>
  <si>
    <t>"kulminovat-001"</t>
  </si>
  <si>
    <t>"kultivovat-001"</t>
  </si>
  <si>
    <t>"kumulovat-se-001"</t>
  </si>
  <si>
    <t>"kupit-se-001"</t>
  </si>
  <si>
    <t>"kupovat-001"</t>
  </si>
  <si>
    <t>ACT-&gt;ARG0/649,ARG1/1</t>
  </si>
  <si>
    <t>PAT-&gt;ARG0/2,ARG1/1206,ARG3/1</t>
  </si>
  <si>
    <t>ORIG-&gt;ARG1/1,ARG2/90</t>
  </si>
  <si>
    <t>"kutálet-se-001"</t>
  </si>
  <si>
    <t>"kvalifikovat-001"</t>
  </si>
  <si>
    <t>PAT: na+4; k+3</t>
  </si>
  <si>
    <t>"kvalifikovat-002"</t>
  </si>
  <si>
    <t>"kvalifikovat-se-001"</t>
  </si>
  <si>
    <t>PAT: na+4,pro+4</t>
  </si>
  <si>
    <t>"kvalifikovat-se-002"</t>
  </si>
  <si>
    <t>"kvalifikovat-se-003"</t>
  </si>
  <si>
    <t>"kvaltovat-001"</t>
  </si>
  <si>
    <t>"kvantifikovat-001"</t>
  </si>
  <si>
    <t>"kvitovat-001"</t>
  </si>
  <si>
    <t>"kvákat-001"</t>
  </si>
  <si>
    <t>"kváknout-001"</t>
  </si>
  <si>
    <t>"kvést-001"</t>
  </si>
  <si>
    <t>"kvést-002"</t>
  </si>
  <si>
    <t>ACT-&gt;ARG0/6,ARG1/6</t>
  </si>
  <si>
    <t>"kvílet-001"</t>
  </si>
  <si>
    <t>"kvílet-002"</t>
  </si>
  <si>
    <t>"kydat-001"</t>
  </si>
  <si>
    <t>DPHR: hnůj.S4</t>
  </si>
  <si>
    <t>"kydat-002"</t>
  </si>
  <si>
    <t>"kymácet-se-001"</t>
  </si>
  <si>
    <t>"kypět-001"</t>
  </si>
  <si>
    <t>"kácet-001"</t>
  </si>
  <si>
    <t>"kárat-001"</t>
  </si>
  <si>
    <t>"kát-se-001"</t>
  </si>
  <si>
    <t>"kázat-001"</t>
  </si>
  <si>
    <t>"kótovat-001"</t>
  </si>
  <si>
    <t>ACT-&gt;ARG0/1,ARG1/4</t>
  </si>
  <si>
    <t>PAT-&gt;ARG1/66,ARG2/6</t>
  </si>
  <si>
    <t>?EFF: na+4; na+6; v+6</t>
  </si>
  <si>
    <t>"kótovat-002"</t>
  </si>
  <si>
    <t>ACT-&gt;ARG1/66,ARG2/6</t>
  </si>
  <si>
    <t>LOC-&gt;ARG2/104</t>
  </si>
  <si>
    <t>"kýchat-001"</t>
  </si>
  <si>
    <t>"kývat-001"</t>
  </si>
  <si>
    <t>"kývat-se-001"</t>
  </si>
  <si>
    <t>"kývnout-001"</t>
  </si>
  <si>
    <t>"kňučet-001"</t>
  </si>
  <si>
    <t>"křepčit-001"</t>
  </si>
  <si>
    <t>"křečkovat-001"</t>
  </si>
  <si>
    <t>"křivit-001"</t>
  </si>
  <si>
    <t>"křičet-001"</t>
  </si>
  <si>
    <t>"křičet-002"</t>
  </si>
  <si>
    <t>"křižovat-001"</t>
  </si>
  <si>
    <t>"křtít-001"</t>
  </si>
  <si>
    <t>"křísit-001"</t>
  </si>
  <si>
    <t>"křížit-001"</t>
  </si>
  <si>
    <t>"křížit-002"</t>
  </si>
  <si>
    <t>"kšeftovat-001"</t>
  </si>
  <si>
    <t>"laborovat-001"</t>
  </si>
  <si>
    <t>"ladit-001"</t>
  </si>
  <si>
    <t>"ladit-002"</t>
  </si>
  <si>
    <t>"ladit-003"</t>
  </si>
  <si>
    <t>ACT-&gt;ARG0/4,ARG1/28</t>
  </si>
  <si>
    <t>PAT: s+7; k+3</t>
  </si>
  <si>
    <t>PAT-&gt;ARG1/48</t>
  </si>
  <si>
    <t>"lahodit-001"</t>
  </si>
  <si>
    <t>PAT: 1; ↓že; .f; ↓c</t>
  </si>
  <si>
    <t>"lajdačit-001"</t>
  </si>
  <si>
    <t>"lamentovat-001"</t>
  </si>
  <si>
    <t>"lapat-001"</t>
  </si>
  <si>
    <t>DPHR: po-1[dech.S6]</t>
  </si>
  <si>
    <t>"lapat-002"</t>
  </si>
  <si>
    <t>"lapit-001"</t>
  </si>
  <si>
    <t>"laškovat-001"</t>
  </si>
  <si>
    <t>"lebedit-si-001"</t>
  </si>
  <si>
    <t>"legalizovat-001"</t>
  </si>
  <si>
    <t>"legitimizovat-001"</t>
  </si>
  <si>
    <t>"legitimovat-001"</t>
  </si>
  <si>
    <t>"legitimovat-se-001"</t>
  </si>
  <si>
    <t>"lehat-si-001"</t>
  </si>
  <si>
    <t>"lehnout-001"</t>
  </si>
  <si>
    <t>DPHR: popel.S7</t>
  </si>
  <si>
    <t>"lehnout-002"</t>
  </si>
  <si>
    <t>"lehnout-si-001"</t>
  </si>
  <si>
    <t>DIR3-&gt;ARG2/1</t>
  </si>
  <si>
    <t>"lehávat-001"</t>
  </si>
  <si>
    <t>"lekat-001"</t>
  </si>
  <si>
    <t>"leknout-se-001"</t>
  </si>
  <si>
    <t>?PAT: 2; ↓že</t>
  </si>
  <si>
    <t>"lemovat-001"</t>
  </si>
  <si>
    <t>"lemovat-002"</t>
  </si>
  <si>
    <t>"lemovat-003"</t>
  </si>
  <si>
    <t>"lenit-001"</t>
  </si>
  <si>
    <t>"lenošit-001"</t>
  </si>
  <si>
    <t>"lepit-001"</t>
  </si>
  <si>
    <t>"lepit-se-001"</t>
  </si>
  <si>
    <t>"lepšit-se-001"</t>
  </si>
  <si>
    <t>"lesknout-se-001"</t>
  </si>
  <si>
    <t>"letovat-001"</t>
  </si>
  <si>
    <t>"letět-001"</t>
  </si>
  <si>
    <t>ACT-&gt;ARG0/606,ARG1/40</t>
  </si>
  <si>
    <t>"letět-002"</t>
  </si>
  <si>
    <t>"letět-003"</t>
  </si>
  <si>
    <t>"letět-004"</t>
  </si>
  <si>
    <t>"letět-005"</t>
  </si>
  <si>
    <t>DPHR: na-1[srdce.S6]</t>
  </si>
  <si>
    <t>"letět-006"</t>
  </si>
  <si>
    <t>"letět-007"</t>
  </si>
  <si>
    <t>"letět-008"</t>
  </si>
  <si>
    <t>"leštit-001"</t>
  </si>
  <si>
    <t>"leštit-002"</t>
  </si>
  <si>
    <t>"ležet-001"</t>
  </si>
  <si>
    <t>"ležet-002"</t>
  </si>
  <si>
    <t>ACT-&gt;ARG1/28</t>
  </si>
  <si>
    <t>"ležet-003"</t>
  </si>
  <si>
    <t>"ležet-004"</t>
  </si>
  <si>
    <t>ACT-&gt;ARG0/1,ARG1/374,ARG2/3,ARGm-LOC/1</t>
  </si>
  <si>
    <t>LOC-&gt;ARG1/2,ARG2/308,ARGm-LOC/23</t>
  </si>
  <si>
    <t>"ležet-005"</t>
  </si>
  <si>
    <t>"ležet-006"</t>
  </si>
  <si>
    <t>"ležet-007"</t>
  </si>
  <si>
    <t>DPHR: na-1[bedra.6]; na-1[bedra.6[.u#]]</t>
  </si>
  <si>
    <t>"ležet-008"</t>
  </si>
  <si>
    <t>ACT-&gt;ARG1/105</t>
  </si>
  <si>
    <t>DPHR: lad.S7</t>
  </si>
  <si>
    <t>DPHR-&gt;ARG2/55</t>
  </si>
  <si>
    <t>"ležet-009"</t>
  </si>
  <si>
    <t>DPHR: v-1[hlava.S6]</t>
  </si>
  <si>
    <t>"ležet-010"</t>
  </si>
  <si>
    <t>DPHR: na-1[srdce.6]</t>
  </si>
  <si>
    <t>"lhát-001"</t>
  </si>
  <si>
    <t>?PAT: o+6; ↓že</t>
  </si>
  <si>
    <t>ADDR-&gt;ARG2/2</t>
  </si>
  <si>
    <t>"lhát-002"</t>
  </si>
  <si>
    <t>DPHR: jako[když[tisknout.S]]</t>
  </si>
  <si>
    <t>"liberalizovat-001"</t>
  </si>
  <si>
    <t>"libovat-si-001"</t>
  </si>
  <si>
    <t>PAT: 4; ↓že; v+6; ↓jak-2</t>
  </si>
  <si>
    <t>"licencovat-001"</t>
  </si>
  <si>
    <t>ACT-&gt;ARG0/7,ARG2/3</t>
  </si>
  <si>
    <t>"lichotit-001"</t>
  </si>
  <si>
    <t>"licitovat-001"</t>
  </si>
  <si>
    <t>"licitovat-002"</t>
  </si>
  <si>
    <t>"likvidovat-001"</t>
  </si>
  <si>
    <t>PAT-&gt;ARG1/117</t>
  </si>
  <si>
    <t>"limitovat-001"</t>
  </si>
  <si>
    <t>"linout-se-001"</t>
  </si>
  <si>
    <t>"lisovat-001"</t>
  </si>
  <si>
    <t>"listovat-001"</t>
  </si>
  <si>
    <t>"litovat-001"</t>
  </si>
  <si>
    <t>"litovat-002"</t>
  </si>
  <si>
    <t>"lišit-001"</t>
  </si>
  <si>
    <t>"lišit-se-001"</t>
  </si>
  <si>
    <t>PAT: od+2; oproti+3</t>
  </si>
  <si>
    <t>ACT-&gt;ARG0/7,ARG1/51</t>
  </si>
  <si>
    <t>PAT-&gt;ARG1/8,ARG2/11</t>
  </si>
  <si>
    <t>"lkát-001"</t>
  </si>
  <si>
    <t>?PAT: na+4; ↓že; ↓c</t>
  </si>
  <si>
    <t>"lkát-002"</t>
  </si>
  <si>
    <t>"lnout-001"</t>
  </si>
  <si>
    <t>"lnout-002"</t>
  </si>
  <si>
    <t>"lobbovat-001"</t>
  </si>
  <si>
    <t>ACT-&gt;ARG0/13,ARG2/2</t>
  </si>
  <si>
    <t>"lobbovat-002"</t>
  </si>
  <si>
    <t>PAT: za+4; pro+4; proti+3</t>
  </si>
  <si>
    <t>PAT-&gt;ARG1/15,ARG2/1</t>
  </si>
  <si>
    <t>"lobovat-001"</t>
  </si>
  <si>
    <t>ACT-&gt;ARG0/20,ARG2/2</t>
  </si>
  <si>
    <t>PAT-&gt;ARG1/22,ARG2/1</t>
  </si>
  <si>
    <t>"lokalizovat-001"</t>
  </si>
  <si>
    <t>PAT-&gt;ARG1/10,ARGm-LOC/1</t>
  </si>
  <si>
    <t>LOC-&gt;ARGm-LOC/23</t>
  </si>
  <si>
    <t>"lokalizovat-002"</t>
  </si>
  <si>
    <t>"lokalizovat-003"</t>
  </si>
  <si>
    <t>"lokalizovat-004"</t>
  </si>
  <si>
    <t>"loknout-si-001"</t>
  </si>
  <si>
    <t>"lomcovat-001"</t>
  </si>
  <si>
    <t>"lomit-001"</t>
  </si>
  <si>
    <t>DPHR: ruka.P7</t>
  </si>
  <si>
    <t>"losovat-001"</t>
  </si>
  <si>
    <t>"loupat-001"</t>
  </si>
  <si>
    <t>"loupit-001"</t>
  </si>
  <si>
    <t>"loupit-002"</t>
  </si>
  <si>
    <t>"loutkařit-001"</t>
  </si>
  <si>
    <t>"loučit-se-001"</t>
  </si>
  <si>
    <t>"lovit-001"</t>
  </si>
  <si>
    <t>PAT-&gt;ARG1/110,ARG2/1</t>
  </si>
  <si>
    <t>"lovit-002"</t>
  </si>
  <si>
    <t>"lovit-003"</t>
  </si>
  <si>
    <t>"lpět-001"</t>
  </si>
  <si>
    <t>"lpět-002"</t>
  </si>
  <si>
    <t>"lustrovat-001"</t>
  </si>
  <si>
    <t>"luxovat-001"</t>
  </si>
  <si>
    <t>"luštit-001"</t>
  </si>
  <si>
    <t>"lyžovat-001"</t>
  </si>
  <si>
    <t>"lze-001"</t>
  </si>
  <si>
    <t>ACT: .f; 1</t>
  </si>
  <si>
    <t>ACT-&gt;ARG0/306,ARG1/122,ARG2/3452</t>
  </si>
  <si>
    <t>"ládovat-001"</t>
  </si>
  <si>
    <t>"lákat-001"</t>
  </si>
  <si>
    <t>ACT-&gt;ARG0/10,ARG1/630,ARG2/13,ARG3/2</t>
  </si>
  <si>
    <t>PAT-&gt;ARG0/601,ARG1/25,ARG2/2,ARG3/1</t>
  </si>
  <si>
    <t>"lákat-002"</t>
  </si>
  <si>
    <t>?PAT: k+3; ↓aby; ↓ať; .s; .f</t>
  </si>
  <si>
    <t>ADDR-&gt;ARG1/26</t>
  </si>
  <si>
    <t>"lámat-001"</t>
  </si>
  <si>
    <t>"lámat-002"</t>
  </si>
  <si>
    <t>DPHR: hůl.S4</t>
  </si>
  <si>
    <t>"lámat-003"</t>
  </si>
  <si>
    <t>DPHR: přes-1[koleno.S4]</t>
  </si>
  <si>
    <t>"lámat-004"</t>
  </si>
  <si>
    <t>DPHR: rekord.P4</t>
  </si>
  <si>
    <t>DPHR-&gt;ARG1/55</t>
  </si>
  <si>
    <t>"lámat-005"</t>
  </si>
  <si>
    <t>"lámat-006"</t>
  </si>
  <si>
    <t>"lámat-se-001"</t>
  </si>
  <si>
    <t>?PAT: na+4; v+4</t>
  </si>
  <si>
    <t>"lámat-si-001"</t>
  </si>
  <si>
    <t>DPHR: hlava:4</t>
  </si>
  <si>
    <t>PAT: 7; s+7; ↓c; nad+7</t>
  </si>
  <si>
    <t>"létat-001"</t>
  </si>
  <si>
    <t>ACT-&gt;ARG0/1,ARG1/40</t>
  </si>
  <si>
    <t>"létat-002"</t>
  </si>
  <si>
    <t>ACT-&gt;ARG0/5,ARG1/40</t>
  </si>
  <si>
    <t>"létat-003"</t>
  </si>
  <si>
    <t>"létat-004"</t>
  </si>
  <si>
    <t>"létat-005"</t>
  </si>
  <si>
    <t>"létat-006"</t>
  </si>
  <si>
    <t>"lézt-001"</t>
  </si>
  <si>
    <t>"lézt-002"</t>
  </si>
  <si>
    <t>"lézt-003"</t>
  </si>
  <si>
    <t>DPHR: do-1[zelí.2]</t>
  </si>
  <si>
    <t>"lézt-004"</t>
  </si>
  <si>
    <t>"lézt-005"</t>
  </si>
  <si>
    <t>"léčit-001"</t>
  </si>
  <si>
    <t>ACT-&gt;ARG0/2,ARG3/4</t>
  </si>
  <si>
    <t>PAT-&gt;ARG1/12,ARG2/17</t>
  </si>
  <si>
    <t>"léčit-002"</t>
  </si>
  <si>
    <t>ADDR-&gt;ARG1/6,ARG2/1</t>
  </si>
  <si>
    <t>"léčit-se-001"</t>
  </si>
  <si>
    <t>?PAT: na+4; z+2</t>
  </si>
  <si>
    <t>"líbat-001"</t>
  </si>
  <si>
    <t>"líbat-002"</t>
  </si>
  <si>
    <t>"líbit-se-001"</t>
  </si>
  <si>
    <t>PAT: 1; ↓že; .f; ↓c; ↓když</t>
  </si>
  <si>
    <t>ACT-&gt;ARG0/231,ARG1/35</t>
  </si>
  <si>
    <t>PAT-&gt;ARG0/14,ARG1/262,ARG2/5</t>
  </si>
  <si>
    <t>"líhnout-se-001"</t>
  </si>
  <si>
    <t>"lísknout-001"</t>
  </si>
  <si>
    <t>"lít-001"</t>
  </si>
  <si>
    <t>"lít-002"</t>
  </si>
  <si>
    <t>"lít-003"</t>
  </si>
  <si>
    <t>"lít-004"</t>
  </si>
  <si>
    <t>DPHR: olovo.S4</t>
  </si>
  <si>
    <t>"lít-005"</t>
  </si>
  <si>
    <t>"lítat-001"</t>
  </si>
  <si>
    <t>"lítat-002"</t>
  </si>
  <si>
    <t>"lítat-003"</t>
  </si>
  <si>
    <t>"lítat-004"</t>
  </si>
  <si>
    <t>"lítat-005"</t>
  </si>
  <si>
    <t>"lítat-006"</t>
  </si>
  <si>
    <t>"lízat-001"</t>
  </si>
  <si>
    <t>"lízat-002"</t>
  </si>
  <si>
    <t>"lízat-003"</t>
  </si>
  <si>
    <t>"líznout-001"</t>
  </si>
  <si>
    <t>"líčit-001"</t>
  </si>
  <si>
    <t>PAT: 4; ↓že; ↓c; ↓jak-2</t>
  </si>
  <si>
    <t>PAT-&gt;ARG1/67</t>
  </si>
  <si>
    <t>"líčit-002"</t>
  </si>
  <si>
    <t>"makat-001"</t>
  </si>
  <si>
    <t>"malovat-001"</t>
  </si>
  <si>
    <t>"malovat-002"</t>
  </si>
  <si>
    <t>"malovat-003"</t>
  </si>
  <si>
    <t>"malovat-004"</t>
  </si>
  <si>
    <t>"manipulovat-001"</t>
  </si>
  <si>
    <t>"manipulovat-002"</t>
  </si>
  <si>
    <t>"manévrovat-001"</t>
  </si>
  <si>
    <t>LOC-&gt;ARG2/1</t>
  </si>
  <si>
    <t>"mapovat-001"</t>
  </si>
  <si>
    <t>"marodit-001"</t>
  </si>
  <si>
    <t>"maskovat-001"</t>
  </si>
  <si>
    <t>"masírovat-001"</t>
  </si>
  <si>
    <t>"maturovat-001"</t>
  </si>
  <si>
    <t>"maximalizovat-001"</t>
  </si>
  <si>
    <t>"mazat-001"</t>
  </si>
  <si>
    <t>"mazat-002"</t>
  </si>
  <si>
    <t>"mazlit-se-001"</t>
  </si>
  <si>
    <t>"mačkat-001"</t>
  </si>
  <si>
    <t>"mačkat-se-001"</t>
  </si>
  <si>
    <t>ACT-&gt;ARG0/2,ARG2/1</t>
  </si>
  <si>
    <t>"mačkat-se-002"</t>
  </si>
  <si>
    <t>"mařit-001"</t>
  </si>
  <si>
    <t>"mašinovat-001"</t>
  </si>
  <si>
    <t>"meditovat-001"</t>
  </si>
  <si>
    <t>PAT: o+6; nad+7; ↓že; ↓zda; ↓c; ↓jestli</t>
  </si>
  <si>
    <t>"metabolizovat-001"</t>
  </si>
  <si>
    <t>ORIG-&gt;ARG2/1</t>
  </si>
  <si>
    <t>"metat-001"</t>
  </si>
  <si>
    <t>DPHR: kozelec.S4</t>
  </si>
  <si>
    <t>DPHR-&gt;ARG1/196</t>
  </si>
  <si>
    <t>"mhouřit-001"</t>
  </si>
  <si>
    <t>"migrovat-001"</t>
  </si>
  <si>
    <t>"migrovat-002"</t>
  </si>
  <si>
    <t>"mihnout-se-001"</t>
  </si>
  <si>
    <t>"milovat-001"</t>
  </si>
  <si>
    <t>"minimalizovat-001"</t>
  </si>
  <si>
    <t>"ministrovat-001"</t>
  </si>
  <si>
    <t>"minout-001"</t>
  </si>
  <si>
    <t>"minout-002"</t>
  </si>
  <si>
    <t>"minout-003"</t>
  </si>
  <si>
    <t>"minout-se-001"</t>
  </si>
  <si>
    <t>"mistrovat-001"</t>
  </si>
  <si>
    <t>"mizet-001"</t>
  </si>
  <si>
    <t>"mizet-002"</t>
  </si>
  <si>
    <t xml:space="preserve">DIR1: </t>
  </si>
  <si>
    <t>"mluvit-001"</t>
  </si>
  <si>
    <t>"mluvit-002"</t>
  </si>
  <si>
    <t>ACT-&gt;ARG0/12357,ARG1/36</t>
  </si>
  <si>
    <t>PAT: o+6; na-1[téma.4]; ↓jestli; .s</t>
  </si>
  <si>
    <t>PAT-&gt;ARG0/2,ARG1/206,ARG2/1,ARG3/29</t>
  </si>
  <si>
    <t>ADDR-&gt;ARG1/1,ARG2/80</t>
  </si>
  <si>
    <t>"mluvit-003"</t>
  </si>
  <si>
    <t>PAT: o+6; .s</t>
  </si>
  <si>
    <t>PAT-&gt;ARG1/94</t>
  </si>
  <si>
    <t>ADDR-&gt;ARG1/1,ARG2/50</t>
  </si>
  <si>
    <t>"mluvit-004"</t>
  </si>
  <si>
    <t>ACT-&gt;ARG0/12453,ARG1/38</t>
  </si>
  <si>
    <t>PAT-&gt;ARG0/2,ARG1/366,ARG2/1,ARG3/29</t>
  </si>
  <si>
    <t>"mluvit-005"</t>
  </si>
  <si>
    <t>"mluvit-006"</t>
  </si>
  <si>
    <t>"mluvit-007"</t>
  </si>
  <si>
    <t>PAT: pro+4; proti+3; {neprospěch,prospěch}.S4/AuxP[v-1,.2]; v-1[{prospěch,neprospěch}.S4[.u#]]</t>
  </si>
  <si>
    <t>PAT-&gt;ARG1/1,ARG2/11</t>
  </si>
  <si>
    <t>"mluvit-008"</t>
  </si>
  <si>
    <t>PAT: za+4; místo+2</t>
  </si>
  <si>
    <t>"mluvit-009"</t>
  </si>
  <si>
    <t>ACT-&gt;ARG0/119,ARG1/1</t>
  </si>
  <si>
    <t>"mluvit-010"</t>
  </si>
  <si>
    <t>DPHR: do-1[duše.S2]</t>
  </si>
  <si>
    <t>"mluvit-011"</t>
  </si>
  <si>
    <t>"mluvit-012"</t>
  </si>
  <si>
    <t>"mluvit-013"</t>
  </si>
  <si>
    <t>"mlátit-001"</t>
  </si>
  <si>
    <t>"mlátit-002"</t>
  </si>
  <si>
    <t>"mlátit-003"</t>
  </si>
  <si>
    <t>"mlátit-004"</t>
  </si>
  <si>
    <t>DPHR: pusa.S7</t>
  </si>
  <si>
    <t>"mlátit-005"</t>
  </si>
  <si>
    <t>"mlít-001"</t>
  </si>
  <si>
    <t>"mlít-002"</t>
  </si>
  <si>
    <t>"mlčet-001"</t>
  </si>
  <si>
    <t>"mlžit-001"</t>
  </si>
  <si>
    <t>"mnout-001"</t>
  </si>
  <si>
    <t>"množit-001"</t>
  </si>
  <si>
    <t>"množit-se-001"</t>
  </si>
  <si>
    <t>ACT-&gt;ARG0/4,ARG1/11</t>
  </si>
  <si>
    <t>"mobilizovat-001"</t>
  </si>
  <si>
    <t>"mobilizovat-002"</t>
  </si>
  <si>
    <t>"moci-001"</t>
  </si>
  <si>
    <t>ACT-&gt;ARG0/598</t>
  </si>
  <si>
    <t>PAT-&gt;ARG1/623</t>
  </si>
  <si>
    <t>"moci-002"</t>
  </si>
  <si>
    <t>"moci-003"</t>
  </si>
  <si>
    <t>"moci-004"</t>
  </si>
  <si>
    <t>"moci-si-001"</t>
  </si>
  <si>
    <t>"modelovat-001"</t>
  </si>
  <si>
    <t>"modernizovat-001"</t>
  </si>
  <si>
    <t>ACT-&gt;ARG0/5,ARG1/1</t>
  </si>
  <si>
    <t>PAT-&gt;ARG1/25</t>
  </si>
  <si>
    <t>"moderovat-001"</t>
  </si>
  <si>
    <t>"modifikovat-001"</t>
  </si>
  <si>
    <t>"modlit-se-001"</t>
  </si>
  <si>
    <t>"modulovat-001"</t>
  </si>
  <si>
    <t>"monitorovat-001"</t>
  </si>
  <si>
    <t>PAT-&gt;ARG1/77,ARG2/1</t>
  </si>
  <si>
    <t>PAT-&gt;ARG1/50,ARG2/1</t>
  </si>
  <si>
    <t>"monopolizovat-001"</t>
  </si>
  <si>
    <t>"montovat-001"</t>
  </si>
  <si>
    <t>PAT-&gt;ARG1/230</t>
  </si>
  <si>
    <t>ORIG-&gt;ARG1/1,ARG2/9</t>
  </si>
  <si>
    <t>"monumentalizovat-001"</t>
  </si>
  <si>
    <t>"mordovat-001"</t>
  </si>
  <si>
    <t>"motat-se-001"</t>
  </si>
  <si>
    <t>"motat-se-002"</t>
  </si>
  <si>
    <t>"motat-se-003"</t>
  </si>
  <si>
    <t>"motivovat-001"</t>
  </si>
  <si>
    <t>"motivovat-002"</t>
  </si>
  <si>
    <t>ACT-&gt;ARG0/183</t>
  </si>
  <si>
    <t>ADDR-&gt;ARG0/113,ARG1/274</t>
  </si>
  <si>
    <t>?PAT: k+3; do+2; na+6; .f; ↓aby</t>
  </si>
  <si>
    <t>"močit-001"</t>
  </si>
  <si>
    <t>"mrazit-001"</t>
  </si>
  <si>
    <t>"mračit-se-001"</t>
  </si>
  <si>
    <t>"mračit-se-002"</t>
  </si>
  <si>
    <t>"mrkat-001"</t>
  </si>
  <si>
    <t>"mrknout-001"</t>
  </si>
  <si>
    <t>"--mrknout-002"</t>
  </si>
  <si>
    <t>"mrskat-se-001"</t>
  </si>
  <si>
    <t>"mrzet-001"</t>
  </si>
  <si>
    <t>"mrznout-001"</t>
  </si>
  <si>
    <t>"mrznout-002"</t>
  </si>
  <si>
    <t>"mrštit-001"</t>
  </si>
  <si>
    <t>"mstít-se-001"</t>
  </si>
  <si>
    <t>PAT: 3; na+6</t>
  </si>
  <si>
    <t>"--muknout-001"</t>
  </si>
  <si>
    <t>"muknout-002"</t>
  </si>
  <si>
    <t>"mumlat-si-001"</t>
  </si>
  <si>
    <t>"muset-001"</t>
  </si>
  <si>
    <t>"muset-002"</t>
  </si>
  <si>
    <t>"mučit-001"</t>
  </si>
  <si>
    <t>"mydlit-001"</t>
  </si>
  <si>
    <t>"mydlit-002"</t>
  </si>
  <si>
    <t>"myslet-001"</t>
  </si>
  <si>
    <t>ACT-&gt;ARG0/12119,ARG1/3138,ARG2/296</t>
  </si>
  <si>
    <t>MANN-&gt;ARG0/2,ARG1/10613,ARG2/3453</t>
  </si>
  <si>
    <t>"myslet-002"</t>
  </si>
  <si>
    <t>ACT-&gt;ARG0/483,ARG1/5</t>
  </si>
  <si>
    <t>PAT-&gt;ARG1/471,ARG2/47</t>
  </si>
  <si>
    <t>"myslet-003"</t>
  </si>
  <si>
    <t>EFF: 4; ↓že; ↓jestli; .s; ↓c</t>
  </si>
  <si>
    <t>ACT-&gt;ARG0/837,ARG1/8</t>
  </si>
  <si>
    <t>EFF-&gt;ARG1/889,ARG2/2</t>
  </si>
  <si>
    <t>"myslet-004"</t>
  </si>
  <si>
    <t>EFF: 4; ↓že; ↓c; ↓jestli</t>
  </si>
  <si>
    <t>?PAT: 7; pod+7</t>
  </si>
  <si>
    <t>ACT-&gt;ARG0/626,ARG1/5</t>
  </si>
  <si>
    <t>EFF-&gt;ARG1/679,ARG2/1</t>
  </si>
  <si>
    <t>"myslet-005"</t>
  </si>
  <si>
    <t>"myslet-006"</t>
  </si>
  <si>
    <t>"myslet-si-001"</t>
  </si>
  <si>
    <t>ACT-&gt;ARG0/446,ARG1/5</t>
  </si>
  <si>
    <t>PAT-&gt;ARG1/465,ARG2/1</t>
  </si>
  <si>
    <t>"myslet-si-002"</t>
  </si>
  <si>
    <t>ACT-&gt;ARG0/1365,ARG1/37</t>
  </si>
  <si>
    <t>EFF: 4; ↓že; ↓zda; .s; ↓c</t>
  </si>
  <si>
    <t>EFF-&gt;ARG1/1562,ARG2/10</t>
  </si>
  <si>
    <t>PAT-&gt;ARG1/18,ARG2/50</t>
  </si>
  <si>
    <t>"myslet-si-003"</t>
  </si>
  <si>
    <t>"myslit-001"</t>
  </si>
  <si>
    <t>"myslit-002"</t>
  </si>
  <si>
    <t>"myslit-003"</t>
  </si>
  <si>
    <t>EFF: 4; ↓že; .s; ↓c</t>
  </si>
  <si>
    <t>"myslit-004"</t>
  </si>
  <si>
    <t>EFF: 4; ↓že; ↓c</t>
  </si>
  <si>
    <t>"myslit-005"</t>
  </si>
  <si>
    <t>"myslit-006"</t>
  </si>
  <si>
    <t>"myslit-si-001"</t>
  </si>
  <si>
    <t>"myslit-si-002"</t>
  </si>
  <si>
    <t>"myslit-si-003"</t>
  </si>
  <si>
    <t>"máchat-001"</t>
  </si>
  <si>
    <t>"máchat-002"</t>
  </si>
  <si>
    <t>"máchat-se-001"</t>
  </si>
  <si>
    <t>"máchnout-001"</t>
  </si>
  <si>
    <t>"mást-001"</t>
  </si>
  <si>
    <t>PAT-&gt;ARG1/6,ARG2/2</t>
  </si>
  <si>
    <t>"mávat-001"</t>
  </si>
  <si>
    <t>?ADDR: na+4; 3</t>
  </si>
  <si>
    <t>ADDR-&gt;ARG2/7</t>
  </si>
  <si>
    <t>"mávat-002"</t>
  </si>
  <si>
    <t>"mávnout-001"</t>
  </si>
  <si>
    <t>?ADDR: 3; na+4</t>
  </si>
  <si>
    <t>ADDR-&gt;ARG1/12</t>
  </si>
  <si>
    <t>"máčet-001"</t>
  </si>
  <si>
    <t>"mést-001"</t>
  </si>
  <si>
    <t>"míchat-001"</t>
  </si>
  <si>
    <t>"míchat-002"</t>
  </si>
  <si>
    <t>"míchat-003"</t>
  </si>
  <si>
    <t>EFF-&gt;ARG0/4</t>
  </si>
  <si>
    <t>"míchat-004"</t>
  </si>
  <si>
    <t>"míchat-005"</t>
  </si>
  <si>
    <t>PAT: 4; 7; s+7</t>
  </si>
  <si>
    <t>"míchat-006"</t>
  </si>
  <si>
    <t>"míchat-007"</t>
  </si>
  <si>
    <t>DPHR: pátý:NS4,přes-1[devátý:NS4]</t>
  </si>
  <si>
    <t>"míchat-se-001"</t>
  </si>
  <si>
    <t>"míchat-se-002"</t>
  </si>
  <si>
    <t>"míhat-se-001"</t>
  </si>
  <si>
    <t>"míjet-001"</t>
  </si>
  <si>
    <t>"míjet-002"</t>
  </si>
  <si>
    <t>"míjet-003"</t>
  </si>
  <si>
    <t>"míjet-se-001"</t>
  </si>
  <si>
    <t>"--míjet-se-002"</t>
  </si>
  <si>
    <t>"mínit-001"</t>
  </si>
  <si>
    <t>ACT-&gt;ARG0/265</t>
  </si>
  <si>
    <t>PAT-&gt;ARG1/105,ARG2/4</t>
  </si>
  <si>
    <t>EFF: .a4[{jako,jakožto}:/AuxY]</t>
  </si>
  <si>
    <t>EFF-&gt;ARG1/214</t>
  </si>
  <si>
    <t>"mínit-002"</t>
  </si>
  <si>
    <t>PAT-&gt;ARG0/2,ARG1/30,ARG2/1</t>
  </si>
  <si>
    <t>MANN-&gt;ARG1/13</t>
  </si>
  <si>
    <t>CPR-&gt;ARG1/1,ARG2/1</t>
  </si>
  <si>
    <t>"mínit-003"</t>
  </si>
  <si>
    <t>ACT-&gt;ARG0/733,ARG1/1</t>
  </si>
  <si>
    <t>PAT-&gt;ARG1/844,ARG2/4</t>
  </si>
  <si>
    <t>"mínit-004"</t>
  </si>
  <si>
    <t>EFF-&gt;ARG1/58</t>
  </si>
  <si>
    <t>"mínit-005"</t>
  </si>
  <si>
    <t>PAT-&gt;ARG0/180</t>
  </si>
  <si>
    <t>"mínit-006"</t>
  </si>
  <si>
    <t>ACT-&gt;ARG0/85</t>
  </si>
  <si>
    <t>EFF: k+3; na+4</t>
  </si>
  <si>
    <t>EFF-&gt;ARG1/105,ARG2/4</t>
  </si>
  <si>
    <t>"mírnit-001"</t>
  </si>
  <si>
    <t>ACT-&gt;ARG0/29,ARG1/1</t>
  </si>
  <si>
    <t>PAT-&gt;ARG1/75</t>
  </si>
  <si>
    <t>"mírnit-se-001"</t>
  </si>
  <si>
    <t>"mírnit-se-002"</t>
  </si>
  <si>
    <t>"mísit-001"</t>
  </si>
  <si>
    <t>"mísit-002"</t>
  </si>
  <si>
    <t>"mísit-se-001"</t>
  </si>
  <si>
    <t>"mísit-se-002"</t>
  </si>
  <si>
    <t>"mít-001"</t>
  </si>
  <si>
    <t>"mít-002"</t>
  </si>
  <si>
    <t>ACT-&gt;ARG0/4429,ARG1/3520,ARG2/299</t>
  </si>
  <si>
    <t>PAT-&gt;ARG0/3,ARG1/5551,ARG2/3823,ARG3/1,ARG4/1</t>
  </si>
  <si>
    <t>ORIG-&gt;ARG1/3,ARG2/35</t>
  </si>
  <si>
    <t>"mít-003"</t>
  </si>
  <si>
    <t>ACT-&gt;ARG0/96,ARG1/47,ARG2/1</t>
  </si>
  <si>
    <t>PAT-&gt;ARG1/261,ARG2/3584</t>
  </si>
  <si>
    <t>EFF-&gt;ARG1/3102,ARG2/296</t>
  </si>
  <si>
    <t>"mít-004"</t>
  </si>
  <si>
    <t>EFF: za+4; jako[.4]</t>
  </si>
  <si>
    <t>"mít-005"</t>
  </si>
  <si>
    <t>EFF: 4; 7; zdarma; zadarmo</t>
  </si>
  <si>
    <t>ACT-&gt;ARG0/3098,ARG1/148,ARG2/1</t>
  </si>
  <si>
    <t>PAT-&gt;ARG0/3,ARG1/5449,ARG2/296</t>
  </si>
  <si>
    <t>EFF-&gt;ARG1/1108,ARG2/3592,ARG4/1</t>
  </si>
  <si>
    <t>"mít-006"</t>
  </si>
  <si>
    <t>ALT-LOC: =</t>
  </si>
  <si>
    <t>ACT-&gt;ARG0/3056,ARG1/3124,ARG2/296</t>
  </si>
  <si>
    <t>PAT-&gt;ARG0/1,ARG1/3648,ARG2/3454</t>
  </si>
  <si>
    <t>LOC-&gt;ARG1/94,ARG2/279</t>
  </si>
  <si>
    <t>"mít-007"</t>
  </si>
  <si>
    <t>ACT-&gt;ARG0/3397,ARG1/21</t>
  </si>
  <si>
    <t>PAT-&gt;ARG0/1,ARG1/3844,ARG2/3</t>
  </si>
  <si>
    <t>LOC-&gt;ARG1/4,ARG2/282</t>
  </si>
  <si>
    <t>"mít-008"</t>
  </si>
  <si>
    <t>ACT-&gt;ARG0/5986,ARG1/3953,ARG2/729,ARG3/1</t>
  </si>
  <si>
    <t>PAT-&gt;ARG0/3,ARG1/8103,ARG2/4167,ARG4/1</t>
  </si>
  <si>
    <t>"mít-009"</t>
  </si>
  <si>
    <t>ACT-&gt;ARG0/3045,ARG1/3424,ARG2/299</t>
  </si>
  <si>
    <t>PAT-&gt;ARG0/4,ARG1/4006,ARG2/3770,ARG4/1</t>
  </si>
  <si>
    <t>"mít-010"</t>
  </si>
  <si>
    <t>ACT-&gt;ARG0/2295,ARG1/19</t>
  </si>
  <si>
    <t>PAT: .f; ↓c</t>
  </si>
  <si>
    <t>PAT-&gt;ARG0/1,ARG1/2831</t>
  </si>
  <si>
    <t>"mít-011"</t>
  </si>
  <si>
    <t>"mít-012"</t>
  </si>
  <si>
    <t>"mít-013"</t>
  </si>
  <si>
    <t>PAT: před+7; po+6</t>
  </si>
  <si>
    <t>"mít-014"</t>
  </si>
  <si>
    <t>ACT-&gt;ARG0/2154,ARG1/3401,ARG2/299</t>
  </si>
  <si>
    <t>DIR3-&gt;ARG0/1,ARG1/2258,ARG2/279</t>
  </si>
  <si>
    <t>EXT-&gt;ARG1/121,ARG2/3451</t>
  </si>
  <si>
    <t>"mít-015"</t>
  </si>
  <si>
    <t>"mít-016"</t>
  </si>
  <si>
    <t>CPHR: {podpora,pověření,...}.4</t>
  </si>
  <si>
    <t>"mít-017"</t>
  </si>
  <si>
    <t>CPHR: {důvěra,privilegium,respekt,úcta,zastání,...}.4</t>
  </si>
  <si>
    <t>"mít-018"</t>
  </si>
  <si>
    <t>ACT: 1; .f; ↓že; ↓aby</t>
  </si>
  <si>
    <t>ACT-&gt;ARG0/2270,ARG1/3121,ARG2/307</t>
  </si>
  <si>
    <t>CPHR: {cena-1,smysl,význam,...}.4</t>
  </si>
  <si>
    <t>CPHR-&gt;ARG0/1,ARG1/2909,ARG2/3451</t>
  </si>
  <si>
    <t>"mít-019"</t>
  </si>
  <si>
    <t>ACT-&gt;ARG0/2342,ARG1/3124,ARG2/385</t>
  </si>
  <si>
    <t>CPHR: {důsledek,následek,...}.4</t>
  </si>
  <si>
    <t>CPHR-&gt;ARG0/3,ARG1/2952,ARG2/3454</t>
  </si>
  <si>
    <t>"mít-020"</t>
  </si>
  <si>
    <t>CPHR: {dohled,dozor,...}.4</t>
  </si>
  <si>
    <t>"mít-021"</t>
  </si>
  <si>
    <t>CPHR: {důvod,motivace,opodstatnění,podklad,prostor,příležitost,uplatnění,záminka,...}.4</t>
  </si>
  <si>
    <t>ACT-&gt;ARG0/2255,ARG1/19</t>
  </si>
  <si>
    <t>CPHR-&gt;ARG0/1,ARG1/2751</t>
  </si>
  <si>
    <t>"mít-022"</t>
  </si>
  <si>
    <t>CPHR: {námitka,něco,nic,předsudek,stížnost,výhrada,...}.4; {námitka,něco,nic,předsudek,stížnost,výhrada,...}.2</t>
  </si>
  <si>
    <t>ACT-&gt;ARG0/2323,ARG1/21</t>
  </si>
  <si>
    <t>CPHR-&gt;ARG0/1,ARG1/2392,ARG2/52</t>
  </si>
  <si>
    <t>ACT-&gt;ARG0/2229,ARG1/19</t>
  </si>
  <si>
    <t>CPHR-&gt;ARG0/1,ARG1/2321</t>
  </si>
  <si>
    <t>"mít-023"</t>
  </si>
  <si>
    <t>ACT-&gt;ARG1/60</t>
  </si>
  <si>
    <t>CPHR: {převaha,...}.4</t>
  </si>
  <si>
    <t>CPHR-&gt;ARG0/51</t>
  </si>
  <si>
    <t>"mít-024"</t>
  </si>
  <si>
    <t>CPHR: {láska,poměr,přátelství,sblížení,víra,vztah,...}.4</t>
  </si>
  <si>
    <t>ACT-&gt;ARG0/2154,ARG1/3122,ARG2/296</t>
  </si>
  <si>
    <t>CPHR-&gt;ARG0/1,ARG1/2377,ARG2/3452</t>
  </si>
  <si>
    <t>CPHR-&gt;ARG1/5</t>
  </si>
  <si>
    <t>"mít-025"</t>
  </si>
  <si>
    <t>CPHR: {nadání,zájem,...}.4</t>
  </si>
  <si>
    <t>ACT-&gt;ARG0/2958,ARG1/3522,ARG2/296</t>
  </si>
  <si>
    <t>CPHR-&gt;ARG0/1,ARG1/3217,ARG2/3451</t>
  </si>
  <si>
    <t>"mít-026"</t>
  </si>
  <si>
    <t>CPHR: {garance,krytí,pojištění,splatnost,záruka,...}.4</t>
  </si>
  <si>
    <t>"mít-027"</t>
  </si>
  <si>
    <t>CPHR: {aspekt,...}.4</t>
  </si>
  <si>
    <t>ACT-&gt;ARG0/2154,ARG1/27</t>
  </si>
  <si>
    <t>"mít-028"</t>
  </si>
  <si>
    <t>CPHR: {ambice,cíl,čas,čest,dovednost,chování,chuť,investice,kapacita,komplex,mluva,monopol,mechanismus,motivace,možnost,naděje,odlišení,odvaha,oprávnění,perspektiva,pocit,pochybnost,ponětí,potenciál,potřeba,povědomí,pověst,povinnost,poznatek,právo,pravomoc,představa,přesvědčení,přístup,řešení,sen,slabina,schopnost,síla,sklon,snaha,šance,touha,tréma,tušení,úkol,vyhlídka,záměr,závazek,zastoupení,znalost,...}.4; zapotřebí</t>
  </si>
  <si>
    <t>ACT-&gt;ARG0/2267,ARG1/3121,ARG2/296</t>
  </si>
  <si>
    <t>CPHR-&gt;ARG0/1,ARG1/2893,ARG2/3451</t>
  </si>
  <si>
    <t>ACT-&gt;ARG0/2154,ARG1/3121,ARG2/296</t>
  </si>
  <si>
    <t>CPHR-&gt;ARG0/1,ARG1/2377,ARG2/3451</t>
  </si>
  <si>
    <t>CPHR-&gt;ARG0/1,ARG1/2492,ARG2/3451</t>
  </si>
  <si>
    <t>ACT-&gt;ARG0/2835,ARG1/3144,ARG2/296,ARGm-MNR/2</t>
  </si>
  <si>
    <t>CPHR-&gt;ARG0/2,ARG1/3643,ARG2/3466,ARG4/1</t>
  </si>
  <si>
    <t>"mít-029"</t>
  </si>
  <si>
    <t>CPHR: {bonita,cena,deficit,dluh,hodnota,kurz,likvidita,míra,náklad,obrat,ohodnocení,podíl,prospěch,přebytek,příděl,příjem,rezerva,sazba,škoda,tržba,výdaj,výdělek,výnos,zisk,ztráta,zvýšení}.4</t>
  </si>
  <si>
    <t>ACT-&gt;ARG0/3250,ARG1/3134,ARG2/296,ARG3/1</t>
  </si>
  <si>
    <t>CPHR-&gt;ARG0/1,ARG1/3868,ARG2/3451,ARG4/1</t>
  </si>
  <si>
    <t>ACT-&gt;ARG0/58,ARG1/2</t>
  </si>
  <si>
    <t>CPHR-&gt;ARG0/2,ARG1/71</t>
  </si>
  <si>
    <t>CPHR-&gt;ARG1/623</t>
  </si>
  <si>
    <t>ACT-&gt;ARG0/2212,ARG1/21</t>
  </si>
  <si>
    <t>CPHR-&gt;ARG0/3,ARG1/2327</t>
  </si>
  <si>
    <t>ACT-&gt;ARG0/2897,ARG1/3135,ARG2/296</t>
  </si>
  <si>
    <t>CPHR-&gt;ARG0/1,ARG1/3415,ARG2/3451,ARG4/1</t>
  </si>
  <si>
    <t>"mít-030"</t>
  </si>
  <si>
    <t>CPHR: {dohoda,kamarádšoft,kontakt,setkání,sešlost,schůzka,smlouva,spojení,spolupráce,styk,sraz,známost,...}.4</t>
  </si>
  <si>
    <t>"mít-031"</t>
  </si>
  <si>
    <t>CPHR: {dojem,fobie,hrůza,legrace,nálada,obava,potěšení,psina,radost,starost,strach,vjem,vzpomínka,vztek,zábava,zášť,zážitek,...}.4</t>
  </si>
  <si>
    <t>ACT-&gt;ARG0/2314,ARG1/3150,ARG2/296</t>
  </si>
  <si>
    <t>CPHR-&gt;ARG0/1,ARG1/2945,ARG2/3483</t>
  </si>
  <si>
    <t>ACT-&gt;ARG0/2516,ARG1/3127,ARG2/296</t>
  </si>
  <si>
    <t>CPHR-&gt;ARG0/1,ARG1/2833,ARG2/3451,ARG4/1</t>
  </si>
  <si>
    <t>ACT-&gt;ARG1/220,ARG2/1</t>
  </si>
  <si>
    <t>CPHR-&gt;ARG1/1,ARG2/232</t>
  </si>
  <si>
    <t>"mít-032"</t>
  </si>
  <si>
    <t>CPHR: {dopad,efekt,nárok,platnost,požadavek,účinek,vliv,...}.4</t>
  </si>
  <si>
    <t>ACT-&gt;ARG0/164,ARG1/3102,ARG2/296</t>
  </si>
  <si>
    <t>CPHR-&gt;ARG1/311,ARG2/3451</t>
  </si>
  <si>
    <t>ACT-&gt;ARG0/2801,ARG1/3127,ARG2/296</t>
  </si>
  <si>
    <t>CPHR-&gt;ARG0/1,ARG1/3612,ARG2/3451,ARG4/1</t>
  </si>
  <si>
    <t>ACT-&gt;ARG0/2352,ARG1/286</t>
  </si>
  <si>
    <t>CPHR-&gt;ARG0/1,ARG1/2700</t>
  </si>
  <si>
    <t>"mít-033"</t>
  </si>
  <si>
    <t>CPHR: {důvěra,náskok,nedůvěra,porozumění,priorita,přednost,respekt,...}.4</t>
  </si>
  <si>
    <t>ACT-&gt;ARG0/2192,ARG1/3401,ARG2/299</t>
  </si>
  <si>
    <t>CPHR-&gt;ARG0/1,ARG1/2434,ARG2/3730</t>
  </si>
  <si>
    <t>ACT-&gt;ARG0/2318,ARG1/3401,ARG2/299</t>
  </si>
  <si>
    <t>CPHR-&gt;ARG0/1,ARG1/2566,ARG2/3730</t>
  </si>
  <si>
    <t>"mít-034"</t>
  </si>
  <si>
    <t>CPHR: {funkce,odpovědnost,služba,zodpovědnost,způsobilost,...}.4</t>
  </si>
  <si>
    <t>ACT-&gt;ARG0/2334,ARG1/3123,ARG2/296</t>
  </si>
  <si>
    <t>CPHR-&gt;ARG0/1,ARG1/2572,ARG2/3451</t>
  </si>
  <si>
    <t>"mít-035"</t>
  </si>
  <si>
    <t>CPHR: {hovor,...}.4</t>
  </si>
  <si>
    <t>"mít-036"</t>
  </si>
  <si>
    <t>CPHR: {jistota,volba,volnost,výběr,změna,...}.4</t>
  </si>
  <si>
    <t>ACT-&gt;ARG0/113</t>
  </si>
  <si>
    <t>CPHR-&gt;ARG1/115</t>
  </si>
  <si>
    <t>"mít-037"</t>
  </si>
  <si>
    <t>CPHR: {kontrola,...}.4</t>
  </si>
  <si>
    <t>"mít-038"</t>
  </si>
  <si>
    <t>CPHR: {dilema,malér,megaproblém,nepříjemnost,obtíž,potíž,problém,průser,průšvih,pře,spor,střet,těžkost,trampota,...}.4</t>
  </si>
  <si>
    <t>ACT-&gt;ARG0/2359,ARG1/19</t>
  </si>
  <si>
    <t>CPHR-&gt;ARG0/1,ARG1/2452</t>
  </si>
  <si>
    <t>ACT-&gt;ARG0/2380,ARG1/3221,ARG2/296,ARG3/1</t>
  </si>
  <si>
    <t>CPHR-&gt;ARG0/1,ARG1/2597,ARG2/3542</t>
  </si>
  <si>
    <t>ACT-&gt;ARG0/2171,ARG1/19</t>
  </si>
  <si>
    <t>CPHR-&gt;ARG0/1,ARG1/2272</t>
  </si>
  <si>
    <t>"mít-039"</t>
  </si>
  <si>
    <t>CPHR: {mínění,názor,pohled,postoj,...}.4</t>
  </si>
  <si>
    <t>ACT-&gt;ARG0/2206,ARG1/20</t>
  </si>
  <si>
    <t>CPHR-&gt;ARG0/1,ARG1/2317</t>
  </si>
  <si>
    <t>ACT-&gt;ARG0/2420,ARG1/52</t>
  </si>
  <si>
    <t>CPHR-&gt;ARG0/1,ARG1/2480,ARG2/34</t>
  </si>
  <si>
    <t>"mít-040"</t>
  </si>
  <si>
    <t>CPHR: {kvalifikaci,moc,smůla,štěstí,úděl,úspěch,výcvik,vzdělání,...}.4; 2</t>
  </si>
  <si>
    <t>ACT-&gt;ARG0/2212,ARG1/3123,ARG2/296</t>
  </si>
  <si>
    <t>CPHR-&gt;ARG0/1,ARG1/2456,ARG2/3453</t>
  </si>
  <si>
    <t>ACT-&gt;ARG0/2154,ARG1/3220,ARG2/296</t>
  </si>
  <si>
    <t>"mít-041"</t>
  </si>
  <si>
    <t>CPHR: {dotaz,komentář,megaotázka,myšlenka,nápad,návrh,otázka,poznámka,připomínka,...}.4</t>
  </si>
  <si>
    <t>ACT-&gt;ARG0/2175,ARG1/19</t>
  </si>
  <si>
    <t>CPHR-&gt;ARG0/1,ARG1/2276</t>
  </si>
  <si>
    <t>ACT-&gt;ARG0/123,ARG1/1</t>
  </si>
  <si>
    <t>CPHR-&gt;ARG1/205</t>
  </si>
  <si>
    <t>CPHR-&gt;ARG1/65</t>
  </si>
  <si>
    <t>"mít-042"</t>
  </si>
  <si>
    <t>CPHR: {hendikep,nevýhoda,omezení,pád,výhoda,výjimka,...}.4</t>
  </si>
  <si>
    <t>ACT-&gt;ARG0/2190,ARG1/19</t>
  </si>
  <si>
    <t>CPHR-&gt;ARG0/1,ARG1/2301</t>
  </si>
  <si>
    <t>"mít-043"</t>
  </si>
  <si>
    <t>CPHR: {plán,pravděpodobnost,předpoklad,sklon,strategie,šance,tendence,...}.4</t>
  </si>
  <si>
    <t>ACT-&gt;ARG0/2357,ARG1/19</t>
  </si>
  <si>
    <t>CPHR-&gt;ARG0/1,ARG1/2499</t>
  </si>
  <si>
    <t>ACT-&gt;ARG0/2362,ARG1/118</t>
  </si>
  <si>
    <t>CPHR-&gt;ARG0/1,ARG1/2454,ARG2/91</t>
  </si>
  <si>
    <t>"mít-044"</t>
  </si>
  <si>
    <t>CPHR: {pochopení,slitování,strpení,trpělivost,...}.4</t>
  </si>
  <si>
    <t>ACT-&gt;ARG0/52,ARG1/3103,ARG2/296</t>
  </si>
  <si>
    <t>CPHR-&gt;ARG1/583,ARG2/3451</t>
  </si>
  <si>
    <t>"mít-045"</t>
  </si>
  <si>
    <t>CPHR: {podezření,...}.4</t>
  </si>
  <si>
    <t>"mít-046"</t>
  </si>
  <si>
    <t>CPHR: {alternativa,mezera,nadšení,nedostatek,podíl,přání,smysl,styl,talent,účast,uplatnění,vina,vloha,výčitka,význam,zaměření,zásluha,...}.4</t>
  </si>
  <si>
    <t>ACT-&gt;ARG0/2899,ARG1/3129,ARG2/296</t>
  </si>
  <si>
    <t>CPHR-&gt;ARG0/1,ARG1/3215,ARG2/3451,ARG4/1</t>
  </si>
  <si>
    <t>"mít-047"</t>
  </si>
  <si>
    <t>ACT-&gt;ARG0/2205,ARG1/19</t>
  </si>
  <si>
    <t>CPHR: {postoj,...}.4</t>
  </si>
  <si>
    <t>CPHR-&gt;ARG0/1,ARG1/2328</t>
  </si>
  <si>
    <t>"mít-048"</t>
  </si>
  <si>
    <t>CPHR: {přínos,...}.4</t>
  </si>
  <si>
    <t>"mít-049"</t>
  </si>
  <si>
    <t>ACT-&gt;ARG1/1,ARG2/6</t>
  </si>
  <si>
    <t>CPHR: {prospěch,užitek,...}.4</t>
  </si>
  <si>
    <t>CPHR-&gt;ARG1/7</t>
  </si>
  <si>
    <t>"mít-050"</t>
  </si>
  <si>
    <t>CPHR: {původ,...}.4</t>
  </si>
  <si>
    <t>"mít-051"</t>
  </si>
  <si>
    <t>CPHR: {rest,úkol,...}.4</t>
  </si>
  <si>
    <t>"mít-052"</t>
  </si>
  <si>
    <t>ACT-&gt;ARG0/2207,ARG1/3121,ARG2/296</t>
  </si>
  <si>
    <t>CPHR: {místo,postavení,pozice,role,úloha,...}.4</t>
  </si>
  <si>
    <t>CPHR-&gt;ARG0/1,ARG1/2447,ARG2/3451</t>
  </si>
  <si>
    <t>"mít-053"</t>
  </si>
  <si>
    <t>CPHR: {souvislost,spojitost,...}.4</t>
  </si>
  <si>
    <t>"mít-054"</t>
  </si>
  <si>
    <t>CPHR: {výsledek,...}.4</t>
  </si>
  <si>
    <t>ACT-&gt;ARG1/66</t>
  </si>
  <si>
    <t>CPHR-&gt;ARG2/62</t>
  </si>
  <si>
    <t>"mít-055"</t>
  </si>
  <si>
    <t>CPHR: {využití,...}.4</t>
  </si>
  <si>
    <t>"mít-056"</t>
  </si>
  <si>
    <t>CPHR: {zájem,záliba,...}.4</t>
  </si>
  <si>
    <t>"mít-057"</t>
  </si>
  <si>
    <t>CPHR: {zdržení,zkušenost,zpoždění,...}.4</t>
  </si>
  <si>
    <t>ACT-&gt;ARG0/2217,ARG1/19</t>
  </si>
  <si>
    <t>CPHR-&gt;ARG0/1,ARG1/2348,ARG2/1</t>
  </si>
  <si>
    <t>"mít-058"</t>
  </si>
  <si>
    <t>ACT: 1; 1</t>
  </si>
  <si>
    <t>DPHR-&gt;ARG1/115</t>
  </si>
  <si>
    <t>"mít-059"</t>
  </si>
  <si>
    <t>DPHR: za-1[zlý.NS4]</t>
  </si>
  <si>
    <t>"mít-060"</t>
  </si>
  <si>
    <t>DPHR: nic[co-1],do-1[činění.2]</t>
  </si>
  <si>
    <t>"mít-061"</t>
  </si>
  <si>
    <t>DPHR: čest.S4</t>
  </si>
  <si>
    <t>"mít-062"</t>
  </si>
  <si>
    <t>ACT-&gt;ARG0/2267,ARG1/19</t>
  </si>
  <si>
    <t>DPHR: co-5,do-1[činění.2]</t>
  </si>
  <si>
    <t>DPHR-&gt;ARG0/1,ARG1/2371</t>
  </si>
  <si>
    <t>"mít-063"</t>
  </si>
  <si>
    <t>DPHR: dost</t>
  </si>
  <si>
    <t>"mít-064"</t>
  </si>
  <si>
    <t>ACT-&gt;ARG0/2212,ARG1/19</t>
  </si>
  <si>
    <t>PAT-&gt;ARG0/1,ARG1/2411</t>
  </si>
  <si>
    <t>"mít-065"</t>
  </si>
  <si>
    <t>ACT-&gt;ARG0/9,ARG1/3102,ARG2/296</t>
  </si>
  <si>
    <t>DPHR: na-1[mysl.S6]</t>
  </si>
  <si>
    <t>PAT-&gt;ARG1/130,ARG2/3451</t>
  </si>
  <si>
    <t>"mít-066"</t>
  </si>
  <si>
    <t>ACT-&gt;ARG0/11,ARG1/1</t>
  </si>
  <si>
    <t>DPHR: na-1[paměť.6]</t>
  </si>
  <si>
    <t>DPHR-&gt;ARG1/5,ARG2/306</t>
  </si>
  <si>
    <t>PAT-&gt;ARG1/314,ARG2/3</t>
  </si>
  <si>
    <t>"mít-067"</t>
  </si>
  <si>
    <t>DPHR: na-1[program-1:S6]</t>
  </si>
  <si>
    <t>PAT: 4; .f; ↓že</t>
  </si>
  <si>
    <t>"mít-068"</t>
  </si>
  <si>
    <t>DPHR: na-1[program-1.S6]</t>
  </si>
  <si>
    <t>"mít-069"</t>
  </si>
  <si>
    <t>DPHR: na-1[starost.S4]; na-1[starost.S6]</t>
  </si>
  <si>
    <t>PAT: 4; .f; ↓že; ↓aby</t>
  </si>
  <si>
    <t>DPHR-&gt;ARG1/122,ARG2/3542</t>
  </si>
  <si>
    <t>"mít-070"</t>
  </si>
  <si>
    <t>ACT-&gt;ARG0/72,ARG1/3102,ARG2/296</t>
  </si>
  <si>
    <t>DPHR: na-1[svědomí.S6]</t>
  </si>
  <si>
    <t>"mít-071"</t>
  </si>
  <si>
    <t>DPHR: na-1[zřetel.S6]</t>
  </si>
  <si>
    <t>"mít-072"</t>
  </si>
  <si>
    <t>DPHR: po-1[krk.S4]</t>
  </si>
  <si>
    <t>"mít-073"</t>
  </si>
  <si>
    <t>DPHR: pod-1[dohled.S7]</t>
  </si>
  <si>
    <t>"mít-074"</t>
  </si>
  <si>
    <t>"mít-075"</t>
  </si>
  <si>
    <t>DPHR: rád; rád.@2; rád.@3</t>
  </si>
  <si>
    <t>PAT: 4; ↓když; ↓že; ↓c; .f</t>
  </si>
  <si>
    <t>ACT-&gt;ARG0/79,ARG1/3102,ARG2/296</t>
  </si>
  <si>
    <t>PAT-&gt;ARG1/209,ARG2/3451</t>
  </si>
  <si>
    <t>"mít-076"</t>
  </si>
  <si>
    <t>DPHR: spadeno</t>
  </si>
  <si>
    <t>"mít-077"</t>
  </si>
  <si>
    <t>"mít-078"</t>
  </si>
  <si>
    <t>DPHR: v-1[krev.S6]</t>
  </si>
  <si>
    <t>"mít-079"</t>
  </si>
  <si>
    <t>DPHR: v-1[obliba.6]</t>
  </si>
  <si>
    <t>"mít-080"</t>
  </si>
  <si>
    <t>ACT-&gt;ARG0/2963,ARG1/20</t>
  </si>
  <si>
    <t>DPHR: v-1[plán:S6]</t>
  </si>
  <si>
    <t>DPHR-&gt;ARG0/1,ARG1/2572</t>
  </si>
  <si>
    <t>PAT-&gt;ARG1/737,ARG2/5</t>
  </si>
  <si>
    <t>"mít-081"</t>
  </si>
  <si>
    <t>DPHR: v-1[povaha.S6]</t>
  </si>
  <si>
    <t>"mít-082"</t>
  </si>
  <si>
    <t>DPHR: v-1[pravomoc.S6]</t>
  </si>
  <si>
    <t>"mít-083"</t>
  </si>
  <si>
    <t>"mít-084"</t>
  </si>
  <si>
    <t>DPHR: v-1[referát:S6]</t>
  </si>
  <si>
    <t>"mít-085"</t>
  </si>
  <si>
    <t>DPHR: v-1[ruka.P6]</t>
  </si>
  <si>
    <t>"mít-086"</t>
  </si>
  <si>
    <t>DPHR: v-1[úcta.S6]</t>
  </si>
  <si>
    <t>"mít-087"</t>
  </si>
  <si>
    <t>ACT-&gt;ARG0/3353,ARG1/3121,ARG2/296</t>
  </si>
  <si>
    <t>DPHR: v-1[úmysl.S6]</t>
  </si>
  <si>
    <t>DPHR-&gt;ARG0/1,ARG1/2558,ARG2/3451</t>
  </si>
  <si>
    <t>PAT-&gt;ARG1/1140</t>
  </si>
  <si>
    <t>"mít-088"</t>
  </si>
  <si>
    <t>DPHR: v-1[užívání.6]</t>
  </si>
  <si>
    <t>"mít-089"</t>
  </si>
  <si>
    <t>DPHR: z-1[krk.S2]</t>
  </si>
  <si>
    <t>"mít-090"</t>
  </si>
  <si>
    <t>ACT-&gt;ARG0/2156,ARG1/37</t>
  </si>
  <si>
    <t>DPHR: za-1[cíl.S4]</t>
  </si>
  <si>
    <t>PAT-&gt;ARG0/1,ARG1/2269,ARG2/5</t>
  </si>
  <si>
    <t>"mít-091"</t>
  </si>
  <si>
    <t>DPHR: za-1[důsledek:S4]</t>
  </si>
  <si>
    <t>"mít-092"</t>
  </si>
  <si>
    <t>DPHR: za-1[důsledek.S4]</t>
  </si>
  <si>
    <t>"mít-093"</t>
  </si>
  <si>
    <t>ACT-&gt;ARG0/316,ARG1/87</t>
  </si>
  <si>
    <t>DPHR: za-1[následek.S4]</t>
  </si>
  <si>
    <t>PAT-&gt;ARG0/1,ARG1/422,ARG2/98</t>
  </si>
  <si>
    <t>"mít-094"</t>
  </si>
  <si>
    <t>ACT-&gt;ARG0/196</t>
  </si>
  <si>
    <t>DPHR: za-1[ten.NS4]</t>
  </si>
  <si>
    <t>"mít-095"</t>
  </si>
  <si>
    <t>DPHR: zub:P4[plný:#]</t>
  </si>
  <si>
    <t>"mít-096"</t>
  </si>
  <si>
    <t>DPHR: klíč.S4</t>
  </si>
  <si>
    <t>"mít-097"</t>
  </si>
  <si>
    <t>DPHR: na-1[krk.S6]</t>
  </si>
  <si>
    <t>"mít-098"</t>
  </si>
  <si>
    <t>DPHR: na-1[vodítko.S6]</t>
  </si>
  <si>
    <t>"mít-099"</t>
  </si>
  <si>
    <t>DPHR: před-1[se.7]</t>
  </si>
  <si>
    <t>PAT-&gt;ARG0/1,ARG1/2272</t>
  </si>
  <si>
    <t>"mít-100"</t>
  </si>
  <si>
    <t>DPHR: v-1[kapsa.S6]</t>
  </si>
  <si>
    <t>"mít-101"</t>
  </si>
  <si>
    <t>DPHR: za-1[výsledek.S4]</t>
  </si>
  <si>
    <t>"mít-102"</t>
  </si>
  <si>
    <t>DPHR: dělat.f[co-1.4]</t>
  </si>
  <si>
    <t>"mít-103"</t>
  </si>
  <si>
    <t>DPHR-&gt;ARG0/1,ARG1/2256</t>
  </si>
  <si>
    <t>"mít-104"</t>
  </si>
  <si>
    <t>DPHR: dno.S4[zlatý.#]</t>
  </si>
  <si>
    <t>"mít-105"</t>
  </si>
  <si>
    <t>DPHR: hlava:S4[těžký:#]</t>
  </si>
  <si>
    <t>"mít-106"</t>
  </si>
  <si>
    <t>DPHR: hluboko,do-1[kapsa:S2]</t>
  </si>
  <si>
    <t>"mít-107"</t>
  </si>
  <si>
    <t>DPHR: jasno-1</t>
  </si>
  <si>
    <t>"mít-108"</t>
  </si>
  <si>
    <t>DPHR: klika.S4</t>
  </si>
  <si>
    <t>"mít-109"</t>
  </si>
  <si>
    <t>DPHR: na-1[vybraný.FS4]</t>
  </si>
  <si>
    <t>"mít-110"</t>
  </si>
  <si>
    <t>DPHR: namále</t>
  </si>
  <si>
    <t>"mít-111"</t>
  </si>
  <si>
    <t>DPHR: napilno</t>
  </si>
  <si>
    <t>"mít-112"</t>
  </si>
  <si>
    <t>DPHR: navrch</t>
  </si>
  <si>
    <t>"mít-113"</t>
  </si>
  <si>
    <t>DPHR: pět-1.S4[všechen.P2],pohromadě</t>
  </si>
  <si>
    <t>"mít-114"</t>
  </si>
  <si>
    <t>DPHR: ruka.S4[šťastný.#]</t>
  </si>
  <si>
    <t>"mít-115"</t>
  </si>
  <si>
    <t>DPHR: slovo.S4</t>
  </si>
  <si>
    <t>"mít-116"</t>
  </si>
  <si>
    <t>DPHR: střecha.S4[nad-1[hlava.S7]]</t>
  </si>
  <si>
    <t>"mít-117"</t>
  </si>
  <si>
    <t>ACT-&gt;ARG0/2164,ARG1/19</t>
  </si>
  <si>
    <t>DPHR: váha.S4</t>
  </si>
  <si>
    <t>DPHR-&gt;ARG0/1,ARG1/2266</t>
  </si>
  <si>
    <t>"mít-118"</t>
  </si>
  <si>
    <t>"mít-119"</t>
  </si>
  <si>
    <t>DPHR: slovo.S4[poslední.@1$11&lt;A&gt;#]</t>
  </si>
  <si>
    <t>"mít-120"</t>
  </si>
  <si>
    <t>CPHR: {účel}.4</t>
  </si>
  <si>
    <t>"mít-121"</t>
  </si>
  <si>
    <t>ACT-&gt;ARG0/2182,ARG1/19</t>
  </si>
  <si>
    <t>DPHR: dělat:f$11&lt;11&gt;[co-1.S4]</t>
  </si>
  <si>
    <t>DPHR-&gt;ARG0/1,ARG1/2261</t>
  </si>
  <si>
    <t>"mít-122"</t>
  </si>
  <si>
    <t>DPHR: den.S4</t>
  </si>
  <si>
    <t>"mít-123"</t>
  </si>
  <si>
    <t>DPHR: háček.S4[jen-1,jeden]; háček.S4[jeden]; háček.S4</t>
  </si>
  <si>
    <t>"mít-124"</t>
  </si>
  <si>
    <t>DPHR: karta.P4[nějaký.#,v-1[ruka.P6]]</t>
  </si>
  <si>
    <t>"mít-125"</t>
  </si>
  <si>
    <t>DPHR: stránka.S4; stránka.P4</t>
  </si>
  <si>
    <t>"mít-126"</t>
  </si>
  <si>
    <t>DPHR: v-1[hrst.S6]</t>
  </si>
  <si>
    <t>"mít-127"</t>
  </si>
  <si>
    <t>DPHR: vítr.S4[v-1[záda.S6]]</t>
  </si>
  <si>
    <t>"mít-128"</t>
  </si>
  <si>
    <t>DPHR: ruka.P4[volný.#]</t>
  </si>
  <si>
    <t>PAT: k+3; pro+4</t>
  </si>
  <si>
    <t>"mít-129"</t>
  </si>
  <si>
    <t>DPHR: v-1[paty.P6]</t>
  </si>
  <si>
    <t>"mít-130"</t>
  </si>
  <si>
    <t>DPHR: žaludek.S4</t>
  </si>
  <si>
    <t>"mít-131"</t>
  </si>
  <si>
    <t>DPHR: ve-1[zvyk.S6]</t>
  </si>
  <si>
    <t>ACT-&gt;ARG0/6,ARG1/99</t>
  </si>
  <si>
    <t>DPHR-&gt;ARG1/6,ARG2/91</t>
  </si>
  <si>
    <t>"mít-132"</t>
  </si>
  <si>
    <t>DPHR: vše.NS4,pohromadě</t>
  </si>
  <si>
    <t>"mít-133"</t>
  </si>
  <si>
    <t>ACT-&gt;ARG0/2342,ARG1/19</t>
  </si>
  <si>
    <t>DPHR-&gt;ARG1/180</t>
  </si>
  <si>
    <t>"mít-134"</t>
  </si>
  <si>
    <t>DPHR: drzost.S4[ten.FS4]</t>
  </si>
  <si>
    <t>"mít-135"</t>
  </si>
  <si>
    <t>CPHR: {pokyn,...}.4</t>
  </si>
  <si>
    <t>"--mít-136"</t>
  </si>
  <si>
    <t>CPHR: {starost,strach,...}.4</t>
  </si>
  <si>
    <t>"--mít-137"</t>
  </si>
  <si>
    <t>CPHR: {sen,...}.4</t>
  </si>
  <si>
    <t>"--mít-138"</t>
  </si>
  <si>
    <t>CPHR: {ztráta,...}.4</t>
  </si>
  <si>
    <t>"--mít-139"</t>
  </si>
  <si>
    <t>CPHR: {zvýšení,...}.4</t>
  </si>
  <si>
    <t>"--mít-140"</t>
  </si>
  <si>
    <t>CPHR: {výdaj,...}.4</t>
  </si>
  <si>
    <t>"mít-141"</t>
  </si>
  <si>
    <t>"mít-142"</t>
  </si>
  <si>
    <t>DPHR: želízko.S4[svůj.#],v-1[oheň.S6]</t>
  </si>
  <si>
    <t>"mít-143"</t>
  </si>
  <si>
    <t>CPHR: {povolení,souhlas,svolení,...}.4</t>
  </si>
  <si>
    <t>"mít-144"</t>
  </si>
  <si>
    <t>DPHR: ánung.S4</t>
  </si>
  <si>
    <t>"mít-145"</t>
  </si>
  <si>
    <t>DPHR: grády.P4</t>
  </si>
  <si>
    <t>"mít-146"</t>
  </si>
  <si>
    <t>"mít-147"</t>
  </si>
  <si>
    <t>"mít-148"</t>
  </si>
  <si>
    <t>DPHR: chyba.S4</t>
  </si>
  <si>
    <t>"mít-149"</t>
  </si>
  <si>
    <t>DPHR: stání.S4</t>
  </si>
  <si>
    <t>"mít-150"</t>
  </si>
  <si>
    <t>DPHR: v-1[malíku.S]</t>
  </si>
  <si>
    <t>"mít-151"</t>
  </si>
  <si>
    <t>DPHR: v-1[ruka.S6]</t>
  </si>
  <si>
    <t>"mít-152"</t>
  </si>
  <si>
    <t>DPHR: hlavu.S4[svůj-1.#]</t>
  </si>
  <si>
    <t>"mít-153"</t>
  </si>
  <si>
    <t>DPHR: ten.NS4,tak-3</t>
  </si>
  <si>
    <t>"mít-154"</t>
  </si>
  <si>
    <t>DPHR: vysoko-2,do-1[žlab.S2]</t>
  </si>
  <si>
    <t>"mít-155"</t>
  </si>
  <si>
    <t>DPHR: zub.P4[plný.#]</t>
  </si>
  <si>
    <t>"mít-156"</t>
  </si>
  <si>
    <t>DPHR: zapotřebí</t>
  </si>
  <si>
    <t>"mít-157"</t>
  </si>
  <si>
    <t>DPHR: k-1[se.S3]</t>
  </si>
  <si>
    <t>"mít-158"</t>
  </si>
  <si>
    <t>DPHR: něco,do-1[se.S2]</t>
  </si>
  <si>
    <t>"mít-159"</t>
  </si>
  <si>
    <t>DPHR: koníček.P4</t>
  </si>
  <si>
    <t>"mít-160"</t>
  </si>
  <si>
    <t>CPHR: {sklon,spád,...}.4</t>
  </si>
  <si>
    <t>"mít-161"</t>
  </si>
  <si>
    <t>DPHR: v-1[láska.S6]</t>
  </si>
  <si>
    <t>"--mít-162"</t>
  </si>
  <si>
    <t>"mít-163"</t>
  </si>
  <si>
    <t>DPHR: pod-1[palec.S7]</t>
  </si>
  <si>
    <t>"--mít-164"</t>
  </si>
  <si>
    <t>"mít-165"</t>
  </si>
  <si>
    <t>DPHR: okno.S4</t>
  </si>
  <si>
    <t>"mít-166"</t>
  </si>
  <si>
    <t>CPHR: {řeč,slovo,proslov}.4</t>
  </si>
  <si>
    <t>"mít-167"</t>
  </si>
  <si>
    <t>"mít-168"</t>
  </si>
  <si>
    <t>DPHR: nerv.P4</t>
  </si>
  <si>
    <t>"mít-169"</t>
  </si>
  <si>
    <t>DPHR: a-1[rub.S4,líc,S4]</t>
  </si>
  <si>
    <t>"mít-170"</t>
  </si>
  <si>
    <t>DPHR: k-1[ruka.S3]</t>
  </si>
  <si>
    <t>"mít-171"</t>
  </si>
  <si>
    <t>DPHR: na-1[práce.S4]</t>
  </si>
  <si>
    <t>"mít-172"</t>
  </si>
  <si>
    <t>DPHR: na-1[bedra.P6[svůj-1.#]]</t>
  </si>
  <si>
    <t>"mít-173"</t>
  </si>
  <si>
    <t>"--mít-174"</t>
  </si>
  <si>
    <t>CPHR: {cíl,čas,čest,chuť,mechanismus,možnost,naděje,odvaha,oprávnění,pocit,pochybnost,ponětí,potenciál,potřeba,povědomí,povinnost,právo,pravomoc,představa,přesvědčení,sen,schopnost,síla,sklon,snaha,šance,touha,tušení,úkol,vyhlídka,záměr,závazek,...}.4; zapotřebí</t>
  </si>
  <si>
    <t>"mít-175"</t>
  </si>
  <si>
    <t>DPHR: pod-1[kontrola.S7]</t>
  </si>
  <si>
    <t>"mít-176"</t>
  </si>
  <si>
    <t>"mít-177"</t>
  </si>
  <si>
    <t>DPHR: ten.NS4,z-1[ruka.S2]</t>
  </si>
  <si>
    <t>"mít-178"</t>
  </si>
  <si>
    <t xml:space="preserve">THL: </t>
  </si>
  <si>
    <t>"mít-179"</t>
  </si>
  <si>
    <t>"mít-180"</t>
  </si>
  <si>
    <t>DPHR: pára.S4</t>
  </si>
  <si>
    <t>"mít-181"</t>
  </si>
  <si>
    <t>DPHR: pamatovák.S4</t>
  </si>
  <si>
    <t>"mít-182"</t>
  </si>
  <si>
    <t>DPHR: na-1[povel.S4]</t>
  </si>
  <si>
    <t>"mít-183"</t>
  </si>
  <si>
    <t>DPHR: delat.f[co-1.4]</t>
  </si>
  <si>
    <t>"mít-184"</t>
  </si>
  <si>
    <t>DPHR: v-1[hlava.6]</t>
  </si>
  <si>
    <t>"mít-185"</t>
  </si>
  <si>
    <t>"mít-186"</t>
  </si>
  <si>
    <t>"mít-187"</t>
  </si>
  <si>
    <t>"mít-188"</t>
  </si>
  <si>
    <t>"mít-189"</t>
  </si>
  <si>
    <t>CPHR: {image,podoba,pověst}.4</t>
  </si>
  <si>
    <t>"mít-se-001"</t>
  </si>
  <si>
    <t>"mít-se-002"</t>
  </si>
  <si>
    <t>ACT-&gt;ARG0/75,ARGm-MNR/2</t>
  </si>
  <si>
    <t>"mít-se-003"</t>
  </si>
  <si>
    <t>DPHR: na-1[pozor.S6]</t>
  </si>
  <si>
    <t>PAT: před+7</t>
  </si>
  <si>
    <t>"mít-se-004"</t>
  </si>
  <si>
    <t>DPHR: k-1[svět.S3]</t>
  </si>
  <si>
    <t>"mít-se-005"</t>
  </si>
  <si>
    <t>ACT: s+7</t>
  </si>
  <si>
    <t>"mít-se-006"</t>
  </si>
  <si>
    <t>"mít-se-007"</t>
  </si>
  <si>
    <t>DPHR: rád; raději</t>
  </si>
  <si>
    <t>"mívat-001"</t>
  </si>
  <si>
    <t>"mívat-002"</t>
  </si>
  <si>
    <t>"mívat-003"</t>
  </si>
  <si>
    <t>"mívat-004"</t>
  </si>
  <si>
    <t>CPHR: {čas,čest,hodnota,chuť,možnost,naděje,potřeba,povinnost,povolení,právo,pravomoc,schopnost,snaha,šance,...}.4</t>
  </si>
  <si>
    <t>CPHR-&gt;ARG2/71</t>
  </si>
  <si>
    <t>"mívat-005"</t>
  </si>
  <si>
    <t>CPHR: {dopad,vliv,...}.4</t>
  </si>
  <si>
    <t>"mívat-006"</t>
  </si>
  <si>
    <t>CPHR: {důvěra,vztah,...}.4</t>
  </si>
  <si>
    <t>"mívat-007"</t>
  </si>
  <si>
    <t>CPHR: {důvod,motivace,příležitost,...}.4</t>
  </si>
  <si>
    <t>"mívat-008"</t>
  </si>
  <si>
    <t>CPHR: {náskok,přednost,respekt,...}.4</t>
  </si>
  <si>
    <t>"mívat-009"</t>
  </si>
  <si>
    <t>CPHR: {obava,potěšení,strach,...}.4</t>
  </si>
  <si>
    <t>"mívat-010"</t>
  </si>
  <si>
    <t>CPHR: {pocit,představa,vzpomínka,...}.4</t>
  </si>
  <si>
    <t>"mívat-011"</t>
  </si>
  <si>
    <t>CPHR: {podíl,zásluha,...}.4</t>
  </si>
  <si>
    <t>"mívat-012"</t>
  </si>
  <si>
    <t>CPHR: {porucha,potíž,problém,...}.4</t>
  </si>
  <si>
    <t>"mívat-013"</t>
  </si>
  <si>
    <t>CPHR: {poznámka,připomínka,...}.4</t>
  </si>
  <si>
    <t>"mívat-014"</t>
  </si>
  <si>
    <t>CPHR: {předpoklad,sklon,tendence,...}.4</t>
  </si>
  <si>
    <t>"mívat-015"</t>
  </si>
  <si>
    <t>CPHR: {zájem,...}.4</t>
  </si>
  <si>
    <t>"mívat-016"</t>
  </si>
  <si>
    <t>"mívat-017"</t>
  </si>
  <si>
    <t>PAT: 4; ↓když</t>
  </si>
  <si>
    <t>"mívat-018"</t>
  </si>
  <si>
    <t>"mívat-019"</t>
  </si>
  <si>
    <t>"mívat-020"</t>
  </si>
  <si>
    <t>EFF: .a4</t>
  </si>
  <si>
    <t>"mívat-021"</t>
  </si>
  <si>
    <t>DPHR: koníček.P4; koníček.S4</t>
  </si>
  <si>
    <t>"mívat-022"</t>
  </si>
  <si>
    <t>"mířit-001"</t>
  </si>
  <si>
    <t>"mířit-002"</t>
  </si>
  <si>
    <t>"mířit-003"</t>
  </si>
  <si>
    <t>ACT-&gt;ARG0/57,ARG1/36</t>
  </si>
  <si>
    <t>DIR3-&gt;ARG1/21</t>
  </si>
  <si>
    <t>"mířit-004"</t>
  </si>
  <si>
    <t>ACT-&gt;ARG0/6,ARG1/306,ARG2/3</t>
  </si>
  <si>
    <t>DIR3-&gt;ARG1/2,ARG2/352</t>
  </si>
  <si>
    <t>"mířit-005"</t>
  </si>
  <si>
    <t>"mýlit-001"</t>
  </si>
  <si>
    <t>"mýlit-se-001"</t>
  </si>
  <si>
    <t>ACT-&gt;ARG0/5,ARG1/8</t>
  </si>
  <si>
    <t>"mýt-001"</t>
  </si>
  <si>
    <t>"měnit-001"</t>
  </si>
  <si>
    <t>PAT-&gt;ARG1/73,ARG2/1</t>
  </si>
  <si>
    <t>EFF-&gt;ARG1/1,ARG3/19</t>
  </si>
  <si>
    <t>"měnit-002"</t>
  </si>
  <si>
    <t>ACT-&gt;ARG0/164,ARG1/70</t>
  </si>
  <si>
    <t>PAT-&gt;ARG0/1,ARG1/371,ARG2/1</t>
  </si>
  <si>
    <t>ORIG-&gt;ARG2/8,ARG3/9</t>
  </si>
  <si>
    <t>?EFF: na+4; v+4; do+2</t>
  </si>
  <si>
    <t>EFF-&gt;ARG1/3,ARG2/87</t>
  </si>
  <si>
    <t>"měnit-003"</t>
  </si>
  <si>
    <t>ACT-&gt;ARG0/101,ARG1/2</t>
  </si>
  <si>
    <t>PAT-&gt;ARG1/166</t>
  </si>
  <si>
    <t>ORIG-&gt;ARG3/5</t>
  </si>
  <si>
    <t>"měnit-004"</t>
  </si>
  <si>
    <t>ACT-&gt;ARG0/113,ARG1/3</t>
  </si>
  <si>
    <t>PAT-&gt;ARG1/192,ARG2/1</t>
  </si>
  <si>
    <t>EFF-&gt;ARG1/1,ARG2/26</t>
  </si>
  <si>
    <t>"měnit-se-001"</t>
  </si>
  <si>
    <t>ACT-&gt;ARG0/3,ARG1/579,ARG2/6</t>
  </si>
  <si>
    <t>PAT: v+4; na+4; do+2</t>
  </si>
  <si>
    <t>PAT-&gt;ARG1/2,ARG2/515</t>
  </si>
  <si>
    <t>ORIG-&gt;ARG3/3</t>
  </si>
  <si>
    <t>"měnit-se-002"</t>
  </si>
  <si>
    <t>"měnit-se-003"</t>
  </si>
  <si>
    <t>ACT-&gt;ARG0/5,ARG1/258</t>
  </si>
  <si>
    <t>"měřit-001"</t>
  </si>
  <si>
    <t>"měřit-002"</t>
  </si>
  <si>
    <t>ACT-&gt;ARG0/6,ARG2/16</t>
  </si>
  <si>
    <t>"měřit-003"</t>
  </si>
  <si>
    <t>EXT-&gt;ARG3/5</t>
  </si>
  <si>
    <t>"měřit-004"</t>
  </si>
  <si>
    <t>"mžourat-001"</t>
  </si>
  <si>
    <t>"mžít-001"</t>
  </si>
  <si>
    <t>"mžít-002"</t>
  </si>
  <si>
    <t>"naakumulovat-001"</t>
  </si>
  <si>
    <t>"naaranžovat-001"</t>
  </si>
  <si>
    <t>"nabalit-001"</t>
  </si>
  <si>
    <t>"nabalovat-001"</t>
  </si>
  <si>
    <t>DPHR: na-1[se.4$2&lt;6&gt;]</t>
  </si>
  <si>
    <t>"nabalovat-se-001"</t>
  </si>
  <si>
    <t>"nabalovat-se-002"</t>
  </si>
  <si>
    <t>"nabančit-001"</t>
  </si>
  <si>
    <t>"nabarvit-001"</t>
  </si>
  <si>
    <t>"nabažit-se-001"</t>
  </si>
  <si>
    <t>"nablbnout-se-001"</t>
  </si>
  <si>
    <t>"nablít-001"</t>
  </si>
  <si>
    <t>"nabobtnat-001"</t>
  </si>
  <si>
    <t>PAT-&gt;ARG4/8</t>
  </si>
  <si>
    <t>ORIG-&gt;ARG3/2</t>
  </si>
  <si>
    <t>"nabourat-001"</t>
  </si>
  <si>
    <t>"nabourat-002"</t>
  </si>
  <si>
    <t>"nabourat-se-001"</t>
  </si>
  <si>
    <t>"nabourat-se-002"</t>
  </si>
  <si>
    <t>"nabourávat-001"</t>
  </si>
  <si>
    <t>"nabořit-001"</t>
  </si>
  <si>
    <t>"nabrat-001"</t>
  </si>
  <si>
    <t>ACT-&gt;ARG0/15,ARG1/238</t>
  </si>
  <si>
    <t>PAT-&gt;ARG1/31,ARG2/6,ARG4/205</t>
  </si>
  <si>
    <t>"nabrat-002"</t>
  </si>
  <si>
    <t>"nabrat-003"</t>
  </si>
  <si>
    <t>"nabrat-004"</t>
  </si>
  <si>
    <t>DPHR: na-1[roh.P4]</t>
  </si>
  <si>
    <t>"nabrat-005"</t>
  </si>
  <si>
    <t>"nabrousit-001"</t>
  </si>
  <si>
    <t>"nabádat-001"</t>
  </si>
  <si>
    <t>ACT-&gt;ARG0/302,ARG1/2</t>
  </si>
  <si>
    <t>ADDR-&gt;ARG1/2,ARG2/323</t>
  </si>
  <si>
    <t>?PAT: k+3; ↓aby; ↓ať; .s; ↓c; .f</t>
  </si>
  <si>
    <t>PAT-&gt;ARG1/342</t>
  </si>
  <si>
    <t>ACT-&gt;ARG0/12353,ARG1/36</t>
  </si>
  <si>
    <t>ADDR-&gt;ARG1/198,ARG2/20</t>
  </si>
  <si>
    <t>PAT-&gt;ARG0/2,ARG1/10571,ARG2/232,ARG3/1</t>
  </si>
  <si>
    <t>"nabídnout-001"</t>
  </si>
  <si>
    <t>PAT: 4; .f; ↓že; ↓aby; ↓ať; ↓jestli</t>
  </si>
  <si>
    <t>ACT-&gt;ARG0/1514,ARG1/22</t>
  </si>
  <si>
    <t>PAT-&gt;ARG0/1,ARG1/2079,ARG2/54,ARG3/1</t>
  </si>
  <si>
    <t>ADDR-&gt;ARG1/27,ARG2/491,ARG3/91</t>
  </si>
  <si>
    <t>EFF-&gt;ARG1/68,ARG2/5</t>
  </si>
  <si>
    <t>"nabídnout-se-001"</t>
  </si>
  <si>
    <t>ACT-&gt;ARG0/288,ARG1/2</t>
  </si>
  <si>
    <t>PAT: .f; s+7,že[.v]</t>
  </si>
  <si>
    <t>PAT-&gt;ARG1/386,ARG2/2,ARG3/1</t>
  </si>
  <si>
    <t>ADDR-&gt;ARG1/2,ARG2/1,ARG3/78</t>
  </si>
  <si>
    <t>"nabíhat-001"</t>
  </si>
  <si>
    <t>"nabíhat-002"</t>
  </si>
  <si>
    <t>"nabírat-001"</t>
  </si>
  <si>
    <t>"nabírat-002"</t>
  </si>
  <si>
    <t>PAT: 4; na+6</t>
  </si>
  <si>
    <t>ACT-&gt;ARG0/31</t>
  </si>
  <si>
    <t>"nabírat-003"</t>
  </si>
  <si>
    <t>"nabírat-004"</t>
  </si>
  <si>
    <t>"nabít-001"</t>
  </si>
  <si>
    <t>?EFF: 7</t>
  </si>
  <si>
    <t>"nabít-002"</t>
  </si>
  <si>
    <t>"nabízet-001"</t>
  </si>
  <si>
    <t>ACT-&gt;ARG0/1342,ARG1/11</t>
  </si>
  <si>
    <t>PAT-&gt;ARG0/2,ARG1/2317,ARG2/60,ARG3/1</t>
  </si>
  <si>
    <t>ADDR-&gt;ARG1/33,ARG2/596,ARG3/86</t>
  </si>
  <si>
    <t>EFF-&gt;ARG1/28,ARG2/108</t>
  </si>
  <si>
    <t>"nabízet-se-001"</t>
  </si>
  <si>
    <t>ACT: 1; .f; ↓c</t>
  </si>
  <si>
    <t>ACT-&gt;ARG0/31,ARG1/3102,ARG2/296</t>
  </si>
  <si>
    <t>"nabízet-se-002"</t>
  </si>
  <si>
    <t>CPHR: {možnost,řešení,spolupráce,...}.1</t>
  </si>
  <si>
    <t>?ACT: 3</t>
  </si>
  <si>
    <t>"nabýt-001"</t>
  </si>
  <si>
    <t>ACT-&gt;ARG0/323,ARG1/603,ARG2/9</t>
  </si>
  <si>
    <t>PAT-&gt;ARG1/385,ARG2/561,ARG4/14</t>
  </si>
  <si>
    <t>"nabýt-002"</t>
  </si>
  <si>
    <t>ACT-&gt;ARG0/2,ARG1/182</t>
  </si>
  <si>
    <t>PAT-&gt;ARG1/151</t>
  </si>
  <si>
    <t>"nabýt-003"</t>
  </si>
  <si>
    <t>ACT-&gt;ARG1/427,ARG2/6</t>
  </si>
  <si>
    <t>CPHR: {dojem,přesvědčení,...}.2; {dojem,přesvědčení,...}.4</t>
  </si>
  <si>
    <t>CPHR-&gt;ARG2/473</t>
  </si>
  <si>
    <t>"nabývat-001"</t>
  </si>
  <si>
    <t>ACT-&gt;ARG0/44,ARG1/3102,ARG2/296</t>
  </si>
  <si>
    <t>PAT-&gt;ARG1/159,ARG2/3451</t>
  </si>
  <si>
    <t>"nabývat-002"</t>
  </si>
  <si>
    <t>ACT-&gt;ARG1/298,ARG2/5</t>
  </si>
  <si>
    <t>PAT-&gt;ARG2/141</t>
  </si>
  <si>
    <t>"naběhat-001"</t>
  </si>
  <si>
    <t>"naběhat-se-001"</t>
  </si>
  <si>
    <t>"naběhnout-001"</t>
  </si>
  <si>
    <t>"nacestovat-se-001"</t>
  </si>
  <si>
    <t>"nachladit-se-001"</t>
  </si>
  <si>
    <t>"nachmelit-se-001"</t>
  </si>
  <si>
    <t>"nachodit-001"</t>
  </si>
  <si>
    <t>"nachromovat-001"</t>
  </si>
  <si>
    <t>"nachystat-001"</t>
  </si>
  <si>
    <t>ACT-&gt;ARG0/14,ARG1/3</t>
  </si>
  <si>
    <t>PAT-&gt;ARG2/22</t>
  </si>
  <si>
    <t>"nachystat-002"</t>
  </si>
  <si>
    <t>"nachytat-001"</t>
  </si>
  <si>
    <t>ADDR-&gt;ARG1/121,ARG2/1</t>
  </si>
  <si>
    <t>?PAT: k+3; .f; ↓aby; ↓ať</t>
  </si>
  <si>
    <t>"nachytat-002"</t>
  </si>
  <si>
    <t>"nachytat-se-001"</t>
  </si>
  <si>
    <t>"nachytat-se-002"</t>
  </si>
  <si>
    <t>"nacházet-001"</t>
  </si>
  <si>
    <t>ACT-&gt;ARG0/282,ARG1/2</t>
  </si>
  <si>
    <t>PAT-&gt;ARG0/3,ARG1/380,ARG2/1</t>
  </si>
  <si>
    <t>"nacházet-002"</t>
  </si>
  <si>
    <t>CPHR: {odezva,odvaha,potěšení,příležitost,řešení,uplatnění,východisko,zájem,...}.4</t>
  </si>
  <si>
    <t>CPHR-&gt;ARG1/20,ARG3/1</t>
  </si>
  <si>
    <t>"nacházet-se-001"</t>
  </si>
  <si>
    <t>ACT-&gt;ARG0/55,ARG1/379,ARG2/3</t>
  </si>
  <si>
    <t>LOC-&gt;ARG1/62,ARG2/370</t>
  </si>
  <si>
    <t>"nacházet-se-002"</t>
  </si>
  <si>
    <t>ACT-&gt;ARG0/55,ARG1/1082,ARG2/3</t>
  </si>
  <si>
    <t>LOC-&gt;ARG0/180,ARG1/71,ARG2/279,ARGm-LOC/23</t>
  </si>
  <si>
    <t>"nachýlit-001"</t>
  </si>
  <si>
    <t>"nacouvat-001"</t>
  </si>
  <si>
    <t>"nacpat-001"</t>
  </si>
  <si>
    <t>"nacpat-002"</t>
  </si>
  <si>
    <t>"nacvičit-001"</t>
  </si>
  <si>
    <t>"nacvičovat-001"</t>
  </si>
  <si>
    <t>"nadat-001"</t>
  </si>
  <si>
    <t>"nadat-002"</t>
  </si>
  <si>
    <t>"nadbíhat-001"</t>
  </si>
  <si>
    <t>"nadbízet-001"</t>
  </si>
  <si>
    <t>"nadcenit-001"</t>
  </si>
  <si>
    <t>"nadchnout-001"</t>
  </si>
  <si>
    <t>ACT-&gt;ARG0/599,ARG1/7</t>
  </si>
  <si>
    <t>PAT-&gt;ARG0/4,ARG1/624</t>
  </si>
  <si>
    <t>"nadchnout-se-001"</t>
  </si>
  <si>
    <t>"nadcházet-001"</t>
  </si>
  <si>
    <t>"nadechnout-se-001"</t>
  </si>
  <si>
    <t>"nadejít-001"</t>
  </si>
  <si>
    <t>ACT-&gt;ARG1/522,ARG2/3457</t>
  </si>
  <si>
    <t>"nadhazovat-001"</t>
  </si>
  <si>
    <t>"nadhodit-001"</t>
  </si>
  <si>
    <t>PAT: 4; ↓že; ↓zda; ↓c; ↓aby; ↓ať; .s</t>
  </si>
  <si>
    <t>"nadhodit-002"</t>
  </si>
  <si>
    <t>"nadhodnocovat-001"</t>
  </si>
  <si>
    <t>"nadhodnotit-001"</t>
  </si>
  <si>
    <t>"nadiktovat-001"</t>
  </si>
  <si>
    <t>"nadlehčit-001"</t>
  </si>
  <si>
    <t>"nadlábnout-se-001"</t>
  </si>
  <si>
    <t>"nadnášet-001"</t>
  </si>
  <si>
    <t>"nadnášet-002"</t>
  </si>
  <si>
    <t>"nadnášet-003"</t>
  </si>
  <si>
    <t>"nadnést-001"</t>
  </si>
  <si>
    <t>ACT-&gt;ARG0/67,ARG1/2</t>
  </si>
  <si>
    <t>PAT-&gt;ARG1/76</t>
  </si>
  <si>
    <t>"nadnést-002"</t>
  </si>
  <si>
    <t>"nadrobit-001"</t>
  </si>
  <si>
    <t>"nadržovat-001"</t>
  </si>
  <si>
    <t>"nadsadit-001"</t>
  </si>
  <si>
    <t>"nadsazovat-001"</t>
  </si>
  <si>
    <t>"nadskočit-001"</t>
  </si>
  <si>
    <t>"nadužít-001"</t>
  </si>
  <si>
    <t>"nadzajistit-001"</t>
  </si>
  <si>
    <t>"nadzdvihnout-001"</t>
  </si>
  <si>
    <t>"nadzvednout-001"</t>
  </si>
  <si>
    <t>"nadzvedávat-001"</t>
  </si>
  <si>
    <t>"nadát-se-001"</t>
  </si>
  <si>
    <t>"nadávat-001"</t>
  </si>
  <si>
    <t>"nadávat-002"</t>
  </si>
  <si>
    <t>?PAT: do+2; ↓že; ↓c</t>
  </si>
  <si>
    <t>"nadít-001"</t>
  </si>
  <si>
    <t>"nadýchat-se-001"</t>
  </si>
  <si>
    <t>"nadělat-001"</t>
  </si>
  <si>
    <t>ACT-&gt;ARG0/151,ARG1/2,ARG3/1</t>
  </si>
  <si>
    <t>PAT-&gt;ARG1/220</t>
  </si>
  <si>
    <t>"nadělat-002"</t>
  </si>
  <si>
    <t>"nadělat-003"</t>
  </si>
  <si>
    <t>"nadělat-004"</t>
  </si>
  <si>
    <t>"nadělat-se-001"</t>
  </si>
  <si>
    <t>"nadělat-se-002"</t>
  </si>
  <si>
    <t>"nadělit-001"</t>
  </si>
  <si>
    <t>"nadřadit-001"</t>
  </si>
  <si>
    <t>"nadřít-se-001"</t>
  </si>
  <si>
    <t>"nafackovat-001"</t>
  </si>
  <si>
    <t>PAT: 3; 4</t>
  </si>
  <si>
    <t>"nafasovat-001"</t>
  </si>
  <si>
    <t>"nafaxovat-001"</t>
  </si>
  <si>
    <t>EFF: 4; ↓že; ↓aby; .s; ↓c</t>
  </si>
  <si>
    <t>"nafilmovat-001"</t>
  </si>
  <si>
    <t>"nafilmovat-002"</t>
  </si>
  <si>
    <t>"nafotit-001"</t>
  </si>
  <si>
    <t>"nafouknout-001"</t>
  </si>
  <si>
    <t>EFF-&gt;ARG4/2</t>
  </si>
  <si>
    <t>"nafouknout-002"</t>
  </si>
  <si>
    <t>"nafouknout-003"</t>
  </si>
  <si>
    <t>"nafukovat-001"</t>
  </si>
  <si>
    <t>"nahazovat-001"</t>
  </si>
  <si>
    <t>"nahazovat-002"</t>
  </si>
  <si>
    <t>"nahlašovat-001"</t>
  </si>
  <si>
    <t>"nahlašovat-002"</t>
  </si>
  <si>
    <t>"nahledat-se-001"</t>
  </si>
  <si>
    <t>"nahlodat-001"</t>
  </si>
  <si>
    <t>"nahlásit-001"</t>
  </si>
  <si>
    <t>ACT-&gt;ARG0/521,ARG1/1</t>
  </si>
  <si>
    <t>PAT-&gt;ARG1/575,ARG2/2</t>
  </si>
  <si>
    <t>"nahlásit-002"</t>
  </si>
  <si>
    <t>"nahlédnout-001"</t>
  </si>
  <si>
    <t>"nahlédnout-002"</t>
  </si>
  <si>
    <t>"nahlédnout-003"</t>
  </si>
  <si>
    <t>"nahlížet-001"</t>
  </si>
  <si>
    <t>MANN-&gt;ARG2/68</t>
  </si>
  <si>
    <t>"nahlížet-002"</t>
  </si>
  <si>
    <t>"nahnat-001"</t>
  </si>
  <si>
    <t>"nahnat-002"</t>
  </si>
  <si>
    <t>"nahodit-001"</t>
  </si>
  <si>
    <t>"nahodit-002"</t>
  </si>
  <si>
    <t>"nahodit-003"</t>
  </si>
  <si>
    <t>"nahodit-004"</t>
  </si>
  <si>
    <t>"nahrabat-001"</t>
  </si>
  <si>
    <t>"nahradit-001"</t>
  </si>
  <si>
    <t>"nahradit-002"</t>
  </si>
  <si>
    <t>ACT-&gt;ARG0/140,ARG2/29</t>
  </si>
  <si>
    <t>PAT-&gt;ARG1/245,ARG2/1</t>
  </si>
  <si>
    <t>?EFF: 7; za+4</t>
  </si>
  <si>
    <t>EFF-&gt;ARG1/2,ARG2/20,ARG3/6</t>
  </si>
  <si>
    <t>"nahradit-003"</t>
  </si>
  <si>
    <t>ACT-&gt;ARG0/332,ARG1/3127,ARG2/325</t>
  </si>
  <si>
    <t>PAT-&gt;ARG1/351,ARG2/3452</t>
  </si>
  <si>
    <t>"nahrazovat-001"</t>
  </si>
  <si>
    <t>"nahrazovat-002"</t>
  </si>
  <si>
    <t>ACT-&gt;ARG0/130,ARG2/8</t>
  </si>
  <si>
    <t>PAT-&gt;ARG1/227,ARG2/1</t>
  </si>
  <si>
    <t>EFF-&gt;ARG0/3,ARG2/41</t>
  </si>
  <si>
    <t>"nahrazovat-003"</t>
  </si>
  <si>
    <t>ACT-&gt;ARG0/131,ARG1/10,ARG2/29</t>
  </si>
  <si>
    <t>PAT-&gt;ARG1/227,ARG2/1,ARG3/6</t>
  </si>
  <si>
    <t>"nahromadit-001"</t>
  </si>
  <si>
    <t>"nahromadit-se-001"</t>
  </si>
  <si>
    <t>"nahrát-001"</t>
  </si>
  <si>
    <t>"nahrát-002"</t>
  </si>
  <si>
    <t>"nahrát-003"</t>
  </si>
  <si>
    <t>"nahrát-004"</t>
  </si>
  <si>
    <t>ACT-&gt;ARG0/96</t>
  </si>
  <si>
    <t>ADDR-&gt;ARG1/144</t>
  </si>
  <si>
    <t>?PAT: 4; s+7; v+6</t>
  </si>
  <si>
    <t>"nahrát-005"</t>
  </si>
  <si>
    <t>"nahrát-006"</t>
  </si>
  <si>
    <t>"nahrávat-001"</t>
  </si>
  <si>
    <t>"nahrávat-002"</t>
  </si>
  <si>
    <t>PAT-&gt;ARG1/51</t>
  </si>
  <si>
    <t>"nahrávat-003"</t>
  </si>
  <si>
    <t>ACT-&gt;ARG0/49,ARG1/2261,ARG2/1</t>
  </si>
  <si>
    <t>ADDR-&gt;ARG0/2154,ARG1/57</t>
  </si>
  <si>
    <t>"nahánět-001"</t>
  </si>
  <si>
    <t>"naházet-001"</t>
  </si>
  <si>
    <t>"nahřát-001"</t>
  </si>
  <si>
    <t>"nainstalovat-001"</t>
  </si>
  <si>
    <t>PAT-&gt;ARG1/38</t>
  </si>
  <si>
    <t>"nainstalovat-002"</t>
  </si>
  <si>
    <t>"najet-001"</t>
  </si>
  <si>
    <t>"najet-002"</t>
  </si>
  <si>
    <t>"najet-003"</t>
  </si>
  <si>
    <t>"najezdit-001"</t>
  </si>
  <si>
    <t>"najezdit-se-001"</t>
  </si>
  <si>
    <t>"--najezdit-se-002"</t>
  </si>
  <si>
    <t>"najmout-001"</t>
  </si>
  <si>
    <t>PAT-&gt;ARG1/237,ARG2/2</t>
  </si>
  <si>
    <t>"najímat-001"</t>
  </si>
  <si>
    <t>ACT-&gt;ARG0/124</t>
  </si>
  <si>
    <t>PAT-&gt;ARG1/180,ARG2/2</t>
  </si>
  <si>
    <t>"najíst-se-001"</t>
  </si>
  <si>
    <t>"najít-001"</t>
  </si>
  <si>
    <t>"najít-002"</t>
  </si>
  <si>
    <t>ACT-&gt;ARG0/2906,ARG1/24,ARG2/427</t>
  </si>
  <si>
    <t>PAT-&gt;ARG0/1,ARG1/4197,ARG2/7,ARG3/1</t>
  </si>
  <si>
    <t>"najít-003"</t>
  </si>
  <si>
    <t>CPHR: {bod,cesta,čas,důkaz,kompromis,možnost,odvaha,potěšení,řešení,uplatnění,východisko,využití,vztah,záminka,způsob,...}.4</t>
  </si>
  <si>
    <t>ACT-&gt;ARG0/137,ARG1/1</t>
  </si>
  <si>
    <t>CPHR-&gt;ARG1/218,ARG2/4</t>
  </si>
  <si>
    <t>"najít-se-001"</t>
  </si>
  <si>
    <t>"najít-se-002"</t>
  </si>
  <si>
    <t>"najíždět-001"</t>
  </si>
  <si>
    <t>ACT-&gt;ARG1/121,ARG2/1</t>
  </si>
  <si>
    <t>"nakapat-001"</t>
  </si>
  <si>
    <t>"nakazit-001"</t>
  </si>
  <si>
    <t>ACT-&gt;ARG0/100,ARG2/2</t>
  </si>
  <si>
    <t>ADDR-&gt;ARG1/147,ARG2/1</t>
  </si>
  <si>
    <t>"nakazit-se-001"</t>
  </si>
  <si>
    <t>ACT-&gt;ARG0/4,ARG1/11,ARG2/1</t>
  </si>
  <si>
    <t>PAT-&gt;ARG1/5,ARG2/8</t>
  </si>
  <si>
    <t>"naklonit-001"</t>
  </si>
  <si>
    <t>"naklonit-se-001"</t>
  </si>
  <si>
    <t>"naklonit-se-002"</t>
  </si>
  <si>
    <t>ACT-&gt;ARG0/9,ARG1/6</t>
  </si>
  <si>
    <t>"naklonit-si-001"</t>
  </si>
  <si>
    <t>"nakládat-001"</t>
  </si>
  <si>
    <t>"nakládat-002"</t>
  </si>
  <si>
    <t>PAT-&gt;ARG1/125</t>
  </si>
  <si>
    <t>MANN-&gt;ARG2/21</t>
  </si>
  <si>
    <t>"nakládat-003"</t>
  </si>
  <si>
    <t>"nakládat-004"</t>
  </si>
  <si>
    <t>"nakládat-005"</t>
  </si>
  <si>
    <t>"naklánět-se-001"</t>
  </si>
  <si>
    <t>"naklást-001"</t>
  </si>
  <si>
    <t>"naklást-002"</t>
  </si>
  <si>
    <t>"nakonfigurovat-001"</t>
  </si>
  <si>
    <t>"nakopat-001"</t>
  </si>
  <si>
    <t>DPHR: zadek.P4</t>
  </si>
  <si>
    <t>"nakopnout-001"</t>
  </si>
  <si>
    <t>"nakoupat-001"</t>
  </si>
  <si>
    <t>"nakoupat-se-001"</t>
  </si>
  <si>
    <t>"nakoupit-001"</t>
  </si>
  <si>
    <t>ACT-&gt;ARG0/508,ARG1/1</t>
  </si>
  <si>
    <t>PAT-&gt;ARG0/2,ARG1/922,ARG2/1,ARG3/1</t>
  </si>
  <si>
    <t>ORIG-&gt;ARG1/1,ARG2/70</t>
  </si>
  <si>
    <t>"nakousnout-001"</t>
  </si>
  <si>
    <t>"nakousnout-002"</t>
  </si>
  <si>
    <t>"nakreslit-001"</t>
  </si>
  <si>
    <t>"nakrmit-001"</t>
  </si>
  <si>
    <t>PAT-&gt;ARG2/9</t>
  </si>
  <si>
    <t>"nakrmit-002"</t>
  </si>
  <si>
    <t>"nakrojit-001"</t>
  </si>
  <si>
    <t>"nakročit-001"</t>
  </si>
  <si>
    <t>"nakrájet-001"</t>
  </si>
  <si>
    <t>"nakrást-001"</t>
  </si>
  <si>
    <t>"nakrýt-001"</t>
  </si>
  <si>
    <t>"nakupit-001"</t>
  </si>
  <si>
    <t>"nakupit-002"</t>
  </si>
  <si>
    <t>"nakupit-se-001"</t>
  </si>
  <si>
    <t>"nakupovat-001"</t>
  </si>
  <si>
    <t>ACT-&gt;ARG0/486,ARG1/1</t>
  </si>
  <si>
    <t>PAT-&gt;ARG0/2,ARG1/883,ARG3/1</t>
  </si>
  <si>
    <t>ORIG-&gt;ARG1/1,ARG2/67</t>
  </si>
  <si>
    <t>"nakusovat-001"</t>
  </si>
  <si>
    <t>"nakynout-001"</t>
  </si>
  <si>
    <t>"naladit-001"</t>
  </si>
  <si>
    <t>"naladit-002"</t>
  </si>
  <si>
    <t>PAT-&gt;ARG1/1,ARG2/2</t>
  </si>
  <si>
    <t>"naladit-003"</t>
  </si>
  <si>
    <t>"nalakovat-001"</t>
  </si>
  <si>
    <t>"nalepit-001"</t>
  </si>
  <si>
    <t>"nalepovat-001"</t>
  </si>
  <si>
    <t>"naleptávat-001"</t>
  </si>
  <si>
    <t>"naletět-001"</t>
  </si>
  <si>
    <t>"naleznout-001"</t>
  </si>
  <si>
    <t>ACT-&gt;ARG0/191,ARG1/1</t>
  </si>
  <si>
    <t>PAT-&gt;ARG0/2,ARG1/288,ARG2/1,ARG3/1</t>
  </si>
  <si>
    <t>"naleštit-001"</t>
  </si>
  <si>
    <t>"nalistovat-001"</t>
  </si>
  <si>
    <t>"nalodit-001"</t>
  </si>
  <si>
    <t>"nalodit-se-001"</t>
  </si>
  <si>
    <t>"nalomit-001"</t>
  </si>
  <si>
    <t>"naloupit-001"</t>
  </si>
  <si>
    <t>"naloďovat-se-001"</t>
  </si>
  <si>
    <t>"naložit-001"</t>
  </si>
  <si>
    <t>"naložit-002"</t>
  </si>
  <si>
    <t>"naložit-003"</t>
  </si>
  <si>
    <t>"naložit-004"</t>
  </si>
  <si>
    <t>"naložit-005"</t>
  </si>
  <si>
    <t>"naložit-006"</t>
  </si>
  <si>
    <t>"nalákat-001"</t>
  </si>
  <si>
    <t>ADDR-&gt;ARG0/364,ARG1/60</t>
  </si>
  <si>
    <t>"naléhat-001"</t>
  </si>
  <si>
    <t>ACT-&gt;ARG0/121,ARG1/1,ARG2/2</t>
  </si>
  <si>
    <t>PAT-&gt;ARG1/98,ARG2/57</t>
  </si>
  <si>
    <t>"naléhat-002"</t>
  </si>
  <si>
    <t>PAT-&gt;ARG1/1,ARG2/22</t>
  </si>
  <si>
    <t>"nalétat-001"</t>
  </si>
  <si>
    <t>"nalétnout-001"</t>
  </si>
  <si>
    <t>"nalévat-001"</t>
  </si>
  <si>
    <t>"nalévat-002"</t>
  </si>
  <si>
    <t>"nalézat-001"</t>
  </si>
  <si>
    <t>ACT-&gt;ARG0/179,ARG1/3</t>
  </si>
  <si>
    <t>"nalézat-se-001"</t>
  </si>
  <si>
    <t>"nalézt-001"</t>
  </si>
  <si>
    <t>ACT-&gt;ARG0/328,ARG1/2</t>
  </si>
  <si>
    <t>PAT-&gt;ARG0/1,ARG1/512</t>
  </si>
  <si>
    <t>"nalézt-002"</t>
  </si>
  <si>
    <t>CPHR: {kompromis,možnost,odpověď,odvaha,potěšení,použití,řešení,slovo,uplatnění,východisko,záminka,způsob,...}.4</t>
  </si>
  <si>
    <t>CPHR-&gt;ARG1/127</t>
  </si>
  <si>
    <t>CPHR-&gt;ARG1/13</t>
  </si>
  <si>
    <t>"nalézt-003"</t>
  </si>
  <si>
    <t>DPHR-&gt;ARG1/205</t>
  </si>
  <si>
    <t>"nalít-001"</t>
  </si>
  <si>
    <t>"nalít-002"</t>
  </si>
  <si>
    <t>"nalít-003"</t>
  </si>
  <si>
    <t>ACT-&gt;ARG0/34,ARG2/1</t>
  </si>
  <si>
    <t>PAT-&gt;ARG1/30,ARG2/15</t>
  </si>
  <si>
    <t>"nalítnout-001"</t>
  </si>
  <si>
    <t>"nalívat-001"</t>
  </si>
  <si>
    <t>"nalíčit-001"</t>
  </si>
  <si>
    <t>"nalíčit-002"</t>
  </si>
  <si>
    <t>"namalovat-001"</t>
  </si>
  <si>
    <t>"namalovat-002"</t>
  </si>
  <si>
    <t>"namasírovat-001"</t>
  </si>
  <si>
    <t>"namazat-001"</t>
  </si>
  <si>
    <t>"namazat-002"</t>
  </si>
  <si>
    <t>"namazat-se-001"</t>
  </si>
  <si>
    <t>"namačkat-001"</t>
  </si>
  <si>
    <t>"namačkat-se-001"</t>
  </si>
  <si>
    <t>ACT-&gt;ARG0/2,ARG1/1</t>
  </si>
  <si>
    <t>"namixovat-001"</t>
  </si>
  <si>
    <t>"namlouvat-001"</t>
  </si>
  <si>
    <t>"namlouvat-002"</t>
  </si>
  <si>
    <t>"namlouvat-003"</t>
  </si>
  <si>
    <t>"namluvit-001"</t>
  </si>
  <si>
    <t>"namluvit-002"</t>
  </si>
  <si>
    <t>"namluvit-003"</t>
  </si>
  <si>
    <t>"namlít-001"</t>
  </si>
  <si>
    <t>"namnožit-001"</t>
  </si>
  <si>
    <t>"namoci-si-001"</t>
  </si>
  <si>
    <t>"namontovat-001"</t>
  </si>
  <si>
    <t>"namontovat-002"</t>
  </si>
  <si>
    <t>"namotat-001"</t>
  </si>
  <si>
    <t>"namotat-se-001"</t>
  </si>
  <si>
    <t>"namočit-001"</t>
  </si>
  <si>
    <t>"namočit-se-001"</t>
  </si>
  <si>
    <t>"namočit-se-002"</t>
  </si>
  <si>
    <t>"namrazit-001"</t>
  </si>
  <si>
    <t>"namrzat-001"</t>
  </si>
  <si>
    <t>"namáhat-001"</t>
  </si>
  <si>
    <t>"namáhat-se-001"</t>
  </si>
  <si>
    <t>"namáčet-001"</t>
  </si>
  <si>
    <t>"namíchat-001"</t>
  </si>
  <si>
    <t>"namíchnout-001"</t>
  </si>
  <si>
    <t>"namítat-001"</t>
  </si>
  <si>
    <t>ACT-&gt;ARG0/257</t>
  </si>
  <si>
    <t>EFF-&gt;ARG1/202,ARG2/40</t>
  </si>
  <si>
    <t>PAT-&gt;ARG1/57,ARG2/3</t>
  </si>
  <si>
    <t>ADDR-&gt;ARG1/1,ARG2/2</t>
  </si>
  <si>
    <t>"namítnout-001"</t>
  </si>
  <si>
    <t>?PAT: na+4; proti+3</t>
  </si>
  <si>
    <t>ACT-&gt;ARG0/201</t>
  </si>
  <si>
    <t>EFF-&gt;ARG1/151,ARG2/31</t>
  </si>
  <si>
    <t>PAT-&gt;ARG1/44,ARG2/1</t>
  </si>
  <si>
    <t>"namířit-001"</t>
  </si>
  <si>
    <t>PAT-&gt;ARG0/1,ARG1/6,ARG2/1</t>
  </si>
  <si>
    <t>DIR3-&gt;ARG2/15</t>
  </si>
  <si>
    <t>"namířit-002"</t>
  </si>
  <si>
    <t>"namířit-003"</t>
  </si>
  <si>
    <t>"naměřit-001"</t>
  </si>
  <si>
    <t>"nandat-001"</t>
  </si>
  <si>
    <t>"nandat-002"</t>
  </si>
  <si>
    <t>"nandat-003"</t>
  </si>
  <si>
    <t>"nanosit-001"</t>
  </si>
  <si>
    <t>"nanášet-001"</t>
  </si>
  <si>
    <t>"nanést-001"</t>
  </si>
  <si>
    <t>"naoktrojovat-001"</t>
  </si>
  <si>
    <t>"naočkovat-001"</t>
  </si>
  <si>
    <t>"napadat-001"</t>
  </si>
  <si>
    <t>ACT-&gt;ARG0/112,ARG1/1</t>
  </si>
  <si>
    <t>PAT-&gt;ARG1/169</t>
  </si>
  <si>
    <t>"napadat-002"</t>
  </si>
  <si>
    <t>ACT: 4; 3</t>
  </si>
  <si>
    <t>PAT: 1; ↓že; .f; ↓aby; ↓jestli; ↓zda; ↓c; .s</t>
  </si>
  <si>
    <t>"napadat-003"</t>
  </si>
  <si>
    <t>"napadat-004"</t>
  </si>
  <si>
    <t>"napadnout-001"</t>
  </si>
  <si>
    <t>ACT-&gt;ARG0/117,ARG1/2,ARG2/2</t>
  </si>
  <si>
    <t>PAT-&gt;ARG1/118,ARG2/53</t>
  </si>
  <si>
    <t>"napadnout-002"</t>
  </si>
  <si>
    <t>ACT-&gt;ARG0/2639,ARG1/25,ARG2/2,ARG3/3</t>
  </si>
  <si>
    <t>PAT: 1; ↓že; .f; ↓aby; ↓jestli; ↓zda; ↓c</t>
  </si>
  <si>
    <t>PAT-&gt;ARG1/517,ARG2/2</t>
  </si>
  <si>
    <t>"napadnout-003"</t>
  </si>
  <si>
    <t>"napadnout-004"</t>
  </si>
  <si>
    <t>"napadávat-001"</t>
  </si>
  <si>
    <t>"naparádit-001"</t>
  </si>
  <si>
    <t>"napasovat-001"</t>
  </si>
  <si>
    <t>"napichovat-001"</t>
  </si>
  <si>
    <t>"naplakat-se-001"</t>
  </si>
  <si>
    <t>"naplnit-001"</t>
  </si>
  <si>
    <t>ACT-&gt;ARG0/6,ARG1/2</t>
  </si>
  <si>
    <t>PAT-&gt;ARG1/5,ARG2/4</t>
  </si>
  <si>
    <t>EFF-&gt;ARG0/2,ARG2/3</t>
  </si>
  <si>
    <t>"naplnit-002"</t>
  </si>
  <si>
    <t>ACT-&gt;ARG0/70,ARG1/11</t>
  </si>
  <si>
    <t>PAT-&gt;ARG1/164,ARG4/14</t>
  </si>
  <si>
    <t>"naplnit-003"</t>
  </si>
  <si>
    <t>"--naplnit-004"</t>
  </si>
  <si>
    <t>"naplnit-se-001"</t>
  </si>
  <si>
    <t>"naplnit-se-002"</t>
  </si>
  <si>
    <t>"naplánovat-001"</t>
  </si>
  <si>
    <t>ACT-&gt;ARG0/377,ARG1/7</t>
  </si>
  <si>
    <t>PAT: 4; ↓že; ↓c; .f</t>
  </si>
  <si>
    <t>PAT-&gt;ARG1/454,ARG2/51</t>
  </si>
  <si>
    <t>"naplňovat-001"</t>
  </si>
  <si>
    <t>"naplňovat-002"</t>
  </si>
  <si>
    <t>ACT-&gt;ARG0/42,ARG1/3104,ARG2/296</t>
  </si>
  <si>
    <t>PAT-&gt;ARG1/180,ARG2/3452</t>
  </si>
  <si>
    <t>"naplňovat-se-001"</t>
  </si>
  <si>
    <t>"napnout-001"</t>
  </si>
  <si>
    <t>PAT: -4</t>
  </si>
  <si>
    <t>"napnout-002"</t>
  </si>
  <si>
    <t>"napnout-se-001"</t>
  </si>
  <si>
    <t>"napodobit-001"</t>
  </si>
  <si>
    <t>ACT-&gt;ARG0/2,ARG1/8</t>
  </si>
  <si>
    <t>PAT-&gt;ARG0/4,ARG1/2</t>
  </si>
  <si>
    <t>"napodobovat-001"</t>
  </si>
  <si>
    <t>ACT-&gt;ARG0/10,ARG1/11</t>
  </si>
  <si>
    <t>PAT-&gt;ARG0/9,ARG1/15</t>
  </si>
  <si>
    <t>"napojit-001"</t>
  </si>
  <si>
    <t>"napojit-002"</t>
  </si>
  <si>
    <t>"napojit-se-001"</t>
  </si>
  <si>
    <t>PAT-&gt;ARG1/5,ARG3/1</t>
  </si>
  <si>
    <t>"napojovat-001"</t>
  </si>
  <si>
    <t>"napomenout-001"</t>
  </si>
  <si>
    <t>"napomoci-001"</t>
  </si>
  <si>
    <t>ACT-&gt;ARG0/475,ARG1/3</t>
  </si>
  <si>
    <t>PAT-&gt;ARG0/1,ARG1/405,ARG2/115</t>
  </si>
  <si>
    <t>"napomoci-002"</t>
  </si>
  <si>
    <t>ACT-&gt;ARG0/320,ARG1/3</t>
  </si>
  <si>
    <t>ADDR-&gt;ARG1/113,ARG2/57</t>
  </si>
  <si>
    <t>?PAT: 3; k+3; do+2; od+2; .f</t>
  </si>
  <si>
    <t>PAT-&gt;ARG0/1,ARG1/356</t>
  </si>
  <si>
    <t>"napomoci-003"</t>
  </si>
  <si>
    <t>ACT-&gt;ARG0/343,ARG1/3</t>
  </si>
  <si>
    <t>ADDR-&gt;ARG1/138,ARG2/57</t>
  </si>
  <si>
    <t>?PAT: .f; s+7; v+6</t>
  </si>
  <si>
    <t>"napomáhat-001"</t>
  </si>
  <si>
    <t>ACT-&gt;ARG0/40,ARG1/5</t>
  </si>
  <si>
    <t>"napomáhat-002"</t>
  </si>
  <si>
    <t>ACT-&gt;ARG0/326,ARG1/3</t>
  </si>
  <si>
    <t>PAT-&gt;ARG0/1,ARG1/360</t>
  </si>
  <si>
    <t>"napomáhat-003"</t>
  </si>
  <si>
    <t>ACT: 1; ↓když; ↓že</t>
  </si>
  <si>
    <t>"napomínat-001"</t>
  </si>
  <si>
    <t>"naporcovat-001"</t>
  </si>
  <si>
    <t>"napovídat-001"</t>
  </si>
  <si>
    <t>ACT-&gt;ARG0/453,ARG1/2</t>
  </si>
  <si>
    <t>PAT-&gt;ARG1/525</t>
  </si>
  <si>
    <t>ADDR-&gt;ARG1/2,ARG2/325</t>
  </si>
  <si>
    <t>"napovídat-002"</t>
  </si>
  <si>
    <t>EFF: 4; ↓že; ↓zda; ↓jak-2; ↓c</t>
  </si>
  <si>
    <t>"napovídat-003"</t>
  </si>
  <si>
    <t>"napovědět-001"</t>
  </si>
  <si>
    <t>PAT: 4; o+6; ↓že; ↓zda; ↓c; ↓aby; ↓ať; .s</t>
  </si>
  <si>
    <t>"napočítat-001"</t>
  </si>
  <si>
    <t>"napočítat-002"</t>
  </si>
  <si>
    <t>"napracovat-001"</t>
  </si>
  <si>
    <t>"napracovat-se-001"</t>
  </si>
  <si>
    <t>"napracovávat-001"</t>
  </si>
  <si>
    <t>"napravit-001"</t>
  </si>
  <si>
    <t>ACT-&gt;ARG0/17,ARG2/3</t>
  </si>
  <si>
    <t>"napravovat-001"</t>
  </si>
  <si>
    <t>"naprogramovat-001"</t>
  </si>
  <si>
    <t>PAT-&gt;ARG0/315,ARG1/4,ARG2/1</t>
  </si>
  <si>
    <t>"napršet-001"</t>
  </si>
  <si>
    <t>"napsat-001"</t>
  </si>
  <si>
    <t>"napsat-002"</t>
  </si>
  <si>
    <t>"napsat-003"</t>
  </si>
  <si>
    <t>ACT-&gt;ARG0/129</t>
  </si>
  <si>
    <t>"napsat-004"</t>
  </si>
  <si>
    <t>PAT: 4; ↓že; ↓aby</t>
  </si>
  <si>
    <t>PAT-&gt;ARG1/115</t>
  </si>
  <si>
    <t>"napsat-005"</t>
  </si>
  <si>
    <t>"napsat-006"</t>
  </si>
  <si>
    <t>ACT-&gt;ARG0/136</t>
  </si>
  <si>
    <t>PAT-&gt;ARG1/124</t>
  </si>
  <si>
    <t>"napsat-007"</t>
  </si>
  <si>
    <t>ACT-&gt;ARG0/12767,ARG1/37</t>
  </si>
  <si>
    <t>EFF-&gt;ARG0/2,ARG1/11182,ARG2/2</t>
  </si>
  <si>
    <t>PAT-&gt;ARG0/2,ARG1/16,ARG2/1,ARG3/29</t>
  </si>
  <si>
    <t>ADDR-&gt;ARG1/1,ARG2/32</t>
  </si>
  <si>
    <t>"napsat-008"</t>
  </si>
  <si>
    <t>"napsat-009"</t>
  </si>
  <si>
    <t>PAT: 4; ↓ať; ↓že; ↓aby</t>
  </si>
  <si>
    <t>"napsat-010"</t>
  </si>
  <si>
    <t>ADDR: na+4; 3</t>
  </si>
  <si>
    <t>"napsat-011"</t>
  </si>
  <si>
    <t>"napumpovat-001"</t>
  </si>
  <si>
    <t>ACT-&gt;ARG0/13,ARG2/1</t>
  </si>
  <si>
    <t>PAT-&gt;ARG2/16</t>
  </si>
  <si>
    <t>"napustit-001"</t>
  </si>
  <si>
    <t>"napytlíkovat-001"</t>
  </si>
  <si>
    <t>"napáchat-001"</t>
  </si>
  <si>
    <t>PAT-&gt;ARG1/65</t>
  </si>
  <si>
    <t>"napájet-001"</t>
  </si>
  <si>
    <t>"napájet-002"</t>
  </si>
  <si>
    <t>"napájet-003"</t>
  </si>
  <si>
    <t>"napálit-001"</t>
  </si>
  <si>
    <t>"napálit-002"</t>
  </si>
  <si>
    <t>DIR3-&gt;ARG1/20</t>
  </si>
  <si>
    <t>"napéci-001"</t>
  </si>
  <si>
    <t>"napíchnout-001"</t>
  </si>
  <si>
    <t>"napínat-001"</t>
  </si>
  <si>
    <t>"napít-se-001"</t>
  </si>
  <si>
    <t>"napěchovat-se-001"</t>
  </si>
  <si>
    <t>"napřemýšlet-se-001"</t>
  </si>
  <si>
    <t>"napřáhnout-001"</t>
  </si>
  <si>
    <t>"napřít-001"</t>
  </si>
  <si>
    <t>EFF: na+4; k+3</t>
  </si>
  <si>
    <t>"napřít-002"</t>
  </si>
  <si>
    <t>"narazit-001"</t>
  </si>
  <si>
    <t>"narazit-002"</t>
  </si>
  <si>
    <t>"narazit-003"</t>
  </si>
  <si>
    <t>"narazit-004"</t>
  </si>
  <si>
    <t>ACT-&gt;ARG0/256,ARG1/3</t>
  </si>
  <si>
    <t>"narazit-005"</t>
  </si>
  <si>
    <t>?PAT: u+2</t>
  </si>
  <si>
    <t>"narazit-006"</t>
  </si>
  <si>
    <t>ACT-&gt;ARG0/22,ARG1/11,ARG2/23</t>
  </si>
  <si>
    <t>"narazit-si-001"</t>
  </si>
  <si>
    <t>"narobit-001"</t>
  </si>
  <si>
    <t>"narodit-se-001"</t>
  </si>
  <si>
    <t>"narodit-se-002"</t>
  </si>
  <si>
    <t>"naroubovat-001"</t>
  </si>
  <si>
    <t>"naroubovat-002"</t>
  </si>
  <si>
    <t>"naroubovat-se-001"</t>
  </si>
  <si>
    <t>"narovnat-001"</t>
  </si>
  <si>
    <t>"narovnat-se-001"</t>
  </si>
  <si>
    <t>"narovnávat-se-001"</t>
  </si>
  <si>
    <t>"narukovat-001"</t>
  </si>
  <si>
    <t>"narukovat-002"</t>
  </si>
  <si>
    <t>"narušit-001"</t>
  </si>
  <si>
    <t>ACT-&gt;ARG0/102,ARG2/76</t>
  </si>
  <si>
    <t>PAT-&gt;ARG1/660,ARG2/9</t>
  </si>
  <si>
    <t>"narušovat-001"</t>
  </si>
  <si>
    <t>ACT-&gt;ARG0/193,ARG1/3102,ARG2/296</t>
  </si>
  <si>
    <t>PAT-&gt;ARG1/259</t>
  </si>
  <si>
    <t>"narážet-001"</t>
  </si>
  <si>
    <t>"narážet-002"</t>
  </si>
  <si>
    <t>ACT-&gt;ARG0/92</t>
  </si>
  <si>
    <t>PAT-&gt;ARG1/190</t>
  </si>
  <si>
    <t>"narážet-003"</t>
  </si>
  <si>
    <t>ACT-&gt;ARG0/170,ARG1/4</t>
  </si>
  <si>
    <t>PAT-&gt;ARG1/199</t>
  </si>
  <si>
    <t>ACT-&gt;ARG0/398,ARG1/3</t>
  </si>
  <si>
    <t>PAT-&gt;ARG1/561,ARG2/2</t>
  </si>
  <si>
    <t>"narážet-004"</t>
  </si>
  <si>
    <t>"narážet-005"</t>
  </si>
  <si>
    <t>"narůst-001"</t>
  </si>
  <si>
    <t>ACT-&gt;ARG0/8,ARG1/1396,ARG2/8</t>
  </si>
  <si>
    <t>PAT-&gt;ARG1/8,ARG2/10,ARG4/946</t>
  </si>
  <si>
    <t>ORIG-&gt;ARG3/442</t>
  </si>
  <si>
    <t>"narůst-002"</t>
  </si>
  <si>
    <t>"narůstat-001"</t>
  </si>
  <si>
    <t>ACT-&gt;ARG1/201,ARG2/4</t>
  </si>
  <si>
    <t>PAT-&gt;ARG2/1,ARG4/45</t>
  </si>
  <si>
    <t>ORIG-&gt;ARG3/23</t>
  </si>
  <si>
    <t>"nasadit-001"</t>
  </si>
  <si>
    <t>"nasadit-002"</t>
  </si>
  <si>
    <t>"nasadit-003"</t>
  </si>
  <si>
    <t>"nasadit-004"</t>
  </si>
  <si>
    <t>"nasadit-005"</t>
  </si>
  <si>
    <t>"nasadit-006"</t>
  </si>
  <si>
    <t>DPHR: koruna.S4</t>
  </si>
  <si>
    <t>"nasadit-007"</t>
  </si>
  <si>
    <t>"nasadit-se-001"</t>
  </si>
  <si>
    <t>"nasazovat-001"</t>
  </si>
  <si>
    <t>"nasazovat-002"</t>
  </si>
  <si>
    <t>"nasazovat-003"</t>
  </si>
  <si>
    <t>"nasazovat-004"</t>
  </si>
  <si>
    <t>"nasazovat-005"</t>
  </si>
  <si>
    <t>"nasazovat-006"</t>
  </si>
  <si>
    <t>DPHR: krk:S4[svůj-1:#]</t>
  </si>
  <si>
    <t>"nasazovat-007"</t>
  </si>
  <si>
    <t>"nasbírat-001"</t>
  </si>
  <si>
    <t>"nasbírat-002"</t>
  </si>
  <si>
    <t>CPHR: {informace,odvaha,poznatek,zkušenost,...}.4</t>
  </si>
  <si>
    <t>"nasbírat-003"</t>
  </si>
  <si>
    <t>"nasedat-001"</t>
  </si>
  <si>
    <t>"nasedlat-001"</t>
  </si>
  <si>
    <t>"nasednout-001"</t>
  </si>
  <si>
    <t>DIR3-&gt;ARG1/14</t>
  </si>
  <si>
    <t>"nasekat-001"</t>
  </si>
  <si>
    <t>"nasekat-002"</t>
  </si>
  <si>
    <t>"naservírovat-001"</t>
  </si>
  <si>
    <t>"nashromáždit-001"</t>
  </si>
  <si>
    <t>"naskakovat-001"</t>
  </si>
  <si>
    <t>"naskakovat-002"</t>
  </si>
  <si>
    <t>"naskakovat-003"</t>
  </si>
  <si>
    <t>DPHR: kůže:S1[husí:#]</t>
  </si>
  <si>
    <t>"naskautovat-001"</t>
  </si>
  <si>
    <t>"naskenovat-001"</t>
  </si>
  <si>
    <t>"naskicovat-001"</t>
  </si>
  <si>
    <t>"naskládat-001"</t>
  </si>
  <si>
    <t>"naskočit-001"</t>
  </si>
  <si>
    <t>"naskočit-002"</t>
  </si>
  <si>
    <t>"naskočit-003"</t>
  </si>
  <si>
    <t>"naskytnout-se-001"</t>
  </si>
  <si>
    <t>"naskytnout-se-002"</t>
  </si>
  <si>
    <t>CPHR: {možnost,podívaná,příležitost,výhled,...}.1</t>
  </si>
  <si>
    <t>"naskytnout-se-003"</t>
  </si>
  <si>
    <t>CPHR: {pochopení}.1</t>
  </si>
  <si>
    <t>CPHR-&gt;ARG1/401</t>
  </si>
  <si>
    <t>"naskákat-se-001"</t>
  </si>
  <si>
    <t>"naskýtat-se-001"</t>
  </si>
  <si>
    <t>"naskýtat-se-002"</t>
  </si>
  <si>
    <t>CPHR: {možnost,výhled,...}.1</t>
  </si>
  <si>
    <t>"naslinit-001"</t>
  </si>
  <si>
    <t>"naslouchat-001"</t>
  </si>
  <si>
    <t>PAT: 3; ↓zda; ↓jestli; ↓c</t>
  </si>
  <si>
    <t>"nasluhovat-001"</t>
  </si>
  <si>
    <t>"nasmlouvat-001"</t>
  </si>
  <si>
    <t>"nasmát-se-001"</t>
  </si>
  <si>
    <t>?PAT: 3; nad+7</t>
  </si>
  <si>
    <t>"nasměrovat-001"</t>
  </si>
  <si>
    <t>ACT-&gt;ARG0/26,ARG1/1</t>
  </si>
  <si>
    <t>PAT-&gt;ARG1/49</t>
  </si>
  <si>
    <t>DIR3-&gt;ARG2/5</t>
  </si>
  <si>
    <t>"nasměrovat-002"</t>
  </si>
  <si>
    <t>"nasměrovat-003"</t>
  </si>
  <si>
    <t>"nasměrovávat-001"</t>
  </si>
  <si>
    <t>"nasnídat-se-001"</t>
  </si>
  <si>
    <t>"nasněžit-001"</t>
  </si>
  <si>
    <t>PAT-&gt;ARG1/43</t>
  </si>
  <si>
    <t>"naspořit-001"</t>
  </si>
  <si>
    <t>"nastartovat-001"</t>
  </si>
  <si>
    <t>ACT-&gt;ARG0/252,ARG1/68,ARG2/3</t>
  </si>
  <si>
    <t>PAT-&gt;ARG1/327</t>
  </si>
  <si>
    <t>"nastat-001"</t>
  </si>
  <si>
    <t>ACT-&gt;ARG0/150,ARG1/3801,ARG2/3462</t>
  </si>
  <si>
    <t>"nastavit-001"</t>
  </si>
  <si>
    <t>ACT-&gt;ARG0/80</t>
  </si>
  <si>
    <t>"nastavit-002"</t>
  </si>
  <si>
    <t>"nastavit-003"</t>
  </si>
  <si>
    <t>"nastavit-004"</t>
  </si>
  <si>
    <t>DPHR: zrcadlo.S4</t>
  </si>
  <si>
    <t>"nastavit-005"</t>
  </si>
  <si>
    <t>"nastavovat-001"</t>
  </si>
  <si>
    <t>"nastavovat-002"</t>
  </si>
  <si>
    <t>"nastavovat-003"</t>
  </si>
  <si>
    <t>"nastavět-001"</t>
  </si>
  <si>
    <t>"nastiňovat-001"</t>
  </si>
  <si>
    <t>"nastolit-001"</t>
  </si>
  <si>
    <t>"nastolovat-001"</t>
  </si>
  <si>
    <t>ACT-&gt;ARG0/22,ARG1/2</t>
  </si>
  <si>
    <t>"nastoupit-001"</t>
  </si>
  <si>
    <t>ACT-&gt;ARG0/340,ARG1/3</t>
  </si>
  <si>
    <t>PAT: 4; na+4; do+2; k+3</t>
  </si>
  <si>
    <t>PAT-&gt;ARG1/189,ARG2/2,ARG4/1</t>
  </si>
  <si>
    <t>"nastoupit-002"</t>
  </si>
  <si>
    <t>ACT-&gt;ARG0/212,ARG1/174</t>
  </si>
  <si>
    <t>LOC-&gt;ARG1/141</t>
  </si>
  <si>
    <t>"nastoupit-003"</t>
  </si>
  <si>
    <t>ACT-&gt;ARG0/3,ARG1/78</t>
  </si>
  <si>
    <t>"nastoupit-004"</t>
  </si>
  <si>
    <t>ACT-&gt;ARG0/498,ARG1/152</t>
  </si>
  <si>
    <t>DIR3-&gt;ARG1/480,ARG2/26</t>
  </si>
  <si>
    <t>"nastoupit-005"</t>
  </si>
  <si>
    <t>?PAT: na+4,do+2</t>
  </si>
  <si>
    <t>"nastražit-001"</t>
  </si>
  <si>
    <t>"nastrkat-001"</t>
  </si>
  <si>
    <t>"nastrojit-001"</t>
  </si>
  <si>
    <t>"nastrouhat-001"</t>
  </si>
  <si>
    <t>"nastrčit-001"</t>
  </si>
  <si>
    <t>"nastrčit-002"</t>
  </si>
  <si>
    <t>"nastudovat-001"</t>
  </si>
  <si>
    <t>"nastudovat-002"</t>
  </si>
  <si>
    <t>"nastupovat-001"</t>
  </si>
  <si>
    <t>ACT-&gt;ARG0/212</t>
  </si>
  <si>
    <t>PAT-&gt;ARG1/141</t>
  </si>
  <si>
    <t>"nastupovat-002"</t>
  </si>
  <si>
    <t>"nastupovat-003"</t>
  </si>
  <si>
    <t>"nastupovat-004"</t>
  </si>
  <si>
    <t>ACT-&gt;ARG0/155,ARG2/8</t>
  </si>
  <si>
    <t>DIR3-&gt;ARG1/37</t>
  </si>
  <si>
    <t>"nastydnout-001"</t>
  </si>
  <si>
    <t>"nastávat-001"</t>
  </si>
  <si>
    <t>ACT-&gt;ARG1/668</t>
  </si>
  <si>
    <t>"nastínit-001"</t>
  </si>
  <si>
    <t>"nastěhovat-001"</t>
  </si>
  <si>
    <t>"nastěhovat-se-001"</t>
  </si>
  <si>
    <t>ACT-&gt;ARG0/5,ARG1/77</t>
  </si>
  <si>
    <t>"nastřelit-001"</t>
  </si>
  <si>
    <t>"nastřihávat-001"</t>
  </si>
  <si>
    <t>"nastříkat-001"</t>
  </si>
  <si>
    <t>"nastříkat-002"</t>
  </si>
  <si>
    <t>"nastřílet-001"</t>
  </si>
  <si>
    <t>"nastřílet-002"</t>
  </si>
  <si>
    <t>"nasušit-001"</t>
  </si>
  <si>
    <t>"nasvědčovat-001"</t>
  </si>
  <si>
    <t>PAT: 3; ↓že; ↓c</t>
  </si>
  <si>
    <t>"nasycovat-se-001"</t>
  </si>
  <si>
    <t>"nasypat-001"</t>
  </si>
  <si>
    <t>"nasytit-001"</t>
  </si>
  <si>
    <t>"nasát-001"</t>
  </si>
  <si>
    <t>"nasávat-001"</t>
  </si>
  <si>
    <t>"nasávat-002"</t>
  </si>
  <si>
    <t>"nasázet-001"</t>
  </si>
  <si>
    <t>"nasčítat-001"</t>
  </si>
  <si>
    <t>"nasčítat-002"</t>
  </si>
  <si>
    <t>"natahovat-001"</t>
  </si>
  <si>
    <t>"natahovat-002"</t>
  </si>
  <si>
    <t>"natahovat-003"</t>
  </si>
  <si>
    <t>"natahovat-se-001"</t>
  </si>
  <si>
    <t>ACT-&gt;ARG0/1,ARG1/2</t>
  </si>
  <si>
    <t>"natankovat-001"</t>
  </si>
  <si>
    <t>"natlačit-se-001"</t>
  </si>
  <si>
    <t>"natlouci-001"</t>
  </si>
  <si>
    <t>"natlouci-002"</t>
  </si>
  <si>
    <t>"natočit-001"</t>
  </si>
  <si>
    <t>ACT-&gt;ARG0/407,ARG1/4,ARG2/3,ARG3/1</t>
  </si>
  <si>
    <t>PAT-&gt;ARG1/611</t>
  </si>
  <si>
    <t>"natočit-002"</t>
  </si>
  <si>
    <t>"natočit-003"</t>
  </si>
  <si>
    <t>"natrefit-001"</t>
  </si>
  <si>
    <t>"natrhat-001"</t>
  </si>
  <si>
    <t>"natrhnout-001"</t>
  </si>
  <si>
    <t>"natrénovat-001"</t>
  </si>
  <si>
    <t>"naturalizovat-se-001"</t>
  </si>
  <si>
    <t>"natáhnout-001"</t>
  </si>
  <si>
    <t>"natáhnout-002"</t>
  </si>
  <si>
    <t>"natáhnout-003"</t>
  </si>
  <si>
    <t>"natáhnout-004"</t>
  </si>
  <si>
    <t>"natáhnout-se-001"</t>
  </si>
  <si>
    <t>"natáhnout-se-002"</t>
  </si>
  <si>
    <t>"natáčet-001"</t>
  </si>
  <si>
    <t>ACT-&gt;ARG0/479,ARG1/7,ARG2/3,ARG3/1</t>
  </si>
  <si>
    <t>PAT-&gt;ARG1/720</t>
  </si>
  <si>
    <t>"natáčet-002"</t>
  </si>
  <si>
    <t>"--natáčet-003"</t>
  </si>
  <si>
    <t>"natéci-001"</t>
  </si>
  <si>
    <t>"natéci-002"</t>
  </si>
  <si>
    <t>"natírat-001"</t>
  </si>
  <si>
    <t>"natěsnat-se-001"</t>
  </si>
  <si>
    <t>"natěsnat-se-002"</t>
  </si>
  <si>
    <t>"natřepat-001"</t>
  </si>
  <si>
    <t>"natřít-001"</t>
  </si>
  <si>
    <t>"natřít-002"</t>
  </si>
  <si>
    <t>"naučit-001"</t>
  </si>
  <si>
    <t>ACT-&gt;ARG0/44,ARG1/2</t>
  </si>
  <si>
    <t>PAT: 4; 3; .f; ↓aby; ↓že; ↓c</t>
  </si>
  <si>
    <t>PAT-&gt;ARG1/57,ARG2/5</t>
  </si>
  <si>
    <t>ADDR-&gt;ARG1/7,ARG2/20</t>
  </si>
  <si>
    <t>PAT-&gt;ARG1/39,ARG2/3</t>
  </si>
  <si>
    <t>"naučit-se-001"</t>
  </si>
  <si>
    <t>ACT-&gt;ARG0/154</t>
  </si>
  <si>
    <t>PAT-&gt;ARG1/190,ARG2/3</t>
  </si>
  <si>
    <t>"naučit-se-002"</t>
  </si>
  <si>
    <t>"navalit-se-001"</t>
  </si>
  <si>
    <t>"navazovat-001"</t>
  </si>
  <si>
    <t>"navazovat-002"</t>
  </si>
  <si>
    <t>ACT-&gt;ARG0/215,ARG1/162</t>
  </si>
  <si>
    <t>PAT-&gt;ARG1/287</t>
  </si>
  <si>
    <t>"navazovat-003"</t>
  </si>
  <si>
    <t>CPHR: {dialog,kontakt,přátelství,smlouva,spojení,spolupráce,styk,vztah,známost,...}.4</t>
  </si>
  <si>
    <t>"navazovat-004"</t>
  </si>
  <si>
    <t>"navařit-001"</t>
  </si>
  <si>
    <t>"navařit-002"</t>
  </si>
  <si>
    <t>"naverbovat-001"</t>
  </si>
  <si>
    <t>"navečeřet-se-001"</t>
  </si>
  <si>
    <t>"navlhnout-001"</t>
  </si>
  <si>
    <t>"navlékat-001"</t>
  </si>
  <si>
    <t>"navlékat-002"</t>
  </si>
  <si>
    <t>"navléknout-001"</t>
  </si>
  <si>
    <t>"navléknout-002"</t>
  </si>
  <si>
    <t>"navléknout-003"</t>
  </si>
  <si>
    <t>"--navlíknout-001"</t>
  </si>
  <si>
    <t>"navlíknout-002"</t>
  </si>
  <si>
    <t>"navlíknout-003"</t>
  </si>
  <si>
    <t>"navodit-001"</t>
  </si>
  <si>
    <t>"navodit-002"</t>
  </si>
  <si>
    <t>CPHR: {dojem,imunita,nostalgie,pocit,pohoršení,touha,...}.4</t>
  </si>
  <si>
    <t>CPHR-&gt;ARG1/12</t>
  </si>
  <si>
    <t>"navonět-001"</t>
  </si>
  <si>
    <t>"navozit-001"</t>
  </si>
  <si>
    <t>"navozovat-001"</t>
  </si>
  <si>
    <t>CPHR: {atmosféra,dojem,imunita,myšlenka,nestálost,nostalgie,pocit,pohoršení,představa,touha,...}.4</t>
  </si>
  <si>
    <t>"navracet-001"</t>
  </si>
  <si>
    <t>"navracet-002"</t>
  </si>
  <si>
    <t>"navracet-se-001"</t>
  </si>
  <si>
    <t>ACT-&gt;ARG1/56</t>
  </si>
  <si>
    <t>"navracet-se-002"</t>
  </si>
  <si>
    <t>"navrhnout-001"</t>
  </si>
  <si>
    <t>ACT-&gt;ARG0/12787,ARG1/36</t>
  </si>
  <si>
    <t>PAT: 4; ↓že; ↓zda; ↓aby; ↓ať; .f; ↓c; .s</t>
  </si>
  <si>
    <t>PAT-&gt;ARG0/2,ARG1/11203,ARG2/2</t>
  </si>
  <si>
    <t>ADDR-&gt;ARG1/3,ARG2/30,ARG3/7</t>
  </si>
  <si>
    <t>"navrhnout-002"</t>
  </si>
  <si>
    <t>ACT-&gt;ARG0/563,ARG2/1</t>
  </si>
  <si>
    <t>PAT-&gt;ARG1/737</t>
  </si>
  <si>
    <t>ADDR-&gt;ARG1/3,ARG2/11,ARG3/6</t>
  </si>
  <si>
    <t>"navrhnout-003"</t>
  </si>
  <si>
    <t>?EFF: na+4; za+4</t>
  </si>
  <si>
    <t>"navrhnout-004"</t>
  </si>
  <si>
    <t>ACT-&gt;ARG0/328,ARG1/1</t>
  </si>
  <si>
    <t>PAT-&gt;ARG1/408</t>
  </si>
  <si>
    <t>"navrhovat-001"</t>
  </si>
  <si>
    <t>ACT-&gt;ARG0/302</t>
  </si>
  <si>
    <t>PAT-&gt;ARG1/308,ARG2/7</t>
  </si>
  <si>
    <t>ADDR-&gt;ARG1/2,ARG2/2,ARG3/6</t>
  </si>
  <si>
    <t>"navrhovat-002"</t>
  </si>
  <si>
    <t>ACT-&gt;ARG0/275</t>
  </si>
  <si>
    <t>PAT-&gt;ARG1/283</t>
  </si>
  <si>
    <t>ADDR-&gt;ARG2/1,ARG3/6</t>
  </si>
  <si>
    <t>"navrhovat-003"</t>
  </si>
  <si>
    <t>"navrhovat-004"</t>
  </si>
  <si>
    <t>ACT-&gt;ARG0/203</t>
  </si>
  <si>
    <t>PAT-&gt;ARG1/406</t>
  </si>
  <si>
    <t>"navrtat-001"</t>
  </si>
  <si>
    <t>"navrtávat-001"</t>
  </si>
  <si>
    <t>"navrátit-001"</t>
  </si>
  <si>
    <t>PAT-&gt;ARG1/81,ARG2/1</t>
  </si>
  <si>
    <t>ADDR-&gt;ARG1/1,ARG2/17</t>
  </si>
  <si>
    <t>"navrátit-002"</t>
  </si>
  <si>
    <t>DIR3-&gt;ARG1/1,ARG2/10</t>
  </si>
  <si>
    <t>"navrátit-se-001"</t>
  </si>
  <si>
    <t>"navrátit-se-002"</t>
  </si>
  <si>
    <t>ACT-&gt;ARG1/20</t>
  </si>
  <si>
    <t>"navršit-001"</t>
  </si>
  <si>
    <t>"navršit-002"</t>
  </si>
  <si>
    <t>"navršit-003"</t>
  </si>
  <si>
    <t>"navršit-se-001"</t>
  </si>
  <si>
    <t>"navršovat-001"</t>
  </si>
  <si>
    <t>"navyknout-si-001"</t>
  </si>
  <si>
    <t>"navyšovat-001"</t>
  </si>
  <si>
    <t>ACT-&gt;ARG0/209,ARG1/6</t>
  </si>
  <si>
    <t>PAT-&gt;ARG1/399,ARG2/1,ARG4/6</t>
  </si>
  <si>
    <t>ORIG-&gt;ARG2/13,ARG3/35</t>
  </si>
  <si>
    <t>EFF-&gt;ARG4/72</t>
  </si>
  <si>
    <t>"navzdouvat-se-001"</t>
  </si>
  <si>
    <t>"navádět-001"</t>
  </si>
  <si>
    <t>"navádět-002"</t>
  </si>
  <si>
    <t>?PAT: k+3; ↓aby; ↓ať; .s; ↓c</t>
  </si>
  <si>
    <t>"navázat-001"</t>
  </si>
  <si>
    <t>"navázat-002"</t>
  </si>
  <si>
    <t>ACT-&gt;ARG0/216,ARG1/162</t>
  </si>
  <si>
    <t>PAT-&gt;ARG1/291</t>
  </si>
  <si>
    <t>"navázat-003"</t>
  </si>
  <si>
    <t>CPHR: {dialog,kontakt,přátelství,smlouva,spojení,spolupráce,styk,vztah,...}.4</t>
  </si>
  <si>
    <t>CPHR-&gt;ARG1/1</t>
  </si>
  <si>
    <t>CPHR-&gt;ARG1/20</t>
  </si>
  <si>
    <t>"navázat-004"</t>
  </si>
  <si>
    <t>EFF-&gt;ARG1/40</t>
  </si>
  <si>
    <t>"navázat-005"</t>
  </si>
  <si>
    <t>"navážet-001"</t>
  </si>
  <si>
    <t>"navážet-se-001"</t>
  </si>
  <si>
    <t>"navést-001"</t>
  </si>
  <si>
    <t>ADDR-&gt;ARG1/97</t>
  </si>
  <si>
    <t>"navést-002"</t>
  </si>
  <si>
    <t>"navézt-001"</t>
  </si>
  <si>
    <t>"navíjet-001"</t>
  </si>
  <si>
    <t>"navýšit-001"</t>
  </si>
  <si>
    <t>ACT-&gt;ARG0/438,ARG1/237</t>
  </si>
  <si>
    <t>PAT-&gt;ARG1/779,ARG2/1,ARG4/6</t>
  </si>
  <si>
    <t>ORIG-&gt;ARG2/13,ARG3/94</t>
  </si>
  <si>
    <t>EFF-&gt;ARG1/1,ARG2/7,ARG4/523</t>
  </si>
  <si>
    <t>"navýšit-002"</t>
  </si>
  <si>
    <t>PAT-&gt;ARG1/144</t>
  </si>
  <si>
    <t>"navýšit-se-001"</t>
  </si>
  <si>
    <t>"navěsit-001"</t>
  </si>
  <si>
    <t>"navštívit-001"</t>
  </si>
  <si>
    <t>ACT-&gt;ARG0/72,ARG1/180</t>
  </si>
  <si>
    <t>"navštívit-002"</t>
  </si>
  <si>
    <t>"navštěvovat-001"</t>
  </si>
  <si>
    <t>PAT-&gt;ARG1/158</t>
  </si>
  <si>
    <t>"navštěvovat-002"</t>
  </si>
  <si>
    <t>"--navštěvovat-se-001"</t>
  </si>
  <si>
    <t>"naznačit-001"</t>
  </si>
  <si>
    <t>ACT-&gt;ARG0/12545,ARG1/37</t>
  </si>
  <si>
    <t>PAT-&gt;ARG0/3,ARG1/11013,ARG2/2</t>
  </si>
  <si>
    <t>ADDR-&gt;ARG0/1,ARG2/13</t>
  </si>
  <si>
    <t>"naznačovat-001"</t>
  </si>
  <si>
    <t>ACT-&gt;ARG0/765,ARG1/3</t>
  </si>
  <si>
    <t>PAT-&gt;ARG0/1,ARG1/845</t>
  </si>
  <si>
    <t>ADDR-&gt;ARG0/1,ARG1/2,ARG2/327</t>
  </si>
  <si>
    <t>"naznačovat-002"</t>
  </si>
  <si>
    <t>ACT-&gt;ARG0/449,ARG1/1</t>
  </si>
  <si>
    <t>EFF-&gt;ARG0/1,ARG1/269</t>
  </si>
  <si>
    <t>ADDR-&gt;ARG0/1,ARG2/4</t>
  </si>
  <si>
    <t>"nazout-001"</t>
  </si>
  <si>
    <t>"nazpívat-001"</t>
  </si>
  <si>
    <t>"nazrát-001"</t>
  </si>
  <si>
    <t>"nazvat-001"</t>
  </si>
  <si>
    <t>ACT-&gt;ARG0/197</t>
  </si>
  <si>
    <t>PAT-&gt;ARG1/225,ARG2/1</t>
  </si>
  <si>
    <t>EFF: 1; 7</t>
  </si>
  <si>
    <t>EFF-&gt;ARG1/1,ARG2/375,ARG3/10</t>
  </si>
  <si>
    <t>"nazvat-002"</t>
  </si>
  <si>
    <t>ACT-&gt;ARG0/179</t>
  </si>
  <si>
    <t>PAT-&gt;ARG1/202</t>
  </si>
  <si>
    <t>MANN-&gt;ARG1/1,ARG2/344</t>
  </si>
  <si>
    <t>"nazírat-001"</t>
  </si>
  <si>
    <t>"nazývat-001"</t>
  </si>
  <si>
    <t>ACT-&gt;ARG0/191</t>
  </si>
  <si>
    <t>EFF-&gt;ARG0/1,ARG1/1,ARG2/373</t>
  </si>
  <si>
    <t>"nazývat-002"</t>
  </si>
  <si>
    <t>"nazývat-se-001"</t>
  </si>
  <si>
    <t>ACT-&gt;ARG1/228</t>
  </si>
  <si>
    <t>PAT: 1; 7</t>
  </si>
  <si>
    <t>PAT-&gt;ARG1/1,ARG2/423</t>
  </si>
  <si>
    <t>"nazývat-se-002"</t>
  </si>
  <si>
    <t>ACT-&gt;ARG1/202</t>
  </si>
  <si>
    <t>"naúčtovat-001"</t>
  </si>
  <si>
    <t>"načančat-001"</t>
  </si>
  <si>
    <t>"načapat-001"</t>
  </si>
  <si>
    <t>"načasovat-001"</t>
  </si>
  <si>
    <t>"načasovat-002"</t>
  </si>
  <si>
    <t>"načechrat-001"</t>
  </si>
  <si>
    <t>"načepovat-001"</t>
  </si>
  <si>
    <t>"načepovat-002"</t>
  </si>
  <si>
    <t>"načerpat-001"</t>
  </si>
  <si>
    <t>?ORIG: z+2; na+6; od+2</t>
  </si>
  <si>
    <t>"načesat-001"</t>
  </si>
  <si>
    <t>"načmárat-001"</t>
  </si>
  <si>
    <t>"načrtnout-001"</t>
  </si>
  <si>
    <t>"načrtávat-001"</t>
  </si>
  <si>
    <t>"načíst-001"</t>
  </si>
  <si>
    <t>"načít-001"</t>
  </si>
  <si>
    <t>"načítat-001"</t>
  </si>
  <si>
    <t>"nařezat-001"</t>
  </si>
  <si>
    <t>"nařizovat-001"</t>
  </si>
  <si>
    <t>ACT-&gt;ARG0/782,ARG1/5,ARG2/4</t>
  </si>
  <si>
    <t>PAT-&gt;ARG1/1085,ARG2/2</t>
  </si>
  <si>
    <t>ADDR-&gt;ARG1/27,ARG2/488</t>
  </si>
  <si>
    <t>"nařizovat-002"</t>
  </si>
  <si>
    <t>"nařknout-001"</t>
  </si>
  <si>
    <t>ADDR-&gt;ARG1/81</t>
  </si>
  <si>
    <t>?PAT: z+2; ↓že</t>
  </si>
  <si>
    <t>PAT-&gt;ARG1/29,ARG2/91</t>
  </si>
  <si>
    <t>"nařídit-001"</t>
  </si>
  <si>
    <t>ACT-&gt;ARG0/430,ARG1/3,ARG2/4</t>
  </si>
  <si>
    <t>PAT-&gt;ARG1/538,ARG2/74</t>
  </si>
  <si>
    <t>ADDR-&gt;ARG1/67,ARG2/201</t>
  </si>
  <si>
    <t>"nařídit-002"</t>
  </si>
  <si>
    <t>"naříkat-001"</t>
  </si>
  <si>
    <t>"naříznout-001"</t>
  </si>
  <si>
    <t>"našeptávat-001"</t>
  </si>
  <si>
    <t>EFF: 4; ↓že; ↓ať; ↓aby; ↓jestli; ↓zda; .s; ↓c</t>
  </si>
  <si>
    <t>"našetřit-001"</t>
  </si>
  <si>
    <t>PAT-&gt;ARG1/7,ARG2/1</t>
  </si>
  <si>
    <t>"našlapat-001"</t>
  </si>
  <si>
    <t>"našlapat-002"</t>
  </si>
  <si>
    <t>"našlapovat-001"</t>
  </si>
  <si>
    <t>"našlápnout-001"</t>
  </si>
  <si>
    <t>"našlápnout-002"</t>
  </si>
  <si>
    <t>"naštvat-001"</t>
  </si>
  <si>
    <t>"našít-001"</t>
  </si>
  <si>
    <t>"naťukat-001"</t>
  </si>
  <si>
    <t>"nažehlit-001"</t>
  </si>
  <si>
    <t>"nažrat-001"</t>
  </si>
  <si>
    <t>"nažrat-se-001"</t>
  </si>
  <si>
    <t>"nechat-001"</t>
  </si>
  <si>
    <t>ADDR-&gt;ARG1/48,ARG2/3</t>
  </si>
  <si>
    <t>"nechat-002"</t>
  </si>
  <si>
    <t>ADDR: na+6</t>
  </si>
  <si>
    <t>"nechat-003"</t>
  </si>
  <si>
    <t>PAT-&gt;ARG0/2,ARG1/112</t>
  </si>
  <si>
    <t>ADDR-&gt;ARG1/4,ARG2/13</t>
  </si>
  <si>
    <t>"nechat-004"</t>
  </si>
  <si>
    <t>ACT-&gt;ARG0/70</t>
  </si>
  <si>
    <t>PAT-&gt;ARG0/2,ARG1/91,ARG2/3</t>
  </si>
  <si>
    <t>EFF: 4[{jako,jakožto}:/AuxY]; za+4; 7</t>
  </si>
  <si>
    <t>EFF-&gt;ARG1/81,ARG2/46</t>
  </si>
  <si>
    <t>"nechat-005"</t>
  </si>
  <si>
    <t>PAT: 4; ↓jestli</t>
  </si>
  <si>
    <t>EFF: .a; .f; ↓aby</t>
  </si>
  <si>
    <t>ACT-&gt;ARG0/303,ARG1/1</t>
  </si>
  <si>
    <t>PAT-&gt;ARG0/2,ARG1/298,ARG2/3</t>
  </si>
  <si>
    <t>EFF-&gt;ARG1/438,ARG2/61</t>
  </si>
  <si>
    <t>ACT-&gt;ARG0/528,ARG1/2</t>
  </si>
  <si>
    <t>PAT-&gt;ARG0/2,ARG1/601,ARG2/4</t>
  </si>
  <si>
    <t>EFF-&gt;ARG1/686,ARG2/46</t>
  </si>
  <si>
    <t>PAT-&gt;ARG1/173,ARG2/3</t>
  </si>
  <si>
    <t>EFF-&gt;ARG1/122,ARG2/46</t>
  </si>
  <si>
    <t>"nechat-006"</t>
  </si>
  <si>
    <t>PAT-&gt;ARG1/127,ARG2/3</t>
  </si>
  <si>
    <t>LOC-&gt;ARG1/3,ARG2/50</t>
  </si>
  <si>
    <t>"nechat-007"</t>
  </si>
  <si>
    <t>ALT-ACMP: =</t>
  </si>
  <si>
    <t>ALT-MANN: =</t>
  </si>
  <si>
    <t>"nechat-008"</t>
  </si>
  <si>
    <t>"nechat-009"</t>
  </si>
  <si>
    <t>ACT-&gt;ARG0/2375,ARG1/269,ARG2/1</t>
  </si>
  <si>
    <t>PAT-&gt;ARG0/1,ARG1/2566,ARG2/216</t>
  </si>
  <si>
    <t>"nechat-010"</t>
  </si>
  <si>
    <t>DPHR: na-1[pochyba.P6]</t>
  </si>
  <si>
    <t>"nechat-011"</t>
  </si>
  <si>
    <t>DPHR: kámen.S4,na-1[kámen.S6]</t>
  </si>
  <si>
    <t>"nechat-012"</t>
  </si>
  <si>
    <t>DPHR: na-1[holička.6]</t>
  </si>
  <si>
    <t>"nechat-013"</t>
  </si>
  <si>
    <t>DPHR: na-1[pochyba.6]</t>
  </si>
  <si>
    <t>"nechat-014"</t>
  </si>
  <si>
    <t>DPHR: na-1[pokoj.6]</t>
  </si>
  <si>
    <t>PAT-&gt;ARG1/25,ARG2/1</t>
  </si>
  <si>
    <t>"nechat-015"</t>
  </si>
  <si>
    <t>"nechat-016"</t>
  </si>
  <si>
    <t>DPHR: ujít-2.f[se.S3]</t>
  </si>
  <si>
    <t>DPHR-&gt;ARG1/623</t>
  </si>
  <si>
    <t>"nechat-017"</t>
  </si>
  <si>
    <t>"nechat-018"</t>
  </si>
  <si>
    <t>DPHR: ten:NS,tak-3.d</t>
  </si>
  <si>
    <t>"nechat-019"</t>
  </si>
  <si>
    <t>DPHR: ruka:S4[volný4.#]; ruka:P4[volný4.#]</t>
  </si>
  <si>
    <t>DPHR-&gt;ARG1/3,ARG2/46</t>
  </si>
  <si>
    <t>PAT-&gt;ARG1/48,ARG2/3</t>
  </si>
  <si>
    <t>"nechat-020"</t>
  </si>
  <si>
    <t>DPHR: za-1[se.S7]</t>
  </si>
  <si>
    <t>"nechat-021"</t>
  </si>
  <si>
    <t>DPHR: se.3$2&lt;7&gt;,líbit.f</t>
  </si>
  <si>
    <t>"--nechat-022"</t>
  </si>
  <si>
    <t>MANN: =</t>
  </si>
  <si>
    <t>"--nechat-023"</t>
  </si>
  <si>
    <t>DPHR: být</t>
  </si>
  <si>
    <t>"nechat-si-001"</t>
  </si>
  <si>
    <t>"nechat-si-002"</t>
  </si>
  <si>
    <t>"nechávat-001"</t>
  </si>
  <si>
    <t>"nechávat-002"</t>
  </si>
  <si>
    <t>"nechávat-003"</t>
  </si>
  <si>
    <t>"nechávat-004"</t>
  </si>
  <si>
    <t>EFF: .f; ↓aby</t>
  </si>
  <si>
    <t>EFF-&gt;ARG1/3,ARG2/46</t>
  </si>
  <si>
    <t>ACT-&gt;ARG0/215,ARG1/1</t>
  </si>
  <si>
    <t>PAT-&gt;ARG1/155</t>
  </si>
  <si>
    <t>EFF-&gt;ARG1/341</t>
  </si>
  <si>
    <t>"nechávat-005"</t>
  </si>
  <si>
    <t>"nechávat-006"</t>
  </si>
  <si>
    <t>PAT-&gt;ARG1/78,ARG2/3</t>
  </si>
  <si>
    <t>"nechávat-007"</t>
  </si>
  <si>
    <t>ACT-&gt;ARG0/30,ARG1/1</t>
  </si>
  <si>
    <t>LOC-&gt;ARG1/3,ARG2/31</t>
  </si>
  <si>
    <t>"nechávat-008"</t>
  </si>
  <si>
    <t xml:space="preserve">TOWH: </t>
  </si>
  <si>
    <t>"nechávat-009"</t>
  </si>
  <si>
    <t>"nechávat-010"</t>
  </si>
  <si>
    <t>"nechávat-011"</t>
  </si>
  <si>
    <t>"nechávat-012"</t>
  </si>
  <si>
    <t>DPHR: slyšet[se]</t>
  </si>
  <si>
    <t>"nechávat-013"</t>
  </si>
  <si>
    <t>DPHR: v-1[štych.S6]</t>
  </si>
  <si>
    <t>"nechávat-014"</t>
  </si>
  <si>
    <t>"nechávat-015"</t>
  </si>
  <si>
    <t>"nechávat-si-001"</t>
  </si>
  <si>
    <t>"nechávat-si-002"</t>
  </si>
  <si>
    <t>DPHR: záležet.$2&lt;f&gt;$11&lt;A&gt;</t>
  </si>
  <si>
    <t>"nechávat-si-003"</t>
  </si>
  <si>
    <t>"negovat-001"</t>
  </si>
  <si>
    <t>"nenávidět-001"</t>
  </si>
  <si>
    <t>"nervovat-001"</t>
  </si>
  <si>
    <t>"nesnášet-001"</t>
  </si>
  <si>
    <t>"neutralizovat-001"</t>
  </si>
  <si>
    <t>"nimrat-se-001"</t>
  </si>
  <si>
    <t>"ničit-001"</t>
  </si>
  <si>
    <t>ACT-&gt;ARG0/30,ARG1/5</t>
  </si>
  <si>
    <t>PAT-&gt;ARG0/3,ARG1/50</t>
  </si>
  <si>
    <t>"nocovat-001"</t>
  </si>
  <si>
    <t>"nominovat-001"</t>
  </si>
  <si>
    <t>"normalizovat-001"</t>
  </si>
  <si>
    <t>"nosit-001"</t>
  </si>
  <si>
    <t>"nosit-002"</t>
  </si>
  <si>
    <t>PAT-&gt;ARG1/90</t>
  </si>
  <si>
    <t>"nosit-003"</t>
  </si>
  <si>
    <t>"nosit-004"</t>
  </si>
  <si>
    <t>"nosit-005"</t>
  </si>
  <si>
    <t>"nosit-se-001"</t>
  </si>
  <si>
    <t>"nosívat-001"</t>
  </si>
  <si>
    <t>PAT-&gt;ARG1/53</t>
  </si>
  <si>
    <t>"nosívat-002"</t>
  </si>
  <si>
    <t>"notovat-001"</t>
  </si>
  <si>
    <t>"notovat-si-001"</t>
  </si>
  <si>
    <t>"novelizovat-001"</t>
  </si>
  <si>
    <t>"nořit-001"</t>
  </si>
  <si>
    <t>"nudit-001"</t>
  </si>
  <si>
    <t>ACT: 1,.f</t>
  </si>
  <si>
    <t>"nudit-se-001"</t>
  </si>
  <si>
    <t>"--nudit-se-002"</t>
  </si>
  <si>
    <t>"nutit-001"</t>
  </si>
  <si>
    <t>"nutit-002"</t>
  </si>
  <si>
    <t>ACT-&gt;ARG0/696,ARG1/3,ARG2/4</t>
  </si>
  <si>
    <t>PAT: do+2; k+3; .f; ↓aby; ↓ať</t>
  </si>
  <si>
    <t>PAT-&gt;ARG1/719,ARG2/348</t>
  </si>
  <si>
    <t>ADDR-&gt;ARG1/366,ARG2/55</t>
  </si>
  <si>
    <t>"nádeničit-001"</t>
  </si>
  <si>
    <t>"náležet-001"</t>
  </si>
  <si>
    <t>ACT-&gt;ARG0/1,ARG1/2256</t>
  </si>
  <si>
    <t>PAT-&gt;ARG0/2154,ARG1/19</t>
  </si>
  <si>
    <t>"náležet-002"</t>
  </si>
  <si>
    <t>"náležet-003"</t>
  </si>
  <si>
    <t>ACT-&gt;ARG0/36,ARG1/24</t>
  </si>
  <si>
    <t>CPHR: {oprávnění,právo,...}.1</t>
  </si>
  <si>
    <t>CPHR-&gt;ARG0/18,ARG1/45</t>
  </si>
  <si>
    <t>"nárokovat-si-001"</t>
  </si>
  <si>
    <t>"následovat-001"</t>
  </si>
  <si>
    <t>ACT-&gt;ARG0/153,ARG1/117</t>
  </si>
  <si>
    <t>PAT: 4; za+7; 2</t>
  </si>
  <si>
    <t>PAT-&gt;ARG1/183,ARG2/91</t>
  </si>
  <si>
    <t>"následovat-002"</t>
  </si>
  <si>
    <t>ACT-&gt;ARG0/41,ARG1/564,ARG2/3</t>
  </si>
  <si>
    <t>"následovat-003"</t>
  </si>
  <si>
    <t>ACT-&gt;ARG0/2,ARG1/516</t>
  </si>
  <si>
    <t>"násobit-001"</t>
  </si>
  <si>
    <t>"násobit-002"</t>
  </si>
  <si>
    <t>"násobit-se-001"</t>
  </si>
  <si>
    <t>"nést-001"</t>
  </si>
  <si>
    <t>"nést-002"</t>
  </si>
  <si>
    <t>"nést-003"</t>
  </si>
  <si>
    <t>ACT-&gt;ARG0/2271,ARG1/47</t>
  </si>
  <si>
    <t>PAT-&gt;ARG0/3,ARG1/2401,ARG2/79</t>
  </si>
  <si>
    <t>"nést-004"</t>
  </si>
  <si>
    <t>"nést-005"</t>
  </si>
  <si>
    <t>ACT-&gt;ARG0/58,ARG1/3104,ARG2/296</t>
  </si>
  <si>
    <t>PAT-&gt;ARG0/2,ARG1/192,ARG2/3451</t>
  </si>
  <si>
    <t>"nést-006"</t>
  </si>
  <si>
    <t>"nést-007"</t>
  </si>
  <si>
    <t>"nést-008"</t>
  </si>
  <si>
    <t>"nést-009"</t>
  </si>
  <si>
    <t>INTT: .f</t>
  </si>
  <si>
    <t>"nést-010"</t>
  </si>
  <si>
    <t>CPHR: {dluh,důsledek,míra,následek,odpovědnost,riziko,spoluodpovědnost,spoluvina,vina,zodpovědnost,ztráta,...}.4</t>
  </si>
  <si>
    <t>ACT-&gt;ARG0/11,ARG1/3201,ARG2/296</t>
  </si>
  <si>
    <t>CPHR-&gt;ARG1/133,ARG2/3542</t>
  </si>
  <si>
    <t>"nést-011"</t>
  </si>
  <si>
    <t>ACT-&gt;ARG0/86,ARG1/3</t>
  </si>
  <si>
    <t>DPHR: s-1[se.S7]</t>
  </si>
  <si>
    <t>PAT-&gt;ARG0/2,ARG1/103</t>
  </si>
  <si>
    <t>"nést-012"</t>
  </si>
  <si>
    <t>DPHR: kůže:S4,na-1[trh:S4]</t>
  </si>
  <si>
    <t>"nést-013"</t>
  </si>
  <si>
    <t>DPHR: ovoce.S4</t>
  </si>
  <si>
    <t>"nést-014"</t>
  </si>
  <si>
    <t>"nést-se-001"</t>
  </si>
  <si>
    <t>"nést-se-002"</t>
  </si>
  <si>
    <t>"nést-se-003"</t>
  </si>
  <si>
    <t>"nést-se-004"</t>
  </si>
  <si>
    <t>"nést-se-005"</t>
  </si>
  <si>
    <t>DPHR: v-1[znamení.S6]</t>
  </si>
  <si>
    <t>"nítit-001"</t>
  </si>
  <si>
    <t>"obalamutit-001"</t>
  </si>
  <si>
    <t>"obalit-001"</t>
  </si>
  <si>
    <t>"obalovat-001"</t>
  </si>
  <si>
    <t>"obalovat-se-001"</t>
  </si>
  <si>
    <t>"obarvit-001"</t>
  </si>
  <si>
    <t>"obchodovat-001"</t>
  </si>
  <si>
    <t>ACT-&gt;ARG0/319,ARG1/10,ARG2/5,ARG3/1</t>
  </si>
  <si>
    <t>PAT-&gt;ARG0/27,ARG1/319,ARG2/62</t>
  </si>
  <si>
    <t>ADDR-&gt;ARG2/6</t>
  </si>
  <si>
    <t>"obcházet-001"</t>
  </si>
  <si>
    <t>"obcházet-002"</t>
  </si>
  <si>
    <t>"obcházet-003"</t>
  </si>
  <si>
    <t>"obcházet-004"</t>
  </si>
  <si>
    <t>"obdarovat-001"</t>
  </si>
  <si>
    <t>PAT-&gt;ARG2/15</t>
  </si>
  <si>
    <t>"obdarovávat-001"</t>
  </si>
  <si>
    <t>"obdařit-001"</t>
  </si>
  <si>
    <t>"obdařovat-001"</t>
  </si>
  <si>
    <t>"obdivovat-001"</t>
  </si>
  <si>
    <t>PAT: 4; ↓že; ↓jak-2</t>
  </si>
  <si>
    <t>"obdržet-001"</t>
  </si>
  <si>
    <t>ACT-&gt;ARG0/1073,ARG1/9</t>
  </si>
  <si>
    <t>PAT-&gt;ARG1/1453,ARG2/1,ARG4/1</t>
  </si>
  <si>
    <t>ORIG-&gt;ARG0/74,ARG1/7,ARG2/119,ARG3/11</t>
  </si>
  <si>
    <t>"obdělat-001"</t>
  </si>
  <si>
    <t>"obdělávat-001"</t>
  </si>
  <si>
    <t>"obehnat-001"</t>
  </si>
  <si>
    <t>"obejmout-001"</t>
  </si>
  <si>
    <t>"obejít-001"</t>
  </si>
  <si>
    <t>ACT-&gt;ARG0/46,ARG1/2</t>
  </si>
  <si>
    <t>PAT-&gt;ARG1/154</t>
  </si>
  <si>
    <t>"obejít-002"</t>
  </si>
  <si>
    <t>ACT-&gt;ARG0/21,ARG1/4</t>
  </si>
  <si>
    <t>"obejít-003"</t>
  </si>
  <si>
    <t>"obejít-se-001"</t>
  </si>
  <si>
    <t>ACT-&gt;ARG0/16,ARG1/1</t>
  </si>
  <si>
    <t>PAT: bez-1[.2]</t>
  </si>
  <si>
    <t>"obelstít-001"</t>
  </si>
  <si>
    <t>"obeplout-001"</t>
  </si>
  <si>
    <t>"obeslat-001"</t>
  </si>
  <si>
    <t>PAT-&gt;ARG1/1,ARG2/9</t>
  </si>
  <si>
    <t>"obestírat-001"</t>
  </si>
  <si>
    <t>"obestřít-001"</t>
  </si>
  <si>
    <t>"obesílat-001"</t>
  </si>
  <si>
    <t>PAT-&gt;ARG2/17</t>
  </si>
  <si>
    <t>"obezdívat-001"</t>
  </si>
  <si>
    <t>"obeznámit-001"</t>
  </si>
  <si>
    <t>"obeznámit-se-001"</t>
  </si>
  <si>
    <t>"obhajovat-001"</t>
  </si>
  <si>
    <t>ACT-&gt;ARG0/209</t>
  </si>
  <si>
    <t>PAT-&gt;ARG1/250</t>
  </si>
  <si>
    <t>"obhlédnout-001"</t>
  </si>
  <si>
    <t>"obhlédnout-si-001"</t>
  </si>
  <si>
    <t>"obhlížet-001"</t>
  </si>
  <si>
    <t>"obhospodařit-001"</t>
  </si>
  <si>
    <t>"obhospodařovat-001"</t>
  </si>
  <si>
    <t>PAT-&gt;ARG1/72,ARG2/14</t>
  </si>
  <si>
    <t>"obhájit-001"</t>
  </si>
  <si>
    <t>"obhájit-002"</t>
  </si>
  <si>
    <t>"objasnit-001"</t>
  </si>
  <si>
    <t>ACT-&gt;ARG0/143</t>
  </si>
  <si>
    <t>PAT-&gt;ARG1/213,ARG2/3</t>
  </si>
  <si>
    <t>"objasňovat-001"</t>
  </si>
  <si>
    <t>ACT-&gt;ARG0/73</t>
  </si>
  <si>
    <t>PAT: 4; ↓jak-2; ↓že; ↓zda; ↓jestli; ↓c; .s; ↓ať; ↓aby</t>
  </si>
  <si>
    <t>PAT-&gt;ARG1/110</t>
  </si>
  <si>
    <t>"objednat-001"</t>
  </si>
  <si>
    <t>PAT-&gt;ARG1/60,ARG2/61</t>
  </si>
  <si>
    <t>"objednat-002"</t>
  </si>
  <si>
    <t>"objednávat-001"</t>
  </si>
  <si>
    <t>"objet-001"</t>
  </si>
  <si>
    <t>"objet-002"</t>
  </si>
  <si>
    <t>"objevit-001"</t>
  </si>
  <si>
    <t>PAT-&gt;ARG0/1,ARG1/442,ARG3/2</t>
  </si>
  <si>
    <t>"objevit-se-001"</t>
  </si>
  <si>
    <t>ACT-&gt;ARG0/103,ARG1/1690,ARG2/25</t>
  </si>
  <si>
    <t>LOC-&gt;ARG0/10,ARG1/84,ARG2/279</t>
  </si>
  <si>
    <t>"objevit-se-002"</t>
  </si>
  <si>
    <t>ACT-&gt;ARG0/554,ARG1/924</t>
  </si>
  <si>
    <t>"objevovat-001"</t>
  </si>
  <si>
    <t>"objevovat-se-001"</t>
  </si>
  <si>
    <t>ACT-&gt;ARG0/33,ARG1/809</t>
  </si>
  <si>
    <t>LOC-&gt;ARG0/26</t>
  </si>
  <si>
    <t>"objevovat-se-002"</t>
  </si>
  <si>
    <t>ACT-&gt;ARG0/35,ARG1/533</t>
  </si>
  <si>
    <t>"objímat-001"</t>
  </si>
  <si>
    <t>"objíždět-001"</t>
  </si>
  <si>
    <t>"obkličovat-001"</t>
  </si>
  <si>
    <t>"obklopit-001"</t>
  </si>
  <si>
    <t>ACT-&gt;ARG0/3,ARG1/11</t>
  </si>
  <si>
    <t>PAT-&gt;ARG2/23</t>
  </si>
  <si>
    <t>"obklopovat-001"</t>
  </si>
  <si>
    <t>ACT-&gt;ARG1/13</t>
  </si>
  <si>
    <t>"obklíčit-001"</t>
  </si>
  <si>
    <t>"oblafnout-001"</t>
  </si>
  <si>
    <t>"oblažovat-001"</t>
  </si>
  <si>
    <t>"oblbnout-001"</t>
  </si>
  <si>
    <t>"obletět-001"</t>
  </si>
  <si>
    <t>"obložit-001"</t>
  </si>
  <si>
    <t>"obléci-001"</t>
  </si>
  <si>
    <t>"obléci-002"</t>
  </si>
  <si>
    <t>"obléhat-001"</t>
  </si>
  <si>
    <t>"oblékat-001"</t>
  </si>
  <si>
    <t>"oblékat-002"</t>
  </si>
  <si>
    <t>"oblékat-se-001"</t>
  </si>
  <si>
    <t>"--oblékat-se-002"</t>
  </si>
  <si>
    <t>"obléknout-001"</t>
  </si>
  <si>
    <t>"obléknout-002"</t>
  </si>
  <si>
    <t>"oblézt-001"</t>
  </si>
  <si>
    <t>"oblíbit-si-001"</t>
  </si>
  <si>
    <t>"oblíkat-001"</t>
  </si>
  <si>
    <t>"oblíknout-001"</t>
  </si>
  <si>
    <t>"obmyslet-001"</t>
  </si>
  <si>
    <t>"obměkčit-001"</t>
  </si>
  <si>
    <t>"obměňovat-001"</t>
  </si>
  <si>
    <t>PAT-&gt;ARG1/33,ARG2/1</t>
  </si>
  <si>
    <t>"obnažovat-001"</t>
  </si>
  <si>
    <t>"obnosit-001"</t>
  </si>
  <si>
    <t>"obnovit-001"</t>
  </si>
  <si>
    <t>ACT-&gt;ARG0/116,ARG1/11</t>
  </si>
  <si>
    <t>PAT-&gt;ARG1/307,ARG2/1</t>
  </si>
  <si>
    <t>"obnovit-se-001"</t>
  </si>
  <si>
    <t>"obnovovat-001"</t>
  </si>
  <si>
    <t>ACT-&gt;ARG0/40,ARG2/8</t>
  </si>
  <si>
    <t>"obnovovat-002"</t>
  </si>
  <si>
    <t>"obnovovat-se-001"</t>
  </si>
  <si>
    <t>"obnášet-001"</t>
  </si>
  <si>
    <t>ACT-&gt;ARG0/274,ARG1/15</t>
  </si>
  <si>
    <t>PAT-&gt;ARG0/2,ARG1/327,ARG2/12</t>
  </si>
  <si>
    <t>"obnášet-002"</t>
  </si>
  <si>
    <t>EXT-&gt;ARG1/84</t>
  </si>
  <si>
    <t>"obohacovat-001"</t>
  </si>
  <si>
    <t>"obohatit-001"</t>
  </si>
  <si>
    <t>ACT-&gt;ARG0/82,ARG1/1</t>
  </si>
  <si>
    <t>EFF-&gt;ARG1/151</t>
  </si>
  <si>
    <t>"obouvat-001"</t>
  </si>
  <si>
    <t>"obořit-se-001"</t>
  </si>
  <si>
    <t>"obracet-001"</t>
  </si>
  <si>
    <t>"obracet-002"</t>
  </si>
  <si>
    <t>PAT-&gt;ARG1/40</t>
  </si>
  <si>
    <t>EFF: v+4</t>
  </si>
  <si>
    <t>EFF-&gt;ARG2/41</t>
  </si>
  <si>
    <t>"obracet-003"</t>
  </si>
  <si>
    <t>"obracet-004"</t>
  </si>
  <si>
    <t>CPHR: {pozornost-1,...}.4</t>
  </si>
  <si>
    <t>"obracet-005"</t>
  </si>
  <si>
    <t>"obracet-se-001"</t>
  </si>
  <si>
    <t>"obracet-se-002"</t>
  </si>
  <si>
    <t>ACT-&gt;ARG0/68,ARG1/308,ARG2/3</t>
  </si>
  <si>
    <t>ADDR: na+4; k+3</t>
  </si>
  <si>
    <t>ADDR-&gt;ARG1/101,ARG2/280</t>
  </si>
  <si>
    <t>?PAT: s+7; ↓aby; ↓zda</t>
  </si>
  <si>
    <t>"obracet-se-003"</t>
  </si>
  <si>
    <t>ACT-&gt;ARG0/17,ARG1/30</t>
  </si>
  <si>
    <t>"obracet-se-004"</t>
  </si>
  <si>
    <t>"obracet-se-005"</t>
  </si>
  <si>
    <t>ACT-&gt;ARG1/9</t>
  </si>
  <si>
    <t>DPHR: k-1[dobrý.N3@2]</t>
  </si>
  <si>
    <t>"obracet-se-006"</t>
  </si>
  <si>
    <t>DPHR: záda.P7</t>
  </si>
  <si>
    <t>"obrat-001"</t>
  </si>
  <si>
    <t>"obrat-002"</t>
  </si>
  <si>
    <t>"obrečet-001"</t>
  </si>
  <si>
    <t>"obrnit-se-001"</t>
  </si>
  <si>
    <t>"obrnit-si-001"</t>
  </si>
  <si>
    <t>"obrodit-001"</t>
  </si>
  <si>
    <t>"obrodit-se-001"</t>
  </si>
  <si>
    <t>"obrousit-001"</t>
  </si>
  <si>
    <t>"obrábět-001"</t>
  </si>
  <si>
    <t>"obrátit-001"</t>
  </si>
  <si>
    <t>?ADDR: proti+3</t>
  </si>
  <si>
    <t>"obrátit-002"</t>
  </si>
  <si>
    <t>"obrátit-003"</t>
  </si>
  <si>
    <t>"obrátit-004"</t>
  </si>
  <si>
    <t>"obrátit-005"</t>
  </si>
  <si>
    <t>"obrátit-006"</t>
  </si>
  <si>
    <t>CPHR: {pozornost-1,zájem,...}.4</t>
  </si>
  <si>
    <t>CPHR-&gt;ARG1/22</t>
  </si>
  <si>
    <t>DIR3-&gt;ARG1/1,ARG2/6</t>
  </si>
  <si>
    <t>"obrátit-007"</t>
  </si>
  <si>
    <t>DPHR-&gt;ARG2/41</t>
  </si>
  <si>
    <t>"obrátit-008"</t>
  </si>
  <si>
    <t>DPHR: list.S4</t>
  </si>
  <si>
    <t>"obrátit-009"</t>
  </si>
  <si>
    <t>"obrátit-010"</t>
  </si>
  <si>
    <t>DPHR: na-1[pětník.S6]</t>
  </si>
  <si>
    <t>"obrátit-011"</t>
  </si>
  <si>
    <t>"obrátit-se-001"</t>
  </si>
  <si>
    <t>ACT-&gt;ARG0/2,ARG1/26</t>
  </si>
  <si>
    <t>"obrátit-se-002"</t>
  </si>
  <si>
    <t>"obrátit-se-003"</t>
  </si>
  <si>
    <t>?PAT: s+7; ↓aby; ↓zda; ohledně[.2]; ↓jestli</t>
  </si>
  <si>
    <t>ACT-&gt;ARG0/185,ARG1/48</t>
  </si>
  <si>
    <t>ADDR-&gt;ARG1/98,ARG2/35</t>
  </si>
  <si>
    <t>PAT-&gt;ARG1/147,ARG2/5</t>
  </si>
  <si>
    <t>ADDR-&gt;ARG2/20</t>
  </si>
  <si>
    <t>"obrátit-se-004"</t>
  </si>
  <si>
    <t>ACT-&gt;ARG0/2,ARG1/35</t>
  </si>
  <si>
    <t>"obrátit-se-005"</t>
  </si>
  <si>
    <t>ACT-&gt;ARG0/3,ARG1/36</t>
  </si>
  <si>
    <t>"obrátit-se-006"</t>
  </si>
  <si>
    <t>DPHR: v-1[dobrý.NS4]</t>
  </si>
  <si>
    <t>DPHR-&gt;ARG2/2</t>
  </si>
  <si>
    <t>"obrátit-se-007"</t>
  </si>
  <si>
    <t>DPHR: k-1[špatný.3@2]</t>
  </si>
  <si>
    <t>"obrátit-se-008"</t>
  </si>
  <si>
    <t>ACT-&gt;ARG1/40</t>
  </si>
  <si>
    <t>DPHR: vzhůru.d,noha.P7</t>
  </si>
  <si>
    <t>"obrátit-se-009"</t>
  </si>
  <si>
    <t>ACT-&gt;ARG1/52,ARG2/1</t>
  </si>
  <si>
    <t>PAT-&gt;ARG2/51</t>
  </si>
  <si>
    <t>"obrátit-se-010"</t>
  </si>
  <si>
    <t>"obrátit-se-011"</t>
  </si>
  <si>
    <t>"obrátit-se-012"</t>
  </si>
  <si>
    <t>"obrážet-se-001"</t>
  </si>
  <si>
    <t>"obrůst-001"</t>
  </si>
  <si>
    <t>"obrůst-002"</t>
  </si>
  <si>
    <t>"obrůstat-001"</t>
  </si>
  <si>
    <t>"obrůstat-002"</t>
  </si>
  <si>
    <t>"obsadit-001"</t>
  </si>
  <si>
    <t>ACT-&gt;ARG0/59,ARG1/8</t>
  </si>
  <si>
    <t>PAT-&gt;ARG1/45,ARG2/4</t>
  </si>
  <si>
    <t>"obsadit-002"</t>
  </si>
  <si>
    <t>ACT-&gt;ARG0/66,ARG1/1</t>
  </si>
  <si>
    <t>"obsadit-003"</t>
  </si>
  <si>
    <t>ACT-&gt;ARG0/53,ARG1/21,ARG2/3</t>
  </si>
  <si>
    <t>PAT-&gt;ARG1/50,ARG2/15</t>
  </si>
  <si>
    <t>"obsadit-004"</t>
  </si>
  <si>
    <t>"obsadit-005"</t>
  </si>
  <si>
    <t>DPHR: do-1[role-2.2]</t>
  </si>
  <si>
    <t>"obsahovat-001"</t>
  </si>
  <si>
    <t>ACT-&gt;ARG0/3069,ARG1/3144,ARG2/1046</t>
  </si>
  <si>
    <t>PAT-&gt;ARG0/3,ARG1/5209,ARG2/3470,ARG3/1</t>
  </si>
  <si>
    <t>"obsazovat-001"</t>
  </si>
  <si>
    <t>"obsazovat-002"</t>
  </si>
  <si>
    <t>"obskákat-001"</t>
  </si>
  <si>
    <t>"obsloužit-001"</t>
  </si>
  <si>
    <t>PAT-&gt;ARG1/74,ARG2/28</t>
  </si>
  <si>
    <t>"obsluhovat-001"</t>
  </si>
  <si>
    <t>PAT-&gt;ARG1/2,ARG2/42</t>
  </si>
  <si>
    <t>"obsluhovat-002"</t>
  </si>
  <si>
    <t>"obstarat-001"</t>
  </si>
  <si>
    <t>ACT-&gt;ARG0/330</t>
  </si>
  <si>
    <t>PAT-&gt;ARG1/551</t>
  </si>
  <si>
    <t>"obstarat-002"</t>
  </si>
  <si>
    <t>"obstarávat-001"</t>
  </si>
  <si>
    <t>PAT-&gt;ARG1/74,ARG2/14</t>
  </si>
  <si>
    <t>"obstarávat-002"</t>
  </si>
  <si>
    <t>"obstavit-001"</t>
  </si>
  <si>
    <t>"obstoupit-001"</t>
  </si>
  <si>
    <t>"obstát-001"</t>
  </si>
  <si>
    <t>ACT-&gt;ARG0/18,ARG1/33</t>
  </si>
  <si>
    <t>"obstřelovat-001"</t>
  </si>
  <si>
    <t>"obsáhnout-001"</t>
  </si>
  <si>
    <t>PAT-&gt;ARG1/127</t>
  </si>
  <si>
    <t>"obtelefonovávat-001"</t>
  </si>
  <si>
    <t>"obtížit-001"</t>
  </si>
  <si>
    <t>"obtěžkat-001"</t>
  </si>
  <si>
    <t>ACT-&gt;ARG2/1</t>
  </si>
  <si>
    <t>"obtěžovat-001"</t>
  </si>
  <si>
    <t>"obtěžovat-se-001"</t>
  </si>
  <si>
    <t>PAT: .f; s+7</t>
  </si>
  <si>
    <t>"obvazovat-001"</t>
  </si>
  <si>
    <t>"obveselit-001"</t>
  </si>
  <si>
    <t>"obvinit-001"</t>
  </si>
  <si>
    <t>ACT-&gt;ARG0/58</t>
  </si>
  <si>
    <t>ADDR-&gt;ARG1/72</t>
  </si>
  <si>
    <t>?PAT: z+2; ↓že; za+4</t>
  </si>
  <si>
    <t>PAT-&gt;ARG2/87</t>
  </si>
  <si>
    <t>ACT-&gt;ARG0/116,ARG1/54</t>
  </si>
  <si>
    <t>ADDR-&gt;ARG1/267,ARG2/6</t>
  </si>
  <si>
    <t>PAT-&gt;ARG0/37,ARG1/1,ARG2/204</t>
  </si>
  <si>
    <t>"--obvinit-se-001"</t>
  </si>
  <si>
    <t>"obviňovat-001"</t>
  </si>
  <si>
    <t>ACT-&gt;ARG0/135</t>
  </si>
  <si>
    <t>ADDR-&gt;ARG1/197,ARG2/2</t>
  </si>
  <si>
    <t>PAT-&gt;ARG1/30,ARG2/186</t>
  </si>
  <si>
    <t>"obvolat-001"</t>
  </si>
  <si>
    <t>"obvolávat-001"</t>
  </si>
  <si>
    <t>"obydlet-001"</t>
  </si>
  <si>
    <t>"obávat-se-001"</t>
  </si>
  <si>
    <t>ACT-&gt;ARG0/126,ARG1/3131,ARG2/296</t>
  </si>
  <si>
    <t>PAT: 2; ↓že; ↓zda; ↓aby; .f; ↓jestli; .v</t>
  </si>
  <si>
    <t>PAT-&gt;ARG0/24,ARG1/130</t>
  </si>
  <si>
    <t>"obávat-se-002"</t>
  </si>
  <si>
    <t>"obávat-se-003"</t>
  </si>
  <si>
    <t>"obíhat-001"</t>
  </si>
  <si>
    <t>"obírat-001"</t>
  </si>
  <si>
    <t>"obývat-001"</t>
  </si>
  <si>
    <t>"občerstvovat-001"</t>
  </si>
  <si>
    <t>"občerstvovat-002"</t>
  </si>
  <si>
    <t>"obědvat-001"</t>
  </si>
  <si>
    <t>"oběhnout-001"</t>
  </si>
  <si>
    <t>"oběhnout-002"</t>
  </si>
  <si>
    <t>"oběsit-001"</t>
  </si>
  <si>
    <t>"obětovat-001"</t>
  </si>
  <si>
    <t>"obětovat-002"</t>
  </si>
  <si>
    <t>"obšancovat-001"</t>
  </si>
  <si>
    <t>"obšlápnout-001"</t>
  </si>
  <si>
    <t>"obšít-001"</t>
  </si>
  <si>
    <t>"obšťastňovat-001"</t>
  </si>
  <si>
    <t>"obžalovat-001"</t>
  </si>
  <si>
    <t>"ocejchovat-001"</t>
  </si>
  <si>
    <t>"ocenit-001"</t>
  </si>
  <si>
    <t>ACT-&gt;ARG0/131,ARG1/4</t>
  </si>
  <si>
    <t>PAT-&gt;ARG1/280,ARG2/6</t>
  </si>
  <si>
    <t>EFF-&gt;ARG1/1,ARG2/428</t>
  </si>
  <si>
    <t>"ocenit-002"</t>
  </si>
  <si>
    <t>PAT-&gt;ARG1/200,ARG2/3</t>
  </si>
  <si>
    <t>"oceňovat-001"</t>
  </si>
  <si>
    <t>EFF-&gt;ARG2/102</t>
  </si>
  <si>
    <t>"oceňovat-002"</t>
  </si>
  <si>
    <t>ACT-&gt;ARG0/28,ARG1/1,ARG2/1</t>
  </si>
  <si>
    <t>"ochabnout-001"</t>
  </si>
  <si>
    <t>ACT-&gt;ARG1/22</t>
  </si>
  <si>
    <t>"ochabnout-002"</t>
  </si>
  <si>
    <t>"ochabovat-001"</t>
  </si>
  <si>
    <t>ACT-&gt;ARG0/20,ARG1/18</t>
  </si>
  <si>
    <t>"ochladit-001"</t>
  </si>
  <si>
    <t>"ochladit-se-001"</t>
  </si>
  <si>
    <t>"ochladit-se-002"</t>
  </si>
  <si>
    <t>"ochladnout-001"</t>
  </si>
  <si>
    <t>"ochlazovat-001"</t>
  </si>
  <si>
    <t>"ochraňovat-001"</t>
  </si>
  <si>
    <t>ACT-&gt;ARG0/6,ARG3/8</t>
  </si>
  <si>
    <t>"ochrnout-001"</t>
  </si>
  <si>
    <t>"ochromit-001"</t>
  </si>
  <si>
    <t>"ochránit-001"</t>
  </si>
  <si>
    <t>EFF-&gt;ARG2/19</t>
  </si>
  <si>
    <t>ACT-&gt;ARG0/56,ARG1/1,ARG3/28</t>
  </si>
  <si>
    <t>PAT-&gt;ARG1/223,ARG2/2</t>
  </si>
  <si>
    <t>EFF-&gt;ARG2/99</t>
  </si>
  <si>
    <t>"ochudit-001"</t>
  </si>
  <si>
    <t>PAT-&gt;ARG3/3</t>
  </si>
  <si>
    <t>ADDR-&gt;ARG1/10</t>
  </si>
  <si>
    <t>"ochutit-001"</t>
  </si>
  <si>
    <t>"ochutnat-001"</t>
  </si>
  <si>
    <t>ACT-&gt;ARG0/310</t>
  </si>
  <si>
    <t>PAT-&gt;ARG1/420</t>
  </si>
  <si>
    <t>"ochutnávat-001"</t>
  </si>
  <si>
    <t>"ochuzovat-001"</t>
  </si>
  <si>
    <t>"ocitat-se-001"</t>
  </si>
  <si>
    <t>"ocitat-se-002"</t>
  </si>
  <si>
    <t>"ocitnout-se-001"</t>
  </si>
  <si>
    <t>ACT-&gt;ARG0/183,ARG1/104</t>
  </si>
  <si>
    <t>LOC-&gt;ARG1/214,ARG2/91,ARG4/1</t>
  </si>
  <si>
    <t>"ocitnout-se-002"</t>
  </si>
  <si>
    <t>ACT-&gt;ARG1/143</t>
  </si>
  <si>
    <t>"ocitnout-se-003"</t>
  </si>
  <si>
    <t>ACMP: =</t>
  </si>
  <si>
    <t>"ocitnout-se-004"</t>
  </si>
  <si>
    <t>DPHR: na-1[led:6[tenký:#]]</t>
  </si>
  <si>
    <t>"ocitovat-001"</t>
  </si>
  <si>
    <t>PAT-&gt;ARG1/28,ARG2/2</t>
  </si>
  <si>
    <t>"octnout-se-001"</t>
  </si>
  <si>
    <t>"octnout-se-002"</t>
  </si>
  <si>
    <t>"odbavovat-001"</t>
  </si>
  <si>
    <t>"odblokovat-001"</t>
  </si>
  <si>
    <t>"odbourat-001"</t>
  </si>
  <si>
    <t>"odbourávat-001"</t>
  </si>
  <si>
    <t>"odbočit-001"</t>
  </si>
  <si>
    <t>"odbočit-002"</t>
  </si>
  <si>
    <t>"odbočovat-001"</t>
  </si>
  <si>
    <t>"odbočovat-002"</t>
  </si>
  <si>
    <t>"odbrzdit-001"</t>
  </si>
  <si>
    <t>"odburácet-001"</t>
  </si>
  <si>
    <t>"odbýt-001"</t>
  </si>
  <si>
    <t>"odbýt-002"</t>
  </si>
  <si>
    <t>"odbýt-003"</t>
  </si>
  <si>
    <t>"odbýt-004"</t>
  </si>
  <si>
    <t>"odbýt-005"</t>
  </si>
  <si>
    <t>"odbýt-se-001"</t>
  </si>
  <si>
    <t>"odbýt-si-001"</t>
  </si>
  <si>
    <t>"odbývat-001"</t>
  </si>
  <si>
    <t>"odbývat-002"</t>
  </si>
  <si>
    <t>"odbývat-se-001"</t>
  </si>
  <si>
    <t>"odběhnout-001"</t>
  </si>
  <si>
    <t>"odbřemenit-001"</t>
  </si>
  <si>
    <t>"odcentrovat-001"</t>
  </si>
  <si>
    <t>"odcestovat-001"</t>
  </si>
  <si>
    <t>"odchodit-001"</t>
  </si>
  <si>
    <t>"odchovat-001"</t>
  </si>
  <si>
    <t>"odchovávat-001"</t>
  </si>
  <si>
    <t>"odchylovat-se-001"</t>
  </si>
  <si>
    <t>"odchytit-001"</t>
  </si>
  <si>
    <t>"odchytit-002"</t>
  </si>
  <si>
    <t>"odchytnout-001"</t>
  </si>
  <si>
    <t>"odchytnout-002"</t>
  </si>
  <si>
    <t>"odcházet-001"</t>
  </si>
  <si>
    <t>ACT-&gt;ARG0/363,ARG1/78</t>
  </si>
  <si>
    <t>DIR1-&gt;ARG1/73</t>
  </si>
  <si>
    <t>"odcházet-002"</t>
  </si>
  <si>
    <t>"odcházet-003"</t>
  </si>
  <si>
    <t>"odcházet-004"</t>
  </si>
  <si>
    <t>"odcházívávat-001"</t>
  </si>
  <si>
    <t>"odchýlit-se-001"</t>
  </si>
  <si>
    <t>PAT: od+2; z+2</t>
  </si>
  <si>
    <t>"odchýlit-se-002"</t>
  </si>
  <si>
    <t>"odcizit-001"</t>
  </si>
  <si>
    <t>"odcizit-002"</t>
  </si>
  <si>
    <t>"odcizit-se-001"</t>
  </si>
  <si>
    <t>PAT-&gt;ARG0/2</t>
  </si>
  <si>
    <t>"odcizit-si-001"</t>
  </si>
  <si>
    <t>"odcizovat-001"</t>
  </si>
  <si>
    <t>"odcvičit-001"</t>
  </si>
  <si>
    <t>"oddalovat-001"</t>
  </si>
  <si>
    <t>"oddalovat-002"</t>
  </si>
  <si>
    <t>ACT-&gt;ARG0/19,ARG1/5</t>
  </si>
  <si>
    <t>"oddat-001"</t>
  </si>
  <si>
    <t>"oddat-se-001"</t>
  </si>
  <si>
    <t>"oddechnout-si-001"</t>
  </si>
  <si>
    <t>"oddechnout-si-002"</t>
  </si>
  <si>
    <t>"oddychnout-si-001"</t>
  </si>
  <si>
    <t>"oddychnout-si-002"</t>
  </si>
  <si>
    <t>"oddychovat-001"</t>
  </si>
  <si>
    <t>"oddychovat-002"</t>
  </si>
  <si>
    <t>"oddálit-001"</t>
  </si>
  <si>
    <t>"oddálit-002"</t>
  </si>
  <si>
    <t>PAT-&gt;ARG1/95</t>
  </si>
  <si>
    <t>"oddálit-se-001"</t>
  </si>
  <si>
    <t>"oddávat-001"</t>
  </si>
  <si>
    <t>"oddávat-se-001"</t>
  </si>
  <si>
    <t>PAT-&gt;ARG1/9,ARG2/1</t>
  </si>
  <si>
    <t>"oddělat-001"</t>
  </si>
  <si>
    <t>"oddělat-002"</t>
  </si>
  <si>
    <t>"oddělat-003"</t>
  </si>
  <si>
    <t>"oddělat-004"</t>
  </si>
  <si>
    <t>"oddělit-001"</t>
  </si>
  <si>
    <t>ACT-&gt;ARG0/28,ARG1/1</t>
  </si>
  <si>
    <t>PAT-&gt;ARG1/113,ARG3/1</t>
  </si>
  <si>
    <t>ORIG-&gt;ARG2/6</t>
  </si>
  <si>
    <t>"oddělit-se-001"</t>
  </si>
  <si>
    <t>"oddělovat-001"</t>
  </si>
  <si>
    <t>ACT-&gt;ARG0/5,ARG3/1</t>
  </si>
  <si>
    <t>ORIG-&gt;ARG2/10</t>
  </si>
  <si>
    <t>"oddělovat-se-001"</t>
  </si>
  <si>
    <t>"odebrat-001"</t>
  </si>
  <si>
    <t>ADDR-&gt;ARG2/5</t>
  </si>
  <si>
    <t>"odebrat-002"</t>
  </si>
  <si>
    <t>"odebrat-003"</t>
  </si>
  <si>
    <t>ACT-&gt;ARG0/60,ARG1/2</t>
  </si>
  <si>
    <t>PAT-&gt;ARG1/86,ARG2/2</t>
  </si>
  <si>
    <t>DIR1-&gt;ARG1/21,ARG2/57</t>
  </si>
  <si>
    <t>"odebrat-004"</t>
  </si>
  <si>
    <t>"odebrat-se-001"</t>
  </si>
  <si>
    <t>"odebírat-001"</t>
  </si>
  <si>
    <t>"odebírat-002"</t>
  </si>
  <si>
    <t>"odebírat-003"</t>
  </si>
  <si>
    <t>"odehnat-001"</t>
  </si>
  <si>
    <t>"odehrát-001"</t>
  </si>
  <si>
    <t>"odehrát-se-001"</t>
  </si>
  <si>
    <t>ACT-&gt;ARG1/524</t>
  </si>
  <si>
    <t>"odehrávat-se-001"</t>
  </si>
  <si>
    <t>ACT-&gt;ARG0/1,ARG1/3253,ARG2/296</t>
  </si>
  <si>
    <t>"odejmout-001"</t>
  </si>
  <si>
    <t>PAT-&gt;ARG1/20,ARG2/2</t>
  </si>
  <si>
    <t>"odejít-001"</t>
  </si>
  <si>
    <t>ACT-&gt;ARG0/335,ARG1/155</t>
  </si>
  <si>
    <t>DIR1-&gt;ARG1/99,ARG2/1</t>
  </si>
  <si>
    <t>"odejít-002"</t>
  </si>
  <si>
    <t>"odejít-003"</t>
  </si>
  <si>
    <t>"odejít-004"</t>
  </si>
  <si>
    <t>DPHR: na-1[odpočinek.S4]</t>
  </si>
  <si>
    <t>"odejít-005"</t>
  </si>
  <si>
    <t>"odejít-006"</t>
  </si>
  <si>
    <t>"odejít-007"</t>
  </si>
  <si>
    <t>"odemknout-001"</t>
  </si>
  <si>
    <t>"odepisovat-001"</t>
  </si>
  <si>
    <t>DIR1-&gt;ARG2/1</t>
  </si>
  <si>
    <t>"odepisovat-002"</t>
  </si>
  <si>
    <t>"odepisovat-003"</t>
  </si>
  <si>
    <t>EFF: 4; 7; ↓že; ↓aby; ↓ať; .s; ↓c</t>
  </si>
  <si>
    <t>"odepsat-001"</t>
  </si>
  <si>
    <t>"odepsat-002"</t>
  </si>
  <si>
    <t>PAT-&gt;ARG1/186</t>
  </si>
  <si>
    <t>"odepsat-003"</t>
  </si>
  <si>
    <t>EFF-&gt;ARG1/54</t>
  </si>
  <si>
    <t>"odepírat-001"</t>
  </si>
  <si>
    <t>PAT: 4; ↓aby; .f</t>
  </si>
  <si>
    <t>"odepřít-001"</t>
  </si>
  <si>
    <t>ACT-&gt;ARG0/98</t>
  </si>
  <si>
    <t>PAT-&gt;ARG1/116</t>
  </si>
  <si>
    <t>ADDR-&gt;ARG2/10</t>
  </si>
  <si>
    <t>"odeslat-001"</t>
  </si>
  <si>
    <t>ADDR-&gt;ARG2/77,ARG3/1</t>
  </si>
  <si>
    <t>"odeslat-002"</t>
  </si>
  <si>
    <t>DIR3-&gt;ARG1/2,ARG2/9</t>
  </si>
  <si>
    <t>"odesílat-001"</t>
  </si>
  <si>
    <t>"odevzdat-001"</t>
  </si>
  <si>
    <t>ACT-&gt;ARG0/44</t>
  </si>
  <si>
    <t>PAT-&gt;ARG1/79</t>
  </si>
  <si>
    <t>"odevzdat-002"</t>
  </si>
  <si>
    <t>"odevzdat-003"</t>
  </si>
  <si>
    <t>"odevzdávat-001"</t>
  </si>
  <si>
    <t>"odevzdávat-002"</t>
  </si>
  <si>
    <t>"odevzdávat-003"</t>
  </si>
  <si>
    <t>"odeznít-001"</t>
  </si>
  <si>
    <t>ACT-&gt;ARG0/3,ARG1/3181,ARG2/296</t>
  </si>
  <si>
    <t>"odeznívat-001"</t>
  </si>
  <si>
    <t>"odečíst-001"</t>
  </si>
  <si>
    <t>ACT-&gt;ARG0/36,ARG1/1</t>
  </si>
  <si>
    <t>"odečítat-001"</t>
  </si>
  <si>
    <t>ACT-&gt;ARG0/20,ARG1/1</t>
  </si>
  <si>
    <t>"odečítat-002"</t>
  </si>
  <si>
    <t>DIR1-&gt;ARG1/63,ARG3/4</t>
  </si>
  <si>
    <t>"odfouknout-001"</t>
  </si>
  <si>
    <t>"odfrknout-si-001"</t>
  </si>
  <si>
    <t>"odhadnout-001"</t>
  </si>
  <si>
    <t>ACT-&gt;ARG0/725,ARG1/1</t>
  </si>
  <si>
    <t>PAT-&gt;ARG1/920,ARG2/3</t>
  </si>
  <si>
    <t>EFF-&gt;ARG1/6,ARG2/79</t>
  </si>
  <si>
    <t>"odhadnout-002"</t>
  </si>
  <si>
    <t>ACT-&gt;ARG0/711,ARG1/1</t>
  </si>
  <si>
    <t>PAT: 4; ↓že; ↓zda; ↓c</t>
  </si>
  <si>
    <t>PAT-&gt;ARG1/885,ARG2/3</t>
  </si>
  <si>
    <t>"odhadovat-001"</t>
  </si>
  <si>
    <t>ACT-&gt;ARG0/12468,ARG1/36</t>
  </si>
  <si>
    <t>PAT-&gt;ARG0/2,ARG1/3982,ARG2/299,ARG3/29</t>
  </si>
  <si>
    <t>EFF-&gt;ARG1/128,ARG2/3556</t>
  </si>
  <si>
    <t>"odhadovat-002"</t>
  </si>
  <si>
    <t>ACT-&gt;ARG0/455,ARG1/3102,ARG2/296</t>
  </si>
  <si>
    <t>PAT-&gt;ARG1/591,ARG2/3453</t>
  </si>
  <si>
    <t>"odhalit-001"</t>
  </si>
  <si>
    <t>ACT-&gt;ARG0/846,ARG1/3</t>
  </si>
  <si>
    <t>PAT-&gt;ARG0/1,ARG1/1629,ARG2/6</t>
  </si>
  <si>
    <t>"odhalit-002"</t>
  </si>
  <si>
    <t>"odhalovat-001"</t>
  </si>
  <si>
    <t>PAT-&gt;ARG1/104</t>
  </si>
  <si>
    <t>"odhalovat-002"</t>
  </si>
  <si>
    <t>"odhazovat-001"</t>
  </si>
  <si>
    <t>"odhlasovat-001"</t>
  </si>
  <si>
    <t>ACT-&gt;ARG0/56,ARG2/1</t>
  </si>
  <si>
    <t>"odhlásit-001"</t>
  </si>
  <si>
    <t>"odhlédnout-001"</t>
  </si>
  <si>
    <t>"odhlížet-001"</t>
  </si>
  <si>
    <t>"odhodit-001"</t>
  </si>
  <si>
    <t>"odhodit-002"</t>
  </si>
  <si>
    <t>"odhodlat-se-001"</t>
  </si>
  <si>
    <t>PAT: k+3; .f; ↓že</t>
  </si>
  <si>
    <t>"odhodlávat-se-001"</t>
  </si>
  <si>
    <t>"odhrabat-001"</t>
  </si>
  <si>
    <t>"odhrnovat-001"</t>
  </si>
  <si>
    <t>"odhánět-001"</t>
  </si>
  <si>
    <t>"odházet-001"</t>
  </si>
  <si>
    <t>"odjet-001"</t>
  </si>
  <si>
    <t>ACT-&gt;ARG0/26,ARG1/78</t>
  </si>
  <si>
    <t>"odjet-002"</t>
  </si>
  <si>
    <t>"odjistit-001"</t>
  </si>
  <si>
    <t>"odjíždět-001"</t>
  </si>
  <si>
    <t>DIR1-&gt;ARG1/55</t>
  </si>
  <si>
    <t>"odkapávat-001"</t>
  </si>
  <si>
    <t>"odkazovat-001"</t>
  </si>
  <si>
    <t>PAT-&gt;ARG1/48,ARG2/5</t>
  </si>
  <si>
    <t>"odkazovat-002"</t>
  </si>
  <si>
    <t>"odkazovat-003"</t>
  </si>
  <si>
    <t>"odkazovat-004"</t>
  </si>
  <si>
    <t>PAT: na+4; ↓že</t>
  </si>
  <si>
    <t>"odkašlat-si-001"</t>
  </si>
  <si>
    <t>"odklidit-001"</t>
  </si>
  <si>
    <t>"odklidit-002"</t>
  </si>
  <si>
    <t>"odklizovat-001"</t>
  </si>
  <si>
    <t>"odklonit-001"</t>
  </si>
  <si>
    <t>"odklonit-002"</t>
  </si>
  <si>
    <t>"odklonit-003"</t>
  </si>
  <si>
    <t>"odklonit-se-001"</t>
  </si>
  <si>
    <t>ACT-&gt;ARG1/25</t>
  </si>
  <si>
    <t>"odklonit-se-002"</t>
  </si>
  <si>
    <t>"odklusat-001"</t>
  </si>
  <si>
    <t>"odkládat-001"</t>
  </si>
  <si>
    <t>PAT-&gt;ARG1/181</t>
  </si>
  <si>
    <t>"odkládat-002"</t>
  </si>
  <si>
    <t>"odkládat-003"</t>
  </si>
  <si>
    <t>"odkládat-004"</t>
  </si>
  <si>
    <t>"--odkládat-005"</t>
  </si>
  <si>
    <t>"odklánět-001"</t>
  </si>
  <si>
    <t>"odklánět-se-001"</t>
  </si>
  <si>
    <t>"odklízet-001"</t>
  </si>
  <si>
    <t>"odkopnout-001"</t>
  </si>
  <si>
    <t>"odkopávat-001"</t>
  </si>
  <si>
    <t>"odkoupit-001"</t>
  </si>
  <si>
    <t>ACT-&gt;ARG0/711,ARG1/2</t>
  </si>
  <si>
    <t>PAT-&gt;ARG0/2,ARG1/1278,ARG3/1</t>
  </si>
  <si>
    <t>"odkroutit-001"</t>
  </si>
  <si>
    <t>"odkroutit-si-001"</t>
  </si>
  <si>
    <t>"odkráglovat-001"</t>
  </si>
  <si>
    <t>"odkrýt-001"</t>
  </si>
  <si>
    <t>ACT-&gt;ARG0/175,ARG1/2</t>
  </si>
  <si>
    <t>PAT-&gt;ARG1/301</t>
  </si>
  <si>
    <t>"odkrývat-001"</t>
  </si>
  <si>
    <t>"odkupovat-001"</t>
  </si>
  <si>
    <t>ORIG-&gt;ARG2/16</t>
  </si>
  <si>
    <t>"odkvétat-001"</t>
  </si>
  <si>
    <t>"odkázat-001"</t>
  </si>
  <si>
    <t>"odkázat-002"</t>
  </si>
  <si>
    <t>PAT-&gt;ARG1/3,ARG2/5</t>
  </si>
  <si>
    <t>ADDR-&gt;ARG0/1,ARG1/6,ARG2/1</t>
  </si>
  <si>
    <t>"odkázat-003"</t>
  </si>
  <si>
    <t>"odkývat-001"</t>
  </si>
  <si>
    <t>"odlehčit-001"</t>
  </si>
  <si>
    <t>"odlehčit-002"</t>
  </si>
  <si>
    <t>"odlepit-se-001"</t>
  </si>
  <si>
    <t>"odlepkovávat-001"</t>
  </si>
  <si>
    <t>"odletět-001"</t>
  </si>
  <si>
    <t>ACT-&gt;ARG0/2,ARG1/42</t>
  </si>
  <si>
    <t>"odležet-se-001"</t>
  </si>
  <si>
    <t>"odlišit-001"</t>
  </si>
  <si>
    <t>"odlišit-se-001"</t>
  </si>
  <si>
    <t>PAT-&gt;ARG1/4,ARG2/2</t>
  </si>
  <si>
    <t>"odlišovat-001"</t>
  </si>
  <si>
    <t>"odlišovat-se-001"</t>
  </si>
  <si>
    <t>"odloučit-001"</t>
  </si>
  <si>
    <t>"odložit-001"</t>
  </si>
  <si>
    <t>ACT-&gt;ARG0/404,ARG1/12</t>
  </si>
  <si>
    <t>PAT-&gt;ARG1/643</t>
  </si>
  <si>
    <t>"odložit-002"</t>
  </si>
  <si>
    <t>"odložit-003"</t>
  </si>
  <si>
    <t>"odlupovat-001"</t>
  </si>
  <si>
    <t>"odlákat-001"</t>
  </si>
  <si>
    <t>"odlákávat-001"</t>
  </si>
  <si>
    <t>"odlétat-001"</t>
  </si>
  <si>
    <t>"odlít-001"</t>
  </si>
  <si>
    <t>"odlít-002"</t>
  </si>
  <si>
    <t>"odmalovat-001"</t>
  </si>
  <si>
    <t>"odmaturovat-001"</t>
  </si>
  <si>
    <t>"odmlouvat-001"</t>
  </si>
  <si>
    <t>"odmlčet-se-001"</t>
  </si>
  <si>
    <t>"odmontovat-001"</t>
  </si>
  <si>
    <t>"odmrštit-001"</t>
  </si>
  <si>
    <t>"odmyslit-si-001"</t>
  </si>
  <si>
    <t>"odmávat-001"</t>
  </si>
  <si>
    <t>"odmávnout-001"</t>
  </si>
  <si>
    <t>"odmáčet-001"</t>
  </si>
  <si>
    <t>"odmítat-001"</t>
  </si>
  <si>
    <t>"odmítat-002"</t>
  </si>
  <si>
    <t>ACT-&gt;ARG0/184</t>
  </si>
  <si>
    <t>PAT: 4; ↓aby; ↓že</t>
  </si>
  <si>
    <t>PAT-&gt;ARG1/204</t>
  </si>
  <si>
    <t>"odmítat-003"</t>
  </si>
  <si>
    <t>ACT-&gt;ARG0/546,ARG1/1</t>
  </si>
  <si>
    <t>PAT-&gt;ARG1/564</t>
  </si>
  <si>
    <t>"odmítat-004"</t>
  </si>
  <si>
    <t>"odmítnout-001"</t>
  </si>
  <si>
    <t>ACT-&gt;ARG0/303</t>
  </si>
  <si>
    <t>PAT-&gt;ARG1/272</t>
  </si>
  <si>
    <t>"odmítnout-002"</t>
  </si>
  <si>
    <t>ACT: 1; {strana-2}.S2/AuxP[z-1,.2]</t>
  </si>
  <si>
    <t>ACT-&gt;ARG0/530</t>
  </si>
  <si>
    <t>PAT-&gt;ARG1/594</t>
  </si>
  <si>
    <t>"odmítnout-003"</t>
  </si>
  <si>
    <t>ACT-&gt;ARG0/582,ARG1/5</t>
  </si>
  <si>
    <t>PAT-&gt;ARG0/2,ARG1/610</t>
  </si>
  <si>
    <t>"odmítnout-004"</t>
  </si>
  <si>
    <t>"odměnit-001"</t>
  </si>
  <si>
    <t>PAT-&gt;ARG1/133,ARG2/10</t>
  </si>
  <si>
    <t>"odměnit-se-001"</t>
  </si>
  <si>
    <t>"odměňovat-001"</t>
  </si>
  <si>
    <t>PAT-&gt;ARG1/11,ARG2/3</t>
  </si>
  <si>
    <t>"odměňovat-se-001"</t>
  </si>
  <si>
    <t>"odměřovat-001"</t>
  </si>
  <si>
    <t>"odnaučit-001"</t>
  </si>
  <si>
    <t>PAT: 4; 3; .f; ↓aby; ↓c</t>
  </si>
  <si>
    <t>"odnaučit-se-001"</t>
  </si>
  <si>
    <t>PAT: 3; .f</t>
  </si>
  <si>
    <t>"odnárodnit-001"</t>
  </si>
  <si>
    <t>"odnášet-001"</t>
  </si>
  <si>
    <t>"odnášet-002"</t>
  </si>
  <si>
    <t>"odnášet-003"</t>
  </si>
  <si>
    <t>"odnášet-004"</t>
  </si>
  <si>
    <t>"odnést-001"</t>
  </si>
  <si>
    <t>"odnést-002"</t>
  </si>
  <si>
    <t>"odnést-003"</t>
  </si>
  <si>
    <t>"odnést-004"</t>
  </si>
  <si>
    <t>"odnést-005"</t>
  </si>
  <si>
    <t>"odnést-si-001"</t>
  </si>
  <si>
    <t>"odolat-001"</t>
  </si>
  <si>
    <t>PAT: 3; ↓aby</t>
  </si>
  <si>
    <t>ACT-&gt;ARG0/77</t>
  </si>
  <si>
    <t>PAT-&gt;ARG1/182</t>
  </si>
  <si>
    <t>"odolávat-001"</t>
  </si>
  <si>
    <t>"odoperovat-001"</t>
  </si>
  <si>
    <t>"odorat-001"</t>
  </si>
  <si>
    <t>"odpadat-001"</t>
  </si>
  <si>
    <t>"odpadnout-001"</t>
  </si>
  <si>
    <t>ACT-&gt;ARG1/100</t>
  </si>
  <si>
    <t>"odpadnout-002"</t>
  </si>
  <si>
    <t>ACT-&gt;ARG0/7,ARG1/47</t>
  </si>
  <si>
    <t>"odpadávat-001"</t>
  </si>
  <si>
    <t>"odpalovat-001"</t>
  </si>
  <si>
    <t>ACT-&gt;ARG0/21,ARG1/1,ARG2/23</t>
  </si>
  <si>
    <t>"odplavit-001"</t>
  </si>
  <si>
    <t>"odplevelit-001"</t>
  </si>
  <si>
    <t>"odplout-001"</t>
  </si>
  <si>
    <t>"odplouvat-001"</t>
  </si>
  <si>
    <t>"odplynout-001"</t>
  </si>
  <si>
    <t>"odplížit-se-001"</t>
  </si>
  <si>
    <t>"odpochodovat-001"</t>
  </si>
  <si>
    <t>"odpochodovat-002"</t>
  </si>
  <si>
    <t>"odpojit-001"</t>
  </si>
  <si>
    <t>"odpojit-002"</t>
  </si>
  <si>
    <t>"odpolitizovat-001"</t>
  </si>
  <si>
    <t>"odpomoci-001"</t>
  </si>
  <si>
    <t>?PAT: od+2; .f</t>
  </si>
  <si>
    <t>"odporovat-001"</t>
  </si>
  <si>
    <t>ACT-&gt;ARG0/4,ARG1/40</t>
  </si>
  <si>
    <t>"odporovat-002"</t>
  </si>
  <si>
    <t>PAT: 3; ↓že; .s; ↓c</t>
  </si>
  <si>
    <t>"odposlechnout-001"</t>
  </si>
  <si>
    <t>"odposlouchat-001"</t>
  </si>
  <si>
    <t>"odposlouchávat-001"</t>
  </si>
  <si>
    <t>ACT-&gt;ARG0/42</t>
  </si>
  <si>
    <t>PAT-&gt;ARG1/60,ARG2/4</t>
  </si>
  <si>
    <t>"odpoutat-001"</t>
  </si>
  <si>
    <t>"odpoutat-002"</t>
  </si>
  <si>
    <t>"odpoutat-se-001"</t>
  </si>
  <si>
    <t>"odpoutávat-001"</t>
  </si>
  <si>
    <t>ORIG-&gt;ARG2/2</t>
  </si>
  <si>
    <t>"odpoutávat-002"</t>
  </si>
  <si>
    <t>"odpouštět-001"</t>
  </si>
  <si>
    <t>"odpouštět-002"</t>
  </si>
  <si>
    <t>"odpouštět-si-001"</t>
  </si>
  <si>
    <t>"odpovídat-001"</t>
  </si>
  <si>
    <t>"odpovídat-002"</t>
  </si>
  <si>
    <t>ACT-&gt;ARG0/278,ARG1/3204,ARG2/296</t>
  </si>
  <si>
    <t>PAT-&gt;ARG1/590,ARG2/3532</t>
  </si>
  <si>
    <t>"odpovídat-003"</t>
  </si>
  <si>
    <t>PAT-&gt;ARG1/66,ARG2/1</t>
  </si>
  <si>
    <t>"odpovídat-004"</t>
  </si>
  <si>
    <t>"odpovídat-005"</t>
  </si>
  <si>
    <t>ACT-&gt;ARG0/12214,ARG1/36</t>
  </si>
  <si>
    <t>EFF: 4; 7; ↓že; ↓zda; ↓aby; ↓ať; .s; ↓c</t>
  </si>
  <si>
    <t>EFF-&gt;ARG0/2,ARG1/10494,ARG2/51</t>
  </si>
  <si>
    <t>PAT-&gt;ARG0/2,ARG1/74,ARG2/2,ARG3/29</t>
  </si>
  <si>
    <t>"odpovídat-006"</t>
  </si>
  <si>
    <t>"odpovídat-se-001"</t>
  </si>
  <si>
    <t>"odpovědět-001"</t>
  </si>
  <si>
    <t>"odpovědět-002"</t>
  </si>
  <si>
    <t>"odpovědět-003"</t>
  </si>
  <si>
    <t>ACT-&gt;ARG0/13045,ARG1/39</t>
  </si>
  <si>
    <t>ADDR-&gt;ARG1/6,ARG2/341</t>
  </si>
  <si>
    <t>EFF: 4; 7; ↓že; ↓aby; ↓ať; ↓zda; .s; ↓c</t>
  </si>
  <si>
    <t>EFF-&gt;ARG0/2,ARG1/11439,ARG2/53</t>
  </si>
  <si>
    <t>PAT-&gt;ARG0/2,ARG1/89,ARG2/9,ARG3/29</t>
  </si>
  <si>
    <t>"odpovědět-004"</t>
  </si>
  <si>
    <t>"odpočinout-si-001"</t>
  </si>
  <si>
    <t>"odpočnout-si-001"</t>
  </si>
  <si>
    <t>"odpočíst-001"</t>
  </si>
  <si>
    <t>"odpočíst-002"</t>
  </si>
  <si>
    <t>"odpočítávat-001"</t>
  </si>
  <si>
    <t>"odpočítávat-002"</t>
  </si>
  <si>
    <t>"odpočívat-001"</t>
  </si>
  <si>
    <t>"odpracovat-001"</t>
  </si>
  <si>
    <t>ACT-&gt;ARG0/200</t>
  </si>
  <si>
    <t>"odpracovávat-001"</t>
  </si>
  <si>
    <t>"odpravit-001"</t>
  </si>
  <si>
    <t>"odprodat-001"</t>
  </si>
  <si>
    <t>ACT-&gt;ARG0/523,ARG1/2,ARG2/1</t>
  </si>
  <si>
    <t>PAT-&gt;ARG0/1,ARG1/993,ARG2/1</t>
  </si>
  <si>
    <t>ADDR-&gt;ARG2/221</t>
  </si>
  <si>
    <t>"odprodávat-001"</t>
  </si>
  <si>
    <t>"odpromovat-001"</t>
  </si>
  <si>
    <t>"odprásknout-se-001"</t>
  </si>
  <si>
    <t>"odpudit-001"</t>
  </si>
  <si>
    <t>"odpustit-001"</t>
  </si>
  <si>
    <t>"odpustit-002"</t>
  </si>
  <si>
    <t>"odpustit-si-001"</t>
  </si>
  <si>
    <t>"odpuzovat-001"</t>
  </si>
  <si>
    <t>"odpykat-si-001"</t>
  </si>
  <si>
    <t>"odpykávat-si-001"</t>
  </si>
  <si>
    <t>"odpálit-001"</t>
  </si>
  <si>
    <t>ACT-&gt;ARG0/22,ARG1/1,ARG2/22</t>
  </si>
  <si>
    <t>PAT-&gt;ARG1/51,ARG2/4</t>
  </si>
  <si>
    <t>"odpálit-002"</t>
  </si>
  <si>
    <t>"odpálit-003"</t>
  </si>
  <si>
    <t>"odpálkovat-001"</t>
  </si>
  <si>
    <t>"odpárat-001"</t>
  </si>
  <si>
    <t>"odpíchnout-001"</t>
  </si>
  <si>
    <t>"odpírat-001"</t>
  </si>
  <si>
    <t>ADDR-&gt;ARG0/5</t>
  </si>
  <si>
    <t>"odpískat-001"</t>
  </si>
  <si>
    <t>"odpřisáhnout-001"</t>
  </si>
  <si>
    <t>"odradit-001"</t>
  </si>
  <si>
    <t>ACT-&gt;ARG0/272,ARG2/3</t>
  </si>
  <si>
    <t>ADDR-&gt;ARG0/2,ARG1/87,ARG2/309</t>
  </si>
  <si>
    <t>?PAT: od+2; ↓aby</t>
  </si>
  <si>
    <t>PAT-&gt;ARG1/351,ARG2/30</t>
  </si>
  <si>
    <t>"odrazit-001"</t>
  </si>
  <si>
    <t>ACT-&gt;ARG0/4,ARG1/2,ARG2/164</t>
  </si>
  <si>
    <t>PAT-&gt;ARG1/268,ARG2/6</t>
  </si>
  <si>
    <t>"odrazit-002"</t>
  </si>
  <si>
    <t>ACT-&gt;ARG1/2,ARG2/164</t>
  </si>
  <si>
    <t>PAT-&gt;ARG1/250,ARG2/6</t>
  </si>
  <si>
    <t>"odrazit-003"</t>
  </si>
  <si>
    <t>"odrazit-se-001"</t>
  </si>
  <si>
    <t>ACT-&gt;ARG1/481,ARG2/6</t>
  </si>
  <si>
    <t>PAT: v+6; na+6</t>
  </si>
  <si>
    <t>PAT-&gt;ARG1/2,ARG2/164</t>
  </si>
  <si>
    <t>"odrazit-se-002"</t>
  </si>
  <si>
    <t>"odrazit-se-003"</t>
  </si>
  <si>
    <t>ACT-&gt;ARG0/1,ARG1/63</t>
  </si>
  <si>
    <t>DIR1-&gt;ARG3/12</t>
  </si>
  <si>
    <t>"odrazit-se-004"</t>
  </si>
  <si>
    <t>"odrazovat-001"</t>
  </si>
  <si>
    <t>ACT-&gt;ARG0/21,ARG2/2</t>
  </si>
  <si>
    <t>ADDR-&gt;ARG1/24</t>
  </si>
  <si>
    <t>PAT-&gt;ARG1/9,ARG2/10,ARG3/1</t>
  </si>
  <si>
    <t>"odreagovat-se-001"</t>
  </si>
  <si>
    <t>"odreagovávat-001"</t>
  </si>
  <si>
    <t>"odrodit-001"</t>
  </si>
  <si>
    <t>"odrovnat-001"</t>
  </si>
  <si>
    <t>"odročit-001"</t>
  </si>
  <si>
    <t>"odrážet-001"</t>
  </si>
  <si>
    <t>ACT-&gt;ARG0/34,ARG1/117,ARG2/173</t>
  </si>
  <si>
    <t>PAT-&gt;ARG1/368,ARG2/95</t>
  </si>
  <si>
    <t>"odrážet-002"</t>
  </si>
  <si>
    <t>"odrážet-se-001"</t>
  </si>
  <si>
    <t>ACT-&gt;ARG1/252,ARG2/6</t>
  </si>
  <si>
    <t>"odrážet-se-002"</t>
  </si>
  <si>
    <t>ACT-&gt;ARG1/250,ARG2/6</t>
  </si>
  <si>
    <t>"odrážet-se-003"</t>
  </si>
  <si>
    <t>"odrážet-se-004"</t>
  </si>
  <si>
    <t>"odrůst-001"</t>
  </si>
  <si>
    <t>"odrůst-002"</t>
  </si>
  <si>
    <t>"odrůstat-001"</t>
  </si>
  <si>
    <t>"odsednout-si-001"</t>
  </si>
  <si>
    <t>"odsedět-si-001"</t>
  </si>
  <si>
    <t>"odsekat-001"</t>
  </si>
  <si>
    <t>"odseknout-001"</t>
  </si>
  <si>
    <t>"odseknout-002"</t>
  </si>
  <si>
    <t>EFF-&gt;ARG1/3</t>
  </si>
  <si>
    <t>"odskakovat-001"</t>
  </si>
  <si>
    <t>"odskakovat-si-001"</t>
  </si>
  <si>
    <t>"odskočit-001"</t>
  </si>
  <si>
    <t>"odskočit-si-001"</t>
  </si>
  <si>
    <t>"odskákat-001"</t>
  </si>
  <si>
    <t>ACT-&gt;ARG1/76</t>
  </si>
  <si>
    <t>"odsloužit-001"</t>
  </si>
  <si>
    <t>"odsloužit-si-001"</t>
  </si>
  <si>
    <t>"odsoudit-001"</t>
  </si>
  <si>
    <t>?EFF: k+3; na+4; .f</t>
  </si>
  <si>
    <t>EFF-&gt;ARG2/23</t>
  </si>
  <si>
    <t>"odsoudit-002"</t>
  </si>
  <si>
    <t>"odsouhlasit-001"</t>
  </si>
  <si>
    <t>ACT-&gt;ARG0/673</t>
  </si>
  <si>
    <t>PAT: 4; ↓že; ↓zda; ↓jestli; ↓aby; ↓c</t>
  </si>
  <si>
    <t>PAT-&gt;ARG1/701</t>
  </si>
  <si>
    <t>"odsouvat-001"</t>
  </si>
  <si>
    <t>"odsouvat-002"</t>
  </si>
  <si>
    <t>"odstartovat-001"</t>
  </si>
  <si>
    <t>ACT-&gt;ARG0/214,ARG1/67,ARG2/3</t>
  </si>
  <si>
    <t>PAT-&gt;ARG0/2,ARG1/424</t>
  </si>
  <si>
    <t>"odstartovat-002"</t>
  </si>
  <si>
    <t>"odstartovat-003"</t>
  </si>
  <si>
    <t>ACT-&gt;ARG1/24</t>
  </si>
  <si>
    <t>"odstartovat-004"</t>
  </si>
  <si>
    <t>"odstartovat-005"</t>
  </si>
  <si>
    <t>"odstaršit-001"</t>
  </si>
  <si>
    <t>"odstavit-001"</t>
  </si>
  <si>
    <t>ACT-&gt;ARG0/20,ARG3/3</t>
  </si>
  <si>
    <t>DIR1-&gt;ARG2/15</t>
  </si>
  <si>
    <t>"odstavit-002"</t>
  </si>
  <si>
    <t>"odstavit-003"</t>
  </si>
  <si>
    <t>"odstavovat-001"</t>
  </si>
  <si>
    <t>"odstavovat-002"</t>
  </si>
  <si>
    <t>"odstoupit-001"</t>
  </si>
  <si>
    <t>ACT-&gt;ARG0/73,ARG1/4</t>
  </si>
  <si>
    <t>PAT-&gt;ARG1/72,ARG2/13</t>
  </si>
  <si>
    <t>"odstoupit-002"</t>
  </si>
  <si>
    <t>"odstoupit-003"</t>
  </si>
  <si>
    <t>ACT-&gt;ARG0/195</t>
  </si>
  <si>
    <t>"odstranit-001"</t>
  </si>
  <si>
    <t>PAT-&gt;ARG1/289</t>
  </si>
  <si>
    <t>"odstranit-002"</t>
  </si>
  <si>
    <t>ACT-&gt;ARG0/71</t>
  </si>
  <si>
    <t>DIR1-&gt;ARG2/7</t>
  </si>
  <si>
    <t>"odstranit-003"</t>
  </si>
  <si>
    <t>ACT-&gt;ARG0/210</t>
  </si>
  <si>
    <t>PAT-&gt;ARG1/535,ARG2/1</t>
  </si>
  <si>
    <t>"odstraňovat-001"</t>
  </si>
  <si>
    <t>DIR1-&gt;ARG2/1,ARG3/1</t>
  </si>
  <si>
    <t>"odstraňovat-002"</t>
  </si>
  <si>
    <t>"odstraňovat-003"</t>
  </si>
  <si>
    <t>"odstrašit-001"</t>
  </si>
  <si>
    <t>ACT-&gt;ARG0/7,ARG2/1</t>
  </si>
  <si>
    <t>ADDR-&gt;ARG1/17</t>
  </si>
  <si>
    <t>"odstrašovat-001"</t>
  </si>
  <si>
    <t>ACT-&gt;ARG0/2,ARG2/2</t>
  </si>
  <si>
    <t>"odstrčit-001"</t>
  </si>
  <si>
    <t>"odstrčit-002"</t>
  </si>
  <si>
    <t>"odstupovat-001"</t>
  </si>
  <si>
    <t>ACT-&gt;ARG0/7,ARG1/132</t>
  </si>
  <si>
    <t>"odstupovat-002"</t>
  </si>
  <si>
    <t>"odstupňovat-001"</t>
  </si>
  <si>
    <t>"odstínit-001"</t>
  </si>
  <si>
    <t>?EFF: před+7</t>
  </si>
  <si>
    <t>"odstěhovat-001"</t>
  </si>
  <si>
    <t>"odstěhovat-se-001"</t>
  </si>
  <si>
    <t>"odstřelit-001"</t>
  </si>
  <si>
    <t>"odstřelit-002"</t>
  </si>
  <si>
    <t>"odstřelovat-001"</t>
  </si>
  <si>
    <t>"odstřihnout-001"</t>
  </si>
  <si>
    <t>"odstřihávat-001"</t>
  </si>
  <si>
    <t>DIR1-&gt;ARG1/1,ARG2/4</t>
  </si>
  <si>
    <t>"odstříknout-001"</t>
  </si>
  <si>
    <t>"odstříknout-002"</t>
  </si>
  <si>
    <t>"odsunout-001"</t>
  </si>
  <si>
    <t>"odsunout-002"</t>
  </si>
  <si>
    <t>PAT-&gt;ARG1/311</t>
  </si>
  <si>
    <t>?DIR3: =</t>
  </si>
  <si>
    <t>DIR3-&gt;ARG1/264,ARG2/30</t>
  </si>
  <si>
    <t>"odsunout-003"</t>
  </si>
  <si>
    <t>"odsunout-004"</t>
  </si>
  <si>
    <t>"odsuzovat-001"</t>
  </si>
  <si>
    <t>"odsát-001"</t>
  </si>
  <si>
    <t>"odsávat-001"</t>
  </si>
  <si>
    <t>"odtahovat-se-001"</t>
  </si>
  <si>
    <t>"odtajnit-001"</t>
  </si>
  <si>
    <t>"odtransportovat-001"</t>
  </si>
  <si>
    <t>"odtrhnout-001"</t>
  </si>
  <si>
    <t>"odtrhnout-002"</t>
  </si>
  <si>
    <t>"odtrhnout-se-001"</t>
  </si>
  <si>
    <t>"odtrhnout-se-002"</t>
  </si>
  <si>
    <t>"odtrhovat-001"</t>
  </si>
  <si>
    <t>"odtrhovat-002"</t>
  </si>
  <si>
    <t>"odtrhovat-si-001"</t>
  </si>
  <si>
    <t>DPHR: od-1[ústa.P2]</t>
  </si>
  <si>
    <t>"odtrhávat-001"</t>
  </si>
  <si>
    <t>"odtrhávat-se-001"</t>
  </si>
  <si>
    <t>"odtáhnout-001"</t>
  </si>
  <si>
    <t>"odtáhnout-002"</t>
  </si>
  <si>
    <t>"odtáhnout-003"</t>
  </si>
  <si>
    <t>"odtáhnout-se-001"</t>
  </si>
  <si>
    <t>"odtéci-001"</t>
  </si>
  <si>
    <t>"odtékat-001"</t>
  </si>
  <si>
    <t>"odumřít-001"</t>
  </si>
  <si>
    <t>ACT-&gt;ARG1/71</t>
  </si>
  <si>
    <t>"odučit-001"</t>
  </si>
  <si>
    <t>"odvalit-001"</t>
  </si>
  <si>
    <t>"odvanout-001"</t>
  </si>
  <si>
    <t>"odvažovat-se-001"</t>
  </si>
  <si>
    <t>PAT: 2; k+3; .f</t>
  </si>
  <si>
    <t>PAT-&gt;ARG2/4</t>
  </si>
  <si>
    <t>"odvděčit-se-001"</t>
  </si>
  <si>
    <t>"odvděčovat-se-001"</t>
  </si>
  <si>
    <t>"odvelet-001"</t>
  </si>
  <si>
    <t>"odvinit-001"</t>
  </si>
  <si>
    <t>"odvinout-se-001"</t>
  </si>
  <si>
    <t>"odvlíknout-001"</t>
  </si>
  <si>
    <t>"odvodit-001"</t>
  </si>
  <si>
    <t>ORIG: z+2; od+2; odtud; odsud; odkudkoliv; odevšad; odtamtud; odjinud; odkud; odněkud; odnikud; odkudsi</t>
  </si>
  <si>
    <t>"odvodit-002"</t>
  </si>
  <si>
    <t>EFF: 4; ↓že; ↓jestli; ↓zda</t>
  </si>
  <si>
    <t>"odvolat-001"</t>
  </si>
  <si>
    <t>ACT-&gt;ARG0/64</t>
  </si>
  <si>
    <t>"odvolat-002"</t>
  </si>
  <si>
    <t>"odvolat-003"</t>
  </si>
  <si>
    <t>ACT-&gt;ARG0/62</t>
  </si>
  <si>
    <t>PAT-&gt;ARG1/132,ARG2/13</t>
  </si>
  <si>
    <t>"odvolat-se-001"</t>
  </si>
  <si>
    <t>ACT-&gt;ARG0/131</t>
  </si>
  <si>
    <t>PAT-&gt;ARG1/242,ARG2/6</t>
  </si>
  <si>
    <t>"odvolat-se-002"</t>
  </si>
  <si>
    <t>"odvolávat-001"</t>
  </si>
  <si>
    <t>"odvolávat-002"</t>
  </si>
  <si>
    <t>"odvolávat-003"</t>
  </si>
  <si>
    <t>"odvolávat-se-001"</t>
  </si>
  <si>
    <t>"odvolávat-se-002"</t>
  </si>
  <si>
    <t>"odvozovat-001"</t>
  </si>
  <si>
    <t>"odvracet-001"</t>
  </si>
  <si>
    <t>"odvracet-002"</t>
  </si>
  <si>
    <t>"odvracet-se-001"</t>
  </si>
  <si>
    <t>"odvrhnout-001"</t>
  </si>
  <si>
    <t>"odvrátit-001"</t>
  </si>
  <si>
    <t>ACT-&gt;ARG0/42,ARG1/1,ARG3/3</t>
  </si>
  <si>
    <t>"odvrátit-002"</t>
  </si>
  <si>
    <t>"odvrátit-003"</t>
  </si>
  <si>
    <t>"odvrátit-se-001"</t>
  </si>
  <si>
    <t>PAT-&gt;ARG1/2,ARG2/1</t>
  </si>
  <si>
    <t>"odvykat-001"</t>
  </si>
  <si>
    <t>"odvyknout-001"</t>
  </si>
  <si>
    <t>"odvyknout-si-001"</t>
  </si>
  <si>
    <t>PAT: ↓že; .f</t>
  </si>
  <si>
    <t>"odvysílat-001"</t>
  </si>
  <si>
    <t>"odvádět-001"</t>
  </si>
  <si>
    <t>"odvádět-002"</t>
  </si>
  <si>
    <t>"odvádět-003"</t>
  </si>
  <si>
    <t>"odvádět-004"</t>
  </si>
  <si>
    <t>"odvádět-005"</t>
  </si>
  <si>
    <t>"odvádět-006"</t>
  </si>
  <si>
    <t>PAT-&gt;ARG1/196</t>
  </si>
  <si>
    <t>"odvádět-007"</t>
  </si>
  <si>
    <t>"odvát-001"</t>
  </si>
  <si>
    <t>"odvázat-se-001"</t>
  </si>
  <si>
    <t>"odvážet-001"</t>
  </si>
  <si>
    <t>"odvážet-002"</t>
  </si>
  <si>
    <t>"odvážet-003"</t>
  </si>
  <si>
    <t>"odvážit-001"</t>
  </si>
  <si>
    <t>"odvážit-se-001"</t>
  </si>
  <si>
    <t>PAT: 2; .f; k+3</t>
  </si>
  <si>
    <t>"odvážit-se-002"</t>
  </si>
  <si>
    <t>"odvést-001"</t>
  </si>
  <si>
    <t>DIR1-&gt;ARG2/8</t>
  </si>
  <si>
    <t>"odvést-002"</t>
  </si>
  <si>
    <t>"odvést-003"</t>
  </si>
  <si>
    <t>PAT-&gt;ARG1/411</t>
  </si>
  <si>
    <t>"odvést-004"</t>
  </si>
  <si>
    <t>"odvést-005"</t>
  </si>
  <si>
    <t>"odvézt-001"</t>
  </si>
  <si>
    <t>"odvézt-002"</t>
  </si>
  <si>
    <t>"odvézt-003"</t>
  </si>
  <si>
    <t>"odvíjet-001"</t>
  </si>
  <si>
    <t>"odvíjet-se-001"</t>
  </si>
  <si>
    <t>"odvíjet-se-002"</t>
  </si>
  <si>
    <t>"odvětit-001"</t>
  </si>
  <si>
    <t>EFF-&gt;ARG1/2,ARG2/49</t>
  </si>
  <si>
    <t>"odzbrojit-001"</t>
  </si>
  <si>
    <t>"odzbrojit-002"</t>
  </si>
  <si>
    <t>"odzbrojovat-001"</t>
  </si>
  <si>
    <t>"odzvonit-001"</t>
  </si>
  <si>
    <t>"odzvonit-002"</t>
  </si>
  <si>
    <t>"odírat-001"</t>
  </si>
  <si>
    <t>"odít-001"</t>
  </si>
  <si>
    <t>"odčarovat-001"</t>
  </si>
  <si>
    <t>"odčerpat-001"</t>
  </si>
  <si>
    <t>"odčerpat-002"</t>
  </si>
  <si>
    <t>"odčerpat-003"</t>
  </si>
  <si>
    <t>DIR1-&gt;ARG1/1,ARG2/1</t>
  </si>
  <si>
    <t>"odčerpávat-001"</t>
  </si>
  <si>
    <t>PAT-&gt;ARG1/5,ARG2/3</t>
  </si>
  <si>
    <t>"odčerpávat-002"</t>
  </si>
  <si>
    <t>DIR1-&gt;ARG1/4</t>
  </si>
  <si>
    <t>"odčinit-001"</t>
  </si>
  <si>
    <t>"odčítat-001"</t>
  </si>
  <si>
    <t>"odčítávat-001"</t>
  </si>
  <si>
    <t>"odřeknout-001"</t>
  </si>
  <si>
    <t>"odřeknout-002"</t>
  </si>
  <si>
    <t>"odřezávat-001"</t>
  </si>
  <si>
    <t>"odřezávat-002"</t>
  </si>
  <si>
    <t>"odříci-001"</t>
  </si>
  <si>
    <t>"odříci-si-001"</t>
  </si>
  <si>
    <t>"odříkat-001"</t>
  </si>
  <si>
    <t>"odříkat-se-001"</t>
  </si>
  <si>
    <t>"odříkávat-001"</t>
  </si>
  <si>
    <t>"odřít-001"</t>
  </si>
  <si>
    <t>"odříznout-001"</t>
  </si>
  <si>
    <t>"odříznout-002"</t>
  </si>
  <si>
    <t>"odříznout-003"</t>
  </si>
  <si>
    <t>"odškodnit-001"</t>
  </si>
  <si>
    <t>"odškodňovat-001"</t>
  </si>
  <si>
    <t>PAT-&gt;ARG1/1,ARG2/8</t>
  </si>
  <si>
    <t>"odškrtávat-001"</t>
  </si>
  <si>
    <t>"odšroubovat-001"</t>
  </si>
  <si>
    <t>"odštípnout-001"</t>
  </si>
  <si>
    <t>"odštěpit-se-001"</t>
  </si>
  <si>
    <t>"odůvodnit-001"</t>
  </si>
  <si>
    <t>"odůvodňovat-001"</t>
  </si>
  <si>
    <t>"ofotit-001"</t>
  </si>
  <si>
    <t>"ofotografovat-001"</t>
  </si>
  <si>
    <t>"ofouknout-001"</t>
  </si>
  <si>
    <t>"ogrilovat-001"</t>
  </si>
  <si>
    <t>"ohlašovat-001"</t>
  </si>
  <si>
    <t>ACT-&gt;ARG0/786,ARG1/1</t>
  </si>
  <si>
    <t>PAT-&gt;ARG1/858</t>
  </si>
  <si>
    <t>"ohlašovat-002"</t>
  </si>
  <si>
    <t>"ohledat-001"</t>
  </si>
  <si>
    <t>"ohlodat-001"</t>
  </si>
  <si>
    <t>"ohluchnout-001"</t>
  </si>
  <si>
    <t>"ohlušit-001"</t>
  </si>
  <si>
    <t>"ohlásit-001"</t>
  </si>
  <si>
    <t>ACT-&gt;ARG0/13260,ARG1/41</t>
  </si>
  <si>
    <t>PAT-&gt;ARG0/2,ARG1/11742,ARG2/24</t>
  </si>
  <si>
    <t>ADDR-&gt;ARG1/33,ARG2/19</t>
  </si>
  <si>
    <t>"ohlásit-002"</t>
  </si>
  <si>
    <t>"ohlásit-003"</t>
  </si>
  <si>
    <t>"ohlásit-se-001"</t>
  </si>
  <si>
    <t>"ohlásit-se-002"</t>
  </si>
  <si>
    <t>"ohlédnout-se-001"</t>
  </si>
  <si>
    <t>"ohlídat-001"</t>
  </si>
  <si>
    <t>"ohlížet-se-001"</t>
  </si>
  <si>
    <t>PAT: na+4; ↓jestli; ↓zda</t>
  </si>
  <si>
    <t>"ohlížet-se-002"</t>
  </si>
  <si>
    <t>"ohlížet-se-003"</t>
  </si>
  <si>
    <t>"ohmatat-001"</t>
  </si>
  <si>
    <t>"ohmatávat-001"</t>
  </si>
  <si>
    <t>"ohnout-001"</t>
  </si>
  <si>
    <t>"ohnout-se-001"</t>
  </si>
  <si>
    <t>"ohnout-se-002"</t>
  </si>
  <si>
    <t>"ohnít-001"</t>
  </si>
  <si>
    <t>"ohodnocovat-001"</t>
  </si>
  <si>
    <t>PAT-&gt;ARG1/59</t>
  </si>
  <si>
    <t>"ohodnotit-001"</t>
  </si>
  <si>
    <t>ACT-&gt;ARG0/107,ARG1/13</t>
  </si>
  <si>
    <t>PAT-&gt;ARG1/182,ARG2/15</t>
  </si>
  <si>
    <t>EFF: :4[{jako,jakožto}:/AuxY]; .a4[{jako,jakožto}:/AuxY]; za-1[.a4]</t>
  </si>
  <si>
    <t>EFF-&gt;ARG1/1,ARG2/249</t>
  </si>
  <si>
    <t>"ohodnotit-002"</t>
  </si>
  <si>
    <t>"ohodnotit-003"</t>
  </si>
  <si>
    <t>ACT-&gt;ARG0/12260,ARG1/36</t>
  </si>
  <si>
    <t>PAT-&gt;ARG0/2,ARG1/10739,ARG2/2</t>
  </si>
  <si>
    <t>"oholit-001"</t>
  </si>
  <si>
    <t>DIR1-&gt;ARG2/4</t>
  </si>
  <si>
    <t>"oholit-002"</t>
  </si>
  <si>
    <t>"ohořet-001"</t>
  </si>
  <si>
    <t>"ohradit-001"</t>
  </si>
  <si>
    <t>"ohradit-se-001"</t>
  </si>
  <si>
    <t>PAT: proti+3; ↓že</t>
  </si>
  <si>
    <t>PAT-&gt;ARG1/14,ARG2/13</t>
  </si>
  <si>
    <t>"ohraničit-001"</t>
  </si>
  <si>
    <t>"ohraničovat-001"</t>
  </si>
  <si>
    <t>PAT-&gt;ARG1/3,ARG2/1</t>
  </si>
  <si>
    <t>"ohrazovat-001"</t>
  </si>
  <si>
    <t>"ohrazovat-se-001"</t>
  </si>
  <si>
    <t>"ohrnout-001"</t>
  </si>
  <si>
    <t>"ohrnout-002"</t>
  </si>
  <si>
    <t>DPHR: nos.S4</t>
  </si>
  <si>
    <t>"ohrnovat-001"</t>
  </si>
  <si>
    <t>"ohromit-001"</t>
  </si>
  <si>
    <t>ACT: 1; ↓že; ↓jak-2; ↓c</t>
  </si>
  <si>
    <t>ACT-&gt;ARG0/29,ARG1/4,ARG2/2</t>
  </si>
  <si>
    <t>PAT-&gt;ARG0/1,ARG1/43,ARG3/3</t>
  </si>
  <si>
    <t>"ohromovat-001"</t>
  </si>
  <si>
    <t>"ohrozit-001"</t>
  </si>
  <si>
    <t>ACT-&gt;ARG0/134,ARG2/76</t>
  </si>
  <si>
    <t>PAT-&gt;ARG0/2154,ARG1/248,ARG2/23</t>
  </si>
  <si>
    <t>"ohrožovat-001"</t>
  </si>
  <si>
    <t>ACT-&gt;ARG0/92,ARG1/12,ARG2/76</t>
  </si>
  <si>
    <t>PAT-&gt;ARG1/163,ARG2/23</t>
  </si>
  <si>
    <t>"ohrávat-001"</t>
  </si>
  <si>
    <t>"ohánět-se-001"</t>
  </si>
  <si>
    <t>"ohánět-se-002"</t>
  </si>
  <si>
    <t>"ohýbat-001"</t>
  </si>
  <si>
    <t>"ohýbat-se-001"</t>
  </si>
  <si>
    <t>"ohřát-001"</t>
  </si>
  <si>
    <t>"ohřát-se-001"</t>
  </si>
  <si>
    <t>"ohřívat-001"</t>
  </si>
  <si>
    <t>"oklamat-001"</t>
  </si>
  <si>
    <t>PAT-&gt;ARG1/54,ARG2/3</t>
  </si>
  <si>
    <t>"oklepat-se-001"</t>
  </si>
  <si>
    <t>"oklepávat-se-001"</t>
  </si>
  <si>
    <t>"oklestit-001"</t>
  </si>
  <si>
    <t>"oklešťovat-001"</t>
  </si>
  <si>
    <t>ACT-&gt;ARG0/165</t>
  </si>
  <si>
    <t>PAT-&gt;ARG1/317</t>
  </si>
  <si>
    <t>"okopat-001"</t>
  </si>
  <si>
    <t>"okopat-002"</t>
  </si>
  <si>
    <t>"okopávat-001"</t>
  </si>
  <si>
    <t>"okopávat-002"</t>
  </si>
  <si>
    <t>"okopírovat-001"</t>
  </si>
  <si>
    <t>"okopírovat-002"</t>
  </si>
  <si>
    <t>"okoukat-001"</t>
  </si>
  <si>
    <t>"okoukat-se-001"</t>
  </si>
  <si>
    <t>"okouknout-001"</t>
  </si>
  <si>
    <t>"okouzlit-001"</t>
  </si>
  <si>
    <t>"okouzlovat-001"</t>
  </si>
  <si>
    <t>"okořenit-001"</t>
  </si>
  <si>
    <t>"okrádat-001"</t>
  </si>
  <si>
    <t>"okrást-001"</t>
  </si>
  <si>
    <t>"oktrojovat-001"</t>
  </si>
  <si>
    <t>"okukovat-001"</t>
  </si>
  <si>
    <t>"okupovat-001"</t>
  </si>
  <si>
    <t>ACT-&gt;ARG0/58,ARG1/1</t>
  </si>
  <si>
    <t>"okusit-001"</t>
  </si>
  <si>
    <t>ACT-&gt;ARG0/277,ARG1/7</t>
  </si>
  <si>
    <t>PAT-&gt;ARG1/386,ARG4/1</t>
  </si>
  <si>
    <t>"okusit-002"</t>
  </si>
  <si>
    <t>"okusovat-001"</t>
  </si>
  <si>
    <t>"okázat-se-001"</t>
  </si>
  <si>
    <t>"olizovat-001"</t>
  </si>
  <si>
    <t>"oloupat-001"</t>
  </si>
  <si>
    <t>"omakat-si-001"</t>
  </si>
  <si>
    <t>PAT: 4,.c</t>
  </si>
  <si>
    <t>"omalovat-001"</t>
  </si>
  <si>
    <t>"omarodit-001"</t>
  </si>
  <si>
    <t>"omarodit-002"</t>
  </si>
  <si>
    <t>"omdlévat-001"</t>
  </si>
  <si>
    <t>"omdlít-001"</t>
  </si>
  <si>
    <t>"omezit-001"</t>
  </si>
  <si>
    <t>ACT-&gt;ARG0/482,ARG1/27,ARG2/5</t>
  </si>
  <si>
    <t>PAT-&gt;ARG1/954,ARG2/46</t>
  </si>
  <si>
    <t>ORIG-&gt;ARG3/45,ARG4/1</t>
  </si>
  <si>
    <t>EFF-&gt;ARG2/55,ARG4/74</t>
  </si>
  <si>
    <t>"omezit-002"</t>
  </si>
  <si>
    <t>"omezit-se-001"</t>
  </si>
  <si>
    <t>"omezit-se-002"</t>
  </si>
  <si>
    <t>"omezovat-001"</t>
  </si>
  <si>
    <t>ACT-&gt;ARG0/339,ARG1/3</t>
  </si>
  <si>
    <t>PAT-&gt;ARG1/724,ARG2/1,ARG4/4</t>
  </si>
  <si>
    <t>ORIG-&gt;ARG3/22,ARG4/1</t>
  </si>
  <si>
    <t>EFF-&gt;ARG2/56,ARG4/36</t>
  </si>
  <si>
    <t>"omezovat-002"</t>
  </si>
  <si>
    <t>ADDR-&gt;ARG1/48</t>
  </si>
  <si>
    <t>PAT-&gt;ARG2/13</t>
  </si>
  <si>
    <t>"omezovat-se-001"</t>
  </si>
  <si>
    <t>ACT-&gt;ARG0/17,ARG1/88,ARG2/1</t>
  </si>
  <si>
    <t>PAT-&gt;ARG2/41</t>
  </si>
  <si>
    <t>"omezovat-se-002"</t>
  </si>
  <si>
    <t>"omilostnit-001"</t>
  </si>
  <si>
    <t>"omladit-001"</t>
  </si>
  <si>
    <t>"omlouvat-001"</t>
  </si>
  <si>
    <t>"omlouvat-002"</t>
  </si>
  <si>
    <t>"omlouvat-se-001"</t>
  </si>
  <si>
    <t>"omluvit-001"</t>
  </si>
  <si>
    <t>ACT-&gt;ARG0/2,ARG1/2</t>
  </si>
  <si>
    <t>"omluvit-002"</t>
  </si>
  <si>
    <t>"omládnout-001"</t>
  </si>
  <si>
    <t>"omlátit-001"</t>
  </si>
  <si>
    <t>"omlátit-002"</t>
  </si>
  <si>
    <t>DPHR: o-1[hlava.S4]</t>
  </si>
  <si>
    <t>"omrzet-001"</t>
  </si>
  <si>
    <t>"omráčit-001"</t>
  </si>
  <si>
    <t>"omráčit-002"</t>
  </si>
  <si>
    <t>"omílat-001"</t>
  </si>
  <si>
    <t>PAT: 4; ↓zda; ↓jestli; ↓aby; ↓že; .s; ↓c</t>
  </si>
  <si>
    <t>?ORIG: po+6</t>
  </si>
  <si>
    <t>"omítnout-001"</t>
  </si>
  <si>
    <t>"omývat-001"</t>
  </si>
  <si>
    <t>"onemocnět-001"</t>
  </si>
  <si>
    <t>ACT-&gt;ARG1/431,ARG2/6</t>
  </si>
  <si>
    <t>PAT-&gt;ARG0/4</t>
  </si>
  <si>
    <t>"onosit-001"</t>
  </si>
  <si>
    <t>"opadat-001"</t>
  </si>
  <si>
    <t>"opadat-002"</t>
  </si>
  <si>
    <t>"opadnout-001"</t>
  </si>
  <si>
    <t>"opadnout-002"</t>
  </si>
  <si>
    <t>"opadávat-001"</t>
  </si>
  <si>
    <t>"opadávat-002"</t>
  </si>
  <si>
    <t>"opakovat-001"</t>
  </si>
  <si>
    <t>ACT-&gt;ARG0/33,ARG1/2</t>
  </si>
  <si>
    <t>"opakovat-002"</t>
  </si>
  <si>
    <t>ACT-&gt;ARG0/14,ARG1/2</t>
  </si>
  <si>
    <t>PAT: 4; ↓že; ↓aby; ↓zda; ↓ať</t>
  </si>
  <si>
    <t>"opakovat-003"</t>
  </si>
  <si>
    <t>EFF-&gt;ARG1/19</t>
  </si>
  <si>
    <t>"opakovat-se-001"</t>
  </si>
  <si>
    <t>ACT-&gt;ARG1/19</t>
  </si>
  <si>
    <t>"opakovat-se-002"</t>
  </si>
  <si>
    <t>"opakovat-si-001"</t>
  </si>
  <si>
    <t>"opalovat-001"</t>
  </si>
  <si>
    <t>"opalovat-se-001"</t>
  </si>
  <si>
    <t>"opatrovat-001"</t>
  </si>
  <si>
    <t>"opatrovat-002"</t>
  </si>
  <si>
    <t>"opatřit-001"</t>
  </si>
  <si>
    <t>"opatřit-002"</t>
  </si>
  <si>
    <t>"opatřit-003"</t>
  </si>
  <si>
    <t>"opatřovat-001"</t>
  </si>
  <si>
    <t>"opařit-001"</t>
  </si>
  <si>
    <t>"opařit-002"</t>
  </si>
  <si>
    <t>"opařit-se-001"</t>
  </si>
  <si>
    <t>"opepřit-001"</t>
  </si>
  <si>
    <t>"operovat-001"</t>
  </si>
  <si>
    <t>"operovat-002"</t>
  </si>
  <si>
    <t>PAT-&gt;ARG1/2,ARG4/1</t>
  </si>
  <si>
    <t>"operovat-003"</t>
  </si>
  <si>
    <t>ACT-&gt;ARG0/2155,ARG1/83</t>
  </si>
  <si>
    <t>LOC-&gt;ARG0/1,ARG1/2256</t>
  </si>
  <si>
    <t>"operovat-004"</t>
  </si>
  <si>
    <t>ACT-&gt;ARG0/24,ARG1/64</t>
  </si>
  <si>
    <t>"operovat-005"</t>
  </si>
  <si>
    <t>"opevňovat-001"</t>
  </si>
  <si>
    <t>"opečovávat-001"</t>
  </si>
  <si>
    <t>"opisovat-001"</t>
  </si>
  <si>
    <t>PAT-&gt;ARG0/46,ARG1/8</t>
  </si>
  <si>
    <t>"opičit-se-001"</t>
  </si>
  <si>
    <t>"oplakat-001"</t>
  </si>
  <si>
    <t>"oplakávat-001"</t>
  </si>
  <si>
    <t>"oplatit-001"</t>
  </si>
  <si>
    <t>"oplodnit-001"</t>
  </si>
  <si>
    <t>"oplotit-001"</t>
  </si>
  <si>
    <t>"oplácet-001"</t>
  </si>
  <si>
    <t>"opláchnout-001"</t>
  </si>
  <si>
    <t>"oplývat-001"</t>
  </si>
  <si>
    <t>ACT-&gt;ARG0/11,ARG2/1</t>
  </si>
  <si>
    <t>"opodstatňovat-001"</t>
  </si>
  <si>
    <t>"opomenout-001"</t>
  </si>
  <si>
    <t>ACT-&gt;ARG0/63,ARG1/153</t>
  </si>
  <si>
    <t>PAT: 4; .f; ↓že; ↓zda; ↓jestli; ↓c</t>
  </si>
  <si>
    <t>PAT-&gt;ARG1/86,ARG2/152</t>
  </si>
  <si>
    <t>"opominout-001"</t>
  </si>
  <si>
    <t>"opomíjet-001"</t>
  </si>
  <si>
    <t>ACT-&gt;ARG0/117</t>
  </si>
  <si>
    <t>"oponovat-001"</t>
  </si>
  <si>
    <t>ACT-&gt;ARG0/98,ARG1/1</t>
  </si>
  <si>
    <t>PAT-&gt;ARG1/108,ARG2/9</t>
  </si>
  <si>
    <t>"oponovat-002"</t>
  </si>
  <si>
    <t>ACT-&gt;ARG0/80,ARG1/1</t>
  </si>
  <si>
    <t>PAT-&gt;ARG1/93</t>
  </si>
  <si>
    <t>"opotřebovat-001"</t>
  </si>
  <si>
    <t>"opouštět-001"</t>
  </si>
  <si>
    <t>PAT-&gt;ARG1/158,ARG2/1</t>
  </si>
  <si>
    <t>"opouštět-002"</t>
  </si>
  <si>
    <t>"opovrhnout-001"</t>
  </si>
  <si>
    <t>"opovrhovat-001"</t>
  </si>
  <si>
    <t>"opozdit-001"</t>
  </si>
  <si>
    <t>"opozdit-se-001"</t>
  </si>
  <si>
    <t>ACT-&gt;ARG0/3,ARG1/62</t>
  </si>
  <si>
    <t>?PAT: za+7</t>
  </si>
  <si>
    <t>"opozdit-se-002"</t>
  </si>
  <si>
    <t>"opožďovat-se-001"</t>
  </si>
  <si>
    <t>"opracovat-001"</t>
  </si>
  <si>
    <t>"opracovávat-001"</t>
  </si>
  <si>
    <t>"opravit-001"</t>
  </si>
  <si>
    <t>"opravit-002"</t>
  </si>
  <si>
    <t>"opravovat-001"</t>
  </si>
  <si>
    <t>"opravovat-002"</t>
  </si>
  <si>
    <t>"opravovat-003"</t>
  </si>
  <si>
    <t>"opravňovat-001"</t>
  </si>
  <si>
    <t>ACT-&gt;ARG0/97,ARG1/14</t>
  </si>
  <si>
    <t>PAT: k+3; .f; ↓aby</t>
  </si>
  <si>
    <t>PAT-&gt;ARG1/152,ARG2/22</t>
  </si>
  <si>
    <t>ADDR-&gt;ARG1/11,ARG2/12,ARG4/3</t>
  </si>
  <si>
    <t>"opravňovat-002"</t>
  </si>
  <si>
    <t>"oprašovat-001"</t>
  </si>
  <si>
    <t>"oprostit-001"</t>
  </si>
  <si>
    <t>"oprávnit-001"</t>
  </si>
  <si>
    <t>PAT: k+3; .f</t>
  </si>
  <si>
    <t>ADDR-&gt;ARG1/1,ARG2/20</t>
  </si>
  <si>
    <t>"oprávnit-002"</t>
  </si>
  <si>
    <t>"oprášit-001"</t>
  </si>
  <si>
    <t>"oprášit-002"</t>
  </si>
  <si>
    <t>"opsat-001"</t>
  </si>
  <si>
    <t>"opsat-002"</t>
  </si>
  <si>
    <t>"optat-se-001"</t>
  </si>
  <si>
    <t>PAT: na+4; ↓zda; ↓zdali; ↓jestli; ↓c; .s</t>
  </si>
  <si>
    <t>"optimalizovat-001"</t>
  </si>
  <si>
    <t>"opustit-001"</t>
  </si>
  <si>
    <t>ACT-&gt;ARG0/181,ARG1/28</t>
  </si>
  <si>
    <t>"opustit-002"</t>
  </si>
  <si>
    <t>ACT-&gt;ARG0/200,ARG1/108</t>
  </si>
  <si>
    <t>PAT-&gt;ARG1/197,ARG2/1</t>
  </si>
  <si>
    <t>"opustit-003"</t>
  </si>
  <si>
    <t>"opustit-004"</t>
  </si>
  <si>
    <t>"opylit-001"</t>
  </si>
  <si>
    <t>"opylovat-001"</t>
  </si>
  <si>
    <t>"opálit-001"</t>
  </si>
  <si>
    <t>"opásat-001"</t>
  </si>
  <si>
    <t>"opáčit-001"</t>
  </si>
  <si>
    <t>ADDR-&gt;ARG1/13,ARG2/2</t>
  </si>
  <si>
    <t>"opéci-001"</t>
  </si>
  <si>
    <t>"opékat-001"</t>
  </si>
  <si>
    <t>"opíjet-001"</t>
  </si>
  <si>
    <t>"opíjet-se-001"</t>
  </si>
  <si>
    <t>"opíjet-se-002"</t>
  </si>
  <si>
    <t>"opírat-001"</t>
  </si>
  <si>
    <t>EFF: o+4</t>
  </si>
  <si>
    <t>"opírat-002"</t>
  </si>
  <si>
    <t>"opírat-se-001"</t>
  </si>
  <si>
    <t>ACT-&gt;ARG0/141,ARG1/81</t>
  </si>
  <si>
    <t>PAT-&gt;ARG1/160,ARG2/212</t>
  </si>
  <si>
    <t>"opírat-se-002"</t>
  </si>
  <si>
    <t>"opít-001"</t>
  </si>
  <si>
    <t>"opít-002"</t>
  </si>
  <si>
    <t>"opít-se-001"</t>
  </si>
  <si>
    <t>ACT-&gt;ARG0/49,ARG1/2</t>
  </si>
  <si>
    <t>"opětovat-001"</t>
  </si>
  <si>
    <t>PAT-&gt;ARG1/33,ARG2/3</t>
  </si>
  <si>
    <t>"opěvovat-001"</t>
  </si>
  <si>
    <t>PAT: 4; ↓že; ↓jak-2; ↓c; .s</t>
  </si>
  <si>
    <t>"opřít-001"</t>
  </si>
  <si>
    <t>"opřít-se-001"</t>
  </si>
  <si>
    <t>ACT-&gt;ARG0/7,ARG1/2</t>
  </si>
  <si>
    <t>"opřít-se-002"</t>
  </si>
  <si>
    <t>"opřít-se-003"</t>
  </si>
  <si>
    <t>"orat-001"</t>
  </si>
  <si>
    <t>"orazítkovat-001"</t>
  </si>
  <si>
    <t>"ordinovat-001"</t>
  </si>
  <si>
    <t>PAT: 4; ↓že; ↓aby; ↓jak-2; ↓ať</t>
  </si>
  <si>
    <t>"organizovat-001"</t>
  </si>
  <si>
    <t>ACT-&gt;ARG0/172,ARG1/1</t>
  </si>
  <si>
    <t>PAT-&gt;ARG1/240</t>
  </si>
  <si>
    <t>"organizovat-002"</t>
  </si>
  <si>
    <t>"orientovat-001"</t>
  </si>
  <si>
    <t>PAT-&gt;ARG1/60,ARG2/2</t>
  </si>
  <si>
    <t>"orientovat-002"</t>
  </si>
  <si>
    <t>"orientovat-003"</t>
  </si>
  <si>
    <t>"orientovat-se-001"</t>
  </si>
  <si>
    <t>ACT-&gt;ARG0/51,ARG1/1</t>
  </si>
  <si>
    <t>PAT: na+4; proti+3</t>
  </si>
  <si>
    <t>ACT-&gt;ARG0/28,ARG1/26</t>
  </si>
  <si>
    <t>"orientovat-se-002"</t>
  </si>
  <si>
    <t>"orientovat-se-003"</t>
  </si>
  <si>
    <t>"orodovat-001"</t>
  </si>
  <si>
    <t>"orosit-se-001"</t>
  </si>
  <si>
    <t>"osahat-001"</t>
  </si>
  <si>
    <t>"osahat-si-001"</t>
  </si>
  <si>
    <t>"osahávat-001"</t>
  </si>
  <si>
    <t>"osamostatnit-se-001"</t>
  </si>
  <si>
    <t>"osamostatnit-se-002"</t>
  </si>
  <si>
    <t>"osamostatňovat-se-001"</t>
  </si>
  <si>
    <t>"osazovat-001"</t>
  </si>
  <si>
    <t>"oscilovat-001"</t>
  </si>
  <si>
    <t>"osedlat-si-001"</t>
  </si>
  <si>
    <t>"osekat-001"</t>
  </si>
  <si>
    <t>"oseknout-001"</t>
  </si>
  <si>
    <t>"osiřet-001"</t>
  </si>
  <si>
    <t>"oskenovat-001"</t>
  </si>
  <si>
    <t>"oslabit-001"</t>
  </si>
  <si>
    <t>ACT-&gt;ARG0/69,ARG1/30</t>
  </si>
  <si>
    <t>"oslabit-002"</t>
  </si>
  <si>
    <t>"oslabit-003"</t>
  </si>
  <si>
    <t>ACT-&gt;ARG1/43</t>
  </si>
  <si>
    <t>"oslabit-004"</t>
  </si>
  <si>
    <t>ACT-&gt;ARG1/671,ARG2/6</t>
  </si>
  <si>
    <t>PAT-&gt;ARG2/2,ARG4/115,ARGm-LOC/1</t>
  </si>
  <si>
    <t>ORIG-&gt;ARG3/23,ARGm-LOC/1</t>
  </si>
  <si>
    <t>"oslabovat-001"</t>
  </si>
  <si>
    <t>"oslabovat-002"</t>
  </si>
  <si>
    <t>"oslabovat-003"</t>
  </si>
  <si>
    <t>"--oslabovat-004"</t>
  </si>
  <si>
    <t>"oslabovat-se-001"</t>
  </si>
  <si>
    <t>"osladit-001"</t>
  </si>
  <si>
    <t>"osladit-002"</t>
  </si>
  <si>
    <t>"oslavit-001"</t>
  </si>
  <si>
    <t>"oslavovat-001"</t>
  </si>
  <si>
    <t>PAT-&gt;ARG1/24,ARG2/1</t>
  </si>
  <si>
    <t>"oslepit-001"</t>
  </si>
  <si>
    <t>"oslepnout-001"</t>
  </si>
  <si>
    <t>"oslnit-001"</t>
  </si>
  <si>
    <t>"oslovit-001"</t>
  </si>
  <si>
    <t>EFF: 5</t>
  </si>
  <si>
    <t>"oslovit-002"</t>
  </si>
  <si>
    <t>PAT-&gt;ARG1/1,ARG2/20</t>
  </si>
  <si>
    <t>?EFF: s+7; ↓zda; .s</t>
  </si>
  <si>
    <t>ACT-&gt;ARG0/123,ARG1/99</t>
  </si>
  <si>
    <t>PAT-&gt;ARG1/207,ARG2/31</t>
  </si>
  <si>
    <t>"oslovit-003"</t>
  </si>
  <si>
    <t>"oslovovat-001"</t>
  </si>
  <si>
    <t>"oslovovat-002"</t>
  </si>
  <si>
    <t>EFF: 1; 5</t>
  </si>
  <si>
    <t>EFF-&gt;ARG1/1,ARG2/344</t>
  </si>
  <si>
    <t>"oslyšet-001"</t>
  </si>
  <si>
    <t>"osnovat-001"</t>
  </si>
  <si>
    <t>"osobovat-si-001"</t>
  </si>
  <si>
    <t>"osolit-001"</t>
  </si>
  <si>
    <t>"osopit-se-001"</t>
  </si>
  <si>
    <t>?PAT: ↓jestli</t>
  </si>
  <si>
    <t>"osočovat-001"</t>
  </si>
  <si>
    <t>"ospravedlnit-001"</t>
  </si>
  <si>
    <t>"ospravedlňovat-001"</t>
  </si>
  <si>
    <t>"osprchovat-001"</t>
  </si>
  <si>
    <t>"ostýchat-se-001"</t>
  </si>
  <si>
    <t>?PAT: .f</t>
  </si>
  <si>
    <t>"ostřelovat-001"</t>
  </si>
  <si>
    <t>"ostřit-001"</t>
  </si>
  <si>
    <t>"ostříhat-001"</t>
  </si>
  <si>
    <t>"osušit-001"</t>
  </si>
  <si>
    <t>"osvobodit-001"</t>
  </si>
  <si>
    <t>ORIG: od+2; z+2</t>
  </si>
  <si>
    <t>"osvobodit-002"</t>
  </si>
  <si>
    <t>"osvobozovat-001"</t>
  </si>
  <si>
    <t>ACT-&gt;ARG0/2,ARG1/20</t>
  </si>
  <si>
    <t>PAT-&gt;ARG0/9,ARG1/10</t>
  </si>
  <si>
    <t>ORIG-&gt;ARG2/12</t>
  </si>
  <si>
    <t>"osvobozovat-002"</t>
  </si>
  <si>
    <t>"osvojit-si-001"</t>
  </si>
  <si>
    <t>ACT-&gt;ARG0/107</t>
  </si>
  <si>
    <t>PAT-&gt;ARG1/158,ARG2/2</t>
  </si>
  <si>
    <t>"osvojit-si-002"</t>
  </si>
  <si>
    <t>"osvojovat-si-001"</t>
  </si>
  <si>
    <t>ACT-&gt;ARG0/387,ARG1/1</t>
  </si>
  <si>
    <t>PAT-&gt;ARG1/714,ARG2/1</t>
  </si>
  <si>
    <t>"osvítit-001"</t>
  </si>
  <si>
    <t>"osvěcovat-001"</t>
  </si>
  <si>
    <t>"osvědčit-001"</t>
  </si>
  <si>
    <t>"osvědčit-se-001"</t>
  </si>
  <si>
    <t>ACT-&gt;ARG0/28,ARG1/31</t>
  </si>
  <si>
    <t>"osvědčovat-001"</t>
  </si>
  <si>
    <t>"osvědčovat-se-001"</t>
  </si>
  <si>
    <t>"osvětlit-001"</t>
  </si>
  <si>
    <t>"osvětlit-002"</t>
  </si>
  <si>
    <t>"osvětlovat-001"</t>
  </si>
  <si>
    <t>"osvětlovat-002"</t>
  </si>
  <si>
    <t>"osvěžit-001"</t>
  </si>
  <si>
    <t>"osvěžit-se-001"</t>
  </si>
  <si>
    <t>"osázet-001"</t>
  </si>
  <si>
    <t>"osídlit-001"</t>
  </si>
  <si>
    <t>"osídlovat-001"</t>
  </si>
  <si>
    <t>"oteplit-se-001"</t>
  </si>
  <si>
    <t>"oteplovat-001"</t>
  </si>
  <si>
    <t>"oteplovat-se-001"</t>
  </si>
  <si>
    <t>"oteplovat-se-002"</t>
  </si>
  <si>
    <t>"otesat-001"</t>
  </si>
  <si>
    <t>"otestovat-001"</t>
  </si>
  <si>
    <t>PAT-&gt;ARG1/45,ARG2/2</t>
  </si>
  <si>
    <t>"otevírat-001"</t>
  </si>
  <si>
    <t>ACT-&gt;ARG0/56,ARG2/2</t>
  </si>
  <si>
    <t>"otevírat-002"</t>
  </si>
  <si>
    <t>ACT-&gt;ARG0/70,ARG2/4</t>
  </si>
  <si>
    <t>PAT-&gt;ARG0/1,ARG1/120</t>
  </si>
  <si>
    <t>"otevírat-003"</t>
  </si>
  <si>
    <t>"otevírat-004"</t>
  </si>
  <si>
    <t>ACT-&gt;ARG0/1,ARG1/65</t>
  </si>
  <si>
    <t>"otevírat-005"</t>
  </si>
  <si>
    <t>CPHR: {cesta,možnost,prostor,přístup,...}.4</t>
  </si>
  <si>
    <t>"otevírat-006"</t>
  </si>
  <si>
    <t>"otevírat-007"</t>
  </si>
  <si>
    <t>ACT-&gt;ARG1/37</t>
  </si>
  <si>
    <t>LOC-&gt;ARGm-EXT/25,ARGm-MNR/21</t>
  </si>
  <si>
    <t>"otevírat-008"</t>
  </si>
  <si>
    <t>DPHR: dveře.P4; okno.S4</t>
  </si>
  <si>
    <t>?PAT: 3; k+3</t>
  </si>
  <si>
    <t>"otevírat-se-001"</t>
  </si>
  <si>
    <t>"otevírat-se-002"</t>
  </si>
  <si>
    <t>PAT-&gt;ARG3/2</t>
  </si>
  <si>
    <t>"otevírat-se-003"</t>
  </si>
  <si>
    <t>"otevřít-001"</t>
  </si>
  <si>
    <t>ACT-&gt;ARG0/192,ARG1/132,ARG2/8</t>
  </si>
  <si>
    <t>PAT-&gt;ARG1/267,ARG2/1</t>
  </si>
  <si>
    <t>"otevřít-002"</t>
  </si>
  <si>
    <t>ACT-&gt;ARG0/77,ARG1/427,ARG2/11</t>
  </si>
  <si>
    <t>PAT-&gt;ARG1/100,ARG2/473</t>
  </si>
  <si>
    <t>"otevřít-003"</t>
  </si>
  <si>
    <t>ACT-&gt;ARG0/65,ARG2/2</t>
  </si>
  <si>
    <t>"otevřít-004"</t>
  </si>
  <si>
    <t xml:space="preserve">ALT-LOC: </t>
  </si>
  <si>
    <t>MANN-&gt;ARGm-EXT/25,ARGm-MNR/21</t>
  </si>
  <si>
    <t>"otevřít-005"</t>
  </si>
  <si>
    <t>ACT-&gt;ARG0/48,ARG1/78,ARG2/1</t>
  </si>
  <si>
    <t>"otevřít-006"</t>
  </si>
  <si>
    <t>ACT-&gt;ARG0/20,ARG2/1</t>
  </si>
  <si>
    <t>CPHR: {cesta,možnost,prostor,přístup,svět,...}.4</t>
  </si>
  <si>
    <t>CPHR-&gt;ARG1/25,ARG2/7</t>
  </si>
  <si>
    <t>ADDR-&gt;ARG3/21</t>
  </si>
  <si>
    <t>ACT-&gt;ARG0/26,ARG2/4</t>
  </si>
  <si>
    <t>CPHR-&gt;ARG1/38,ARG2/7</t>
  </si>
  <si>
    <t>ADDR-&gt;ARG1/5,ARG3/29</t>
  </si>
  <si>
    <t>"otevřít-007"</t>
  </si>
  <si>
    <t>ACT-&gt;ARG0/15,ARG2/1</t>
  </si>
  <si>
    <t>DPHR-&gt;ARG1/24</t>
  </si>
  <si>
    <t>PAT: k+3; do+2</t>
  </si>
  <si>
    <t>"otevřít-se-001"</t>
  </si>
  <si>
    <t>ACT-&gt;ARG0/27,ARG2/1</t>
  </si>
  <si>
    <t>PAT: 3; před+7</t>
  </si>
  <si>
    <t>PAT-&gt;ARG1/20,ARG3/21</t>
  </si>
  <si>
    <t>"otevřít-se-002"</t>
  </si>
  <si>
    <t>ACT-&gt;ARG0/1,ARG1/28</t>
  </si>
  <si>
    <t>"otevřít-se-003"</t>
  </si>
  <si>
    <t>ACT-&gt;ARG1/5,ARG2/7</t>
  </si>
  <si>
    <t>"otipovat-001"</t>
  </si>
  <si>
    <t>"otisknout-001"</t>
  </si>
  <si>
    <t>ACT-&gt;ARG0/529,ARG1/1</t>
  </si>
  <si>
    <t>PAT-&gt;ARG1/597</t>
  </si>
  <si>
    <t>"otisknout-002"</t>
  </si>
  <si>
    <t>"otiskovat-001"</t>
  </si>
  <si>
    <t>"otiskovat-002"</t>
  </si>
  <si>
    <t>"otlačit-se-001"</t>
  </si>
  <si>
    <t>"otlouci-001"</t>
  </si>
  <si>
    <t>"otloukat-001"</t>
  </si>
  <si>
    <t>"otočit-001"</t>
  </si>
  <si>
    <t>"otočit-002"</t>
  </si>
  <si>
    <t>"otočit-003"</t>
  </si>
  <si>
    <t>"otočit-004"</t>
  </si>
  <si>
    <t>"otočit-005"</t>
  </si>
  <si>
    <t>"otočit-006"</t>
  </si>
  <si>
    <t>"otočit-se-001"</t>
  </si>
  <si>
    <t>PAT-&gt;ARG2/1,ARG4/5</t>
  </si>
  <si>
    <t>ORIG-&gt;ARG3/12</t>
  </si>
  <si>
    <t>"otočit-se-002"</t>
  </si>
  <si>
    <t>ACT-&gt;ARG0/172,ARG1/54</t>
  </si>
  <si>
    <t>"otočit-se-003"</t>
  </si>
  <si>
    <t>"otočit-se-004"</t>
  </si>
  <si>
    <t>"otravovat-001"</t>
  </si>
  <si>
    <t>"otravovat-002"</t>
  </si>
  <si>
    <t>"otrhat-001"</t>
  </si>
  <si>
    <t>"otrkat-se-001"</t>
  </si>
  <si>
    <t>"otrnout-001"</t>
  </si>
  <si>
    <t>"otrávit-001"</t>
  </si>
  <si>
    <t>"otrávit-se-001"</t>
  </si>
  <si>
    <t>"otupit-001"</t>
  </si>
  <si>
    <t>"otupovat-001"</t>
  </si>
  <si>
    <t>"otupět-001"</t>
  </si>
  <si>
    <t>"otužovat-001"</t>
  </si>
  <si>
    <t>"otvírat-001"</t>
  </si>
  <si>
    <t>"otvírat-002"</t>
  </si>
  <si>
    <t>"otvírat-003"</t>
  </si>
  <si>
    <t>"otvírat-004"</t>
  </si>
  <si>
    <t>"otvírat-005"</t>
  </si>
  <si>
    <t>CPHR: {co,možnost,prostor,přístup,...}.4</t>
  </si>
  <si>
    <t>"otvírat-006"</t>
  </si>
  <si>
    <t>"otvírat-se-001"</t>
  </si>
  <si>
    <t>"otvírat-se-002"</t>
  </si>
  <si>
    <t>"otálet-001"</t>
  </si>
  <si>
    <t>"otázat-se-001"</t>
  </si>
  <si>
    <t>PAT: na+4; ↓zda; ↓jestli; ↓c; .s</t>
  </si>
  <si>
    <t>"otáčet-001"</t>
  </si>
  <si>
    <t>PAT: 7; 4</t>
  </si>
  <si>
    <t>"otáčet-se-001"</t>
  </si>
  <si>
    <t>"otáčet-se-002"</t>
  </si>
  <si>
    <t>"otéci-001"</t>
  </si>
  <si>
    <t>"otékat-001"</t>
  </si>
  <si>
    <t>"otěhotnět-001"</t>
  </si>
  <si>
    <t>"otřepávat-se-001"</t>
  </si>
  <si>
    <t>"otřásat-001"</t>
  </si>
  <si>
    <t>"otřásat-002"</t>
  </si>
  <si>
    <t>"otřásat-003"</t>
  </si>
  <si>
    <t>"otřásat-se-001"</t>
  </si>
  <si>
    <t>ACT-&gt;ARG1/26</t>
  </si>
  <si>
    <t>"otřást-001"</t>
  </si>
  <si>
    <t>"otřást-002"</t>
  </si>
  <si>
    <t>"otřást-003"</t>
  </si>
  <si>
    <t>ACT-&gt;ARG0/36,ARG1/401</t>
  </si>
  <si>
    <t>"otřást-004"</t>
  </si>
  <si>
    <t>"otřást-se-001"</t>
  </si>
  <si>
    <t>ACT-&gt;ARG0/1,ARG1/18</t>
  </si>
  <si>
    <t>"otřít-001"</t>
  </si>
  <si>
    <t>"ovdovět-001"</t>
  </si>
  <si>
    <t>"ovlivnit-001"</t>
  </si>
  <si>
    <t>ACT-&gt;ARG0/262,ARG1/85,ARG2/76</t>
  </si>
  <si>
    <t>PAT: 4; ↓že; ↓zda; ↓aby; ↓c</t>
  </si>
  <si>
    <t>PAT-&gt;ARG1/277</t>
  </si>
  <si>
    <t>"ovlivňovat-001"</t>
  </si>
  <si>
    <t>ACT-&gt;ARG0/2405,ARG1/58</t>
  </si>
  <si>
    <t>PAT-&gt;ARG1/194,ARG2/146</t>
  </si>
  <si>
    <t>"ovládat-001"</t>
  </si>
  <si>
    <t>ACT-&gt;ARG0/105</t>
  </si>
  <si>
    <t>"ovládat-002"</t>
  </si>
  <si>
    <t>ACT-&gt;ARG0/330,ARG1/2</t>
  </si>
  <si>
    <t>PAT-&gt;ARG1/333</t>
  </si>
  <si>
    <t>"ovládat-003"</t>
  </si>
  <si>
    <t>ACT-&gt;ARG0/144,ARG1/1</t>
  </si>
  <si>
    <t>PAT-&gt;ARG1/134,ARG4/1</t>
  </si>
  <si>
    <t>"ovládnout-001"</t>
  </si>
  <si>
    <t>ACT-&gt;ARG0/98,ARG1/143</t>
  </si>
  <si>
    <t>PAT-&gt;ARG1/94,ARG2/144</t>
  </si>
  <si>
    <t>"ovládnout-002"</t>
  </si>
  <si>
    <t>"ovládnout-003"</t>
  </si>
  <si>
    <t>ACT-&gt;ARG0/396,ARG1/26</t>
  </si>
  <si>
    <t>PAT-&gt;ARG1/189</t>
  </si>
  <si>
    <t>"ověsit-001"</t>
  </si>
  <si>
    <t>"ověřit-001"</t>
  </si>
  <si>
    <t>ACT-&gt;ARG0/50,ARG1/3</t>
  </si>
  <si>
    <t>PAT: 4; ↓jestli; ↓zda; ↓že; ↓c</t>
  </si>
  <si>
    <t>"ověřovat-001"</t>
  </si>
  <si>
    <t>"oxeroxovat-001"</t>
  </si>
  <si>
    <t>"ozbrojit-001"</t>
  </si>
  <si>
    <t>"ozdobit-001"</t>
  </si>
  <si>
    <t>"ozdravět-001"</t>
  </si>
  <si>
    <t>"ozkoušet-001"</t>
  </si>
  <si>
    <t>"oznamovat-001"</t>
  </si>
  <si>
    <t>ACT-&gt;ARG0/978,ARG1/4</t>
  </si>
  <si>
    <t>PAT-&gt;ARG1/1076</t>
  </si>
  <si>
    <t>"oznamovat-002"</t>
  </si>
  <si>
    <t>ACT-&gt;ARG0/12940,ARG1/39</t>
  </si>
  <si>
    <t>ADDR-&gt;ARG1/2,ARG2/341</t>
  </si>
  <si>
    <t>EFF-&gt;ARG0/2,ARG1/11409,ARG2/2</t>
  </si>
  <si>
    <t>"oznamovat-003"</t>
  </si>
  <si>
    <t>EFF: 4; ↓že; ↓zda</t>
  </si>
  <si>
    <t>"oznamovat-004"</t>
  </si>
  <si>
    <t>"označit-001"</t>
  </si>
  <si>
    <t>ACT-&gt;ARG0/12430,ARG1/36</t>
  </si>
  <si>
    <t>PAT-&gt;ARG0/2,ARG1/406,ARG2/11,ARG3/29</t>
  </si>
  <si>
    <t>EFF-&gt;ARG0/2,ARG1/10508,ARG2/517,ARG3/10</t>
  </si>
  <si>
    <t>"označit-002"</t>
  </si>
  <si>
    <t>ACT-&gt;ARG0/218</t>
  </si>
  <si>
    <t>"označit-003"</t>
  </si>
  <si>
    <t>"označovat-001"</t>
  </si>
  <si>
    <t>ACT-&gt;ARG0/290</t>
  </si>
  <si>
    <t>PAT-&gt;ARG1/3438,ARG2/297</t>
  </si>
  <si>
    <t>EFF-&gt;ARG0/1,ARG1/182,ARG2/3907</t>
  </si>
  <si>
    <t>"označovat-002"</t>
  </si>
  <si>
    <t>PAT-&gt;ARG1/184</t>
  </si>
  <si>
    <t>"označovat-003"</t>
  </si>
  <si>
    <t>"oznámit-001"</t>
  </si>
  <si>
    <t>ACT-&gt;ARG0/13728,ARG1/42</t>
  </si>
  <si>
    <t>PAT: 4; ↓že; ↓aby; ↓c; .s</t>
  </si>
  <si>
    <t>PAT-&gt;ARG0/2,ARG1/12408,ARG2/64</t>
  </si>
  <si>
    <t>ADDR-&gt;ARG1/56,ARG2/349</t>
  </si>
  <si>
    <t>ACT-&gt;ARG0/13771,ARG1/42</t>
  </si>
  <si>
    <t>PAT-&gt;ARG0/3,ARG1/12465,ARG2/4</t>
  </si>
  <si>
    <t>ADDR-&gt;ARG0/1,ARG1/3,ARG2/352</t>
  </si>
  <si>
    <t>"oznámit-002"</t>
  </si>
  <si>
    <t>ACT-&gt;ARG0/261</t>
  </si>
  <si>
    <t>EFF-&gt;ARG1/277</t>
  </si>
  <si>
    <t>ACT-&gt;ARG0/13970,ARG1/66</t>
  </si>
  <si>
    <t>ADDR-&gt;ARG1/88,ARG2/351</t>
  </si>
  <si>
    <t>EFF-&gt;ARG0/2,ARG1/12555,ARG2/85</t>
  </si>
  <si>
    <t>PAT-&gt;ARG0/2,ARG1/23,ARG2/1,ARG3/30</t>
  </si>
  <si>
    <t>"oznámit-003"</t>
  </si>
  <si>
    <t>"oznámit-004"</t>
  </si>
  <si>
    <t>"ozvat-se-001"</t>
  </si>
  <si>
    <t>ACT-&gt;ARG2/7</t>
  </si>
  <si>
    <t>"ozvat-se-002"</t>
  </si>
  <si>
    <t>"ozvat-se-003"</t>
  </si>
  <si>
    <t>ACT: 1; .s</t>
  </si>
  <si>
    <t>"ozářit-001"</t>
  </si>
  <si>
    <t>"ozářit-002"</t>
  </si>
  <si>
    <t>"ozývat-se-001"</t>
  </si>
  <si>
    <t>"ozývat-se-002"</t>
  </si>
  <si>
    <t>"ozývat-se-003"</t>
  </si>
  <si>
    <t>ACT-&gt;ARG1/31,ARG2/1</t>
  </si>
  <si>
    <t>"ozřejmit-001"</t>
  </si>
  <si>
    <t>PAT: 4; ↓jak-2; ↓že; ↓zda; ↓jestli; ↓c; .s</t>
  </si>
  <si>
    <t>"ozřejmovat-001"</t>
  </si>
  <si>
    <t>"očarovávat-001"</t>
  </si>
  <si>
    <t>"očekávat-001"</t>
  </si>
  <si>
    <t>ACT-&gt;ARG0/1491,ARG1/26,ARG2/1</t>
  </si>
  <si>
    <t>PAT-&gt;ARG1/2253,ARG2/3520</t>
  </si>
  <si>
    <t>ORIG-&gt;ARG1/8,ARG2/13</t>
  </si>
  <si>
    <t>"očekávat-002"</t>
  </si>
  <si>
    <t>ACT-&gt;ARG0/1437,ARG1/3175,ARG2/297</t>
  </si>
  <si>
    <t>PAT: 4; ↓že; ↓jestli; ↓zda</t>
  </si>
  <si>
    <t>PAT-&gt;ARG1/1695,ARG2/97,ARGm-TMP/1</t>
  </si>
  <si>
    <t>"očekávat-003"</t>
  </si>
  <si>
    <t>ACT-&gt;ARG0/648,ARG1/1</t>
  </si>
  <si>
    <t>PAT-&gt;ARG1/739</t>
  </si>
  <si>
    <t>"očekávat-004"</t>
  </si>
  <si>
    <t>"očernit-001"</t>
  </si>
  <si>
    <t>"očerňovat-001"</t>
  </si>
  <si>
    <t>"očesat-001"</t>
  </si>
  <si>
    <t>PAT-&gt;ARG0/1,ARG1/3</t>
  </si>
  <si>
    <t>"očesávat-001"</t>
  </si>
  <si>
    <t>"očesávat-002"</t>
  </si>
  <si>
    <t>"očistit-001"</t>
  </si>
  <si>
    <t>PAT-&gt;ARG1/28,ARG2/4</t>
  </si>
  <si>
    <t>ORIG-&gt;ARG1/3,ARG2/3</t>
  </si>
  <si>
    <t>"očistit-002"</t>
  </si>
  <si>
    <t>ORIG-&gt;ARG1/1,ARG2/6</t>
  </si>
  <si>
    <t>"očistit-003"</t>
  </si>
  <si>
    <t>"--očistit-004"</t>
  </si>
  <si>
    <t>"očišťovat-001"</t>
  </si>
  <si>
    <t>"očkovat-001"</t>
  </si>
  <si>
    <t>"očuchávat-001"</t>
  </si>
  <si>
    <t>"očíslovat-001"</t>
  </si>
  <si>
    <t>"ořezat-001"</t>
  </si>
  <si>
    <t>"ořezat-002"</t>
  </si>
  <si>
    <t>?EFF: na+4; v+4; k+3</t>
  </si>
  <si>
    <t>EFF-&gt;ARG4/5</t>
  </si>
  <si>
    <t>"ořezat-003"</t>
  </si>
  <si>
    <t>"ořezávat-001"</t>
  </si>
  <si>
    <t>"oříznout-001"</t>
  </si>
  <si>
    <t>"ošetřit-001"</t>
  </si>
  <si>
    <t>PAT-&gt;ARG1/6,ARG2/1</t>
  </si>
  <si>
    <t>"ošetřit-002"</t>
  </si>
  <si>
    <t>"ošetřovat-001"</t>
  </si>
  <si>
    <t>PAT-&gt;ARG1/11,ARG2/14</t>
  </si>
  <si>
    <t>"ošidit-001"</t>
  </si>
  <si>
    <t>"ošklíbat-se-001"</t>
  </si>
  <si>
    <t>?PAT: na-1[.2]</t>
  </si>
  <si>
    <t>"oškrábat-001"</t>
  </si>
  <si>
    <t>"oškubat-001"</t>
  </si>
  <si>
    <t>"ošlapat-001"</t>
  </si>
  <si>
    <t>"ošoustat-001"</t>
  </si>
  <si>
    <t>"ošplouchnout-001"</t>
  </si>
  <si>
    <t>"oštipovat-001"</t>
  </si>
  <si>
    <t>"ošukat-001"</t>
  </si>
  <si>
    <t>"ošálit-001"</t>
  </si>
  <si>
    <t>"oťukat-001"</t>
  </si>
  <si>
    <t>PAT: 4; ↓jestli; ↓zda</t>
  </si>
  <si>
    <t>"ožebračit-001"</t>
  </si>
  <si>
    <t>"ožebračovat-001"</t>
  </si>
  <si>
    <t>"oženit-001"</t>
  </si>
  <si>
    <t>"oženit-se-001"</t>
  </si>
  <si>
    <t>ACT-&gt;ARG0/21,ARG1/6</t>
  </si>
  <si>
    <t>PAT-&gt;ARG1/21,ARG2/3</t>
  </si>
  <si>
    <t>"oživit-001"</t>
  </si>
  <si>
    <t>ACT-&gt;ARG0/198</t>
  </si>
  <si>
    <t>PAT-&gt;ARG0/109,ARG1/460,ARG2/4</t>
  </si>
  <si>
    <t>"oživit-002"</t>
  </si>
  <si>
    <t>"oživit-003"</t>
  </si>
  <si>
    <t>"oživnout-001"</t>
  </si>
  <si>
    <t>ACT-&gt;ARG1/32</t>
  </si>
  <si>
    <t>"oživovat-001"</t>
  </si>
  <si>
    <t>ACT-&gt;ARG0/43,ARG1/12</t>
  </si>
  <si>
    <t>"oživovat-002"</t>
  </si>
  <si>
    <t>"oživovat-003"</t>
  </si>
  <si>
    <t>"ožrat-001"</t>
  </si>
  <si>
    <t>"ožírat-001"</t>
  </si>
  <si>
    <t>"ožít-001"</t>
  </si>
  <si>
    <t>"ožít-002"</t>
  </si>
  <si>
    <t>"ožívat-001"</t>
  </si>
  <si>
    <t>"ožívat-002"</t>
  </si>
  <si>
    <t>"pachtit-se-001"</t>
  </si>
  <si>
    <t>"pachtit-se-002"</t>
  </si>
  <si>
    <t>"pacifikovat-001"</t>
  </si>
  <si>
    <t>"padat-001"</t>
  </si>
  <si>
    <t>ACT-&gt;ARG1/729,ARG2/4</t>
  </si>
  <si>
    <t>PAT-&gt;ARG2/6,ARG4/474</t>
  </si>
  <si>
    <t>ORIG-&gt;ARG3/163,ARG4/1</t>
  </si>
  <si>
    <t>"padat-002"</t>
  </si>
  <si>
    <t>"padat-003"</t>
  </si>
  <si>
    <t>"padat-004"</t>
  </si>
  <si>
    <t>ACT-&gt;ARG1/898,ARG2/4</t>
  </si>
  <si>
    <t>"padat-005"</t>
  </si>
  <si>
    <t>"padat-006"</t>
  </si>
  <si>
    <t>DPHR: kopat:S$2&lt;B&gt;$8&lt;3&gt;$9&lt;P&gt;$11&lt;A&gt;$12&lt;A&gt;[kdo:M1,jiný:MS3@1$11&lt;A&gt;,jáma.S4,sám:MS1],do-1[on-1.FS2$8&lt;3&gt;]</t>
  </si>
  <si>
    <t>DPHR-&gt;ARG1/101</t>
  </si>
  <si>
    <t>"padat-007"</t>
  </si>
  <si>
    <t>"padat-008"</t>
  </si>
  <si>
    <t>"padnout-001"</t>
  </si>
  <si>
    <t>"padnout-002"</t>
  </si>
  <si>
    <t>"padnout-003"</t>
  </si>
  <si>
    <t>"padnout-004"</t>
  </si>
  <si>
    <t>"padnout-005"</t>
  </si>
  <si>
    <t>"padnout-006"</t>
  </si>
  <si>
    <t>"padnout-007"</t>
  </si>
  <si>
    <t>"padnout-008"</t>
  </si>
  <si>
    <t>"padnout-009"</t>
  </si>
  <si>
    <t>ACT-&gt;ARG1/45</t>
  </si>
  <si>
    <t>"padnout-010"</t>
  </si>
  <si>
    <t>"padnout-011"</t>
  </si>
  <si>
    <t>"padnout-012"</t>
  </si>
  <si>
    <t>"padnout-013"</t>
  </si>
  <si>
    <t>"padnout-014"</t>
  </si>
  <si>
    <t>"padnout-015"</t>
  </si>
  <si>
    <t>CPHR: {návrh,otázka,poznámka,rozhodnutí,slovo,zmínka,...}.1</t>
  </si>
  <si>
    <t>"padnout-016"</t>
  </si>
  <si>
    <t>DPHR: do-1[oko.S2]</t>
  </si>
  <si>
    <t>"padnout-017"</t>
  </si>
  <si>
    <t>"padnout-018"</t>
  </si>
  <si>
    <t>DPHR: jako[ulitý.1]; jak-3[ulitý.1]</t>
  </si>
  <si>
    <t>PAT: 3; na+4</t>
  </si>
  <si>
    <t>"padnout-019"</t>
  </si>
  <si>
    <t>DPHR: za-1[oběť.S4]</t>
  </si>
  <si>
    <t>DPHR-&gt;ARG4/2</t>
  </si>
  <si>
    <t>PAT-&gt;ARG4/1</t>
  </si>
  <si>
    <t>"padnout-020"</t>
  </si>
  <si>
    <t>DPHR: padnout,kdo.3</t>
  </si>
  <si>
    <t>"padnout-021"</t>
  </si>
  <si>
    <t>DPHR: do-1[ruka.S2]</t>
  </si>
  <si>
    <t>"padnout-022"</t>
  </si>
  <si>
    <t>"padnout-si-001"</t>
  </si>
  <si>
    <t>"padělat-001"</t>
  </si>
  <si>
    <t>"pakovat-001"</t>
  </si>
  <si>
    <t>"pakovat-se-001"</t>
  </si>
  <si>
    <t>"paličkovat-001"</t>
  </si>
  <si>
    <t>"pamatovat-001"</t>
  </si>
  <si>
    <t>PAT: 4; na+4; ↓že; ↓jak; ↓c</t>
  </si>
  <si>
    <t>"pamatovat-002"</t>
  </si>
  <si>
    <t>"pamatovat-se-001"</t>
  </si>
  <si>
    <t>PAT: na+4; ↓že; ↓zda; ↓jestli; ↓c; ↓jak; 4</t>
  </si>
  <si>
    <t>"pamatovat-si-001"</t>
  </si>
  <si>
    <t>PAT: 4; ↓že; na+4; ↓když; ↓jak-2; ↓jestli; ↓c</t>
  </si>
  <si>
    <t>ACT-&gt;ARG0/94</t>
  </si>
  <si>
    <t>"pamatovat-si-002"</t>
  </si>
  <si>
    <t>"panikařit-001"</t>
  </si>
  <si>
    <t>ACT-&gt;ARG0/5,ARG1/9</t>
  </si>
  <si>
    <t>"panovat-001"</t>
  </si>
  <si>
    <t>ACT-&gt;ARG0/2,ARG1/3512,ARG2/387</t>
  </si>
  <si>
    <t>"parafovat-001"</t>
  </si>
  <si>
    <t>"paralyzovat-001"</t>
  </si>
  <si>
    <t>"parazitovat-001"</t>
  </si>
  <si>
    <t>"parazitovat-002"</t>
  </si>
  <si>
    <t>"parkovat-001"</t>
  </si>
  <si>
    <t>"parkovat-002"</t>
  </si>
  <si>
    <t>"parodovat-001"</t>
  </si>
  <si>
    <t>"participovat-001"</t>
  </si>
  <si>
    <t>"pasovat-001"</t>
  </si>
  <si>
    <t>EFF: do+2; na+4</t>
  </si>
  <si>
    <t>"pasovat-002"</t>
  </si>
  <si>
    <t>"pasovat-003"</t>
  </si>
  <si>
    <t>"pasovat-004"</t>
  </si>
  <si>
    <t>"pasovat-005"</t>
  </si>
  <si>
    <t>"patentovat-001"</t>
  </si>
  <si>
    <t>"patřit-001"</t>
  </si>
  <si>
    <t>PAT: 3; k+3; pod+4; na+4</t>
  </si>
  <si>
    <t>ACT-&gt;ARG0/311,ARG1/4695,ARG2/301</t>
  </si>
  <si>
    <t>PAT-&gt;ARG0/186,ARG1/424,ARG2/4342</t>
  </si>
  <si>
    <t>"patřit-002"</t>
  </si>
  <si>
    <t>"patřit-003"</t>
  </si>
  <si>
    <t>ACT-&gt;ARG0/25,ARG1/4574,ARG2/309</t>
  </si>
  <si>
    <t>DIR3-&gt;ARG0/13,ARG1/159,ARG2/4263</t>
  </si>
  <si>
    <t>"patřit-004"</t>
  </si>
  <si>
    <t>DIR3-&gt;ARG1/121,ARG2/3451</t>
  </si>
  <si>
    <t>"patřit-005"</t>
  </si>
  <si>
    <t>"patřit-se-001"</t>
  </si>
  <si>
    <t>?PAT: na+4; :3</t>
  </si>
  <si>
    <t>"pašovat-001"</t>
  </si>
  <si>
    <t>PAT-&gt;ARG3/1</t>
  </si>
  <si>
    <t>"pelášit-001"</t>
  </si>
  <si>
    <t>"penalizovat-001"</t>
  </si>
  <si>
    <t>"pendlovat-001"</t>
  </si>
  <si>
    <t>"penzionovat-001"</t>
  </si>
  <si>
    <t>"persekuovat-001"</t>
  </si>
  <si>
    <t>"perzekuovat-001"</t>
  </si>
  <si>
    <t>"perzekvovat-001"</t>
  </si>
  <si>
    <t>"peskovat-001"</t>
  </si>
  <si>
    <t>"pečovat-001"</t>
  </si>
  <si>
    <t>PAT-&gt;ARG1/23,ARG2/7</t>
  </si>
  <si>
    <t>"pilovat-001"</t>
  </si>
  <si>
    <t>"pilovat-002"</t>
  </si>
  <si>
    <t>"pinkat-si-001"</t>
  </si>
  <si>
    <t>"piplat-001"</t>
  </si>
  <si>
    <t>"pitvat-001"</t>
  </si>
  <si>
    <t>"pitvat-002"</t>
  </si>
  <si>
    <t>"pitvořit-se-001"</t>
  </si>
  <si>
    <t>"plachtit-001"</t>
  </si>
  <si>
    <t>"plachtit-002"</t>
  </si>
  <si>
    <t>"plahočit-se-001"</t>
  </si>
  <si>
    <t>"plakat-001"</t>
  </si>
  <si>
    <t>"plakat-002"</t>
  </si>
  <si>
    <t>DPHR: na-1[hrob.S6[špatný.#]]</t>
  </si>
  <si>
    <t>"plandat-001"</t>
  </si>
  <si>
    <t>"planout-001"</t>
  </si>
  <si>
    <t>"planout-002"</t>
  </si>
  <si>
    <t>"platit-001"</t>
  </si>
  <si>
    <t>ACT-&gt;ARG0/410,ARG1/3104,ARG2/297</t>
  </si>
  <si>
    <t>PAT-&gt;ARG0/1,ARG1/2920,ARG2/3466,ARG3/18</t>
  </si>
  <si>
    <t>ADDR-&gt;ARG0/1,ARG1/1,ARG2/144,ARG3/4</t>
  </si>
  <si>
    <t>EFF-&gt;ARG1/4,ARG2/16,ARG3/188</t>
  </si>
  <si>
    <t>"platit-002"</t>
  </si>
  <si>
    <t>"platit-003"</t>
  </si>
  <si>
    <t>"platit-004"</t>
  </si>
  <si>
    <t>ACT-&gt;ARG0/333,ARG1/1,ARG2/1</t>
  </si>
  <si>
    <t>PAT-&gt;ARG1/419,ARG2/13,ARG3/9</t>
  </si>
  <si>
    <t>"platit-005"</t>
  </si>
  <si>
    <t>"platit-006"</t>
  </si>
  <si>
    <t>"platit-007"</t>
  </si>
  <si>
    <t>"platit-008"</t>
  </si>
  <si>
    <t>ACT-&gt;ARG0/284,ARG1/1,ARG2/1</t>
  </si>
  <si>
    <t>EXT-&gt;ARG1/337,ARG2/11,ARG3/9</t>
  </si>
  <si>
    <t>PAT-&gt;ARG1/3,ARG2/16,ARG3/186</t>
  </si>
  <si>
    <t>ADDR-&gt;ARG0/1,ARG1/1,ARG2/128,ARG3/4</t>
  </si>
  <si>
    <t>"platit-009"</t>
  </si>
  <si>
    <t>ACT-&gt;ARG1/3998,ARG2/299</t>
  </si>
  <si>
    <t>"platívat-001"</t>
  </si>
  <si>
    <t>"plavat-001"</t>
  </si>
  <si>
    <t>"plavat-002"</t>
  </si>
  <si>
    <t>"plavat-003"</t>
  </si>
  <si>
    <t>"plavat-004"</t>
  </si>
  <si>
    <t>"plavit-se-001"</t>
  </si>
  <si>
    <t>"plazit-se-001"</t>
  </si>
  <si>
    <t>"plašit-001"</t>
  </si>
  <si>
    <t>"plašit-se-001"</t>
  </si>
  <si>
    <t>"plenit-001"</t>
  </si>
  <si>
    <t>"plesknout-001"</t>
  </si>
  <si>
    <t>"plešatět-001"</t>
  </si>
  <si>
    <t>"plivat-001"</t>
  </si>
  <si>
    <t>"plivnout-001"</t>
  </si>
  <si>
    <t>"plnit-001"</t>
  </si>
  <si>
    <t>"plnit-002"</t>
  </si>
  <si>
    <t>ACT-&gt;ARG0/147,ARG1/144,ARG2/1</t>
  </si>
  <si>
    <t>PAT-&gt;ARG1/251,ARG2/144,ARGm-LOC/1</t>
  </si>
  <si>
    <t>"plnit-si-001"</t>
  </si>
  <si>
    <t>"plodit-001"</t>
  </si>
  <si>
    <t>"plodit-002"</t>
  </si>
  <si>
    <t>"plodit-003"</t>
  </si>
  <si>
    <t>"plout-001"</t>
  </si>
  <si>
    <t>"plout-002"</t>
  </si>
  <si>
    <t>"ploužit-se-001"</t>
  </si>
  <si>
    <t>"plužit-001"</t>
  </si>
  <si>
    <t>"plynout-001"</t>
  </si>
  <si>
    <t>PAT-&gt;ARG0/20,ARG1/1</t>
  </si>
  <si>
    <t>"plynout-002"</t>
  </si>
  <si>
    <t>"plynout-003"</t>
  </si>
  <si>
    <t>ACT-&gt;ARG1/68</t>
  </si>
  <si>
    <t>"plynovat-001"</t>
  </si>
  <si>
    <t>"plácat-001"</t>
  </si>
  <si>
    <t>PAT: .7,s+7</t>
  </si>
  <si>
    <t>"plácat-se-001"</t>
  </si>
  <si>
    <t>"plácnout-001"</t>
  </si>
  <si>
    <t>"plácnout-002"</t>
  </si>
  <si>
    <t>"plácnout-003"</t>
  </si>
  <si>
    <t>"plánovat-001"</t>
  </si>
  <si>
    <t>ACT-&gt;ARG0/1737,ARG1/8</t>
  </si>
  <si>
    <t>PAT: 4; ↓že; ↓c; .f; .s; .v</t>
  </si>
  <si>
    <t>PAT-&gt;ARG1/1913,ARG2/72</t>
  </si>
  <si>
    <t>"plédovat-001"</t>
  </si>
  <si>
    <t>"plést-001"</t>
  </si>
  <si>
    <t>EFF: s+7; za+4</t>
  </si>
  <si>
    <t>"plést-002"</t>
  </si>
  <si>
    <t>"plést-003"</t>
  </si>
  <si>
    <t>"plést-004"</t>
  </si>
  <si>
    <t>"plést-se-001"</t>
  </si>
  <si>
    <t>"plést-se-002"</t>
  </si>
  <si>
    <t>"plést-se-003"</t>
  </si>
  <si>
    <t>"plést-se-004"</t>
  </si>
  <si>
    <t>"plést-si-001"</t>
  </si>
  <si>
    <t>"plést-si-002"</t>
  </si>
  <si>
    <t>"plísnit-001"</t>
  </si>
  <si>
    <t>"plít-001"</t>
  </si>
  <si>
    <t>"plížit-se-001"</t>
  </si>
  <si>
    <t>"plýtvat-001"</t>
  </si>
  <si>
    <t>"pobabit-se-001"</t>
  </si>
  <si>
    <t>"pobalit-001"</t>
  </si>
  <si>
    <t>"pobavit-001"</t>
  </si>
  <si>
    <t>"pobavit-se-001"</t>
  </si>
  <si>
    <t>"poblahopřát-001"</t>
  </si>
  <si>
    <t>"pobláznit-001"</t>
  </si>
  <si>
    <t>"pobodat-001"</t>
  </si>
  <si>
    <t>"pobouřit-001"</t>
  </si>
  <si>
    <t>"pobrat-001"</t>
  </si>
  <si>
    <t>"pobrat-002"</t>
  </si>
  <si>
    <t>"pobrat-003"</t>
  </si>
  <si>
    <t>"pobrat-004"</t>
  </si>
  <si>
    <t>"pobrukovat-si-001"</t>
  </si>
  <si>
    <t>EFF-&gt;ARG1/2</t>
  </si>
  <si>
    <t>"pobuřovat-001"</t>
  </si>
  <si>
    <t>"pobídnout-001"</t>
  </si>
  <si>
    <t>ACT-&gt;ARG0/8,ARG2/30</t>
  </si>
  <si>
    <t>PAT: k+3; ↓aby; .f; .s</t>
  </si>
  <si>
    <t>ADDR-&gt;ARG1/39</t>
  </si>
  <si>
    <t>PAT-&gt;ARG1/1,ARG2/25</t>
  </si>
  <si>
    <t>ADDR-&gt;ARG1/29</t>
  </si>
  <si>
    <t>"pobíhat-001"</t>
  </si>
  <si>
    <t>"pobírat-001"</t>
  </si>
  <si>
    <t>PAT-&gt;ARG1/366</t>
  </si>
  <si>
    <t>"pobít-001"</t>
  </si>
  <si>
    <t>"pobít-002"</t>
  </si>
  <si>
    <t>"pobít-003"</t>
  </si>
  <si>
    <t>"pobízet-001"</t>
  </si>
  <si>
    <t>PAT: k+3; ↓aby; na+4; .f</t>
  </si>
  <si>
    <t>ADDR-&gt;ARG1/8</t>
  </si>
  <si>
    <t>"pobýt-001"</t>
  </si>
  <si>
    <t>"pobýt-002"</t>
  </si>
  <si>
    <t>"pobývat-001"</t>
  </si>
  <si>
    <t>"pochlubit-se-001"</t>
  </si>
  <si>
    <t>PAT: 7; ↓že; .s; s+7</t>
  </si>
  <si>
    <t>"pochodit-001"</t>
  </si>
  <si>
    <t>"pochodit-002"</t>
  </si>
  <si>
    <t>"pochodit-003"</t>
  </si>
  <si>
    <t>ACT-&gt;ARG0/23,ARGm-MNR/2</t>
  </si>
  <si>
    <t>MANN-&gt;ARGm-MNR/22</t>
  </si>
  <si>
    <t>"pochodovat-001"</t>
  </si>
  <si>
    <t>"pochopit-001"</t>
  </si>
  <si>
    <t>ACT-&gt;ARG0/464,ARG1/1</t>
  </si>
  <si>
    <t>PAT: 4; ↓že; ↓zda; ↓c; .v</t>
  </si>
  <si>
    <t>PAT-&gt;ARG1/617,ARG2/1</t>
  </si>
  <si>
    <t>"pochovat-001"</t>
  </si>
  <si>
    <t>"pochovat-002"</t>
  </si>
  <si>
    <t>"pochovávat-001"</t>
  </si>
  <si>
    <t>"pochroumat-001"</t>
  </si>
  <si>
    <t>"pochutnat-si-001"</t>
  </si>
  <si>
    <t>"pochutnávat-si-001"</t>
  </si>
  <si>
    <t>"pochvalovat-si-001"</t>
  </si>
  <si>
    <t>"pochválit-001"</t>
  </si>
  <si>
    <t>"pochybit-001"</t>
  </si>
  <si>
    <t>"pochybovat-001"</t>
  </si>
  <si>
    <t>ACT-&gt;ARG0/59,ARG1/3102,ARG2/296</t>
  </si>
  <si>
    <t>PAT: o+6; ↓že; ↓zda; ↓jestli; ↓c; .s</t>
  </si>
  <si>
    <t>"pochytat-001"</t>
  </si>
  <si>
    <t>"pochytit-001"</t>
  </si>
  <si>
    <t>"pochytit-002"</t>
  </si>
  <si>
    <t>"pocházet-001"</t>
  </si>
  <si>
    <t>ACT-&gt;ARG1/3392,ARG2/296</t>
  </si>
  <si>
    <t>PAT-&gt;ARG0/127,ARG1/121,ARG2/3530</t>
  </si>
  <si>
    <t>"pocházet-002"</t>
  </si>
  <si>
    <t>ACT-&gt;ARG0/1,ARG1/654,ARG2/3</t>
  </si>
  <si>
    <t>DIR1-&gt;ARG0/127,ARG1/2,ARG2/288</t>
  </si>
  <si>
    <t>"pocházet-003"</t>
  </si>
  <si>
    <t>TFRWH: *</t>
  </si>
  <si>
    <t>TFRWH-&gt;ARG2/13</t>
  </si>
  <si>
    <t>"pociťovat-001"</t>
  </si>
  <si>
    <t>EFF: 4[{jako,jakožto}:/AuxY]; .a4[{jako,jakožto}:/AuxY]; za+4</t>
  </si>
  <si>
    <t>"pociťovat-002"</t>
  </si>
  <si>
    <t>"pociťovat-003"</t>
  </si>
  <si>
    <t>ACT-&gt;ARG0/402,ARG1/8</t>
  </si>
  <si>
    <t>PAT-&gt;ARG1/502,ARG2/1,ARG4/1</t>
  </si>
  <si>
    <t>"pociťovat-004"</t>
  </si>
  <si>
    <t>CPHR: {averze,nutkání,potřeba,tlak,...}.4</t>
  </si>
  <si>
    <t>CPHR-&gt;ARG1/134,ARG2/1</t>
  </si>
  <si>
    <t>"poctít-001"</t>
  </si>
  <si>
    <t>"pocítit-001"</t>
  </si>
  <si>
    <t>"pocítit-002"</t>
  </si>
  <si>
    <t>CPHR: {nutkání,potřeba,radost,strach,vina,...}.4</t>
  </si>
  <si>
    <t>ACT-&gt;ARG0/52,ARG1/1</t>
  </si>
  <si>
    <t>ACT-&gt;ARG0/62,ARG1/1</t>
  </si>
  <si>
    <t>CPHR-&gt;ARG1/66</t>
  </si>
  <si>
    <t>"pocítit-003"</t>
  </si>
  <si>
    <t>CPHR: {dopad,oživení,poptávka,...}.4</t>
  </si>
  <si>
    <t>"pocítit-004"</t>
  </si>
  <si>
    <t>PAT-&gt;ARG1/80,ARG2/1</t>
  </si>
  <si>
    <t>?DPHR: na-1[kůže:S4[vlastní-1:#]]</t>
  </si>
  <si>
    <t>"podarovat-001"</t>
  </si>
  <si>
    <t>"podat-001"</t>
  </si>
  <si>
    <t>"podat-002"</t>
  </si>
  <si>
    <t>ACT-&gt;ARG0/418</t>
  </si>
  <si>
    <t>PAT-&gt;ARG1/646,ARG2/1</t>
  </si>
  <si>
    <t>ADDR-&gt;ARG1/7,ARG2/327</t>
  </si>
  <si>
    <t>"podat-003"</t>
  </si>
  <si>
    <t>PAT-&gt;ARG1/382,ARG2/1</t>
  </si>
  <si>
    <t>ADDR-&gt;ARG1/4,ARG2/318,ARG3/1</t>
  </si>
  <si>
    <t>"podat-004"</t>
  </si>
  <si>
    <t>"podat-005"</t>
  </si>
  <si>
    <t>"podat-006"</t>
  </si>
  <si>
    <t>PAT-&gt;ARG1/68</t>
  </si>
  <si>
    <t>"podat-007"</t>
  </si>
  <si>
    <t>"podat-008"</t>
  </si>
  <si>
    <t>CPHR: {důkaz,hlášení,informace,komentář,nabídka,námitka,návod,návrh,obvinění,obžaloba,odvolání,oznámení,podnět,pokyn,protest,protest,protižaloba,protižaloba,přhláška,příkaz,registrace,stížnost,svědectví,výpověď,vysvětlení,zpráva,žádost,žaloba,...}.4</t>
  </si>
  <si>
    <t>ACT-&gt;ARG0/913,ARG1/2</t>
  </si>
  <si>
    <t>CPHR-&gt;ARG1/1258,ARG2/2,ARG3/1</t>
  </si>
  <si>
    <t>ADDR-&gt;ARG1/23,ARG2/149,ARG3/79</t>
  </si>
  <si>
    <t>ACT-&gt;ARG0/589,ARG1/1</t>
  </si>
  <si>
    <t>CPHR-&gt;ARG0/1,ARG1/808,ARG3/3</t>
  </si>
  <si>
    <t>ADDR-&gt;ARG2/9,ARG3/1</t>
  </si>
  <si>
    <t>ACT-&gt;ARG0/412,ARG1/1</t>
  </si>
  <si>
    <t>CPHR-&gt;ARG1/586</t>
  </si>
  <si>
    <t>"podat-009"</t>
  </si>
  <si>
    <t>ACT-&gt;ARG0/322</t>
  </si>
  <si>
    <t>CPHR: {důkaz,informace,námitka,návrh,obvinění,obžaloba,odpověď,oznámení,podnět,protest,protest,protižaloba,příkaz,registrace,stížnost,výpověď,zpráva,žádost,žaloba,...}.4</t>
  </si>
  <si>
    <t>CPHR-&gt;ARG1/432,ARG2/1</t>
  </si>
  <si>
    <t>ACT-&gt;ARG0/192</t>
  </si>
  <si>
    <t>CPHR-&gt;ARG1/214</t>
  </si>
  <si>
    <t>LOC-&gt;ARG2/7</t>
  </si>
  <si>
    <t>"podat-010"</t>
  </si>
  <si>
    <t>CPHR: {důkaz,informace,námitka,návrh,odvolání,oznámení,podnět,protest,protižaloba,příkaz,registrace,stížnost,výpověď,zpráva,žádost,žaloba,...}.4</t>
  </si>
  <si>
    <t>CPHR-&gt;ARG1/82</t>
  </si>
  <si>
    <t>ACT-&gt;ARG0/119</t>
  </si>
  <si>
    <t>CPHR-&gt;ARG1/131</t>
  </si>
  <si>
    <t>"podat-011"</t>
  </si>
  <si>
    <t>CPHR: {demise,odvolání,...}</t>
  </si>
  <si>
    <t>"podat-012"</t>
  </si>
  <si>
    <t>CPHR: {výkon,...}.4</t>
  </si>
  <si>
    <t>"podat-si-001"</t>
  </si>
  <si>
    <t>"podat-si-002"</t>
  </si>
  <si>
    <t>DPHR: ruka.4</t>
  </si>
  <si>
    <t>"podařit-se-001"</t>
  </si>
  <si>
    <t>ACT-&gt;ARG0/371,ARG1/3250,ARG2/296</t>
  </si>
  <si>
    <t>PAT: 1; ↓že; ↓aby; .f</t>
  </si>
  <si>
    <t>PAT-&gt;ARG1/515,ARG2/199</t>
  </si>
  <si>
    <t>"podbarvit-001"</t>
  </si>
  <si>
    <t>"podbíjet-001"</t>
  </si>
  <si>
    <t>"podbízet-se-001"</t>
  </si>
  <si>
    <t>"podcenit-001"</t>
  </si>
  <si>
    <t>"podceňovat-001"</t>
  </si>
  <si>
    <t>"podchytit-001"</t>
  </si>
  <si>
    <t>"poddat-se-001"</t>
  </si>
  <si>
    <t>PAT-&gt;ARG1/30,ARG2/4</t>
  </si>
  <si>
    <t>"poddávat-se-001"</t>
  </si>
  <si>
    <t>"podebatovat-001"</t>
  </si>
  <si>
    <t>"podepisovat-001"</t>
  </si>
  <si>
    <t>"podepisovat-002"</t>
  </si>
  <si>
    <t>"podepisovat-se-001"</t>
  </si>
  <si>
    <t>"podepsat-001"</t>
  </si>
  <si>
    <t>ACT-&gt;ARG0/307,ARG1/171</t>
  </si>
  <si>
    <t>PAT-&gt;ARG0/75,ARG1/317,ARG3/6</t>
  </si>
  <si>
    <t>"podepsat-002"</t>
  </si>
  <si>
    <t>"podepsat-se-001"</t>
  </si>
  <si>
    <t>"podepřít-001"</t>
  </si>
  <si>
    <t>"podepřít-002"</t>
  </si>
  <si>
    <t>"podestlat-001"</t>
  </si>
  <si>
    <t>"podestlat-002"</t>
  </si>
  <si>
    <t>"podezírat-001"</t>
  </si>
  <si>
    <t>"podezřívat-001"</t>
  </si>
  <si>
    <t>ADDR-&gt;ARG2/3</t>
  </si>
  <si>
    <t>"podhlodat-001"</t>
  </si>
  <si>
    <t>"podhodnocovat-001"</t>
  </si>
  <si>
    <t>"podhodnotit-001"</t>
  </si>
  <si>
    <t>"podivit-se-001"</t>
  </si>
  <si>
    <t>PAT: 3; nad+7; ↓že; ↓zda; ↓jestli; ↓c</t>
  </si>
  <si>
    <t>"podivovat-se-001"</t>
  </si>
  <si>
    <t>"podjet-001"</t>
  </si>
  <si>
    <t>"podjet-002"</t>
  </si>
  <si>
    <t>"podkluzovat-001"</t>
  </si>
  <si>
    <t>"podkládat-001"</t>
  </si>
  <si>
    <t>"podkládat-002"</t>
  </si>
  <si>
    <t>"podkopat-001"</t>
  </si>
  <si>
    <t>"podkopávat-001"</t>
  </si>
  <si>
    <t>"podlamovat-se-001"</t>
  </si>
  <si>
    <t>"podlehnout-001"</t>
  </si>
  <si>
    <t>"podlehnout-002"</t>
  </si>
  <si>
    <t>ACT-&gt;ARG0/9,ARG1/8</t>
  </si>
  <si>
    <t>PAT-&gt;ARG1/8,ARG2/1,ARG4/1</t>
  </si>
  <si>
    <t>"podlomit-001"</t>
  </si>
  <si>
    <t>"podložit-001"</t>
  </si>
  <si>
    <t>"podložit-002"</t>
  </si>
  <si>
    <t>"podléhat-001"</t>
  </si>
  <si>
    <t>ACT-&gt;ARG0/342,ARG1/3132,ARG2/300</t>
  </si>
  <si>
    <t>PAT-&gt;ARG1/484,ARG2/2</t>
  </si>
  <si>
    <t>"podléhat-002"</t>
  </si>
  <si>
    <t>"podlézat-001"</t>
  </si>
  <si>
    <t>PAT-&gt;ARG1/2,ARG2/2</t>
  </si>
  <si>
    <t>"podlézt-001"</t>
  </si>
  <si>
    <t>"podmalovávat-001"</t>
  </si>
  <si>
    <t>"podmanit-si-001"</t>
  </si>
  <si>
    <t>"podmaňovat-si-001"</t>
  </si>
  <si>
    <t>"podminovat-001"</t>
  </si>
  <si>
    <t>"podmiňovat-001"</t>
  </si>
  <si>
    <t>"podmiňovat-002"</t>
  </si>
  <si>
    <t>"podmínit-001"</t>
  </si>
  <si>
    <t>"podmínit-002"</t>
  </si>
  <si>
    <t>"podnikat-001"</t>
  </si>
  <si>
    <t>ACT-&gt;ARG0/155,ARG1/1</t>
  </si>
  <si>
    <t>"podnikat-002"</t>
  </si>
  <si>
    <t>"podnikat-003"</t>
  </si>
  <si>
    <t>ACT-&gt;ARG0/227,ARG1/25</t>
  </si>
  <si>
    <t>CPHR: {krok,opatření,...}.4</t>
  </si>
  <si>
    <t>CPHR-&gt;ARG1/298,ARG2/26</t>
  </si>
  <si>
    <t>"podnikat-004"</t>
  </si>
  <si>
    <t>CPHR: {túra,výlet}.4</t>
  </si>
  <si>
    <t>"podniknout-001"</t>
  </si>
  <si>
    <t>ACT-&gt;ARG0/443,ARG1/27</t>
  </si>
  <si>
    <t>PAT-&gt;ARG1/551,ARG2/26</t>
  </si>
  <si>
    <t>"podniknout-002"</t>
  </si>
  <si>
    <t>CPHR: {cesta,invaze,mise,nájezd,obsazení,útok,výlet,výprava,zájezd,...}.4</t>
  </si>
  <si>
    <t>ACT-&gt;ARG0/253,ARG1/26</t>
  </si>
  <si>
    <t>CPHR-&gt;ARG1/294,ARG2/26</t>
  </si>
  <si>
    <t>"podniknout-003"</t>
  </si>
  <si>
    <t>CPHR: {aktivita,krok,opatření,operace,pokus,restrukturalizace,...}.4</t>
  </si>
  <si>
    <t>CPHR-&gt;ARG1/19</t>
  </si>
  <si>
    <t>ACT-&gt;ARG0/341,ARG1/26</t>
  </si>
  <si>
    <t>CPHR-&gt;ARG0/1,ARG1/416,ARG2/26,ARG3/3</t>
  </si>
  <si>
    <t>ACT-&gt;ARG0/204,ARG1/25</t>
  </si>
  <si>
    <t>CPHR-&gt;ARG1/232,ARG2/26</t>
  </si>
  <si>
    <t>"podnítit-001"</t>
  </si>
  <si>
    <t>ACT-&gt;ARG0/81,ARG2/34</t>
  </si>
  <si>
    <t>PAT: k+3; proti+3,aby[.v]</t>
  </si>
  <si>
    <t>PAT-&gt;ARG1/40,ARG2/66</t>
  </si>
  <si>
    <t>ADDR-&gt;ARG1/109,ARG2/2</t>
  </si>
  <si>
    <t>"podnítit-002"</t>
  </si>
  <si>
    <t>ACT-&gt;ARG0/412,ARG1/6,ARG2/63</t>
  </si>
  <si>
    <t>PAT-&gt;ARG1/696,ARG2/1,ARG4/6</t>
  </si>
  <si>
    <t>"podnítit-003"</t>
  </si>
  <si>
    <t>EFF-&gt;ARG2/1,ARG4/37</t>
  </si>
  <si>
    <t>"podněcovat-001"</t>
  </si>
  <si>
    <t>ACT-&gt;ARG0/44,ARG1/1,ARG2/4</t>
  </si>
  <si>
    <t>PAT: k+3; ↓aby</t>
  </si>
  <si>
    <t>PAT-&gt;ARG1/1,ARG2/55</t>
  </si>
  <si>
    <t>ADDR-&gt;ARG1/41,ARG2/2</t>
  </si>
  <si>
    <t>"podněcovat-002"</t>
  </si>
  <si>
    <t>ACT-&gt;ARG0/59,ARG2/31</t>
  </si>
  <si>
    <t>PAT-&gt;ARG1/152</t>
  </si>
  <si>
    <t>"podobat-se-001"</t>
  </si>
  <si>
    <t>ACT-&gt;ARG0/40,ARG1/14,ARG2/9</t>
  </si>
  <si>
    <t>PAT-&gt;ARG1/63,ARG2/21</t>
  </si>
  <si>
    <t>"podojit-001"</t>
  </si>
  <si>
    <t>"podotknout-001"</t>
  </si>
  <si>
    <t>ACT-&gt;ARG0/12317,ARG1/36</t>
  </si>
  <si>
    <t>EFF: 4; ↓že; ↓zda; ↓aby; ↓ať; .s; ↓c</t>
  </si>
  <si>
    <t>EFF-&gt;ARG0/2,ARG1/10689,ARG2/2</t>
  </si>
  <si>
    <t>?PAT: o+6; k+3</t>
  </si>
  <si>
    <t>PAT-&gt;ARG0/2,ARG1/8,ARG2/1,ARG3/30</t>
  </si>
  <si>
    <t>"podotýkat-001"</t>
  </si>
  <si>
    <t>"podpisovat-001"</t>
  </si>
  <si>
    <t>"podpisovat-002"</t>
  </si>
  <si>
    <t>"podpisovat-se-001"</t>
  </si>
  <si>
    <t>"podpisovat-se-002"</t>
  </si>
  <si>
    <t>"podplatit-001"</t>
  </si>
  <si>
    <t>"podplácet-001"</t>
  </si>
  <si>
    <t>"podporovat-001"</t>
  </si>
  <si>
    <t>ACT-&gt;ARG0/424,ARG1/3102,ARG2/332</t>
  </si>
  <si>
    <t>PAT-&gt;ARG1/698,ARG2/3474</t>
  </si>
  <si>
    <t>"podporovat-002"</t>
  </si>
  <si>
    <t>ADDR-&gt;ARG1/192,ARG2/5</t>
  </si>
  <si>
    <t>"podporovat-003"</t>
  </si>
  <si>
    <t>"podpořit-001"</t>
  </si>
  <si>
    <t>ACT-&gt;ARG0/543,ARG1/6,ARG2/64,ARG3/9</t>
  </si>
  <si>
    <t>PAT-&gt;ARG0/3,ARG1/824,ARG2/39</t>
  </si>
  <si>
    <t>"podpořit-002"</t>
  </si>
  <si>
    <t>ADDR-&gt;ARG1/33,ARG2/2</t>
  </si>
  <si>
    <t>?PAT: v+6; ↓aby</t>
  </si>
  <si>
    <t>PAT-&gt;ARG2/33</t>
  </si>
  <si>
    <t>ACT-&gt;ARG0/134</t>
  </si>
  <si>
    <t>ADDR-&gt;ARG1/159</t>
  </si>
  <si>
    <t>PAT-&gt;ARG1/16,ARG2/7</t>
  </si>
  <si>
    <t>"podpírat-001"</t>
  </si>
  <si>
    <t>PAT-&gt;ARG1/149</t>
  </si>
  <si>
    <t>"podrazit-001"</t>
  </si>
  <si>
    <t>"podrazit-002"</t>
  </si>
  <si>
    <t>"podražit-001"</t>
  </si>
  <si>
    <t>"podrobit-001"</t>
  </si>
  <si>
    <t>"podrobit-se-001"</t>
  </si>
  <si>
    <t>"podrobovat-001"</t>
  </si>
  <si>
    <t>"podrobovat-se-001"</t>
  </si>
  <si>
    <t>"podráždit-001"</t>
  </si>
  <si>
    <t>PAT-&gt;ARG0/7</t>
  </si>
  <si>
    <t>"podrýt-001"</t>
  </si>
  <si>
    <t>"podrývat-001"</t>
  </si>
  <si>
    <t>"podržet-001"</t>
  </si>
  <si>
    <t>ACT-&gt;ARG0/700</t>
  </si>
  <si>
    <t>PAT-&gt;ARG1/767</t>
  </si>
  <si>
    <t>"podržet-002"</t>
  </si>
  <si>
    <t>ADDR-&gt;ARG1/149</t>
  </si>
  <si>
    <t>"podsekat-001"</t>
  </si>
  <si>
    <t>"podsouvat-001"</t>
  </si>
  <si>
    <t>"podstoupit-001"</t>
  </si>
  <si>
    <t>ACT-&gt;ARG0/310,ARG1/33</t>
  </si>
  <si>
    <t>PAT-&gt;ARG1/390,ARG2/37</t>
  </si>
  <si>
    <t>"podstrojovat-001"</t>
  </si>
  <si>
    <t>"podstrčit-001"</t>
  </si>
  <si>
    <t>"podstupovat-001"</t>
  </si>
  <si>
    <t>ACT-&gt;ARG0/218,ARG1/33</t>
  </si>
  <si>
    <t>PAT-&gt;ARG1/241,ARG2/39</t>
  </si>
  <si>
    <t>"podtrhnout-001"</t>
  </si>
  <si>
    <t>PAT: 4; ↓že; :s; ↓c</t>
  </si>
  <si>
    <t>"podtrhnout-002"</t>
  </si>
  <si>
    <t>"podtrhovat-001"</t>
  </si>
  <si>
    <t>PAT-&gt;ARG1/22,ARG2/6</t>
  </si>
  <si>
    <t>"podtrhávat-001"</t>
  </si>
  <si>
    <t>"podtrhávat-002"</t>
  </si>
  <si>
    <t>"podupávat-001"</t>
  </si>
  <si>
    <t>"podupávat-si-001"</t>
  </si>
  <si>
    <t>"podvazovat-001"</t>
  </si>
  <si>
    <t>"podvolit-se-001"</t>
  </si>
  <si>
    <t>"podvolovat-se-001"</t>
  </si>
  <si>
    <t>"podvrhnout-001"</t>
  </si>
  <si>
    <t>"podvrhnout-002"</t>
  </si>
  <si>
    <t>"podvádět-001"</t>
  </si>
  <si>
    <t>"podvázat-001"</t>
  </si>
  <si>
    <t>"podvést-001"</t>
  </si>
  <si>
    <t>PAT-&gt;ARG1/10,ARG2/1</t>
  </si>
  <si>
    <t>"podvést-002"</t>
  </si>
  <si>
    <t>"podávat-001"</t>
  </si>
  <si>
    <t>"podávat-002"</t>
  </si>
  <si>
    <t>ACT-&gt;ARG0/4,ARG1/401</t>
  </si>
  <si>
    <t>"podávat-003"</t>
  </si>
  <si>
    <t>"podávat-004"</t>
  </si>
  <si>
    <t>"podávat-005"</t>
  </si>
  <si>
    <t>"podávat-006"</t>
  </si>
  <si>
    <t>"podávat-007"</t>
  </si>
  <si>
    <t>"podávat-008"</t>
  </si>
  <si>
    <t>CPHR: {důkaz,hlášení,informace,nabídka,návod,návrh,odvolání,podnět,protest,příklad,stížnost,svědectví,výpověď,zpráva,žádost,žaloba,...}.4</t>
  </si>
  <si>
    <t>ACT-&gt;ARG0/2638,ARG1/21</t>
  </si>
  <si>
    <t>CPHR-&gt;ARG0/1,ARG1/2906,ARG2/2,ARG3/1</t>
  </si>
  <si>
    <t>ADDR-&gt;ARG1/4,ARG2/37,ARG3/78</t>
  </si>
  <si>
    <t>ACT-&gt;ARG0/411</t>
  </si>
  <si>
    <t>CPHR-&gt;ARG1/480</t>
  </si>
  <si>
    <t>ADDR-&gt;ARG2/10,ARG3/1</t>
  </si>
  <si>
    <t>"podávat-009"</t>
  </si>
  <si>
    <t>CPHR: {důkaz,informace,návrh,protest,stížnost,zpráva,žádost,žaloba,...}.4</t>
  </si>
  <si>
    <t>CPHR-&gt;ARG1/63</t>
  </si>
  <si>
    <t>"podávat-010"</t>
  </si>
  <si>
    <t>ACT-&gt;ARG0/584,ARG1/1</t>
  </si>
  <si>
    <t>CPHR: {důkaz,informace,návrh,podnět,protest,stížnost,zpráva,žádost,žaloba,...}.4</t>
  </si>
  <si>
    <t>CPHR-&gt;ARG1/638</t>
  </si>
  <si>
    <t>DIR3-&gt;ARG2/9</t>
  </si>
  <si>
    <t>"podávat-011"</t>
  </si>
  <si>
    <t>"podávat-012"</t>
  </si>
  <si>
    <t>"podávat-013"</t>
  </si>
  <si>
    <t>"podílet-se-001"</t>
  </si>
  <si>
    <t>ACT-&gt;ARG0/2700,ARG1/3155,ARG2/376</t>
  </si>
  <si>
    <t>PAT-&gt;ARG1/453,ARG2/230,ARG3/1</t>
  </si>
  <si>
    <t>"podít-se-001"</t>
  </si>
  <si>
    <t>ACT-&gt;ARG1/358,ARG2/3</t>
  </si>
  <si>
    <t>"podívat-001"</t>
  </si>
  <si>
    <t>"podívat-se-001"</t>
  </si>
  <si>
    <t>"podívat-se-002"</t>
  </si>
  <si>
    <t>PAT-&gt;ARG1/76,ARG2/1</t>
  </si>
  <si>
    <t>"podívat-se-003"</t>
  </si>
  <si>
    <t>"podívat-se-004"</t>
  </si>
  <si>
    <t>DIR3-&gt;ARG1/75,ARG2/1</t>
  </si>
  <si>
    <t>"podívat-se-005"</t>
  </si>
  <si>
    <t>"podívat-se-006"</t>
  </si>
  <si>
    <t>"podívat-se-007"</t>
  </si>
  <si>
    <t>PAT: na+4; ↓zda; ↓jestli</t>
  </si>
  <si>
    <t>"podívat-se-008"</t>
  </si>
  <si>
    <t>"podědit-001"</t>
  </si>
  <si>
    <t>"poděkovat-001"</t>
  </si>
  <si>
    <t>?PAT: za+4; ↓že; ↓c</t>
  </si>
  <si>
    <t>"poděkovat-se-001"</t>
  </si>
  <si>
    <t>"podělit-001"</t>
  </si>
  <si>
    <t>"podělit-002"</t>
  </si>
  <si>
    <t>"podělit-se-001"</t>
  </si>
  <si>
    <t>ACT-&gt;ARG0/320,ARG1/2</t>
  </si>
  <si>
    <t>PAT-&gt;ARG1/431,ARG2/2,ARG3/1</t>
  </si>
  <si>
    <t>ADDR-&gt;ARG1/2,ARG2/20,ARG3/78</t>
  </si>
  <si>
    <t>"poděsit-001"</t>
  </si>
  <si>
    <t>"podřadit-001"</t>
  </si>
  <si>
    <t>"podřezat-001"</t>
  </si>
  <si>
    <t>"podřezat-002"</t>
  </si>
  <si>
    <t>DPHR: se.3$2&lt;7&gt;,pod-1[se.7$2&lt;6&gt;],větev.S4</t>
  </si>
  <si>
    <t>"podřezávat-001"</t>
  </si>
  <si>
    <t>"podřimovat-001"</t>
  </si>
  <si>
    <t>"podřizovat-001"</t>
  </si>
  <si>
    <t>PAT-&gt;ARG1/145</t>
  </si>
  <si>
    <t>"podřizovat-se-001"</t>
  </si>
  <si>
    <t>"podřídit-001"</t>
  </si>
  <si>
    <t>ACT-&gt;ARG0/240</t>
  </si>
  <si>
    <t>PAT-&gt;ARG0/9,ARG1/352,ARG2/1</t>
  </si>
  <si>
    <t>ADDR-&gt;ARG0/19,ARG1/4,ARG2/328</t>
  </si>
  <si>
    <t>"podřídit-se-001"</t>
  </si>
  <si>
    <t>"podříznout-001"</t>
  </si>
  <si>
    <t>"poflakovat-se-001"</t>
  </si>
  <si>
    <t>"pofoukat-001"</t>
  </si>
  <si>
    <t>"pogratulovat-001"</t>
  </si>
  <si>
    <t>"pohasnout-001"</t>
  </si>
  <si>
    <t>"pohladit-001"</t>
  </si>
  <si>
    <t>"pohladit-si-001"</t>
  </si>
  <si>
    <t>"pohlcovat-001"</t>
  </si>
  <si>
    <t>"pohledávat-001"</t>
  </si>
  <si>
    <t>"pohltit-001"</t>
  </si>
  <si>
    <t>PAT-&gt;ARG0/1,ARG1/55</t>
  </si>
  <si>
    <t>"pohlédnout-001"</t>
  </si>
  <si>
    <t>"pohlédnout-002"</t>
  </si>
  <si>
    <t>"pohlídat-001"</t>
  </si>
  <si>
    <t>"pohlížet-001"</t>
  </si>
  <si>
    <t>ACT-&gt;ARG0/150,ARG1/1,ARG2/1</t>
  </si>
  <si>
    <t>PAT-&gt;ARG1/222,ARG2/1</t>
  </si>
  <si>
    <t>EFF: na-1[.4[{jako,jakožto}:/AuxY]]; na-1[.a4[{jako,jakožto}:/AuxY]]</t>
  </si>
  <si>
    <t>EFF-&gt;ARG1/27,ARG2/110</t>
  </si>
  <si>
    <t>"pohlížet-002"</t>
  </si>
  <si>
    <t>ACT-&gt;ARG0/342,ARG1/25</t>
  </si>
  <si>
    <t>PAT-&gt;ARG1/219,ARG2/1</t>
  </si>
  <si>
    <t>MANN-&gt;ARG1/251,ARG2/127</t>
  </si>
  <si>
    <t>"pohlížet-003"</t>
  </si>
  <si>
    <t>"pohnat-001"</t>
  </si>
  <si>
    <t>DIR3-&gt;ARG1/1,ARG2/3</t>
  </si>
  <si>
    <t>"pohnat-002"</t>
  </si>
  <si>
    <t>"pohnout-001"</t>
  </si>
  <si>
    <t>ACT-&gt;ARG0/57,ARG1/1,ARG2/4</t>
  </si>
  <si>
    <t>PAT-&gt;ARG1/111</t>
  </si>
  <si>
    <t>"pohnout-se-001"</t>
  </si>
  <si>
    <t>ACT-&gt;ARG0/22,ARG1/109</t>
  </si>
  <si>
    <t>"pohodit-001"</t>
  </si>
  <si>
    <t>"pohodnout-se-001"</t>
  </si>
  <si>
    <t>"pohoršit-001"</t>
  </si>
  <si>
    <t>"pohoršit-002"</t>
  </si>
  <si>
    <t>"pohoršit-si-001"</t>
  </si>
  <si>
    <t>"pohoršit-si-002"</t>
  </si>
  <si>
    <t>"pohostit-001"</t>
  </si>
  <si>
    <t>"pohovořit-001"</t>
  </si>
  <si>
    <t>?ADDR: k+3</t>
  </si>
  <si>
    <t>"pohovořit-002"</t>
  </si>
  <si>
    <t>"pohořet-001"</t>
  </si>
  <si>
    <t>"pohořet-002"</t>
  </si>
  <si>
    <t>"pohrabovat-001"</t>
  </si>
  <si>
    <t>"pohrdat-001"</t>
  </si>
  <si>
    <t>"pohrdnout-001"</t>
  </si>
  <si>
    <t>"pohroužit-se-001"</t>
  </si>
  <si>
    <t>PAT: do+2; v+4</t>
  </si>
  <si>
    <t>"pohrozit-001"</t>
  </si>
  <si>
    <t>PAT: 7; ↓že; .s; ↓c</t>
  </si>
  <si>
    <t>PAT-&gt;ARG1/48,ARG2/8</t>
  </si>
  <si>
    <t>"pohrát-si-001"</t>
  </si>
  <si>
    <t>"pohrávat-si-001"</t>
  </si>
  <si>
    <t>"pohupovat-001"</t>
  </si>
  <si>
    <t>"pohupovat-se-001"</t>
  </si>
  <si>
    <t>"pohvizdovat-si-001"</t>
  </si>
  <si>
    <t>?PAT: 4; .s</t>
  </si>
  <si>
    <t>"pohybovat-001"</t>
  </si>
  <si>
    <t>"pohybovat-se-001"</t>
  </si>
  <si>
    <t>ACT-&gt;ARG0/293,ARG1/3611,ARG2/300</t>
  </si>
  <si>
    <t>LOC-&gt;ARG1/462,ARG2/3793,ARG3/9</t>
  </si>
  <si>
    <t>"pohybovat-se-002"</t>
  </si>
  <si>
    <t>ACT-&gt;ARG0/20,ARG1/280,ARG2/3</t>
  </si>
  <si>
    <t>LOC-&gt;ARG1/2,ARG2/279</t>
  </si>
  <si>
    <t>"pohybovat-se-003"</t>
  </si>
  <si>
    <t>ACT-&gt;ARG0/27,ARG1/205</t>
  </si>
  <si>
    <t>"pohybovat-se-004"</t>
  </si>
  <si>
    <t>ACT-&gt;ARG0/3,ARG1/37</t>
  </si>
  <si>
    <t>"pohádat-se-001"</t>
  </si>
  <si>
    <t>"pohánět-001"</t>
  </si>
  <si>
    <t>ACT-&gt;ARG0/25,ARG2/64</t>
  </si>
  <si>
    <t>PAT-&gt;ARG1/102</t>
  </si>
  <si>
    <t>"pohánět-002"</t>
  </si>
  <si>
    <t>ACT-&gt;ARG0/19,ARG2/33</t>
  </si>
  <si>
    <t>"pohřbít-001"</t>
  </si>
  <si>
    <t>"pohřbít-002"</t>
  </si>
  <si>
    <t>"pohřbívat-001"</t>
  </si>
  <si>
    <t>"pohřešovat-001"</t>
  </si>
  <si>
    <t>"pojednat-001"</t>
  </si>
  <si>
    <t>"pojednat-002"</t>
  </si>
  <si>
    <t>"pojednat-003"</t>
  </si>
  <si>
    <t>"pojednat-004"</t>
  </si>
  <si>
    <t>"pojednávat-001"</t>
  </si>
  <si>
    <t>"pojistit-001"</t>
  </si>
  <si>
    <t>ACT-&gt;ARG0/29,ARG1/1,ARG2/53</t>
  </si>
  <si>
    <t>"pojit-001"</t>
  </si>
  <si>
    <t>"pojit-002"</t>
  </si>
  <si>
    <t>"pojit-se-001"</t>
  </si>
  <si>
    <t>"pojišťovat-001"</t>
  </si>
  <si>
    <t>"pojmenovat-001"</t>
  </si>
  <si>
    <t>?EFF: 1; 7; na+4</t>
  </si>
  <si>
    <t>ACT-&gt;ARG0/33,ARG1/1</t>
  </si>
  <si>
    <t>PAT-&gt;ARG1/253,ARG2/2</t>
  </si>
  <si>
    <t>EFF-&gt;ARG2/240</t>
  </si>
  <si>
    <t>"pojmenovat-002"</t>
  </si>
  <si>
    <t>PAT-&gt;ARG1/43,ARG2/5</t>
  </si>
  <si>
    <t>"pojmenovat-003"</t>
  </si>
  <si>
    <t>"pojmenovávat-001"</t>
  </si>
  <si>
    <t>"pojmenovávat-002"</t>
  </si>
  <si>
    <t>"pojmenovávat-003"</t>
  </si>
  <si>
    <t>"pojmout-001"</t>
  </si>
  <si>
    <t>"pojmout-002"</t>
  </si>
  <si>
    <t>ACT-&gt;ARG0/58,ARG1/1,ARG2/1</t>
  </si>
  <si>
    <t>"pojmout-003"</t>
  </si>
  <si>
    <t>"pojmout-004"</t>
  </si>
  <si>
    <t>CPHR-&gt;ARG2/32</t>
  </si>
  <si>
    <t>"pojídat-001"</t>
  </si>
  <si>
    <t>"pojídat-se-001"</t>
  </si>
  <si>
    <t>"pojímat-001"</t>
  </si>
  <si>
    <t>"pojímat-002"</t>
  </si>
  <si>
    <t>"pojímat-003"</t>
  </si>
  <si>
    <t>"pojíst-001"</t>
  </si>
  <si>
    <t>"pojíst-si-001"</t>
  </si>
  <si>
    <t>"pojít-001"</t>
  </si>
  <si>
    <t>"pokazit-001"</t>
  </si>
  <si>
    <t>"pokazit-se-001"</t>
  </si>
  <si>
    <t>ACT-&gt;ARG1/53</t>
  </si>
  <si>
    <t>"pokašlávat-001"</t>
  </si>
  <si>
    <t>"pokecat-001"</t>
  </si>
  <si>
    <t>"pokleknout-001"</t>
  </si>
  <si>
    <t>"poklepat-001"</t>
  </si>
  <si>
    <t>"poklesnout-001"</t>
  </si>
  <si>
    <t>ACT-&gt;ARG0/9,ARG1/1611,ARG2/5</t>
  </si>
  <si>
    <t>PAT-&gt;ARG1/15,ARG2/29,ARG4/893,ARGm-LOC/2</t>
  </si>
  <si>
    <t>ORIG-&gt;ARG2/8,ARG3/276,ARG4/5,ARGm-LOC/1</t>
  </si>
  <si>
    <t>"poklesnout-002"</t>
  </si>
  <si>
    <t>"poklidit-001"</t>
  </si>
  <si>
    <t>"poklonit-se-001"</t>
  </si>
  <si>
    <t>"poklonit-se-002"</t>
  </si>
  <si>
    <t>"pokládat-001"</t>
  </si>
  <si>
    <t>"pokládat-002"</t>
  </si>
  <si>
    <t>ACT-&gt;ARG0/456,ARG1/4,ARG2/1</t>
  </si>
  <si>
    <t>PAT: 4; .f; ↓když; ↓že; ↓aby</t>
  </si>
  <si>
    <t>PAT-&gt;ARG1/203,ARG2/2</t>
  </si>
  <si>
    <t>EFF: za+4; za-1[.a]</t>
  </si>
  <si>
    <t>EFF-&gt;ARG1/405,ARG2/99</t>
  </si>
  <si>
    <t>"pokládat-003"</t>
  </si>
  <si>
    <t>"pokládat-004"</t>
  </si>
  <si>
    <t>"pokládat-005"</t>
  </si>
  <si>
    <t>"pokládat-006"</t>
  </si>
  <si>
    <t>"pokládat-se-001"</t>
  </si>
  <si>
    <t>"pokmínovat-001"</t>
  </si>
  <si>
    <t>"pokoupit-001"</t>
  </si>
  <si>
    <t>"pokousat-001"</t>
  </si>
  <si>
    <t>"pokoušet-001"</t>
  </si>
  <si>
    <t>"pokoušet-002"</t>
  </si>
  <si>
    <t>PAT-&gt;ARG1/3,ARG3/1</t>
  </si>
  <si>
    <t>"pokoušet-se-001"</t>
  </si>
  <si>
    <t>ACT-&gt;ARG0/414,ARG1/1</t>
  </si>
  <si>
    <t>PAT: o+4; .f; ↓aby</t>
  </si>
  <si>
    <t>PAT-&gt;ARG1/547</t>
  </si>
  <si>
    <t>"pokořit-001"</t>
  </si>
  <si>
    <t>"pokořit-002"</t>
  </si>
  <si>
    <t>"pokořit-se-001"</t>
  </si>
  <si>
    <t>"pokračovat-001"</t>
  </si>
  <si>
    <t>PAT: v+6; s+7; na+6; 4; ↓c</t>
  </si>
  <si>
    <t>ACT-&gt;ARG0/428,ARG1/586,ARG2/5</t>
  </si>
  <si>
    <t>PAT-&gt;ARG1/577,ARG2/7</t>
  </si>
  <si>
    <t>"pokračovat-002"</t>
  </si>
  <si>
    <t>ACT-&gt;ARG0/5,ARG1/7</t>
  </si>
  <si>
    <t>EFF: .s; ↓že; ↓c</t>
  </si>
  <si>
    <t>EFF-&gt;ARG1/4</t>
  </si>
  <si>
    <t>"pokračovat-003"</t>
  </si>
  <si>
    <t>"pokračovat-004"</t>
  </si>
  <si>
    <t>ACT-&gt;ARG0/70,ARG1/602</t>
  </si>
  <si>
    <t>"pokropit-001"</t>
  </si>
  <si>
    <t>"pokročit-001"</t>
  </si>
  <si>
    <t>PAT-&gt;ARG4/70</t>
  </si>
  <si>
    <t>"pokročit-002"</t>
  </si>
  <si>
    <t>ACT-&gt;ARG0/90,ARG1/67</t>
  </si>
  <si>
    <t>"--pokročit-003"</t>
  </si>
  <si>
    <t>"pokrýt-001"</t>
  </si>
  <si>
    <t>ACT-&gt;ARG0/106,ARG2/49</t>
  </si>
  <si>
    <t>PAT-&gt;ARG1/276,ARG2/1</t>
  </si>
  <si>
    <t>"pokrýt-002"</t>
  </si>
  <si>
    <t>ACT-&gt;ARG0/71,ARG2/51</t>
  </si>
  <si>
    <t>PAT-&gt;ARG1/304,ARG2/1</t>
  </si>
  <si>
    <t>"pokrýt-003"</t>
  </si>
  <si>
    <t>ACT-&gt;ARG0/1,ARG2/4</t>
  </si>
  <si>
    <t>"pokrýt-004"</t>
  </si>
  <si>
    <t>"pokrývat-001"</t>
  </si>
  <si>
    <t>ACT-&gt;ARG0/14,ARG2/49</t>
  </si>
  <si>
    <t>PAT-&gt;ARG1/145,ARG2/1</t>
  </si>
  <si>
    <t>"pokrývat-002"</t>
  </si>
  <si>
    <t>"pokrývat-003"</t>
  </si>
  <si>
    <t>ACT-&gt;ARG0/2229,ARG1/3121,ARG2/345</t>
  </si>
  <si>
    <t>PAT-&gt;ARG0/1,ARG1/2678,ARG2/3452</t>
  </si>
  <si>
    <t>"pokrývat-004"</t>
  </si>
  <si>
    <t>"pokrčit-001"</t>
  </si>
  <si>
    <t>"pokrčit-002"</t>
  </si>
  <si>
    <t>DPHR: rameno.P7</t>
  </si>
  <si>
    <t>"pokulhávat-001"</t>
  </si>
  <si>
    <t>"pokulhávat-002"</t>
  </si>
  <si>
    <t>"pokulhávat-003"</t>
  </si>
  <si>
    <t>"pokusit-se-001"</t>
  </si>
  <si>
    <t>ACT-&gt;ARG0/993,ARG1/2,ARG2/1</t>
  </si>
  <si>
    <t>PAT-&gt;ARG1/1360,ARG2/4,ARG3/1</t>
  </si>
  <si>
    <t>"pokutovat-001"</t>
  </si>
  <si>
    <t>"pokvasit-001"</t>
  </si>
  <si>
    <t>"pokydat-001"</t>
  </si>
  <si>
    <t>"pokynout-001"</t>
  </si>
  <si>
    <t>"pokácet-001"</t>
  </si>
  <si>
    <t>"pokálet-001"</t>
  </si>
  <si>
    <t>"pokárat-001"</t>
  </si>
  <si>
    <t>"pokývnout-001"</t>
  </si>
  <si>
    <t>"pokřikovat-001"</t>
  </si>
  <si>
    <t>"pokřtít-001"</t>
  </si>
  <si>
    <t>?EFF: 1; 7</t>
  </si>
  <si>
    <t>"polapit-001"</t>
  </si>
  <si>
    <t>"polarizovat-001"</t>
  </si>
  <si>
    <t>"polechtat-001"</t>
  </si>
  <si>
    <t>"polehávat-001"</t>
  </si>
  <si>
    <t>"polekat-se-001"</t>
  </si>
  <si>
    <t>ACT-&gt;ARG0/1,ARG1/3,ARG2/3</t>
  </si>
  <si>
    <t>"polemizovat-001"</t>
  </si>
  <si>
    <t>PAT: o+6; .s; ↓c</t>
  </si>
  <si>
    <t>"polemizovat-002"</t>
  </si>
  <si>
    <t>PAT-&gt;ARG1/1,ARG2/13</t>
  </si>
  <si>
    <t>"polepit-001"</t>
  </si>
  <si>
    <t>"poleptat-001"</t>
  </si>
  <si>
    <t>"polepšit-si-001"</t>
  </si>
  <si>
    <t>"poletovat-001"</t>
  </si>
  <si>
    <t>"poletovat-si-001"</t>
  </si>
  <si>
    <t>"polevit-001"</t>
  </si>
  <si>
    <t>"polevit-002"</t>
  </si>
  <si>
    <t>"polevit-003"</t>
  </si>
  <si>
    <t>ACT-&gt;ARG1/34</t>
  </si>
  <si>
    <t>PAT-&gt;ARG4/23</t>
  </si>
  <si>
    <t>"polevovat-001"</t>
  </si>
  <si>
    <t>ACT-&gt;ARG1/36</t>
  </si>
  <si>
    <t>"polichotit-001"</t>
  </si>
  <si>
    <t>"politizovat-001"</t>
  </si>
  <si>
    <t>"politovat-001"</t>
  </si>
  <si>
    <t>"pololhát-001"</t>
  </si>
  <si>
    <t>"položit-001"</t>
  </si>
  <si>
    <t>"položit-002"</t>
  </si>
  <si>
    <t>LOC-&gt;ARG2/27</t>
  </si>
  <si>
    <t>"položit-003"</t>
  </si>
  <si>
    <t>ACT-&gt;ARG0/103</t>
  </si>
  <si>
    <t>"položit-004"</t>
  </si>
  <si>
    <t>"položit-005"</t>
  </si>
  <si>
    <t>"položit-006"</t>
  </si>
  <si>
    <t>"položit-007"</t>
  </si>
  <si>
    <t>ACT-&gt;ARG0/97</t>
  </si>
  <si>
    <t>CPHR-&gt;ARG1/157</t>
  </si>
  <si>
    <t>"položit-008"</t>
  </si>
  <si>
    <t>CPHR: {důraz,důraz,...}.4</t>
  </si>
  <si>
    <t>"položit-009"</t>
  </si>
  <si>
    <t>DPHR: na-1[lopatka.P4]</t>
  </si>
  <si>
    <t>DPHR-&gt;ARG0/1,ARG1/65</t>
  </si>
  <si>
    <t>"položit-010"</t>
  </si>
  <si>
    <t>DPHR: život.4</t>
  </si>
  <si>
    <t>"položit-011"</t>
  </si>
  <si>
    <t>"položit-012"</t>
  </si>
  <si>
    <t>"položit-se-001"</t>
  </si>
  <si>
    <t>"položit-se-002"</t>
  </si>
  <si>
    <t>"polykat-001"</t>
  </si>
  <si>
    <t>"polykat-002"</t>
  </si>
  <si>
    <t>"polámat-001"</t>
  </si>
  <si>
    <t>"polévat-001"</t>
  </si>
  <si>
    <t>"polévat-002"</t>
  </si>
  <si>
    <t>"políbit-001"</t>
  </si>
  <si>
    <t>"polít-001"</t>
  </si>
  <si>
    <t>"políčit-001"</t>
  </si>
  <si>
    <t>"pomalovat-001"</t>
  </si>
  <si>
    <t>"pomazlit-001"</t>
  </si>
  <si>
    <t>"pomazávat-001"</t>
  </si>
  <si>
    <t>"pomačkat-001"</t>
  </si>
  <si>
    <t>"pomilovat-se-001"</t>
  </si>
  <si>
    <t>"pominout-001"</t>
  </si>
  <si>
    <t>ACT-&gt;ARG0/40,ARG1/1</t>
  </si>
  <si>
    <t>"pominout-002"</t>
  </si>
  <si>
    <t>"pomlouvat-001"</t>
  </si>
  <si>
    <t>"pomluvit-001"</t>
  </si>
  <si>
    <t>"pomoci-001"</t>
  </si>
  <si>
    <t>"pomoci-002"</t>
  </si>
  <si>
    <t>?PAT: 4; s+7; .f; v+6</t>
  </si>
  <si>
    <t>ACT-&gt;ARG0/458,ARG1/8</t>
  </si>
  <si>
    <t>ADDR-&gt;ARG1/252,ARG2/62</t>
  </si>
  <si>
    <t>PAT-&gt;ARG0/1,ARG1/372,ARG2/20</t>
  </si>
  <si>
    <t>"pomoci-003"</t>
  </si>
  <si>
    <t>ACT: 1; ↓když; ↓kdyby; ↓že</t>
  </si>
  <si>
    <t>?PAT: do+2; k+3; od+2; .f; ↓aby; z+2</t>
  </si>
  <si>
    <t>PAT-&gt;ARG0/1,ARG1/381</t>
  </si>
  <si>
    <t>"pomoci-004"</t>
  </si>
  <si>
    <t>DPHR: na-1[noha:P4[vlastní-1.#]]</t>
  </si>
  <si>
    <t>"pomoci-005"</t>
  </si>
  <si>
    <t>PAT-&gt;ARG1/113,ARG2/57</t>
  </si>
  <si>
    <t>"pomoci-si-001"</t>
  </si>
  <si>
    <t>"pomodlit-se-001"</t>
  </si>
  <si>
    <t>"pomočit-se-001"</t>
  </si>
  <si>
    <t>"pomrznout-001"</t>
  </si>
  <si>
    <t>"pomstít-001"</t>
  </si>
  <si>
    <t>"pomstít-se-001"</t>
  </si>
  <si>
    <t>"pomuchlat-001"</t>
  </si>
  <si>
    <t>"pomyslet-001"</t>
  </si>
  <si>
    <t>PAT-&gt;ARG1/6,ARG2/46</t>
  </si>
  <si>
    <t>"pomyslet-002"</t>
  </si>
  <si>
    <t>EFF: 4; ↓že; ↓c; .s</t>
  </si>
  <si>
    <t>"pomyslet-si-001"</t>
  </si>
  <si>
    <t>EFF-&gt;ARG1/465,ARG2/1</t>
  </si>
  <si>
    <t>"pomyslit-001"</t>
  </si>
  <si>
    <t>PAT-&gt;ARG1/1,ARG2/36</t>
  </si>
  <si>
    <t>"pomyslit-si-001"</t>
  </si>
  <si>
    <t>"pomáhat-001"</t>
  </si>
  <si>
    <t>"pomáhat-002"</t>
  </si>
  <si>
    <t>?PAT: k+3; do+2; od+2; .f</t>
  </si>
  <si>
    <t>ACT-&gt;ARG0/321,ARG1/3105,ARG2/296</t>
  </si>
  <si>
    <t>"pomáhat-003"</t>
  </si>
  <si>
    <t>ACT-&gt;ARG0/535,ARG1/5,ARG3/1</t>
  </si>
  <si>
    <t>ADDR-&gt;ARG1/189,ARG2/67</t>
  </si>
  <si>
    <t>?PAT: 4; .f; s+7; v+6; při+6</t>
  </si>
  <si>
    <t>PAT-&gt;ARG0/1,ARG1/361,ARG2/23</t>
  </si>
  <si>
    <t>"--pomáhat-si-001"</t>
  </si>
  <si>
    <t>?PAT: s+7; v+6</t>
  </si>
  <si>
    <t>"pomíjet-001"</t>
  </si>
  <si>
    <t>"pomíjet-002"</t>
  </si>
  <si>
    <t>"pomýšlet-001"</t>
  </si>
  <si>
    <t>ACT-&gt;ARG0/400</t>
  </si>
  <si>
    <t>PAT-&gt;ARG1/368,ARG2/46</t>
  </si>
  <si>
    <t>"poměřit-001"</t>
  </si>
  <si>
    <t>"poměřit-002"</t>
  </si>
  <si>
    <t>"poměřovat-001"</t>
  </si>
  <si>
    <t>ACT-&gt;ARG0/5,ARG2/16</t>
  </si>
  <si>
    <t>"poměřovat-002"</t>
  </si>
  <si>
    <t>"ponaučit-001"</t>
  </si>
  <si>
    <t>PAT: o+6; ↓že; ↓aby; ↓ať; .s; ↓c</t>
  </si>
  <si>
    <t>"ponechat-001"</t>
  </si>
  <si>
    <t>PAT: 4; ↓aby; ↓c</t>
  </si>
  <si>
    <t>ADDR-&gt;ARG0/10,ARG1/4,ARG2/21</t>
  </si>
  <si>
    <t>"ponechat-002"</t>
  </si>
  <si>
    <t>ACT-&gt;ARG0/380,ARG1/3</t>
  </si>
  <si>
    <t>PAT-&gt;ARG1/428,ARG2/47</t>
  </si>
  <si>
    <t>ADDR-&gt;ARG1/79,ARG2/17</t>
  </si>
  <si>
    <t>"ponechat-003"</t>
  </si>
  <si>
    <t>"ponechat-004"</t>
  </si>
  <si>
    <t>ACT-&gt;ARG0/99</t>
  </si>
  <si>
    <t>PAT-&gt;ARG0/2,ARG1/168</t>
  </si>
  <si>
    <t>EFF-&gt;ARG1/197</t>
  </si>
  <si>
    <t>ACT-&gt;ARG0/204</t>
  </si>
  <si>
    <t>PAT-&gt;ARG0/2,ARG1/311,ARG2/3</t>
  </si>
  <si>
    <t>EFF-&gt;ARG1/200,ARG2/46</t>
  </si>
  <si>
    <t>ACT-&gt;ARG0/271</t>
  </si>
  <si>
    <t>PAT-&gt;ARG1/52,ARG2/312</t>
  </si>
  <si>
    <t>"ponechat-005"</t>
  </si>
  <si>
    <t>ACT-&gt;ARG0/91,ARG1/1</t>
  </si>
  <si>
    <t>PAT: 4; ↓zda</t>
  </si>
  <si>
    <t>PAT-&gt;ARG1/157,ARG2/3</t>
  </si>
  <si>
    <t>LOC-&gt;ARG1/6,ARG2/77</t>
  </si>
  <si>
    <t>"ponechat-006"</t>
  </si>
  <si>
    <t>ACT-&gt;ARG0/59,ARG1/1</t>
  </si>
  <si>
    <t>"ponechat-007"</t>
  </si>
  <si>
    <t>"ponechat-008"</t>
  </si>
  <si>
    <t>DPHR: napospas; na-1[pospas.S4]</t>
  </si>
  <si>
    <t>"ponechat-009"</t>
  </si>
  <si>
    <t>EFF: 4[{jako,jakožto}:/AuxY]</t>
  </si>
  <si>
    <t>"ponechávat-001"</t>
  </si>
  <si>
    <t>PAT: 4; ↓aby; ↓zda; ↓jestli; ↓c</t>
  </si>
  <si>
    <t>"ponechávat-002"</t>
  </si>
  <si>
    <t>ADDR-&gt;ARG0/9,ARG1/5,ARG2/13</t>
  </si>
  <si>
    <t>"ponechávat-003"</t>
  </si>
  <si>
    <t>EFF: .a; .f</t>
  </si>
  <si>
    <t>"ponechávat-004"</t>
  </si>
  <si>
    <t>LOC-&gt;ARG2/4</t>
  </si>
  <si>
    <t>"ponechávat-005"</t>
  </si>
  <si>
    <t>ADDR: napospas-1[.3]</t>
  </si>
  <si>
    <t>ADDR-&gt;ARG1/3,ARG2/46</t>
  </si>
  <si>
    <t>"poničit-001"</t>
  </si>
  <si>
    <t>ACT-&gt;ARG0/1,ARG2/1</t>
  </si>
  <si>
    <t>"ponižovat-001"</t>
  </si>
  <si>
    <t>"ponižovat-se-001"</t>
  </si>
  <si>
    <t>"ponořit-001"</t>
  </si>
  <si>
    <t>"ponořit-se-001"</t>
  </si>
  <si>
    <t>PAT-&gt;ARG4/9</t>
  </si>
  <si>
    <t>"ponořit-se-002"</t>
  </si>
  <si>
    <t>PAT-&gt;ARG1/6,ARG2/3</t>
  </si>
  <si>
    <t>"ponížit-001"</t>
  </si>
  <si>
    <t>"ponížit-002"</t>
  </si>
  <si>
    <t>"poněmčovat-001"</t>
  </si>
  <si>
    <t>"poobědvat-001"</t>
  </si>
  <si>
    <t>"poodhalit-001"</t>
  </si>
  <si>
    <t>"poodhalovat-001"</t>
  </si>
  <si>
    <t>PAT-&gt;ARG2/21</t>
  </si>
  <si>
    <t>"poohlédnout-se-001"</t>
  </si>
  <si>
    <t>PAT-&gt;ARG1/119,ARG2/1</t>
  </si>
  <si>
    <t>"poohlížet-se-001"</t>
  </si>
  <si>
    <t>"pookřát-001"</t>
  </si>
  <si>
    <t>"poopravit-001"</t>
  </si>
  <si>
    <t>"pootevřít-001"</t>
  </si>
  <si>
    <t>"pootočit-001"</t>
  </si>
  <si>
    <t>"pootáčet-001"</t>
  </si>
  <si>
    <t>"poočišťovat-001"</t>
  </si>
  <si>
    <t>"popadat-001"</t>
  </si>
  <si>
    <t>"popadat-002"</t>
  </si>
  <si>
    <t>"popadnout-001"</t>
  </si>
  <si>
    <t>"popadnout-002"</t>
  </si>
  <si>
    <t>CPHR: {vztek,...}.1</t>
  </si>
  <si>
    <t>"popadnout-003"</t>
  </si>
  <si>
    <t>DPHR: dech.S4</t>
  </si>
  <si>
    <t>"popichovat-001"</t>
  </si>
  <si>
    <t>"popisovat-001"</t>
  </si>
  <si>
    <t>PAT-&gt;ARG1/162</t>
  </si>
  <si>
    <t>"poplakat-si-001"</t>
  </si>
  <si>
    <t>"poplatit-001"</t>
  </si>
  <si>
    <t>"popleskat-001"</t>
  </si>
  <si>
    <t>"poplivat-001"</t>
  </si>
  <si>
    <t>"poplácávat-001"</t>
  </si>
  <si>
    <t>"poplést-001"</t>
  </si>
  <si>
    <t>"poplést-se-001"</t>
  </si>
  <si>
    <t>"poplést-se-002"</t>
  </si>
  <si>
    <t>ACT-&gt;ARG1/6,ARG2/2</t>
  </si>
  <si>
    <t>PAT-&gt;ARG0/5,ARG1/1</t>
  </si>
  <si>
    <t>"poplést-si-001"</t>
  </si>
  <si>
    <t>?EFF: s+7</t>
  </si>
  <si>
    <t>"popobíhat-001"</t>
  </si>
  <si>
    <t>"popohnat-001"</t>
  </si>
  <si>
    <t>ACT-&gt;ARG0/41,ARG2/30</t>
  </si>
  <si>
    <t>"popohánět-001"</t>
  </si>
  <si>
    <t>"popojet-001"</t>
  </si>
  <si>
    <t>"popojet-002"</t>
  </si>
  <si>
    <t>"popojít-001"</t>
  </si>
  <si>
    <t>"popojíždět-001"</t>
  </si>
  <si>
    <t>"poponést-001"</t>
  </si>
  <si>
    <t>"poporůst-001"</t>
  </si>
  <si>
    <t>"popouzet-001"</t>
  </si>
  <si>
    <t>"popovézt-001"</t>
  </si>
  <si>
    <t>"popovídat-001"</t>
  </si>
  <si>
    <t>"popovídat-002"</t>
  </si>
  <si>
    <t>"popovídat-si-001"</t>
  </si>
  <si>
    <t>"popovídat-si-002"</t>
  </si>
  <si>
    <t>"popraskat-001"</t>
  </si>
  <si>
    <t>"popraskat-002"</t>
  </si>
  <si>
    <t>"poprat-se-001"</t>
  </si>
  <si>
    <t>"popravit-001"</t>
  </si>
  <si>
    <t>"poprosit-001"</t>
  </si>
  <si>
    <t>PAT: o+4; .f; ↓zda; ↓aby; ↓ať; .s; ↓c</t>
  </si>
  <si>
    <t>"popsat-001"</t>
  </si>
  <si>
    <t>"popsat-002"</t>
  </si>
  <si>
    <t>"popsat-003"</t>
  </si>
  <si>
    <t>"poptávat-001"</t>
  </si>
  <si>
    <t>"popudit-001"</t>
  </si>
  <si>
    <t>"popudit-002"</t>
  </si>
  <si>
    <t>"popudit-003"</t>
  </si>
  <si>
    <t>"popularizovat-001"</t>
  </si>
  <si>
    <t>"poputovat-001"</t>
  </si>
  <si>
    <t>"popuzovat-001"</t>
  </si>
  <si>
    <t>"popálit-001"</t>
  </si>
  <si>
    <t>"popásat-001"</t>
  </si>
  <si>
    <t>"popíchnout-001"</t>
  </si>
  <si>
    <t>"popíjet-001"</t>
  </si>
  <si>
    <t>"popírat-001"</t>
  </si>
  <si>
    <t>ACT-&gt;ARG0/157</t>
  </si>
  <si>
    <t>PAT-&gt;ARG1/166,ARG2/13</t>
  </si>
  <si>
    <t>"popít-001"</t>
  </si>
  <si>
    <t>"popít-si-001"</t>
  </si>
  <si>
    <t>"popřemýšlet-001"</t>
  </si>
  <si>
    <t>"popřát-001"</t>
  </si>
  <si>
    <t>PAT: 2; 4; ↓aby; ↓ať; .s; ↓c</t>
  </si>
  <si>
    <t>"popřávat-001"</t>
  </si>
  <si>
    <t>DPHR: sluch.2</t>
  </si>
  <si>
    <t>"popřít-001"</t>
  </si>
  <si>
    <t>ACT-&gt;ARG0/12213,ARG1/36</t>
  </si>
  <si>
    <t>PAT-&gt;ARG0/2,ARG1/10591,ARG2/3</t>
  </si>
  <si>
    <t>"poradit-001"</t>
  </si>
  <si>
    <t>ACT-&gt;ARG0/607,ARG1/8</t>
  </si>
  <si>
    <t>PAT: 4; .f; ↓že; ↓aby; ↓ať; s+7; ↓c</t>
  </si>
  <si>
    <t>PAT-&gt;ARG1/683,ARG2/61,ARG4/1</t>
  </si>
  <si>
    <t>ADDR-&gt;ARG1/55,ARG2/324</t>
  </si>
  <si>
    <t>"poradit-se-001"</t>
  </si>
  <si>
    <t>"poradit-si-001"</t>
  </si>
  <si>
    <t>?PAT: s+7; ↓c</t>
  </si>
  <si>
    <t>PAT-&gt;ARG1/223</t>
  </si>
  <si>
    <t>"poranit-001"</t>
  </si>
  <si>
    <t>"poranit-se-001"</t>
  </si>
  <si>
    <t>"porazit-001"</t>
  </si>
  <si>
    <t>"porazit-002"</t>
  </si>
  <si>
    <t>"porazit-003"</t>
  </si>
  <si>
    <t>"porcovat-001"</t>
  </si>
  <si>
    <t>DPHR: medvěda.S4</t>
  </si>
  <si>
    <t>"porcovat-002"</t>
  </si>
  <si>
    <t>"porodit-001"</t>
  </si>
  <si>
    <t>"porouchat-se-001"</t>
  </si>
  <si>
    <t>"poroučet-001"</t>
  </si>
  <si>
    <t>"porovnat-001"</t>
  </si>
  <si>
    <t>EFF-&gt;ARG1/1,ARG2/94</t>
  </si>
  <si>
    <t>"porovnávat-001"</t>
  </si>
  <si>
    <t>EFF-&gt;ARG1/1,ARG2/93</t>
  </si>
  <si>
    <t>"porovnávat-002"</t>
  </si>
  <si>
    <t>"porozhlédnout-se-001"</t>
  </si>
  <si>
    <t>"porozhlédnout-se-002"</t>
  </si>
  <si>
    <t>"--porozhlédnout-se-003"</t>
  </si>
  <si>
    <t>"porozhlížet-se-001"</t>
  </si>
  <si>
    <t>"porozmýšlet-001"</t>
  </si>
  <si>
    <t>"porozumět-001"</t>
  </si>
  <si>
    <t>"porozumět-002"</t>
  </si>
  <si>
    <t>PAT: 3; s+7</t>
  </si>
  <si>
    <t>"porozumět-003"</t>
  </si>
  <si>
    <t>ACT-&gt;ARG0/56,ARG1/4</t>
  </si>
  <si>
    <t>PAT: 3; ↓že; ↓zda; ↓c</t>
  </si>
  <si>
    <t>PAT-&gt;ARG1/79,ARG2/7</t>
  </si>
  <si>
    <t>"portrétovat-001"</t>
  </si>
  <si>
    <t>"poručit-001"</t>
  </si>
  <si>
    <t>"poručit-002"</t>
  </si>
  <si>
    <t>?BEN: 3; pro+4</t>
  </si>
  <si>
    <t>"porušit-001"</t>
  </si>
  <si>
    <t>ACT-&gt;ARG0/190,ARG1/155</t>
  </si>
  <si>
    <t>PAT-&gt;ARG1/266,ARG2/144</t>
  </si>
  <si>
    <t>"porušit-002"</t>
  </si>
  <si>
    <t>"porušovat-001"</t>
  </si>
  <si>
    <t>"porušovat-002"</t>
  </si>
  <si>
    <t>"porvat-se-001"</t>
  </si>
  <si>
    <t>"porážet-001"</t>
  </si>
  <si>
    <t>"porážet-002"</t>
  </si>
  <si>
    <t>"porážet-003"</t>
  </si>
  <si>
    <t>"posadit-001"</t>
  </si>
  <si>
    <t>"posadit-002"</t>
  </si>
  <si>
    <t>"posadit-se-001"</t>
  </si>
  <si>
    <t>ACT-&gt;ARG1/59</t>
  </si>
  <si>
    <t>"posbírat-001"</t>
  </si>
  <si>
    <t>"posbírat-002"</t>
  </si>
  <si>
    <t>CPHR: {odvaha,vědomost,zkušenost,...}.4</t>
  </si>
  <si>
    <t>"poschovávat-001"</t>
  </si>
  <si>
    <t>"posedávat-001"</t>
  </si>
  <si>
    <t>"posedět-001"</t>
  </si>
  <si>
    <t>"posedět-si-001"</t>
  </si>
  <si>
    <t>"posekat-001"</t>
  </si>
  <si>
    <t>"posestřit-se-001"</t>
  </si>
  <si>
    <t>"posečkat-001"</t>
  </si>
  <si>
    <t>"posilnit-001"</t>
  </si>
  <si>
    <t>"posilovat-001"</t>
  </si>
  <si>
    <t>ACT-&gt;ARG0/234,ARG1/8,ARG2/12</t>
  </si>
  <si>
    <t>"posilovat-002"</t>
  </si>
  <si>
    <t>ACT-&gt;ARG1/128</t>
  </si>
  <si>
    <t>PAT-&gt;ARG2/1,ARG4/83</t>
  </si>
  <si>
    <t>ORIG-&gt;ARG3/18</t>
  </si>
  <si>
    <t>"posilovat-003"</t>
  </si>
  <si>
    <t>"posilovat-004"</t>
  </si>
  <si>
    <t>ACT-&gt;ARG0/31,ARG2/1</t>
  </si>
  <si>
    <t>"posilovat-se-001"</t>
  </si>
  <si>
    <t>"poskakovat-001"</t>
  </si>
  <si>
    <t>"poskakovat-002"</t>
  </si>
  <si>
    <t>PAT: kolem-1[2]</t>
  </si>
  <si>
    <t>"poskládat-001"</t>
  </si>
  <si>
    <t>?EFF: do+2; .d</t>
  </si>
  <si>
    <t>"poskládat-002"</t>
  </si>
  <si>
    <t>"poskočit-001"</t>
  </si>
  <si>
    <t>ACT-&gt;ARG0/3,ARG1/147</t>
  </si>
  <si>
    <t>PAT-&gt;ARG4/125</t>
  </si>
  <si>
    <t>ORIG-&gt;ARG3/29</t>
  </si>
  <si>
    <t>"poskvrnit-001"</t>
  </si>
  <si>
    <t>"poskytnout-001"</t>
  </si>
  <si>
    <t>ACT-&gt;ARG0/256</t>
  </si>
  <si>
    <t>PAT-&gt;ARG1/387</t>
  </si>
  <si>
    <t>ADDR-&gt;ARG1/18,ARG2/122</t>
  </si>
  <si>
    <t>ACT-&gt;ARG0/1361,ARG1/6</t>
  </si>
  <si>
    <t>PAT-&gt;ARG1/1902,ARG2/52,ARG3/1</t>
  </si>
  <si>
    <t>ADDR-&gt;ARG1/92,ARG2/748,ARG3/78</t>
  </si>
  <si>
    <t>"poskytnout-002"</t>
  </si>
  <si>
    <t>CPHR: {čas,definice,dotace,důkaz,flexibilita,garance,hodnota,informace,komentář,kompenzace,kontrola,léčení,likvidita,možnost,nabídka,nárok,odlehčení,odpověď,odškodnění,ochrana,oprávnění,páka,péče,platba,podpora,pojištění,pomoc,poradenství,právo,pravomoc,příležitost,příspěvek,půjčka,rada-1,rozhovor,sleva,služba,statistika,subvence,svoboda,ubytování,upřesnění,útěcha,úvěr,výhoda,výchova,vyjádření,výmluva,vysvětlení,vzdělání,zajištění,záminka,záruka,zaškolení,...}.4</t>
  </si>
  <si>
    <t>CPHR-&gt;ARG1/386</t>
  </si>
  <si>
    <t>ACT-&gt;ARG0/493</t>
  </si>
  <si>
    <t>CPHR-&gt;ARG1/728,ARG2/1</t>
  </si>
  <si>
    <t>ADDR-&gt;ARG1/22,ARG2/431</t>
  </si>
  <si>
    <t>ACT-&gt;ARG0/778</t>
  </si>
  <si>
    <t>CPHR-&gt;ARG0/1,ARG1/3383,ARG2/3</t>
  </si>
  <si>
    <t>ADDR-&gt;ARG0/2154,ARG1/56,ARG2/672</t>
  </si>
  <si>
    <t>ACT-&gt;ARG0/364</t>
  </si>
  <si>
    <t>CPHR-&gt;ARG1/545</t>
  </si>
  <si>
    <t>ADDR-&gt;ARG1/26,ARG2/276</t>
  </si>
  <si>
    <t>CPHR-&gt;ARG1/209</t>
  </si>
  <si>
    <t>ACT-&gt;ARG0/1190,ARG1/145</t>
  </si>
  <si>
    <t>CPHR-&gt;ARG1/1711,ARG2/147,ARG3/1</t>
  </si>
  <si>
    <t>ADDR-&gt;ARG1/35,ARG2/637,ARG3/78</t>
  </si>
  <si>
    <t>ACT-&gt;ARG0/659,ARG1/27,ARG2/1</t>
  </si>
  <si>
    <t>CPHR-&gt;ARG1/937,ARG2/1</t>
  </si>
  <si>
    <t>ADDR-&gt;ARG1/15,ARG2/494</t>
  </si>
  <si>
    <t>ACT-&gt;ARG0/746,ARG1/2,ARG2/1</t>
  </si>
  <si>
    <t>CPHR-&gt;ARG1/1087,ARG2/1</t>
  </si>
  <si>
    <t>ADDR-&gt;ARG1/30,ARG2/489</t>
  </si>
  <si>
    <t>"poskytovat-001"</t>
  </si>
  <si>
    <t>ACT-&gt;ARG0/1211,ARG1/4,ARG2/3</t>
  </si>
  <si>
    <t>PAT-&gt;ARG1/1757,ARG2/3,ARG3/1</t>
  </si>
  <si>
    <t>ADDR-&gt;ARG1/37,ARG2/678,ARG3/78</t>
  </si>
  <si>
    <t>"poskytovat-002"</t>
  </si>
  <si>
    <t>CPHR: {činnost,dotace,informace,jistota,krytí,léčba,léčení,možnost,nárok,ochrana,oprávnění,péče,pobídka,podpora,pojištění,pomoc,poradenství,právo,pravomoc,problém,příklad,příležitost,příspěvek,půjčka,rada-1,sleva,služba,subvence,školení,údržba,úhrada,úleva,vodítko,výhoda,výkon,výnos,výpověď,výuka,zajištění,záloha,záruka,způsob,...}.4</t>
  </si>
  <si>
    <t>ACT-&gt;ARG0/254</t>
  </si>
  <si>
    <t>ACT-&gt;ARG0/771,ARG2/1</t>
  </si>
  <si>
    <t>CPHR-&gt;ARG1/1170,ARG2/16</t>
  </si>
  <si>
    <t>ADDR-&gt;ARG1/27,ARG2/512</t>
  </si>
  <si>
    <t>ACT-&gt;ARG0/500</t>
  </si>
  <si>
    <t>CPHR-&gt;ARG1/738,ARG2/1</t>
  </si>
  <si>
    <t>ADDR-&gt;ARG1/22,ARG2/441</t>
  </si>
  <si>
    <t>ACT-&gt;ARG0/354</t>
  </si>
  <si>
    <t>CPHR-&gt;ARG1/525</t>
  </si>
  <si>
    <t>ACT-&gt;ARG0/1184,ARG1/2</t>
  </si>
  <si>
    <t>CPHR-&gt;ARG1/1707,ARG2/3,ARG3/1</t>
  </si>
  <si>
    <t>ADDR-&gt;ARG1/38,ARG2/689,ARG3/78</t>
  </si>
  <si>
    <t>"poslat-001"</t>
  </si>
  <si>
    <t>ACT-&gt;ARG0/214,ARG2/1</t>
  </si>
  <si>
    <t>PAT-&gt;ARG1/281</t>
  </si>
  <si>
    <t>ADDR-&gt;ARG2/87</t>
  </si>
  <si>
    <t>"poslat-002"</t>
  </si>
  <si>
    <t>"poslat-003"</t>
  </si>
  <si>
    <t>ACT-&gt;ARG0/190,ARG1/52</t>
  </si>
  <si>
    <t>PAT-&gt;ARG1/320</t>
  </si>
  <si>
    <t>DIR3-&gt;ARG2/73</t>
  </si>
  <si>
    <t>"poslat-004"</t>
  </si>
  <si>
    <t>ACT-&gt;ARG0/109</t>
  </si>
  <si>
    <t>PAT-&gt;ARG1/170</t>
  </si>
  <si>
    <t>DIR3-&gt;ARG2/68</t>
  </si>
  <si>
    <t>"poslat-005"</t>
  </si>
  <si>
    <t>"--poslat-si-001"</t>
  </si>
  <si>
    <t>"poslechnout-001"</t>
  </si>
  <si>
    <t>"poslechnout-si-001"</t>
  </si>
  <si>
    <t>"poslouchat-001"</t>
  </si>
  <si>
    <t>PAT: 4; ↓že; ↓zda; ↓jestli; ↓c; ↓jak-2</t>
  </si>
  <si>
    <t>ACT-&gt;ARG0/83</t>
  </si>
  <si>
    <t>PAT-&gt;ARG1/101,ARG2/4</t>
  </si>
  <si>
    <t>"poslouchat-002"</t>
  </si>
  <si>
    <t>"poslouchat-003"</t>
  </si>
  <si>
    <t>"posloužit-001"</t>
  </si>
  <si>
    <t>ACT-&gt;ARG0/29,ARG1/7</t>
  </si>
  <si>
    <t>PAT-&gt;ARG1/11,ARG2/28</t>
  </si>
  <si>
    <t>?EFF: 1[{jako,jakožto}:/AuxY]; za+4</t>
  </si>
  <si>
    <t>EFF-&gt;ARG2/7</t>
  </si>
  <si>
    <t>"posloužit-002"</t>
  </si>
  <si>
    <t>"posmívat-se-001"</t>
  </si>
  <si>
    <t>"posolit-001"</t>
  </si>
  <si>
    <t>"posoudit-001"</t>
  </si>
  <si>
    <t>ACT-&gt;ARG0/262</t>
  </si>
  <si>
    <t>PAT: 4; ↓že; ↓zda; ↓zdali; ↓jestli; ↓c</t>
  </si>
  <si>
    <t>PAT-&gt;ARG1/538,ARG2/1</t>
  </si>
  <si>
    <t>"posouvat-001"</t>
  </si>
  <si>
    <t>"posouvat-002"</t>
  </si>
  <si>
    <t>"posouvat-se-001"</t>
  </si>
  <si>
    <t>"pospravovat-001"</t>
  </si>
  <si>
    <t>"pospíchat-001"</t>
  </si>
  <si>
    <t>PAT: s+7; .f</t>
  </si>
  <si>
    <t>ACT-&gt;ARG0/1,ARG1/25,ARG2/1</t>
  </si>
  <si>
    <t>"pospíchat-002"</t>
  </si>
  <si>
    <t>"pospíšit-si-001"</t>
  </si>
  <si>
    <t>"pospíšit-si-002"</t>
  </si>
  <si>
    <t>"postarat-se-001"</t>
  </si>
  <si>
    <t>ACT-&gt;ARG0/366,ARG1/2</t>
  </si>
  <si>
    <t>PAT: o+4; ↓c; ↓zda; ↓jestli; ↓aby</t>
  </si>
  <si>
    <t>PAT-&gt;ARG1/481,ARG2/52</t>
  </si>
  <si>
    <t>"postavit-001"</t>
  </si>
  <si>
    <t>PAT-&gt;ARG1/228</t>
  </si>
  <si>
    <t>PAT-&gt;ARG1/359</t>
  </si>
  <si>
    <t>ORIG-&gt;ARG1/1,ARG2/208</t>
  </si>
  <si>
    <t>"postavit-002"</t>
  </si>
  <si>
    <t>PAT-&gt;ARG1/624,ARG2/3</t>
  </si>
  <si>
    <t>"postavit-003"</t>
  </si>
  <si>
    <t>EFF: 4[{jako,jakožto}:/AuxY]; za+4</t>
  </si>
  <si>
    <t>"postavit-004"</t>
  </si>
  <si>
    <t>PAT-&gt;ARG1/265</t>
  </si>
  <si>
    <t>"postavit-005"</t>
  </si>
  <si>
    <t>PAT-&gt;ARG0/5,ARG1/390,ARG2/11</t>
  </si>
  <si>
    <t>DIR3-&gt;ARG1/6,ARG2/164,ARG3/2</t>
  </si>
  <si>
    <t>"postavit-006"</t>
  </si>
  <si>
    <t>ACT-&gt;ARG0/146</t>
  </si>
  <si>
    <t>PAT-&gt;ARG0/170,ARG1/238,ARG2/1</t>
  </si>
  <si>
    <t>DIR3-&gt;ARG1/199</t>
  </si>
  <si>
    <t>"postavit-007"</t>
  </si>
  <si>
    <t>PAT-&gt;ARG0/170,ARG1/230</t>
  </si>
  <si>
    <t>"postavit-008"</t>
  </si>
  <si>
    <t>"postavit-009"</t>
  </si>
  <si>
    <t>"postavit-010"</t>
  </si>
  <si>
    <t>DPHR: překážka.P4</t>
  </si>
  <si>
    <t>"postavit-011"</t>
  </si>
  <si>
    <t>DPHR: na-1[noha.P4]</t>
  </si>
  <si>
    <t>"postavit-se-001"</t>
  </si>
  <si>
    <t>ACT-&gt;ARG0/252,ARG1/9</t>
  </si>
  <si>
    <t>PAT: 3; proti+3</t>
  </si>
  <si>
    <t>PAT-&gt;ARG1/299</t>
  </si>
  <si>
    <t>"postavit-se-002"</t>
  </si>
  <si>
    <t>"postavit-se-003"</t>
  </si>
  <si>
    <t>"postavit-se-004"</t>
  </si>
  <si>
    <t>DIR3-&gt;ARG1/224,ARG2/26</t>
  </si>
  <si>
    <t>"postavit-se-005"</t>
  </si>
  <si>
    <t>"postavit-se-006"</t>
  </si>
  <si>
    <t>DPHR: na-1[noha:P4[vlastní-1.#]]; na-1[noha:P4]</t>
  </si>
  <si>
    <t>"postavit-se-007"</t>
  </si>
  <si>
    <t>"postavit-se-008"</t>
  </si>
  <si>
    <t>DPHR: na-1[hlava.S4]</t>
  </si>
  <si>
    <t>"postavit-si-001"</t>
  </si>
  <si>
    <t>DPHR: hlava.S4</t>
  </si>
  <si>
    <t>"postačit-001"</t>
  </si>
  <si>
    <t>"postačovat-001"</t>
  </si>
  <si>
    <t>"postesknout-si-001"</t>
  </si>
  <si>
    <t>?PAT: na+4; nad+7; ↓že; .s; ↓c</t>
  </si>
  <si>
    <t>"postihnout-001"</t>
  </si>
  <si>
    <t>PAT: 4; ↓že; ↓jestli; ↓c</t>
  </si>
  <si>
    <t>"postihnout-002"</t>
  </si>
  <si>
    <t>ACT-&gt;ARG0/168,ARG1/5428,ARG2/409</t>
  </si>
  <si>
    <t>PAT-&gt;ARG0/2227,ARG1/368</t>
  </si>
  <si>
    <t>"postihovat-001"</t>
  </si>
  <si>
    <t>ACT-&gt;ARG0/9,ARG2/8</t>
  </si>
  <si>
    <t>"postihovat-002"</t>
  </si>
  <si>
    <t>"postit-se-001"</t>
  </si>
  <si>
    <t>"postonávat-001"</t>
  </si>
  <si>
    <t>"postoupit-001"</t>
  </si>
  <si>
    <t>PAT-&gt;ARG1/8,ARG2/7</t>
  </si>
  <si>
    <t>ADDR: 3; na+4</t>
  </si>
  <si>
    <t>ADDR-&gt;ARG1/1,ARG2/64</t>
  </si>
  <si>
    <t>"postoupit-002"</t>
  </si>
  <si>
    <t>ACT-&gt;ARG1/103</t>
  </si>
  <si>
    <t>PAT-&gt;ARG4/170</t>
  </si>
  <si>
    <t>"postoupit-003"</t>
  </si>
  <si>
    <t>ACT-&gt;ARG0/205,ARG1/1053,ARG2/4</t>
  </si>
  <si>
    <t>DIR3-&gt;ARG1/224,ARG2/32,ARG4/773</t>
  </si>
  <si>
    <t>"postoupit-004"</t>
  </si>
  <si>
    <t>"postrašit-001"</t>
  </si>
  <si>
    <t>"postrkovat-001"</t>
  </si>
  <si>
    <t>"postrkovat-002"</t>
  </si>
  <si>
    <t>"postrádat-001"</t>
  </si>
  <si>
    <t>ACT-&gt;ARG0/36,ARG1/3102,ARG2/296</t>
  </si>
  <si>
    <t>"postrádat-002"</t>
  </si>
  <si>
    <t>PAT-&gt;ARG1/54</t>
  </si>
  <si>
    <t>"postrčit-001"</t>
  </si>
  <si>
    <t>PAT-&gt;ARG1/54,ARG2/10</t>
  </si>
  <si>
    <t>"postrčit-002"</t>
  </si>
  <si>
    <t>"postupovat-001"</t>
  </si>
  <si>
    <t>"postupovat-002"</t>
  </si>
  <si>
    <t>"postupovat-003"</t>
  </si>
  <si>
    <t>ACT-&gt;ARG0/94,ARG1/75</t>
  </si>
  <si>
    <t>"postupovat-004"</t>
  </si>
  <si>
    <t xml:space="preserve">ALT-REG: </t>
  </si>
  <si>
    <t>ACT-&gt;ARG0/103,ARG1/148</t>
  </si>
  <si>
    <t>MANN-&gt;ARG1/8</t>
  </si>
  <si>
    <t>CRIT-&gt;ARG1/53,ARG2/1</t>
  </si>
  <si>
    <t>"postát-001"</t>
  </si>
  <si>
    <t>"postát-002"</t>
  </si>
  <si>
    <t>"postávat-001"</t>
  </si>
  <si>
    <t>"postěžovat-si-001"</t>
  </si>
  <si>
    <t>PAT: na+4; ↓že; .s; ↓c</t>
  </si>
  <si>
    <t>"postřehnout-001"</t>
  </si>
  <si>
    <t>"postřelit-001"</t>
  </si>
  <si>
    <t>"postříkat-001"</t>
  </si>
  <si>
    <t>"postřílet-001"</t>
  </si>
  <si>
    <t>"posunkovat-001"</t>
  </si>
  <si>
    <t>"posunout-001"</t>
  </si>
  <si>
    <t>ACT-&gt;ARG0/107,ARG1/1</t>
  </si>
  <si>
    <t>PAT-&gt;ARG1/198</t>
  </si>
  <si>
    <t>"posunout-002"</t>
  </si>
  <si>
    <t>ACT-&gt;ARG0/49,ARG1/1</t>
  </si>
  <si>
    <t>"posunout-se-001"</t>
  </si>
  <si>
    <t>ACT-&gt;ARG0/7,ARG1/128</t>
  </si>
  <si>
    <t>"posunovat-001"</t>
  </si>
  <si>
    <t>"posunovat-se-001"</t>
  </si>
  <si>
    <t>"posuzovat-001"</t>
  </si>
  <si>
    <t>ACT-&gt;ARG0/248,ARG3/2</t>
  </si>
  <si>
    <t>PAT-&gt;ARG0/26,ARG1/355,ARG2/1,ARG3/1</t>
  </si>
  <si>
    <t>"posvačit-001"</t>
  </si>
  <si>
    <t>"posvítit-001"</t>
  </si>
  <si>
    <t>"posvítit-si-001"</t>
  </si>
  <si>
    <t>"posvěcovat-001"</t>
  </si>
  <si>
    <t>"posvětit-001"</t>
  </si>
  <si>
    <t>"posypat-001"</t>
  </si>
  <si>
    <t>"posázet-001"</t>
  </si>
  <si>
    <t>"posílat-001"</t>
  </si>
  <si>
    <t>PAT-&gt;ARG0/1,ARG1/207</t>
  </si>
  <si>
    <t>ADDR-&gt;ARG2/81</t>
  </si>
  <si>
    <t>"posílat-002"</t>
  </si>
  <si>
    <t>ACT-&gt;ARG0/120</t>
  </si>
  <si>
    <t>PAT-&gt;ARG1/207</t>
  </si>
  <si>
    <t>"posílat-003"</t>
  </si>
  <si>
    <t>"posílit-001"</t>
  </si>
  <si>
    <t>EFF-&gt;ARG4/9</t>
  </si>
  <si>
    <t>ACT-&gt;ARG0/119,ARG1/1281,ARG2/4</t>
  </si>
  <si>
    <t>PAT-&gt;ARG1/182,ARG2/6,ARG4/773</t>
  </si>
  <si>
    <t>ORIG-&gt;ARG3/401</t>
  </si>
  <si>
    <t>EFF-&gt;ARG2/8,ARG4/418</t>
  </si>
  <si>
    <t>"posílit-002"</t>
  </si>
  <si>
    <t>ACT-&gt;ARG0/70,ARG1/1459,ARG2/4</t>
  </si>
  <si>
    <t>PAT-&gt;ARG1/74,ARG2/15,ARG4/1227</t>
  </si>
  <si>
    <t>ORIG-&gt;ARG2/4,ARG3/398</t>
  </si>
  <si>
    <t>ACT-&gt;ARG0/1,ARG1/10</t>
  </si>
  <si>
    <t>"posílit-003"</t>
  </si>
  <si>
    <t>PAT-&gt;ARG1/268</t>
  </si>
  <si>
    <t>"posílit-004"</t>
  </si>
  <si>
    <t>ACT-&gt;ARG0/394,ARG1/3113,ARG2/364</t>
  </si>
  <si>
    <t>PAT-&gt;ARG1/811,ARG2/3457,ARG4/6</t>
  </si>
  <si>
    <t>"posílit-se-001"</t>
  </si>
  <si>
    <t>ACT-&gt;ARG1/964,ARG2/4</t>
  </si>
  <si>
    <t>"posílit-se-002"</t>
  </si>
  <si>
    <t>ACT-&gt;ARG1/277,ARG2/1,ARG4/6</t>
  </si>
  <si>
    <t>"potahovat-001"</t>
  </si>
  <si>
    <t>"potatit-se-001"</t>
  </si>
  <si>
    <t>"potisknout-001"</t>
  </si>
  <si>
    <t>"potit-001"</t>
  </si>
  <si>
    <t>DPHR: krev.S4</t>
  </si>
  <si>
    <t>"potit-se-001"</t>
  </si>
  <si>
    <t>"potkat-001"</t>
  </si>
  <si>
    <t>"potkat-002"</t>
  </si>
  <si>
    <t>ACT-&gt;ARG0/408,ARG1/335,ARG2/22</t>
  </si>
  <si>
    <t>PAT-&gt;ARG0/226,ARG1/441,ARG2/16</t>
  </si>
  <si>
    <t>"potkat-003"</t>
  </si>
  <si>
    <t>"potkat-se-001"</t>
  </si>
  <si>
    <t>"--potkat-se-002"</t>
  </si>
  <si>
    <t>"potkávat-001"</t>
  </si>
  <si>
    <t>"potkávat-002"</t>
  </si>
  <si>
    <t>ACT-&gt;ARG0/446,ARG1/1</t>
  </si>
  <si>
    <t>PAT-&gt;ARG1/543,ARG2/1</t>
  </si>
  <si>
    <t>"--potkávat-se-001"</t>
  </si>
  <si>
    <t>"potlačit-001"</t>
  </si>
  <si>
    <t>PAT-&gt;ARG1/483,ARG2/6</t>
  </si>
  <si>
    <t>"potlačovat-001"</t>
  </si>
  <si>
    <t>PAT-&gt;ARG1/97,ARG2/1,ARG3/1</t>
  </si>
  <si>
    <t>"potloukat-se-001"</t>
  </si>
  <si>
    <t>"potopit-001"</t>
  </si>
  <si>
    <t>"potopit-002"</t>
  </si>
  <si>
    <t>"potopit-se-001"</t>
  </si>
  <si>
    <t>ACT-&gt;ARG0/1,ARG1/23</t>
  </si>
  <si>
    <t>"potopit-se-002"</t>
  </si>
  <si>
    <t>"potratit-001"</t>
  </si>
  <si>
    <t>"potrefit-001"</t>
  </si>
  <si>
    <t>"potrestat-001"</t>
  </si>
  <si>
    <t>ACT-&gt;ARG0/7,ARG2/55</t>
  </si>
  <si>
    <t>"potrhat-se-001"</t>
  </si>
  <si>
    <t>DPHR: smích.P7</t>
  </si>
  <si>
    <t>"potrpět-si-001"</t>
  </si>
  <si>
    <t>"potrvat-001"</t>
  </si>
  <si>
    <t>"potrápit-001"</t>
  </si>
  <si>
    <t>"potulovat-se-001"</t>
  </si>
  <si>
    <t>"potupovat-001"</t>
  </si>
  <si>
    <t>"potvrdit-001"</t>
  </si>
  <si>
    <t>ACT: 1; z+2; ↓c</t>
  </si>
  <si>
    <t>ACT-&gt;ARG0/503,ARG1/3</t>
  </si>
  <si>
    <t>PAT-&gt;ARG0/1,ARG1/719</t>
  </si>
  <si>
    <t>"potvrdit-002"</t>
  </si>
  <si>
    <t>EFF: v+6</t>
  </si>
  <si>
    <t>"potvrdit-se-001"</t>
  </si>
  <si>
    <t>ACT-&gt;ARG1/63</t>
  </si>
  <si>
    <t>"potvrzovat-001"</t>
  </si>
  <si>
    <t>ACT-&gt;ARG0/474,ARG1/5</t>
  </si>
  <si>
    <t>PAT-&gt;ARG1/920</t>
  </si>
  <si>
    <t>"potvrzovat-002"</t>
  </si>
  <si>
    <t>"potvrzovat-se-001"</t>
  </si>
  <si>
    <t>"potácet-se-001"</t>
  </si>
  <si>
    <t>"potáhnout-001"</t>
  </si>
  <si>
    <t>"potáhnout-002"</t>
  </si>
  <si>
    <t>"potápět-001"</t>
  </si>
  <si>
    <t>"potápět-002"</t>
  </si>
  <si>
    <t>"potápět-003"</t>
  </si>
  <si>
    <t>"potápět-se-001"</t>
  </si>
  <si>
    <t>"potápět-se-002"</t>
  </si>
  <si>
    <t>"potírat-001"</t>
  </si>
  <si>
    <t>"potírat-002"</t>
  </si>
  <si>
    <t>"potýkat-se-001"</t>
  </si>
  <si>
    <t>ACT-&gt;ARG0/2401,ARG1/24</t>
  </si>
  <si>
    <t>PAT-&gt;ARG0/1,ARG1/2548</t>
  </si>
  <si>
    <t>"potýrat-001"</t>
  </si>
  <si>
    <t>"potěšit-001"</t>
  </si>
  <si>
    <t>ACT: 1; ↓že; .f; ↓když</t>
  </si>
  <si>
    <t>ACT-&gt;ARG0/8,ARG1/1,ARG2/4</t>
  </si>
  <si>
    <t>PAT-&gt;ARG1/3121,ARG2/297</t>
  </si>
  <si>
    <t>"potěšit-se-001"</t>
  </si>
  <si>
    <t>"potěžkávat-001"</t>
  </si>
  <si>
    <t>"potřebovat-001"</t>
  </si>
  <si>
    <t>ACT-&gt;ARG0/1056,ARG1/4,ARG2/4</t>
  </si>
  <si>
    <t>PAT-&gt;ARG1/4322,ARG2/298</t>
  </si>
  <si>
    <t>"potřebovat-002"</t>
  </si>
  <si>
    <t>ACT-&gt;ARG0/3588,ARG1/26,ARG2/5</t>
  </si>
  <si>
    <t>PAT: 4; .f; ↓aby; ↓c</t>
  </si>
  <si>
    <t>PAT-&gt;ARG1/2320,ARG2/3</t>
  </si>
  <si>
    <t>"potřebovat-003"</t>
  </si>
  <si>
    <t>ACT-&gt;ARG0/286,ARG1/1</t>
  </si>
  <si>
    <t>PAT-&gt;ARG1/312</t>
  </si>
  <si>
    <t>"potřásat-001"</t>
  </si>
  <si>
    <t>"potřást-001"</t>
  </si>
  <si>
    <t>?ADDR: :3; s+7</t>
  </si>
  <si>
    <t>ADDR-&gt;ARG3/1</t>
  </si>
  <si>
    <t>"potřísnit-001"</t>
  </si>
  <si>
    <t>"poukazovat-001"</t>
  </si>
  <si>
    <t>ACT-&gt;ARG0/504</t>
  </si>
  <si>
    <t>PAT: na+4; ↓že; .s</t>
  </si>
  <si>
    <t>PAT-&gt;ARG0/1,ARG1/914,ARG2/2</t>
  </si>
  <si>
    <t>"poukázat-001"</t>
  </si>
  <si>
    <t>"poukázat-002"</t>
  </si>
  <si>
    <t>ACT-&gt;ARG0/248</t>
  </si>
  <si>
    <t>PAT-&gt;ARG1/679</t>
  </si>
  <si>
    <t>"pousmát-se-001"</t>
  </si>
  <si>
    <t>"poutat-001"</t>
  </si>
  <si>
    <t>"poutat-002"</t>
  </si>
  <si>
    <t>"poučit-001"</t>
  </si>
  <si>
    <t>?PAT: o+6; ↓že; ↓aby; ↓ať; .s; ↓c</t>
  </si>
  <si>
    <t>"poučit-se-001"</t>
  </si>
  <si>
    <t>PAT: o+6; ↓že; ↓c</t>
  </si>
  <si>
    <t>ORIG-&gt;ARG1/6,ARG2/14</t>
  </si>
  <si>
    <t>"poučovat-001"</t>
  </si>
  <si>
    <t>PAT-&gt;ARG1/1,ARG2/6</t>
  </si>
  <si>
    <t>"poučovat-se-001"</t>
  </si>
  <si>
    <t>"pouštět-001"</t>
  </si>
  <si>
    <t>"pouštět-002"</t>
  </si>
  <si>
    <t>"pouštět-003"</t>
  </si>
  <si>
    <t>"pouštět-004"</t>
  </si>
  <si>
    <t>"pouštět-005"</t>
  </si>
  <si>
    <t>"pouštět-006"</t>
  </si>
  <si>
    <t>"pouštět-007"</t>
  </si>
  <si>
    <t>"pouštět-008"</t>
  </si>
  <si>
    <t>"pouštět-se-001"</t>
  </si>
  <si>
    <t>PAT-&gt;ARG1/298,ARG2/26</t>
  </si>
  <si>
    <t>"pouštět-se-002"</t>
  </si>
  <si>
    <t>"pouštět-se-003"</t>
  </si>
  <si>
    <t>CPHR: do-1[{hospodaření,kontakt,počet,podnik,polemika,popis,práce,výklad,výroba,...}.2]</t>
  </si>
  <si>
    <t>CPHR-&gt;ARG1/97</t>
  </si>
  <si>
    <t>"pouštět-se-004"</t>
  </si>
  <si>
    <t>"--pouštět-se-005"</t>
  </si>
  <si>
    <t>"použít-001"</t>
  </si>
  <si>
    <t>ACT-&gt;ARG0/530,ARG1/3,ARG2/34,ARG3/1</t>
  </si>
  <si>
    <t>PAT-&gt;ARG1/990,ARG2/1</t>
  </si>
  <si>
    <t>ACT-&gt;ARG0/345,ARG1/1</t>
  </si>
  <si>
    <t>PAT-&gt;ARG1/672,ARG2/1</t>
  </si>
  <si>
    <t>"použít-002"</t>
  </si>
  <si>
    <t>EFF: jako[.4]</t>
  </si>
  <si>
    <t>"používat-001"</t>
  </si>
  <si>
    <t>ACT-&gt;ARG0/555,ARG1/27</t>
  </si>
  <si>
    <t>PAT-&gt;ARG1/883,ARG2/63</t>
  </si>
  <si>
    <t>"povalit-001"</t>
  </si>
  <si>
    <t>"povařit-001"</t>
  </si>
  <si>
    <t>"považovat-001"</t>
  </si>
  <si>
    <t>ACT-&gt;ARG0/13635,ARG1/189,ARG2/1</t>
  </si>
  <si>
    <t>PAT: 4; .f; ↓že; ↓aby; ↓když; ↓c</t>
  </si>
  <si>
    <t>PAT-&gt;ARG0/2,ARG1/4135,ARG2/461</t>
  </si>
  <si>
    <t>EFF: za+4; za-1[.a4]; .a4[{jako,jakožto}:/AuxY]</t>
  </si>
  <si>
    <t>EFF-&gt;ARG0/2,ARG1/11648,ARG2/3693</t>
  </si>
  <si>
    <t>"považovat-se-001"</t>
  </si>
  <si>
    <t>"považovat-si-001"</t>
  </si>
  <si>
    <t>"povdávat-se-001"</t>
  </si>
  <si>
    <t>"povinovat-001"</t>
  </si>
  <si>
    <t>PAT-&gt;ARG1/2,ARG2/145</t>
  </si>
  <si>
    <t>ADDR-&gt;ARG1/139,ARG2/5</t>
  </si>
  <si>
    <t>"povolat-001"</t>
  </si>
  <si>
    <t>"povolit-001"</t>
  </si>
  <si>
    <t>ACT-&gt;ARG0/732,ARG1/35,ARG2/3</t>
  </si>
  <si>
    <t>PAT: 4; .f; ↓aby; ↓ať; ↓že</t>
  </si>
  <si>
    <t>PAT-&gt;ARG1/885,ARG2/2,ARG4/23</t>
  </si>
  <si>
    <t>ADDR-&gt;ARG1/6,ARG2/40</t>
  </si>
  <si>
    <t>"povolit-002"</t>
  </si>
  <si>
    <t>ORIG-&gt;ARG3/6</t>
  </si>
  <si>
    <t>"povolit-003"</t>
  </si>
  <si>
    <t>ACT-&gt;ARG0/27,ARG1/1</t>
  </si>
  <si>
    <t>"povolit-004"</t>
  </si>
  <si>
    <t>"povolovat-001"</t>
  </si>
  <si>
    <t>ACT-&gt;ARG0/431,ARG1/1</t>
  </si>
  <si>
    <t>PAT: 4; ↓aby; .f; ↓že; ↓c</t>
  </si>
  <si>
    <t>PAT-&gt;ARG1/688</t>
  </si>
  <si>
    <t>"povolávat-001"</t>
  </si>
  <si>
    <t>"povozit-001"</t>
  </si>
  <si>
    <t>"povozit-se-001"</t>
  </si>
  <si>
    <t>"povstat-001"</t>
  </si>
  <si>
    <t>"povstat-002"</t>
  </si>
  <si>
    <t>"povstat-003"</t>
  </si>
  <si>
    <t>"povstat-004"</t>
  </si>
  <si>
    <t>"povstávat-001"</t>
  </si>
  <si>
    <t>"povykládat-001"</t>
  </si>
  <si>
    <t>"povykládat-si-001"</t>
  </si>
  <si>
    <t>"povyprávět-001"</t>
  </si>
  <si>
    <t>"povyrazit-si-001"</t>
  </si>
  <si>
    <t>"povyrůst-001"</t>
  </si>
  <si>
    <t>"povyrůst-002"</t>
  </si>
  <si>
    <t>"povyšovat-001"</t>
  </si>
  <si>
    <t>"povyšovat-se-001"</t>
  </si>
  <si>
    <t>"povzbudit-001"</t>
  </si>
  <si>
    <t>PAT: k+3; ↓aby; do+2</t>
  </si>
  <si>
    <t>ACT-&gt;ARG0/76,ARG2/1</t>
  </si>
  <si>
    <t>PAT-&gt;ARG1/42,ARG2/44</t>
  </si>
  <si>
    <t>ADDR-&gt;ARG1/52,ARG2/2</t>
  </si>
  <si>
    <t>"povzbudit-002"</t>
  </si>
  <si>
    <t>ACT-&gt;ARG0/156,ARG2/31</t>
  </si>
  <si>
    <t>"povzbuzovat-001"</t>
  </si>
  <si>
    <t>PAT: k+3; ↓aby; .f; v+6</t>
  </si>
  <si>
    <t>"povzbuzovat-002"</t>
  </si>
  <si>
    <t>ACT-&gt;ARG0/37,ARG2/1</t>
  </si>
  <si>
    <t>"povzdechnout-si-001"</t>
  </si>
  <si>
    <t>"povzdychnout-si-001"</t>
  </si>
  <si>
    <t>"povzdychnout-si-002"</t>
  </si>
  <si>
    <t>"povznést-001"</t>
  </si>
  <si>
    <t>"povznést-se-001"</t>
  </si>
  <si>
    <t>"povážit-001"</t>
  </si>
  <si>
    <t>PAT: 4; ↓že; ↓jestli; ↓zda; ↓c; .f</t>
  </si>
  <si>
    <t>"povést-se-001"</t>
  </si>
  <si>
    <t>ACT-&gt;ARG0/197,ARG1/55</t>
  </si>
  <si>
    <t>PAT-&gt;ARG1/270</t>
  </si>
  <si>
    <t>"povídat-001"</t>
  </si>
  <si>
    <t>"povídat-002"</t>
  </si>
  <si>
    <t>"povídat-003"</t>
  </si>
  <si>
    <t>EFF: .s</t>
  </si>
  <si>
    <t>"povídat-004"</t>
  </si>
  <si>
    <t>"povídat-005"</t>
  </si>
  <si>
    <t>PAT: ↓jestli</t>
  </si>
  <si>
    <t>"povídat-si-001"</t>
  </si>
  <si>
    <t>?PAT: o+6; ↓zda; ↓c</t>
  </si>
  <si>
    <t>"povídat-si-002"</t>
  </si>
  <si>
    <t>"povýšit-001"</t>
  </si>
  <si>
    <t>ACT-&gt;ARG0/17,ARG1/8</t>
  </si>
  <si>
    <t>"povýšit-002"</t>
  </si>
  <si>
    <t>"povědět-001"</t>
  </si>
  <si>
    <t>"pověsit-001"</t>
  </si>
  <si>
    <t>"pověsit-se-001"</t>
  </si>
  <si>
    <t>"pověřit-001"</t>
  </si>
  <si>
    <t>ACT-&gt;ARG0/354,ARG1/1</t>
  </si>
  <si>
    <t>PAT: 7; .f; k+3; ↓aby</t>
  </si>
  <si>
    <t>PAT-&gt;ARG1/354,ARG2/229</t>
  </si>
  <si>
    <t>ADDR-&gt;ARG1/360,ARG2/320</t>
  </si>
  <si>
    <t>"pověřovat-001"</t>
  </si>
  <si>
    <t>PAT: 7; k+3; ↓aby; .f</t>
  </si>
  <si>
    <t>"povšimnout-si-001"</t>
  </si>
  <si>
    <t>ACT-&gt;ARG0/247,ARG1/2</t>
  </si>
  <si>
    <t>PAT: 2; ↓že; ↓zda; ↓jestli; ↓c</t>
  </si>
  <si>
    <t>PAT-&gt;ARG1/224,ARG2/52</t>
  </si>
  <si>
    <t>"pozabíjet-001"</t>
  </si>
  <si>
    <t>"pozapomenout-001"</t>
  </si>
  <si>
    <t>PAT: 4; na+4; ↓že; ↓zda; ↓c; .f</t>
  </si>
  <si>
    <t>"pozastavit-001"</t>
  </si>
  <si>
    <t>ACT-&gt;ARG0/151,ARG1/3,ARG3/6</t>
  </si>
  <si>
    <t>PAT-&gt;ARG0/1,ARG1/275,ARG2/15</t>
  </si>
  <si>
    <t>"pozastavit-se-001"</t>
  </si>
  <si>
    <t>"pozastavit-se-002"</t>
  </si>
  <si>
    <t>"pozastavit-se-003"</t>
  </si>
  <si>
    <t>"pozastavovat-001"</t>
  </si>
  <si>
    <t>"pozastavovat-002"</t>
  </si>
  <si>
    <t>"pozastavovat-se-001"</t>
  </si>
  <si>
    <t>"pozatýkat-001"</t>
  </si>
  <si>
    <t>"pozbýt-001"</t>
  </si>
  <si>
    <t>"pozbýt-002"</t>
  </si>
  <si>
    <t>CPHR: {naděje,odvaha,smysl,vtipnost,...}.2; {naděje,odvaha,smysl,vtipnost,...}.4</t>
  </si>
  <si>
    <t>"pozbývat-001"</t>
  </si>
  <si>
    <t>CPHR: {naděje,odvaha,platnost,smysl,vtipnost,...}.2; {naděje,odvaha,platnost,smysl,vtipnost,...}.4</t>
  </si>
  <si>
    <t>"pozdravit-001"</t>
  </si>
  <si>
    <t>"pozdravit-002"</t>
  </si>
  <si>
    <t>"--pozdravit-se-001"</t>
  </si>
  <si>
    <t>"pozdravovat-001"</t>
  </si>
  <si>
    <t>"pozdržet-001"</t>
  </si>
  <si>
    <t>PAT-&gt;ARG1/91</t>
  </si>
  <si>
    <t>"pozdržovat-001"</t>
  </si>
  <si>
    <t>"pozdvihnout-001"</t>
  </si>
  <si>
    <t>"pozměnit-001"</t>
  </si>
  <si>
    <t>PAT-&gt;ARG1/106,ARG2/2</t>
  </si>
  <si>
    <t>EFF-&gt;ARG2/52</t>
  </si>
  <si>
    <t>"pozměňovat-001"</t>
  </si>
  <si>
    <t>"poznamenat-001"</t>
  </si>
  <si>
    <t>"poznamenat-002"</t>
  </si>
  <si>
    <t>ACT-&gt;ARG0/129,ARG2/76</t>
  </si>
  <si>
    <t>PAT-&gt;ARG1/253</t>
  </si>
  <si>
    <t>"poznamenat-003"</t>
  </si>
  <si>
    <t>ACT-&gt;ARG0/12326,ARG1/36</t>
  </si>
  <si>
    <t>EFF: 4; ↓že; ↓ať; ↓aby; ↓zda; ↓jak-2; .s; ↓c</t>
  </si>
  <si>
    <t>EFF-&gt;ARG0/2,ARG1/10698,ARG2/2</t>
  </si>
  <si>
    <t>"poznamenat-004"</t>
  </si>
  <si>
    <t>EFF: 4; ↓že; ↓ať; ↓aby; ↓zda; .s; ↓c</t>
  </si>
  <si>
    <t>EFF-&gt;ARG1/211</t>
  </si>
  <si>
    <t>"poznamenat-005"</t>
  </si>
  <si>
    <t>"poznamenat-se-001"</t>
  </si>
  <si>
    <t>"poznamenávat-001"</t>
  </si>
  <si>
    <t>"poznamenávat-002"</t>
  </si>
  <si>
    <t>"poznamenávat-003"</t>
  </si>
  <si>
    <t>ACT-&gt;ARG0/214</t>
  </si>
  <si>
    <t>"poznamenávat-004"</t>
  </si>
  <si>
    <t>"poznat-001"</t>
  </si>
  <si>
    <t>"poznat-002"</t>
  </si>
  <si>
    <t>"poznat-003"</t>
  </si>
  <si>
    <t>ACT-&gt;ARG0/386,ARG1/11</t>
  </si>
  <si>
    <t>PAT: 4; 2; ↓že; ↓zda; ↓jestli; ↓c</t>
  </si>
  <si>
    <t>PAT-&gt;ARG1/457,ARG2/17</t>
  </si>
  <si>
    <t>"poznat-004"</t>
  </si>
  <si>
    <t>PAT: 4; ↓c; ↓že; ↓jestli</t>
  </si>
  <si>
    <t>ACT-&gt;ARG0/406,ARG1/1</t>
  </si>
  <si>
    <t>PAT-&gt;ARG1/570,ARG2/21</t>
  </si>
  <si>
    <t>"poznat-005"</t>
  </si>
  <si>
    <t>PAT-&gt;ARG1/15,ARG2/2</t>
  </si>
  <si>
    <t>"--poznat-se-001"</t>
  </si>
  <si>
    <t>"poznačit-001"</t>
  </si>
  <si>
    <t>"poznávat-001"</t>
  </si>
  <si>
    <t>"poznávat-002"</t>
  </si>
  <si>
    <t>"poznávat-003"</t>
  </si>
  <si>
    <t>"pozorovat-001"</t>
  </si>
  <si>
    <t>ACT-&gt;ARG0/414,ARG1/2</t>
  </si>
  <si>
    <t>PAT-&gt;ARG1/789,ARG2/1</t>
  </si>
  <si>
    <t>"pozorovat-002"</t>
  </si>
  <si>
    <t>ACT-&gt;ARG0/369,ARG1/1</t>
  </si>
  <si>
    <t>PAT-&gt;ARG1/488,ARG2/1</t>
  </si>
  <si>
    <t>"poztrácet-001"</t>
  </si>
  <si>
    <t>"pozvat-001"</t>
  </si>
  <si>
    <t>"pozvedat-001"</t>
  </si>
  <si>
    <t>"pozvednout-001"</t>
  </si>
  <si>
    <t>"pozvednout-002"</t>
  </si>
  <si>
    <t>ACT-&gt;ARG0/236,ARG2/12</t>
  </si>
  <si>
    <t>"pozvednout-003"</t>
  </si>
  <si>
    <t>DPHR: obočí.S4</t>
  </si>
  <si>
    <t>"pozvednout-se-001"</t>
  </si>
  <si>
    <t>"pozvedávat-001"</t>
  </si>
  <si>
    <t>"pozvedávat-002"</t>
  </si>
  <si>
    <t>"pozřít-001"</t>
  </si>
  <si>
    <t>"pozůstavit-001"</t>
  </si>
  <si>
    <t>"počastovat-001"</t>
  </si>
  <si>
    <t>"počeštit-001"</t>
  </si>
  <si>
    <t>"počešťovat-001"</t>
  </si>
  <si>
    <t>"počkat-001"</t>
  </si>
  <si>
    <t>PAT: na+4; ↓jestli; ↓až-2; ↓zda; ↓dokud; ↓c; ↓než-2</t>
  </si>
  <si>
    <t>ACT-&gt;ARG1/87,ARG2/2</t>
  </si>
  <si>
    <t>PAT-&gt;ARG2/96,ARGm-TMP/12</t>
  </si>
  <si>
    <t>ACT-&gt;ARG1/16,ARG2/1</t>
  </si>
  <si>
    <t>PAT-&gt;ARG2/3,ARGm-TMP/11</t>
  </si>
  <si>
    <t>ACT-&gt;ARG0/544,ARG1/49,ARG2/1</t>
  </si>
  <si>
    <t>PAT-&gt;ARG1/678,ARG2/1</t>
  </si>
  <si>
    <t>"počkat-si-001"</t>
  </si>
  <si>
    <t>PAT: na+4; ↓c; ↓až-2</t>
  </si>
  <si>
    <t>PAT-&gt;ARG2/8,ARGm-TMP/1</t>
  </si>
  <si>
    <t>"počurat-se-001"</t>
  </si>
  <si>
    <t>"počíhat-si-001"</t>
  </si>
  <si>
    <t>"počínat-001"</t>
  </si>
  <si>
    <t>ACT-&gt;ARG1/27</t>
  </si>
  <si>
    <t>"--počínat-se-001"</t>
  </si>
  <si>
    <t>"počínat-si-001"</t>
  </si>
  <si>
    <t>"počíst-si-001"</t>
  </si>
  <si>
    <t>?EFF: 4</t>
  </si>
  <si>
    <t>"počít-001"</t>
  </si>
  <si>
    <t>"počít-002"</t>
  </si>
  <si>
    <t>ACT-&gt;ARG0/111,ARG1/42,ARG2/1</t>
  </si>
  <si>
    <t>PAT-&gt;ARG1/123,ARG2/1</t>
  </si>
  <si>
    <t>"počít-si-001"</t>
  </si>
  <si>
    <t>DPHR: co-1.P4</t>
  </si>
  <si>
    <t>"počítat-001"</t>
  </si>
  <si>
    <t>"počítat-002"</t>
  </si>
  <si>
    <t>PAT-&gt;ARG1/412</t>
  </si>
  <si>
    <t>"počítat-003"</t>
  </si>
  <si>
    <t>EFF: za+4; 4[{jako,jakožto}:/AuxY]</t>
  </si>
  <si>
    <t>"počítat-004"</t>
  </si>
  <si>
    <t>"počítat-005"</t>
  </si>
  <si>
    <t>"počítat-006"</t>
  </si>
  <si>
    <t>ACT-&gt;ARG0/70,ARG1/1</t>
  </si>
  <si>
    <t>PAT: 4; ↓že; ↓zda; ↓jestli; .v[kolik]</t>
  </si>
  <si>
    <t>PAT-&gt;ARG1/494</t>
  </si>
  <si>
    <t>"počítat-007"</t>
  </si>
  <si>
    <t>ACT-&gt;ARG0/1334,ARG1/3106,ARG2/749</t>
  </si>
  <si>
    <t>PAT-&gt;ARG1/2588,ARG2/3457</t>
  </si>
  <si>
    <t>"pořezat-se-001"</t>
  </si>
  <si>
    <t>"pořizovat-001"</t>
  </si>
  <si>
    <t>"pořizovat-002"</t>
  </si>
  <si>
    <t>CPHR: {dopis,fotka,fotografie,kopie,výstup,zápis,záznam,...}.4</t>
  </si>
  <si>
    <t>ACT-&gt;ARG0/156,ARG1/2,ARG2/3</t>
  </si>
  <si>
    <t>CPHR-&gt;ARG1/245</t>
  </si>
  <si>
    <t>"pořizovat-003"</t>
  </si>
  <si>
    <t>"pořádat-001"</t>
  </si>
  <si>
    <t>ACT-&gt;ARG0/416,ARG1/2</t>
  </si>
  <si>
    <t>PAT-&gt;ARG1/471</t>
  </si>
  <si>
    <t>"pořídit-001"</t>
  </si>
  <si>
    <t>ACT-&gt;ARG0/647,ARG1/7</t>
  </si>
  <si>
    <t>PAT-&gt;ARG0/2,ARG1/1077,ARG3/1,ARG4/1</t>
  </si>
  <si>
    <t>ADDR-&gt;ARG4/6</t>
  </si>
  <si>
    <t>ORIG-&gt;ARG1/4,ARG2/84</t>
  </si>
  <si>
    <t>"pořídit-002"</t>
  </si>
  <si>
    <t>"pořídit-003"</t>
  </si>
  <si>
    <t>CPHR: {dokumentace,fotka,fotografie,obrázek,snímek,záběr,zápis,záznam,...}.4</t>
  </si>
  <si>
    <t>"pořídit-004"</t>
  </si>
  <si>
    <t>"pořídit-005"</t>
  </si>
  <si>
    <t>"pošeptat-001"</t>
  </si>
  <si>
    <t>EFF: 4; ↓že; ↓aby; ↓ať; ↓jak-2; .s; ↓c</t>
  </si>
  <si>
    <t>"poškodit-001"</t>
  </si>
  <si>
    <t>ACT-&gt;ARG0/170,ARG1/3102,ARG2/372</t>
  </si>
  <si>
    <t>PAT-&gt;ARG1/332</t>
  </si>
  <si>
    <t>"poškorpit-se-001"</t>
  </si>
  <si>
    <t>?PAT: o+4; ↓zda; ↓jestli; ↓c; .s</t>
  </si>
  <si>
    <t>"poškozovat-001"</t>
  </si>
  <si>
    <t>ACT-&gt;ARG0/64,ARG1/1,ARG2/83</t>
  </si>
  <si>
    <t>PAT-&gt;ARG1/192</t>
  </si>
  <si>
    <t>"poškrábat-001"</t>
  </si>
  <si>
    <t>"pošlapávat-001"</t>
  </si>
  <si>
    <t>"pošpinit-001"</t>
  </si>
  <si>
    <t>"pošramotit-001"</t>
  </si>
  <si>
    <t>"poštvat-001"</t>
  </si>
  <si>
    <t>PAT: proti+3; na+4</t>
  </si>
  <si>
    <t>"poštvávat-001"</t>
  </si>
  <si>
    <t>"poštípat-001"</t>
  </si>
  <si>
    <t>"poštěstit-se-001"</t>
  </si>
  <si>
    <t>"pošupovat-001"</t>
  </si>
  <si>
    <t>"pošušňávat-si-001"</t>
  </si>
  <si>
    <t>"pošťuchovat-se-001"</t>
  </si>
  <si>
    <t>"požadovat-001"</t>
  </si>
  <si>
    <t>ACT-&gt;ARG0/1539,ARG1/5,ARG2/5</t>
  </si>
  <si>
    <t>PAT: 4; ↓aby; ↓ať; .f</t>
  </si>
  <si>
    <t>PAT-&gt;ARG0/1,ARG1/1868,ARG2/213,ARG3/2</t>
  </si>
  <si>
    <t>?ORIG: od+2; po+6; na+6</t>
  </si>
  <si>
    <t>ORIG-&gt;ARG1/11,ARG2/179</t>
  </si>
  <si>
    <t>"požehnat-001"</t>
  </si>
  <si>
    <t>"požehnat-002"</t>
  </si>
  <si>
    <t>"požádat-001"</t>
  </si>
  <si>
    <t>PAT: o+4; ↓aby; ↓ať; ↓zda; ↓jestli; .s; ↓že</t>
  </si>
  <si>
    <t>ACT-&gt;ARG0/1032,ARG1/3,ARG2/5</t>
  </si>
  <si>
    <t>PAT-&gt;ARG1/1243,ARG2/91</t>
  </si>
  <si>
    <t>ADDR-&gt;ARG1/91,ARG2/170</t>
  </si>
  <si>
    <t>"požírat-001"</t>
  </si>
  <si>
    <t>"požírat-002"</t>
  </si>
  <si>
    <t>"požít-001"</t>
  </si>
  <si>
    <t>"požívat-001"</t>
  </si>
  <si>
    <t>"požívat-002"</t>
  </si>
  <si>
    <t>"pracovat-001"</t>
  </si>
  <si>
    <t>ACT-&gt;ARG0/353,ARG1/280,ARG2/3</t>
  </si>
  <si>
    <t>PAT-&gt;ARG1/233,ARG2/3,ARG3/1</t>
  </si>
  <si>
    <t>"pracovat-002"</t>
  </si>
  <si>
    <t>ACT-&gt;ARG0/202,ARG1/5</t>
  </si>
  <si>
    <t>PAT-&gt;ARG1/36,ARG2/1,ARG3/45,ARG4/2</t>
  </si>
  <si>
    <t>"pracovat-003"</t>
  </si>
  <si>
    <t>ACT-&gt;ARG0/299,ARG1/64</t>
  </si>
  <si>
    <t>PAT-&gt;ARG1/4,ARG2/7,ARG3/46</t>
  </si>
  <si>
    <t>"pracovat-004"</t>
  </si>
  <si>
    <t>ACT-&gt;ARG0/531,ARG1/3474,ARG2/299,ARG3/1</t>
  </si>
  <si>
    <t>"pracovat-005"</t>
  </si>
  <si>
    <t>ACT-&gt;ARG0/271,ARG1/74</t>
  </si>
  <si>
    <t>"pracovat-006"</t>
  </si>
  <si>
    <t>"prahnout-001"</t>
  </si>
  <si>
    <t>"praktikovat-001"</t>
  </si>
  <si>
    <t>"pramenit-001"</t>
  </si>
  <si>
    <t>ACT-&gt;ARG1/121,ARG2/4</t>
  </si>
  <si>
    <t>PAT: z+2; od+2; odtud; odsud; odkudkoliv; odevšad; odtamtud; odjinud; odkud; odněkud; odnikud; odkudsi</t>
  </si>
  <si>
    <t>PAT-&gt;ARG1/4,ARG2/99</t>
  </si>
  <si>
    <t>"pramenit-002"</t>
  </si>
  <si>
    <t>"pranýřovat-001"</t>
  </si>
  <si>
    <t>"praskat-001"</t>
  </si>
  <si>
    <t>"praskat-002"</t>
  </si>
  <si>
    <t>DPHR: v-1[šev.P6]</t>
  </si>
  <si>
    <t>"prasknout-001"</t>
  </si>
  <si>
    <t>"prasknout-002"</t>
  </si>
  <si>
    <t>"pravit-001"</t>
  </si>
  <si>
    <t>"pravit-002"</t>
  </si>
  <si>
    <t>PAT: tak-3</t>
  </si>
  <si>
    <t>"pravit-003"</t>
  </si>
  <si>
    <t>EFF: 4; ↓že; ↓aby; ↓ať; ↓jak-2; ↓jestli; tak.d; .s; ↓c</t>
  </si>
  <si>
    <t>"praštit-001"</t>
  </si>
  <si>
    <t>"praštit-002"</t>
  </si>
  <si>
    <t>"praštit-003"</t>
  </si>
  <si>
    <t>"praštět-001"</t>
  </si>
  <si>
    <t>"pražit-001"</t>
  </si>
  <si>
    <t>"prchat-001"</t>
  </si>
  <si>
    <t>?PAT: 3; před+7</t>
  </si>
  <si>
    <t>"prchat-002"</t>
  </si>
  <si>
    <t>"prchnout-001"</t>
  </si>
  <si>
    <t>"predisponovat-001"</t>
  </si>
  <si>
    <t>"preferovat-001"</t>
  </si>
  <si>
    <t>PAT-&gt;ARG1/164</t>
  </si>
  <si>
    <t>?EFF: před+7; proti+3; oproti+3</t>
  </si>
  <si>
    <t>"prezentovat-001"</t>
  </si>
  <si>
    <t>ADDR-&gt;ARG2/13</t>
  </si>
  <si>
    <t>"prezentovat-002"</t>
  </si>
  <si>
    <t>PAT-&gt;ARG1/34</t>
  </si>
  <si>
    <t>"prezentovat-se-001"</t>
  </si>
  <si>
    <t>"prezentovat-se-002"</t>
  </si>
  <si>
    <t>MANN-&gt;ARG1/143</t>
  </si>
  <si>
    <t>"privatizovat-001"</t>
  </si>
  <si>
    <t>"probarvovat-001"</t>
  </si>
  <si>
    <t>"probdít-001"</t>
  </si>
  <si>
    <t>"problematizovat-001"</t>
  </si>
  <si>
    <t>"problesknout-001"</t>
  </si>
  <si>
    <t>"probleskovat-001"</t>
  </si>
  <si>
    <t>"probodnout-001"</t>
  </si>
  <si>
    <t>"probojovat-se-001"</t>
  </si>
  <si>
    <t>"probouzet-001"</t>
  </si>
  <si>
    <t>CPHR: {dojem,nostalgie,pocit,pohoršení,touha,zájem,žárlivost,...}.4</t>
  </si>
  <si>
    <t>"probouzet-002"</t>
  </si>
  <si>
    <t>"probouzet-se-001"</t>
  </si>
  <si>
    <t>ACT-&gt;ARG1/172</t>
  </si>
  <si>
    <t>"probořit-se-001"</t>
  </si>
  <si>
    <t>"probrat-001"</t>
  </si>
  <si>
    <t>ACT-&gt;ARG0/205,ARG1/2</t>
  </si>
  <si>
    <t>"probrat-002"</t>
  </si>
  <si>
    <t>"probrat-003"</t>
  </si>
  <si>
    <t>"probrat-004"</t>
  </si>
  <si>
    <t>"probrat-se-001"</t>
  </si>
  <si>
    <t>"probrat-se-002"</t>
  </si>
  <si>
    <t>DIR2-&gt;ARG1/6</t>
  </si>
  <si>
    <t>"probudit-001"</t>
  </si>
  <si>
    <t>"probudit-002"</t>
  </si>
  <si>
    <t>"probudit-003"</t>
  </si>
  <si>
    <t>CPHR: {dojem,nostalgie,pocit,pohoršení,povaha,touha,zájem,zdání,zvědavost,...}.4</t>
  </si>
  <si>
    <t>LOC-&gt;ARG1/25,ARG2/1</t>
  </si>
  <si>
    <t>"probudit-se-001"</t>
  </si>
  <si>
    <t>"probudit-se-002"</t>
  </si>
  <si>
    <t>"probudit-se-003"</t>
  </si>
  <si>
    <t>DPHR: k-1[život.S3]</t>
  </si>
  <si>
    <t>"probádat-001"</t>
  </si>
  <si>
    <t>"probíhat-001"</t>
  </si>
  <si>
    <t>"probíhat-002"</t>
  </si>
  <si>
    <t>ACT-&gt;ARG0/13,ARG1/4502,ARG2/301</t>
  </si>
  <si>
    <t>"probíhat-003"</t>
  </si>
  <si>
    <t>DPHR: jako[po-1[máslo.S6]]</t>
  </si>
  <si>
    <t>"probíhat-004"</t>
  </si>
  <si>
    <t>"probírat-001"</t>
  </si>
  <si>
    <t>"probírat-002"</t>
  </si>
  <si>
    <t>"probírat-003"</t>
  </si>
  <si>
    <t>"probírat-004"</t>
  </si>
  <si>
    <t>"probírat-se-001"</t>
  </si>
  <si>
    <t>"probírat-se-002"</t>
  </si>
  <si>
    <t>"probít-se-001"</t>
  </si>
  <si>
    <t>"proběhnout-001"</t>
  </si>
  <si>
    <t>"proběhnout-002"</t>
  </si>
  <si>
    <t>"proběhnout-003"</t>
  </si>
  <si>
    <t>ACT-&gt;ARG0/278,ARG1/4597,ARG2/323</t>
  </si>
  <si>
    <t>"proběhnout-004"</t>
  </si>
  <si>
    <t>"proběhnout-se-001"</t>
  </si>
  <si>
    <t>"procedit-001"</t>
  </si>
  <si>
    <t>"procedit-002"</t>
  </si>
  <si>
    <t>"procestovat-001"</t>
  </si>
  <si>
    <t>"prochodit-001"</t>
  </si>
  <si>
    <t>"procházet-001"</t>
  </si>
  <si>
    <t>"procházet-002"</t>
  </si>
  <si>
    <t>"procházet-003"</t>
  </si>
  <si>
    <t>ACT-&gt;ARG0/41,ARG1/136</t>
  </si>
  <si>
    <t>DIR2-&gt;ARG1/45,ARG2/112</t>
  </si>
  <si>
    <t>"procházet-004"</t>
  </si>
  <si>
    <t>ACT-&gt;ARG0/25,ARG1/175</t>
  </si>
  <si>
    <t>"procházet-005"</t>
  </si>
  <si>
    <t>DPHR: zkouška.S7[oheň.S7]</t>
  </si>
  <si>
    <t>DPHR-&gt;ARG2/10</t>
  </si>
  <si>
    <t>"procházet-006"</t>
  </si>
  <si>
    <t>"procházet-se-001"</t>
  </si>
  <si>
    <t>"procitnout-001"</t>
  </si>
  <si>
    <t>"proclít-001"</t>
  </si>
  <si>
    <t>"proclívat-001"</t>
  </si>
  <si>
    <t>"procvičit-001"</t>
  </si>
  <si>
    <t>"procvičit-002"</t>
  </si>
  <si>
    <t>"procvičovat-001"</t>
  </si>
  <si>
    <t>"procvičovat-002"</t>
  </si>
  <si>
    <t>"prodat-001"</t>
  </si>
  <si>
    <t>ACT-&gt;ARG0/645,ARG1/5,ARG2/5</t>
  </si>
  <si>
    <t>PAT-&gt;ARG0/8,ARG1/1322,ARG2/3</t>
  </si>
  <si>
    <t>ADDR-&gt;ARG2/229</t>
  </si>
  <si>
    <t>"prodchnout-001"</t>
  </si>
  <si>
    <t>"prodiskutovat-001"</t>
  </si>
  <si>
    <t>"prodiskutovávat-001"</t>
  </si>
  <si>
    <t>"prodloužit-001"</t>
  </si>
  <si>
    <t>ACT-&gt;ARG0/309,ARG1/162</t>
  </si>
  <si>
    <t>PAT-&gt;ARG0/249,ARG1/494</t>
  </si>
  <si>
    <t>ORIG-&gt;ARG1/3,ARG2/30,ARG3/6</t>
  </si>
  <si>
    <t>EFF-&gt;ARG1/2,ARG2/18,ARG4/16</t>
  </si>
  <si>
    <t>"prodloužit-se-001"</t>
  </si>
  <si>
    <t>"prodlužovat-001"</t>
  </si>
  <si>
    <t>EFF-&gt;ARG1/2,ARG2/16,ARG4/1</t>
  </si>
  <si>
    <t>"prodlužovat-se-001"</t>
  </si>
  <si>
    <t>"prodrat-se-001"</t>
  </si>
  <si>
    <t>"prodrat-se-002"</t>
  </si>
  <si>
    <t>"prodražit-001"</t>
  </si>
  <si>
    <t>"prodražit-se-001"</t>
  </si>
  <si>
    <t>"prodražovat-001"</t>
  </si>
  <si>
    <t>"prodražovat-se-001"</t>
  </si>
  <si>
    <t>"produkovat-001"</t>
  </si>
  <si>
    <t>ACT-&gt;ARG0/435,ARG1/5,ARG2/3</t>
  </si>
  <si>
    <t>PAT-&gt;ARG1/763</t>
  </si>
  <si>
    <t>ORIG-&gt;ARG1/1,ARG2/38</t>
  </si>
  <si>
    <t>"prodávat-001"</t>
  </si>
  <si>
    <t>ACT-&gt;ARG0/682,ARG1/5,ARG2/5</t>
  </si>
  <si>
    <t>PAT-&gt;ARG0/11,ARG1/1477,ARG2/4</t>
  </si>
  <si>
    <t>ADDR-&gt;ARG1/1,ARG2/237</t>
  </si>
  <si>
    <t>"prodírat-se-001"</t>
  </si>
  <si>
    <t>"prodělat-001"</t>
  </si>
  <si>
    <t>ACT-&gt;ARG0/200,ARG1/2</t>
  </si>
  <si>
    <t>PAT-&gt;ARG0/1,ARG1/214,ARG2/2</t>
  </si>
  <si>
    <t>"prodělat-002"</t>
  </si>
  <si>
    <t>ACT-&gt;ARG0/237,ARG1/35</t>
  </si>
  <si>
    <t>PAT-&gt;ARG1/266,ARG2/37</t>
  </si>
  <si>
    <t>"prodělávat-001"</t>
  </si>
  <si>
    <t>"prodělávat-002"</t>
  </si>
  <si>
    <t>"profanovat-001"</t>
  </si>
  <si>
    <t>"profesionalizovat-001"</t>
  </si>
  <si>
    <t>"profilovat-001"</t>
  </si>
  <si>
    <t>"profitovat-001"</t>
  </si>
  <si>
    <t>ACT-&gt;ARG0/10,ARG1/47</t>
  </si>
  <si>
    <t>PAT: z+2; na+6</t>
  </si>
  <si>
    <t>PAT-&gt;ARG0/45,ARG1/16</t>
  </si>
  <si>
    <t>ACT-&gt;ARG0/11,ARG1/80</t>
  </si>
  <si>
    <t>PAT-&gt;ARG0/66,ARG1/17</t>
  </si>
  <si>
    <t>"profrčet-001"</t>
  </si>
  <si>
    <t>"prognózovat-001"</t>
  </si>
  <si>
    <t>"programovat-001"</t>
  </si>
  <si>
    <t>"prohazovat-001"</t>
  </si>
  <si>
    <t>"prohazovat-002"</t>
  </si>
  <si>
    <t>"prohlašovat-001"</t>
  </si>
  <si>
    <t>ACT-&gt;ARG0/103,ARG1/1</t>
  </si>
  <si>
    <t>EFF: 7; za+4</t>
  </si>
  <si>
    <t>EFF-&gt;ARG1/123,ARG2/1</t>
  </si>
  <si>
    <t>"prohlašovat-002"</t>
  </si>
  <si>
    <t>"prohlašovat-003"</t>
  </si>
  <si>
    <t>ACT-&gt;ARG0/12629,ARG1/37</t>
  </si>
  <si>
    <t>EFF-&gt;ARG0/2,ARG1/11059,ARG2/3</t>
  </si>
  <si>
    <t>"prohledat-001"</t>
  </si>
  <si>
    <t>"prohledávat-001"</t>
  </si>
  <si>
    <t>"prohloubit-001"</t>
  </si>
  <si>
    <t>ACT-&gt;ARG0/33,ARG1/28</t>
  </si>
  <si>
    <t>PAT-&gt;ARG1/18,ARG4/14</t>
  </si>
  <si>
    <t>"prohloubit-002"</t>
  </si>
  <si>
    <t>"prohloubit-se-001"</t>
  </si>
  <si>
    <t>ACT-&gt;ARG0/1,ARG1/987,ARG2/4</t>
  </si>
  <si>
    <t>PAT-&gt;ARG1/1,ARG2/6,ARG4/787</t>
  </si>
  <si>
    <t>ORIG-&gt;ARG3/358</t>
  </si>
  <si>
    <t>"prohloubit-se-002"</t>
  </si>
  <si>
    <t>"prohlubovat-001"</t>
  </si>
  <si>
    <t>"prohlubovat-002"</t>
  </si>
  <si>
    <t>"prohlubovat-se-001"</t>
  </si>
  <si>
    <t>PAT-&gt;ARG1/1,ARG4/14</t>
  </si>
  <si>
    <t>ORIG-&gt;ARG3/7</t>
  </si>
  <si>
    <t>"prohlásit-001"</t>
  </si>
  <si>
    <t>EFF: 7; za+4; za-1.4[.a4]</t>
  </si>
  <si>
    <t>EFF-&gt;ARG1/9</t>
  </si>
  <si>
    <t>ACT-&gt;ARG0/12129,ARG1/36</t>
  </si>
  <si>
    <t>PAT-&gt;ARG0/2,ARG1/21,ARG2/1,ARG3/29</t>
  </si>
  <si>
    <t>EFF-&gt;ARG0/2,ARG1/10507,ARG2/2</t>
  </si>
  <si>
    <t>"prohlásit-002"</t>
  </si>
  <si>
    <t>"prohlásit-003"</t>
  </si>
  <si>
    <t>ACT-&gt;ARG0/13082,ARG1/40</t>
  </si>
  <si>
    <t>EFF-&gt;ARG0/3,ARG1/11585,ARG2/3</t>
  </si>
  <si>
    <t>"prohlédnout-001"</t>
  </si>
  <si>
    <t>"prohlédnout-si-001"</t>
  </si>
  <si>
    <t>"prohlídnout-001"</t>
  </si>
  <si>
    <t>"prohlídnout-si-001"</t>
  </si>
  <si>
    <t>"prohlížet-001"</t>
  </si>
  <si>
    <t>"prohlížet-002"</t>
  </si>
  <si>
    <t>"prohlížet-si-001"</t>
  </si>
  <si>
    <t>PAT-&gt;ARG1/232</t>
  </si>
  <si>
    <t>"prohnat-se-001"</t>
  </si>
  <si>
    <t>"prohnout-001"</t>
  </si>
  <si>
    <t>"prohnout-se-001"</t>
  </si>
  <si>
    <t>"prohnout-se-002"</t>
  </si>
  <si>
    <t>"prohodit-001"</t>
  </si>
  <si>
    <t>"prohodit-002"</t>
  </si>
  <si>
    <t>"prohodit-003"</t>
  </si>
  <si>
    <t>"prohodit-004"</t>
  </si>
  <si>
    <t>"prohodit-si-001"</t>
  </si>
  <si>
    <t>"prohovořit-001"</t>
  </si>
  <si>
    <t>"prohrabovat-001"</t>
  </si>
  <si>
    <t>"prohrabávat-001"</t>
  </si>
  <si>
    <t>"prohrabávat-se-001"</t>
  </si>
  <si>
    <t>"prohrát-001"</t>
  </si>
  <si>
    <t>PAT: 4; v+6</t>
  </si>
  <si>
    <t>ACT-&gt;ARG0/200,ARG1/46</t>
  </si>
  <si>
    <t>PAT-&gt;ARG0/1,ARG1/213,ARG2/3,ARG4/63</t>
  </si>
  <si>
    <t>ADDR-&gt;ARG1/1,ARG2/21</t>
  </si>
  <si>
    <t>"prohrávat-001"</t>
  </si>
  <si>
    <t>PAT-&gt;ARG0/2,ARG1/34,ARG2/1</t>
  </si>
  <si>
    <t>"prohánět-001"</t>
  </si>
  <si>
    <t>"prohánět-se-001"</t>
  </si>
  <si>
    <t>"prohánět-se-002"</t>
  </si>
  <si>
    <t>"proházet-001"</t>
  </si>
  <si>
    <t>"prohřešit-se-001"</t>
  </si>
  <si>
    <t>"prohřívat-001"</t>
  </si>
  <si>
    <t>"proinvestovat-001"</t>
  </si>
  <si>
    <t>PAT-&gt;ARG0/1,ARG1/54,ARG2/6</t>
  </si>
  <si>
    <t>"projednat-001"</t>
  </si>
  <si>
    <t>ACT-&gt;ARG0/212,ARG1/1</t>
  </si>
  <si>
    <t>PAT-&gt;ARG1/275,ARG2/63</t>
  </si>
  <si>
    <t>"projednat-002"</t>
  </si>
  <si>
    <t>ACT-&gt;ARG0/262,ARG2/49</t>
  </si>
  <si>
    <t>PAT: 4; ↓že; ↓aby; ↓zda; ↓c</t>
  </si>
  <si>
    <t>PAT-&gt;ARG1/523,ARG2/64</t>
  </si>
  <si>
    <t>"projednávat-001"</t>
  </si>
  <si>
    <t>PAT-&gt;ARG1/234,ARG2/68</t>
  </si>
  <si>
    <t>ADDR-&gt;ARG1/49,ARG2/25</t>
  </si>
  <si>
    <t>"projednávat-002"</t>
  </si>
  <si>
    <t>ACT-&gt;ARG0/144</t>
  </si>
  <si>
    <t>PAT-&gt;ARG1/652,ARG2/63</t>
  </si>
  <si>
    <t>"projektovat-001"</t>
  </si>
  <si>
    <t>"projet-001"</t>
  </si>
  <si>
    <t>"projet-002"</t>
  </si>
  <si>
    <t>"projet-003"</t>
  </si>
  <si>
    <t>ACT-&gt;ARG0/31,ARG1/3</t>
  </si>
  <si>
    <t>DIR2-&gt;ARG1/27</t>
  </si>
  <si>
    <t>"projet-004"</t>
  </si>
  <si>
    <t>"projet-005"</t>
  </si>
  <si>
    <t>"projet-se-001"</t>
  </si>
  <si>
    <t>"projevit-001"</t>
  </si>
  <si>
    <t>PAT-&gt;ARG1/423</t>
  </si>
  <si>
    <t>"projevit-002"</t>
  </si>
  <si>
    <t>CPHR: {důvěra,náklonnost,nedůvěra,soustrast,úcta,uznání,...}.4</t>
  </si>
  <si>
    <t>CPHR-&gt;ARG1/50</t>
  </si>
  <si>
    <t>"projevit-003"</t>
  </si>
  <si>
    <t>CPHR: {lítost,nadšení,náklonnost,náznak,názor,nesouhlas,nezájem,obava,ochota,přání,souhlas,zájem,zdvořilost,...}.4</t>
  </si>
  <si>
    <t>ACT-&gt;ARG0/235,ARG1/427,ARG2/6</t>
  </si>
  <si>
    <t>CPHR-&gt;ARG1/285</t>
  </si>
  <si>
    <t>ACT-&gt;ARG1/3122,ARG2/296</t>
  </si>
  <si>
    <t>CPHR-&gt;ARG1/498,ARG2/3451</t>
  </si>
  <si>
    <t>"projevit-se-001"</t>
  </si>
  <si>
    <t>ACT-&gt;ARG0/4,ARG1/4</t>
  </si>
  <si>
    <t>PAT: 7; v+6</t>
  </si>
  <si>
    <t>"projevit-se-002"</t>
  </si>
  <si>
    <t>ACT-&gt;ARG1/218</t>
  </si>
  <si>
    <t>"projevit-se-003"</t>
  </si>
  <si>
    <t>MANN-&gt;ARG1/377</t>
  </si>
  <si>
    <t>"projevovat-001"</t>
  </si>
  <si>
    <t>PAT-&gt;ARG1/126</t>
  </si>
  <si>
    <t>"projevovat-002"</t>
  </si>
  <si>
    <t>CPHR: {důvěra,soustrast,úcta,uznání,...}.4</t>
  </si>
  <si>
    <t>"projevovat-003"</t>
  </si>
  <si>
    <t>CPHR: {lítost,nadšení,nesouhlas,odolnost,přání,zájem,...}.4</t>
  </si>
  <si>
    <t>CPHR-&gt;ARG1/73</t>
  </si>
  <si>
    <t>"projevovat-se-001"</t>
  </si>
  <si>
    <t>PAT: v+6; 7</t>
  </si>
  <si>
    <t>"projevovat-se-002"</t>
  </si>
  <si>
    <t>ACT-&gt;ARG0/230,ARG1/32</t>
  </si>
  <si>
    <t>"projevovat-se-003"</t>
  </si>
  <si>
    <t>ACT-&gt;ARG0/2154,ARG1/32</t>
  </si>
  <si>
    <t>MANN-&gt;ARG1/50</t>
  </si>
  <si>
    <t>"projezdit-001"</t>
  </si>
  <si>
    <t>"projít-001"</t>
  </si>
  <si>
    <t>"projít-002"</t>
  </si>
  <si>
    <t>PAT-&gt;ARG2/10</t>
  </si>
  <si>
    <t>"projít-003"</t>
  </si>
  <si>
    <t>ACT-&gt;ARG0/6,ARG1/20</t>
  </si>
  <si>
    <t>PAT-&gt;ARG1/6,ARG2/23</t>
  </si>
  <si>
    <t>"projít-004"</t>
  </si>
  <si>
    <t>ACT-&gt;ARG0/1,ARG1/128,ARG2/1</t>
  </si>
  <si>
    <t>"projít-005"</t>
  </si>
  <si>
    <t>ACT-&gt;ARG0/62,ARG1/6</t>
  </si>
  <si>
    <t>DIR2-&gt;ARG1/56,ARG2/1,ARGm-MNR/1</t>
  </si>
  <si>
    <t>"projít-006"</t>
  </si>
  <si>
    <t>ACT-&gt;ARG0/688,ARG1/359,ARG2/1</t>
  </si>
  <si>
    <t>"projít-007"</t>
  </si>
  <si>
    <t>"projít-008"</t>
  </si>
  <si>
    <t>"projít-009"</t>
  </si>
  <si>
    <t>"projít-010"</t>
  </si>
  <si>
    <t>"projít-se-001"</t>
  </si>
  <si>
    <t>"projít-si-001"</t>
  </si>
  <si>
    <t>"projít-si-002"</t>
  </si>
  <si>
    <t>"projíždět-001"</t>
  </si>
  <si>
    <t>ACT-&gt;ARG0/19,ARG1/7</t>
  </si>
  <si>
    <t>"projíždět-002"</t>
  </si>
  <si>
    <t>"projíždět-se-001"</t>
  </si>
  <si>
    <t>"prokazovat-001"</t>
  </si>
  <si>
    <t>"prokazovat-002"</t>
  </si>
  <si>
    <t>PAT-&gt;ARG1/536</t>
  </si>
  <si>
    <t>"prokazovat-003"</t>
  </si>
  <si>
    <t>PAT-&gt;ARG1/377</t>
  </si>
  <si>
    <t>"proklamovat-001"</t>
  </si>
  <si>
    <t>"proklestit-001"</t>
  </si>
  <si>
    <t>"proklimbat-001"</t>
  </si>
  <si>
    <t>"prokličkovat-001"</t>
  </si>
  <si>
    <t>"proklouznout-001"</t>
  </si>
  <si>
    <t>"prokládat-001"</t>
  </si>
  <si>
    <t>"proklít-001"</t>
  </si>
  <si>
    <t>"prokopat-se-001"</t>
  </si>
  <si>
    <t>"prokopnout-se-001"</t>
  </si>
  <si>
    <t>"prokouknout-001"</t>
  </si>
  <si>
    <t>"prokousat-se-001"</t>
  </si>
  <si>
    <t>"prokousávat-se-001"</t>
  </si>
  <si>
    <t>"prokrvovat-se-001"</t>
  </si>
  <si>
    <t>"prokázat-001"</t>
  </si>
  <si>
    <t>ACT-&gt;ARG0/155,ARG1/27</t>
  </si>
  <si>
    <t>PAT-&gt;ARG1/645</t>
  </si>
  <si>
    <t>ACT-&gt;ARG0/127,ARG1/2</t>
  </si>
  <si>
    <t>PAT-&gt;ARG1/690</t>
  </si>
  <si>
    <t>ADDR-&gt;ARG1/1,ARG2/5</t>
  </si>
  <si>
    <t>"prokázat-002"</t>
  </si>
  <si>
    <t>ACT-&gt;ARG0/110,ARG1/29</t>
  </si>
  <si>
    <t>PAT-&gt;ARG1/669</t>
  </si>
  <si>
    <t>"prokázat-003"</t>
  </si>
  <si>
    <t>"prokázat-se-001"</t>
  </si>
  <si>
    <t>"prokázat-se-002"</t>
  </si>
  <si>
    <t>PAT: 7; .a1; 1[{jako,jakožto}:/AuxY]; .a1[{jako,jakožto}:/AuxY]</t>
  </si>
  <si>
    <t>"prokázat-se-003"</t>
  </si>
  <si>
    <t>ACT: 1; ↓že; ↓zda; ↓jak-2</t>
  </si>
  <si>
    <t>ACT-&gt;ARG0/4,ARG1/27</t>
  </si>
  <si>
    <t>"prokňučet-001"</t>
  </si>
  <si>
    <t>"prokřičet-se-001"</t>
  </si>
  <si>
    <t>"prolamovat-001"</t>
  </si>
  <si>
    <t>"proletět-001"</t>
  </si>
  <si>
    <t>"proletět-se-001"</t>
  </si>
  <si>
    <t>"proležet-001"</t>
  </si>
  <si>
    <t>"proležet-002"</t>
  </si>
  <si>
    <t>"prolistovat-001"</t>
  </si>
  <si>
    <t>"prolnout-001"</t>
  </si>
  <si>
    <t>"prolomit-001"</t>
  </si>
  <si>
    <t>"prolomit-002"</t>
  </si>
  <si>
    <t>"prolomit-se-001"</t>
  </si>
  <si>
    <t>ACT-&gt;ARG0/53,ARG1/1</t>
  </si>
  <si>
    <t>"prolomit-se-002"</t>
  </si>
  <si>
    <t>"prolongovat-001"</t>
  </si>
  <si>
    <t>"prolétnout-001"</t>
  </si>
  <si>
    <t>"prolévat-001"</t>
  </si>
  <si>
    <t>"prolézat-001"</t>
  </si>
  <si>
    <t>"prolézt-001"</t>
  </si>
  <si>
    <t>"prolínat-se-001"</t>
  </si>
  <si>
    <t>"prolínat-se-002"</t>
  </si>
  <si>
    <t>"prolítnout-001"</t>
  </si>
  <si>
    <t>DPHR: hlava.S7</t>
  </si>
  <si>
    <t>"promarnit-001"</t>
  </si>
  <si>
    <t>PAT-&gt;ARG1/8,ARG2/8</t>
  </si>
  <si>
    <t>"promarodit-001"</t>
  </si>
  <si>
    <t>"promenádovat-se-001"</t>
  </si>
  <si>
    <t>"promeškat-001"</t>
  </si>
  <si>
    <t>"prominout-001"</t>
  </si>
  <si>
    <t>PAT-&gt;ARG1/19,ARG2/7</t>
  </si>
  <si>
    <t>"promlouvat-001"</t>
  </si>
  <si>
    <t>?ADDR: k+3; s+7</t>
  </si>
  <si>
    <t>"promluvit-001"</t>
  </si>
  <si>
    <t>ACT-&gt;ARG0/116</t>
  </si>
  <si>
    <t>"promluvit-002"</t>
  </si>
  <si>
    <t>"promluvit-003"</t>
  </si>
  <si>
    <t>"promluvit-004"</t>
  </si>
  <si>
    <t>"promluvit-si-001"</t>
  </si>
  <si>
    <t>"promlčet-001"</t>
  </si>
  <si>
    <t>---: .$2&lt;s&gt;; .v[se:/AuxR]</t>
  </si>
  <si>
    <t>"promnout-001"</t>
  </si>
  <si>
    <t>"promnout-se-001"</t>
  </si>
  <si>
    <t>"promovat-001"</t>
  </si>
  <si>
    <t>"promočit-001"</t>
  </si>
  <si>
    <t>"promrhat-001"</t>
  </si>
  <si>
    <t>"promrhávat-001"</t>
  </si>
  <si>
    <t>"promrzat-001"</t>
  </si>
  <si>
    <t>"promyslet-001"</t>
  </si>
  <si>
    <t>"promyslit-001"</t>
  </si>
  <si>
    <t>"promáčet-001"</t>
  </si>
  <si>
    <t>"promíchat-001"</t>
  </si>
  <si>
    <t>"promíchat-002"</t>
  </si>
  <si>
    <t>"promíjet-001"</t>
  </si>
  <si>
    <t>"promítat-001"</t>
  </si>
  <si>
    <t>ACT-&gt;ARG0/365,ARG1/1</t>
  </si>
  <si>
    <t>PAT-&gt;ARG1/862,ARG2/1</t>
  </si>
  <si>
    <t>"promítat-se-001"</t>
  </si>
  <si>
    <t>"promítat-se-002"</t>
  </si>
  <si>
    <t>ACT-&gt;ARG0/7,ARG1/5</t>
  </si>
  <si>
    <t>DIR3-&gt;ARG1/8,ARG2/8</t>
  </si>
  <si>
    <t>"promítnout-001"</t>
  </si>
  <si>
    <t>"promítnout-002"</t>
  </si>
  <si>
    <t>"promítnout-003"</t>
  </si>
  <si>
    <t>"promítnout-se-001"</t>
  </si>
  <si>
    <t>LOC-&gt;ARG2/6</t>
  </si>
  <si>
    <t>"promítnout-se-002"</t>
  </si>
  <si>
    <t>ACT-&gt;ARG1/17,ARG2/1</t>
  </si>
  <si>
    <t>DIR3-&gt;ARG2/18,ARG3/1</t>
  </si>
  <si>
    <t>"promítnout-si-001"</t>
  </si>
  <si>
    <t>"promýšlet-001"</t>
  </si>
  <si>
    <t>PAT: 4; ↓zda; ↓jestli; ↓c; .s</t>
  </si>
  <si>
    <t>"proměnit-001"</t>
  </si>
  <si>
    <t>ACT-&gt;ARG0/235</t>
  </si>
  <si>
    <t>PAT-&gt;ARG1/384,ARG2/1</t>
  </si>
  <si>
    <t>ORIG-&gt;ARG3/4</t>
  </si>
  <si>
    <t>EFF-&gt;ARG1/264,ARG2/117</t>
  </si>
  <si>
    <t>"proměnit-002"</t>
  </si>
  <si>
    <t>ACT-&gt;ARG0/42,ARG1/1</t>
  </si>
  <si>
    <t>EFF: v+4; do+2</t>
  </si>
  <si>
    <t>EFF-&gt;ARG2/104,ARG3/1</t>
  </si>
  <si>
    <t>"proměnit-003"</t>
  </si>
  <si>
    <t>?EFF: za+4; na+4</t>
  </si>
  <si>
    <t>"proměnit-se-001"</t>
  </si>
  <si>
    <t>ACT-&gt;ARG0/24,ARG1/112,ARG2/1</t>
  </si>
  <si>
    <t>PAT: na+4; v+4</t>
  </si>
  <si>
    <t>PAT-&gt;ARG2/158,ARG3/1</t>
  </si>
  <si>
    <t>"proměňovat-001"</t>
  </si>
  <si>
    <t>"proměňovat-002"</t>
  </si>
  <si>
    <t>"proměňovat-se-001"</t>
  </si>
  <si>
    <t>ACT-&gt;ARG0/1,ARG1/11</t>
  </si>
  <si>
    <t>"pronajmout-001"</t>
  </si>
  <si>
    <t>"pronajmout-002"</t>
  </si>
  <si>
    <t>"pronajímat-001"</t>
  </si>
  <si>
    <t>"pronajímat-002"</t>
  </si>
  <si>
    <t>"pronikat-001"</t>
  </si>
  <si>
    <t>ACT-&gt;ARG0/11,ARG1/38</t>
  </si>
  <si>
    <t>DIR3-&gt;ARG1/12</t>
  </si>
  <si>
    <t>"proniknout-001"</t>
  </si>
  <si>
    <t>"proniknout-002"</t>
  </si>
  <si>
    <t>"proniknout-003"</t>
  </si>
  <si>
    <t>ACT-&gt;ARG0/79,ARG1/30</t>
  </si>
  <si>
    <t>DIR3-&gt;ARG1/74</t>
  </si>
  <si>
    <t>"proniknout-004"</t>
  </si>
  <si>
    <t>"pronásledovat-001"</t>
  </si>
  <si>
    <t>PAT-&gt;ARG0/1,ARG1/30</t>
  </si>
  <si>
    <t>"pronášet-001"</t>
  </si>
  <si>
    <t>"pronášet-002"</t>
  </si>
  <si>
    <t>EFF-&gt;ARG1/16</t>
  </si>
  <si>
    <t>"pronést-001"</t>
  </si>
  <si>
    <t>ACT-&gt;ARG0/12209,ARG1/36</t>
  </si>
  <si>
    <t>PAT-&gt;ARG0/2,ARG1/136,ARG2/1,ARG3/29</t>
  </si>
  <si>
    <t>"pronést-002"</t>
  </si>
  <si>
    <t>ACT-&gt;ARG0/12137,ARG1/36</t>
  </si>
  <si>
    <t>EFF-&gt;ARG0/2,ARG1/10506,ARG2/2</t>
  </si>
  <si>
    <t>"propadat-001"</t>
  </si>
  <si>
    <t>PAT-&gt;ARG2/32</t>
  </si>
  <si>
    <t>"propadat-002"</t>
  </si>
  <si>
    <t>"propadat-003"</t>
  </si>
  <si>
    <t>"propadat-004"</t>
  </si>
  <si>
    <t>"propadat-se-001"</t>
  </si>
  <si>
    <t>ACT-&gt;ARG1/715,ARG2/5</t>
  </si>
  <si>
    <t>PAT-&gt;ARG2/42,ARG4/476</t>
  </si>
  <si>
    <t>ORIG-&gt;ARG3/174,ARG4/1</t>
  </si>
  <si>
    <t>ACT-&gt;ARG1/384</t>
  </si>
  <si>
    <t>PAT-&gt;ARG2/2,ARG4/244,ARGm-LOC/1</t>
  </si>
  <si>
    <t>ORIG-&gt;ARG3/55,ARG4/4</t>
  </si>
  <si>
    <t>"propadat-se-002"</t>
  </si>
  <si>
    <t>"propadnout-001"</t>
  </si>
  <si>
    <t>ACT-&gt;ARG0/1,ARG1/1104,ARG2/5</t>
  </si>
  <si>
    <t>PAT-&gt;ARG2/13,ARG4/773</t>
  </si>
  <si>
    <t>ORIG-&gt;ARG3/224,ARG4/5,ARGm-LOC/2</t>
  </si>
  <si>
    <t>"propadnout-002"</t>
  </si>
  <si>
    <t>"propadnout-003"</t>
  </si>
  <si>
    <t>"propadnout-004"</t>
  </si>
  <si>
    <t>ACT-&gt;ARG1/70,ARG2/1</t>
  </si>
  <si>
    <t>"propadnout-005"</t>
  </si>
  <si>
    <t>"propadnout-se-001"</t>
  </si>
  <si>
    <t>ACT-&gt;ARG1/803,ARG2/5</t>
  </si>
  <si>
    <t>PAT-&gt;ARG2/10,ARG4/479,ARGm-LOC/1</t>
  </si>
  <si>
    <t>ORIG-&gt;ARG3/173,ARG4/1</t>
  </si>
  <si>
    <t>ACT-&gt;ARG1/1088,ARG2/5</t>
  </si>
  <si>
    <t>ACT-&gt;ARG1/1129,ARG2/5</t>
  </si>
  <si>
    <t>PAT-&gt;ARG2/12,ARG4/720,ARGm-LOC/1</t>
  </si>
  <si>
    <t>ORIG-&gt;ARG3/228,ARG4/5</t>
  </si>
  <si>
    <t>PAT-&gt;ARG2/5,ARG4/41</t>
  </si>
  <si>
    <t>ORIG-&gt;ARG3/16</t>
  </si>
  <si>
    <t>"propadnout-se-002"</t>
  </si>
  <si>
    <t>"propagovat-001"</t>
  </si>
  <si>
    <t>ACT-&gt;ARG0/177</t>
  </si>
  <si>
    <t>PAT-&gt;ARG1/283,ARG2/20</t>
  </si>
  <si>
    <t>"propašovat-001"</t>
  </si>
  <si>
    <t>"proplachovat-001"</t>
  </si>
  <si>
    <t>"proplakat-001"</t>
  </si>
  <si>
    <t>"proplatit-001"</t>
  </si>
  <si>
    <t>PAT-&gt;ARG1/9,ARG3/2</t>
  </si>
  <si>
    <t>"proplout-001"</t>
  </si>
  <si>
    <t>"proplouvat-001"</t>
  </si>
  <si>
    <t>"proplácet-001"</t>
  </si>
  <si>
    <t>ACT-&gt;ARG0/55,ARG1/1</t>
  </si>
  <si>
    <t>PAT-&gt;ARG1/89,ARG2/2,ARG3/10</t>
  </si>
  <si>
    <t>"proplést-001"</t>
  </si>
  <si>
    <t>"proplétat-001"</t>
  </si>
  <si>
    <t>"proplétat-se-001"</t>
  </si>
  <si>
    <t>"proplétat-se-002"</t>
  </si>
  <si>
    <t>"proplétat-se-003"</t>
  </si>
  <si>
    <t>"proplít-001"</t>
  </si>
  <si>
    <t>"proplížit-se-001"</t>
  </si>
  <si>
    <t>"proplýtvat-001"</t>
  </si>
  <si>
    <t>"propojit-001"</t>
  </si>
  <si>
    <t>ADDR-&gt;ARG1/40</t>
  </si>
  <si>
    <t>?EFF: do-1[.4]; v+4</t>
  </si>
  <si>
    <t>"propojit-002"</t>
  </si>
  <si>
    <t>ADDR: s+7; do+2</t>
  </si>
  <si>
    <t>ADDR-&gt;ARG1/42</t>
  </si>
  <si>
    <t>"propojit-003"</t>
  </si>
  <si>
    <t>"propojit-004"</t>
  </si>
  <si>
    <t>"propojit-se-001"</t>
  </si>
  <si>
    <t>"propojovat-001"</t>
  </si>
  <si>
    <t>"propojovat-002"</t>
  </si>
  <si>
    <t>"propouštět-001"</t>
  </si>
  <si>
    <t>"propouštět-002"</t>
  </si>
  <si>
    <t>"propočíst-001"</t>
  </si>
  <si>
    <t>"propočítávat-001"</t>
  </si>
  <si>
    <t>"propracovat-001"</t>
  </si>
  <si>
    <t>"propracovat-se-001"</t>
  </si>
  <si>
    <t>"propracovat-se-002"</t>
  </si>
  <si>
    <t>"propracovávat-se-001"</t>
  </si>
  <si>
    <t>"propršet-001"</t>
  </si>
  <si>
    <t>"propsat-001"</t>
  </si>
  <si>
    <t>"propukat-001"</t>
  </si>
  <si>
    <t>"propuknout-001"</t>
  </si>
  <si>
    <t>ACT-&gt;ARG0/37,ARG1/10</t>
  </si>
  <si>
    <t>"propuknout-002"</t>
  </si>
  <si>
    <t>"propustit-001"</t>
  </si>
  <si>
    <t>ACT-&gt;ARG0/313</t>
  </si>
  <si>
    <t>PAT-&gt;ARG1/617</t>
  </si>
  <si>
    <t>"propustit-002"</t>
  </si>
  <si>
    <t>"propálit-001"</t>
  </si>
  <si>
    <t>"propálit-se-001"</t>
  </si>
  <si>
    <t>"propálit-se-002"</t>
  </si>
  <si>
    <t>"propásnout-001"</t>
  </si>
  <si>
    <t>"propást-001"</t>
  </si>
  <si>
    <t>"propíchat-001"</t>
  </si>
  <si>
    <t>"propíchnout-001"</t>
  </si>
  <si>
    <t>"propírat-001"</t>
  </si>
  <si>
    <t>"propít-001"</t>
  </si>
  <si>
    <t>"propůjčit-001"</t>
  </si>
  <si>
    <t>ADDR-&gt;ARG1/2,ARG2/22</t>
  </si>
  <si>
    <t>"propůjčovat-001"</t>
  </si>
  <si>
    <t>PAT-&gt;ARG1/192,ARG2/2</t>
  </si>
  <si>
    <t>ADDR-&gt;ARG1/10,ARG2/179</t>
  </si>
  <si>
    <t>"prorazit-001"</t>
  </si>
  <si>
    <t>"prorazit-002"</t>
  </si>
  <si>
    <t>"prorazit-003"</t>
  </si>
  <si>
    <t>ACT-&gt;ARG0/4,ARG1/6</t>
  </si>
  <si>
    <t>"prorazit-004"</t>
  </si>
  <si>
    <t>"prorazit-005"</t>
  </si>
  <si>
    <t>"prorezavět-001"</t>
  </si>
  <si>
    <t>"prorokovat-001"</t>
  </si>
  <si>
    <t>ACT-&gt;ARG0/149</t>
  </si>
  <si>
    <t>"prorážet-001"</t>
  </si>
  <si>
    <t>"prorážet-002"</t>
  </si>
  <si>
    <t>"prorůstat-001"</t>
  </si>
  <si>
    <t>"prorůstat-002"</t>
  </si>
  <si>
    <t>"prorůstat-003"</t>
  </si>
  <si>
    <t>"prosadit-001"</t>
  </si>
  <si>
    <t>"prosadit-002"</t>
  </si>
  <si>
    <t>ACT-&gt;ARG0/2416,ARG1/19</t>
  </si>
  <si>
    <t>PAT-&gt;ARG0/1,ARG1/2653,ARG2/33</t>
  </si>
  <si>
    <t>"prosadit-003"</t>
  </si>
  <si>
    <t>ACT-&gt;ARG0/2160,ARG1/19</t>
  </si>
  <si>
    <t>DPHR: svůj-1.FS4</t>
  </si>
  <si>
    <t>"prosadit-se-001"</t>
  </si>
  <si>
    <t>"prosakovat-001"</t>
  </si>
  <si>
    <t>"prosakovat-002"</t>
  </si>
  <si>
    <t>"prosakovat-003"</t>
  </si>
  <si>
    <t>"prosazovat-001"</t>
  </si>
  <si>
    <t>ACT-&gt;ARG0/2369,ARG1/20</t>
  </si>
  <si>
    <t>PAT: 4; ↓aby; ↓že; ↓c</t>
  </si>
  <si>
    <t>PAT-&gt;ARG0/1,ARG1/2559,ARG2/62</t>
  </si>
  <si>
    <t>"prosazovat-se-001"</t>
  </si>
  <si>
    <t>ACT-&gt;ARG0/1,ARG1/3102,ARG2/296</t>
  </si>
  <si>
    <t>"prosedět-001"</t>
  </si>
  <si>
    <t>"prosekat-001"</t>
  </si>
  <si>
    <t>"prosekat-se-001"</t>
  </si>
  <si>
    <t>"prosekávat-001"</t>
  </si>
  <si>
    <t>"prosit-001"</t>
  </si>
  <si>
    <t>PAT: o+4; .f; ↓zda; ↓aby; ↓ať; .s; ↓c; 4; ↓jestli; ↓kdyby</t>
  </si>
  <si>
    <t>ACT-&gt;ARG0/188</t>
  </si>
  <si>
    <t>PAT-&gt;ARG1/278</t>
  </si>
  <si>
    <t>ADDR-&gt;ARG1/1,ARG2/3</t>
  </si>
  <si>
    <t>"proskočit-001"</t>
  </si>
  <si>
    <t>"proskočit-002"</t>
  </si>
  <si>
    <t>"proslavit-001"</t>
  </si>
  <si>
    <t>"proslavit-se-001"</t>
  </si>
  <si>
    <t>"proslechnout-se-001"</t>
  </si>
  <si>
    <t>"proslout-001"</t>
  </si>
  <si>
    <t>"proslovit-001"</t>
  </si>
  <si>
    <t>"proslýchat-se-001"</t>
  </si>
  <si>
    <t>ACT-&gt;ARG1/4,ARG2/2</t>
  </si>
  <si>
    <t>"prosmát-001"</t>
  </si>
  <si>
    <t>"prosmát-se-001"</t>
  </si>
  <si>
    <t>"prosmát-se-002"</t>
  </si>
  <si>
    <t>"prosolovat-001"</t>
  </si>
  <si>
    <t>"prospat-001"</t>
  </si>
  <si>
    <t>"prospat-se-001"</t>
  </si>
  <si>
    <t>"prosperovat-001"</t>
  </si>
  <si>
    <t>?PAT: z+2; na+6</t>
  </si>
  <si>
    <t>ACT-&gt;ARG0/2,ARG1/56</t>
  </si>
  <si>
    <t>"prospívat-001"</t>
  </si>
  <si>
    <t>"prospívat-002"</t>
  </si>
  <si>
    <t>"prospět-001"</t>
  </si>
  <si>
    <t>ACT-&gt;ARG0/90,ARG1/4</t>
  </si>
  <si>
    <t>"prospět-002"</t>
  </si>
  <si>
    <t>"prostavět-001"</t>
  </si>
  <si>
    <t>"prostavět-002"</t>
  </si>
  <si>
    <t>"prostavět-003"</t>
  </si>
  <si>
    <t>"prostavět-se-001"</t>
  </si>
  <si>
    <t>"prostituovat-se-001"</t>
  </si>
  <si>
    <t>"prostoupit-001"</t>
  </si>
  <si>
    <t>ACT-&gt;ARG1/2,ARG2/3</t>
  </si>
  <si>
    <t>PAT-&gt;ARG0/1,ARG1/1,ARG2/1</t>
  </si>
  <si>
    <t>"prostoupit-002"</t>
  </si>
  <si>
    <t>"prostrkat-001"</t>
  </si>
  <si>
    <t>"prostrčit-001"</t>
  </si>
  <si>
    <t>"prostrčit-002"</t>
  </si>
  <si>
    <t>"prostudovat-001"</t>
  </si>
  <si>
    <t>"prostudovávat-001"</t>
  </si>
  <si>
    <t>"prostupovat-001"</t>
  </si>
  <si>
    <t>"prostupovat-002"</t>
  </si>
  <si>
    <t>"prostřelit-001"</t>
  </si>
  <si>
    <t>"prostřihnout-001"</t>
  </si>
  <si>
    <t>"prostřídat-se-001"</t>
  </si>
  <si>
    <t>"prostříhat-001"</t>
  </si>
  <si>
    <t>"prostříhat-002"</t>
  </si>
  <si>
    <t>"prostřít-001"</t>
  </si>
  <si>
    <t>"prosvištět-001"</t>
  </si>
  <si>
    <t>"prosvítat-001"</t>
  </si>
  <si>
    <t>"prosvítit-001"</t>
  </si>
  <si>
    <t>"prosvětlit-001"</t>
  </si>
  <si>
    <t>"prosvětlovat-001"</t>
  </si>
  <si>
    <t>"prosychat-001"</t>
  </si>
  <si>
    <t>"prosáknout-001"</t>
  </si>
  <si>
    <t>"prosáknout-002"</t>
  </si>
  <si>
    <t>"prosáknout-003"</t>
  </si>
  <si>
    <t>"prosít-001"</t>
  </si>
  <si>
    <t>"protahovat-001"</t>
  </si>
  <si>
    <t>"protahovat-002"</t>
  </si>
  <si>
    <t>"protahovat-003"</t>
  </si>
  <si>
    <t>"protancovat-001"</t>
  </si>
  <si>
    <t>"protavit-se-001"</t>
  </si>
  <si>
    <t>"protestovat-001"</t>
  </si>
  <si>
    <t>PAT: proti+3; oproti+3; ↓že; za+4</t>
  </si>
  <si>
    <t>ACT-&gt;ARG0/187,ARG1/1</t>
  </si>
  <si>
    <t>PAT-&gt;ARG1/200</t>
  </si>
  <si>
    <t>ACT-&gt;ARG0/130,ARG1/1</t>
  </si>
  <si>
    <t>"protežovat-001"</t>
  </si>
  <si>
    <t>"protiřečit-001"</t>
  </si>
  <si>
    <t>"protkat-001"</t>
  </si>
  <si>
    <t>"protkávat-001"</t>
  </si>
  <si>
    <t>"protlačit-001"</t>
  </si>
  <si>
    <t>PAT-&gt;ARG1/54,ARG2/21</t>
  </si>
  <si>
    <t>"protlačovat-001"</t>
  </si>
  <si>
    <t>"protloukat-001"</t>
  </si>
  <si>
    <t>"protloukat-se-001"</t>
  </si>
  <si>
    <t>"protnout-001"</t>
  </si>
  <si>
    <t>"protnout-002"</t>
  </si>
  <si>
    <t>"--protnout-se-001"</t>
  </si>
  <si>
    <t>"protrhat-se-001"</t>
  </si>
  <si>
    <t>"protrhnout-001"</t>
  </si>
  <si>
    <t>"protrhnout-002"</t>
  </si>
  <si>
    <t>"protrhnout-003"</t>
  </si>
  <si>
    <t>"protrhnout-se-001"</t>
  </si>
  <si>
    <t>"protrhávat-001"</t>
  </si>
  <si>
    <t>"protrhávat-se-001"</t>
  </si>
  <si>
    <t>"protrpět-001"</t>
  </si>
  <si>
    <t>"protáhnout-001"</t>
  </si>
  <si>
    <t>PAT-&gt;ARG1/139</t>
  </si>
  <si>
    <t>"protáhnout-002"</t>
  </si>
  <si>
    <t>"protáhnout-003"</t>
  </si>
  <si>
    <t>"protáhnout-se-001"</t>
  </si>
  <si>
    <t>ACT-&gt;ARG1/54</t>
  </si>
  <si>
    <t>"protáhnout-se-002"</t>
  </si>
  <si>
    <t>"protáhnout-se-003"</t>
  </si>
  <si>
    <t>"protáhnout-se-004"</t>
  </si>
  <si>
    <t>"protáhnout-se-005"</t>
  </si>
  <si>
    <t>"protéci-001"</t>
  </si>
  <si>
    <t>"protékat-001"</t>
  </si>
  <si>
    <t>"protékat-002"</t>
  </si>
  <si>
    <t>"protínat-001"</t>
  </si>
  <si>
    <t>"--protínat-se-001"</t>
  </si>
  <si>
    <t>"protřást-001"</t>
  </si>
  <si>
    <t>"protřídit-001"</t>
  </si>
  <si>
    <t>"proudit-001"</t>
  </si>
  <si>
    <t>ACT-&gt;ARG0/6,ARG1/103</t>
  </si>
  <si>
    <t>"proukázat-001"</t>
  </si>
  <si>
    <t>"provalit-001"</t>
  </si>
  <si>
    <t>"provalit-se-001"</t>
  </si>
  <si>
    <t>"provalit-se-002"</t>
  </si>
  <si>
    <t>"provdat-001"</t>
  </si>
  <si>
    <t>?ADDR: za+4</t>
  </si>
  <si>
    <t>"provdat-se-001"</t>
  </si>
  <si>
    <t>"provinit-se-001"</t>
  </si>
  <si>
    <t>"provokovat-001"</t>
  </si>
  <si>
    <t>ACT-&gt;ARG0/2,ARG2/33</t>
  </si>
  <si>
    <t>"provolat-001"</t>
  </si>
  <si>
    <t>"provolat-002"</t>
  </si>
  <si>
    <t>PAT-&gt;ARG1/12,ARG2/1</t>
  </si>
  <si>
    <t>"provolávat-001"</t>
  </si>
  <si>
    <t>"provozovat-001"</t>
  </si>
  <si>
    <t>ACT-&gt;ARG0/2489,ARG1/304,ARG2/3,ARG3/1</t>
  </si>
  <si>
    <t>PAT-&gt;ARG0/2,ARG1/2791,ARG2/280</t>
  </si>
  <si>
    <t>"provozovat-002"</t>
  </si>
  <si>
    <t>CPHR: {podnikání,...}.4</t>
  </si>
  <si>
    <t>"provozovat-003"</t>
  </si>
  <si>
    <t>"provrtat-001"</t>
  </si>
  <si>
    <t>"provádět-001"</t>
  </si>
  <si>
    <t>?ADDR: 3; s+7</t>
  </si>
  <si>
    <t>"provádět-002"</t>
  </si>
  <si>
    <t>"provádět-003"</t>
  </si>
  <si>
    <t>ACT-&gt;ARG0/593,ARG1/6,ARG3/1</t>
  </si>
  <si>
    <t>PAT-&gt;ARG0/1,ARG1/1517,ARG2/1</t>
  </si>
  <si>
    <t>"provádět-004"</t>
  </si>
  <si>
    <t>CPHR: {operace,...}.4</t>
  </si>
  <si>
    <t>CPHR-&gt;ARG0/1,ARG1/21</t>
  </si>
  <si>
    <t>"provádět-005"</t>
  </si>
  <si>
    <t>CPHR: {debata,dialog,hovor,rozhovor,...}.4</t>
  </si>
  <si>
    <t>"provádět-006"</t>
  </si>
  <si>
    <t>CPHR: {aktivita,aktualizace,analýza,arbitráž,barvení,cvičení,čin,činnost,dozor,hodnocení,hra,instruktáž,kontrola,lumpárna,nabídka,nábor,obchod,obchodování,odběr,odkup,odstranění,odpis,ohledání,opatření,operace,oprava,orání,platba,pochod,pozorování,práce,prodej,průzkum,přeceňování,přehodnocení,přepadení,přesměrování,převzetí,příkaz,půjčování,reorganizace,restrukturalizace,revize,rozhodnutí,servis,studie,test,testování,transakce,údržba,úkon,úpis,úprava,vklad,vyhledávání,výkop,výpad,výpočet,vyšetřování,vývoj,výzkum,zápis,změna,zpracování,zpracovávání,...}.4</t>
  </si>
  <si>
    <t>CPHR-&gt;ARG1/74</t>
  </si>
  <si>
    <t>ACT-&gt;ARG0/175,ARG1/2,ARG3/1</t>
  </si>
  <si>
    <t>CPHR-&gt;ARG1/238</t>
  </si>
  <si>
    <t>ACT-&gt;ARG0/213,ARG1/1</t>
  </si>
  <si>
    <t>CPHR-&gt;ARG0/1,ARG1/316</t>
  </si>
  <si>
    <t>CPHR-&gt;ARG1/196</t>
  </si>
  <si>
    <t>ACT-&gt;ARG0/611,ARG1/5,ARG2/3,ARG3/1</t>
  </si>
  <si>
    <t>CPHR-&gt;ARG0/1,ARG1/930</t>
  </si>
  <si>
    <t>"provádět-007"</t>
  </si>
  <si>
    <t>CPHR: {pokus}.4</t>
  </si>
  <si>
    <t>"provádět-008"</t>
  </si>
  <si>
    <t>CPHR: {lisování,orání,pletí,sestřih,sběr,řez,...}.4</t>
  </si>
  <si>
    <t>"proválčit-001"</t>
  </si>
  <si>
    <t>"proválčit-002"</t>
  </si>
  <si>
    <t>"provázet-001"</t>
  </si>
  <si>
    <t>ACT-&gt;ARG0/26,ARG3/4</t>
  </si>
  <si>
    <t>"provázet-002"</t>
  </si>
  <si>
    <t>ACT-&gt;ARG0/26,ARG1/10</t>
  </si>
  <si>
    <t>"provážet-001"</t>
  </si>
  <si>
    <t>"provést-001"</t>
  </si>
  <si>
    <t>"provést-002"</t>
  </si>
  <si>
    <t>ACT-&gt;ARG0/1176,ARG1/72,ARG3/1</t>
  </si>
  <si>
    <t>PAT-&gt;ARG0/18,ARG1/1716,ARG2/26,ARG4/5</t>
  </si>
  <si>
    <t>"provést-003"</t>
  </si>
  <si>
    <t>"provést-004"</t>
  </si>
  <si>
    <t>CPHR: {aktualizace,akvizice,fixace,hodnocení,instruktáž,jmenování,kontrola,krok,likvidace,lumpárna,modernizace,nabídka,náhrada,nákup,navýšení,obnova,obrat,odhad,odpis,odškodnění,ohledání,opatření,operace,oprava,oznámení,platba,platba,podání,prodej,průzkum,přestupek,převzetí,redukce,reforma,renovace,reorganizace,restrukturalizace,revize,rozbor,rozhodnutí,sběr,snížení,snižování,spekulace,splavnění,spravedlnost,srovnání,statistika,střídání,studie,test,testování,transakce,transformace,údržba,úprava,vklad,výkop,výměna,vyplacení,vyšetření,výzkum,změna,znárodnění,zrušení,zvrat,...}.4</t>
  </si>
  <si>
    <t>CPHR-&gt;ARG1/129</t>
  </si>
  <si>
    <t>CPHR-&gt;ARG1/291</t>
  </si>
  <si>
    <t>ACT-&gt;ARG0/1065,ARG1/26</t>
  </si>
  <si>
    <t>CPHR-&gt;ARG1/1214,ARG2/26</t>
  </si>
  <si>
    <t>ACT-&gt;ARG0/788,ARG1/4,ARG2/1,ARG3/1</t>
  </si>
  <si>
    <t>CPHR-&gt;ARG0/2,ARG1/1139,ARG3/3</t>
  </si>
  <si>
    <t>ACT-&gt;ARG0/112</t>
  </si>
  <si>
    <t>CPHR-&gt;ARG1/220</t>
  </si>
  <si>
    <t>CPHR-&gt;ARG1/51</t>
  </si>
  <si>
    <t>CPHR-&gt;ARG1/25</t>
  </si>
  <si>
    <t>ACT-&gt;ARG0/419,ARG1/3</t>
  </si>
  <si>
    <t>CPHR-&gt;ARG0/1,ARG1/586</t>
  </si>
  <si>
    <t>CPHR-&gt;ARG1/144</t>
  </si>
  <si>
    <t>CPHR-&gt;ARG1/71</t>
  </si>
  <si>
    <t>"provést-005"</t>
  </si>
  <si>
    <t>CPHR: {debata,dialog,hovor,rozhovor,slyšení,...}.4</t>
  </si>
  <si>
    <t>"provést-006"</t>
  </si>
  <si>
    <t>CPHR: {lumpárna}.4</t>
  </si>
  <si>
    <t>"provést-007"</t>
  </si>
  <si>
    <t>"provézt-001"</t>
  </si>
  <si>
    <t>"provětrat-001"</t>
  </si>
  <si>
    <t>"provětrat-002"</t>
  </si>
  <si>
    <t>"provětrávat-001"</t>
  </si>
  <si>
    <t>"prověřit-001"</t>
  </si>
  <si>
    <t>"prověřovat-001"</t>
  </si>
  <si>
    <t>"prozkoumat-001"</t>
  </si>
  <si>
    <t>PAT-&gt;ARG1/209</t>
  </si>
  <si>
    <t>"prozkoumat-002"</t>
  </si>
  <si>
    <t>PAT: 4; ↓zda; ↓c</t>
  </si>
  <si>
    <t>"prozkoumávat-001"</t>
  </si>
  <si>
    <t>"prozpívat-001"</t>
  </si>
  <si>
    <t>"prozpívat-se-001"</t>
  </si>
  <si>
    <t>"prozpívat-se-002"</t>
  </si>
  <si>
    <t>"prozpěvovat-001"</t>
  </si>
  <si>
    <t>EFF: 4; ↓že; ↓zda; ↓jestli; ↓c; .s</t>
  </si>
  <si>
    <t>"prozradit-001"</t>
  </si>
  <si>
    <t>ADDR-&gt;ARG2/16</t>
  </si>
  <si>
    <t>EFF: 4; ↓že; ↓zda; ↓c; .s</t>
  </si>
  <si>
    <t>EFF-&gt;ARG0/2,ARG1/10798,ARG2/2</t>
  </si>
  <si>
    <t>?PAT: na+4; o+6</t>
  </si>
  <si>
    <t>"prozradit-se-001"</t>
  </si>
  <si>
    <t>"prozrazovat-001"</t>
  </si>
  <si>
    <t>ACT-&gt;ARG0/122</t>
  </si>
  <si>
    <t>EFF-&gt;ARG1/243</t>
  </si>
  <si>
    <t>"pročesat-001"</t>
  </si>
  <si>
    <t>"pročesat-002"</t>
  </si>
  <si>
    <t>"pročesávat-001"</t>
  </si>
  <si>
    <t>"pročesávat-002"</t>
  </si>
  <si>
    <t>"pročistit-001"</t>
  </si>
  <si>
    <t>"pročíst-001"</t>
  </si>
  <si>
    <t>"pročítat-001"</t>
  </si>
  <si>
    <t>PAT-&gt;ARG1/63,ARG3/4</t>
  </si>
  <si>
    <t>"pročítat-002"</t>
  </si>
  <si>
    <t>"prořeknout-001"</t>
  </si>
  <si>
    <t>"prořeknout-se-001"</t>
  </si>
  <si>
    <t>"prořídnout-001"</t>
  </si>
  <si>
    <t>"prořítit-se-001"</t>
  </si>
  <si>
    <t>"prošetřit-001"</t>
  </si>
  <si>
    <t>"prošetřovat-001"</t>
  </si>
  <si>
    <t>"proškolit-001"</t>
  </si>
  <si>
    <t>"proškolovat-001"</t>
  </si>
  <si>
    <t>"prošlapat-001"</t>
  </si>
  <si>
    <t>"prošlapávat-001"</t>
  </si>
  <si>
    <t>"prošlechťovat-001"</t>
  </si>
  <si>
    <t>"prošlápnout-001"</t>
  </si>
  <si>
    <t>"prošoupat-001"</t>
  </si>
  <si>
    <t>"prošoupávat-001"</t>
  </si>
  <si>
    <t>"prošpikovat-001"</t>
  </si>
  <si>
    <t>"prošťouchávat-001"</t>
  </si>
  <si>
    <t>"prožrat-001"</t>
  </si>
  <si>
    <t>"prožít-001"</t>
  </si>
  <si>
    <t>"prožít-002"</t>
  </si>
  <si>
    <t>ACT-&gt;ARG0/2230,ARG1/29</t>
  </si>
  <si>
    <t>PAT-&gt;ARG0/1,ARG1/2344,ARG2/10</t>
  </si>
  <si>
    <t>"prožít-003"</t>
  </si>
  <si>
    <t>"prožít-004"</t>
  </si>
  <si>
    <t>DPHR: na-1[kůže:S4[vlastní-1:#]]</t>
  </si>
  <si>
    <t>"prožít-si-001"</t>
  </si>
  <si>
    <t>"prožívat-001"</t>
  </si>
  <si>
    <t>ACT-&gt;ARG0/75,ARG1/101</t>
  </si>
  <si>
    <t>PAT-&gt;ARG1/88,ARG2/91</t>
  </si>
  <si>
    <t>"prožívat-002"</t>
  </si>
  <si>
    <t>"prát-001"</t>
  </si>
  <si>
    <t>DPHR: peníze.P4; peníze.P4[špinavý.#]</t>
  </si>
  <si>
    <t>"prát-002"</t>
  </si>
  <si>
    <t>"--prát-003"</t>
  </si>
  <si>
    <t>"--prát-004"</t>
  </si>
  <si>
    <t>DPHR: peníze</t>
  </si>
  <si>
    <t>"prát-se-001"</t>
  </si>
  <si>
    <t>"prýštit-001"</t>
  </si>
  <si>
    <t>"pršet-001"</t>
  </si>
  <si>
    <t>"pršet-002"</t>
  </si>
  <si>
    <t>"psát-001"</t>
  </si>
  <si>
    <t>"psát-002"</t>
  </si>
  <si>
    <t>PAT: 4; ↓že; ↓aby; .s</t>
  </si>
  <si>
    <t>"psát-003"</t>
  </si>
  <si>
    <t>ACT-&gt;ARG0/597,ARG1/1</t>
  </si>
  <si>
    <t>PAT-&gt;ARG1/629</t>
  </si>
  <si>
    <t>ADDR-&gt;ARG2/14</t>
  </si>
  <si>
    <t>"psát-004"</t>
  </si>
  <si>
    <t>"psát-005"</t>
  </si>
  <si>
    <t>"psát-006"</t>
  </si>
  <si>
    <t>"psát-007"</t>
  </si>
  <si>
    <t>EFF: 4; ↓že; ↓aby; .s; ↓c; ↓jestli; ↓jak-2; ↓ať</t>
  </si>
  <si>
    <t>ACT-&gt;ARG0/12898,ARG1/39,ARG3/1</t>
  </si>
  <si>
    <t>EFF-&gt;ARG0/2,ARG1/10742,ARG2/2</t>
  </si>
  <si>
    <t>PAT-&gt;ARG0/2,ARG1/652,ARG2/1,ARG3/29</t>
  </si>
  <si>
    <t>"psát-008"</t>
  </si>
  <si>
    <t>ACT-&gt;ARG0/315,ARG1/1</t>
  </si>
  <si>
    <t>"psát-si-001"</t>
  </si>
  <si>
    <t>"--psát-si-002"</t>
  </si>
  <si>
    <t>"psávat-001"</t>
  </si>
  <si>
    <t>"ptát-se-001"</t>
  </si>
  <si>
    <t>ACT-&gt;ARG0/12396,ARG1/36</t>
  </si>
  <si>
    <t>PAT-&gt;ARG0/2,ARG1/10755,ARG2/3</t>
  </si>
  <si>
    <t>ADDR-&gt;ARG1/5,ARG2/165</t>
  </si>
  <si>
    <t>"ptát-se-002"</t>
  </si>
  <si>
    <t>?ADDR: 2</t>
  </si>
  <si>
    <t>"ptávat-se-001"</t>
  </si>
  <si>
    <t>"publikovat-001"</t>
  </si>
  <si>
    <t>ACT-&gt;ARG0/559,ARG1/1</t>
  </si>
  <si>
    <t>PAT-&gt;ARG0/1,ARG1/647</t>
  </si>
  <si>
    <t>"publikovat-002"</t>
  </si>
  <si>
    <t>"pukat-001"</t>
  </si>
  <si>
    <t>"puknout-001"</t>
  </si>
  <si>
    <t>"pulsovat-001"</t>
  </si>
  <si>
    <t>"pumpovat-001"</t>
  </si>
  <si>
    <t>ACT-&gt;ARG0/12,ARG2/1</t>
  </si>
  <si>
    <t>"pumpovat-002"</t>
  </si>
  <si>
    <t>"puncovat-001"</t>
  </si>
  <si>
    <t>"pusinkovat-001"</t>
  </si>
  <si>
    <t>"pusinkovat-002"</t>
  </si>
  <si>
    <t>"pustit-001"</t>
  </si>
  <si>
    <t>"pustit-002"</t>
  </si>
  <si>
    <t>DIR3-&gt;ARG1/119,ARG2/18</t>
  </si>
  <si>
    <t>"pustit-003"</t>
  </si>
  <si>
    <t>"pustit-004"</t>
  </si>
  <si>
    <t>PAT-&gt;ARG1/148,ARG2/2</t>
  </si>
  <si>
    <t>"pustit-005"</t>
  </si>
  <si>
    <t>"pustit-006"</t>
  </si>
  <si>
    <t>DPHR: k-1[slovo.S3]</t>
  </si>
  <si>
    <t>"pustit-007"</t>
  </si>
  <si>
    <t>DPHR: k-1[voda.S3]</t>
  </si>
  <si>
    <t>"pustit-008"</t>
  </si>
  <si>
    <t>"pustit-009"</t>
  </si>
  <si>
    <t>"pustit-se-001"</t>
  </si>
  <si>
    <t>ACT-&gt;ARG0/37,ARG1/4</t>
  </si>
  <si>
    <t>PAT-&gt;ARG1/41,ARG2/6</t>
  </si>
  <si>
    <t>"pustit-se-002"</t>
  </si>
  <si>
    <t>"pustit-se-003"</t>
  </si>
  <si>
    <t>CPHR: do-1[{akce,boj,bojkot,čtení,hospodaření,hra,investice,obchodování,podnikání,polemika,práce,projekt,překládání,přestavba,příprava,psaní,řešení,spekulace,testování,výklad,výroba,výstavba,vývoj,výzva,...}.2]</t>
  </si>
  <si>
    <t>ACT-&gt;ARG0/84,ARG1/1</t>
  </si>
  <si>
    <t>CPHR-&gt;ARG1/112</t>
  </si>
  <si>
    <t>ACT-&gt;ARG0/198,ARG1/67,ARG2/3</t>
  </si>
  <si>
    <t>CPHR-&gt;ARG1/263</t>
  </si>
  <si>
    <t>"pustit-se-004"</t>
  </si>
  <si>
    <t>"pustit-se-005"</t>
  </si>
  <si>
    <t>"putovat-001"</t>
  </si>
  <si>
    <t>ACT-&gt;ARG0/19,ARG1/39</t>
  </si>
  <si>
    <t>"pykat-001"</t>
  </si>
  <si>
    <t>"pytlačit-001"</t>
  </si>
  <si>
    <t>"pyšnit-se-001"</t>
  </si>
  <si>
    <t>ACT-&gt;ARG0/120,ARG1/1</t>
  </si>
  <si>
    <t>"páchat-001"</t>
  </si>
  <si>
    <t>"páchnout-001"</t>
  </si>
  <si>
    <t>?PAT: 7; po+6</t>
  </si>
  <si>
    <t>"pádlovat-001"</t>
  </si>
  <si>
    <t>"pálit-001"</t>
  </si>
  <si>
    <t>PAT-&gt;ARG0/1,ARG1/11</t>
  </si>
  <si>
    <t>"pálit-002"</t>
  </si>
  <si>
    <t>"pálit-003"</t>
  </si>
  <si>
    <t>"pálit-004"</t>
  </si>
  <si>
    <t>"pálit-005"</t>
  </si>
  <si>
    <t>"pálit-si-001"</t>
  </si>
  <si>
    <t>DPHR: prst.P4</t>
  </si>
  <si>
    <t>"párovat-001"</t>
  </si>
  <si>
    <t>"--párovat-002"</t>
  </si>
  <si>
    <t>"--párovat-se-001"</t>
  </si>
  <si>
    <t>"pást-001"</t>
  </si>
  <si>
    <t>"pást-002"</t>
  </si>
  <si>
    <t>"pást-se-001"</t>
  </si>
  <si>
    <t>"pást-se-002"</t>
  </si>
  <si>
    <t>"pátrat-001"</t>
  </si>
  <si>
    <t>PAT: po+6; ↓jestli; ↓c</t>
  </si>
  <si>
    <t>ACT-&gt;ARG0/351,ARG2/1</t>
  </si>
  <si>
    <t>PAT-&gt;ARG1/483,ARG2/5</t>
  </si>
  <si>
    <t>"péci-001"</t>
  </si>
  <si>
    <t>"--péci-002"</t>
  </si>
  <si>
    <t>"píchat-001"</t>
  </si>
  <si>
    <t>"píchat-002"</t>
  </si>
  <si>
    <t>"píchat-003"</t>
  </si>
  <si>
    <t>"píchat-004"</t>
  </si>
  <si>
    <t>"píchnout-001"</t>
  </si>
  <si>
    <t>"píchnout-002"</t>
  </si>
  <si>
    <t>"píchnout-003"</t>
  </si>
  <si>
    <t>"píct-001"</t>
  </si>
  <si>
    <t>"pídit-se-001"</t>
  </si>
  <si>
    <t>"pípat-001"</t>
  </si>
  <si>
    <t>"pískat-001"</t>
  </si>
  <si>
    <t>"pískat-002"</t>
  </si>
  <si>
    <t>"písknout-001"</t>
  </si>
  <si>
    <t>"pít-001"</t>
  </si>
  <si>
    <t>"pít-002"</t>
  </si>
  <si>
    <t>"pózovat-001"</t>
  </si>
  <si>
    <t>"pěstovat-001"</t>
  </si>
  <si>
    <t>ACT-&gt;ARG0/319,ARG1/3</t>
  </si>
  <si>
    <t>PAT-&gt;ARG1/479,ARG2/2</t>
  </si>
  <si>
    <t>"pěstovat-002"</t>
  </si>
  <si>
    <t>"pěstovat-si-001"</t>
  </si>
  <si>
    <t>"pěstovávat-001"</t>
  </si>
  <si>
    <t>"pět-001"</t>
  </si>
  <si>
    <t>"pět-002"</t>
  </si>
  <si>
    <t>"pět-003"</t>
  </si>
  <si>
    <t>PAT: na+4; 3</t>
  </si>
  <si>
    <t>"pět-004"</t>
  </si>
  <si>
    <t>"pět-005"</t>
  </si>
  <si>
    <t>"přebalit-001"</t>
  </si>
  <si>
    <t>"přebalovat-001"</t>
  </si>
  <si>
    <t>"přebolet-001"</t>
  </si>
  <si>
    <t>"přebrat-001"</t>
  </si>
  <si>
    <t>ORIG-&gt;ARG2/13</t>
  </si>
  <si>
    <t>"přebrat-002"</t>
  </si>
  <si>
    <t>DPHR: na-1[se.S4]</t>
  </si>
  <si>
    <t>"přebrodit-001"</t>
  </si>
  <si>
    <t>"přebudovat-001"</t>
  </si>
  <si>
    <t>"přebudovávat-001"</t>
  </si>
  <si>
    <t>"přebásnit-001"</t>
  </si>
  <si>
    <t>"přebíhat-001"</t>
  </si>
  <si>
    <t>"přebíhat-002"</t>
  </si>
  <si>
    <t>"přebíhat-003"</t>
  </si>
  <si>
    <t>"přebíjet-001"</t>
  </si>
  <si>
    <t>"přebírat-001"</t>
  </si>
  <si>
    <t>ACT-&gt;ARG0/482,ARG1/26</t>
  </si>
  <si>
    <t>PAT-&gt;ARG1/676,ARG2/26</t>
  </si>
  <si>
    <t>ORIG-&gt;ARG2/33</t>
  </si>
  <si>
    <t>"přebírat-002"</t>
  </si>
  <si>
    <t>"přebírat-003"</t>
  </si>
  <si>
    <t>"přebít-001"</t>
  </si>
  <si>
    <t>"přebývat-001"</t>
  </si>
  <si>
    <t>"přebývat-002"</t>
  </si>
  <si>
    <t>LOC-&gt;ARG3/32</t>
  </si>
  <si>
    <t>"přeběhnout-001"</t>
  </si>
  <si>
    <t>"přeběhnout-002"</t>
  </si>
  <si>
    <t>"přecedit-001"</t>
  </si>
  <si>
    <t>"přecenit-001"</t>
  </si>
  <si>
    <t>"přeceňovat-001"</t>
  </si>
  <si>
    <t>"přechodit-001"</t>
  </si>
  <si>
    <t>"přechovávat-001"</t>
  </si>
  <si>
    <t>"přechytračit-001"</t>
  </si>
  <si>
    <t>"přecházet-001"</t>
  </si>
  <si>
    <t>ACT-&gt;ARG0/21,ARG1/78</t>
  </si>
  <si>
    <t>PAT: k+3; na+4; v+4</t>
  </si>
  <si>
    <t>PAT-&gt;ARG1/2,ARG2/31</t>
  </si>
  <si>
    <t>ORIG-&gt;ARG2/1,ARG3/2</t>
  </si>
  <si>
    <t>"přecházet-002"</t>
  </si>
  <si>
    <t>"přecházet-003"</t>
  </si>
  <si>
    <t>"přecházet-004"</t>
  </si>
  <si>
    <t>"přecházet-005"</t>
  </si>
  <si>
    <t>"přecházet-006"</t>
  </si>
  <si>
    <t>ACT-&gt;ARG0/19,ARG1/109</t>
  </si>
  <si>
    <t>"přecházet-007"</t>
  </si>
  <si>
    <t>"přecházet-008"</t>
  </si>
  <si>
    <t>ACT-&gt;ARG1/18</t>
  </si>
  <si>
    <t>"přecházet-009"</t>
  </si>
  <si>
    <t>"předat-001"</t>
  </si>
  <si>
    <t>ACT-&gt;ARG0/481</t>
  </si>
  <si>
    <t>PAT-&gt;ARG1/770,ARG2/2</t>
  </si>
  <si>
    <t>ADDR-&gt;ARG1/6,ARG2/458,ARG3/1</t>
  </si>
  <si>
    <t>"předat-002"</t>
  </si>
  <si>
    <t>ACT-&gt;ARG0/97,ARG1/1</t>
  </si>
  <si>
    <t>PAT-&gt;ARG1/174</t>
  </si>
  <si>
    <t>DIR3-&gt;ARG2/12</t>
  </si>
  <si>
    <t>"předat-003"</t>
  </si>
  <si>
    <t>CPHR: {informace,podnět,tajemství,zpráva,...}.4</t>
  </si>
  <si>
    <t>CPHR-&gt;ARG0/1,ARG1/68</t>
  </si>
  <si>
    <t>"předat-004"</t>
  </si>
  <si>
    <t>"předat-se-001"</t>
  </si>
  <si>
    <t>"--předat-si-001"</t>
  </si>
  <si>
    <t>"předbíhat-001"</t>
  </si>
  <si>
    <t>"předbíhat-002"</t>
  </si>
  <si>
    <t>"předbíhat-se-001"</t>
  </si>
  <si>
    <t>"předběhnout-001"</t>
  </si>
  <si>
    <t>PAT: 4; 3</t>
  </si>
  <si>
    <t>"předběhnout-002"</t>
  </si>
  <si>
    <t>"předcházet-001"</t>
  </si>
  <si>
    <t>ACT-&gt;ARG0/46,ARG1/2,ARG3/13</t>
  </si>
  <si>
    <t>PAT-&gt;ARG1/77,ARG2/56</t>
  </si>
  <si>
    <t>"předcházet-002"</t>
  </si>
  <si>
    <t>DPHR: pýcha.S1,pád.S4</t>
  </si>
  <si>
    <t>"předcházet-003"</t>
  </si>
  <si>
    <t>"předcházet-004"</t>
  </si>
  <si>
    <t>ACT-&gt;ARG0/21,ARG3/3</t>
  </si>
  <si>
    <t>"předcvičovat-001"</t>
  </si>
  <si>
    <t>"předehnat-001"</t>
  </si>
  <si>
    <t>"předehrát-001"</t>
  </si>
  <si>
    <t>"předejet-001"</t>
  </si>
  <si>
    <t>"předejmout-001"</t>
  </si>
  <si>
    <t>"předejít-001"</t>
  </si>
  <si>
    <t>"předejít-002"</t>
  </si>
  <si>
    <t>"předepisovat-001"</t>
  </si>
  <si>
    <t>PAT: 4; ↓že; ↓aby; ↓ať</t>
  </si>
  <si>
    <t>"předepsat-001"</t>
  </si>
  <si>
    <t>PAT: 4; ↓že; ↓aby; ↓ať; ↓c</t>
  </si>
  <si>
    <t>"předeslat-001"</t>
  </si>
  <si>
    <t>"předestřít-001"</t>
  </si>
  <si>
    <t>"předhazovat-001"</t>
  </si>
  <si>
    <t>PAT: 4; ↓že; ↓c; .v</t>
  </si>
  <si>
    <t>"předhánět-001"</t>
  </si>
  <si>
    <t>"předhánět-se-001"</t>
  </si>
  <si>
    <t>?PAT: o+4; v+6</t>
  </si>
  <si>
    <t>"předimenzovat-001"</t>
  </si>
  <si>
    <t>"předjet-001"</t>
  </si>
  <si>
    <t>"předjímat-001"</t>
  </si>
  <si>
    <t>"předjíždět-001"</t>
  </si>
  <si>
    <t>"předklonit-se-001"</t>
  </si>
  <si>
    <t>"předkládat-001"</t>
  </si>
  <si>
    <t>PAT-&gt;ARG1/337</t>
  </si>
  <si>
    <t>"předložit-001"</t>
  </si>
  <si>
    <t>ACT-&gt;ARG0/1306,ARG1/7</t>
  </si>
  <si>
    <t>PAT-&gt;ARG1/1830,ARG2/2,ARG3/1</t>
  </si>
  <si>
    <t>ADDR-&gt;ARG1/7,ARG2/69,ARG3/95</t>
  </si>
  <si>
    <t>"předložit-002"</t>
  </si>
  <si>
    <t>LOC-&gt;ARG2/9,ARG3/1</t>
  </si>
  <si>
    <t>"předložit-003"</t>
  </si>
  <si>
    <t>ACT-&gt;ARG0/95</t>
  </si>
  <si>
    <t>DIR3-&gt;ARG3/6</t>
  </si>
  <si>
    <t>"přednášet-001"</t>
  </si>
  <si>
    <t>PAT: o+6; na-1[téma.4]</t>
  </si>
  <si>
    <t>"přednášet-002"</t>
  </si>
  <si>
    <t>PAT-&gt;ARG1/575</t>
  </si>
  <si>
    <t>"přednášet-003"</t>
  </si>
  <si>
    <t>"přednášet-004"</t>
  </si>
  <si>
    <t>"přednést-001"</t>
  </si>
  <si>
    <t>ACT-&gt;ARG0/620,ARG1/2,ARG2/3</t>
  </si>
  <si>
    <t>PAT-&gt;ARG1/942,ARG2/1</t>
  </si>
  <si>
    <t>ADDR-&gt;ARG1/4,ARG2/320,ARG3/3</t>
  </si>
  <si>
    <t>"předpisovat-001"</t>
  </si>
  <si>
    <t>"předplatit-001"</t>
  </si>
  <si>
    <t>"předplácet-001"</t>
  </si>
  <si>
    <t>"předpokládat-001"</t>
  </si>
  <si>
    <t>ACT: 1; .f; ↓aby; ↓že</t>
  </si>
  <si>
    <t>ACT-&gt;ARG0/4196,ARG1/25</t>
  </si>
  <si>
    <t>PAT: 4; ↓aby; ↓že; .f</t>
  </si>
  <si>
    <t>PAT-&gt;ARG0/1,ARG1/4653,ARG2/42</t>
  </si>
  <si>
    <t>"předpokládat-002"</t>
  </si>
  <si>
    <t>ACT-&gt;ARG0/1651,ARG1/6</t>
  </si>
  <si>
    <t>EFF-&gt;ARG1/1925,ARG2/43</t>
  </si>
  <si>
    <t>"předpovídat-001"</t>
  </si>
  <si>
    <t>PAT-&gt;ARG1/303</t>
  </si>
  <si>
    <t>"předpovědět-001"</t>
  </si>
  <si>
    <t>ACT-&gt;ARG0/592</t>
  </si>
  <si>
    <t>PAT: 4; ↓že; ↓zda; .s; ↓c</t>
  </si>
  <si>
    <t>PAT-&gt;ARG1/717,ARG2/3</t>
  </si>
  <si>
    <t>"předražit-001"</t>
  </si>
  <si>
    <t>"předražovat-001"</t>
  </si>
  <si>
    <t>"předsedat-001"</t>
  </si>
  <si>
    <t>"předsevzít-si-001"</t>
  </si>
  <si>
    <t>"představit-001"</t>
  </si>
  <si>
    <t>PAT-&gt;ARG1/133</t>
  </si>
  <si>
    <t>"představit-002"</t>
  </si>
  <si>
    <t>ACT-&gt;ARG0/853,ARG1/2</t>
  </si>
  <si>
    <t>PAT-&gt;ARG0/1,ARG1/1122,ARG2/1</t>
  </si>
  <si>
    <t>ADDR-&gt;ARG2/28</t>
  </si>
  <si>
    <t>"představit-003"</t>
  </si>
  <si>
    <t>"představit-004"</t>
  </si>
  <si>
    <t>"představit-se-001"</t>
  </si>
  <si>
    <t>PAT-&gt;ARG1/6,ARG2/14</t>
  </si>
  <si>
    <t>"představit-si-001"</t>
  </si>
  <si>
    <t>"představit-si-002"</t>
  </si>
  <si>
    <t>PAT: 4; ↓že; ↓jak-2; ↓c; .f</t>
  </si>
  <si>
    <t>ACT-&gt;ARG0/418,ARG1/1</t>
  </si>
  <si>
    <t>PAT-&gt;ARG1/573,ARG2/1</t>
  </si>
  <si>
    <t>"představit-si-003"</t>
  </si>
  <si>
    <t>"představovat-001"</t>
  </si>
  <si>
    <t>"představovat-002"</t>
  </si>
  <si>
    <t>PAT-&gt;ARG1/576</t>
  </si>
  <si>
    <t>"představovat-003"</t>
  </si>
  <si>
    <t>ACT-&gt;ARG0/748,ARG1/3359,ARG2/297</t>
  </si>
  <si>
    <t>PAT-&gt;ARG0/152,ARG1/3426,ARG2/3595</t>
  </si>
  <si>
    <t>"představovat-se-001"</t>
  </si>
  <si>
    <t>"představovat-si-001"</t>
  </si>
  <si>
    <t>"představovat-si-002"</t>
  </si>
  <si>
    <t>"představovat-si-003"</t>
  </si>
  <si>
    <t>"předstihnout-001"</t>
  </si>
  <si>
    <t>PAT-&gt;ARG1/52</t>
  </si>
  <si>
    <t>"předstihovat-001"</t>
  </si>
  <si>
    <t>"předstoupit-001"</t>
  </si>
  <si>
    <t>ACT-&gt;ARG0/197,ARG1/204</t>
  </si>
  <si>
    <t>"předstupovat-001"</t>
  </si>
  <si>
    <t>"předstírat-001"</t>
  </si>
  <si>
    <t>"předtočit-001"</t>
  </si>
  <si>
    <t>"předurčit-001"</t>
  </si>
  <si>
    <t>"předurčit-002"</t>
  </si>
  <si>
    <t>EFF: 7; za+4; 4[{jako,jakožto}:/AuxY]</t>
  </si>
  <si>
    <t>"předurčit-003"</t>
  </si>
  <si>
    <t>"předurčovat-001"</t>
  </si>
  <si>
    <t>"předurčovat-002"</t>
  </si>
  <si>
    <t>"předurčovat-003"</t>
  </si>
  <si>
    <t>"předvolat-001"</t>
  </si>
  <si>
    <t>"předvolávat-001"</t>
  </si>
  <si>
    <t>"předvádět-001"</t>
  </si>
  <si>
    <t>ACT-&gt;ARG0/175,ARG1/1</t>
  </si>
  <si>
    <t>PAT: 4; ↓že; ↓aby; ↓ať; ↓zda; ↓c</t>
  </si>
  <si>
    <t>PAT-&gt;ARG1/615</t>
  </si>
  <si>
    <t>"předvádět-se-001"</t>
  </si>
  <si>
    <t>"předvést-001"</t>
  </si>
  <si>
    <t>ACT-&gt;ARG0/186,ARG1/129,ARG2/3451</t>
  </si>
  <si>
    <t>PAT-&gt;ARG1/3792,ARG2/306</t>
  </si>
  <si>
    <t>"předvést-002"</t>
  </si>
  <si>
    <t>"předvést-se-001"</t>
  </si>
  <si>
    <t>ACT: 1; ↓že; ↓jak-2</t>
  </si>
  <si>
    <t>PAT: 7; 1[{jako,jakožto}:/AuxY]; být[.7]</t>
  </si>
  <si>
    <t>"předvést-se-002"</t>
  </si>
  <si>
    <t>"předvídat-001"</t>
  </si>
  <si>
    <t>ACT-&gt;ARG0/1343,ARG1/2</t>
  </si>
  <si>
    <t>PAT-&gt;ARG1/1490,ARG2/1</t>
  </si>
  <si>
    <t>"předznamenat-001"</t>
  </si>
  <si>
    <t>PAT: 4; ↓že; ↓zda; ↓jestli</t>
  </si>
  <si>
    <t>"předznamenávat-001"</t>
  </si>
  <si>
    <t>"předzásobit-001"</t>
  </si>
  <si>
    <t>"předávat-001"</t>
  </si>
  <si>
    <t>PAT-&gt;ARG1/13,ARG2/1</t>
  </si>
  <si>
    <t>ADDR-&gt;ARG1/1,ARG2/12</t>
  </si>
  <si>
    <t>"předávat-002"</t>
  </si>
  <si>
    <t>"předávat-003"</t>
  </si>
  <si>
    <t>CPHR: {informace,podnět,zpráva,...}.4</t>
  </si>
  <si>
    <t>"předávat-004"</t>
  </si>
  <si>
    <t>"--předávat-si-001"</t>
  </si>
  <si>
    <t>"předávkovat-001"</t>
  </si>
  <si>
    <t>"předávkovat-se-001"</t>
  </si>
  <si>
    <t>"předčit-001"</t>
  </si>
  <si>
    <t>ACT-&gt;ARG0/119,ARG1/3102,ARG2/299</t>
  </si>
  <si>
    <t>PAT-&gt;ARG0/1,ARG1/288,ARG2/3451</t>
  </si>
  <si>
    <t>"předčítat-001"</t>
  </si>
  <si>
    <t>EFF: 4; ↓že; ↓jak-2; ↓zda; ↓jestli; ↓c; .s</t>
  </si>
  <si>
    <t>EFF-&gt;ARG1/66,ARG3/4</t>
  </si>
  <si>
    <t>"předělat-001"</t>
  </si>
  <si>
    <t>"předělávat-001"</t>
  </si>
  <si>
    <t>"předřadit-001"</t>
  </si>
  <si>
    <t>"předříkávat-001"</t>
  </si>
  <si>
    <t>"předřít-se-001"</t>
  </si>
  <si>
    <t>"přefakturovat-001"</t>
  </si>
  <si>
    <t>"přefilmovat-001"</t>
  </si>
  <si>
    <t>"přeformulovat-001"</t>
  </si>
  <si>
    <t>"přehazovat-001"</t>
  </si>
  <si>
    <t>"přehazovat-002"</t>
  </si>
  <si>
    <t>"přehazovat-003"</t>
  </si>
  <si>
    <t>"přehlasovat-001"</t>
  </si>
  <si>
    <t>"přehlavičkovat-001"</t>
  </si>
  <si>
    <t>"přehlcovat-001"</t>
  </si>
  <si>
    <t>"přehltit-001"</t>
  </si>
  <si>
    <t>"přehlušit-001"</t>
  </si>
  <si>
    <t>"přehlédnout-001"</t>
  </si>
  <si>
    <t>PAT: 4; ↓že; ↓zda; ↓jestli; ↓kdyby; ↓c</t>
  </si>
  <si>
    <t>"přehlédnout-002"</t>
  </si>
  <si>
    <t>"přehlížet-001"</t>
  </si>
  <si>
    <t>"přehnat-001"</t>
  </si>
  <si>
    <t>"přehnat-002"</t>
  </si>
  <si>
    <t>"přehnat-003"</t>
  </si>
  <si>
    <t>"přehnat-se-001"</t>
  </si>
  <si>
    <t>"přehnat-se-002"</t>
  </si>
  <si>
    <t>"přehodit-001"</t>
  </si>
  <si>
    <t>"přehodit-002"</t>
  </si>
  <si>
    <t>"přehodit-003"</t>
  </si>
  <si>
    <t>"přehodnocovat-001"</t>
  </si>
  <si>
    <t>"přehodnocovat-002"</t>
  </si>
  <si>
    <t>"přehodnotit-001"</t>
  </si>
  <si>
    <t>"přehodnotit-002"</t>
  </si>
  <si>
    <t>"přehoupnout-se-001"</t>
  </si>
  <si>
    <t>"přehrabovat-se-001"</t>
  </si>
  <si>
    <t>"přehradit-001"</t>
  </si>
  <si>
    <t>"přehrát-001"</t>
  </si>
  <si>
    <t>"přehrát-002"</t>
  </si>
  <si>
    <t>"přehrát-003"</t>
  </si>
  <si>
    <t>"přehrát-004"</t>
  </si>
  <si>
    <t>"přehrávat-001"</t>
  </si>
  <si>
    <t>"přehrávat-002"</t>
  </si>
  <si>
    <t>"přehrávat-003"</t>
  </si>
  <si>
    <t>"přehrávat-se-001"</t>
  </si>
  <si>
    <t>"přehrávat-si-001"</t>
  </si>
  <si>
    <t>"přehustit-001"</t>
  </si>
  <si>
    <t>"přehustit-002"</t>
  </si>
  <si>
    <t>"přehánět-001"</t>
  </si>
  <si>
    <t>"přehřát-001"</t>
  </si>
  <si>
    <t>"přehřát-se-001"</t>
  </si>
  <si>
    <t>"přehřívat-se-001"</t>
  </si>
  <si>
    <t>"přejet-001"</t>
  </si>
  <si>
    <t>"přejet-002"</t>
  </si>
  <si>
    <t>"přejet-003"</t>
  </si>
  <si>
    <t>"přejet-004"</t>
  </si>
  <si>
    <t>ACT-&gt;ARG0/10,ARG1/22</t>
  </si>
  <si>
    <t>DIR2-&gt;ARG0/12,ARG1/12</t>
  </si>
  <si>
    <t>"přejet-005"</t>
  </si>
  <si>
    <t>"přejet-006"</t>
  </si>
  <si>
    <t>"přejet-007"</t>
  </si>
  <si>
    <t>"přejmenovat-001"</t>
  </si>
  <si>
    <t>EFF-&gt;ARG2/8</t>
  </si>
  <si>
    <t>"přejmout-001"</t>
  </si>
  <si>
    <t>"přejmout-002"</t>
  </si>
  <si>
    <t>"přejímat-001"</t>
  </si>
  <si>
    <t>"přejíst-se-001"</t>
  </si>
  <si>
    <t>"přejít-001"</t>
  </si>
  <si>
    <t>ACT-&gt;ARG0/195,ARG1/181</t>
  </si>
  <si>
    <t>PAT: v+4; na+4; k+3</t>
  </si>
  <si>
    <t>PAT-&gt;ARG1/141,ARG2/59</t>
  </si>
  <si>
    <t>ORIG-&gt;ARG2/1,ARG3/11</t>
  </si>
  <si>
    <t>"přejít-002"</t>
  </si>
  <si>
    <t>"přejít-003"</t>
  </si>
  <si>
    <t>"přejít-004"</t>
  </si>
  <si>
    <t>PAT: pod+4; do+2; na+4; k+3</t>
  </si>
  <si>
    <t>PAT-&gt;ARG1/2,ARG2/23</t>
  </si>
  <si>
    <t>"přejít-005"</t>
  </si>
  <si>
    <t>"přejít-006"</t>
  </si>
  <si>
    <t>ACT-&gt;ARG0/90,ARG1/72</t>
  </si>
  <si>
    <t>DIR1-&gt;ARG1/55,ARG2/1,ARG3/2</t>
  </si>
  <si>
    <t>DIR3-&gt;ARG1/2,ARG2/63</t>
  </si>
  <si>
    <t>"přejít-007"</t>
  </si>
  <si>
    <t>"přejít-008"</t>
  </si>
  <si>
    <t>ACT-&gt;ARG0/105,ARG1/3</t>
  </si>
  <si>
    <t>DIR3-&gt;ARG1/141</t>
  </si>
  <si>
    <t>"přejít-009"</t>
  </si>
  <si>
    <t>DPHR: do-1[zbraň.S2]</t>
  </si>
  <si>
    <t>"přejíždět-001"</t>
  </si>
  <si>
    <t>"přejíždět-002"</t>
  </si>
  <si>
    <t>"přejíždět-003"</t>
  </si>
  <si>
    <t>"přejíždět-004"</t>
  </si>
  <si>
    <t>"překazit-001"</t>
  </si>
  <si>
    <t>PAT-&gt;ARG1/57,ARG2/1</t>
  </si>
  <si>
    <t>"překlasifikovat-001"</t>
  </si>
  <si>
    <t>"překlasifikovat-002"</t>
  </si>
  <si>
    <t>"překlenout-001"</t>
  </si>
  <si>
    <t>"překlenout-002"</t>
  </si>
  <si>
    <t>"překlopit-001"</t>
  </si>
  <si>
    <t>"překládat-001"</t>
  </si>
  <si>
    <t>"překlápět-se-001"</t>
  </si>
  <si>
    <t>"překonat-001"</t>
  </si>
  <si>
    <t>ACT-&gt;ARG0/154,ARG1/74</t>
  </si>
  <si>
    <t>PAT-&gt;ARG0/1,ARG1/247</t>
  </si>
  <si>
    <t>"překonat-002"</t>
  </si>
  <si>
    <t>PAT-&gt;ARG0/1,ARG1/119</t>
  </si>
  <si>
    <t>"překonat-003"</t>
  </si>
  <si>
    <t>PAT-&gt;ARG0/1,ARG1/103</t>
  </si>
  <si>
    <t>"překonat-se-001"</t>
  </si>
  <si>
    <t>"překontrolovat-001"</t>
  </si>
  <si>
    <t>PAT: 4; ↓že; ↓aby; ↓jestli; ↓zda; ↓c</t>
  </si>
  <si>
    <t>"překonávat-001"</t>
  </si>
  <si>
    <t>PAT-&gt;ARG0/1,ARG1/115</t>
  </si>
  <si>
    <t>"překonávat-se-001"</t>
  </si>
  <si>
    <t>"překopnout-001"</t>
  </si>
  <si>
    <t>"překopnout-002"</t>
  </si>
  <si>
    <t>"překousnout-001"</t>
  </si>
  <si>
    <t>"překračovat-001"</t>
  </si>
  <si>
    <t>PAT-&gt;ARG0/1,ARG1/113</t>
  </si>
  <si>
    <t>"překračovat-002"</t>
  </si>
  <si>
    <t>PAT-&gt;ARG0/1,ARG1/108</t>
  </si>
  <si>
    <t>"překračovat-003"</t>
  </si>
  <si>
    <t>"překračovat-004"</t>
  </si>
  <si>
    <t>"překreslovat-001"</t>
  </si>
  <si>
    <t>"překrmovat-001"</t>
  </si>
  <si>
    <t>"překroutit-001"</t>
  </si>
  <si>
    <t>"překročit-001"</t>
  </si>
  <si>
    <t>ACT-&gt;ARG0/79,ARG1/12</t>
  </si>
  <si>
    <t>PAT-&gt;ARG0/1,ARG1/96</t>
  </si>
  <si>
    <t>"překročit-002"</t>
  </si>
  <si>
    <t>ACT-&gt;ARG0/147,ARG1/1072,ARG2/5</t>
  </si>
  <si>
    <t>PAT-&gt;ARG0/1,ARG1/201,ARG2/720,ARG4/4</t>
  </si>
  <si>
    <t>"překročit-003"</t>
  </si>
  <si>
    <t>"překrucovat-001"</t>
  </si>
  <si>
    <t>"překrýt-001"</t>
  </si>
  <si>
    <t>"překrýt-002"</t>
  </si>
  <si>
    <t>"překrýt-003"</t>
  </si>
  <si>
    <t>"překrývat-001"</t>
  </si>
  <si>
    <t>"překrývat-002"</t>
  </si>
  <si>
    <t>"překrývat-se-001"</t>
  </si>
  <si>
    <t>"překulit-se-001"</t>
  </si>
  <si>
    <t>"překulit-se-002"</t>
  </si>
  <si>
    <t>"překvapit-001"</t>
  </si>
  <si>
    <t>ACT-&gt;ARG0/621,ARG1/1</t>
  </si>
  <si>
    <t>PAT-&gt;ARG0/1,ARG1/654</t>
  </si>
  <si>
    <t>"překvapit-002"</t>
  </si>
  <si>
    <t>"překvapovat-001"</t>
  </si>
  <si>
    <t>ACT-&gt;ARG0/23,ARG1/1</t>
  </si>
  <si>
    <t>PAT-&gt;ARG0/1,ARG1/3133,ARG2/296</t>
  </si>
  <si>
    <t>"překvapovat-002"</t>
  </si>
  <si>
    <t>"překypovat-001"</t>
  </si>
  <si>
    <t>"překypovat-002"</t>
  </si>
  <si>
    <t>"překypět-001"</t>
  </si>
  <si>
    <t>"překážet-001"</t>
  </si>
  <si>
    <t>?PAT: v+6; .f; ↓aby; při+6</t>
  </si>
  <si>
    <t>PAT-&gt;ARG1/17,ARG2/1</t>
  </si>
  <si>
    <t>"překážet-002"</t>
  </si>
  <si>
    <t>"překřikovat-001"</t>
  </si>
  <si>
    <t>"překřtít-001"</t>
  </si>
  <si>
    <t>"překřížit-001"</t>
  </si>
  <si>
    <t>"překřížit-002"</t>
  </si>
  <si>
    <t>DPHR: cesta.4</t>
  </si>
  <si>
    <t>"přeladit-se-001"</t>
  </si>
  <si>
    <t>"přelarvovat-001"</t>
  </si>
  <si>
    <t>"přelaďovat-001"</t>
  </si>
  <si>
    <t>"přeletět-001"</t>
  </si>
  <si>
    <t>"přeletět-002"</t>
  </si>
  <si>
    <t>"přelidnit-001"</t>
  </si>
  <si>
    <t>"přelidnit-se-001"</t>
  </si>
  <si>
    <t>"přeložit-001"</t>
  </si>
  <si>
    <t>"přeložit-002"</t>
  </si>
  <si>
    <t>EFF: 4[{jako,jakožto}:/AuxY]; .s</t>
  </si>
  <si>
    <t>"přeložit-003"</t>
  </si>
  <si>
    <t>DIR1-&gt;ARG3/1</t>
  </si>
  <si>
    <t>DIR3-&gt;ARG2/2</t>
  </si>
  <si>
    <t>"přeložit-004"</t>
  </si>
  <si>
    <t>TOWH-&gt;ARG3/2</t>
  </si>
  <si>
    <t>"přelstít-001"</t>
  </si>
  <si>
    <t>"přelámat-001"</t>
  </si>
  <si>
    <t>"přelétnout-001"</t>
  </si>
  <si>
    <t>"přelétávat-001"</t>
  </si>
  <si>
    <t>"přelétávat-002"</t>
  </si>
  <si>
    <t>"přelévat-001"</t>
  </si>
  <si>
    <t>"přelévat-se-001"</t>
  </si>
  <si>
    <t>"přelézt-001"</t>
  </si>
  <si>
    <t>"přelézt-002"</t>
  </si>
  <si>
    <t>"přelít-001"</t>
  </si>
  <si>
    <t>"přelítnout-001"</t>
  </si>
  <si>
    <t>"přemalovat-001"</t>
  </si>
  <si>
    <t>"přemisťovat-001"</t>
  </si>
  <si>
    <t>"přemlouvat-001"</t>
  </si>
  <si>
    <t>ADDR-&gt;ARG1/32</t>
  </si>
  <si>
    <t>?PAT: k+3; ↓aby; ↓ať; .s</t>
  </si>
  <si>
    <t>PAT-&gt;ARG2/30</t>
  </si>
  <si>
    <t>"přemluvit-001"</t>
  </si>
  <si>
    <t>"přemnožit-se-001"</t>
  </si>
  <si>
    <t>"přemoci-001"</t>
  </si>
  <si>
    <t>"přemostit-001"</t>
  </si>
  <si>
    <t>"přemáhat-se-001"</t>
  </si>
  <si>
    <t>"přemístit-001"</t>
  </si>
  <si>
    <t>"přemístit-002"</t>
  </si>
  <si>
    <t>"přemístit-se-001"</t>
  </si>
  <si>
    <t>"přemítat-001"</t>
  </si>
  <si>
    <t>"přemýšlet-001"</t>
  </si>
  <si>
    <t>ACT-&gt;ARG0/174</t>
  </si>
  <si>
    <t>PAT-&gt;ARG1/174,ARG2/36</t>
  </si>
  <si>
    <t>"přeměnit-001"</t>
  </si>
  <si>
    <t>PAT-&gt;ARG1/134,ARG2/1</t>
  </si>
  <si>
    <t>EFF-&gt;ARG2/123</t>
  </si>
  <si>
    <t>"přeměnit-se-001"</t>
  </si>
  <si>
    <t>ACT-&gt;ARG0/15,ARG1/448,ARG2/6</t>
  </si>
  <si>
    <t>?PAT: v+4; na+4; do+2; k+3</t>
  </si>
  <si>
    <t>PAT-&gt;ARG2/498</t>
  </si>
  <si>
    <t>"přeměňovat-001"</t>
  </si>
  <si>
    <t>"přeměřit-001"</t>
  </si>
  <si>
    <t>"přeměřovat-001"</t>
  </si>
  <si>
    <t>"přendat-001"</t>
  </si>
  <si>
    <t>"přendávat-001"</t>
  </si>
  <si>
    <t>"přenechat-001"</t>
  </si>
  <si>
    <t>PAT-&gt;ARG1/206</t>
  </si>
  <si>
    <t>ADDR-&gt;ARG1/129,ARG2/29</t>
  </si>
  <si>
    <t>"přenechat-002"</t>
  </si>
  <si>
    <t>"přenechávat-001"</t>
  </si>
  <si>
    <t>"přenocovat-001"</t>
  </si>
  <si>
    <t>"přenášet-001"</t>
  </si>
  <si>
    <t>"přenášet-002"</t>
  </si>
  <si>
    <t>"přenášet-003"</t>
  </si>
  <si>
    <t>"přenášet-004"</t>
  </si>
  <si>
    <t>"přenášet-005"</t>
  </si>
  <si>
    <t>"přenášet-se-001"</t>
  </si>
  <si>
    <t>"přenést-001"</t>
  </si>
  <si>
    <t>PAT-&gt;ARG0/15,ARG1/32</t>
  </si>
  <si>
    <t>ADDR-&gt;ARG1/2,ARG2/27</t>
  </si>
  <si>
    <t>"přenést-002"</t>
  </si>
  <si>
    <t>"přenést-003"</t>
  </si>
  <si>
    <t>DIR3-&gt;ARG2/10</t>
  </si>
  <si>
    <t>"přenést-004"</t>
  </si>
  <si>
    <t>"přenést-005"</t>
  </si>
  <si>
    <t>"přenést-se-001"</t>
  </si>
  <si>
    <t>"přenést-se-002"</t>
  </si>
  <si>
    <t>"přenést-se-003"</t>
  </si>
  <si>
    <t>"přeorganizovat-001"</t>
  </si>
  <si>
    <t>"přeorientovat-001"</t>
  </si>
  <si>
    <t>"přeorientovat-se-001"</t>
  </si>
  <si>
    <t>PAT-&gt;ARG1/2,ARG2/27</t>
  </si>
  <si>
    <t>"přeorientovat-se-002"</t>
  </si>
  <si>
    <t>"přepadat-001"</t>
  </si>
  <si>
    <t>"přepadnout-001"</t>
  </si>
  <si>
    <t>"přepadnout-002"</t>
  </si>
  <si>
    <t>"přepadávat-001"</t>
  </si>
  <si>
    <t>"přepalovat-se-001"</t>
  </si>
  <si>
    <t>"--přepalovat-se-002"</t>
  </si>
  <si>
    <t>"přepisovat-001"</t>
  </si>
  <si>
    <t>"přeplatit-001"</t>
  </si>
  <si>
    <t>"přeplavat-001"</t>
  </si>
  <si>
    <t>"přeplavat-002"</t>
  </si>
  <si>
    <t>"přeplavit-001"</t>
  </si>
  <si>
    <t>"přeplnit-001"</t>
  </si>
  <si>
    <t>"přeplnit-002"</t>
  </si>
  <si>
    <t>"přeplácet-001"</t>
  </si>
  <si>
    <t>"přeplánovat-001"</t>
  </si>
  <si>
    <t>"přepnout-001"</t>
  </si>
  <si>
    <t>"přepnout-002"</t>
  </si>
  <si>
    <t>"přepnout-se-001"</t>
  </si>
  <si>
    <t>ACT-&gt;ARG0/1,ARG1/75</t>
  </si>
  <si>
    <t>PAT-&gt;ARG1/2,ARG2/5</t>
  </si>
  <si>
    <t>"přepojit-001"</t>
  </si>
  <si>
    <t>"přeposílat-001"</t>
  </si>
  <si>
    <t>"přepočíst-001"</t>
  </si>
  <si>
    <t>"přepočítat-001"</t>
  </si>
  <si>
    <t>ACT-&gt;ARG0/7,ARG1/3</t>
  </si>
  <si>
    <t>PAT-&gt;ARG1/42,ARG2/1</t>
  </si>
  <si>
    <t>EFF-&gt;ARG2/12,ARG3/1</t>
  </si>
  <si>
    <t>"přepočítat-002"</t>
  </si>
  <si>
    <t>"přepočítat-se-001"</t>
  </si>
  <si>
    <t>"přepočítávat-001"</t>
  </si>
  <si>
    <t>"přepracovat-001"</t>
  </si>
  <si>
    <t>"přepracovávat-001"</t>
  </si>
  <si>
    <t>"přeprat-001"</t>
  </si>
  <si>
    <t>"přepravit-001"</t>
  </si>
  <si>
    <t>"přepravovat-001"</t>
  </si>
  <si>
    <t>"přepsat-001"</t>
  </si>
  <si>
    <t>"přepsat-002"</t>
  </si>
  <si>
    <t>"přepustit-001"</t>
  </si>
  <si>
    <t>"přepínat-001"</t>
  </si>
  <si>
    <t>"přerazit-001"</t>
  </si>
  <si>
    <t>"přerazítkovat-001"</t>
  </si>
  <si>
    <t>"přeregistrovat-001"</t>
  </si>
  <si>
    <t>"přeregistrovat-002"</t>
  </si>
  <si>
    <t>"přeregistrovávat-001"</t>
  </si>
  <si>
    <t>"přerozdělit-001"</t>
  </si>
  <si>
    <t>ADDR-&gt;ARG1/1,ARG2/15</t>
  </si>
  <si>
    <t>"přerozdělovat-001"</t>
  </si>
  <si>
    <t>"přerušit-001"</t>
  </si>
  <si>
    <t>ACT-&gt;ARG0/234,ARG1/3</t>
  </si>
  <si>
    <t>PAT-&gt;ARG0/7,ARG1/3930,ARG2/324</t>
  </si>
  <si>
    <t>"přerušit-002"</t>
  </si>
  <si>
    <t>"přerušit-003"</t>
  </si>
  <si>
    <t>"přerušit-004"</t>
  </si>
  <si>
    <t>"přerušovat-001"</t>
  </si>
  <si>
    <t>"přerušovat-002"</t>
  </si>
  <si>
    <t>"přervat-001"</t>
  </si>
  <si>
    <t>"přerůst-001"</t>
  </si>
  <si>
    <t>PAT: 4; nad+7</t>
  </si>
  <si>
    <t>"přerůst-002"</t>
  </si>
  <si>
    <t>"přerůst-003"</t>
  </si>
  <si>
    <t>DPHR: přes-1[hlava.S4]</t>
  </si>
  <si>
    <t>"přerůstat-001"</t>
  </si>
  <si>
    <t>"přerůstat-002"</t>
  </si>
  <si>
    <t>"přesadit-001"</t>
  </si>
  <si>
    <t>"přesahovat-001"</t>
  </si>
  <si>
    <t>ACT-&gt;ARG0/119,ARG1/30,ARG2/1</t>
  </si>
  <si>
    <t>PAT-&gt;ARG0/1,ARG1/154</t>
  </si>
  <si>
    <t>"přesahovat-002"</t>
  </si>
  <si>
    <t>"přesahovat-003"</t>
  </si>
  <si>
    <t>"přesedlat-001"</t>
  </si>
  <si>
    <t>"přesedlat-002"</t>
  </si>
  <si>
    <t>"přesedlávat-001"</t>
  </si>
  <si>
    <t>"přesednout-001"</t>
  </si>
  <si>
    <t>"přesednout-si-001"</t>
  </si>
  <si>
    <t>"přeseknout-001"</t>
  </si>
  <si>
    <t>"přeskakovat-001"</t>
  </si>
  <si>
    <t>"přeskakovat-002"</t>
  </si>
  <si>
    <t>"přeskočit-001"</t>
  </si>
  <si>
    <t>"přeskočit-002"</t>
  </si>
  <si>
    <t>PAT-&gt;ARG0/1,ARG1/16</t>
  </si>
  <si>
    <t>"přeskočit-003"</t>
  </si>
  <si>
    <t>"přeskočit-004"</t>
  </si>
  <si>
    <t>"přeskočit-005"</t>
  </si>
  <si>
    <t>"přeskočit-006"</t>
  </si>
  <si>
    <t>"přeskupit-001"</t>
  </si>
  <si>
    <t>"přeskupovat-001"</t>
  </si>
  <si>
    <t>"přeskupovat-se-001"</t>
  </si>
  <si>
    <t>"přeslechnout-001"</t>
  </si>
  <si>
    <t>"přesluhovat-001"</t>
  </si>
  <si>
    <t>"přesměrovat-001"</t>
  </si>
  <si>
    <t>"přesměrovávat-001"</t>
  </si>
  <si>
    <t>"přesouvat-001"</t>
  </si>
  <si>
    <t>PAT-&gt;ARG0/5,ARG1/243</t>
  </si>
  <si>
    <t>"přesouvat-002"</t>
  </si>
  <si>
    <t>PAT-&gt;ARG0/4,ARG1/75</t>
  </si>
  <si>
    <t>"přesouvat-003"</t>
  </si>
  <si>
    <t>"přesouvat-se-001"</t>
  </si>
  <si>
    <t>ACT-&gt;ARG0/4,ARG1/76</t>
  </si>
  <si>
    <t>"přespat-001"</t>
  </si>
  <si>
    <t>"přesprintovat-001"</t>
  </si>
  <si>
    <t>"přespávat-001"</t>
  </si>
  <si>
    <t>"přestat-001"</t>
  </si>
  <si>
    <t>ACT-&gt;ARG0/140,ARG1/249</t>
  </si>
  <si>
    <t>PAT-&gt;ARG1/236,ARG2/207</t>
  </si>
  <si>
    <t>"přestat-002"</t>
  </si>
  <si>
    <t>"přestavit-001"</t>
  </si>
  <si>
    <t>"přestavovat-001"</t>
  </si>
  <si>
    <t>"přestavět-001"</t>
  </si>
  <si>
    <t>EFF: na+4,v+4</t>
  </si>
  <si>
    <t>PAT-&gt;ARG1/102,ARG2/2</t>
  </si>
  <si>
    <t>EFF-&gt;ARG2/51,ARG3/1</t>
  </si>
  <si>
    <t>"přestoupit-001"</t>
  </si>
  <si>
    <t>"přestoupit-002"</t>
  </si>
  <si>
    <t>"přestoupit-003"</t>
  </si>
  <si>
    <t>"přestrukturovat-001"</t>
  </si>
  <si>
    <t>"přestupovat-001"</t>
  </si>
  <si>
    <t>"přestát-001"</t>
  </si>
  <si>
    <t>ACT-&gt;ARG0/48,ARG1/8</t>
  </si>
  <si>
    <t>PAT-&gt;ARG1/44,ARG2/10</t>
  </si>
  <si>
    <t>"přestávat-001"</t>
  </si>
  <si>
    <t>ACT-&gt;ARG0/216,ARG1/169</t>
  </si>
  <si>
    <t>"přestávat-002"</t>
  </si>
  <si>
    <t>"přestěhovat-001"</t>
  </si>
  <si>
    <t>ACT-&gt;ARG0/44,ARG1/1</t>
  </si>
  <si>
    <t>"přestěhovat-se-001"</t>
  </si>
  <si>
    <t>"přestřelit-001"</t>
  </si>
  <si>
    <t>"přestřihnout-001"</t>
  </si>
  <si>
    <t>"přestřihnout-002"</t>
  </si>
  <si>
    <t>"přesunout-001"</t>
  </si>
  <si>
    <t>ACT-&gt;ARG0/50,ARG1/1</t>
  </si>
  <si>
    <t>"přesunout-002"</t>
  </si>
  <si>
    <t>?EFF: k+3; na+4</t>
  </si>
  <si>
    <t>"přesunout-003"</t>
  </si>
  <si>
    <t>ACT-&gt;ARG0/139,ARG1/2</t>
  </si>
  <si>
    <t>PAT-&gt;ARG0/4,ARG1/357</t>
  </si>
  <si>
    <t>DIR3-&gt;ARG3/1</t>
  </si>
  <si>
    <t>"přesunout-004"</t>
  </si>
  <si>
    <t>"přesunout-se-001"</t>
  </si>
  <si>
    <t>ACT-&gt;ARG0/25,ARG1/95</t>
  </si>
  <si>
    <t>"přesunout-se-002"</t>
  </si>
  <si>
    <t>"přesunovat-001"</t>
  </si>
  <si>
    <t>"přesunovat-002"</t>
  </si>
  <si>
    <t>"přesunovat-se-001"</t>
  </si>
  <si>
    <t>"přesvědčit-001"</t>
  </si>
  <si>
    <t>ACT-&gt;ARG0/117,ARG1/1,ARG2/5</t>
  </si>
  <si>
    <t>PAT: o+6; k+3; .f; ↓že; ↓aby; ↓ať; .s; ↓c</t>
  </si>
  <si>
    <t>PAT-&gt;ARG1/365,ARG2/184</t>
  </si>
  <si>
    <t>ADDR-&gt;ARG0/323,ARG1/206,ARG2/7</t>
  </si>
  <si>
    <t>"přesvědčit-se-001"</t>
  </si>
  <si>
    <t>"přesvědčit-se-002"</t>
  </si>
  <si>
    <t>EFF: ↓že; ↓zda; ↓jestli; ↓c</t>
  </si>
  <si>
    <t>"přesvědčovat-001"</t>
  </si>
  <si>
    <t>PAT: o+6; .f; ↓že; ↓aby; ↓ať; .s; ↓c; k+3</t>
  </si>
  <si>
    <t>PAT-&gt;ARG2/101</t>
  </si>
  <si>
    <t>ADDR-&gt;ARG1/95,ARG2/2</t>
  </si>
  <si>
    <t>"přesvědčovat-se-001"</t>
  </si>
  <si>
    <t>"přesvědčovat-se-002"</t>
  </si>
  <si>
    <t>"přesytit-001"</t>
  </si>
  <si>
    <t>"přesytit-se-001"</t>
  </si>
  <si>
    <t>"přesáhnout-001"</t>
  </si>
  <si>
    <t>ACT-&gt;ARG0/105,ARG1/3217,ARG2/298</t>
  </si>
  <si>
    <t>PAT-&gt;ARG0/1,ARG1/251,ARG2/3585</t>
  </si>
  <si>
    <t>"přesídlit-001"</t>
  </si>
  <si>
    <t>"přesílat-001"</t>
  </si>
  <si>
    <t>"přesýpat-001"</t>
  </si>
  <si>
    <t>"přetahovat-001"</t>
  </si>
  <si>
    <t>"přetahovat-se-001"</t>
  </si>
  <si>
    <t>"přetahovat-se-002"</t>
  </si>
  <si>
    <t>"přetavit-se-001"</t>
  </si>
  <si>
    <t>PAT: v+4; na+4</t>
  </si>
  <si>
    <t>"přetavovat-001"</t>
  </si>
  <si>
    <t>"přetisknout-001"</t>
  </si>
  <si>
    <t>"přetlumočit-001"</t>
  </si>
  <si>
    <t>"přetočit-001"</t>
  </si>
  <si>
    <t>"přetransformovat-001"</t>
  </si>
  <si>
    <t>PAT-&gt;ARG1/109,ARG2/1,ARG3/2</t>
  </si>
  <si>
    <t>ORIG-&gt;ARG2/1,ARG3/4</t>
  </si>
  <si>
    <t>EFF-&gt;ARG1/1,ARG2/76,ARG3/1</t>
  </si>
  <si>
    <t>"přetrhnout-001"</t>
  </si>
  <si>
    <t>"přetrhnout-002"</t>
  </si>
  <si>
    <t>"přetrhnout-se-001"</t>
  </si>
  <si>
    <t>"přetrhnout-se-002"</t>
  </si>
  <si>
    <t>"přetrhávat-001"</t>
  </si>
  <si>
    <t>"přetrpět-001"</t>
  </si>
  <si>
    <t>"přetrvat-001"</t>
  </si>
  <si>
    <t>"přetrvat-002"</t>
  </si>
  <si>
    <t>"přetrvávat-001"</t>
  </si>
  <si>
    <t>ACT-&gt;ARG0/236,ARG1/419,ARG3/290</t>
  </si>
  <si>
    <t>"přetvařovat-se-001"</t>
  </si>
  <si>
    <t>"přetvořit-001"</t>
  </si>
  <si>
    <t>?EFF: v+4; do+2; na+4</t>
  </si>
  <si>
    <t>"přetvářet-001"</t>
  </si>
  <si>
    <t>EFF-&gt;ARG2/25</t>
  </si>
  <si>
    <t>"přetáhnout-001"</t>
  </si>
  <si>
    <t>PAT-&gt;ARG1/132,ARG2/2</t>
  </si>
  <si>
    <t>"přetáhnout-002"</t>
  </si>
  <si>
    <t>"přetápět-001"</t>
  </si>
  <si>
    <t>"přetéci-001"</t>
  </si>
  <si>
    <t>"přetékat-001"</t>
  </si>
  <si>
    <t>"přetékat-002"</t>
  </si>
  <si>
    <t>"přetékat-003"</t>
  </si>
  <si>
    <t>"přetížit-001"</t>
  </si>
  <si>
    <t>"přetěžovat-001"</t>
  </si>
  <si>
    <t>"přetřásat-001"</t>
  </si>
  <si>
    <t>"přetřít-001"</t>
  </si>
  <si>
    <t>"převalit-se-001"</t>
  </si>
  <si>
    <t>"převalit-se-002"</t>
  </si>
  <si>
    <t>"převalovat-se-001"</t>
  </si>
  <si>
    <t>"převažovat-001"</t>
  </si>
  <si>
    <t>"převažovat-002"</t>
  </si>
  <si>
    <t>ACT-&gt;ARG0/16,ARG1/8</t>
  </si>
  <si>
    <t>?PAT: nad+7; před+7</t>
  </si>
  <si>
    <t>"převelet-001"</t>
  </si>
  <si>
    <t>ACT-&gt;ARGA/1</t>
  </si>
  <si>
    <t>"převelit-001"</t>
  </si>
  <si>
    <t>"převládat-001"</t>
  </si>
  <si>
    <t>ACT-&gt;ARG0/10,ARG1/3110,ARG2/296</t>
  </si>
  <si>
    <t>"převládnout-001"</t>
  </si>
  <si>
    <t>"převléci-001"</t>
  </si>
  <si>
    <t>"převléci-002"</t>
  </si>
  <si>
    <t>"převlékat-001"</t>
  </si>
  <si>
    <t>"převléknout-001"</t>
  </si>
  <si>
    <t>DPHR: kabát.S4</t>
  </si>
  <si>
    <t>"převléknout-002"</t>
  </si>
  <si>
    <t>"převlíct-001"</t>
  </si>
  <si>
    <t>"převlíkat-001"</t>
  </si>
  <si>
    <t>"převlíknout-001"</t>
  </si>
  <si>
    <t>"převracet-se-001"</t>
  </si>
  <si>
    <t>"převrhnout-001"</t>
  </si>
  <si>
    <t>"převrhnout-se-001"</t>
  </si>
  <si>
    <t>"převrátit-001"</t>
  </si>
  <si>
    <t>"převrátit-se-001"</t>
  </si>
  <si>
    <t>"převrátit-se-002"</t>
  </si>
  <si>
    <t>"převychovat-001"</t>
  </si>
  <si>
    <t>"převychovávat-001"</t>
  </si>
  <si>
    <t>"převyprávět-001"</t>
  </si>
  <si>
    <t>"převyšovat-001"</t>
  </si>
  <si>
    <t>ACT-&gt;ARG0/94,ARG1/379,ARG2/3</t>
  </si>
  <si>
    <t>PAT-&gt;ARG0/1,ARG1/116,ARG2/279</t>
  </si>
  <si>
    <t>"převzít-001"</t>
  </si>
  <si>
    <t>ACT-&gt;ARG0/3526,ARG1/47</t>
  </si>
  <si>
    <t>PAT-&gt;ARG0/1,ARG1/3868,ARG2/78</t>
  </si>
  <si>
    <t>?ORIG: od+2; po+6</t>
  </si>
  <si>
    <t>ORIG-&gt;ARG1/2,ARG2/46,ARG3/1</t>
  </si>
  <si>
    <t>"převzít-002"</t>
  </si>
  <si>
    <t>ACT-&gt;ARG0/577,ARG1/2</t>
  </si>
  <si>
    <t>PAT-&gt;ARG1/755</t>
  </si>
  <si>
    <t>ORIG-&gt;ARG1/3,ARG2/120,ARG3/5</t>
  </si>
  <si>
    <t>"převzít-003"</t>
  </si>
  <si>
    <t>DIR1-&gt;ARG3/4</t>
  </si>
  <si>
    <t>"převzít-004"</t>
  </si>
  <si>
    <t>"převzít-005"</t>
  </si>
  <si>
    <t>ORIG-&gt;ARG1/1</t>
  </si>
  <si>
    <t>"převzít-006"</t>
  </si>
  <si>
    <t>CPHR: {odpovědnost,zodpovědnost,...}.4</t>
  </si>
  <si>
    <t>CPHR-&gt;ARG1/79,ARG2/2</t>
  </si>
  <si>
    <t>"převzít-si-001"</t>
  </si>
  <si>
    <t>"převádět-001"</t>
  </si>
  <si>
    <t>ACT-&gt;ARG0/99,ARG1/2,ARG2/2</t>
  </si>
  <si>
    <t>PAT-&gt;ARG0/2,ARG1/195,ARG2/1</t>
  </si>
  <si>
    <t>ADDR-&gt;ARG2/63</t>
  </si>
  <si>
    <t>ORIG-&gt;ARG2/1,ARG3/1</t>
  </si>
  <si>
    <t>"převádět-002"</t>
  </si>
  <si>
    <t>ACT-&gt;ARG0/21,ARG1/1</t>
  </si>
  <si>
    <t>PAT-&gt;ARG1/70,ARG2/2</t>
  </si>
  <si>
    <t>EFF-&gt;ARG2/63,ARG3/1</t>
  </si>
  <si>
    <t>"převádět-003"</t>
  </si>
  <si>
    <t>PAT-&gt;ARG1/118,ARG2/1</t>
  </si>
  <si>
    <t>DIR3-&gt;ARG2/51</t>
  </si>
  <si>
    <t>"převálcovat-001"</t>
  </si>
  <si>
    <t>"převázat-001"</t>
  </si>
  <si>
    <t>"převážet-001"</t>
  </si>
  <si>
    <t>"převážit-001"</t>
  </si>
  <si>
    <t>"převážit-002"</t>
  </si>
  <si>
    <t>ACT-&gt;ARG0/20,ARG1/21</t>
  </si>
  <si>
    <t>PAT-&gt;ARG1/10,ARG2/13</t>
  </si>
  <si>
    <t>"převést-001"</t>
  </si>
  <si>
    <t>PAT-&gt;ARG1/53,ARG2/7</t>
  </si>
  <si>
    <t>"převést-002"</t>
  </si>
  <si>
    <t>"převést-003"</t>
  </si>
  <si>
    <t>PAT-&gt;ARG1/109,ARG2/2</t>
  </si>
  <si>
    <t>"převést-004"</t>
  </si>
  <si>
    <t>PAT-&gt;ARG1/344,ARG2/1</t>
  </si>
  <si>
    <t>DIR1-&gt;ARG3/2</t>
  </si>
  <si>
    <t>"převést-005"</t>
  </si>
  <si>
    <t>"převézt-001"</t>
  </si>
  <si>
    <t>"převézt-002"</t>
  </si>
  <si>
    <t>"převýšit-001"</t>
  </si>
  <si>
    <t>ACT-&gt;ARG0/151,ARG1/13,ARG2/66</t>
  </si>
  <si>
    <t>PAT-&gt;ARG0/1,ARG1/295,ARG2/13</t>
  </si>
  <si>
    <t>"přezbrojit-001"</t>
  </si>
  <si>
    <t>"přezdívat-001"</t>
  </si>
  <si>
    <t>EFF-&gt;ARG2/16</t>
  </si>
  <si>
    <t>"přezkoumat-001"</t>
  </si>
  <si>
    <t>"přezkoumávat-001"</t>
  </si>
  <si>
    <t>PAT-&gt;ARG1/123</t>
  </si>
  <si>
    <t>"přezkušovat-001"</t>
  </si>
  <si>
    <t>"přezouvat-001"</t>
  </si>
  <si>
    <t>"přečerpat-001"</t>
  </si>
  <si>
    <t>"přečerpat-002"</t>
  </si>
  <si>
    <t>DIR1-&gt;ARG1/1</t>
  </si>
  <si>
    <t>"přečistit-001"</t>
  </si>
  <si>
    <t>"přečkat-001"</t>
  </si>
  <si>
    <t>PAT-&gt;ARG1/31,ARG2/1</t>
  </si>
  <si>
    <t>"přečkávat-001"</t>
  </si>
  <si>
    <t>"přečíslit-001"</t>
  </si>
  <si>
    <t>"přečíslovat-001"</t>
  </si>
  <si>
    <t>"přečíst-001"</t>
  </si>
  <si>
    <t>ACT-&gt;ARG0/50,ARG1/8</t>
  </si>
  <si>
    <t>PAT-&gt;ARG1/66,ARG3/14</t>
  </si>
  <si>
    <t>"přečíst-002"</t>
  </si>
  <si>
    <t>"přečíst-003"</t>
  </si>
  <si>
    <t>"přečíst-004"</t>
  </si>
  <si>
    <t>"přeřadit-001"</t>
  </si>
  <si>
    <t>"přeřadit-002"</t>
  </si>
  <si>
    <t>"přeřazovat-001"</t>
  </si>
  <si>
    <t>"přeřazovat-002"</t>
  </si>
  <si>
    <t>"přeřeknout-se-001"</t>
  </si>
  <si>
    <t>"přeříznout-001"</t>
  </si>
  <si>
    <t>"přešetřovat-001"</t>
  </si>
  <si>
    <t>"přeškolit-001"</t>
  </si>
  <si>
    <t>"přeškolovat-001"</t>
  </si>
  <si>
    <t>"přeškrtnout-001"</t>
  </si>
  <si>
    <t>"přešlapovat-001"</t>
  </si>
  <si>
    <t>"přešlapovat-002"</t>
  </si>
  <si>
    <t>"přešoupnout-001"</t>
  </si>
  <si>
    <t>"přeštípat-001"</t>
  </si>
  <si>
    <t>"přešít-001"</t>
  </si>
  <si>
    <t>"přežvykovat-001"</t>
  </si>
  <si>
    <t>"přežít-001"</t>
  </si>
  <si>
    <t>"přežít-002"</t>
  </si>
  <si>
    <t>"přežít-003"</t>
  </si>
  <si>
    <t>ACT-&gt;ARG0/35,ARG1/46</t>
  </si>
  <si>
    <t>"přežít-se-001"</t>
  </si>
  <si>
    <t>"přežívat-001"</t>
  </si>
  <si>
    <t>"přežívat-002"</t>
  </si>
  <si>
    <t>"přežívat-003"</t>
  </si>
  <si>
    <t>"přibalit-001"</t>
  </si>
  <si>
    <t>"přibarvovat-001"</t>
  </si>
  <si>
    <t>"přibližovat-001"</t>
  </si>
  <si>
    <t>"přibližovat-002"</t>
  </si>
  <si>
    <t>EFF: 3; k+3</t>
  </si>
  <si>
    <t>"přibližovat-003"</t>
  </si>
  <si>
    <t>"přibližovat-se-001"</t>
  </si>
  <si>
    <t>"přibližovat-se-002"</t>
  </si>
  <si>
    <t>"přibližovat-se-003"</t>
  </si>
  <si>
    <t>"přibližovat-se-004"</t>
  </si>
  <si>
    <t>"přiblížit-001"</t>
  </si>
  <si>
    <t>"přiblížit-002"</t>
  </si>
  <si>
    <t>PAT-&gt;ARG1/93,ARG2/1</t>
  </si>
  <si>
    <t>"přiblížit-003"</t>
  </si>
  <si>
    <t>"přiblížit-se-001"</t>
  </si>
  <si>
    <t>"přiblížit-se-002"</t>
  </si>
  <si>
    <t>"přiblížit-se-003"</t>
  </si>
  <si>
    <t>"přiblížit-se-004"</t>
  </si>
  <si>
    <t>"přibrat-001"</t>
  </si>
  <si>
    <t>ACT-&gt;ARG0/92,ARG1/1</t>
  </si>
  <si>
    <t>"přibrat-002"</t>
  </si>
  <si>
    <t>?PAT: .4,na+6</t>
  </si>
  <si>
    <t>"přibrzdit-001"</t>
  </si>
  <si>
    <t>"přibrzdit-002"</t>
  </si>
  <si>
    <t>"přibrzdit-003"</t>
  </si>
  <si>
    <t>"přibrzdit-004"</t>
  </si>
  <si>
    <t>"přibíjet-001"</t>
  </si>
  <si>
    <t>"přibírat-001"</t>
  </si>
  <si>
    <t>"přibít-001"</t>
  </si>
  <si>
    <t>"přibýt-001"</t>
  </si>
  <si>
    <t>ACT: 1; 2; ↓že</t>
  </si>
  <si>
    <t>"přibýt-002"</t>
  </si>
  <si>
    <t>ACT-&gt;ARG1/151</t>
  </si>
  <si>
    <t>"přibývat-001"</t>
  </si>
  <si>
    <t>ACT: 1; 2; na+6</t>
  </si>
  <si>
    <t>PAT-&gt;ARG0/6,ARG1/1</t>
  </si>
  <si>
    <t>"přibývat-002"</t>
  </si>
  <si>
    <t>ACT-&gt;ARG1/206,ARG2/4</t>
  </si>
  <si>
    <t>"přibývat-003"</t>
  </si>
  <si>
    <t>"přiběhnout-001"</t>
  </si>
  <si>
    <t>ACT-&gt;ARG0/2,ARG1/101</t>
  </si>
  <si>
    <t>"přicestovat-001"</t>
  </si>
  <si>
    <t>"přichystat-001"</t>
  </si>
  <si>
    <t>"přichystat-002"</t>
  </si>
  <si>
    <t>"přichystat-se-001"</t>
  </si>
  <si>
    <t>PAT: .f; na+4; k+3</t>
  </si>
  <si>
    <t>"přichytávat-se-001"</t>
  </si>
  <si>
    <t>"přicházet-001"</t>
  </si>
  <si>
    <t>"přicházet-002"</t>
  </si>
  <si>
    <t>"přicházet-003"</t>
  </si>
  <si>
    <t>"přicházet-004"</t>
  </si>
  <si>
    <t>ACT-&gt;ARG0/167,ARG1/2</t>
  </si>
  <si>
    <t>"přicházet-005"</t>
  </si>
  <si>
    <t>ACT-&gt;ARG0/167,ARG1/2,ARG2/11</t>
  </si>
  <si>
    <t>PAT-&gt;ARG1/211,ARG2/1</t>
  </si>
  <si>
    <t>"přicházet-006"</t>
  </si>
  <si>
    <t>ACT-&gt;ARG0/97,ARG1/296</t>
  </si>
  <si>
    <t>"přicházet-007"</t>
  </si>
  <si>
    <t>ACT-&gt;ARG1/86</t>
  </si>
  <si>
    <t>"přicházet-008"</t>
  </si>
  <si>
    <t>ACT-&gt;ARG0/272,ARG1/3453,ARG2/296</t>
  </si>
  <si>
    <t>DIR3-&gt;ARG1/346</t>
  </si>
  <si>
    <t>"přicházet-009"</t>
  </si>
  <si>
    <t>"přicházet-010"</t>
  </si>
  <si>
    <t>ACT-&gt;ARG0/4,ARG1/448</t>
  </si>
  <si>
    <t>"přicházet-011"</t>
  </si>
  <si>
    <t>CPHR: do-1[{kontakt,styk,...}.2]</t>
  </si>
  <si>
    <t>"přicházet-012"</t>
  </si>
  <si>
    <t>CPHR: na-1[{nápad,řešení,...}.4]</t>
  </si>
  <si>
    <t>"přicházet-013"</t>
  </si>
  <si>
    <t>CPHR: o-1[{iluze,možnost,právo,...}.4]</t>
  </si>
  <si>
    <t>"přicházet-014"</t>
  </si>
  <si>
    <t>CPHR: s-1[{nápad,návrh,opatření,...}.7]</t>
  </si>
  <si>
    <t>"přicházet-015"</t>
  </si>
  <si>
    <t>DPHR: v-1[úvaha.S4]</t>
  </si>
  <si>
    <t>DPHR-&gt;ARG1/523,ARG2/3542</t>
  </si>
  <si>
    <t>"přicházet-016"</t>
  </si>
  <si>
    <t>DPHR: na-1[přetřes.4]</t>
  </si>
  <si>
    <t>"přicházet-017"</t>
  </si>
  <si>
    <t>ACT-&gt;ARG1/165</t>
  </si>
  <si>
    <t>DPHR: na-1[řada.4]</t>
  </si>
  <si>
    <t>"přicházet-018"</t>
  </si>
  <si>
    <t>DPHR: zkrátka</t>
  </si>
  <si>
    <t>"přicházet-019"</t>
  </si>
  <si>
    <t>DPHR: řeč.S1</t>
  </si>
  <si>
    <t>"přicházet-020"</t>
  </si>
  <si>
    <t>"přicházet-021"</t>
  </si>
  <si>
    <t>DPHR: na-1[svět.S4]</t>
  </si>
  <si>
    <t>"přicházet-022"</t>
  </si>
  <si>
    <t>ACT-&gt;ARG1/51</t>
  </si>
  <si>
    <t>"přicházet-023"</t>
  </si>
  <si>
    <t>DPHR: na-1[paměť.S4]</t>
  </si>
  <si>
    <t>"přicházet-024"</t>
  </si>
  <si>
    <t>"přicházet-si-001"</t>
  </si>
  <si>
    <t>DPHR: na-1[svůj-1.NS4]</t>
  </si>
  <si>
    <t>"přicmrdovat-001"</t>
  </si>
  <si>
    <t>?PAT: při+6; u+2</t>
  </si>
  <si>
    <t>"přidat-001"</t>
  </si>
  <si>
    <t>ACT-&gt;ARG0/124,ARG1/7</t>
  </si>
  <si>
    <t>PAT-&gt;ARG1/194</t>
  </si>
  <si>
    <t>"přidat-002"</t>
  </si>
  <si>
    <t>"přidat-003"</t>
  </si>
  <si>
    <t>ACT-&gt;ARG0/556,ARG1/6</t>
  </si>
  <si>
    <t>PAT-&gt;ARG1/765,ARG2/1</t>
  </si>
  <si>
    <t>DIR3-&gt;ARG1/2,ARG2/7</t>
  </si>
  <si>
    <t>"přidat-004"</t>
  </si>
  <si>
    <t>ACT-&gt;ARG0/107,ARG1/52</t>
  </si>
  <si>
    <t>PAT-&gt;ARG1/194,ARG2/88</t>
  </si>
  <si>
    <t>"přidat-se-001"</t>
  </si>
  <si>
    <t>ACT-&gt;ARG0/124,ARG1/106</t>
  </si>
  <si>
    <t>"přidat-se-002"</t>
  </si>
  <si>
    <t>ACT-&gt;ARG0/109,ARG1/151</t>
  </si>
  <si>
    <t>DIR3-&gt;ARG1/147</t>
  </si>
  <si>
    <t>"přidružit-se-001"</t>
  </si>
  <si>
    <t>"přidržet-se-001"</t>
  </si>
  <si>
    <t>"přidržet-se-002"</t>
  </si>
  <si>
    <t>"přidržovat-001"</t>
  </si>
  <si>
    <t>"přidávat-001"</t>
  </si>
  <si>
    <t>"přidávat-002"</t>
  </si>
  <si>
    <t>ACT-&gt;ARG0/111,ARG1/2</t>
  </si>
  <si>
    <t>"přidávat-003"</t>
  </si>
  <si>
    <t>ACT-&gt;ARG0/82,ARG1/13</t>
  </si>
  <si>
    <t>"přidávat-se-001"</t>
  </si>
  <si>
    <t>"přidávat-se-002"</t>
  </si>
  <si>
    <t>"přidělat-001"</t>
  </si>
  <si>
    <t>"přidělat-002"</t>
  </si>
  <si>
    <t>"přidělit-001"</t>
  </si>
  <si>
    <t>PAT-&gt;ARG1/116,ARG2/17</t>
  </si>
  <si>
    <t>ADDR-&gt;ARG1/11,ARG2/100</t>
  </si>
  <si>
    <t>"přidělit-002"</t>
  </si>
  <si>
    <t>DIR3-&gt;ARG1/4,ARG2/13</t>
  </si>
  <si>
    <t>"přidělovat-001"</t>
  </si>
  <si>
    <t>PAT-&gt;ARG1/22,ARG2/7</t>
  </si>
  <si>
    <t>ADDR-&gt;ARG1/4,ARG2/30</t>
  </si>
  <si>
    <t>"přidělovat-002"</t>
  </si>
  <si>
    <t>DIR3-&gt;ARG2/17</t>
  </si>
  <si>
    <t>"přidělávat-001"</t>
  </si>
  <si>
    <t>"přidělávat-002"</t>
  </si>
  <si>
    <t>"přifařit-se-001"</t>
  </si>
  <si>
    <t>"přihazovat-001"</t>
  </si>
  <si>
    <t>"přihlašovat-001"</t>
  </si>
  <si>
    <t>"přihlásit-001"</t>
  </si>
  <si>
    <t>?EFF: za+4; za-1[.a4]; .a4[{jako,jakožto}:/AuxY]; 4[{jako,jakožto}:/AuxY]</t>
  </si>
  <si>
    <t>"přihlásit-002"</t>
  </si>
  <si>
    <t>"přihlásit-003"</t>
  </si>
  <si>
    <t>"přihlásit-se-001"</t>
  </si>
  <si>
    <t>PAT-&gt;ARG3/6</t>
  </si>
  <si>
    <t>"přihlásit-se-002"</t>
  </si>
  <si>
    <t>"přihlásit-se-003"</t>
  </si>
  <si>
    <t>"přihlásit-se-004"</t>
  </si>
  <si>
    <t>"přihlásit-se-005"</t>
  </si>
  <si>
    <t>"přihlásit-se-006"</t>
  </si>
  <si>
    <t>"přihlásit-se-007"</t>
  </si>
  <si>
    <t>"přihlédnout-001"</t>
  </si>
  <si>
    <t>"přihlížet-001"</t>
  </si>
  <si>
    <t>ACT-&gt;ARG0/409,ARG1/2</t>
  </si>
  <si>
    <t>PAT: 3; ↓že; ↓když</t>
  </si>
  <si>
    <t>PAT-&gt;ARG1/565,ARG2/1</t>
  </si>
  <si>
    <t>"přihlížet-002"</t>
  </si>
  <si>
    <t>"přihnat-001"</t>
  </si>
  <si>
    <t>"přihnat-002"</t>
  </si>
  <si>
    <t>"přihnat-se-001"</t>
  </si>
  <si>
    <t>"přihodit-001"</t>
  </si>
  <si>
    <t>"přihodit-se-001"</t>
  </si>
  <si>
    <t>"přihodit-se-002"</t>
  </si>
  <si>
    <t>ACT-&gt;ARG1/91</t>
  </si>
  <si>
    <t>"přihoršit-001"</t>
  </si>
  <si>
    <t>"přihořívat-001"</t>
  </si>
  <si>
    <t>"přihořívat-002"</t>
  </si>
  <si>
    <t>"přihrnout-001"</t>
  </si>
  <si>
    <t>"přihrát-001"</t>
  </si>
  <si>
    <t>"přihrávat-001"</t>
  </si>
  <si>
    <t>"přihustit-001"</t>
  </si>
  <si>
    <t>"přihřát-001"</t>
  </si>
  <si>
    <t>"přihřát-se-001"</t>
  </si>
  <si>
    <t>"přihřát-si-001"</t>
  </si>
  <si>
    <t>DPHR: polívčička.S4</t>
  </si>
  <si>
    <t>"přihřívat-001"</t>
  </si>
  <si>
    <t>"přijet-001"</t>
  </si>
  <si>
    <t>ACT-&gt;ARG0/19,ARG1/138</t>
  </si>
  <si>
    <t>"přijet-002"</t>
  </si>
  <si>
    <t>"přijmout-001"</t>
  </si>
  <si>
    <t>ACT-&gt;ARG0/870,ARG1/33</t>
  </si>
  <si>
    <t>PAT-&gt;ARG1/1055,ARG2/38</t>
  </si>
  <si>
    <t>ORIG-&gt;ARG1/2,ARG2/100,ARG3/5</t>
  </si>
  <si>
    <t>"přijmout-002"</t>
  </si>
  <si>
    <t>"přijmout-003"</t>
  </si>
  <si>
    <t>ACT-&gt;ARG0/824,ARG1/4</t>
  </si>
  <si>
    <t>PAT-&gt;ARG1/899,ARG2/54</t>
  </si>
  <si>
    <t>"přijmout-004"</t>
  </si>
  <si>
    <t>ACT-&gt;ARG0/696,ARG1/55</t>
  </si>
  <si>
    <t>PAT-&gt;ARG0/105,ARG1/806,ARG2/26</t>
  </si>
  <si>
    <t>"přijmout-005"</t>
  </si>
  <si>
    <t>CPHR: {krok,nařízení,návrh,opatření,plán,postup,reforma,rozhodnutí,strategie,usnesení,závazek,závěr,změna,...}.4</t>
  </si>
  <si>
    <t>CPHR-&gt;ARG1/149</t>
  </si>
  <si>
    <t>ACT-&gt;ARG0/425,ARG1/25</t>
  </si>
  <si>
    <t>CPHR-&gt;ARG1/551,ARG2/26</t>
  </si>
  <si>
    <t>ACT-&gt;ARG0/347,ARG1/25</t>
  </si>
  <si>
    <t>CPHR-&gt;ARG1/439,ARG2/26</t>
  </si>
  <si>
    <t>ACT-&gt;ARG0/315,ARG1/25</t>
  </si>
  <si>
    <t>CPHR-&gt;ARG1/357,ARG2/27</t>
  </si>
  <si>
    <t>"přijmout-006"</t>
  </si>
  <si>
    <t>"přijmout-007"</t>
  </si>
  <si>
    <t>DPHR: za-1[svůj-1.4]</t>
  </si>
  <si>
    <t>"přijmout-008"</t>
  </si>
  <si>
    <t>"přijmout-009"</t>
  </si>
  <si>
    <t>"přijímat-001"</t>
  </si>
  <si>
    <t>ACT-&gt;ARG0/721,ARG1/27</t>
  </si>
  <si>
    <t>PAT-&gt;ARG1/860,ARG2/26</t>
  </si>
  <si>
    <t>ORIG-&gt;ARG1/4,ARG2/103,ARG3/5</t>
  </si>
  <si>
    <t>"přijímat-002"</t>
  </si>
  <si>
    <t>"přijímat-003"</t>
  </si>
  <si>
    <t>ACT-&gt;ARG0/677,ARG1/27</t>
  </si>
  <si>
    <t>PAT-&gt;ARG1/796,ARG2/26</t>
  </si>
  <si>
    <t>"přijímat-004"</t>
  </si>
  <si>
    <t>ACT-&gt;ARG0/284,ARG1/25</t>
  </si>
  <si>
    <t>PAT-&gt;ARG1/360,ARG2/26</t>
  </si>
  <si>
    <t>"přijímat-005"</t>
  </si>
  <si>
    <t>PAT-&gt;ARG1/134</t>
  </si>
  <si>
    <t>"přijímat-006"</t>
  </si>
  <si>
    <t>PAT-&gt;ARG1/510</t>
  </si>
  <si>
    <t>"přijímat-007"</t>
  </si>
  <si>
    <t>"přijímat-008"</t>
  </si>
  <si>
    <t>CPHR: {návrh,opatření,rozhodnutí,řešení,...}.4</t>
  </si>
  <si>
    <t>CPHR-&gt;ARG1/43,ARG2/1</t>
  </si>
  <si>
    <t>"přijít-001"</t>
  </si>
  <si>
    <t>ACT-&gt;ARG0/15,ARG1/3230,ARG2/298</t>
  </si>
  <si>
    <t>PAT-&gt;ARG1/143,ARG2/3597</t>
  </si>
  <si>
    <t>ADDR-&gt;ARG3/40</t>
  </si>
  <si>
    <t>"přijít-002"</t>
  </si>
  <si>
    <t>EFF: 1[{jako,jakožto}:/AuxY]; být[.7]; .a1; .a7; .a1[{jako,jakožto}:/AuxY]; ↓že; k+3; .a2; zatěžko</t>
  </si>
  <si>
    <t>"přijít-003"</t>
  </si>
  <si>
    <t>"přijít-004"</t>
  </si>
  <si>
    <t>ACT-&gt;ARG0/122,ARG1/54</t>
  </si>
  <si>
    <t>PAT-&gt;ARG0/1,ARG1/130,ARG2/6</t>
  </si>
  <si>
    <t>"přijít-005"</t>
  </si>
  <si>
    <t>ACT-&gt;ARG0/125,ARG1/2</t>
  </si>
  <si>
    <t>PAT-&gt;ARG0/1,ARG1/155</t>
  </si>
  <si>
    <t>"přijít-006"</t>
  </si>
  <si>
    <t>ACT-&gt;ARG0/197,ARG1/3246,ARG2/307,ARG3/40</t>
  </si>
  <si>
    <t>PAT-&gt;ARG1/383,ARG2/3683,ARG4/63</t>
  </si>
  <si>
    <t>"přijít-007"</t>
  </si>
  <si>
    <t>ACT-&gt;ARG0/2370,ARG1/334,ARG2/2</t>
  </si>
  <si>
    <t>PAT-&gt;ARG0/1,ARG1/2604,ARG2/3</t>
  </si>
  <si>
    <t>"přijít-008"</t>
  </si>
  <si>
    <t>"přijít-009"</t>
  </si>
  <si>
    <t>"přijít-010"</t>
  </si>
  <si>
    <t>ACT-&gt;ARG0/148,ARG1/983,ARG2/1,ARG4/1</t>
  </si>
  <si>
    <t>DIR3-&gt;ARG1/141,ARG2/20,ARGm-LOC/1</t>
  </si>
  <si>
    <t>"přijít-011"</t>
  </si>
  <si>
    <t>ACT-&gt;ARG1/3108,ARG2/296</t>
  </si>
  <si>
    <t>"přijít-012"</t>
  </si>
  <si>
    <t>MANN-&gt;ARG1/121,ARG2/3451</t>
  </si>
  <si>
    <t>"přijít-013"</t>
  </si>
  <si>
    <t>ACT-&gt;ARG0/254,ARG1/6195,ARG2/296</t>
  </si>
  <si>
    <t>"přijít-014"</t>
  </si>
  <si>
    <t>"přijít-015"</t>
  </si>
  <si>
    <t>"přijít-016"</t>
  </si>
  <si>
    <t>"přijít-017"</t>
  </si>
  <si>
    <t>CPHR: o-1[{iluze,možnost,právo,výhoda,...}.4]</t>
  </si>
  <si>
    <t>"přijít-018"</t>
  </si>
  <si>
    <t>CPHR: s-1[{myšlenka,nápad,návrh,požadavek,prohlášení,řešení,tvrzení,...}.7]</t>
  </si>
  <si>
    <t>CPHR-&gt;ARG1/33</t>
  </si>
  <si>
    <t>"--přijít-019"</t>
  </si>
  <si>
    <t>CPHR: s-1[{nápad,...}.7]</t>
  </si>
  <si>
    <t>"přijít-020"</t>
  </si>
  <si>
    <t>DPHR: na-1[pomoc.S4]</t>
  </si>
  <si>
    <t>"přijít-021"</t>
  </si>
  <si>
    <t>DPHR: na-1[chuť.S4]</t>
  </si>
  <si>
    <t>"přijít-022"</t>
  </si>
  <si>
    <t>DPHR: na-1[mysl.S4]</t>
  </si>
  <si>
    <t>"přijít-023"</t>
  </si>
  <si>
    <t>DPHR: na-1[mysl:S4]</t>
  </si>
  <si>
    <t>PAT: 1; ↓.f,že</t>
  </si>
  <si>
    <t>"přijít-024"</t>
  </si>
  <si>
    <t>DPHR: vhod</t>
  </si>
  <si>
    <t>"přijít-025"</t>
  </si>
  <si>
    <t>DPHR: k-1[čest:S3]</t>
  </si>
  <si>
    <t>"přijít-026"</t>
  </si>
  <si>
    <t>DPHR: k-1[rozum.S3]</t>
  </si>
  <si>
    <t>"přijít-027"</t>
  </si>
  <si>
    <t>DPHR: k-1[se.3]</t>
  </si>
  <si>
    <t>"přijít-028"</t>
  </si>
  <si>
    <t>"přijít-029"</t>
  </si>
  <si>
    <t>DPHR: na-1[pořad:S4[den.S2]]</t>
  </si>
  <si>
    <t>"přijít-030"</t>
  </si>
  <si>
    <t>"přijít-031"</t>
  </si>
  <si>
    <t>ACT-&gt;ARG1/174</t>
  </si>
  <si>
    <t>"přijít-032"</t>
  </si>
  <si>
    <t>"přijít-033"</t>
  </si>
  <si>
    <t>DPHR: nazmar</t>
  </si>
  <si>
    <t>"přijít-034"</t>
  </si>
  <si>
    <t>"přijít-035"</t>
  </si>
  <si>
    <t>"přijít-036"</t>
  </si>
  <si>
    <t>"přijít-037"</t>
  </si>
  <si>
    <t>"přijít-038"</t>
  </si>
  <si>
    <t>DPHR: na-1[program.S4]</t>
  </si>
  <si>
    <t>"přijít-039"</t>
  </si>
  <si>
    <t>PAT-&gt;ARG2/12</t>
  </si>
  <si>
    <t>"přijít-040"</t>
  </si>
  <si>
    <t>DPHR: do-1[šrot.S2]</t>
  </si>
  <si>
    <t>"přijít-041"</t>
  </si>
  <si>
    <t>DPHR: k-1[úhona.S3]</t>
  </si>
  <si>
    <t>"--přijít-042"</t>
  </si>
  <si>
    <t>"přijít-043"</t>
  </si>
  <si>
    <t>"přijít-044"</t>
  </si>
  <si>
    <t>"přijít-045"</t>
  </si>
  <si>
    <t>DPHR: pod-1[ruka.S4]</t>
  </si>
  <si>
    <t>"přijít-046"</t>
  </si>
  <si>
    <t>"přijít-047"</t>
  </si>
  <si>
    <t>"přijít-048"</t>
  </si>
  <si>
    <t>DPHR: k-1[názor.S3]</t>
  </si>
  <si>
    <t>"přijít-049"</t>
  </si>
  <si>
    <t>"přijít-050"</t>
  </si>
  <si>
    <t>"přijít-051"</t>
  </si>
  <si>
    <t>"přijít-052"</t>
  </si>
  <si>
    <t>"přijít-053"</t>
  </si>
  <si>
    <t>"přijít-si-001"</t>
  </si>
  <si>
    <t>"přijít-si-002"</t>
  </si>
  <si>
    <t>"přijít-si-003"</t>
  </si>
  <si>
    <t>"přijíždět-001"</t>
  </si>
  <si>
    <t>ACT-&gt;ARG0/19,ARG1/3102,ARG2/296</t>
  </si>
  <si>
    <t>"přikazovat-001"</t>
  </si>
  <si>
    <t>ACT-&gt;ARG0/172,ARG1/3,ARG2/4</t>
  </si>
  <si>
    <t>PAT-&gt;ARG1/285,ARG2/2</t>
  </si>
  <si>
    <t>ADDR-&gt;ARG1/3,ARG2/43</t>
  </si>
  <si>
    <t>"přiklonit-se-001"</t>
  </si>
  <si>
    <t>ACT-&gt;ARG0/8,ARG1/4</t>
  </si>
  <si>
    <t>"přiklonit-se-002"</t>
  </si>
  <si>
    <t>DIR3-&gt;ARG4/1</t>
  </si>
  <si>
    <t>"přiklonit-se-003"</t>
  </si>
  <si>
    <t>"přikládat-001"</t>
  </si>
  <si>
    <t>PAT-&gt;ARG1/697,ARG2/1</t>
  </si>
  <si>
    <t>ADDR-&gt;ARG0/180</t>
  </si>
  <si>
    <t>"přikládat-002"</t>
  </si>
  <si>
    <t>"přiklánět-se-001"</t>
  </si>
  <si>
    <t>"přiklánět-se-002"</t>
  </si>
  <si>
    <t>"přiklánět-se-003"</t>
  </si>
  <si>
    <t>"přikoupit-001"</t>
  </si>
  <si>
    <t>ACT-&gt;ARG0/398,ARG1/1</t>
  </si>
  <si>
    <t>PAT-&gt;ARG0/2,ARG1/736,ARG3/1</t>
  </si>
  <si>
    <t>ORIG-&gt;ARG1/1,ARG2/54</t>
  </si>
  <si>
    <t>"přikovat-001"</t>
  </si>
  <si>
    <t>"přikračovat-001"</t>
  </si>
  <si>
    <t>"přikreslit-001"</t>
  </si>
  <si>
    <t>"přikrmit-001"</t>
  </si>
  <si>
    <t>"přikrmovat-001"</t>
  </si>
  <si>
    <t>"přikročit-001"</t>
  </si>
  <si>
    <t>ACT-&gt;ARG0/33,ARG1/90</t>
  </si>
  <si>
    <t>PAT-&gt;ARG1/33,ARG2/18</t>
  </si>
  <si>
    <t>"přikročit-002"</t>
  </si>
  <si>
    <t>"přikráčet-001"</t>
  </si>
  <si>
    <t>"přikrášlit-001"</t>
  </si>
  <si>
    <t>"přikrýt-001"</t>
  </si>
  <si>
    <t>"přikrýt-002"</t>
  </si>
  <si>
    <t>"přikrčit-se-001"</t>
  </si>
  <si>
    <t>"přikusovat-001"</t>
  </si>
  <si>
    <t>ADDR: k+3</t>
  </si>
  <si>
    <t>"přikyvovat-001"</t>
  </si>
  <si>
    <t>DPHR: na-1[souhlas.S4]</t>
  </si>
  <si>
    <t>"přikyvovat-002"</t>
  </si>
  <si>
    <t>"přikázat-001"</t>
  </si>
  <si>
    <t>ACT-&gt;ARG0/361,ARG1/2</t>
  </si>
  <si>
    <t>PAT-&gt;ARG1/365,ARG2/72</t>
  </si>
  <si>
    <t>ADDR-&gt;ARG1/53,ARG2/325</t>
  </si>
  <si>
    <t>"přikývnout-001"</t>
  </si>
  <si>
    <t>"přilepit-001"</t>
  </si>
  <si>
    <t>"přilepit-se-001"</t>
  </si>
  <si>
    <t>"přilepšit-001"</t>
  </si>
  <si>
    <t>"přiletět-001"</t>
  </si>
  <si>
    <t>"přiletět-002"</t>
  </si>
  <si>
    <t>"přilnout-001"</t>
  </si>
  <si>
    <t>"přilnout-002"</t>
  </si>
  <si>
    <t>DPHR: k-1[srdce.3]</t>
  </si>
  <si>
    <t>"přilnout-003"</t>
  </si>
  <si>
    <t>"přiložit-001"</t>
  </si>
  <si>
    <t>"přiložit-002"</t>
  </si>
  <si>
    <t>PAT-&gt;ARG1/167</t>
  </si>
  <si>
    <t>"přiložit-003"</t>
  </si>
  <si>
    <t>"přilákat-001"</t>
  </si>
  <si>
    <t>"přilákat-002"</t>
  </si>
  <si>
    <t>ACT-&gt;ARG0/76,ARG1/1</t>
  </si>
  <si>
    <t>ADDR-&gt;ARG1/144,ARG3/1</t>
  </si>
  <si>
    <t>PAT-&gt;ARG0/1,ARG1/20,ARG2/2,ARG3/2</t>
  </si>
  <si>
    <t>"přiléhat-001"</t>
  </si>
  <si>
    <t>"přiléhat-002"</t>
  </si>
  <si>
    <t>"přilétnout-001"</t>
  </si>
  <si>
    <t>"přilévat-001"</t>
  </si>
  <si>
    <t>"přilévat-002"</t>
  </si>
  <si>
    <t>DPHR: olej.S4,do-1[oheň.S2]</t>
  </si>
  <si>
    <t>"přilít-001"</t>
  </si>
  <si>
    <t>"přilít-002"</t>
  </si>
  <si>
    <t>ACT-&gt;ARG0/86,ARG1/1,ARG2/33</t>
  </si>
  <si>
    <t>DPHR: olej.S4,do-1[oheň.S2]; olej.S2,do-1[oheň.S2]</t>
  </si>
  <si>
    <t>DPHR-&gt;ARG1/189</t>
  </si>
  <si>
    <t>"přilítnout-001"</t>
  </si>
  <si>
    <t>"přilítnout-002"</t>
  </si>
  <si>
    <t>"přilívat-001"</t>
  </si>
  <si>
    <t>"přimhouřit-001"</t>
  </si>
  <si>
    <t>DPHR: oko.S4,oko.P4</t>
  </si>
  <si>
    <t>"--přimhouřit-002"</t>
  </si>
  <si>
    <t>"přimknout-se-001"</t>
  </si>
  <si>
    <t>"přimknout-se-002"</t>
  </si>
  <si>
    <t>"přimlouvat-se-001"</t>
  </si>
  <si>
    <t>"přimluvit-se-001"</t>
  </si>
  <si>
    <t>"přimontovat-001"</t>
  </si>
  <si>
    <t>"přimáčknout-001"</t>
  </si>
  <si>
    <t>"přimíchat-se-001"</t>
  </si>
  <si>
    <t>"přimět-001"</t>
  </si>
  <si>
    <t>ACT-&gt;ARG0/294,ARG1/75</t>
  </si>
  <si>
    <t>PAT-&gt;ARG1/283,ARG2/170</t>
  </si>
  <si>
    <t>ADDR-&gt;ARG1/486,ARG2/5</t>
  </si>
  <si>
    <t>ACT-&gt;ARG0/582,ARG1/76</t>
  </si>
  <si>
    <t>PAT-&gt;ARG0/1,ARG1/551,ARG2/273</t>
  </si>
  <si>
    <t>ADDR-&gt;ARG1/589,ARG2/10</t>
  </si>
  <si>
    <t>"přinutit-001"</t>
  </si>
  <si>
    <t>ACT-&gt;ARG0/249</t>
  </si>
  <si>
    <t>PAT-&gt;ARG1/278,ARG2/145</t>
  </si>
  <si>
    <t>ADDR-&gt;ARG1/421,ARG2/5</t>
  </si>
  <si>
    <t>ACT-&gt;ARG0/258</t>
  </si>
  <si>
    <t>PAT-&gt;ARG1/279,ARG2/161</t>
  </si>
  <si>
    <t>ADDR-&gt;ARG1/439,ARG2/7</t>
  </si>
  <si>
    <t>"přináležet-001"</t>
  </si>
  <si>
    <t>"přináležet-002"</t>
  </si>
  <si>
    <t>"přinášet-001"</t>
  </si>
  <si>
    <t>ACT-&gt;ARG0/1436,ARG1/8</t>
  </si>
  <si>
    <t>PAT-&gt;ARG1/2064,ARG2/3,ARG3/1</t>
  </si>
  <si>
    <t>ADDR-&gt;ARG1/20,ARG2/141,ARG3/90</t>
  </si>
  <si>
    <t>"přinášet-002"</t>
  </si>
  <si>
    <t>DIR3-&gt;ARG1/1,ARG2/10,ARG3/1</t>
  </si>
  <si>
    <t>"přinášet-003"</t>
  </si>
  <si>
    <t>ACT-&gt;ARG0/1256,ARG1/232</t>
  </si>
  <si>
    <t>PAT-&gt;ARG0/2,ARG1/2347,ARG2/169,ARG3/62</t>
  </si>
  <si>
    <t>"přinášet-004"</t>
  </si>
  <si>
    <t>"přinášet-005"</t>
  </si>
  <si>
    <t>"přinášet-006"</t>
  </si>
  <si>
    <t>CPHR: {možnost}</t>
  </si>
  <si>
    <t>"přinést-001"</t>
  </si>
  <si>
    <t>ACT-&gt;ARG0/2653,ARG1/3209,ARG2/297</t>
  </si>
  <si>
    <t>PAT-&gt;ARG0/3,ARG1/3287,ARG2/3551</t>
  </si>
  <si>
    <t>ADDR-&gt;ARG1/12,ARG2/358,ARG3/22</t>
  </si>
  <si>
    <t>"přinést-002"</t>
  </si>
  <si>
    <t>ADDR-&gt;ARG1/1,ARG2/10,ARG3/1</t>
  </si>
  <si>
    <t>ACT-&gt;ARG0/1551,ARG1/3117,ARG2/296</t>
  </si>
  <si>
    <t>PAT-&gt;ARG0/4,ARG1/2396,ARG2/3452</t>
  </si>
  <si>
    <t>ACT-&gt;ARG0/998,ARG1/6,ARG2/33</t>
  </si>
  <si>
    <t>PAT-&gt;ARG0/1,ARG1/1518,ARG2/2,ARG3/1</t>
  </si>
  <si>
    <t>ADDR-&gt;ARG1/25,ARG2/459,ARG3/13</t>
  </si>
  <si>
    <t>"přinést-003"</t>
  </si>
  <si>
    <t>ACT-&gt;ARG0/163,ARG1/1</t>
  </si>
  <si>
    <t>PAT-&gt;ARG1/265,ARG2/1,ARG3/9</t>
  </si>
  <si>
    <t>DIR3-&gt;ARG1/8</t>
  </si>
  <si>
    <t>"přinést-004"</t>
  </si>
  <si>
    <t>"přinést-005"</t>
  </si>
  <si>
    <t>DPHR: ovoce.4[svůj-1.#]</t>
  </si>
  <si>
    <t>"přinést-006"</t>
  </si>
  <si>
    <t>"--přinést-007"</t>
  </si>
  <si>
    <t>CPHR: {úleva}.4</t>
  </si>
  <si>
    <t>"--přinést-008"</t>
  </si>
  <si>
    <t>"přiobjednat-001"</t>
  </si>
  <si>
    <t>"přiopravit-001"</t>
  </si>
  <si>
    <t>"přiostřit-001"</t>
  </si>
  <si>
    <t>"přiostřit-002"</t>
  </si>
  <si>
    <t>"přiostřit-se-001"</t>
  </si>
  <si>
    <t>ACT-&gt;ARG0/1,ARG1/8</t>
  </si>
  <si>
    <t>"přiostřovat-001"</t>
  </si>
  <si>
    <t>"přiotrávit-001"</t>
  </si>
  <si>
    <t>"připachtovat-si-001"</t>
  </si>
  <si>
    <t>"připadat-001"</t>
  </si>
  <si>
    <t>PAT: 1; ↓že; ↓aby; ↓kdyby; .f; ↓když</t>
  </si>
  <si>
    <t>EFF: .a1; .a7; 1[{jako,jakožto}:/AuxY]; .a1[{jako,jakožto}:/AuxY]; ↓že</t>
  </si>
  <si>
    <t>ACT-&gt;ARG0/125,ARG1/3105,ARG2/298,ARG3/3</t>
  </si>
  <si>
    <t>PAT-&gt;ARG0/51,ARG1/236,ARG2/2</t>
  </si>
  <si>
    <t>EFF-&gt;ARG1/425,ARG2/3485</t>
  </si>
  <si>
    <t>"připadat-002"</t>
  </si>
  <si>
    <t>"připadat-003"</t>
  </si>
  <si>
    <t>ACT-&gt;ARG0/1,ARG1/139</t>
  </si>
  <si>
    <t>PAT-&gt;ARG0/125,ARG1/1</t>
  </si>
  <si>
    <t>"připadat-004"</t>
  </si>
  <si>
    <t>ACT-&gt;ARG1/4,ARG2/7</t>
  </si>
  <si>
    <t>"připadat-005"</t>
  </si>
  <si>
    <t>TOWH: na+4</t>
  </si>
  <si>
    <t>TOWH-&gt;ARG2/1</t>
  </si>
  <si>
    <t>"připadat-006"</t>
  </si>
  <si>
    <t>"připadat-007"</t>
  </si>
  <si>
    <t>"připadat-si-001"</t>
  </si>
  <si>
    <t>PAT: být[.1]; být[.7]; .a1</t>
  </si>
  <si>
    <t>"připadat-si-002"</t>
  </si>
  <si>
    <t>ACT-&gt;ARG0/92,ARG1/2</t>
  </si>
  <si>
    <t>"připadnout-001"</t>
  </si>
  <si>
    <t>PAT: 1; ↓že</t>
  </si>
  <si>
    <t>EFF: 1[{jako,jakožto}:/AuxY]; .a1[{jako,jakožto}:/AuxY]; .a1</t>
  </si>
  <si>
    <t>"připadnout-002"</t>
  </si>
  <si>
    <t>ACT-&gt;ARG1/42</t>
  </si>
  <si>
    <t>PAT-&gt;ARG2/34,ARG4/3</t>
  </si>
  <si>
    <t>"připadnout-003"</t>
  </si>
  <si>
    <t>PAT-&gt;ARG4/3</t>
  </si>
  <si>
    <t>"připadnout-004"</t>
  </si>
  <si>
    <t>"připadnout-005"</t>
  </si>
  <si>
    <t>"připadnout-006"</t>
  </si>
  <si>
    <t>"připadnout-007"</t>
  </si>
  <si>
    <t>"připevnit-001"</t>
  </si>
  <si>
    <t>"připevňovat-001"</t>
  </si>
  <si>
    <t>"připisovat-001"</t>
  </si>
  <si>
    <t>ACT-&gt;ARG0/241,ARG1/1</t>
  </si>
  <si>
    <t>PAT-&gt;ARG1/178,ARG2/60</t>
  </si>
  <si>
    <t>ADDR-&gt;ARG1/74,ARG2/117</t>
  </si>
  <si>
    <t>"připisovat-002"</t>
  </si>
  <si>
    <t>"připlatit-001"</t>
  </si>
  <si>
    <t>ACT-&gt;ARG0/286,ARG1/1,ARG2/1</t>
  </si>
  <si>
    <t>"připlavat-001"</t>
  </si>
  <si>
    <t>"připlout-001"</t>
  </si>
  <si>
    <t>"připlouvat-001"</t>
  </si>
  <si>
    <t>"připlynout-001"</t>
  </si>
  <si>
    <t>"připlácet-001"</t>
  </si>
  <si>
    <t>"připlést-se-001"</t>
  </si>
  <si>
    <t>"připlížit-se-001"</t>
  </si>
  <si>
    <t>"připnout-001"</t>
  </si>
  <si>
    <t>"připodobňovat-001"</t>
  </si>
  <si>
    <t>"připojistit-001"</t>
  </si>
  <si>
    <t>"připojit-001"</t>
  </si>
  <si>
    <t>ACT-&gt;ARG0/65,ARG1/1,ARG2/26</t>
  </si>
  <si>
    <t>DIR3-&gt;ARG1/42,ARG2/3</t>
  </si>
  <si>
    <t>DIR3-&gt;ARG1/14,ARG2/1</t>
  </si>
  <si>
    <t>"připojit-002"</t>
  </si>
  <si>
    <t>ACT-&gt;ARG0/371,ARG1/4</t>
  </si>
  <si>
    <t>EFF-&gt;ARG1/415</t>
  </si>
  <si>
    <t>"připojit-003"</t>
  </si>
  <si>
    <t>"připojit-se-001"</t>
  </si>
  <si>
    <t>ACT-&gt;ARG0/109,ARG1/1</t>
  </si>
  <si>
    <t>PAT-&gt;ARG1/141,ARG2/3</t>
  </si>
  <si>
    <t>"připojit-se-002"</t>
  </si>
  <si>
    <t>ACT-&gt;ARG0/126,ARG1/106</t>
  </si>
  <si>
    <t>DIR3-&gt;ARG1/146</t>
  </si>
  <si>
    <t>"připojit-se-003"</t>
  </si>
  <si>
    <t>"připojovat-001"</t>
  </si>
  <si>
    <t>"připojovat-002"</t>
  </si>
  <si>
    <t>DIR3-&gt;ARG2/3</t>
  </si>
  <si>
    <t>"připojovat-003"</t>
  </si>
  <si>
    <t>"připojovat-se-001"</t>
  </si>
  <si>
    <t>ACT-&gt;ARG0/114</t>
  </si>
  <si>
    <t>"připomenout-001"</t>
  </si>
  <si>
    <t>ACT-&gt;ARG0/455,ARG1/1</t>
  </si>
  <si>
    <t>PAT: 4; ↓že; ↓zda; ↓aby; ↓ať; ↓jak-2; ↓c; .s</t>
  </si>
  <si>
    <t>PAT-&gt;ARG1/649</t>
  </si>
  <si>
    <t>ADDR-&gt;ARG2/18,ARG3/1</t>
  </si>
  <si>
    <t>"připomenout-002"</t>
  </si>
  <si>
    <t>ACT-&gt;ARG0/365</t>
  </si>
  <si>
    <t>PAT-&gt;ARG1/552</t>
  </si>
  <si>
    <t>"připomínat-001"</t>
  </si>
  <si>
    <t>ACT-&gt;ARG0/405</t>
  </si>
  <si>
    <t>PAT-&gt;ARG1/460,ARG2/75</t>
  </si>
  <si>
    <t>ADDR-&gt;ARG1/67,ARG2/20,ARG3/1</t>
  </si>
  <si>
    <t>"připomínat-002"</t>
  </si>
  <si>
    <t>ACT-&gt;ARG0/433,ARG1/33,ARG2/2</t>
  </si>
  <si>
    <t>PAT-&gt;ARG1/448,ARG2/41</t>
  </si>
  <si>
    <t>"připoutat-001"</t>
  </si>
  <si>
    <t>"připoutávat-001"</t>
  </si>
  <si>
    <t>"připoutávat-002"</t>
  </si>
  <si>
    <t>"připouštět-001"</t>
  </si>
  <si>
    <t>"připouštět-002"</t>
  </si>
  <si>
    <t>"připouštět-003"</t>
  </si>
  <si>
    <t>ACT-&gt;ARG0/195,ARG1/3</t>
  </si>
  <si>
    <t>PAT: 4; ↓že; .s</t>
  </si>
  <si>
    <t>"připouštět-004"</t>
  </si>
  <si>
    <t>"připouštět-si-001"</t>
  </si>
  <si>
    <t>"připozastavit-001"</t>
  </si>
  <si>
    <t>"připočíst-001"</t>
  </si>
  <si>
    <t>"připočíst-002"</t>
  </si>
  <si>
    <t>"připočítávat-001"</t>
  </si>
  <si>
    <t>"připravit-001"</t>
  </si>
  <si>
    <t>PAT-&gt;ARG1/26,ARG2/1,ARG3/3</t>
  </si>
  <si>
    <t>ADDR-&gt;ARG1/14,ARG2/20</t>
  </si>
  <si>
    <t>"připravit-002"</t>
  </si>
  <si>
    <t>ACT-&gt;ARG0/2984,ARG1/19</t>
  </si>
  <si>
    <t>PAT-&gt;ARG0/1,ARG1/3191,ARG2/19</t>
  </si>
  <si>
    <t>"připravit-003"</t>
  </si>
  <si>
    <t>ACT-&gt;ARG0/221</t>
  </si>
  <si>
    <t>"připravit-004"</t>
  </si>
  <si>
    <t>PAT-&gt;ARG1/19,ARG2/11</t>
  </si>
  <si>
    <t>ACT-&gt;ARG0/187,ARG1/4</t>
  </si>
  <si>
    <t>PAT-&gt;ARG1/3393,ARG2/314</t>
  </si>
  <si>
    <t>"připravit-se-001"</t>
  </si>
  <si>
    <t>ACT-&gt;ARG0/66,ARG1/3</t>
  </si>
  <si>
    <t>PAT-&gt;ARG1/55,ARG2/39</t>
  </si>
  <si>
    <t>"připravovat-001"</t>
  </si>
  <si>
    <t>"připravovat-002"</t>
  </si>
  <si>
    <t>PAT-&gt;ARG1/19,ARG2/17</t>
  </si>
  <si>
    <t>"připravovat-003"</t>
  </si>
  <si>
    <t>ACT-&gt;ARG0/581,ARG1/12,ARG2/3</t>
  </si>
  <si>
    <t>PAT-&gt;ARG1/701,ARG2/79</t>
  </si>
  <si>
    <t>"připravovat-004"</t>
  </si>
  <si>
    <t>ACT-&gt;ARG0/439,ARG1/4</t>
  </si>
  <si>
    <t>PAT-&gt;ARG1/822,ARG2/12</t>
  </si>
  <si>
    <t>"připravovat-se-001"</t>
  </si>
  <si>
    <t>PAT: .f; na+4; k+3; ↓c</t>
  </si>
  <si>
    <t>ACT-&gt;ARG0/103,ARG1/3105,ARG2/296</t>
  </si>
  <si>
    <t>PAT-&gt;ARG1/91,ARG2/44</t>
  </si>
  <si>
    <t>"připravovat-se-002"</t>
  </si>
  <si>
    <t>"připsat-001"</t>
  </si>
  <si>
    <t>PAT-&gt;ARG1/89,ARG2/7</t>
  </si>
  <si>
    <t>ADDR-&gt;ARG1/7,ARG2/123</t>
  </si>
  <si>
    <t>"připsat-002"</t>
  </si>
  <si>
    <t>"připsat-003"</t>
  </si>
  <si>
    <t>"připsat-004"</t>
  </si>
  <si>
    <t>DPHR: k-1[dobro.3]</t>
  </si>
  <si>
    <t>"připustit-001"</t>
  </si>
  <si>
    <t>"připustit-002"</t>
  </si>
  <si>
    <t>DIR3: k+3; ↓aby; *</t>
  </si>
  <si>
    <t>"připustit-003"</t>
  </si>
  <si>
    <t>ACT-&gt;ARG0/220,ARG1/1</t>
  </si>
  <si>
    <t>PAT-&gt;ARG1/351</t>
  </si>
  <si>
    <t>"připustit-004"</t>
  </si>
  <si>
    <t>ACT-&gt;ARG0/762,ARG1/4</t>
  </si>
  <si>
    <t>PAT-&gt;ARG1/709</t>
  </si>
  <si>
    <t>"připustit-005"</t>
  </si>
  <si>
    <t>"připustit-si-001"</t>
  </si>
  <si>
    <t>"připustit-si-002"</t>
  </si>
  <si>
    <t>DPHR: k-1[tělo.S3]</t>
  </si>
  <si>
    <t>"připálit-001"</t>
  </si>
  <si>
    <t>"připíchnout-001"</t>
  </si>
  <si>
    <t>"připíchávat-001"</t>
  </si>
  <si>
    <t>"připíjet-001"</t>
  </si>
  <si>
    <t>"--připíjet-si-001"</t>
  </si>
  <si>
    <t>"připínat-001"</t>
  </si>
  <si>
    <t>"připít-001"</t>
  </si>
  <si>
    <t>"--připít-si-001"</t>
  </si>
  <si>
    <t>"přirovnat-001"</t>
  </si>
  <si>
    <t>PAT-&gt;ARG1/2,ARG2/57</t>
  </si>
  <si>
    <t>ADDR-&gt;ARG1/55</t>
  </si>
  <si>
    <t>"přirovnávat-001"</t>
  </si>
  <si>
    <t>PAT-&gt;ARG1/1,ARG2/57</t>
  </si>
  <si>
    <t>"přirážet-001"</t>
  </si>
  <si>
    <t>"přirůst-001"</t>
  </si>
  <si>
    <t>"přirůstat-001"</t>
  </si>
  <si>
    <t>"přisadit-si-001"</t>
  </si>
  <si>
    <t>"přisedat-si-001"</t>
  </si>
  <si>
    <t>"přisednout-si-001"</t>
  </si>
  <si>
    <t>"přiskakovat-001"</t>
  </si>
  <si>
    <t>"přiskočit-001"</t>
  </si>
  <si>
    <t>"přiskřípnout-001"</t>
  </si>
  <si>
    <t>"přisladit-001"</t>
  </si>
  <si>
    <t>"přislíbit-001"</t>
  </si>
  <si>
    <t>ACT-&gt;ARG0/533,ARG2/1</t>
  </si>
  <si>
    <t>PAT: 4; .f; ↓že; .s</t>
  </si>
  <si>
    <t>PAT-&gt;ARG1/344,ARG2/90</t>
  </si>
  <si>
    <t>"přisoudit-001"</t>
  </si>
  <si>
    <t>ADDR-&gt;ARG2/109</t>
  </si>
  <si>
    <t>"přispívat-001"</t>
  </si>
  <si>
    <t>PAT-&gt;ARG1/3,ARG2/112</t>
  </si>
  <si>
    <t>"přispívat-002"</t>
  </si>
  <si>
    <t>PAT: k+3; na+4; 3</t>
  </si>
  <si>
    <t>ACT-&gt;ARG0/338,ARG1/23</t>
  </si>
  <si>
    <t>PAT-&gt;ARG1/83,ARG2/153</t>
  </si>
  <si>
    <t>"přispívat-003"</t>
  </si>
  <si>
    <t>"přispěchat-001"</t>
  </si>
  <si>
    <t>"přispět-001"</t>
  </si>
  <si>
    <t>ACT-&gt;ARG0/45,ARG1/1</t>
  </si>
  <si>
    <t>PAT-&gt;ARG1/40,ARG3/1</t>
  </si>
  <si>
    <t>ADDR-&gt;ARG2/26</t>
  </si>
  <si>
    <t>ACT-&gt;ARG0/115,ARG1/1</t>
  </si>
  <si>
    <t>"přispět-002"</t>
  </si>
  <si>
    <t>ACT-&gt;ARG0/778,ARG1/162</t>
  </si>
  <si>
    <t>PAT-&gt;ARG0/1,ARG1/668,ARG2/285</t>
  </si>
  <si>
    <t>"přispět-003"</t>
  </si>
  <si>
    <t>ACT-&gt;ARG0/142,ARG1/1</t>
  </si>
  <si>
    <t>DIR3-&gt;ARG1/3,ARG2/123</t>
  </si>
  <si>
    <t>"přistavit-001"</t>
  </si>
  <si>
    <t>"přistavit-002"</t>
  </si>
  <si>
    <t>"přistavovat-001"</t>
  </si>
  <si>
    <t>"přistavět-001"</t>
  </si>
  <si>
    <t>"přistihnout-001"</t>
  </si>
  <si>
    <t>ACT-&gt;ARG0/202,ARG1/1</t>
  </si>
  <si>
    <t>PAT-&gt;ARG0/2,ARG1/324,ARG2/1</t>
  </si>
  <si>
    <t>"přistoupit-001"</t>
  </si>
  <si>
    <t>ACT-&gt;ARG0/50,ARG1/80</t>
  </si>
  <si>
    <t>"přistoupit-002"</t>
  </si>
  <si>
    <t>ACT-&gt;ARG0/441,ARG1/1</t>
  </si>
  <si>
    <t>PAT-&gt;ARG1/409</t>
  </si>
  <si>
    <t>"přistoupit-003"</t>
  </si>
  <si>
    <t>"přistoupit-004"</t>
  </si>
  <si>
    <t>"přistoupit-005"</t>
  </si>
  <si>
    <t>CPHR: k-1[{hlasování,jednání,kontrola,krok,likvidace,nařízení,opatření,plán,použití,přeměna,realizace,řešení,řízení,stimulace,udělení,uhrazení,utahování,vypovídání,změna,...}.3]; {řízení}</t>
  </si>
  <si>
    <t>ACT-&gt;ARG0/21,ARG1/2</t>
  </si>
  <si>
    <t>CPHR-&gt;ARG1/20,ARG2/1,ARG4/25</t>
  </si>
  <si>
    <t>CPHR-&gt;ARG1/224,ARG2/26</t>
  </si>
  <si>
    <t>"přistoupit-006"</t>
  </si>
  <si>
    <t>PAT: k+3; vůči+3</t>
  </si>
  <si>
    <t>PAT-&gt;ARG2/18</t>
  </si>
  <si>
    <t>"přistrojit-001"</t>
  </si>
  <si>
    <t>"přistupovat-001"</t>
  </si>
  <si>
    <t>ACT-&gt;ARG0/20,ARG1/15</t>
  </si>
  <si>
    <t>PAT: k+3; vůči+3; stran[.2]</t>
  </si>
  <si>
    <t>PAT-&gt;ARG1/34,ARG2/18</t>
  </si>
  <si>
    <t>MANN-&gt;ARG2/28</t>
  </si>
  <si>
    <t>"přistupovat-002"</t>
  </si>
  <si>
    <t>"přistupovat-003"</t>
  </si>
  <si>
    <t>"přistupovat-004"</t>
  </si>
  <si>
    <t>DIR3-&gt;ARG2/20</t>
  </si>
  <si>
    <t>"přistupovat-005"</t>
  </si>
  <si>
    <t>"přistupovat-006"</t>
  </si>
  <si>
    <t>CPHR: k-1[{hlasování,modernizace,obnova,plán,realizace,udělení,změna,...}.3]</t>
  </si>
  <si>
    <t>"přistát-001"</t>
  </si>
  <si>
    <t>ACT-&gt;ARG0/60,ARG1/9</t>
  </si>
  <si>
    <t>LOC-&gt;ARG1/68</t>
  </si>
  <si>
    <t>"přistát-002"</t>
  </si>
  <si>
    <t>"přistávat-001"</t>
  </si>
  <si>
    <t>"přistávat-002"</t>
  </si>
  <si>
    <t>"přistínit-001"</t>
  </si>
  <si>
    <t>"přistěhovat-se-001"</t>
  </si>
  <si>
    <t>"přistřihnout-001"</t>
  </si>
  <si>
    <t>"přisunout-001"</t>
  </si>
  <si>
    <t>"přisuzovat-001"</t>
  </si>
  <si>
    <t>ACT-&gt;ARG0/208</t>
  </si>
  <si>
    <t>PAT-&gt;ARG1/249,ARG2/21</t>
  </si>
  <si>
    <t>ADDR-&gt;ARG1/32,ARG2/275</t>
  </si>
  <si>
    <t>"přisvojit-si-001"</t>
  </si>
  <si>
    <t>"přisypávat-001"</t>
  </si>
  <si>
    <t>"přitahovat-001"</t>
  </si>
  <si>
    <t>ACT-&gt;ARG0/82,ARG1/6,ARG2/2</t>
  </si>
  <si>
    <t>PAT-&gt;ARG0/2,ARG1/152,ARG2/3</t>
  </si>
  <si>
    <t>"přitlačit-001"</t>
  </si>
  <si>
    <t>"přitlouci-001"</t>
  </si>
  <si>
    <t>"přitopit-001"</t>
  </si>
  <si>
    <t>"přitopit-002"</t>
  </si>
  <si>
    <t>"přituhnout-001"</t>
  </si>
  <si>
    <t>"přituhovat-001"</t>
  </si>
  <si>
    <t>"přitvrdit-001"</t>
  </si>
  <si>
    <t>"--přitvrdit-002"</t>
  </si>
  <si>
    <t>"přitvrzovat-001"</t>
  </si>
  <si>
    <t>"--přitvrzovat-002"</t>
  </si>
  <si>
    <t>"přitáhnout-001"</t>
  </si>
  <si>
    <t>"přitáhnout-002"</t>
  </si>
  <si>
    <t>ACT-&gt;ARG0/203,ARG1/1</t>
  </si>
  <si>
    <t>PAT-&gt;ARG0/2,ARG1/307</t>
  </si>
  <si>
    <t>"přitáhnout-003"</t>
  </si>
  <si>
    <t>"přitáhnout-004"</t>
  </si>
  <si>
    <t>CPHR: {pozornost}.4</t>
  </si>
  <si>
    <t>CPHR-&gt;ARG1/9</t>
  </si>
  <si>
    <t>"přitáhnout-005"</t>
  </si>
  <si>
    <t>DPHR: uzda.S4</t>
  </si>
  <si>
    <t>"přitéci-001"</t>
  </si>
  <si>
    <t>"přitékat-001"</t>
  </si>
  <si>
    <t>"přitížit-001"</t>
  </si>
  <si>
    <t>"přitížit-se-001"</t>
  </si>
  <si>
    <t>"přitěžovat-001"</t>
  </si>
  <si>
    <t>"přiupravit-001"</t>
  </si>
  <si>
    <t>"přiučit-se-001"</t>
  </si>
  <si>
    <t>"přivařit-001"</t>
  </si>
  <si>
    <t>"přivdat-se-001"</t>
  </si>
  <si>
    <t>"přivlastnit-si-001"</t>
  </si>
  <si>
    <t>"přivlastňovat-si-001"</t>
  </si>
  <si>
    <t>"přivodit-001"</t>
  </si>
  <si>
    <t>PAT-&gt;ARG1/43,ARG2/2</t>
  </si>
  <si>
    <t>"přivolat-001"</t>
  </si>
  <si>
    <t>"přivolit-001"</t>
  </si>
  <si>
    <t>"přivonět-001"</t>
  </si>
  <si>
    <t>"přivrhnout-001"</t>
  </si>
  <si>
    <t>"přivydělat-001"</t>
  </si>
  <si>
    <t>"přivydělat-si-001"</t>
  </si>
  <si>
    <t>"přivydělávat-001"</t>
  </si>
  <si>
    <t>"přivydělávat-si-001"</t>
  </si>
  <si>
    <t>"přivyknout-001"</t>
  </si>
  <si>
    <t>PAT: 3; .f; ↓že</t>
  </si>
  <si>
    <t>"přivábit-001"</t>
  </si>
  <si>
    <t>"přivádět-001"</t>
  </si>
  <si>
    <t>PAT-&gt;ARG1/264</t>
  </si>
  <si>
    <t>ADDR-&gt;ARG1/267</t>
  </si>
  <si>
    <t>"přivádět-002"</t>
  </si>
  <si>
    <t>DIR3-&gt;ARG2/2,ARG3/37,ARG4/2</t>
  </si>
  <si>
    <t>"přivádět-003"</t>
  </si>
  <si>
    <t>ACT-&gt;ARG0/208,ARG1/3</t>
  </si>
  <si>
    <t>PAT-&gt;ARG1/306</t>
  </si>
  <si>
    <t>"přivádět-004"</t>
  </si>
  <si>
    <t>"přivázat-001"</t>
  </si>
  <si>
    <t>"přivážet-001"</t>
  </si>
  <si>
    <t>"přivést-001"</t>
  </si>
  <si>
    <t>PAT-&gt;ARG1/60,ARG2/11,ARG3/37</t>
  </si>
  <si>
    <t>ADDR-&gt;ARG1/47</t>
  </si>
  <si>
    <t>"přivést-002"</t>
  </si>
  <si>
    <t>ACT-&gt;ARG0/255</t>
  </si>
  <si>
    <t>PAT-&gt;ARG1/389</t>
  </si>
  <si>
    <t>DIR3-&gt;ARG1/264</t>
  </si>
  <si>
    <t>ACT-&gt;ARG0/253</t>
  </si>
  <si>
    <t>PAT-&gt;ARG1/224,ARG2/2</t>
  </si>
  <si>
    <t>DIR3-&gt;ARG1/1,ARG2/149,ARG3/37</t>
  </si>
  <si>
    <t>"přivést-003"</t>
  </si>
  <si>
    <t>PAT-&gt;ARG1/230,ARG2/1</t>
  </si>
  <si>
    <t>DIR3-&gt;ARG3/9</t>
  </si>
  <si>
    <t>"přivést-004"</t>
  </si>
  <si>
    <t>"přivést-005"</t>
  </si>
  <si>
    <t>"přivést-006"</t>
  </si>
  <si>
    <t>"přivést-007"</t>
  </si>
  <si>
    <t>DPHR: na-1[buben.S4]</t>
  </si>
  <si>
    <t>"přivést-008"</t>
  </si>
  <si>
    <t>"přivézt-001"</t>
  </si>
  <si>
    <t>PAT-&gt;ARG1/92,ARG2/1</t>
  </si>
  <si>
    <t>"přivézt-002"</t>
  </si>
  <si>
    <t>ACT-&gt;ARG0/152</t>
  </si>
  <si>
    <t>PAT-&gt;ARG1/228,ARG2/1</t>
  </si>
  <si>
    <t>"přivítat-001"</t>
  </si>
  <si>
    <t>PAT: 4; ↓aby; ↓jestli; ↓že; ↓kdyby; ↓c</t>
  </si>
  <si>
    <t>"přivítat-002"</t>
  </si>
  <si>
    <t>"přivřít-001"</t>
  </si>
  <si>
    <t>"přivřít-002"</t>
  </si>
  <si>
    <t>"přizdobit-001"</t>
  </si>
  <si>
    <t>"přiznat-001"</t>
  </si>
  <si>
    <t>PAT-&gt;ARG1/433</t>
  </si>
  <si>
    <t>ADDR-&gt;ARG0/336,ARG1/2,ARG2/57</t>
  </si>
  <si>
    <t>"přiznat-002"</t>
  </si>
  <si>
    <t>ACT-&gt;ARG0/12869,ARG1/39</t>
  </si>
  <si>
    <t>PAT: 4; ↓že; ↓jak-2; ↓jestli; .s; ↓c</t>
  </si>
  <si>
    <t>PAT-&gt;ARG0/2,ARG1/11306,ARG2/2</t>
  </si>
  <si>
    <t>ADDR-&gt;ARG1/5,ARG2/46</t>
  </si>
  <si>
    <t>"přiznat-se-001"</t>
  </si>
  <si>
    <t>PAT: k+3; ↓že; ↓jak-2; ↓c; .s; ↓jestli</t>
  </si>
  <si>
    <t>PAT-&gt;ARG1/141,ARG2/28</t>
  </si>
  <si>
    <t>"přiznávat-001"</t>
  </si>
  <si>
    <t>"přiznávat-002"</t>
  </si>
  <si>
    <t>ACT-&gt;ARG0/737,ARG1/3</t>
  </si>
  <si>
    <t>PAT-&gt;ARG1/807</t>
  </si>
  <si>
    <t>"přiznávat-se-001"</t>
  </si>
  <si>
    <t>"přizpůsobit-001"</t>
  </si>
  <si>
    <t>ACT-&gt;ARG0/13,ARG1/30</t>
  </si>
  <si>
    <t>ADDR-&gt;ARG1/48,ARG2/1,ARG4/25</t>
  </si>
  <si>
    <t>"přizpůsobit-se-001"</t>
  </si>
  <si>
    <t>ACT-&gt;ARG0/26,ARG1/24</t>
  </si>
  <si>
    <t>PAT-&gt;ARG1/89,ARG2/17,ARG3/3,ARG4/5</t>
  </si>
  <si>
    <t>"přizpůsobovat-001"</t>
  </si>
  <si>
    <t>ACT-&gt;ARG0/11,ARG1/2</t>
  </si>
  <si>
    <t>PAT-&gt;ARG1/41,ARG2/3</t>
  </si>
  <si>
    <t>ADDR-&gt;ARG1/6,ARG2/1,ARG4/25</t>
  </si>
  <si>
    <t>"přizpůsobovat-se-001"</t>
  </si>
  <si>
    <t>ACT-&gt;ARG0/10,ARG1/31</t>
  </si>
  <si>
    <t>PAT-&gt;ARG1/48,ARG2/5,ARG3/3,ARG4/5</t>
  </si>
  <si>
    <t>"přizvat-001"</t>
  </si>
  <si>
    <t>"přičichnout-001"</t>
  </si>
  <si>
    <t>"přičinit-se-001"</t>
  </si>
  <si>
    <t>PAT: o+4; ↓aby; .f</t>
  </si>
  <si>
    <t>"přičlenit-001"</t>
  </si>
  <si>
    <t>"přičíst-001"</t>
  </si>
  <si>
    <t>ADDR: 3; na-1[vrub.4[.2]]; na-1[vrub.4[.u#]]</t>
  </si>
  <si>
    <t>"přičíst-002"</t>
  </si>
  <si>
    <t>ACT-&gt;ARG0/107,ARG1/2</t>
  </si>
  <si>
    <t>"přičítat-001"</t>
  </si>
  <si>
    <t>ACT-&gt;ARG0/335</t>
  </si>
  <si>
    <t>PAT-&gt;ARG1/424,ARG2/22</t>
  </si>
  <si>
    <t>ADDR-&gt;ARG1/28,ARG2/419</t>
  </si>
  <si>
    <t>"přičítat-002"</t>
  </si>
  <si>
    <t>DIR3-&gt;ARG2/109</t>
  </si>
  <si>
    <t>"přiřadit-001"</t>
  </si>
  <si>
    <t>"přiřadit-002"</t>
  </si>
  <si>
    <t>"přiřadit-003"</t>
  </si>
  <si>
    <t>"přiřadit-se-001"</t>
  </si>
  <si>
    <t>"přiřadit-se-002"</t>
  </si>
  <si>
    <t>"přiřazovat-001"</t>
  </si>
  <si>
    <t>"přiřazovat-002"</t>
  </si>
  <si>
    <t>"přiřazovat-se-001"</t>
  </si>
  <si>
    <t>"přiřazovat-se-002"</t>
  </si>
  <si>
    <t>"přiřknout-001"</t>
  </si>
  <si>
    <t>"přiřítit-se-001"</t>
  </si>
  <si>
    <t>"přišroubovat-001"</t>
  </si>
  <si>
    <t>"přišít-001"</t>
  </si>
  <si>
    <t>"přišít-002"</t>
  </si>
  <si>
    <t>"přišívat-001"</t>
  </si>
  <si>
    <t>"přiťukat-001"</t>
  </si>
  <si>
    <t>"přiťuknout-001"</t>
  </si>
  <si>
    <t>"přiťuknout-002"</t>
  </si>
  <si>
    <t>"--přiťuknout-si-001"</t>
  </si>
  <si>
    <t>"přiženit-se-001"</t>
  </si>
  <si>
    <t>"přiživit-001"</t>
  </si>
  <si>
    <t>"přiživit-se-001"</t>
  </si>
  <si>
    <t>PAT: na+6; z+2</t>
  </si>
  <si>
    <t>"přiživovat-se-001"</t>
  </si>
  <si>
    <t>"přát-001"</t>
  </si>
  <si>
    <t>PAT: 2; 4; ↓aby; ↓ať; .s</t>
  </si>
  <si>
    <t>"přát-002"</t>
  </si>
  <si>
    <t>PAT: 2; 4; .f; ↓aby; ↓ať; .s</t>
  </si>
  <si>
    <t>"přát-003"</t>
  </si>
  <si>
    <t>"přát-si-001"</t>
  </si>
  <si>
    <t>PAT: 4; ↓aby; ↓ať</t>
  </si>
  <si>
    <t>"přát-si-002"</t>
  </si>
  <si>
    <t>ACT-&gt;ARG0/1207,ARG1/3102,ARG2/296</t>
  </si>
  <si>
    <t>PAT: 4; ↓aby; ↓ať; .f; být[.a]; 2</t>
  </si>
  <si>
    <t>PAT-&gt;ARG1/1285</t>
  </si>
  <si>
    <t>"přátelit-se-001"</t>
  </si>
  <si>
    <t>"přísahat-001"</t>
  </si>
  <si>
    <t>"příslušet-001"</t>
  </si>
  <si>
    <t>"příslušet-002"</t>
  </si>
  <si>
    <t>"příslušet-003"</t>
  </si>
  <si>
    <t>"příslušet-004"</t>
  </si>
  <si>
    <t>"příslušet-se-001"</t>
  </si>
  <si>
    <t>"příst-001"</t>
  </si>
  <si>
    <t>"příst-002"</t>
  </si>
  <si>
    <t>"přít-se-001"</t>
  </si>
  <si>
    <t>?PAT: o+4; o+6; ↓zda; ↓jestli; ↓c; .s; ↓že</t>
  </si>
  <si>
    <t>PAT-&gt;ARG1/92</t>
  </si>
  <si>
    <t>ADDR-&gt;ARG1/7,ARG2/2</t>
  </si>
  <si>
    <t>PAT-&gt;ARG1/5,ARG2/14</t>
  </si>
  <si>
    <t>"příčit-se-001"</t>
  </si>
  <si>
    <t>"půjčit-001"</t>
  </si>
  <si>
    <t>PAT-&gt;ARG1/63,ARG2/2</t>
  </si>
  <si>
    <t>ADDR-&gt;ARG1/2,ARG2/36,ARG3/1</t>
  </si>
  <si>
    <t>"půjčit-si-001"</t>
  </si>
  <si>
    <t>ORIG-&gt;ARG2/12,ARG3/1</t>
  </si>
  <si>
    <t>"půjčovat-001"</t>
  </si>
  <si>
    <t>PAT-&gt;ARG1/81,ARG2/2</t>
  </si>
  <si>
    <t>ADDR-&gt;ARG1/4,ARG2/48</t>
  </si>
  <si>
    <t>"půjčovat-si-001"</t>
  </si>
  <si>
    <t>PAT-&gt;ARG1/122</t>
  </si>
  <si>
    <t>"působit-001"</t>
  </si>
  <si>
    <t>ACT-&gt;ARG0/147,ARG1/3103,ARG2/296</t>
  </si>
  <si>
    <t>PAT-&gt;ARG0/1,ARG1/285,ARG2/3451</t>
  </si>
  <si>
    <t>"působit-002"</t>
  </si>
  <si>
    <t>PAT: proti+3; pro+4; vůči+3</t>
  </si>
  <si>
    <t>"působit-003"</t>
  </si>
  <si>
    <t>ACT-&gt;ARG0/35,ARG1/3142,ARG2/296</t>
  </si>
  <si>
    <t>PAT-&gt;ARG0/37</t>
  </si>
  <si>
    <t>ACT-&gt;ARG0/2428,ARG1/3667,ARG2/296</t>
  </si>
  <si>
    <t>PAT-&gt;ARG1/7,ARG2/13,ARG3/1</t>
  </si>
  <si>
    <t>"působit-004"</t>
  </si>
  <si>
    <t>ACT-&gt;ARG0/190,ARG1/3176,ARG2/296</t>
  </si>
  <si>
    <t>LOC-&gt;ARG1/172,ARG2/16</t>
  </si>
  <si>
    <t>"působit-005"</t>
  </si>
  <si>
    <t>ACT: 1; ↓že; ↓když</t>
  </si>
  <si>
    <t xml:space="preserve">ALT-RESL: </t>
  </si>
  <si>
    <t>ACT-&gt;ARG0/36,ARG1/243</t>
  </si>
  <si>
    <t>MANN-&gt;ARG1/138,ARG2/92</t>
  </si>
  <si>
    <t>"působit-006"</t>
  </si>
  <si>
    <t>ACT-&gt;ARG0/1,ARG1/64</t>
  </si>
  <si>
    <t>"působit-007"</t>
  </si>
  <si>
    <t>"--působit-008"</t>
  </si>
  <si>
    <t>"rabovat-001"</t>
  </si>
  <si>
    <t>"--rabovat-002"</t>
  </si>
  <si>
    <t>"--rabovat-003"</t>
  </si>
  <si>
    <t>"--rabovat-004"</t>
  </si>
  <si>
    <t>"rabovat-005"</t>
  </si>
  <si>
    <t>"rachotit-001"</t>
  </si>
  <si>
    <t>"rachtat-001"</t>
  </si>
  <si>
    <t>"racionalizovat-001"</t>
  </si>
  <si>
    <t>"radikalizovat-001"</t>
  </si>
  <si>
    <t>"radit-001"</t>
  </si>
  <si>
    <t>PAT: 4; k+3; s+7,.f; ↓že; ↓aby; ↓ať; .s; ↓c</t>
  </si>
  <si>
    <t>PAT-&gt;ARG2/68</t>
  </si>
  <si>
    <t>ADDR-&gt;ARG1/57,ARG2/2</t>
  </si>
  <si>
    <t>ACT-&gt;ARG0/12179,ARG1/36</t>
  </si>
  <si>
    <t>PAT-&gt;ARG0/2,ARG1/10492,ARG2/70</t>
  </si>
  <si>
    <t>ADDR-&gt;ARG1/55,ARG2/11</t>
  </si>
  <si>
    <t>"radit-002"</t>
  </si>
  <si>
    <t>"radit-se-001"</t>
  </si>
  <si>
    <t>ADDR-&gt;ARG1/15,ARG2/1</t>
  </si>
  <si>
    <t>?PAT: o+6; ↓c</t>
  </si>
  <si>
    <t>ACT-&gt;ARG0/7,ARG1/53,ARG2/1</t>
  </si>
  <si>
    <t>ADDR-&gt;ARG0/56,ARG1/18,ARG2/1</t>
  </si>
  <si>
    <t>PAT-&gt;ARG2/66</t>
  </si>
  <si>
    <t>"radovat-se-001"</t>
  </si>
  <si>
    <t>ACT-&gt;ARG0/39,ARG1/3,ARG2/1</t>
  </si>
  <si>
    <t>"ranit-001"</t>
  </si>
  <si>
    <t>ACT-&gt;ARG0/27,ARG2/76</t>
  </si>
  <si>
    <t>"ranit-002"</t>
  </si>
  <si>
    <t>"ratifikovat-001"</t>
  </si>
  <si>
    <t>"razit-001"</t>
  </si>
  <si>
    <t>"razit-002"</t>
  </si>
  <si>
    <t>"razítkovat-001"</t>
  </si>
  <si>
    <t>"reagovat-001"</t>
  </si>
  <si>
    <t>ACT-&gt;ARG0/2856,ARG1/141,ARG2/1</t>
  </si>
  <si>
    <t>PAT-&gt;ARG1/829,ARG2/2</t>
  </si>
  <si>
    <t>"reagovat-002"</t>
  </si>
  <si>
    <t>EFF: .s; ↓c; ↓že</t>
  </si>
  <si>
    <t>"realizovat-001"</t>
  </si>
  <si>
    <t>PAT-&gt;ARG0/2,ARG1/268</t>
  </si>
  <si>
    <t>"realizovat-002"</t>
  </si>
  <si>
    <t>ACT-&gt;ARG0/974,ARG1/8,ARG3/1</t>
  </si>
  <si>
    <t>PAT-&gt;ARG0/60,ARG1/1540,ARG2/2,ARG3/1</t>
  </si>
  <si>
    <t>"realizovat-se-001"</t>
  </si>
  <si>
    <t>"recenzovat-001"</t>
  </si>
  <si>
    <t>"recitovat-001"</t>
  </si>
  <si>
    <t>"recyklovat-001"</t>
  </si>
  <si>
    <t>"redefinovat-001"</t>
  </si>
  <si>
    <t>"redigovat-001"</t>
  </si>
  <si>
    <t>"redukovat-001"</t>
  </si>
  <si>
    <t>ACT-&gt;ARG0/268</t>
  </si>
  <si>
    <t>ORIG-&gt;ARG2/1,ARG3/40,ARG4/1</t>
  </si>
  <si>
    <t>EFF-&gt;ARG2/13,ARG4/72</t>
  </si>
  <si>
    <t>"referovat-001"</t>
  </si>
  <si>
    <t>ACT-&gt;ARG0/523,ARG1/1</t>
  </si>
  <si>
    <t>PAT-&gt;ARG1/584</t>
  </si>
  <si>
    <t>"referovat-002"</t>
  </si>
  <si>
    <t>"refinancovat-001"</t>
  </si>
  <si>
    <t>"reflektovat-001"</t>
  </si>
  <si>
    <t>"reformovat-001"</t>
  </si>
  <si>
    <t>"regenerovat-001"</t>
  </si>
  <si>
    <t>"registrovat-001"</t>
  </si>
  <si>
    <t>PAT: 4; ↓zda; ↓že; ↓c</t>
  </si>
  <si>
    <t>"registrovat-002"</t>
  </si>
  <si>
    <t>PAT-&gt;ARG1/97,ARG3/2</t>
  </si>
  <si>
    <t>"regulovat-001"</t>
  </si>
  <si>
    <t>ACT-&gt;ARG0/116,ARG1/2</t>
  </si>
  <si>
    <t>"rehabilitovat-001"</t>
  </si>
  <si>
    <t>"reinvestovat-001"</t>
  </si>
  <si>
    <t>"rekapitalizovat-001"</t>
  </si>
  <si>
    <t>"reklamovat-001"</t>
  </si>
  <si>
    <t>"rekonstruovat-001"</t>
  </si>
  <si>
    <t>"rekonstruovat-002"</t>
  </si>
  <si>
    <t>"rekreovat-se-001"</t>
  </si>
  <si>
    <t>"rekrutovat-001"</t>
  </si>
  <si>
    <t>"rekrutovat-se-001"</t>
  </si>
  <si>
    <t>"rekvalifikovat-se-001"</t>
  </si>
  <si>
    <t>"relativizovat-001"</t>
  </si>
  <si>
    <t>"relaxovat-001"</t>
  </si>
  <si>
    <t>"relaxovat-se-001"</t>
  </si>
  <si>
    <t>"remizovat-001"</t>
  </si>
  <si>
    <t>"remízovat-001"</t>
  </si>
  <si>
    <t>"renovovat-001"</t>
  </si>
  <si>
    <t>"reorganizovat-001"</t>
  </si>
  <si>
    <t>"repatriovat-001"</t>
  </si>
  <si>
    <t>"reprezentovat-001"</t>
  </si>
  <si>
    <t>ACT-&gt;ARG0/155</t>
  </si>
  <si>
    <t>"reprodukovat-001"</t>
  </si>
  <si>
    <t>"reprodukovat-002"</t>
  </si>
  <si>
    <t>"reprodukovat-003"</t>
  </si>
  <si>
    <t>"reprodukovat-se-001"</t>
  </si>
  <si>
    <t>"reptat-001"</t>
  </si>
  <si>
    <t>"respektovat-001"</t>
  </si>
  <si>
    <t>ACT-&gt;ARG0/47,ARG1/2</t>
  </si>
  <si>
    <t>"restaurovat-001"</t>
  </si>
  <si>
    <t>"restituovat-001"</t>
  </si>
  <si>
    <t>"restrukturalizovat-001"</t>
  </si>
  <si>
    <t>PAT-&gt;ARG1/32,ARG3/2</t>
  </si>
  <si>
    <t>"restrukturalizovat-se-001"</t>
  </si>
  <si>
    <t>ACT-&gt;ARG0/9,ARG1/5</t>
  </si>
  <si>
    <t>"restrukturovat-001"</t>
  </si>
  <si>
    <t>PAT-&gt;ARG0/9,ARG1/33,ARG3/2</t>
  </si>
  <si>
    <t>"retardovat-001"</t>
  </si>
  <si>
    <t>"revalvovat-001"</t>
  </si>
  <si>
    <t>"revalvovat-002"</t>
  </si>
  <si>
    <t>"revidovat-001"</t>
  </si>
  <si>
    <t>"revokovat-001"</t>
  </si>
  <si>
    <t>"rezavět-001"</t>
  </si>
  <si>
    <t>"rezervovat-001"</t>
  </si>
  <si>
    <t>ACT-&gt;ARG0/90,ARG1/6</t>
  </si>
  <si>
    <t>"rezignovat-001"</t>
  </si>
  <si>
    <t>ACT-&gt;ARG0/111</t>
  </si>
  <si>
    <t>PAT: na+4; z+2</t>
  </si>
  <si>
    <t>"rezivět-001"</t>
  </si>
  <si>
    <t>"rezonovat-001"</t>
  </si>
  <si>
    <t>"rezonovat-002"</t>
  </si>
  <si>
    <t>"rezultovat-001"</t>
  </si>
  <si>
    <t>"režírovat-001"</t>
  </si>
  <si>
    <t>"riffovat-001"</t>
  </si>
  <si>
    <t>"risknout-001"</t>
  </si>
  <si>
    <t>"riskovat-001"</t>
  </si>
  <si>
    <t>?PAT: 4; ↓že</t>
  </si>
  <si>
    <t>"rmoutit-001"</t>
  </si>
  <si>
    <t>"rodit-001"</t>
  </si>
  <si>
    <t>"rodit-002"</t>
  </si>
  <si>
    <t>"rodit-se-001"</t>
  </si>
  <si>
    <t>ACT-&gt;ARG0/1,ARG1/420</t>
  </si>
  <si>
    <t>PAT-&gt;ARG0/5</t>
  </si>
  <si>
    <t>"rodit-se-002"</t>
  </si>
  <si>
    <t>"rodit-se-003"</t>
  </si>
  <si>
    <t>"rojit-se-001"</t>
  </si>
  <si>
    <t>"rojit-se-002"</t>
  </si>
  <si>
    <t>MEANS: 7</t>
  </si>
  <si>
    <t>"rokovat-001"</t>
  </si>
  <si>
    <t>"rotovat-001"</t>
  </si>
  <si>
    <t>"rovnat-001"</t>
  </si>
  <si>
    <t>"rovnat-se-001"</t>
  </si>
  <si>
    <t>PAT-&gt;ARG2/61</t>
  </si>
  <si>
    <t>"rovnat-se-002"</t>
  </si>
  <si>
    <t>ACT-&gt;ARG0/4,ARG1/3164,ARG2/296</t>
  </si>
  <si>
    <t>PAT-&gt;ARG1/169,ARG2/3494</t>
  </si>
  <si>
    <t>"rovnat-se-003"</t>
  </si>
  <si>
    <t>PAT-&gt;ARG2/31</t>
  </si>
  <si>
    <t>"rozbalit-001"</t>
  </si>
  <si>
    <t>"rozbalovat-001"</t>
  </si>
  <si>
    <t>"rozbalovat-se-001"</t>
  </si>
  <si>
    <t>"rozbourat-001"</t>
  </si>
  <si>
    <t>"rozbouřit-001"</t>
  </si>
  <si>
    <t>"rozbouřit-se-001"</t>
  </si>
  <si>
    <t>"rozbořit-001"</t>
  </si>
  <si>
    <t>"rozbrečet-se-001"</t>
  </si>
  <si>
    <t>"rozbušit-se-001"</t>
  </si>
  <si>
    <t>"rozbíhat-001"</t>
  </si>
  <si>
    <t>"rozbíhat-se-001"</t>
  </si>
  <si>
    <t>"rozbíjet-001"</t>
  </si>
  <si>
    <t>EFF-&gt;ARG2/2,ARG3/1</t>
  </si>
  <si>
    <t>"rozbít-001"</t>
  </si>
  <si>
    <t>"rozbít-002"</t>
  </si>
  <si>
    <t>"rozbít-se-001"</t>
  </si>
  <si>
    <t>ACT-&gt;ARG1/38</t>
  </si>
  <si>
    <t>"rozběhnout-001"</t>
  </si>
  <si>
    <t>PAT-&gt;ARG1/112</t>
  </si>
  <si>
    <t>"rozběhnout-se-001"</t>
  </si>
  <si>
    <t>"rozběhnout-se-002"</t>
  </si>
  <si>
    <t>"rozchodit-001"</t>
  </si>
  <si>
    <t>"rozchvátit-001"</t>
  </si>
  <si>
    <t>"rozcházet-se-001"</t>
  </si>
  <si>
    <t>ACT-&gt;ARG0/26,ARG1/18</t>
  </si>
  <si>
    <t>PAT-&gt;ARG1/2,ARG2/6</t>
  </si>
  <si>
    <t>ADDR-&gt;ARG0/5,ARG1/1,ARG2/5</t>
  </si>
  <si>
    <t>"rozcházet-se-002"</t>
  </si>
  <si>
    <t>"rozcházet-se-003"</t>
  </si>
  <si>
    <t>"rozcházet-se-004"</t>
  </si>
  <si>
    <t>"rozcupovat-001"</t>
  </si>
  <si>
    <t>"rozcvičovat-001"</t>
  </si>
  <si>
    <t>"rozcvičovat-se-001"</t>
  </si>
  <si>
    <t>"rozdat-001"</t>
  </si>
  <si>
    <t>ADDR: 3; mezi+4</t>
  </si>
  <si>
    <t>"rozdat-002"</t>
  </si>
  <si>
    <t>"rozdat-si-001"</t>
  </si>
  <si>
    <t>"rozdmýchat-001"</t>
  </si>
  <si>
    <t>ACT-&gt;ARG0/22,ARG2/4</t>
  </si>
  <si>
    <t>"rozdrobit-001"</t>
  </si>
  <si>
    <t>"rozdrobit-002"</t>
  </si>
  <si>
    <t>"rozdrolit-se-001"</t>
  </si>
  <si>
    <t>"rozdrtit-001"</t>
  </si>
  <si>
    <t>"rozdrtit-002"</t>
  </si>
  <si>
    <t>"rozdvojit-001"</t>
  </si>
  <si>
    <t>"rozdávat-001"</t>
  </si>
  <si>
    <t>ACT-&gt;ARG0/286</t>
  </si>
  <si>
    <t>PAT-&gt;ARG1/412,ARG2/1</t>
  </si>
  <si>
    <t>ADDR-&gt;ARG1/5,ARG2/322</t>
  </si>
  <si>
    <t>"rozdýchat-001"</t>
  </si>
  <si>
    <t>"rozdýchat-002"</t>
  </si>
  <si>
    <t>"rozdýchávat-001"</t>
  </si>
  <si>
    <t>"rozdělat-001"</t>
  </si>
  <si>
    <t>"rozdělit-001"</t>
  </si>
  <si>
    <t>?ADDR: mezi+4</t>
  </si>
  <si>
    <t>"rozdělit-002"</t>
  </si>
  <si>
    <t>ACT-&gt;ARG0/31,ARG1/1</t>
  </si>
  <si>
    <t>?ADDR: 3; mezi+4; mezi+7,na+4; do+2</t>
  </si>
  <si>
    <t>ADDR-&gt;ARG1/1,ARG2/20,ARG3/6,ARG4/1</t>
  </si>
  <si>
    <t>"rozdělit-003"</t>
  </si>
  <si>
    <t>ACT-&gt;ARG0/41,ARG1/1</t>
  </si>
  <si>
    <t>EFF-&gt;ARG1/2,ARG2/28</t>
  </si>
  <si>
    <t>"rozdělit-se-001"</t>
  </si>
  <si>
    <t>"rozdělit-se-002"</t>
  </si>
  <si>
    <t>ACT-&gt;ARG0/8,ARG1/13</t>
  </si>
  <si>
    <t>PAT: na+4; do+2; v+4</t>
  </si>
  <si>
    <t>"rozdělit-se-003"</t>
  </si>
  <si>
    <t>"rozdělovat-001"</t>
  </si>
  <si>
    <t>ADDR-&gt;ARG1/1,ARG2/31</t>
  </si>
  <si>
    <t>"rozdělovat-002"</t>
  </si>
  <si>
    <t>ACT-&gt;ARG0/13,ARG1/3</t>
  </si>
  <si>
    <t>"--rozdělovat-se-001"</t>
  </si>
  <si>
    <t>"rozdělávat-001"</t>
  </si>
  <si>
    <t>"rozdělávat-002"</t>
  </si>
  <si>
    <t>"rozebrat-001"</t>
  </si>
  <si>
    <t>"rozebrat-002"</t>
  </si>
  <si>
    <t>"rozebrat-003"</t>
  </si>
  <si>
    <t>"rozebírat-001"</t>
  </si>
  <si>
    <t>"rozebírat-002"</t>
  </si>
  <si>
    <t>"rozeběhnout-se-001"</t>
  </si>
  <si>
    <t>"rozechvívat-001"</t>
  </si>
  <si>
    <t>"rozechvět-001"</t>
  </si>
  <si>
    <t>"rozechvět-002"</t>
  </si>
  <si>
    <t>"rozednít-se-001"</t>
  </si>
  <si>
    <t>"rozednívat-se-001"</t>
  </si>
  <si>
    <t>"rozednívat-se-002"</t>
  </si>
  <si>
    <t>"rozehnat-001"</t>
  </si>
  <si>
    <t>"rozehrát-001"</t>
  </si>
  <si>
    <t>"rozehrát-002"</t>
  </si>
  <si>
    <t>"rozehrát-se-001"</t>
  </si>
  <si>
    <t>"rozehrávat-001"</t>
  </si>
  <si>
    <t>"rozehřát-001"</t>
  </si>
  <si>
    <t>"rozehřát-002"</t>
  </si>
  <si>
    <t>"rozejít-se-001"</t>
  </si>
  <si>
    <t>"rozejít-se-002"</t>
  </si>
  <si>
    <t>"rozemlít-001"</t>
  </si>
  <si>
    <t>"rozepisovat-001"</t>
  </si>
  <si>
    <t>"rozervat-001"</t>
  </si>
  <si>
    <t>"rozesadit-001"</t>
  </si>
  <si>
    <t>"rozesadit-002"</t>
  </si>
  <si>
    <t>"rozeslat-001"</t>
  </si>
  <si>
    <t>ACT-&gt;ARG0/208,ARG2/1</t>
  </si>
  <si>
    <t>PAT-&gt;ARG1/293</t>
  </si>
  <si>
    <t>ADDR-&gt;ARG1/1,ARG2/100</t>
  </si>
  <si>
    <t>"rozeslat-002"</t>
  </si>
  <si>
    <t>"rozesmutnit-001"</t>
  </si>
  <si>
    <t>"rozesmát-001"</t>
  </si>
  <si>
    <t>PAT-&gt;ARG1/33,ARG2/2</t>
  </si>
  <si>
    <t>"rozesmávat-001"</t>
  </si>
  <si>
    <t>"rozesmívat-001"</t>
  </si>
  <si>
    <t>"rozestavit-001"</t>
  </si>
  <si>
    <t>"rozestavit-002"</t>
  </si>
  <si>
    <t>"rozestavět-001"</t>
  </si>
  <si>
    <t>"rozestavět-002"</t>
  </si>
  <si>
    <t>"rozestavět-003"</t>
  </si>
  <si>
    <t>"rozestoupit-se-001"</t>
  </si>
  <si>
    <t>"rozesílat-001"</t>
  </si>
  <si>
    <t>ADDR-&gt;ARG2/68</t>
  </si>
  <si>
    <t>"rozesílat-002"</t>
  </si>
  <si>
    <t>"rozetnout-001"</t>
  </si>
  <si>
    <t>"rozetnout-002"</t>
  </si>
  <si>
    <t>"rozevírat-001"</t>
  </si>
  <si>
    <t>"rozevřít-001"</t>
  </si>
  <si>
    <t>"rozevřít-se-001"</t>
  </si>
  <si>
    <t>"rozeznat-001"</t>
  </si>
  <si>
    <t>"rozeznat-002"</t>
  </si>
  <si>
    <t>"rozeznávat-001"</t>
  </si>
  <si>
    <t>"rozeznávat-002"</t>
  </si>
  <si>
    <t>"rozeznít-001"</t>
  </si>
  <si>
    <t>"rozeznít-se-001"</t>
  </si>
  <si>
    <t>"rozeznívat-001"</t>
  </si>
  <si>
    <t>"rozeznívat-se-001"</t>
  </si>
  <si>
    <t>"rozezvučet-001"</t>
  </si>
  <si>
    <t>"rozežrat-001"</t>
  </si>
  <si>
    <t>"rozfázovat-001"</t>
  </si>
  <si>
    <t>TFHL: *</t>
  </si>
  <si>
    <t>"rozhazovat-001"</t>
  </si>
  <si>
    <t>"rozhazovat-002"</t>
  </si>
  <si>
    <t>"rozhazovat-003"</t>
  </si>
  <si>
    <t>"rozhlašovat-001"</t>
  </si>
  <si>
    <t>"rozhlédnout-se-001"</t>
  </si>
  <si>
    <t>"rozhlédnout-se-002"</t>
  </si>
  <si>
    <t>"rozhlížet-se-001"</t>
  </si>
  <si>
    <t>"rozhlížet-se-002"</t>
  </si>
  <si>
    <t>"rozhněvat-001"</t>
  </si>
  <si>
    <t>"rozhněvat-se-001"</t>
  </si>
  <si>
    <t>"rozhodit-001"</t>
  </si>
  <si>
    <t>"rozhodit-002"</t>
  </si>
  <si>
    <t>"rozhodit-003"</t>
  </si>
  <si>
    <t>"rozhodnout-001"</t>
  </si>
  <si>
    <t>?ORIG: mezi+7</t>
  </si>
  <si>
    <t>"rozhodnout-002"</t>
  </si>
  <si>
    <t>ACT: 1; ↓že; ↓jak-2; ↓zda; ↓c</t>
  </si>
  <si>
    <t>PAT: 4; o+6; ↓že; ↓zda; ↓ať; ↓aby; ↓jestli; .s; .f; ↓c; tak-3</t>
  </si>
  <si>
    <t>ACT-&gt;ARG0/322,ARG1/3102,ARG2/296</t>
  </si>
  <si>
    <t>PAT-&gt;ARG1/458</t>
  </si>
  <si>
    <t>"rozhodnout-003"</t>
  </si>
  <si>
    <t>"rozhodnout-004"</t>
  </si>
  <si>
    <t>EFF-&gt;ARG1/340</t>
  </si>
  <si>
    <t>"rozhodnout-se-001"</t>
  </si>
  <si>
    <t>ACT-&gt;ARG0/255,ARG1/77</t>
  </si>
  <si>
    <t>PAT-&gt;ARG1/266</t>
  </si>
  <si>
    <t>?ORIG: z+2; mezi+7</t>
  </si>
  <si>
    <t>ORIG-&gt;ARG1/5</t>
  </si>
  <si>
    <t>"rozhodnout-se-002"</t>
  </si>
  <si>
    <t>ACT-&gt;ARG0/759,ARG1/2</t>
  </si>
  <si>
    <t>PAT: k+3; o+6; .f; ↓že; ↓zda; ↓c; ↓jestli; .s</t>
  </si>
  <si>
    <t>PAT-&gt;ARG1/763,ARG2/7</t>
  </si>
  <si>
    <t>"rozhodnout-se-003"</t>
  </si>
  <si>
    <t>BEN-&gt;ARG1/14</t>
  </si>
  <si>
    <t>MANN-&gt;ARG1/175</t>
  </si>
  <si>
    <t>"rozhodovat-001"</t>
  </si>
  <si>
    <t>"rozhodovat-002"</t>
  </si>
  <si>
    <t>ACT: 1; ↓že; ↓jak-2; ↓zda; ↓jestli; ↓c</t>
  </si>
  <si>
    <t>PAT: 4; o+6; ↓že; ↓zda; ↓ať; ↓aby; ↓jak-2; .f; ↓c; ↓jestli</t>
  </si>
  <si>
    <t>ACT-&gt;ARG0/487,ARG1/1</t>
  </si>
  <si>
    <t>PAT-&gt;ARG1/544</t>
  </si>
  <si>
    <t>"rozhodovat-003"</t>
  </si>
  <si>
    <t>"rozhodovat-004"</t>
  </si>
  <si>
    <t>"rozhodovat-se-001"</t>
  </si>
  <si>
    <t>"rozhodovat-se-002"</t>
  </si>
  <si>
    <t>ACT-&gt;ARG0/168</t>
  </si>
  <si>
    <t>"rozhorlit-se-001"</t>
  </si>
  <si>
    <t>"rozhostit-se-001"</t>
  </si>
  <si>
    <t>"rozhoupat-001"</t>
  </si>
  <si>
    <t>"rozhoupat-se-001"</t>
  </si>
  <si>
    <t>"rozhoupat-se-002"</t>
  </si>
  <si>
    <t>"rozhoupat-se-003"</t>
  </si>
  <si>
    <t>"rozhoupat-se-004"</t>
  </si>
  <si>
    <t>"rozhovořit-se-001"</t>
  </si>
  <si>
    <t>"rozhořet-se-001"</t>
  </si>
  <si>
    <t>"rozhořčit-001"</t>
  </si>
  <si>
    <t>"rozhořčovat-se-001"</t>
  </si>
  <si>
    <t>"rozhádat-se-001"</t>
  </si>
  <si>
    <t>"rozházet-001"</t>
  </si>
  <si>
    <t>"rozházet-002"</t>
  </si>
  <si>
    <t>"rozházet-003"</t>
  </si>
  <si>
    <t>"rozházet-si-001"</t>
  </si>
  <si>
    <t>"rozhýbat-001"</t>
  </si>
  <si>
    <t>"rozhýbat-se-001"</t>
  </si>
  <si>
    <t>"rozjet-001"</t>
  </si>
  <si>
    <t>ACT-&gt;ARG0/197,ARG1/142,ARG2/3</t>
  </si>
  <si>
    <t>PAT-&gt;ARG1/365</t>
  </si>
  <si>
    <t>"rozjet-002"</t>
  </si>
  <si>
    <t>"rozjet-se-001"</t>
  </si>
  <si>
    <t>"rozjet-se-002"</t>
  </si>
  <si>
    <t>"rozjet-se-003"</t>
  </si>
  <si>
    <t>"rozjásat-001"</t>
  </si>
  <si>
    <t>"rozjásávat-001"</t>
  </si>
  <si>
    <t>"rozjíždět-001"</t>
  </si>
  <si>
    <t>"rozjíždět-se-001"</t>
  </si>
  <si>
    <t>"rozjíždět-se-002"</t>
  </si>
  <si>
    <t>"rozkazovat-001"</t>
  </si>
  <si>
    <t>PAT: 4; .f,.c</t>
  </si>
  <si>
    <t>"rozklepat-se-001"</t>
  </si>
  <si>
    <t>"rozkládat-001"</t>
  </si>
  <si>
    <t>PAT: o+6; ↓že; ↓zda</t>
  </si>
  <si>
    <t>"rozkládat-002"</t>
  </si>
  <si>
    <t>"rozkládat-se-001"</t>
  </si>
  <si>
    <t>"rozkládat-se-002"</t>
  </si>
  <si>
    <t>"rozkládat-se-003"</t>
  </si>
  <si>
    <t>"rozkládat-se-004"</t>
  </si>
  <si>
    <t>"rozkmitat-001"</t>
  </si>
  <si>
    <t>"rozkmotřit-se-001"</t>
  </si>
  <si>
    <t>"rozkrajovat-001"</t>
  </si>
  <si>
    <t>"rozkramařit-001"</t>
  </si>
  <si>
    <t>"rozkrojovat-001"</t>
  </si>
  <si>
    <t>"rozkročit-se-001"</t>
  </si>
  <si>
    <t>"rozkrájet-001"</t>
  </si>
  <si>
    <t>"rozkrást-001"</t>
  </si>
  <si>
    <t>"rozkvést-001"</t>
  </si>
  <si>
    <t>"rozkvést-002"</t>
  </si>
  <si>
    <t>"rozkvétat-001"</t>
  </si>
  <si>
    <t>"rozkázat-001"</t>
  </si>
  <si>
    <t>"rozkřiknout-001"</t>
  </si>
  <si>
    <t>"rozkřiknout-se-001"</t>
  </si>
  <si>
    <t>"rozkřičet-001"</t>
  </si>
  <si>
    <t>"rozladit-001"</t>
  </si>
  <si>
    <t>"rozlehnout-se-001"</t>
  </si>
  <si>
    <t>"rozlepit-001"</t>
  </si>
  <si>
    <t>"rozležet-se-001"</t>
  </si>
  <si>
    <t>"rozlišit-001"</t>
  </si>
  <si>
    <t>"rozlišit-002"</t>
  </si>
  <si>
    <t>"rozlišovat-001"</t>
  </si>
  <si>
    <t>"rozlišovat-002"</t>
  </si>
  <si>
    <t>"rozloučit-001"</t>
  </si>
  <si>
    <t>"rozloučit-se-001"</t>
  </si>
  <si>
    <t>"rozložit-001"</t>
  </si>
  <si>
    <t>ACT-&gt;ARG0/4,ARGA/1</t>
  </si>
  <si>
    <t>"rozložit-002"</t>
  </si>
  <si>
    <t>"rozložit-003"</t>
  </si>
  <si>
    <t>PAT-&gt;ARG0/4,ARG1/66</t>
  </si>
  <si>
    <t>"rozložit-004"</t>
  </si>
  <si>
    <t>"rozložit-005"</t>
  </si>
  <si>
    <t>"rozložit-se-001"</t>
  </si>
  <si>
    <t>"rozložit-se-002"</t>
  </si>
  <si>
    <t>"rozlučovat-001"</t>
  </si>
  <si>
    <t>"rozluštit-001"</t>
  </si>
  <si>
    <t>"rozlámat-001"</t>
  </si>
  <si>
    <t>"rozléhat-se-001"</t>
  </si>
  <si>
    <t>"rozlít-si-001"</t>
  </si>
  <si>
    <t>PAT: s+7; u+2</t>
  </si>
  <si>
    <t>"rozlítit-001"</t>
  </si>
  <si>
    <t>"rozmachovat-se-001"</t>
  </si>
  <si>
    <t>"rozmazlovat-001"</t>
  </si>
  <si>
    <t>"rozmazávat-001"</t>
  </si>
  <si>
    <t>"rozmačkat-001"</t>
  </si>
  <si>
    <t>"rozmetat-001"</t>
  </si>
  <si>
    <t>"rozmlouvat-001"</t>
  </si>
  <si>
    <t>"rozmlouvat-002"</t>
  </si>
  <si>
    <t>"rozmluvit-001"</t>
  </si>
  <si>
    <t>"rozmluvit-se-001"</t>
  </si>
  <si>
    <t>"rozmlátit-001"</t>
  </si>
  <si>
    <t>"rozmnožit-001"</t>
  </si>
  <si>
    <t>"rozmnožit-002"</t>
  </si>
  <si>
    <t>"rozmnožit-se-001"</t>
  </si>
  <si>
    <t>"rozmnožovat-001"</t>
  </si>
  <si>
    <t>"rozmoci-se-001"</t>
  </si>
  <si>
    <t>"rozmotat-001"</t>
  </si>
  <si>
    <t>"rozmrazovat-001"</t>
  </si>
  <si>
    <t>"rozmrznout-001"</t>
  </si>
  <si>
    <t>"rozmyslet-se-001"</t>
  </si>
  <si>
    <t>"rozmyslet-si-001"</t>
  </si>
  <si>
    <t>PAT: 4; ↓jestli; ↓zda; ↓c; ↓že; .f</t>
  </si>
  <si>
    <t>"rozmyslit-si-001"</t>
  </si>
  <si>
    <t>"rozmáchnout-se-001"</t>
  </si>
  <si>
    <t>"rozmáhat-se-001"</t>
  </si>
  <si>
    <t>"rozmíchat-001"</t>
  </si>
  <si>
    <t>"rozmístit-001"</t>
  </si>
  <si>
    <t>"rozmístit-002"</t>
  </si>
  <si>
    <t>"rozmístit-se-001"</t>
  </si>
  <si>
    <t>"rozmísťovat-001"</t>
  </si>
  <si>
    <t>"rozmísťovat-002"</t>
  </si>
  <si>
    <t>"rozmýšlet-001"</t>
  </si>
  <si>
    <t>"rozmýšlet-se-001"</t>
  </si>
  <si>
    <t>PAT: ↓že; ↓zda; ↓c; ↓jestli; .s</t>
  </si>
  <si>
    <t>"rozmýšlet-si-001"</t>
  </si>
  <si>
    <t>"rozmělňovat-001"</t>
  </si>
  <si>
    <t>"rozměnit-001"</t>
  </si>
  <si>
    <t>EFF: na+4; za+4</t>
  </si>
  <si>
    <t>"roznásobovat-001"</t>
  </si>
  <si>
    <t>"roznášet-001"</t>
  </si>
  <si>
    <t>"roznášet-002"</t>
  </si>
  <si>
    <t>"roznášet-003"</t>
  </si>
  <si>
    <t>"roznést-001"</t>
  </si>
  <si>
    <t>"roznést-002"</t>
  </si>
  <si>
    <t>"roznést-003"</t>
  </si>
  <si>
    <t>DPHR: na-1[kopyto.P6]</t>
  </si>
  <si>
    <t>"roznítit-001"</t>
  </si>
  <si>
    <t>"rozněcovat-001"</t>
  </si>
  <si>
    <t>"rozněžňovat-001"</t>
  </si>
  <si>
    <t>"rozohnit-se-001"</t>
  </si>
  <si>
    <t>"rozpadat-se-001"</t>
  </si>
  <si>
    <t>"rozpadat-se-002"</t>
  </si>
  <si>
    <t>"rozpadnout-se-001"</t>
  </si>
  <si>
    <t>"rozpadnout-se-002"</t>
  </si>
  <si>
    <t>"rozpakovat-se-001"</t>
  </si>
  <si>
    <t>"rozpalovat-001"</t>
  </si>
  <si>
    <t>"rozpalovat-002"</t>
  </si>
  <si>
    <t>"rozpažovat-001"</t>
  </si>
  <si>
    <t>"rozpitvávat-001"</t>
  </si>
  <si>
    <t>"rozplakat-001"</t>
  </si>
  <si>
    <t>"rozplakat-se-001"</t>
  </si>
  <si>
    <t>"rozplakávat-001"</t>
  </si>
  <si>
    <t>"rozplynout-se-001"</t>
  </si>
  <si>
    <t>ACT-&gt;ARG1/491,ARG2/1</t>
  </si>
  <si>
    <t>"rozplácnout-001"</t>
  </si>
  <si>
    <t>"rozplést-001"</t>
  </si>
  <si>
    <t>"rozplétat-001"</t>
  </si>
  <si>
    <t xml:space="preserve">PAT: </t>
  </si>
  <si>
    <t>"rozplývat-se-001"</t>
  </si>
  <si>
    <t>"rozplývat-se-002"</t>
  </si>
  <si>
    <t>"rozpojit-se-001"</t>
  </si>
  <si>
    <t>"rozpoltit-001"</t>
  </si>
  <si>
    <t>"rozpomínat-se-001"</t>
  </si>
  <si>
    <t>PAT: na+4; ↓že; ↓zda; ↓jestli; .s; ↓c</t>
  </si>
  <si>
    <t>"rozporcovat-001"</t>
  </si>
  <si>
    <t>"rozpoutat-001"</t>
  </si>
  <si>
    <t>"rozpoutat-se-001"</t>
  </si>
  <si>
    <t>"rozpoutávat-001"</t>
  </si>
  <si>
    <t>ACT-&gt;ARG0/3,ARG2/4</t>
  </si>
  <si>
    <t>"rozpouštět-001"</t>
  </si>
  <si>
    <t>"rozpouštět-002"</t>
  </si>
  <si>
    <t>"rozpouštět-se-001"</t>
  </si>
  <si>
    <t>"rozpovídat-se-001"</t>
  </si>
  <si>
    <t>"rozpoznat-001"</t>
  </si>
  <si>
    <t>"rozpoznat-002"</t>
  </si>
  <si>
    <t>ACT-&gt;ARG0/402,ARG1/2</t>
  </si>
  <si>
    <t>PAT: 4; ↓že; ↓jak-2; ↓jestli; ↓zda; ↓c</t>
  </si>
  <si>
    <t>PAT-&gt;ARG1/497,ARG2/16,ARG3/1</t>
  </si>
  <si>
    <t>"rozpoznávat-001"</t>
  </si>
  <si>
    <t>"rozpoznávat-002"</t>
  </si>
  <si>
    <t>"rozpočíst-001"</t>
  </si>
  <si>
    <t>"rozpočíst-se-001"</t>
  </si>
  <si>
    <t>"rozpočítat-001"</t>
  </si>
  <si>
    <t>"rozpracovat-001"</t>
  </si>
  <si>
    <t>"rozpracovávat-001"</t>
  </si>
  <si>
    <t>"rozpraskat-001"</t>
  </si>
  <si>
    <t>"rozprchnout-se-001"</t>
  </si>
  <si>
    <t>"rozprchávat-se-001"</t>
  </si>
  <si>
    <t>"rozprodat-001"</t>
  </si>
  <si>
    <t>ACT-&gt;ARG0/547,ARG1/2,ARG2/1</t>
  </si>
  <si>
    <t>PAT-&gt;ARG0/1,ARG1/1015,ARG2/1</t>
  </si>
  <si>
    <t>"rozprodávat-001"</t>
  </si>
  <si>
    <t>"rozprostírat-001"</t>
  </si>
  <si>
    <t>"rozprostírat-se-001"</t>
  </si>
  <si>
    <t>"rozprostřít-001"</t>
  </si>
  <si>
    <t>"rozprostřít-002"</t>
  </si>
  <si>
    <t>"rozprostřít-003"</t>
  </si>
  <si>
    <t>"rozprostřít-004"</t>
  </si>
  <si>
    <t>"rozprostřít-se-001"</t>
  </si>
  <si>
    <t>"rozproudit-001"</t>
  </si>
  <si>
    <t>ACT-&gt;ARG0/5,ARG2/37</t>
  </si>
  <si>
    <t>"rozproudit-se-001"</t>
  </si>
  <si>
    <t>"rozprsknout-se-001"</t>
  </si>
  <si>
    <t>"rozprášit-001"</t>
  </si>
  <si>
    <t>"rozptylovat-001"</t>
  </si>
  <si>
    <t>"rozptylovat-se-001"</t>
  </si>
  <si>
    <t>"rozptýlit-001"</t>
  </si>
  <si>
    <t>"rozptýlit-002"</t>
  </si>
  <si>
    <t>"rozptýlit-se-001"</t>
  </si>
  <si>
    <t>"rozptýlit-se-002"</t>
  </si>
  <si>
    <t>"rozptýlit-se-003"</t>
  </si>
  <si>
    <t>"rozpustit-001"</t>
  </si>
  <si>
    <t>"rozpustit-002"</t>
  </si>
  <si>
    <t>"rozpálit-001"</t>
  </si>
  <si>
    <t>"rozpíjet-se-001"</t>
  </si>
  <si>
    <t>"rozpínat-se-001"</t>
  </si>
  <si>
    <t>"rozpůjčovat-001"</t>
  </si>
  <si>
    <t>"rozpůlit-001"</t>
  </si>
  <si>
    <t>"rozrazit-001"</t>
  </si>
  <si>
    <t>"rozrušit-001"</t>
  </si>
  <si>
    <t>"rozrušit-002"</t>
  </si>
  <si>
    <t>PAT-&gt;ARG0/2,ARG1/3</t>
  </si>
  <si>
    <t>"--rozrušit-003"</t>
  </si>
  <si>
    <t>"rozrušovat-001"</t>
  </si>
  <si>
    <t>"rozrýt-001"</t>
  </si>
  <si>
    <t>"rozrůst-se-001"</t>
  </si>
  <si>
    <t>ACT-&gt;ARG0/3,ARG1/397,ARG2/4</t>
  </si>
  <si>
    <t>PAT-&gt;ARG2/1,ARG3/16,ARG4/45,ARGm-LOC/1</t>
  </si>
  <si>
    <t>EFF-&gt;ARG1/1,ARG2/2,ARG4/53</t>
  </si>
  <si>
    <t>"rozrůst-se-002"</t>
  </si>
  <si>
    <t>"rozrůstat-se-001"</t>
  </si>
  <si>
    <t>ACT-&gt;ARG0/3,ARG1/374,ARG2/5</t>
  </si>
  <si>
    <t>PAT-&gt;ARG1/1,ARG3/31</t>
  </si>
  <si>
    <t>EFF-&gt;ARG1/1,ARG2/142,ARG4/73</t>
  </si>
  <si>
    <t>"rozrůstat-se-002"</t>
  </si>
  <si>
    <t>"rozrůznit-se-001"</t>
  </si>
  <si>
    <t>"rozsazovat-001"</t>
  </si>
  <si>
    <t>"rozsazovat-002"</t>
  </si>
  <si>
    <t>"rozsekat-001"</t>
  </si>
  <si>
    <t>"rozseknout-001"</t>
  </si>
  <si>
    <t>"rozsoudit-001"</t>
  </si>
  <si>
    <t>"rozstřikovat-001"</t>
  </si>
  <si>
    <t>"rozstříhat-001"</t>
  </si>
  <si>
    <t>"rozstřílet-001"</t>
  </si>
  <si>
    <t>"rozstřílet-002"</t>
  </si>
  <si>
    <t>"rozsvítit-001"</t>
  </si>
  <si>
    <t>"rozsvítit-se-001"</t>
  </si>
  <si>
    <t>"rozsvěcet-001"</t>
  </si>
  <si>
    <t>"rozsvěcovat-se-001"</t>
  </si>
  <si>
    <t>"rozsypat-001"</t>
  </si>
  <si>
    <t>"rozsypat-se-001"</t>
  </si>
  <si>
    <t>"rozsypávat-se-001"</t>
  </si>
  <si>
    <t>"rozsít-001"</t>
  </si>
  <si>
    <t>"rozsít-002"</t>
  </si>
  <si>
    <t>"roztahovat-001"</t>
  </si>
  <si>
    <t>"roztahovat-002"</t>
  </si>
  <si>
    <t>"roztahovat-se-001"</t>
  </si>
  <si>
    <t>"roztancovat-001"</t>
  </si>
  <si>
    <t>"roztančit-001"</t>
  </si>
  <si>
    <t>"roztavit-001"</t>
  </si>
  <si>
    <t>"roztavit-se-001"</t>
  </si>
  <si>
    <t>"roztleskat-001"</t>
  </si>
  <si>
    <t>"roztlouci-001"</t>
  </si>
  <si>
    <t>"roztloukat-001"</t>
  </si>
  <si>
    <t>"roztočit-001"</t>
  </si>
  <si>
    <t>"roztočit-002"</t>
  </si>
  <si>
    <t>"roztočit-003"</t>
  </si>
  <si>
    <t>"roztrhat-001"</t>
  </si>
  <si>
    <t>"roztrhat-se-001"</t>
  </si>
  <si>
    <t>"roztrhnout-001"</t>
  </si>
  <si>
    <t>"roztrhnout-se-001"</t>
  </si>
  <si>
    <t>"roztrousit-001"</t>
  </si>
  <si>
    <t>PAT-&gt;ARG0/1,ARG2/2</t>
  </si>
  <si>
    <t>"roztrousit-002"</t>
  </si>
  <si>
    <t>LOC-&gt;ARG2/5</t>
  </si>
  <si>
    <t>"roztrpčit-001"</t>
  </si>
  <si>
    <t>"roztrpčovat-001"</t>
  </si>
  <si>
    <t>"roztáhnout-001"</t>
  </si>
  <si>
    <t>"roztáhnout-se-001"</t>
  </si>
  <si>
    <t>"roztát-001"</t>
  </si>
  <si>
    <t>"roztáčet-001"</t>
  </si>
  <si>
    <t>"roztáčet-002"</t>
  </si>
  <si>
    <t>"roztáčet-003"</t>
  </si>
  <si>
    <t>"roztéci-se-001"</t>
  </si>
  <si>
    <t>"roztékat-se-001"</t>
  </si>
  <si>
    <t>"roztřiďovat-001"</t>
  </si>
  <si>
    <t>"roztřídit-001"</t>
  </si>
  <si>
    <t>"roztříštit-001"</t>
  </si>
  <si>
    <t>"roztříštit-002"</t>
  </si>
  <si>
    <t>"roztříštit-se-001"</t>
  </si>
  <si>
    <t>"rozumět-001"</t>
  </si>
  <si>
    <t>ADDR-&gt;ARG1/74</t>
  </si>
  <si>
    <t>"rozumět-002"</t>
  </si>
  <si>
    <t>PAT: 3; ↓jak-2; ↓že; ↓zda; ↓c</t>
  </si>
  <si>
    <t>"rozumět-003"</t>
  </si>
  <si>
    <t>"rozumět-004"</t>
  </si>
  <si>
    <t>EFF: 4; .f</t>
  </si>
  <si>
    <t>"rozumět-005"</t>
  </si>
  <si>
    <t>"--rozumět-si-001"</t>
  </si>
  <si>
    <t>"rozutéci-se-001"</t>
  </si>
  <si>
    <t>"rozutíkávat-se-001"</t>
  </si>
  <si>
    <t>"rozuzlit-001"</t>
  </si>
  <si>
    <t>"rozvazovat-001"</t>
  </si>
  <si>
    <t>"rozvažovat-001"</t>
  </si>
  <si>
    <t>"rozvinout-001"</t>
  </si>
  <si>
    <t>"rozvinout-002"</t>
  </si>
  <si>
    <t>PAT-&gt;ARG1/171,ARG2/2</t>
  </si>
  <si>
    <t>"rozvinout-003"</t>
  </si>
  <si>
    <t>"rozvinout-se-001"</t>
  </si>
  <si>
    <t>ACT-&gt;ARG0/6,ARG1/22,ARG2/2</t>
  </si>
  <si>
    <t>"rozvinout-se-002"</t>
  </si>
  <si>
    <t>"rozvinovat-001"</t>
  </si>
  <si>
    <t>"rozvinovat-se-001"</t>
  </si>
  <si>
    <t>"rozvodnit-se-001"</t>
  </si>
  <si>
    <t>"rozvracet-001"</t>
  </si>
  <si>
    <t>"rozvrhnout-001"</t>
  </si>
  <si>
    <t>"rozvrstvit-001"</t>
  </si>
  <si>
    <t>"rozvrátit-001"</t>
  </si>
  <si>
    <t>"rozvádět-001"</t>
  </si>
  <si>
    <t>"rozvádět-002"</t>
  </si>
  <si>
    <t>"rozvádět-se-001"</t>
  </si>
  <si>
    <t>"rozvázat-001"</t>
  </si>
  <si>
    <t>"rozvázat-002"</t>
  </si>
  <si>
    <t>DPHR: jazyk.4</t>
  </si>
  <si>
    <t>"rozvázat-003"</t>
  </si>
  <si>
    <t>DPHR: jazyk.4[.u#]; jazyk.4[.a#]; jazyk.4[.n2]</t>
  </si>
  <si>
    <t>"rozvázat-004"</t>
  </si>
  <si>
    <t>"rozvážet-001"</t>
  </si>
  <si>
    <t>"rozvážit-001"</t>
  </si>
  <si>
    <t>"rozvést-001"</t>
  </si>
  <si>
    <t>"rozvést-002"</t>
  </si>
  <si>
    <t>"rozvést-003"</t>
  </si>
  <si>
    <t>"rozvést-se-001"</t>
  </si>
  <si>
    <t>"rozvíjet-001"</t>
  </si>
  <si>
    <t>PAT-&gt;ARG1/160,ARG2/2</t>
  </si>
  <si>
    <t>"rozvíjet-002"</t>
  </si>
  <si>
    <t>"rozvíjet-se-001"</t>
  </si>
  <si>
    <t>ACT-&gt;ARG0/115,ARG1/221,ARG2/6</t>
  </si>
  <si>
    <t>"rozvíjet-se-002"</t>
  </si>
  <si>
    <t>"rozvířit-001"</t>
  </si>
  <si>
    <t>"rozvěsit-001"</t>
  </si>
  <si>
    <t>"rozvětvovat-se-001"</t>
  </si>
  <si>
    <t>"rozzlobit-001"</t>
  </si>
  <si>
    <t>"rozzlobit-se-001"</t>
  </si>
  <si>
    <t>"rozzuřit-001"</t>
  </si>
  <si>
    <t>"rozzářit-se-001"</t>
  </si>
  <si>
    <t>"rozčarovat-001"</t>
  </si>
  <si>
    <t>ACT: 1; ↓jak-2; ↓že</t>
  </si>
  <si>
    <t>"rozčeřit-001"</t>
  </si>
  <si>
    <t>"rozčilit-se-001"</t>
  </si>
  <si>
    <t>?PAT: ↓že; nad+7; na+4</t>
  </si>
  <si>
    <t>"rozčilovat-001"</t>
  </si>
  <si>
    <t>ACT: 1; ↓c; ↓že</t>
  </si>
  <si>
    <t>PAT-&gt;ARG0/5,ARG1/2</t>
  </si>
  <si>
    <t>"rozčilovat-se-001"</t>
  </si>
  <si>
    <t>"rozčlenit-001"</t>
  </si>
  <si>
    <t>"rozčlenit-002"</t>
  </si>
  <si>
    <t>"rozčílit-001"</t>
  </si>
  <si>
    <t>"rozčílit-se-001"</t>
  </si>
  <si>
    <t>"rozředit-001"</t>
  </si>
  <si>
    <t>EFF-&gt;ARG4/1</t>
  </si>
  <si>
    <t>"rozřezat-001"</t>
  </si>
  <si>
    <t>"rozřezávat-001"</t>
  </si>
  <si>
    <t>"rozřeďovat-se-001"</t>
  </si>
  <si>
    <t>"rozřešit-001"</t>
  </si>
  <si>
    <t>"rozříznout-001"</t>
  </si>
  <si>
    <t>"rozšiřovat-001"</t>
  </si>
  <si>
    <t>ACT-&gt;ARG0/258,ARG1/6,ARG2/5</t>
  </si>
  <si>
    <t>PAT-&gt;ARG0/2,ARG1/496,ARG2/21,ARG4/6</t>
  </si>
  <si>
    <t>ORIG-&gt;ARG3/42</t>
  </si>
  <si>
    <t>?EFF: na+4; o+4</t>
  </si>
  <si>
    <t>EFF-&gt;ARG1/2,ARG2/18,ARG4/102</t>
  </si>
  <si>
    <t>"rozšiřovat-002"</t>
  </si>
  <si>
    <t>"rozšiřovat-003"</t>
  </si>
  <si>
    <t>"rozšiřovat-se-001"</t>
  </si>
  <si>
    <t>ACT-&gt;ARG0/2,ARG1/568,ARG2/1</t>
  </si>
  <si>
    <t>"rozšlapat-001"</t>
  </si>
  <si>
    <t>"rozšlehat-001"</t>
  </si>
  <si>
    <t>"rozšoupnout-se-001"</t>
  </si>
  <si>
    <t>"rozštipovat-se-001"</t>
  </si>
  <si>
    <t>"rozštěpit-001"</t>
  </si>
  <si>
    <t>ACT-&gt;ARG0/1,ARG1/6</t>
  </si>
  <si>
    <t>"rozšířit-001"</t>
  </si>
  <si>
    <t>ACT-&gt;ARG0/474,ARG1/29,ARG2/5</t>
  </si>
  <si>
    <t>PAT-&gt;ARG0/4,ARG1/1024,ARG2/3,ARG4/20</t>
  </si>
  <si>
    <t>ORIG-&gt;ARG2/1,ARG3/119</t>
  </si>
  <si>
    <t>EFF-&gt;ARG1/4,ARG2/33,ARG4/231</t>
  </si>
  <si>
    <t>"rozšířit-002"</t>
  </si>
  <si>
    <t>"rozšířit-003"</t>
  </si>
  <si>
    <t>ACT-&gt;ARG0/88,ARG1/1</t>
  </si>
  <si>
    <t>PAT-&gt;ARG1/193</t>
  </si>
  <si>
    <t>"rozšířit-004"</t>
  </si>
  <si>
    <t>"rozšířit-se-001"</t>
  </si>
  <si>
    <t>ACT-&gt;ARG0/1,ARG1/218</t>
  </si>
  <si>
    <t>"rozšířit-se-002"</t>
  </si>
  <si>
    <t>ACT-&gt;ARG0/1,ARG1/34</t>
  </si>
  <si>
    <t>PAT-&gt;ARG1/1,ARG4/22</t>
  </si>
  <si>
    <t>ORIG-&gt;ARG3/9</t>
  </si>
  <si>
    <t>"ruinovat-001"</t>
  </si>
  <si>
    <t>"rukovat-001"</t>
  </si>
  <si>
    <t>"rupnout-001"</t>
  </si>
  <si>
    <t>"ručit-001"</t>
  </si>
  <si>
    <t>PAT: za+4; ↓že</t>
  </si>
  <si>
    <t>"rušit-001"</t>
  </si>
  <si>
    <t>"rušit-002"</t>
  </si>
  <si>
    <t>PAT-&gt;ARG1/210</t>
  </si>
  <si>
    <t>"rušit-003"</t>
  </si>
  <si>
    <t>"rvát-001"</t>
  </si>
  <si>
    <t>"rvát-se-001"</t>
  </si>
  <si>
    <t>"rybařit-001"</t>
  </si>
  <si>
    <t>"rychtovat-001"</t>
  </si>
  <si>
    <t>"rámovat-001"</t>
  </si>
  <si>
    <t>"ráčit-001"</t>
  </si>
  <si>
    <t>"ráčkovat-001"</t>
  </si>
  <si>
    <t>"rýmovat-001"</t>
  </si>
  <si>
    <t>"rýmovat-se-001"</t>
  </si>
  <si>
    <t>"rýpnout-si-001"</t>
  </si>
  <si>
    <t>"rýsovat-001"</t>
  </si>
  <si>
    <t>"rýsovat-se-001"</t>
  </si>
  <si>
    <t>ACT-&gt;ARG0/197,ARG1/42</t>
  </si>
  <si>
    <t>"rýt-001"</t>
  </si>
  <si>
    <t>"--rýt-002"</t>
  </si>
  <si>
    <t>"rýžovat-001"</t>
  </si>
  <si>
    <t>"rýžovat-002"</t>
  </si>
  <si>
    <t>"růst-001"</t>
  </si>
  <si>
    <t>"růst-002"</t>
  </si>
  <si>
    <t>ACT-&gt;ARG0/4,ARG1/1582,ARG2/8</t>
  </si>
  <si>
    <t>PAT-&gt;ARG1/1,ARG2/9,ARG4/921</t>
  </si>
  <si>
    <t>ORIG-&gt;ARG1/1,ARG2/10,ARG3/428</t>
  </si>
  <si>
    <t>ACT-&gt;ARG0/5,ARG1/1734,ARG2/8</t>
  </si>
  <si>
    <t>PAT-&gt;ARG1/1,ARG2/12,ARG4/1056</t>
  </si>
  <si>
    <t>ORIG-&gt;ARG2/1,ARG3/486,ARG4/1,ARGm-LOC/1</t>
  </si>
  <si>
    <t>"růst-003"</t>
  </si>
  <si>
    <t>"růst-004"</t>
  </si>
  <si>
    <t>ACT-&gt;ARG0/3,ARG1/1489,ARG2/8</t>
  </si>
  <si>
    <t>"růst-005"</t>
  </si>
  <si>
    <t>DPHR: jako[houba.P1[po-1[déšť.S6]]]</t>
  </si>
  <si>
    <t>"různit-se-001"</t>
  </si>
  <si>
    <t>ACT-&gt;ARG0/1,ARG1/41</t>
  </si>
  <si>
    <t>"sabotovat-001"</t>
  </si>
  <si>
    <t>"sahat-001"</t>
  </si>
  <si>
    <t>PAT: k+3; po+6; na+4</t>
  </si>
  <si>
    <t>"sahat-002"</t>
  </si>
  <si>
    <t>"sahat-003"</t>
  </si>
  <si>
    <t>"sahat-004"</t>
  </si>
  <si>
    <t>ACT-&gt;ARG1/73,ARG2/1</t>
  </si>
  <si>
    <t>DIR3-&gt;ARG4/2</t>
  </si>
  <si>
    <t>"samopojišťovat-se-001"</t>
  </si>
  <si>
    <t>"sankcionovat-001"</t>
  </si>
  <si>
    <t>"sbalit-001"</t>
  </si>
  <si>
    <t>"sbalit-002"</t>
  </si>
  <si>
    <t>"sbalit-003"</t>
  </si>
  <si>
    <t>"sbalit-004"</t>
  </si>
  <si>
    <t>"sbližovat-001"</t>
  </si>
  <si>
    <t>"sblížit-001"</t>
  </si>
  <si>
    <t>"sblížit-se-001"</t>
  </si>
  <si>
    <t>"sbuchnout-001"</t>
  </si>
  <si>
    <t>"sbíhat-se-001"</t>
  </si>
  <si>
    <t>"sbíhat-se-002"</t>
  </si>
  <si>
    <t>DPHR: slina.P1</t>
  </si>
  <si>
    <t>"sbírat-001"</t>
  </si>
  <si>
    <t>ACT-&gt;ARG0/223,ARG1/25</t>
  </si>
  <si>
    <t>PAT-&gt;ARG1/269,ARG2/26</t>
  </si>
  <si>
    <t>"sbírat-002"</t>
  </si>
  <si>
    <t>CPHR: {odvaha,zkušenost,...}.4</t>
  </si>
  <si>
    <t>"sbírat-003"</t>
  </si>
  <si>
    <t>"sbírat-004"</t>
  </si>
  <si>
    <t>"scelovat-001"</t>
  </si>
  <si>
    <t>"schnout-001"</t>
  </si>
  <si>
    <t>"schovat-001"</t>
  </si>
  <si>
    <t>"schovat-002"</t>
  </si>
  <si>
    <t>EFF: 4; ↓že; ↓jak-2; ↓zda; .s; ↓c</t>
  </si>
  <si>
    <t>"schovávat-001"</t>
  </si>
  <si>
    <t>ACT-&gt;ARG0/189,ARG1/2</t>
  </si>
  <si>
    <t>"schovávat-002"</t>
  </si>
  <si>
    <t>"schrastit-001"</t>
  </si>
  <si>
    <t>"schraňovat-001"</t>
  </si>
  <si>
    <t>"schvalovat-001"</t>
  </si>
  <si>
    <t>"schvalovat-002"</t>
  </si>
  <si>
    <t>ACT-&gt;ARG0/251</t>
  </si>
  <si>
    <t>PAT-&gt;ARG1/282,ARG2/1</t>
  </si>
  <si>
    <t>"schválit-001"</t>
  </si>
  <si>
    <t>"schválit-002"</t>
  </si>
  <si>
    <t>ACT-&gt;ARG0/892,ARG1/57,ARG2/1</t>
  </si>
  <si>
    <t>PAT-&gt;ARG0/42,ARG1/925,ARG2/1</t>
  </si>
  <si>
    <t>"schvátit-001"</t>
  </si>
  <si>
    <t>"schylovat-se-001"</t>
  </si>
  <si>
    <t>"schylovat-se-002"</t>
  </si>
  <si>
    <t>"schytat-001"</t>
  </si>
  <si>
    <t>"--schytnout-001"</t>
  </si>
  <si>
    <t>"schytnout-002"</t>
  </si>
  <si>
    <t>"scházet-001"</t>
  </si>
  <si>
    <t>"scházet-002"</t>
  </si>
  <si>
    <t>"scházet-se-001"</t>
  </si>
  <si>
    <t>ACT-&gt;ARG0/82,ARG1/10</t>
  </si>
  <si>
    <t>"scházet-se-002"</t>
  </si>
  <si>
    <t>"scházívat-se-001"</t>
  </si>
  <si>
    <t>"scupovat-001"</t>
  </si>
  <si>
    <t>"scvakat-001"</t>
  </si>
  <si>
    <t>"scvrknout-se-001"</t>
  </si>
  <si>
    <t>"scvrknout-se-002"</t>
  </si>
  <si>
    <t>"scvrkávat-se-001"</t>
  </si>
  <si>
    <t>"sdrkotat-001"</t>
  </si>
  <si>
    <t>"sdružit-001"</t>
  </si>
  <si>
    <t>"sdružit-se-001"</t>
  </si>
  <si>
    <t>"sdružovat-001"</t>
  </si>
  <si>
    <t>ACT-&gt;ARG0/20,ARG1/3,ARG2/427</t>
  </si>
  <si>
    <t>PAT-&gt;ARG1/969,ARG2/3</t>
  </si>
  <si>
    <t>ADDR-&gt;ARG1/1,ARG2/29</t>
  </si>
  <si>
    <t>"sdružovat-se-001"</t>
  </si>
  <si>
    <t>ACT-&gt;ARG0/6,ARG1/3</t>
  </si>
  <si>
    <t>"sdílet-001"</t>
  </si>
  <si>
    <t>"sdělat-001"</t>
  </si>
  <si>
    <t>"sdělit-001"</t>
  </si>
  <si>
    <t>ACT-&gt;ARG0/12846,ARG1/38</t>
  </si>
  <si>
    <t>PAT-&gt;ARG0/2,ARG1/11398,ARG2/63</t>
  </si>
  <si>
    <t>ADDR-&gt;ARG1/63,ARG2/495</t>
  </si>
  <si>
    <t>"sdělit-002"</t>
  </si>
  <si>
    <t>ACT-&gt;ARG0/12935,ARG1/40</t>
  </si>
  <si>
    <t>ADDR-&gt;ARG1/109,ARG2/345,ARG3/78</t>
  </si>
  <si>
    <t>EFF: 4; ↓že; ↓aby; ↓ať; ↓zda; ↓jestli; .s; ↓c</t>
  </si>
  <si>
    <t>EFF-&gt;ARG0/2,ARG1/11487,ARG2/106,ARG3/1</t>
  </si>
  <si>
    <t>PAT-&gt;ARG0/2,ARG1/34,ARG2/1,ARG3/29</t>
  </si>
  <si>
    <t>"sdělovat-001"</t>
  </si>
  <si>
    <t>"sdělovat-002"</t>
  </si>
  <si>
    <t>ACT-&gt;ARG0/922,ARG1/3</t>
  </si>
  <si>
    <t>ADDR-&gt;ARG1/2,ARG2/338</t>
  </si>
  <si>
    <t>EFF-&gt;ARG1/1131</t>
  </si>
  <si>
    <t>?PAT: k+3; o+6</t>
  </si>
  <si>
    <t>"sebrat-001"</t>
  </si>
  <si>
    <t>ACT-&gt;ARG0/5,ARG2/19</t>
  </si>
  <si>
    <t>PAT-&gt;ARG1/209,ARG2/1</t>
  </si>
  <si>
    <t>ADDR-&gt;ARG0/167,ARG1/2,ARG2/2</t>
  </si>
  <si>
    <t>"sebrat-002"</t>
  </si>
  <si>
    <t>"sebrat-003"</t>
  </si>
  <si>
    <t>"sebrat-004"</t>
  </si>
  <si>
    <t>"sebrat-005"</t>
  </si>
  <si>
    <t>"sebrat-006"</t>
  </si>
  <si>
    <t>"sebrat-007"</t>
  </si>
  <si>
    <t>"sebrat-008"</t>
  </si>
  <si>
    <t>"sebrat-se-001"</t>
  </si>
  <si>
    <t>"sebrat-se-002"</t>
  </si>
  <si>
    <t>"seběhnout-001"</t>
  </si>
  <si>
    <t>"seběhnout-se-001"</t>
  </si>
  <si>
    <t>"seběhnout-se-002"</t>
  </si>
  <si>
    <t>"seběhnout-se-003"</t>
  </si>
  <si>
    <t>"secvičit-001"</t>
  </si>
  <si>
    <t>"secvičovat-001"</t>
  </si>
  <si>
    <t>"secvičovat-se-001"</t>
  </si>
  <si>
    <t>"sedat-001"</t>
  </si>
  <si>
    <t>"sedat-002"</t>
  </si>
  <si>
    <t>"sedat-si-001"</t>
  </si>
  <si>
    <t>"sedlat-001"</t>
  </si>
  <si>
    <t>"sednout-001"</t>
  </si>
  <si>
    <t>"sednout-si-001"</t>
  </si>
  <si>
    <t>"sednout-si-002"</t>
  </si>
  <si>
    <t>"sednout-si-003"</t>
  </si>
  <si>
    <t>PAT: k+3; za+4</t>
  </si>
  <si>
    <t>"sedávat-001"</t>
  </si>
  <si>
    <t>"sedět-001"</t>
  </si>
  <si>
    <t>"sedět-002"</t>
  </si>
  <si>
    <t>ACT-&gt;ARG1/334,ARG2/3</t>
  </si>
  <si>
    <t>"sedět-003"</t>
  </si>
  <si>
    <t>ACT-&gt;ARG0/342,ARG1/345,ARG2/3</t>
  </si>
  <si>
    <t>"sedět-004"</t>
  </si>
  <si>
    <t>"sedět-005"</t>
  </si>
  <si>
    <t>"sedět-006"</t>
  </si>
  <si>
    <t>ACT-&gt;ARG1/52</t>
  </si>
  <si>
    <t>"sedět-007"</t>
  </si>
  <si>
    <t>DPHR: na-1[židle.P6[dva.#]]</t>
  </si>
  <si>
    <t>"sedět-008"</t>
  </si>
  <si>
    <t>DPHR: s-1[ruce.P7[založený.#]]</t>
  </si>
  <si>
    <t>"sedět-009"</t>
  </si>
  <si>
    <t>"sedřít-001"</t>
  </si>
  <si>
    <t>DPHR: kůže.S4,z[tělo.S2]</t>
  </si>
  <si>
    <t>DPHR-&gt;ARG2/1</t>
  </si>
  <si>
    <t>"segmentovat-001"</t>
  </si>
  <si>
    <t>"sehnat-001"</t>
  </si>
  <si>
    <t>ACT-&gt;ARG0/2621,ARG1/28,ARG2/8</t>
  </si>
  <si>
    <t>PAT-&gt;ARG0/1,ARG1/3118,ARG4/1</t>
  </si>
  <si>
    <t>"sehnout-se-001"</t>
  </si>
  <si>
    <t>"sehrát-001"</t>
  </si>
  <si>
    <t>"sehrát-002"</t>
  </si>
  <si>
    <t>"sehrát-003"</t>
  </si>
  <si>
    <t>"sehrát-004"</t>
  </si>
  <si>
    <t>ACT-&gt;ARG0/167,ARG1/2,ARG3/1</t>
  </si>
  <si>
    <t>DPHR-&gt;ARG1/234</t>
  </si>
  <si>
    <t>"sehrávat-001"</t>
  </si>
  <si>
    <t>"sehrávat-002"</t>
  </si>
  <si>
    <t>"sejmout-001"</t>
  </si>
  <si>
    <t>"sejmout-002"</t>
  </si>
  <si>
    <t>"sejmout-003"</t>
  </si>
  <si>
    <t>"sejmout-004"</t>
  </si>
  <si>
    <t>"sejít-001"</t>
  </si>
  <si>
    <t>"sejít-002"</t>
  </si>
  <si>
    <t>"sejít-003"</t>
  </si>
  <si>
    <t>"sejít-004"</t>
  </si>
  <si>
    <t>DIR1: z+2</t>
  </si>
  <si>
    <t>"sejít-005"</t>
  </si>
  <si>
    <t>"sejít-006"</t>
  </si>
  <si>
    <t>"sejít-007"</t>
  </si>
  <si>
    <t>ACT: z+2</t>
  </si>
  <si>
    <t>"sejít-008"</t>
  </si>
  <si>
    <t>DPHR: z-1[oko.P2]</t>
  </si>
  <si>
    <t>"sejít-009"</t>
  </si>
  <si>
    <t>"sejít-010"</t>
  </si>
  <si>
    <t>DPHR: z-1[mysl.S2]</t>
  </si>
  <si>
    <t>"sejít-se-001"</t>
  </si>
  <si>
    <t>ACT-&gt;ARG0/87,ARG1/3</t>
  </si>
  <si>
    <t>"sejít-se-002"</t>
  </si>
  <si>
    <t>"sekat-001"</t>
  </si>
  <si>
    <t>"sekat-002"</t>
  </si>
  <si>
    <t>DPHR: do-1[tučný.S2]</t>
  </si>
  <si>
    <t>"seknout-001"</t>
  </si>
  <si>
    <t>"seknout-002"</t>
  </si>
  <si>
    <t>"seknout-se-001"</t>
  </si>
  <si>
    <t>"sekundovat-001"</t>
  </si>
  <si>
    <t>"sekundovat-002"</t>
  </si>
  <si>
    <t>"selhat-001"</t>
  </si>
  <si>
    <t>ACT-&gt;ARG1/176</t>
  </si>
  <si>
    <t>"selhávat-001"</t>
  </si>
  <si>
    <t>"semknout-001"</t>
  </si>
  <si>
    <t>"semknout-se-001"</t>
  </si>
  <si>
    <t>"semlít-001"</t>
  </si>
  <si>
    <t>"separovat-001"</t>
  </si>
  <si>
    <t>"separovat-se-001"</t>
  </si>
  <si>
    <t>"sepisovat-001"</t>
  </si>
  <si>
    <t>"sepisovat-002"</t>
  </si>
  <si>
    <t>"sepnout-001"</t>
  </si>
  <si>
    <t>ACT-&gt;ARG0/13,ARG1/9</t>
  </si>
  <si>
    <t>"sepsat-001"</t>
  </si>
  <si>
    <t>"sepsout-001"</t>
  </si>
  <si>
    <t>"serializovat-001"</t>
  </si>
  <si>
    <t>"servírovat-001"</t>
  </si>
  <si>
    <t>"servírovat-002"</t>
  </si>
  <si>
    <t>"sesadit-001"</t>
  </si>
  <si>
    <t>"sesadit-002"</t>
  </si>
  <si>
    <t>"sesbírat-001"</t>
  </si>
  <si>
    <t>"sesednout-001"</t>
  </si>
  <si>
    <t>"seskočit-001"</t>
  </si>
  <si>
    <t>"seskupit-se-001"</t>
  </si>
  <si>
    <t>"seskupovat-001"</t>
  </si>
  <si>
    <t>"sesmolit-001"</t>
  </si>
  <si>
    <t>"sesmolit-002"</t>
  </si>
  <si>
    <t>EFF-&gt;ARG1/1,ARG2/1</t>
  </si>
  <si>
    <t>"sesout-se-001"</t>
  </si>
  <si>
    <t>"sestavit-001"</t>
  </si>
  <si>
    <t>ACT-&gt;ARG0/334,ARG1/1</t>
  </si>
  <si>
    <t>PAT-&gt;ARG1/571,ARG2/2</t>
  </si>
  <si>
    <t>"sestavit-002"</t>
  </si>
  <si>
    <t>"sestavovat-001"</t>
  </si>
  <si>
    <t>PAT-&gt;ARG0/16,ARG1/305</t>
  </si>
  <si>
    <t>"sestavovat-002"</t>
  </si>
  <si>
    <t>"sestoupit-001"</t>
  </si>
  <si>
    <t>"sestrojit-001"</t>
  </si>
  <si>
    <t>"sestupovat-001"</t>
  </si>
  <si>
    <t>ACT-&gt;ARG1/102</t>
  </si>
  <si>
    <t>"sestykovat-001"</t>
  </si>
  <si>
    <t>"sestávat-001"</t>
  </si>
  <si>
    <t>ACT-&gt;ARG0/3,ARG1/57</t>
  </si>
  <si>
    <t>PAT-&gt;ARG0/29,ARG1/2,ARG2/84</t>
  </si>
  <si>
    <t>"sestřelit-001"</t>
  </si>
  <si>
    <t>"sestřihávat-001"</t>
  </si>
  <si>
    <t>"sesumírovat-001"</t>
  </si>
  <si>
    <t>"sesunout-se-001"</t>
  </si>
  <si>
    <t>"sesypat-se-001"</t>
  </si>
  <si>
    <t>"setkat-se-001"</t>
  </si>
  <si>
    <t>ACT-&gt;ARG0/683,ARG1/16</t>
  </si>
  <si>
    <t>PAT-&gt;ARG1/889,ARG2/16</t>
  </si>
  <si>
    <t>"setkat-se-002"</t>
  </si>
  <si>
    <t>ACT-&gt;ARG0/1238,ARG1/8</t>
  </si>
  <si>
    <t>PAT-&gt;ARG1/1545,ARG2/1</t>
  </si>
  <si>
    <t>"setkávat-se-001"</t>
  </si>
  <si>
    <t>ACT-&gt;ARG0/121,ARG1/2</t>
  </si>
  <si>
    <t>"setkávat-se-002"</t>
  </si>
  <si>
    <t>ACT-&gt;ARG0/91,ARG1/42</t>
  </si>
  <si>
    <t>"setmít-se-001"</t>
  </si>
  <si>
    <t>"setrvat-001"</t>
  </si>
  <si>
    <t>"setrvat-002"</t>
  </si>
  <si>
    <t>"setrvávat-001"</t>
  </si>
  <si>
    <t>PAT: na+6; v+6</t>
  </si>
  <si>
    <t>"setrvávat-002"</t>
  </si>
  <si>
    <t>"setrvávat-003"</t>
  </si>
  <si>
    <t>"setřást-001"</t>
  </si>
  <si>
    <t>"setřít-001"</t>
  </si>
  <si>
    <t>"setřít-002"</t>
  </si>
  <si>
    <t>"sevřít-001"</t>
  </si>
  <si>
    <t>"sevřít-se-001"</t>
  </si>
  <si>
    <t>"seznamovat-001"</t>
  </si>
  <si>
    <t>"seznamovat-se-001"</t>
  </si>
  <si>
    <t>"seznamovat-se-002"</t>
  </si>
  <si>
    <t>"seznat-001"</t>
  </si>
  <si>
    <t>PAT: 4; 4; .f</t>
  </si>
  <si>
    <t>PAT-&gt;ARG0/2,ARG1/63,ARG2/1</t>
  </si>
  <si>
    <t>EFF: 7; za+4; 4[{jako,jakožto}:/AuxY]; .a4[{jako,jakožto}:/AuxY]</t>
  </si>
  <si>
    <t>EFF-&gt;ARG1/59</t>
  </si>
  <si>
    <t>"seznat-002"</t>
  </si>
  <si>
    <t>"seznámit-001"</t>
  </si>
  <si>
    <t>ACT-&gt;ARG0/397,ARG1/2</t>
  </si>
  <si>
    <t>PAT-&gt;ARG1/516,ARG2/1</t>
  </si>
  <si>
    <t>ADDR-&gt;ARG1/1,ARG2/41</t>
  </si>
  <si>
    <t>"seznámit-se-001"</t>
  </si>
  <si>
    <t>ACT-&gt;ARG0/91</t>
  </si>
  <si>
    <t>"seznámit-se-002"</t>
  </si>
  <si>
    <t>"sezvat-001"</t>
  </si>
  <si>
    <t>"sečíst-001"</t>
  </si>
  <si>
    <t>"sečíst-002"</t>
  </si>
  <si>
    <t>PAT: 4; ↓jestli; ↓c</t>
  </si>
  <si>
    <t>ACT-&gt;ARG1/121</t>
  </si>
  <si>
    <t>PAT-&gt;ARG2/179</t>
  </si>
  <si>
    <t>"--sečíst-003"</t>
  </si>
  <si>
    <t>"sečítat-001"</t>
  </si>
  <si>
    <t>"seřadit-001"</t>
  </si>
  <si>
    <t>"seřadit-se-001"</t>
  </si>
  <si>
    <t>"seřazovat-001"</t>
  </si>
  <si>
    <t>"seřizovat-001"</t>
  </si>
  <si>
    <t>"seřvat-001"</t>
  </si>
  <si>
    <t>"seřvávat-001"</t>
  </si>
  <si>
    <t>"seřídit-001"</t>
  </si>
  <si>
    <t>"seříznout-001"</t>
  </si>
  <si>
    <t>"sešikovat-001"</t>
  </si>
  <si>
    <t>"seškrtat-001"</t>
  </si>
  <si>
    <t>"seškrtnout-001"</t>
  </si>
  <si>
    <t>"sešlápnout-001"</t>
  </si>
  <si>
    <t>"sešoupat-001"</t>
  </si>
  <si>
    <t>"sešroubovávat-001"</t>
  </si>
  <si>
    <t>"sešít-001"</t>
  </si>
  <si>
    <t>"sešít-002"</t>
  </si>
  <si>
    <t>"sešívat-001"</t>
  </si>
  <si>
    <t>"sežrat-001"</t>
  </si>
  <si>
    <t>"sežrat-002"</t>
  </si>
  <si>
    <t>"shazovat-001"</t>
  </si>
  <si>
    <t>"shazovat-002"</t>
  </si>
  <si>
    <t>"shazovat-003"</t>
  </si>
  <si>
    <t>"shazovat-004"</t>
  </si>
  <si>
    <t>"shazovat-005"</t>
  </si>
  <si>
    <t>DPHR: na-1[váha.S6]</t>
  </si>
  <si>
    <t>"shledat-001"</t>
  </si>
  <si>
    <t>PAT-&gt;ARG0/2,ARG1/87,ARG2/1</t>
  </si>
  <si>
    <t>EFF: 7; za+4; za-1[.a]</t>
  </si>
  <si>
    <t>EFF-&gt;ARG1/119</t>
  </si>
  <si>
    <t>"shledat-002"</t>
  </si>
  <si>
    <t>ACT-&gt;ARG0/164,ARG1/1</t>
  </si>
  <si>
    <t>PAT-&gt;ARG0/1,ARG1/175</t>
  </si>
  <si>
    <t>"shledat-se-001"</t>
  </si>
  <si>
    <t>"shledávat-001"</t>
  </si>
  <si>
    <t>"shledávat-002"</t>
  </si>
  <si>
    <t>ACT-&gt;ARG0/159,ARG1/1</t>
  </si>
  <si>
    <t>PAT-&gt;ARG0/1,ARG1/171</t>
  </si>
  <si>
    <t>"shluknout-se-001"</t>
  </si>
  <si>
    <t>"shlukovat-se-001"</t>
  </si>
  <si>
    <t>"shlížet-001"</t>
  </si>
  <si>
    <t>"shnít-001"</t>
  </si>
  <si>
    <t>"shodit-001"</t>
  </si>
  <si>
    <t>"shodit-002"</t>
  </si>
  <si>
    <t>DPHR: pod-1[stůl.S4]</t>
  </si>
  <si>
    <t>"shodit-003"</t>
  </si>
  <si>
    <t>"shodnout-se-001"</t>
  </si>
  <si>
    <t>?PAT: ↓že; v+6; na+6; ↓c</t>
  </si>
  <si>
    <t>PAT-&gt;ARG0/1,ARG1/24</t>
  </si>
  <si>
    <t>ACT-&gt;ARG0/555</t>
  </si>
  <si>
    <t>ADDR-&gt;ARG1/17,ARG2/32</t>
  </si>
  <si>
    <t>PAT-&gt;ARG0/1,ARG1/453,ARG2/7</t>
  </si>
  <si>
    <t>"shodovat-se-001"</t>
  </si>
  <si>
    <t>PAT: ↓že; v+6; na+6; ↓zda</t>
  </si>
  <si>
    <t>ACT-&gt;ARG0/12244,ARG1/54</t>
  </si>
  <si>
    <t>PAT-&gt;ARG0/3,ARG1/10579,ARG2/2</t>
  </si>
  <si>
    <t>"shodovat-se-002"</t>
  </si>
  <si>
    <t>ACT-&gt;ARG0/74,ARG1/28</t>
  </si>
  <si>
    <t>PAT-&gt;ARG1/195,ARG2/4</t>
  </si>
  <si>
    <t>"shořet-001"</t>
  </si>
  <si>
    <t>"shrabat-001"</t>
  </si>
  <si>
    <t>"shrabat-002"</t>
  </si>
  <si>
    <t>"shrabovat-001"</t>
  </si>
  <si>
    <t>"shrabávat-001"</t>
  </si>
  <si>
    <t>"shrnout-001"</t>
  </si>
  <si>
    <t>ACT-&gt;ARG0/4,ARG2/2</t>
  </si>
  <si>
    <t>PAT: 4; ↓že; .s; ↓c</t>
  </si>
  <si>
    <t>"shrnout-002"</t>
  </si>
  <si>
    <t>"shrnovat-001"</t>
  </si>
  <si>
    <t>ACT-&gt;ARG0/535,ARG1/1</t>
  </si>
  <si>
    <t>PAT: 4; ↓že; .s; ↓c; .v</t>
  </si>
  <si>
    <t>PAT-&gt;ARG1/580</t>
  </si>
  <si>
    <t>"shrnovat-002"</t>
  </si>
  <si>
    <t>"shrnovat-003"</t>
  </si>
  <si>
    <t>"shromažďovat-001"</t>
  </si>
  <si>
    <t>"shromažďovat-se-001"</t>
  </si>
  <si>
    <t>"shromáždit-001"</t>
  </si>
  <si>
    <t>ACT-&gt;ARG0/51,ARG1/9</t>
  </si>
  <si>
    <t>"shromáždit-se-001"</t>
  </si>
  <si>
    <t>ACT-&gt;ARG0/7,ARG1/10</t>
  </si>
  <si>
    <t>"shromáždit-se-002"</t>
  </si>
  <si>
    <t>"shrábnout-001"</t>
  </si>
  <si>
    <t>"shánět-001"</t>
  </si>
  <si>
    <t>ACT-&gt;ARG0/310,ARG2/1</t>
  </si>
  <si>
    <t>PAT-&gt;ARG1/492</t>
  </si>
  <si>
    <t>"shánět-se-001"</t>
  </si>
  <si>
    <t>"shýbnout-se-001"</t>
  </si>
  <si>
    <t>?PAT: pro+4</t>
  </si>
  <si>
    <t>"signalizovat-001"</t>
  </si>
  <si>
    <t>PAT-&gt;ARG0/1,ARG1/482</t>
  </si>
  <si>
    <t>ADDR-&gt;ARG0/1</t>
  </si>
  <si>
    <t>"signalizovat-002"</t>
  </si>
  <si>
    <t>"signalizovat-003"</t>
  </si>
  <si>
    <t>"signovat-001"</t>
  </si>
  <si>
    <t>"simulovat-001"</t>
  </si>
  <si>
    <t>"situovat-001"</t>
  </si>
  <si>
    <t>"sjednat-001"</t>
  </si>
  <si>
    <t>ACT-&gt;ARG0/643,ARG1/1</t>
  </si>
  <si>
    <t>PAT: 4; ↓že; ↓c; ↓zda; ↓jestli; ↓aby</t>
  </si>
  <si>
    <t>PAT-&gt;ARG0/2,ARG1/1025,ARG2/63,ARG3/1</t>
  </si>
  <si>
    <t>ADDR-&gt;ARG1/35,ARG2/3,ARG4/7</t>
  </si>
  <si>
    <t>"sjednocovat-001"</t>
  </si>
  <si>
    <t>?EFF: do+2; v+4; na+4</t>
  </si>
  <si>
    <t>"sjednotit-001"</t>
  </si>
  <si>
    <t>ACT-&gt;ARG0/24,ARG1/1</t>
  </si>
  <si>
    <t>PAT-&gt;ARG1/64,ARG2/2</t>
  </si>
  <si>
    <t>EFF-&gt;ARG2/5,ARG3/1</t>
  </si>
  <si>
    <t>"sjednotit-se-001"</t>
  </si>
  <si>
    <t>"sjednávat-001"</t>
  </si>
  <si>
    <t>PAT-&gt;ARG1/115,ARG2/63</t>
  </si>
  <si>
    <t>"sjednávat-002"</t>
  </si>
  <si>
    <t>DPHR: pořádek.S4</t>
  </si>
  <si>
    <t>"sjet-001"</t>
  </si>
  <si>
    <t>"sjet-002"</t>
  </si>
  <si>
    <t>"sjet-003"</t>
  </si>
  <si>
    <t>"sjet-004"</t>
  </si>
  <si>
    <t>"sjet-se-001"</t>
  </si>
  <si>
    <t>"sjet-se-002"</t>
  </si>
  <si>
    <t>"sjezdit-001"</t>
  </si>
  <si>
    <t>"sjezdovat-001"</t>
  </si>
  <si>
    <t>"sjíždět-001"</t>
  </si>
  <si>
    <t>DIR1-&gt;ARG1/3,ARG2/1</t>
  </si>
  <si>
    <t>"sjíždět-002"</t>
  </si>
  <si>
    <t>"sjíždět-se-001"</t>
  </si>
  <si>
    <t>"sjíždět-se-002"</t>
  </si>
  <si>
    <t>"sjíždět-se-003"</t>
  </si>
  <si>
    <t>"skamarádit-se-001"</t>
  </si>
  <si>
    <t>"skandalizovat-001"</t>
  </si>
  <si>
    <t>"skandovat-001"</t>
  </si>
  <si>
    <t>"skartovat-001"</t>
  </si>
  <si>
    <t>"skautovat-001"</t>
  </si>
  <si>
    <t>"skejsnout-001"</t>
  </si>
  <si>
    <t>"skenovat-001"</t>
  </si>
  <si>
    <t>"skladovat-001"</t>
  </si>
  <si>
    <t>ACT-&gt;ARG0/9,ARG2/1</t>
  </si>
  <si>
    <t>"sklapnout-001"</t>
  </si>
  <si>
    <t>"sklapnout-002"</t>
  </si>
  <si>
    <t>"sklapnout-003"</t>
  </si>
  <si>
    <t>"sklepnout-001"</t>
  </si>
  <si>
    <t>"sklidit-001"</t>
  </si>
  <si>
    <t>"sklidit-002"</t>
  </si>
  <si>
    <t>"sklidit-003"</t>
  </si>
  <si>
    <t>"sklonit-001"</t>
  </si>
  <si>
    <t>DPHR: hlava.4</t>
  </si>
  <si>
    <t>"sklonit-se-001"</t>
  </si>
  <si>
    <t>"sklonit-se-002"</t>
  </si>
  <si>
    <t>"sklopit-001"</t>
  </si>
  <si>
    <t>"skloubit-001"</t>
  </si>
  <si>
    <t>"sklouznout-001"</t>
  </si>
  <si>
    <t>ACT-&gt;ARG1/194</t>
  </si>
  <si>
    <t>PAT-&gt;ARG2/2,ARG4/82,ARGm-LOC/1</t>
  </si>
  <si>
    <t>ORIG-&gt;ARG3/10,ARGm-LOC/1</t>
  </si>
  <si>
    <t>"sklouznout-002"</t>
  </si>
  <si>
    <t>DIR3-&gt;ARG1/4</t>
  </si>
  <si>
    <t>"sklouznout-se-001"</t>
  </si>
  <si>
    <t>"sklouzávat-001"</t>
  </si>
  <si>
    <t>DIR3-&gt;ARGm-LOC/1</t>
  </si>
  <si>
    <t>"skládat-001"</t>
  </si>
  <si>
    <t>"skládat-002"</t>
  </si>
  <si>
    <t>"skládat-003"</t>
  </si>
  <si>
    <t>"skládat-004"</t>
  </si>
  <si>
    <t>"skládat-005"</t>
  </si>
  <si>
    <t>DPHR: poklona.4</t>
  </si>
  <si>
    <t>"skládat-006"</t>
  </si>
  <si>
    <t>"skládat-007"</t>
  </si>
  <si>
    <t>"skládat-se-001"</t>
  </si>
  <si>
    <t>"skládat-se-002"</t>
  </si>
  <si>
    <t>ACT-&gt;ARG0/3,ARG1/64,ARG2/1</t>
  </si>
  <si>
    <t>PAT-&gt;ARG0/29,ARG1/3,ARG2/113</t>
  </si>
  <si>
    <t>"sklánět-se-001"</t>
  </si>
  <si>
    <t>"sklánět-se-002"</t>
  </si>
  <si>
    <t>"sklápět-001"</t>
  </si>
  <si>
    <t>"sklízet-001"</t>
  </si>
  <si>
    <t>"sklízet-002"</t>
  </si>
  <si>
    <t>"skolit-001"</t>
  </si>
  <si>
    <t>"skoncovat-001"</t>
  </si>
  <si>
    <t>"skončit-001"</t>
  </si>
  <si>
    <t>ACT-&gt;ARG0/27,ARG1/3463,ARG2/296</t>
  </si>
  <si>
    <t>PAT-&gt;ARG1/67,ARGm-EXT/352,ARGm-MNR/260</t>
  </si>
  <si>
    <t>"skončit-002"</t>
  </si>
  <si>
    <t>ACT-&gt;ARG0/69,ARG1/76</t>
  </si>
  <si>
    <t>PAT-&gt;ARG1/122,ARG2/16,ARGm-MNR/8</t>
  </si>
  <si>
    <t>"skončit-003"</t>
  </si>
  <si>
    <t>LOC-&gt;ARG2/8</t>
  </si>
  <si>
    <t>"skončit-004"</t>
  </si>
  <si>
    <t>ACT-&gt;ARG1/406</t>
  </si>
  <si>
    <t>LOC-&gt;ARG1/1,ARG2/22,ARG4/29,ARGm-EXT/392,ARGm-MNR/281</t>
  </si>
  <si>
    <t>ACT-&gt;ARG0/1,ARG1/114</t>
  </si>
  <si>
    <t>LOC-&gt;ARG2/22,ARG4/29,ARGm-EXT/40,ARGm-MNR/21</t>
  </si>
  <si>
    <t>ACT-&gt;ARG0/1,ARG1/563,ARG4/1</t>
  </si>
  <si>
    <t>LOC-&gt;ARG1/10,ARG2/68,ARG4/60,ARGm-EXT/397,ARGm-MNR/284</t>
  </si>
  <si>
    <t>"skončit-005"</t>
  </si>
  <si>
    <t>ACT-&gt;ARG0/19,ARG1/3702,ARG2/296</t>
  </si>
  <si>
    <t>"skončit-006"</t>
  </si>
  <si>
    <t>ACT-&gt;ARG0/133,ARG1/608</t>
  </si>
  <si>
    <t>MANN-&gt;ARG1/46,ARG2/151,ARGm-EXT/1,ARGm-MNR/7</t>
  </si>
  <si>
    <t>MEANS-&gt;ARG2/101,ARGm-EXT/40,ARGm-MNR/21</t>
  </si>
  <si>
    <t>ACMP-&gt;ARG1/3,ARG2/66,ARG4/29</t>
  </si>
  <si>
    <t>"skončit-007"</t>
  </si>
  <si>
    <t>MANN-&gt;ARG2/3</t>
  </si>
  <si>
    <t>MEANS-&gt;ARG2/10</t>
  </si>
  <si>
    <t>ACMP-&gt;ARG1/9,ARG2/16</t>
  </si>
  <si>
    <t>"skončit-008"</t>
  </si>
  <si>
    <t>ACT-&gt;ARG1/65</t>
  </si>
  <si>
    <t>PAT: změnit.v$2&lt;s&gt;</t>
  </si>
  <si>
    <t>PAT-&gt;ARG2/14,ARG4/29</t>
  </si>
  <si>
    <t>"--skončit-009"</t>
  </si>
  <si>
    <t>"--skončit-010"</t>
  </si>
  <si>
    <t>"skončit-se-001"</t>
  </si>
  <si>
    <t>"skotačit-001"</t>
  </si>
  <si>
    <t>"skoulet-001"</t>
  </si>
  <si>
    <t>"skoupit-001"</t>
  </si>
  <si>
    <t>ACT-&gt;ARG0/422,ARG1/1</t>
  </si>
  <si>
    <t>PAT-&gt;ARG0/2,ARG1/786,ARG3/1</t>
  </si>
  <si>
    <t>ORIG-&gt;ARG1/1,ARG2/57</t>
  </si>
  <si>
    <t>"skousnout-001"</t>
  </si>
  <si>
    <t>"skočit-001"</t>
  </si>
  <si>
    <t>"skočit-002"</t>
  </si>
  <si>
    <t>"skočit-003"</t>
  </si>
  <si>
    <t>"skočit-004"</t>
  </si>
  <si>
    <t>"skočit-005"</t>
  </si>
  <si>
    <t>ACT-&gt;ARG1/125</t>
  </si>
  <si>
    <t>PAT-&gt;ARG4/120</t>
  </si>
  <si>
    <t>"skočit-006"</t>
  </si>
  <si>
    <t>"skočit-007"</t>
  </si>
  <si>
    <t>"skrečovat-001"</t>
  </si>
  <si>
    <t>"skrýt-001"</t>
  </si>
  <si>
    <t>PAT-&gt;ARG0/2,ARG1/29</t>
  </si>
  <si>
    <t>ADDR-&gt;ARG2/4</t>
  </si>
  <si>
    <t>"skrýt-002"</t>
  </si>
  <si>
    <t>"skrývat-001"</t>
  </si>
  <si>
    <t>ACT-&gt;ARG0/24,ARG1/2</t>
  </si>
  <si>
    <t>PAT-&gt;ARG0/2,ARG1/31</t>
  </si>
  <si>
    <t>"skrývat-002"</t>
  </si>
  <si>
    <t>"skrývat-003"</t>
  </si>
  <si>
    <t>"skrývat-se-001"</t>
  </si>
  <si>
    <t>ACT-&gt;ARG0/4,ARG1/35</t>
  </si>
  <si>
    <t>LOC-&gt;ARG2/34</t>
  </si>
  <si>
    <t>"skrčit-001"</t>
  </si>
  <si>
    <t>"skrčit-se-001"</t>
  </si>
  <si>
    <t>"skupovat-001"</t>
  </si>
  <si>
    <t>ACT-&gt;ARG0/401,ARG1/1</t>
  </si>
  <si>
    <t>"skvět-se-001"</t>
  </si>
  <si>
    <t>"skácet-se-001"</t>
  </si>
  <si>
    <t>"skácet-se-002"</t>
  </si>
  <si>
    <t>"skákat-001"</t>
  </si>
  <si>
    <t>"skákat-002"</t>
  </si>
  <si>
    <t>"skákat-003"</t>
  </si>
  <si>
    <t>"skákat-004"</t>
  </si>
  <si>
    <t>"skórovat-001"</t>
  </si>
  <si>
    <t>"skýtat-001"</t>
  </si>
  <si>
    <t>PAT-&gt;ARG1/386</t>
  </si>
  <si>
    <t>"skýtat-002"</t>
  </si>
  <si>
    <t>CPHR: {možnost,pomoc,rada-1,služba,záruka,...}.4</t>
  </si>
  <si>
    <t>"skřípat-001"</t>
  </si>
  <si>
    <t>"skřípat-002"</t>
  </si>
  <si>
    <t>"skřípat-003"</t>
  </si>
  <si>
    <t>"sladit-001"</t>
  </si>
  <si>
    <t>"sladit-002"</t>
  </si>
  <si>
    <t>"slavit-001"</t>
  </si>
  <si>
    <t>"slavit-002"</t>
  </si>
  <si>
    <t>"slavívat-001"</t>
  </si>
  <si>
    <t>"sledovat-001"</t>
  </si>
  <si>
    <t>ACT-&gt;ARG0/289,ARG1/116</t>
  </si>
  <si>
    <t>PAT-&gt;ARG1/446,ARG2/95</t>
  </si>
  <si>
    <t>"sledovat-002"</t>
  </si>
  <si>
    <t>ACT-&gt;ARG0/794,ARG1/5</t>
  </si>
  <si>
    <t>PAT: 4; ↓že; ↓jak-2; ↓zda; ↓jestli; ↓c</t>
  </si>
  <si>
    <t>PAT-&gt;ARG1/1118,ARG2/4</t>
  </si>
  <si>
    <t>"sledovat-003"</t>
  </si>
  <si>
    <t>ACT-&gt;ARG0/517,ARG1/5</t>
  </si>
  <si>
    <t>PAT-&gt;ARG0/3,ARG1/683,ARG2/1</t>
  </si>
  <si>
    <t>"sledovat-004"</t>
  </si>
  <si>
    <t>ACT-&gt;ARG0/354,ARG1/28</t>
  </si>
  <si>
    <t>PAT-&gt;ARG1/499,ARG2/28</t>
  </si>
  <si>
    <t>"sledovat-005"</t>
  </si>
  <si>
    <t>PAT-&gt;ARG0/1,ARG1/60</t>
  </si>
  <si>
    <t>"slehnout-001"</t>
  </si>
  <si>
    <t>"slehnout-002"</t>
  </si>
  <si>
    <t>"slehnout-se-001"</t>
  </si>
  <si>
    <t>DPHR: země.S1</t>
  </si>
  <si>
    <t>"slepit-001"</t>
  </si>
  <si>
    <t>"sletět-001"</t>
  </si>
  <si>
    <t>"slevit-001"</t>
  </si>
  <si>
    <t>"slevit-002"</t>
  </si>
  <si>
    <t>"slibovat-001"</t>
  </si>
  <si>
    <t>ACT-&gt;ARG0/94,ARG2/1</t>
  </si>
  <si>
    <t>PAT-&gt;ARG1/25,ARG2/87</t>
  </si>
  <si>
    <t>"slibovat-si-001"</t>
  </si>
  <si>
    <t>"slisovat-001"</t>
  </si>
  <si>
    <t>"sloupnout-001"</t>
  </si>
  <si>
    <t>"slout-001"</t>
  </si>
  <si>
    <t>"slout-002"</t>
  </si>
  <si>
    <t>PAT: {jako,jakožto}.1/AuxY</t>
  </si>
  <si>
    <t>"sloučit-001"</t>
  </si>
  <si>
    <t>ACT-&gt;ARG0/22,ARG1/15</t>
  </si>
  <si>
    <t>PAT-&gt;ARG1/75,ARG2/11</t>
  </si>
  <si>
    <t>ADDR-&gt;ARG1/2,ARG2/37</t>
  </si>
  <si>
    <t>EFF-&gt;ARG2/5,ARG3/2</t>
  </si>
  <si>
    <t>"sloučit-002"</t>
  </si>
  <si>
    <t>ACT-&gt;ARG0/20,ARG1/14</t>
  </si>
  <si>
    <t>PAT-&gt;ARG1/68,ARG2/11</t>
  </si>
  <si>
    <t>"sloučit-se-001"</t>
  </si>
  <si>
    <t>ACT-&gt;ARG0/8,ARG1/46</t>
  </si>
  <si>
    <t>PAT-&gt;ARG0/6,ARG1/7,ARG2/25</t>
  </si>
  <si>
    <t>"sloužit-001"</t>
  </si>
  <si>
    <t>ACT-&gt;ARG0/17,ARG1/5</t>
  </si>
  <si>
    <t>PAT: 3; k+3; pro+4</t>
  </si>
  <si>
    <t>PAT-&gt;ARG1/1,ARG2/34</t>
  </si>
  <si>
    <t>ACT-&gt;ARG0/86,ARG1/3102,ARG2/296</t>
  </si>
  <si>
    <t>PAT-&gt;ARG1/12,ARG2/42</t>
  </si>
  <si>
    <t>"sloužit-002"</t>
  </si>
  <si>
    <t>"sloužit-003"</t>
  </si>
  <si>
    <t>"sloužit-004"</t>
  </si>
  <si>
    <t>ACT-&gt;ARG0/109,ARG1/5</t>
  </si>
  <si>
    <t>"sloužit-005"</t>
  </si>
  <si>
    <t>ACT-&gt;ARG0/69,ARG1/3102,ARG2/296</t>
  </si>
  <si>
    <t>"sloužit-006"</t>
  </si>
  <si>
    <t>"sloužit-007"</t>
  </si>
  <si>
    <t>"složit-001"</t>
  </si>
  <si>
    <t>"složit-002"</t>
  </si>
  <si>
    <t>"složit-003"</t>
  </si>
  <si>
    <t>ORIG-&gt;ARG2/93</t>
  </si>
  <si>
    <t>"složit-004"</t>
  </si>
  <si>
    <t>"složit-005"</t>
  </si>
  <si>
    <t>"složit-006"</t>
  </si>
  <si>
    <t>"složit-007"</t>
  </si>
  <si>
    <t>"složit-008"</t>
  </si>
  <si>
    <t>DPHR: ruka:P4,do-1[klín:S2]</t>
  </si>
  <si>
    <t>"složit-009"</t>
  </si>
  <si>
    <t>"složit-010"</t>
  </si>
  <si>
    <t>DPHR: kompliment.S4</t>
  </si>
  <si>
    <t>"složit-011"</t>
  </si>
  <si>
    <t>"složit-012"</t>
  </si>
  <si>
    <t>"složit-013"</t>
  </si>
  <si>
    <t>"složit-se-001"</t>
  </si>
  <si>
    <t>"složit-se-002"</t>
  </si>
  <si>
    <t>"složit-se-003"</t>
  </si>
  <si>
    <t>"slunit-se-001"</t>
  </si>
  <si>
    <t>"slupnout-001"</t>
  </si>
  <si>
    <t>"slučovat-001"</t>
  </si>
  <si>
    <t>"slučovat-se-001"</t>
  </si>
  <si>
    <t>PAT-&gt;ARG1/5,ARG2/18</t>
  </si>
  <si>
    <t>"slučovat-se-002"</t>
  </si>
  <si>
    <t>"slušet-001"</t>
  </si>
  <si>
    <t>"slušet-se-001"</t>
  </si>
  <si>
    <t>"slyšet-001"</t>
  </si>
  <si>
    <t>PAT: 4; o+6</t>
  </si>
  <si>
    <t>PAT-&gt;ARG1/91,ARG2/10</t>
  </si>
  <si>
    <t>"slyšet-002"</t>
  </si>
  <si>
    <t>EFF: .f; ↓jak-2; ↓že; ↓c</t>
  </si>
  <si>
    <t>EFF-&gt;ARG1/79,ARG2/4</t>
  </si>
  <si>
    <t>"slyšet-003"</t>
  </si>
  <si>
    <t>PAT: 4; ↓že; ↓jak-2; ↓jestli; ↓zda; ↓c; .f</t>
  </si>
  <si>
    <t>ACT-&gt;ARG0/395,ARG1/1</t>
  </si>
  <si>
    <t>PAT-&gt;ARG1/438,ARG2/20</t>
  </si>
  <si>
    <t>"slyšet-004"</t>
  </si>
  <si>
    <t>"slyšet-005"</t>
  </si>
  <si>
    <t>"slyšet-006"</t>
  </si>
  <si>
    <t>DPHR: tráva.S4[růst.$2&lt;f&gt;$11&lt;A&gt;]</t>
  </si>
  <si>
    <t>"--slyšet-se-001"</t>
  </si>
  <si>
    <t>"slábnout-001"</t>
  </si>
  <si>
    <t>ACT-&gt;ARG1/49</t>
  </si>
  <si>
    <t>"slétat-se-001"</t>
  </si>
  <si>
    <t>"slétnout-001"</t>
  </si>
  <si>
    <t>"slévat-se-001"</t>
  </si>
  <si>
    <t>"slézat-001"</t>
  </si>
  <si>
    <t>"slézt-001"</t>
  </si>
  <si>
    <t>"slíbit-001"</t>
  </si>
  <si>
    <t>ACT-&gt;ARG0/12215,ARG1/36,ARG2/1</t>
  </si>
  <si>
    <t>PAT-&gt;ARG0/2,ARG1/10517,ARG2/92</t>
  </si>
  <si>
    <t>ADDR-&gt;ARG1/14,ARG2/9</t>
  </si>
  <si>
    <t>"slídit-001"</t>
  </si>
  <si>
    <t>"slít-se-001"</t>
  </si>
  <si>
    <t>"slýchat-001"</t>
  </si>
  <si>
    <t>PAT-&gt;ARG1/79,ARG2/4</t>
  </si>
  <si>
    <t>"slýchat-002"</t>
  </si>
  <si>
    <t>?ORIG: od+2; strana-3.S2[z-1]</t>
  </si>
  <si>
    <t>"slýchávat-001"</t>
  </si>
  <si>
    <t>"slýchávat-002"</t>
  </si>
  <si>
    <t>"smazat-001"</t>
  </si>
  <si>
    <t>"smazat-002"</t>
  </si>
  <si>
    <t>"smazávat-001"</t>
  </si>
  <si>
    <t>"smažit-001"</t>
  </si>
  <si>
    <t>"smekat-001"</t>
  </si>
  <si>
    <t>"smeknout-001"</t>
  </si>
  <si>
    <t>"smeknout-002"</t>
  </si>
  <si>
    <t>"smeknout-se-001"</t>
  </si>
  <si>
    <t>"smilovat-se-001"</t>
  </si>
  <si>
    <t>"smiřovat-se-001"</t>
  </si>
  <si>
    <t>"smlouvat-001"</t>
  </si>
  <si>
    <t>PAT: 4; z+2; ↓že; ↓aby; ↓c</t>
  </si>
  <si>
    <t>"smlouvat-002"</t>
  </si>
  <si>
    <t>"smluvit-001"</t>
  </si>
  <si>
    <t>"smolit-001"</t>
  </si>
  <si>
    <t>"smontovat-001"</t>
  </si>
  <si>
    <t>"smotat-001"</t>
  </si>
  <si>
    <t>"smočit-se-001"</t>
  </si>
  <si>
    <t>"smrdět-001"</t>
  </si>
  <si>
    <t>"smrkat-001"</t>
  </si>
  <si>
    <t>"smrsknout-se-001"</t>
  </si>
  <si>
    <t>ACT-&gt;ARG1/17</t>
  </si>
  <si>
    <t>"smrákat-se-001"</t>
  </si>
  <si>
    <t>"smrštit-se-001"</t>
  </si>
  <si>
    <t>"smršťovat-001"</t>
  </si>
  <si>
    <t>"smršťovat-se-001"</t>
  </si>
  <si>
    <t>"smát-se-001"</t>
  </si>
  <si>
    <t>"smát-se-002"</t>
  </si>
  <si>
    <t>"smést-001"</t>
  </si>
  <si>
    <t>"smést-002"</t>
  </si>
  <si>
    <t>"smést-003"</t>
  </si>
  <si>
    <t>"smíchat-001"</t>
  </si>
  <si>
    <t>"smířit-se-001"</t>
  </si>
  <si>
    <t>PAT-&gt;ARG1/2,ARG2/1,ARG3/2</t>
  </si>
  <si>
    <t>"smířit-se-002"</t>
  </si>
  <si>
    <t>"smýkat-001"</t>
  </si>
  <si>
    <t>"smýkat-002"</t>
  </si>
  <si>
    <t>"smýt-001"</t>
  </si>
  <si>
    <t>"smývat-001"</t>
  </si>
  <si>
    <t>"smýšlet-001"</t>
  </si>
  <si>
    <t>"směnit-001"</t>
  </si>
  <si>
    <t>"směnit-002"</t>
  </si>
  <si>
    <t>"směrovat-001"</t>
  </si>
  <si>
    <t>"směrovat-002"</t>
  </si>
  <si>
    <t>"směstnat-001"</t>
  </si>
  <si>
    <t>"směstnat-002"</t>
  </si>
  <si>
    <t>"smět-001"</t>
  </si>
  <si>
    <t>"směňovat-001"</t>
  </si>
  <si>
    <t>"směřovat-001"</t>
  </si>
  <si>
    <t>"směřovat-002"</t>
  </si>
  <si>
    <t>ACT-&gt;ARG0/2316,ARG1/245</t>
  </si>
  <si>
    <t>PAT-&gt;ARG0/1,ARG1/2263,ARG2/186</t>
  </si>
  <si>
    <t>"směřovat-003"</t>
  </si>
  <si>
    <t>ACT-&gt;ARG0/35,ARG1/212</t>
  </si>
  <si>
    <t>DIR3-&gt;ARG2/105,ARG5/28</t>
  </si>
  <si>
    <t>"směřovat-004"</t>
  </si>
  <si>
    <t>ACT-&gt;ARG0/31,ARG1/163,ARG2/2</t>
  </si>
  <si>
    <t>DIR3-&gt;ARG1/21,ARG2/35</t>
  </si>
  <si>
    <t>"snažit-se-001"</t>
  </si>
  <si>
    <t>ACT-&gt;ARG0/823,ARG1/3209,ARG2/298</t>
  </si>
  <si>
    <t>PAT-&gt;ARG1/1117,ARG2/8</t>
  </si>
  <si>
    <t>"snižovat-001"</t>
  </si>
  <si>
    <t>ACT-&gt;ARG0/666,ARG1/167</t>
  </si>
  <si>
    <t>PAT-&gt;ARG1/1329,ARG2/2,ARG4/4</t>
  </si>
  <si>
    <t>ORIG-&gt;ARG2/1,ARG3/67,ARG4/1</t>
  </si>
  <si>
    <t>EFF-&gt;ARG2/13,ARG4/129,ARGm-LOC/1</t>
  </si>
  <si>
    <t>"snižovat-se-001"</t>
  </si>
  <si>
    <t>ACT-&gt;ARG1/348</t>
  </si>
  <si>
    <t>PAT-&gt;ARG4/80,ARGm-LOC/1</t>
  </si>
  <si>
    <t>ORIG-&gt;ARG3/44</t>
  </si>
  <si>
    <t>"snoubit-001"</t>
  </si>
  <si>
    <t>"snoubit-se-001"</t>
  </si>
  <si>
    <t>"snout-001"</t>
  </si>
  <si>
    <t>DPHR: plán.P4</t>
  </si>
  <si>
    <t>"snášet-001"</t>
  </si>
  <si>
    <t>ACT-&gt;ARG0/15,ARG1/8</t>
  </si>
  <si>
    <t>PAT-&gt;ARG1/15,ARG2/10</t>
  </si>
  <si>
    <t>"snášet-002"</t>
  </si>
  <si>
    <t>"snášet-003"</t>
  </si>
  <si>
    <t>"snášet-004"</t>
  </si>
  <si>
    <t>"--snášet-se-001"</t>
  </si>
  <si>
    <t>"snést-001"</t>
  </si>
  <si>
    <t>ACT-&gt;ARG0/347,ARG1/2</t>
  </si>
  <si>
    <t>PAT-&gt;ARG1/385</t>
  </si>
  <si>
    <t>"snést-002"</t>
  </si>
  <si>
    <t>"snést-se-001"</t>
  </si>
  <si>
    <t>"snést-se-002"</t>
  </si>
  <si>
    <t>"snídat-001"</t>
  </si>
  <si>
    <t>"snímat-001"</t>
  </si>
  <si>
    <t>"snímat-002"</t>
  </si>
  <si>
    <t>"sníst-001"</t>
  </si>
  <si>
    <t>"sníst-002"</t>
  </si>
  <si>
    <t>DPHR: hovno.4[Šalamounův.#]</t>
  </si>
  <si>
    <t>"snít-001"</t>
  </si>
  <si>
    <t>"snít-002"</t>
  </si>
  <si>
    <t>"snít-003"</t>
  </si>
  <si>
    <t>"snít-se-001"</t>
  </si>
  <si>
    <t>?EFF: o+6</t>
  </si>
  <si>
    <t>"snít-si-001"</t>
  </si>
  <si>
    <t>"snížit-001"</t>
  </si>
  <si>
    <t>ACT-&gt;ARG0/844,ARG1/654,ARG2/80</t>
  </si>
  <si>
    <t>PAT-&gt;ARG1/4731,ARG2/301,ARG4/27</t>
  </si>
  <si>
    <t>ORIG-&gt;ARG2/1,ARG3/226,ARG4/2</t>
  </si>
  <si>
    <t>EFF-&gt;ARG2/59,ARG3/1,ARG4/541,ARG5/1</t>
  </si>
  <si>
    <t>"snížit-002"</t>
  </si>
  <si>
    <t>"snížit-se-001"</t>
  </si>
  <si>
    <t>ACT-&gt;ARG1/1704,ARG2/4</t>
  </si>
  <si>
    <t>PAT-&gt;ARG2/19,ARG4/815,ARGm-LOC/1</t>
  </si>
  <si>
    <t>ORIG-&gt;ARG3/292,ARG4/6</t>
  </si>
  <si>
    <t>"snížit-se-002"</t>
  </si>
  <si>
    <t>"sněžit-001"</t>
  </si>
  <si>
    <t>"sněžit-002"</t>
  </si>
  <si>
    <t>"solit-001"</t>
  </si>
  <si>
    <t>"sondovat-001"</t>
  </si>
  <si>
    <t>"soptit-001"</t>
  </si>
  <si>
    <t>"soptit-002"</t>
  </si>
  <si>
    <t>"soucítit-001"</t>
  </si>
  <si>
    <t>"soudcovat-001"</t>
  </si>
  <si>
    <t>"soudcovat-002"</t>
  </si>
  <si>
    <t>"soudit-001"</t>
  </si>
  <si>
    <t>ACT-&gt;ARG0/5,ARG3/2</t>
  </si>
  <si>
    <t>PAT-&gt;ARG1/14,ARG2/1,ARG3/1</t>
  </si>
  <si>
    <t>"soudit-002"</t>
  </si>
  <si>
    <t>ACT-&gt;ARG0/605,ARG1/6,ARG3/2</t>
  </si>
  <si>
    <t>EFF-&gt;ARG1/666,ARG2/2</t>
  </si>
  <si>
    <t>PAT-&gt;ARG1/15,ARG2/4,ARG3/1</t>
  </si>
  <si>
    <t>"soudit-003"</t>
  </si>
  <si>
    <t>?ACT: ↓c</t>
  </si>
  <si>
    <t>DPHR: bůh.S1</t>
  </si>
  <si>
    <t>"soudit-se-001"</t>
  </si>
  <si>
    <t>PAT-&gt;ARG2/13,ARG3/2</t>
  </si>
  <si>
    <t>ADDR-&gt;ARG1/38</t>
  </si>
  <si>
    <t>"souhlasit-001"</t>
  </si>
  <si>
    <t>ACT-&gt;ARG0/458</t>
  </si>
  <si>
    <t>PAT: v+6; ↓že; ↓aby; .s</t>
  </si>
  <si>
    <t>ADDR-&gt;ARG1/13,ARG2/7</t>
  </si>
  <si>
    <t>ACT-&gt;ARG0/569</t>
  </si>
  <si>
    <t>PAT-&gt;ARG0/1,ARG1/454,ARG2/6</t>
  </si>
  <si>
    <t>ADDR-&gt;ARG1/21,ARG2/13</t>
  </si>
  <si>
    <t>"souhlasit-002"</t>
  </si>
  <si>
    <t>ACT-&gt;ARG0/26,ARG1/3</t>
  </si>
  <si>
    <t>"souhlasit-003"</t>
  </si>
  <si>
    <t>ACT-&gt;ARG0/393</t>
  </si>
  <si>
    <t>PAT: s+7; ↓aby; ↓že; .f</t>
  </si>
  <si>
    <t>PAT-&gt;ARG1/331,ARG2/10</t>
  </si>
  <si>
    <t>ACT-&gt;ARG0/870,ARG1/1</t>
  </si>
  <si>
    <t>PAT-&gt;ARG0/1,ARG1/848,ARG2/9</t>
  </si>
  <si>
    <t>ACT-&gt;ARG0/644,ARG1/12</t>
  </si>
  <si>
    <t>PAT-&gt;ARG1/629,ARG2/17</t>
  </si>
  <si>
    <t>ACT-&gt;ARG0/438</t>
  </si>
  <si>
    <t>PAT-&gt;ARG1/12,ARG2/4</t>
  </si>
  <si>
    <t>"--souhlasit-004"</t>
  </si>
  <si>
    <t>"souložit-001"</t>
  </si>
  <si>
    <t>"soupeřit-001"</t>
  </si>
  <si>
    <t>ADDR: s+7; proti+3</t>
  </si>
  <si>
    <t>?PAT: o+4; za+4; ↓c</t>
  </si>
  <si>
    <t>ADDR-&gt;ARG1/31,ARG2/1</t>
  </si>
  <si>
    <t>PAT-&gt;ARG1/1,ARG2/10</t>
  </si>
  <si>
    <t>"sousedit-001"</t>
  </si>
  <si>
    <t>"soustředit-001"</t>
  </si>
  <si>
    <t>PAT-&gt;ARG0/1,ARG1/30,ARG2/8</t>
  </si>
  <si>
    <t>EFF-&gt;ARG1/12,ARG2/4</t>
  </si>
  <si>
    <t>"soustředit-002"</t>
  </si>
  <si>
    <t>PAT-&gt;ARG1/2,ARG2/8</t>
  </si>
  <si>
    <t>"soustředit-003"</t>
  </si>
  <si>
    <t>PAT-&gt;ARG0/10,ARG1/8,ARG2/8</t>
  </si>
  <si>
    <t>DIR3-&gt;ARG1/12,ARG2/5</t>
  </si>
  <si>
    <t>"soustředit-se-001"</t>
  </si>
  <si>
    <t>ACT-&gt;ARG0/103,ARG1/7,ARG2/1</t>
  </si>
  <si>
    <t>PAT-&gt;ARG0/1,ARG1/142,ARG2/9</t>
  </si>
  <si>
    <t>"soustředit-se-002"</t>
  </si>
  <si>
    <t>"soustředit-se-003"</t>
  </si>
  <si>
    <t>"soustřeďovat-001"</t>
  </si>
  <si>
    <t>"soustřeďovat-se-001"</t>
  </si>
  <si>
    <t>ACT-&gt;ARG0/79,ARG1/7,ARG2/1</t>
  </si>
  <si>
    <t>PAT-&gt;ARG1/57,ARG2/13</t>
  </si>
  <si>
    <t>"soustřeďovat-se-002"</t>
  </si>
  <si>
    <t>"soustřeďovat-se-003"</t>
  </si>
  <si>
    <t>"soutěžit-001"</t>
  </si>
  <si>
    <t>"souviset-001"</t>
  </si>
  <si>
    <t>ACT-&gt;ARG0/40,ARG1/3413,ARG2/303</t>
  </si>
  <si>
    <t>PAT-&gt;ARG0/2154,ARG1/76,ARG2/374</t>
  </si>
  <si>
    <t>"souznít-001"</t>
  </si>
  <si>
    <t>"soužit-001"</t>
  </si>
  <si>
    <t>"spadat-001"</t>
  </si>
  <si>
    <t>ACT-&gt;ARG0/336,ARG1/32</t>
  </si>
  <si>
    <t>DIR3-&gt;ARG1/366</t>
  </si>
  <si>
    <t>"spadat-002"</t>
  </si>
  <si>
    <t>"spadnout-001"</t>
  </si>
  <si>
    <t>ACT-&gt;ARG1/1484,ARG2/5</t>
  </si>
  <si>
    <t>PAT-&gt;ARG2/13,ARG3/4,ARG4/851,ARGm-LOC/2</t>
  </si>
  <si>
    <t>ORIG-&gt;ARG2/1,ARG3/256,ARG4/15,ARGm-LOC/1</t>
  </si>
  <si>
    <t>"spadnout-002"</t>
  </si>
  <si>
    <t>ACT-&gt;ARG1/309</t>
  </si>
  <si>
    <t>"spadnout-003"</t>
  </si>
  <si>
    <t>"spadnout-004"</t>
  </si>
  <si>
    <t>DPHR: do-1[klín:S2]</t>
  </si>
  <si>
    <t>"spadnout-005"</t>
  </si>
  <si>
    <t>DPHR: z-1[nebe.2]</t>
  </si>
  <si>
    <t>"spadnout-006"</t>
  </si>
  <si>
    <t>DPHR: z-1[višeň.2]</t>
  </si>
  <si>
    <t>"spadnout-007"</t>
  </si>
  <si>
    <t>"spadnout-008"</t>
  </si>
  <si>
    <t>"spakovat-001"</t>
  </si>
  <si>
    <t>"spalovat-001"</t>
  </si>
  <si>
    <t>"spalovat-002"</t>
  </si>
  <si>
    <t>"spapat-001"</t>
  </si>
  <si>
    <t>"spasit-001"</t>
  </si>
  <si>
    <t>"spatřit-001"</t>
  </si>
  <si>
    <t>"spatřit-002"</t>
  </si>
  <si>
    <t>ACT-&gt;ARG0/377,ARG1/1</t>
  </si>
  <si>
    <t>PAT-&gt;ARG1/20,ARG3/1</t>
  </si>
  <si>
    <t>EFF: .f; ↓jak-2; ↓že</t>
  </si>
  <si>
    <t>EFF-&gt;ARG1/483,ARG2/1</t>
  </si>
  <si>
    <t>"spatřit-003"</t>
  </si>
  <si>
    <t>ACT-&gt;ARG0/380,ARG1/1</t>
  </si>
  <si>
    <t>PAT-&gt;ARG1/506,ARG2/1,ARG3/1</t>
  </si>
  <si>
    <t>"spatřit-004"</t>
  </si>
  <si>
    <t>DPHR: světlo.NS4[svět.2]</t>
  </si>
  <si>
    <t>"spatřovat-001"</t>
  </si>
  <si>
    <t>ACT-&gt;ARG0/405,ARG1/1</t>
  </si>
  <si>
    <t>PAT-&gt;ARG1/510,ARG2/13</t>
  </si>
  <si>
    <t>EFF-&gt;ARG1/53</t>
  </si>
  <si>
    <t>"spatřovat-002"</t>
  </si>
  <si>
    <t>"spatřovat-003"</t>
  </si>
  <si>
    <t>"specializovat-se-001"</t>
  </si>
  <si>
    <t>"specifikovat-001"</t>
  </si>
  <si>
    <t>"spekulovat-001"</t>
  </si>
  <si>
    <t>"spekulovat-002"</t>
  </si>
  <si>
    <t>ACT-&gt;ARG0/2184,ARG1/19</t>
  </si>
  <si>
    <t>"spelovat-001"</t>
  </si>
  <si>
    <t>"spiknout-se-001"</t>
  </si>
  <si>
    <t>"splachovat-001"</t>
  </si>
  <si>
    <t>"splachovat-002"</t>
  </si>
  <si>
    <t>"splakat-001"</t>
  </si>
  <si>
    <t>"splanýrovat-001"</t>
  </si>
  <si>
    <t>"splasknout-001"</t>
  </si>
  <si>
    <t>"splatit-001"</t>
  </si>
  <si>
    <t>ACT-&gt;ARG0/440,ARG1/2,ARG2/1</t>
  </si>
  <si>
    <t>PAT-&gt;ARG0/9,ARG1/628,ARG2/13,ARG3/23</t>
  </si>
  <si>
    <t>ADDR-&gt;ARG0/1,ARG1/14,ARG2/158,ARG3/4</t>
  </si>
  <si>
    <t>"splatit-002"</t>
  </si>
  <si>
    <t>"splavovat-001"</t>
  </si>
  <si>
    <t>"splašit-001"</t>
  </si>
  <si>
    <t>"splašit-se-001"</t>
  </si>
  <si>
    <t>"splašit-se-002"</t>
  </si>
  <si>
    <t>"splnit-001"</t>
  </si>
  <si>
    <t>ACT-&gt;ARG0/366,ARG1/20,ARG3/1</t>
  </si>
  <si>
    <t>PAT-&gt;ARG0/1,ARG1/599,ARG2/35</t>
  </si>
  <si>
    <t>"splnit-se-001"</t>
  </si>
  <si>
    <t>"splynout-001"</t>
  </si>
  <si>
    <t>PAT-&gt;ARG1/4,ARG2/10</t>
  </si>
  <si>
    <t>"splácat-001"</t>
  </si>
  <si>
    <t>"splácet-001"</t>
  </si>
  <si>
    <t>ACT-&gt;ARG0/371,ARG1/11,ARG2/1</t>
  </si>
  <si>
    <t>PAT-&gt;ARG0/1,ARG1/549,ARG2/19,ARG3/15</t>
  </si>
  <si>
    <t>ADDR-&gt;ARG0/1,ARG1/12,ARG2/166,ARG3/4</t>
  </si>
  <si>
    <t>"splácet-002"</t>
  </si>
  <si>
    <t>"splácet-003"</t>
  </si>
  <si>
    <t>"spláchnout-001"</t>
  </si>
  <si>
    <t>"spláchnout-002"</t>
  </si>
  <si>
    <t>"splést-001"</t>
  </si>
  <si>
    <t>"splést-se-001"</t>
  </si>
  <si>
    <t>"splétat-001"</t>
  </si>
  <si>
    <t>"splývat-001"</t>
  </si>
  <si>
    <t>"splňovat-001"</t>
  </si>
  <si>
    <t>PAT-&gt;ARG1/129</t>
  </si>
  <si>
    <t>"spojit-001"</t>
  </si>
  <si>
    <t>ACT-&gt;ARG0/152,ARG1/1</t>
  </si>
  <si>
    <t>PAT-&gt;ARG0/58,ARG1/454,ARG2/1</t>
  </si>
  <si>
    <t>ADDR-&gt;ARG0/2,ARG1/113,ARG2/40</t>
  </si>
  <si>
    <t>"spojit-002"</t>
  </si>
  <si>
    <t>ACT-&gt;ARG0/138,ARG1/31,ARG2/46</t>
  </si>
  <si>
    <t>PAT-&gt;ARG0/1,ARG1/301</t>
  </si>
  <si>
    <t>ADDR-&gt;ARG1/116,ARG2/87</t>
  </si>
  <si>
    <t>"spojit-003"</t>
  </si>
  <si>
    <t>ACT-&gt;ARG0/35,ARG1/5</t>
  </si>
  <si>
    <t>PAT-&gt;ARG1/566,ARG2/16</t>
  </si>
  <si>
    <t>EFF-&gt;ARG1/85,ARG2/421</t>
  </si>
  <si>
    <t>"spojit-004"</t>
  </si>
  <si>
    <t>"spojit-005"</t>
  </si>
  <si>
    <t>"spojit-se-001"</t>
  </si>
  <si>
    <t>ACT-&gt;ARG0/165,ARG1/45</t>
  </si>
  <si>
    <t>PAT-&gt;ARG1/187,ARG2/71</t>
  </si>
  <si>
    <t>EFF-&gt;ARG1/3,ARG3/1</t>
  </si>
  <si>
    <t>"spojit-se-002"</t>
  </si>
  <si>
    <t>"spojovat-001"</t>
  </si>
  <si>
    <t>"spojovat-002"</t>
  </si>
  <si>
    <t>PAT-&gt;ARG0/2154,ARG1/111</t>
  </si>
  <si>
    <t>ADDR-&gt;ARG1/89,ARG2/2</t>
  </si>
  <si>
    <t>"spojovat-003"</t>
  </si>
  <si>
    <t>"spojovat-004"</t>
  </si>
  <si>
    <t>"spojovat-005"</t>
  </si>
  <si>
    <t>ADDR-&gt;ARG2/42</t>
  </si>
  <si>
    <t>PAT-&gt;ARG1/52,ARG2/42</t>
  </si>
  <si>
    <t>ADDR-&gt;ARG1/54,ARG2/9</t>
  </si>
  <si>
    <t>"spojovat-se-001"</t>
  </si>
  <si>
    <t>PAT-&gt;ARG0/4,ARG1/28</t>
  </si>
  <si>
    <t>EFF-&gt;ARG1/48</t>
  </si>
  <si>
    <t>"spojovat-se-002"</t>
  </si>
  <si>
    <t>ACT-&gt;ARG0/1,ARG1/21</t>
  </si>
  <si>
    <t>PAT-&gt;ARG1/4,ARG2/18</t>
  </si>
  <si>
    <t>"spojovat-se-003"</t>
  </si>
  <si>
    <t>"spokojit-se-001"</t>
  </si>
  <si>
    <t>PAT-&gt;ARG1/1,ARG2/1,ARG3/2</t>
  </si>
  <si>
    <t>"spokojovat-se-001"</t>
  </si>
  <si>
    <t>"spolehnout-se-001"</t>
  </si>
  <si>
    <t>PAT-&gt;ARG1/46,ARG2/6</t>
  </si>
  <si>
    <t>"--spolehnout-se-002"</t>
  </si>
  <si>
    <t>"spolknout-001"</t>
  </si>
  <si>
    <t>"spolknout-002"</t>
  </si>
  <si>
    <t>"spolknout-003"</t>
  </si>
  <si>
    <t>"spolknout-004"</t>
  </si>
  <si>
    <t>"spolufinancovat-001"</t>
  </si>
  <si>
    <t>"spolupodílet-se-001"</t>
  </si>
  <si>
    <t>"spolupracovat-001"</t>
  </si>
  <si>
    <t>ACT-&gt;ARG0/475,ARG1/41,ARG3/1</t>
  </si>
  <si>
    <t>ADDR-&gt;ARG1/122,ARG2/35,ARG3/45</t>
  </si>
  <si>
    <t>PAT-&gt;ARG1/75,ARG2/17,ARG3/1</t>
  </si>
  <si>
    <t>"spolupůsobit-001"</t>
  </si>
  <si>
    <t>"spolusponzorovat-001"</t>
  </si>
  <si>
    <t>"spoluspravovat-001"</t>
  </si>
  <si>
    <t>"spoluvytvářet-001"</t>
  </si>
  <si>
    <t>"spoluzahájit-001"</t>
  </si>
  <si>
    <t>"spoluzajišťovat-001"</t>
  </si>
  <si>
    <t>"spoluzaložit-001"</t>
  </si>
  <si>
    <t>?ORIG: na+6; z+2</t>
  </si>
  <si>
    <t>"spolužít-001"</t>
  </si>
  <si>
    <t>"spolykat-001"</t>
  </si>
  <si>
    <t>"spoléhat-001"</t>
  </si>
  <si>
    <t>PAT-&gt;ARG1/53,ARG2/10</t>
  </si>
  <si>
    <t>"spoléhat-se-001"</t>
  </si>
  <si>
    <t>ACT-&gt;ARG0/142</t>
  </si>
  <si>
    <t>PAT-&gt;ARG1/180,ARG2/11</t>
  </si>
  <si>
    <t>"spoléhat-se-002"</t>
  </si>
  <si>
    <t>ADDR-&gt;ARG1/46,ARG2/6</t>
  </si>
  <si>
    <t>PAT-&gt;ARG1/74,ARG2/4</t>
  </si>
  <si>
    <t>"spolčit-se-001"</t>
  </si>
  <si>
    <t>"sponzorovat-001"</t>
  </si>
  <si>
    <t>ACT-&gt;ARG0/181,ARG1/6</t>
  </si>
  <si>
    <t>PAT-&gt;ARG1/293,ARG2/1,ARG4/6</t>
  </si>
  <si>
    <t>"sportovat-001"</t>
  </si>
  <si>
    <t>"spotřebovat-001"</t>
  </si>
  <si>
    <t>ACT-&gt;ARG0/325,ARG1/1</t>
  </si>
  <si>
    <t>PAT-&gt;ARG1/638,ARG2/1</t>
  </si>
  <si>
    <t>"spotřebovávat-001"</t>
  </si>
  <si>
    <t>PAT-&gt;ARG1/637,ARG2/1</t>
  </si>
  <si>
    <t>"spoutat-001"</t>
  </si>
  <si>
    <t>"spouštět-001"</t>
  </si>
  <si>
    <t>"spouštět-002"</t>
  </si>
  <si>
    <t>ACT-&gt;ARG0/195,ARG1/67,ARG2/3</t>
  </si>
  <si>
    <t>PAT-&gt;ARG1/242</t>
  </si>
  <si>
    <t>"spouštět-003"</t>
  </si>
  <si>
    <t>"spouštět-se-001"</t>
  </si>
  <si>
    <t>"spočinout-001"</t>
  </si>
  <si>
    <t>"spočinout-002"</t>
  </si>
  <si>
    <t>"spočíst-001"</t>
  </si>
  <si>
    <t>"spočítat-001"</t>
  </si>
  <si>
    <t>PAT: 4; ↓že; ↓c; ↓jestli</t>
  </si>
  <si>
    <t>ACT-&gt;ARG0/77,ARG1/1</t>
  </si>
  <si>
    <t>"spočítat-si-001"</t>
  </si>
  <si>
    <t>ACT-&gt;ARG0/51,ARG1/13</t>
  </si>
  <si>
    <t>PAT-&gt;ARG1/76,ARG2/12</t>
  </si>
  <si>
    <t>"spočívat-001"</t>
  </si>
  <si>
    <t>"spočívat-002"</t>
  </si>
  <si>
    <t>"spočívat-003"</t>
  </si>
  <si>
    <t>ACT-&gt;ARG0/1,ARG1/3466,ARG2/299</t>
  </si>
  <si>
    <t>PAT-&gt;ARG1/125,ARG2/3844</t>
  </si>
  <si>
    <t>"spočívat-004"</t>
  </si>
  <si>
    <t>"spořit-001"</t>
  </si>
  <si>
    <t>"spořádat-001"</t>
  </si>
  <si>
    <t>"spravit-001"</t>
  </si>
  <si>
    <t>"spravit-002"</t>
  </si>
  <si>
    <t>"spravit-003"</t>
  </si>
  <si>
    <t>"spravit-se-001"</t>
  </si>
  <si>
    <t>"spravovat-001"</t>
  </si>
  <si>
    <t>ACT-&gt;ARG0/2668,ARG1/23,ARG2/91</t>
  </si>
  <si>
    <t>PAT-&gt;ARG0/2,ARG1/3147</t>
  </si>
  <si>
    <t>"spravovat-002"</t>
  </si>
  <si>
    <t>"spravovat-003"</t>
  </si>
  <si>
    <t>"sprchnout-001"</t>
  </si>
  <si>
    <t>"sprchovat-001"</t>
  </si>
  <si>
    <t>"sprintovat-001"</t>
  </si>
  <si>
    <t>"sprovodit-001"</t>
  </si>
  <si>
    <t>"spráskat-001"</t>
  </si>
  <si>
    <t>"správcovat-001"</t>
  </si>
  <si>
    <t>"spustit-001"</t>
  </si>
  <si>
    <t>"spustit-002"</t>
  </si>
  <si>
    <t>ACT-&gt;ARG0/745,ARG1/111,ARG2/34</t>
  </si>
  <si>
    <t>PAT-&gt;ARG0/1,ARG1/971,ARG2/2</t>
  </si>
  <si>
    <t>"spustit-003"</t>
  </si>
  <si>
    <t>"spustit-004"</t>
  </si>
  <si>
    <t>"spustit-005"</t>
  </si>
  <si>
    <t>DPHR: oko.P4</t>
  </si>
  <si>
    <t>"spustit-006"</t>
  </si>
  <si>
    <t>"spustit-se-001"</t>
  </si>
  <si>
    <t>"spustit-se-002"</t>
  </si>
  <si>
    <t>"spustit-se-003"</t>
  </si>
  <si>
    <t>"spáchat-001"</t>
  </si>
  <si>
    <t>"spáchat-002"</t>
  </si>
  <si>
    <t>"spálit-001"</t>
  </si>
  <si>
    <t>"spálit-002"</t>
  </si>
  <si>
    <t>"spálit-003"</t>
  </si>
  <si>
    <t>"spálit-004"</t>
  </si>
  <si>
    <t>"spálit-se-001"</t>
  </si>
  <si>
    <t>"spálit-se-002"</t>
  </si>
  <si>
    <t>"spást-001"</t>
  </si>
  <si>
    <t>"spát-001"</t>
  </si>
  <si>
    <t>"spát-002"</t>
  </si>
  <si>
    <t>"spávat-001"</t>
  </si>
  <si>
    <t>"spářit-001"</t>
  </si>
  <si>
    <t>"spíchnout-001"</t>
  </si>
  <si>
    <t>"spíchnout-002"</t>
  </si>
  <si>
    <t>"spílat-001"</t>
  </si>
  <si>
    <t>?PAT: do+2; ↓že</t>
  </si>
  <si>
    <t>"spěchat-001"</t>
  </si>
  <si>
    <t>PAT: s+7; na+4; ↓aby</t>
  </si>
  <si>
    <t>ACT-&gt;ARG0/29,ARG1/29,ARG2/1</t>
  </si>
  <si>
    <t>PAT-&gt;ARG1/29,ARG2/3</t>
  </si>
  <si>
    <t>"spěchat-002"</t>
  </si>
  <si>
    <t>ACT-&gt;ARG0/1,ARG1/27,ARG2/1</t>
  </si>
  <si>
    <t>"spěchat-003"</t>
  </si>
  <si>
    <t>"spěchávat-001"</t>
  </si>
  <si>
    <t>"spět-001"</t>
  </si>
  <si>
    <t>"spět-002"</t>
  </si>
  <si>
    <t>"spřádat-001"</t>
  </si>
  <si>
    <t>"spřádat-002"</t>
  </si>
  <si>
    <t>CPHR: {plán,příběh,úvaha,...}.4</t>
  </si>
  <si>
    <t>"spřáhnout-se-001"</t>
  </si>
  <si>
    <t>"spřátelit-se-001"</t>
  </si>
  <si>
    <t>"srazit-001"</t>
  </si>
  <si>
    <t>ACT-&gt;ARG0/180,ARG2/2</t>
  </si>
  <si>
    <t>PAT-&gt;ARG1/330</t>
  </si>
  <si>
    <t>ORIG-&gt;ARG3/19,ARG4/1</t>
  </si>
  <si>
    <t>EFF-&gt;ARG2/10,ARG3/1,ARG4/34</t>
  </si>
  <si>
    <t>"srazit-002"</t>
  </si>
  <si>
    <t>"srazit-003"</t>
  </si>
  <si>
    <t>"srazit-004"</t>
  </si>
  <si>
    <t>DPHR: na-1[koleno.P4]; do-1[koleno.P2]</t>
  </si>
  <si>
    <t>"srazit-005"</t>
  </si>
  <si>
    <t>"srazit-se-001"</t>
  </si>
  <si>
    <t>"srkat-001"</t>
  </si>
  <si>
    <t>"srocovat-se-001"</t>
  </si>
  <si>
    <t>"srovnat-001"</t>
  </si>
  <si>
    <t>EFF-&gt;ARG1/1,ARG2/55</t>
  </si>
  <si>
    <t>"srovnat-002"</t>
  </si>
  <si>
    <t>"srovnat-003"</t>
  </si>
  <si>
    <t>"srovnat-004"</t>
  </si>
  <si>
    <t>"srovnat-005"</t>
  </si>
  <si>
    <t>"srovnat-006"</t>
  </si>
  <si>
    <t>DPHR: s-1[země.S7]</t>
  </si>
  <si>
    <t>"srovnat-007"</t>
  </si>
  <si>
    <t>"srovnat-se-001"</t>
  </si>
  <si>
    <t>"srovnat-se-002"</t>
  </si>
  <si>
    <t>"srovnat-si-001"</t>
  </si>
  <si>
    <t>"srovnávat-001"</t>
  </si>
  <si>
    <t>"srovnávat-002"</t>
  </si>
  <si>
    <t>PAT-&gt;ARG0/4,ARG1/113</t>
  </si>
  <si>
    <t>EFF-&gt;ARG1/49,ARG2/93</t>
  </si>
  <si>
    <t>"srovnávat-003"</t>
  </si>
  <si>
    <t>"srovnávat-004"</t>
  </si>
  <si>
    <t>"srát-001"</t>
  </si>
  <si>
    <t>"srážet-001"</t>
  </si>
  <si>
    <t>"srážet-002"</t>
  </si>
  <si>
    <t>ACT-&gt;ARG0/23,ARG2/2</t>
  </si>
  <si>
    <t>PAT-&gt;ARG1/27,ARG2/1</t>
  </si>
  <si>
    <t>"srážet-se-001"</t>
  </si>
  <si>
    <t>"srůst-001"</t>
  </si>
  <si>
    <t>"stabilizovat-001"</t>
  </si>
  <si>
    <t>ACT-&gt;ARG0/3,ARG1/18</t>
  </si>
  <si>
    <t>PAT-&gt;ARG1/21,ARG2/2</t>
  </si>
  <si>
    <t>"stabilizovat-se-001"</t>
  </si>
  <si>
    <t>"stagnovat-001"</t>
  </si>
  <si>
    <t>ACT-&gt;ARG0/20,ARG1/16</t>
  </si>
  <si>
    <t>"stahovat-001"</t>
  </si>
  <si>
    <t>DIR1-&gt;ARG1/2,ARG2/6</t>
  </si>
  <si>
    <t>"stahovat-002"</t>
  </si>
  <si>
    <t>PAT-&gt;ARG0/3,ARG1/10</t>
  </si>
  <si>
    <t>"stahovat-003"</t>
  </si>
  <si>
    <t>PAT-&gt;ARG1/34,ARG2/13</t>
  </si>
  <si>
    <t>"stahovat-004"</t>
  </si>
  <si>
    <t>DPHR: kalhoty.P4[když[být.$2&lt;B&gt;$8&lt;3&gt;$9&lt;P&gt;$11&lt;A&gt;$12&lt;A&gt;[brod.S1,ještě,daleko-1:@1]]]</t>
  </si>
  <si>
    <t>"stahovat-005"</t>
  </si>
  <si>
    <t>"stahovat-006"</t>
  </si>
  <si>
    <t>"stahovat-se-001"</t>
  </si>
  <si>
    <t>ACT-&gt;ARG0/22,ARG1/32</t>
  </si>
  <si>
    <t>"stahovat-se-002"</t>
  </si>
  <si>
    <t>"stahovat-se-003"</t>
  </si>
  <si>
    <t>ACT: nad+7</t>
  </si>
  <si>
    <t>DPHR: mrak.1</t>
  </si>
  <si>
    <t>"standardizovat-001"</t>
  </si>
  <si>
    <t>"stanout-001"</t>
  </si>
  <si>
    <t>"stanout-002"</t>
  </si>
  <si>
    <t>ACT-&gt;ARG0/170,ARG1/3</t>
  </si>
  <si>
    <t>LOC-&gt;ARG1/199</t>
  </si>
  <si>
    <t>"stanovat-001"</t>
  </si>
  <si>
    <t>"stanovit-001"</t>
  </si>
  <si>
    <t>ACT-&gt;ARG0/158</t>
  </si>
  <si>
    <t>PAT-&gt;ARG1/221</t>
  </si>
  <si>
    <t>"stanovit-002"</t>
  </si>
  <si>
    <t>EFF: 7; 4[{jako,jakožto}:/AuxY]; za+4</t>
  </si>
  <si>
    <t>"stanovit-003"</t>
  </si>
  <si>
    <t>PAT-&gt;ARG1/1038,ARG2/3452</t>
  </si>
  <si>
    <t>"stanovit-004"</t>
  </si>
  <si>
    <t>ACT-&gt;ARG0/802,ARG1/7</t>
  </si>
  <si>
    <t>PAT-&gt;ARG1/1496,ARG2/172</t>
  </si>
  <si>
    <t>"stanovovat-001"</t>
  </si>
  <si>
    <t>"stanovovat-002"</t>
  </si>
  <si>
    <t>PAT-&gt;ARG1/161</t>
  </si>
  <si>
    <t>"stanovovat-003"</t>
  </si>
  <si>
    <t>PAT-&gt;ARG1/180</t>
  </si>
  <si>
    <t>"starat-se-001"</t>
  </si>
  <si>
    <t>ACT-&gt;ARG0/433,ARG1/2</t>
  </si>
  <si>
    <t>PAT-&gt;ARG1/560,ARG2/59</t>
  </si>
  <si>
    <t>"startovat-001"</t>
  </si>
  <si>
    <t>"startovat-002"</t>
  </si>
  <si>
    <t>"startovat-003"</t>
  </si>
  <si>
    <t>"startovat-004"</t>
  </si>
  <si>
    <t>"stavit-001"</t>
  </si>
  <si>
    <t>ORIG-&gt;ARG1/2,ARG2/9</t>
  </si>
  <si>
    <t>"stavit-002"</t>
  </si>
  <si>
    <t>DIR3-&gt;ARG2/7</t>
  </si>
  <si>
    <t>"stavit-003"</t>
  </si>
  <si>
    <t>"stavit-se-001"</t>
  </si>
  <si>
    <t>PAT: za+4; proti+3; k+3</t>
  </si>
  <si>
    <t>"stavit-se-002"</t>
  </si>
  <si>
    <t>"stavovat-se-001"</t>
  </si>
  <si>
    <t>"stavívat-se-001"</t>
  </si>
  <si>
    <t>"stavět-001"</t>
  </si>
  <si>
    <t>"stavět-002"</t>
  </si>
  <si>
    <t>"stavět-003"</t>
  </si>
  <si>
    <t>EFF: proti+3</t>
  </si>
  <si>
    <t>"stavět-004"</t>
  </si>
  <si>
    <t>"stavět-005"</t>
  </si>
  <si>
    <t>ACT-&gt;ARG0/364,ARG1/2</t>
  </si>
  <si>
    <t>PAT-&gt;ARG1/511</t>
  </si>
  <si>
    <t>DIR3-&gt;ARG1/284,ARG2/35</t>
  </si>
  <si>
    <t>"stavět-006"</t>
  </si>
  <si>
    <t>"stavět-007"</t>
  </si>
  <si>
    <t>CPHR: {bariéra,překážka,...}.4</t>
  </si>
  <si>
    <t>"stavět-008"</t>
  </si>
  <si>
    <t>CPHR: otázka.4</t>
  </si>
  <si>
    <t>"stavět-se-001"</t>
  </si>
  <si>
    <t>PAT: k+3; vůči+3; stran[.2]; ohledně[.2]</t>
  </si>
  <si>
    <t>"stavět-se-002"</t>
  </si>
  <si>
    <t>ACT-&gt;ARG0/139,ARG1/1</t>
  </si>
  <si>
    <t>PAT: za+4; proti+3</t>
  </si>
  <si>
    <t>"stavět-se-003"</t>
  </si>
  <si>
    <t>"stavět-se-004"</t>
  </si>
  <si>
    <t>"stavět-se-005"</t>
  </si>
  <si>
    <t>DPHR: na-1[odpor.S4]</t>
  </si>
  <si>
    <t>"stavět-se-006"</t>
  </si>
  <si>
    <t>"stavět-se-007"</t>
  </si>
  <si>
    <t>DPHR-&gt;ARG1/1,ARG2/35</t>
  </si>
  <si>
    <t>"stačit-001"</t>
  </si>
  <si>
    <t>?REG: v+6</t>
  </si>
  <si>
    <t>"stačit-002"</t>
  </si>
  <si>
    <t>PAT: na+4; .f; 4</t>
  </si>
  <si>
    <t>"stačit-003"</t>
  </si>
  <si>
    <t>PAT-&gt;ARG2/144</t>
  </si>
  <si>
    <t>"stačit-004"</t>
  </si>
  <si>
    <t>"stačit-005"</t>
  </si>
  <si>
    <t>ACT: 1; .f; ↓že; ↓aby; ↓když; ↓jestli; ↓kdyby</t>
  </si>
  <si>
    <t>?PAT: 3; pro+4</t>
  </si>
  <si>
    <t>ACT-&gt;ARG0/43,ARG1/313</t>
  </si>
  <si>
    <t>PAT-&gt;ARG0/286,ARG1/3115,ARG2/296</t>
  </si>
  <si>
    <t>"stačit-006"</t>
  </si>
  <si>
    <t>"stačit-007"</t>
  </si>
  <si>
    <t>DPHR: co-5,noha.P1</t>
  </si>
  <si>
    <t>"stepovat-001"</t>
  </si>
  <si>
    <t>"sterilizovat-001"</t>
  </si>
  <si>
    <t>"sterilovat-001"</t>
  </si>
  <si>
    <t>"stihnout-001"</t>
  </si>
  <si>
    <t>"stihnout-002"</t>
  </si>
  <si>
    <t>"stimulovat-001"</t>
  </si>
  <si>
    <t>"stimulovat-002"</t>
  </si>
  <si>
    <t>"stisknout-001"</t>
  </si>
  <si>
    <t>"stlačit-001"</t>
  </si>
  <si>
    <t>EFF-&gt;ARG2/2,ARG4/5</t>
  </si>
  <si>
    <t>"stlačit-002"</t>
  </si>
  <si>
    <t>"stlačit-003"</t>
  </si>
  <si>
    <t>"stlačovat-001"</t>
  </si>
  <si>
    <t>"stlačovat-002"</t>
  </si>
  <si>
    <t>"stlouci-001"</t>
  </si>
  <si>
    <t>"stlát-001"</t>
  </si>
  <si>
    <t>"stmelit-001"</t>
  </si>
  <si>
    <t>"stmelit-002"</t>
  </si>
  <si>
    <t>"stmelit-se-001"</t>
  </si>
  <si>
    <t>"stmelit-se-002"</t>
  </si>
  <si>
    <t>"stmívat-se-001"</t>
  </si>
  <si>
    <t>"stonat-001"</t>
  </si>
  <si>
    <t>"stopnout-001"</t>
  </si>
  <si>
    <t>"stopovat-001"</t>
  </si>
  <si>
    <t>"stornovat-001"</t>
  </si>
  <si>
    <t>"stoupat-001"</t>
  </si>
  <si>
    <t>ACT-&gt;ARG0/29,ARG1/1569,ARG2/8</t>
  </si>
  <si>
    <t>PAT-&gt;ARG1/1,ARG2/12,ARG4/1021</t>
  </si>
  <si>
    <t>ORIG-&gt;ARG3/477,ARG4/1,ARGm-LOC/1</t>
  </si>
  <si>
    <t>"stoupat-002"</t>
  </si>
  <si>
    <t>"stoupat-003"</t>
  </si>
  <si>
    <t>"stoupat-004"</t>
  </si>
  <si>
    <t>"stoupnout-001"</t>
  </si>
  <si>
    <t>ACT-&gt;ARG0/3,ARG1/2115,ARG2/8</t>
  </si>
  <si>
    <t>PAT-&gt;ARG1/2,ARG2/33,ARG4/1539</t>
  </si>
  <si>
    <t>ORIG-&gt;ARG2/8,ARG3/547,ARG4/1,ARGm-LOC/1</t>
  </si>
  <si>
    <t>"stoupnout-002"</t>
  </si>
  <si>
    <t>DPHR: na-1[oko.S4[kuří.#]]</t>
  </si>
  <si>
    <t>"stoupnout-003"</t>
  </si>
  <si>
    <t>"stoupnout-004"</t>
  </si>
  <si>
    <t>"stoupnout-si-001"</t>
  </si>
  <si>
    <t>"stoupnout-si-002"</t>
  </si>
  <si>
    <t>"stočit-001"</t>
  </si>
  <si>
    <t>"stočit-002"</t>
  </si>
  <si>
    <t>"stočit-se-001"</t>
  </si>
  <si>
    <t>"strachovat-se-001"</t>
  </si>
  <si>
    <t>PAT: o+4; ↓že</t>
  </si>
  <si>
    <t>"stranit-001"</t>
  </si>
  <si>
    <t>"stranit-se-001"</t>
  </si>
  <si>
    <t>"stravovat-se-001"</t>
  </si>
  <si>
    <t>"strašit-001"</t>
  </si>
  <si>
    <t>"strašit-002"</t>
  </si>
  <si>
    <t>LOC-&gt;ARG1/6</t>
  </si>
  <si>
    <t>"strašit-003"</t>
  </si>
  <si>
    <t>"strefit-se-001"</t>
  </si>
  <si>
    <t>"strefovat-se-001"</t>
  </si>
  <si>
    <t>"strefovat-se-002"</t>
  </si>
  <si>
    <t>DPHR: do-1[černý.S2]</t>
  </si>
  <si>
    <t>"strhat-001"</t>
  </si>
  <si>
    <t>"strhnout-001"</t>
  </si>
  <si>
    <t>ADDR-&gt;ARG0/2,ARG1/1</t>
  </si>
  <si>
    <t>"strhnout-002"</t>
  </si>
  <si>
    <t>"strhnout-003"</t>
  </si>
  <si>
    <t>"strhnout-004"</t>
  </si>
  <si>
    <t>"strhnout-005"</t>
  </si>
  <si>
    <t>?PAT: k+3; ↓aby</t>
  </si>
  <si>
    <t>"strhnout-006"</t>
  </si>
  <si>
    <t>"strhnout-007"</t>
  </si>
  <si>
    <t>"strhnout-008"</t>
  </si>
  <si>
    <t>"strhnout-se-001"</t>
  </si>
  <si>
    <t>"strhovat-001"</t>
  </si>
  <si>
    <t>"strhávat-001"</t>
  </si>
  <si>
    <t>"strhávat-002"</t>
  </si>
  <si>
    <t>"strhávat-003"</t>
  </si>
  <si>
    <t>"strhávat-si-001"</t>
  </si>
  <si>
    <t>"strkat-001"</t>
  </si>
  <si>
    <t>"strkat-002"</t>
  </si>
  <si>
    <t>"strkat-003"</t>
  </si>
  <si>
    <t>"strkat-se-001"</t>
  </si>
  <si>
    <t>"strnout-001"</t>
  </si>
  <si>
    <t>"strojit-001"</t>
  </si>
  <si>
    <t>"strojit-002"</t>
  </si>
  <si>
    <t>"strpět-001"</t>
  </si>
  <si>
    <t>"strpět-002"</t>
  </si>
  <si>
    <t>"strukturovat-001"</t>
  </si>
  <si>
    <t>"strádat-001"</t>
  </si>
  <si>
    <t>ACT-&gt;ARG0/15,ARG1/6</t>
  </si>
  <si>
    <t>"strávit-001"</t>
  </si>
  <si>
    <t>LOC-&gt;ARG1/4,ARG2/66</t>
  </si>
  <si>
    <t>"strávit-002"</t>
  </si>
  <si>
    <t>ACT-&gt;ARG0/71,ARG1/1</t>
  </si>
  <si>
    <t>PAT-&gt;ARG1/87,ARG2/1</t>
  </si>
  <si>
    <t>MEANS-&gt;ARG1/4,ARG2/84</t>
  </si>
  <si>
    <t>"strávit-003"</t>
  </si>
  <si>
    <t>"strčit-001"</t>
  </si>
  <si>
    <t>"strčit-002"</t>
  </si>
  <si>
    <t>"strčit-003"</t>
  </si>
  <si>
    <t>"strčit-004"</t>
  </si>
  <si>
    <t>"strčit-005"</t>
  </si>
  <si>
    <t>"studovat-001"</t>
  </si>
  <si>
    <t>ACT-&gt;ARG0/49,ARG1/78,ARG2/2</t>
  </si>
  <si>
    <t>"studovat-002"</t>
  </si>
  <si>
    <t>"studovat-003"</t>
  </si>
  <si>
    <t>"stupňovat-001"</t>
  </si>
  <si>
    <t>ACT-&gt;ARG0/176,ARG1/6</t>
  </si>
  <si>
    <t>PAT-&gt;ARG1/301,ARG2/1,ARG4/6</t>
  </si>
  <si>
    <t>"stupňovat-se-001"</t>
  </si>
  <si>
    <t>"stvořit-001"</t>
  </si>
  <si>
    <t>ACT-&gt;ARG0/199,ARG1/1</t>
  </si>
  <si>
    <t>"stvrdit-001"</t>
  </si>
  <si>
    <t>"stvrzovat-001"</t>
  </si>
  <si>
    <t>"stydět-se-001"</t>
  </si>
  <si>
    <t>?PAT: za+4; .f; ↓c; ↓že</t>
  </si>
  <si>
    <t>"stáhnout-001"</t>
  </si>
  <si>
    <t>"stáhnout-002"</t>
  </si>
  <si>
    <t>ACT-&gt;ARG0/147</t>
  </si>
  <si>
    <t>PAT-&gt;ARG1/292,ARG2/14</t>
  </si>
  <si>
    <t>DIR1-&gt;ARG1/1,ARG2/16</t>
  </si>
  <si>
    <t>"stáhnout-003"</t>
  </si>
  <si>
    <t>"stáhnout-004"</t>
  </si>
  <si>
    <t>DIR3-&gt;ARG3/1,ARG4/2</t>
  </si>
  <si>
    <t>"stáhnout-005"</t>
  </si>
  <si>
    <t>PAT-&gt;ARG1/146,ARG2/13</t>
  </si>
  <si>
    <t>"stáhnout-006"</t>
  </si>
  <si>
    <t>PAT-&gt;ARG0/1,ARG1/41</t>
  </si>
  <si>
    <t>"stáhnout-007"</t>
  </si>
  <si>
    <t>DPHR: z-1[kůže.S2]</t>
  </si>
  <si>
    <t>"stáhnout-008"</t>
  </si>
  <si>
    <t>"stáhnout-009"</t>
  </si>
  <si>
    <t>"stáhnout-se-001"</t>
  </si>
  <si>
    <t>ACT-&gt;ARG0/47,ARG1/31</t>
  </si>
  <si>
    <t>DIR1-&gt;ARG1/13,ARG2/13</t>
  </si>
  <si>
    <t>"stáhnout-se-002"</t>
  </si>
  <si>
    <t>DIR3-&gt;ARG1/2,ARG4/2</t>
  </si>
  <si>
    <t>"stáhnout-se-003"</t>
  </si>
  <si>
    <t>"stárnout-001"</t>
  </si>
  <si>
    <t>"stát-001"</t>
  </si>
  <si>
    <t>ACT-&gt;ARG1/115,ARG2/2</t>
  </si>
  <si>
    <t>PAT-&gt;ARG1/14,ARG2/136</t>
  </si>
  <si>
    <t>ADDR-&gt;ARG0/18,ARG3/40</t>
  </si>
  <si>
    <t>"stát-002"</t>
  </si>
  <si>
    <t>ACT: 1; ↓že; .f; ↓aby; ↓jestli; ↓zda</t>
  </si>
  <si>
    <t>"stát-003"</t>
  </si>
  <si>
    <t>"stát-004"</t>
  </si>
  <si>
    <t>"stát-005"</t>
  </si>
  <si>
    <t>PAT-&gt;ARG0/7,ARG2/1</t>
  </si>
  <si>
    <t>"stát-006"</t>
  </si>
  <si>
    <t>"stát-007"</t>
  </si>
  <si>
    <t>"stát-008"</t>
  </si>
  <si>
    <t>"stát-009"</t>
  </si>
  <si>
    <t>PAT: za+7; při+6; proti+3; mezi+7</t>
  </si>
  <si>
    <t>PAT-&gt;ARG1/1,ARG2/35</t>
  </si>
  <si>
    <t>ACT-&gt;ARG0/135,ARG1/3433,ARG2/299</t>
  </si>
  <si>
    <t>PAT-&gt;ARG1/255,ARG2/3743</t>
  </si>
  <si>
    <t>"stát-010"</t>
  </si>
  <si>
    <t>ACT-&gt;ARG0/19,ARG1/280,ARG2/3</t>
  </si>
  <si>
    <t>PAT-&gt;ARG1/10,ARG2/279</t>
  </si>
  <si>
    <t>"stát-011"</t>
  </si>
  <si>
    <t>ACT: 1; ↓že; ↓zda; ↓jak-2; ↓c; .s</t>
  </si>
  <si>
    <t>ACT-&gt;ARG0/73,ARG1/10719,ARG2/2</t>
  </si>
  <si>
    <t>LOC-&gt;ARG0/12119,ARG1/94</t>
  </si>
  <si>
    <t>"stát-012"</t>
  </si>
  <si>
    <t>ACT-&gt;ARG0/242,ARG1/375,ARG2/3</t>
  </si>
  <si>
    <t>LOC-&gt;ARG1/260,ARG2/314</t>
  </si>
  <si>
    <t>"stát-013"</t>
  </si>
  <si>
    <t>ACT-&gt;ARG0/86,ARG1/667,ARG2/3</t>
  </si>
  <si>
    <t>LOC-&gt;ARG0/170,ARG1/83,ARG2/405,ARG3/32</t>
  </si>
  <si>
    <t>"stát-014"</t>
  </si>
  <si>
    <t>ACT-&gt;ARG0/47,ARG1/3344,ARG2/298</t>
  </si>
  <si>
    <t>EXT-&gt;ARG1/191,ARG2/3764,ARG3/7</t>
  </si>
  <si>
    <t>PAT-&gt;ARG3/40</t>
  </si>
  <si>
    <t>"stát-015"</t>
  </si>
  <si>
    <t>ACT-&gt;ARG0/9,ARG1/773,ARG2/3</t>
  </si>
  <si>
    <t>"stát-016"</t>
  </si>
  <si>
    <t>"stát-017"</t>
  </si>
  <si>
    <t>DPHR: co-5,stát-3.S$2&lt;i&gt;$8&lt;2&gt;$11&lt;A&gt;</t>
  </si>
  <si>
    <t>"stát-018"</t>
  </si>
  <si>
    <t>DPHR: na-1[noha.P6[vlastní.#]]</t>
  </si>
  <si>
    <t>"stát-019"</t>
  </si>
  <si>
    <t>DPHR: v-1[cesta.S6]</t>
  </si>
  <si>
    <t>"stát-020"</t>
  </si>
  <si>
    <t>"stát-021"</t>
  </si>
  <si>
    <t>"stát-022"</t>
  </si>
  <si>
    <t>"stát-se-001"</t>
  </si>
  <si>
    <t>ACT-&gt;ARG0/118,ARG1/4086,ARG2/302</t>
  </si>
  <si>
    <t>PAT: 7; .a7; .a1</t>
  </si>
  <si>
    <t>PAT-&gt;ARG1/581,ARG2/4163,ARG3/9</t>
  </si>
  <si>
    <t>"stát-se-002"</t>
  </si>
  <si>
    <t>ACT: 1; ↓c</t>
  </si>
  <si>
    <t>ACT-&gt;ARG1/44,ARG2/473</t>
  </si>
  <si>
    <t>PAT-&gt;ARG1/427,ARG2/34</t>
  </si>
  <si>
    <t>"stát-se-003"</t>
  </si>
  <si>
    <t>ACT-&gt;ARG1/632,ARG2/3979</t>
  </si>
  <si>
    <t>PAT-&gt;ARG0/155,ARG1/3851,ARG2/305,ARG3/2</t>
  </si>
  <si>
    <t>"stát-se-004"</t>
  </si>
  <si>
    <t>ACT: 1; ↓že; ↓aby; tak-3</t>
  </si>
  <si>
    <t>ACT-&gt;ARG0/147,ARG1/201</t>
  </si>
  <si>
    <t>PAT-&gt;ARG0/46,ARG1/164,ARG2/28</t>
  </si>
  <si>
    <t>"stát-se-005"</t>
  </si>
  <si>
    <t>ACT: 1; tak-3; ↓že</t>
  </si>
  <si>
    <t>ACT-&gt;ARG1/271</t>
  </si>
  <si>
    <t>"stát-se-006"</t>
  </si>
  <si>
    <t>DPHR: rád.NS</t>
  </si>
  <si>
    <t>"stát-si-001"</t>
  </si>
  <si>
    <t>ACT-&gt;ARG0/47,ARG1/1</t>
  </si>
  <si>
    <t>PAT: za+7; na+6</t>
  </si>
  <si>
    <t>PAT-&gt;ARG1/57,ARG2/2</t>
  </si>
  <si>
    <t>"stát-si-002"</t>
  </si>
  <si>
    <t>ACT-&gt;ARG0/52,ARG1/12</t>
  </si>
  <si>
    <t>"stávat-001"</t>
  </si>
  <si>
    <t>"stávat-002"</t>
  </si>
  <si>
    <t>EXT-&gt;ARG2/71</t>
  </si>
  <si>
    <t>"stávat-se-001"</t>
  </si>
  <si>
    <t>ACT-&gt;ARG1/3676,ARG2/303</t>
  </si>
  <si>
    <t>PAT-&gt;ARG1/121,ARG2/4077</t>
  </si>
  <si>
    <t>"stávat-se-002"</t>
  </si>
  <si>
    <t>ACT-&gt;ARG1/121,ARG2/3924</t>
  </si>
  <si>
    <t>PAT-&gt;ARG1/3529,ARG2/302</t>
  </si>
  <si>
    <t>"stávat-se-003"</t>
  </si>
  <si>
    <t>"stávkovat-001"</t>
  </si>
  <si>
    <t>"stáčet-001"</t>
  </si>
  <si>
    <t>"stáčet-002"</t>
  </si>
  <si>
    <t>"stáčet-se-001"</t>
  </si>
  <si>
    <t>"--stáčet-se-002"</t>
  </si>
  <si>
    <t>"stáčet-se-003"</t>
  </si>
  <si>
    <t>"stékat-001"</t>
  </si>
  <si>
    <t>"sténat-001"</t>
  </si>
  <si>
    <t>"stíhat-001"</t>
  </si>
  <si>
    <t>"stíhat-002"</t>
  </si>
  <si>
    <t>"stíhat-003"</t>
  </si>
  <si>
    <t>"stínit-001"</t>
  </si>
  <si>
    <t>"stínovat-001"</t>
  </si>
  <si>
    <t>"stírat-001"</t>
  </si>
  <si>
    <t>"stísnit-se-001"</t>
  </si>
  <si>
    <t>"stísnit-se-002"</t>
  </si>
  <si>
    <t>"stýkat-se-001"</t>
  </si>
  <si>
    <t>"stýkat-se-002"</t>
  </si>
  <si>
    <t>"stýskat-se-001"</t>
  </si>
  <si>
    <t>"stěhovat-001"</t>
  </si>
  <si>
    <t>"stěhovat-002"</t>
  </si>
  <si>
    <t>"stěhovat-se-001"</t>
  </si>
  <si>
    <t>"stěsnat-001"</t>
  </si>
  <si>
    <t>"stěžovat-si-001"</t>
  </si>
  <si>
    <t>?PAT: na+4; ↓že; .s; ↓c</t>
  </si>
  <si>
    <t>"stěžovat-si-002"</t>
  </si>
  <si>
    <t>EFF: ↓že; .s; ↓c</t>
  </si>
  <si>
    <t>EFF-&gt;ARG1/83</t>
  </si>
  <si>
    <t>"stěžovávat-si-001"</t>
  </si>
  <si>
    <t>"střelit-001"</t>
  </si>
  <si>
    <t>"střelit-002"</t>
  </si>
  <si>
    <t>"střelit-003"</t>
  </si>
  <si>
    <t>"střelit-004"</t>
  </si>
  <si>
    <t>"střelit-005"</t>
  </si>
  <si>
    <t>"střelit-006"</t>
  </si>
  <si>
    <t>DPHR: veto.S7</t>
  </si>
  <si>
    <t>"střetnout-001"</t>
  </si>
  <si>
    <t>"střetnout-002"</t>
  </si>
  <si>
    <t>"střetnout-se-001"</t>
  </si>
  <si>
    <t>ACT-&gt;ARG0/3,ARG1/6</t>
  </si>
  <si>
    <t>ADDR-&gt;ARG1/3,ARG2/7</t>
  </si>
  <si>
    <t>"střetnout-se-002"</t>
  </si>
  <si>
    <t>"střetávat-001"</t>
  </si>
  <si>
    <t>"střetávat-002"</t>
  </si>
  <si>
    <t>"střetávat-se-001"</t>
  </si>
  <si>
    <t>"střetávat-se-002"</t>
  </si>
  <si>
    <t>"střežit-001"</t>
  </si>
  <si>
    <t>"střihnout-si-001"</t>
  </si>
  <si>
    <t>"střádat-001"</t>
  </si>
  <si>
    <t>"střídat-001"</t>
  </si>
  <si>
    <t>ACT-&gt;ARG0/79,ARG1/2</t>
  </si>
  <si>
    <t>?EFF: 7; s+7; za+4</t>
  </si>
  <si>
    <t>"střídat-002"</t>
  </si>
  <si>
    <t>PAT-&gt;ARG1/124,ARG2/1</t>
  </si>
  <si>
    <t>"střídat-se-001"</t>
  </si>
  <si>
    <t>"stříhat-001"</t>
  </si>
  <si>
    <t>"stříkat-001"</t>
  </si>
  <si>
    <t>"stříkat-002"</t>
  </si>
  <si>
    <t>"stříkat-003"</t>
  </si>
  <si>
    <t>"stříkat-004"</t>
  </si>
  <si>
    <t>"střílet-001"</t>
  </si>
  <si>
    <t>"střílet-002"</t>
  </si>
  <si>
    <t>"střílet-003"</t>
  </si>
  <si>
    <t>"subvencovat-001"</t>
  </si>
  <si>
    <t>"sugerovat-001"</t>
  </si>
  <si>
    <t>"sumarizovat-001"</t>
  </si>
  <si>
    <t>"sundat-001"</t>
  </si>
  <si>
    <t>"sundat-002"</t>
  </si>
  <si>
    <t>"sundávat-001"</t>
  </si>
  <si>
    <t>"sunout-se-001"</t>
  </si>
  <si>
    <t>"sunout-se-002"</t>
  </si>
  <si>
    <t>"supervidovat-001"</t>
  </si>
  <si>
    <t>"suplovat-001"</t>
  </si>
  <si>
    <t>"suplovat-002"</t>
  </si>
  <si>
    <t>"surfovat-001"</t>
  </si>
  <si>
    <t>"surfovat-002"</t>
  </si>
  <si>
    <t>"suspendovat-001"</t>
  </si>
  <si>
    <t>"sušit-001"</t>
  </si>
  <si>
    <t>"sužovat-001"</t>
  </si>
  <si>
    <t>"svalit-001"</t>
  </si>
  <si>
    <t>"svalit-se-001"</t>
  </si>
  <si>
    <t>"svalovat-001"</t>
  </si>
  <si>
    <t>ACT-&gt;ARG0/139</t>
  </si>
  <si>
    <t>PAT-&gt;ARG1/205,ARG2/23</t>
  </si>
  <si>
    <t>ADDR-&gt;ARG1/32,ARG2/36</t>
  </si>
  <si>
    <t>"svatořečit-001"</t>
  </si>
  <si>
    <t>"svazovat-001"</t>
  </si>
  <si>
    <t>"svazovat-002"</t>
  </si>
  <si>
    <t>"svazovat-003"</t>
  </si>
  <si>
    <t>"svačit-001"</t>
  </si>
  <si>
    <t>"svařit-001"</t>
  </si>
  <si>
    <t>"svařovat-001"</t>
  </si>
  <si>
    <t>"svažovat-se-001"</t>
  </si>
  <si>
    <t>"svitnout-001"</t>
  </si>
  <si>
    <t>"svitnout-002"</t>
  </si>
  <si>
    <t>"svištět-001"</t>
  </si>
  <si>
    <t>"svištět-002"</t>
  </si>
  <si>
    <t>"svlékat-001"</t>
  </si>
  <si>
    <t>"svlékat-002"</t>
  </si>
  <si>
    <t>"svléknout-001"</t>
  </si>
  <si>
    <t>"svléknout-002"</t>
  </si>
  <si>
    <t>"svlíkat-se-001"</t>
  </si>
  <si>
    <t>"svolat-001"</t>
  </si>
  <si>
    <t>PAT-&gt;ARG1/197</t>
  </si>
  <si>
    <t>"svolit-001"</t>
  </si>
  <si>
    <t>"svolovat-001"</t>
  </si>
  <si>
    <t>"svolávat-001"</t>
  </si>
  <si>
    <t>"svolávat-002"</t>
  </si>
  <si>
    <t>"svraštět-001"</t>
  </si>
  <si>
    <t>"svrbit-001"</t>
  </si>
  <si>
    <t>"svrbit-002"</t>
  </si>
  <si>
    <t>"svrbět-001"</t>
  </si>
  <si>
    <t>"svrbět-002"</t>
  </si>
  <si>
    <t>"svrhnout-001"</t>
  </si>
  <si>
    <t>"svádět-001"</t>
  </si>
  <si>
    <t>"svádět-002"</t>
  </si>
  <si>
    <t>PAT-&gt;ARG1/34,ARG2/21</t>
  </si>
  <si>
    <t>EFF-&gt;ARG1/24,ARG2/1</t>
  </si>
  <si>
    <t>"svádět-003"</t>
  </si>
  <si>
    <t>?PAT: k+3; ↓aby; ↓ať; .f</t>
  </si>
  <si>
    <t>"svázat-001"</t>
  </si>
  <si>
    <t>PAT-&gt;ARG1/49,ARG2/4</t>
  </si>
  <si>
    <t>ADDR-&gt;ARG1/33,ARG2/70</t>
  </si>
  <si>
    <t>"svázat-002"</t>
  </si>
  <si>
    <t>"svázat-003"</t>
  </si>
  <si>
    <t>"svázat-004"</t>
  </si>
  <si>
    <t>"svářet-001"</t>
  </si>
  <si>
    <t>"svážet-001"</t>
  </si>
  <si>
    <t>"svést-001"</t>
  </si>
  <si>
    <t>"svést-002"</t>
  </si>
  <si>
    <t>"svést-003"</t>
  </si>
  <si>
    <t>"svést-004"</t>
  </si>
  <si>
    <t>"svést-005"</t>
  </si>
  <si>
    <t>"svézt-001"</t>
  </si>
  <si>
    <t>"svézt-002"</t>
  </si>
  <si>
    <t>"svézt-003"</t>
  </si>
  <si>
    <t>"svézt-se-001"</t>
  </si>
  <si>
    <t>"svézt-se-002"</t>
  </si>
  <si>
    <t>"svíjet-se-001"</t>
  </si>
  <si>
    <t>"svírat-001"</t>
  </si>
  <si>
    <t>"svírat-002"</t>
  </si>
  <si>
    <t>"svírat-003"</t>
  </si>
  <si>
    <t>"svítat-001"</t>
  </si>
  <si>
    <t>"svítat-002"</t>
  </si>
  <si>
    <t>"svítit-001"</t>
  </si>
  <si>
    <t>ACT-&gt;ARG1/85</t>
  </si>
  <si>
    <t>"svítit-002"</t>
  </si>
  <si>
    <t>"svědit-001"</t>
  </si>
  <si>
    <t>?PAT: 1</t>
  </si>
  <si>
    <t>"svědčit-001"</t>
  </si>
  <si>
    <t>PAT-&gt;ARG0/52</t>
  </si>
  <si>
    <t>"svědčit-002"</t>
  </si>
  <si>
    <t>PAT-&gt;ARG1/185</t>
  </si>
  <si>
    <t>"svědčit-003"</t>
  </si>
  <si>
    <t>PAT: pro+4; proti+3; ↓že; {neprospěch,prospěch}.S4/AuxP[v-1,.2]; v-1[{prospěch,neprospěch}.S4[.u#]]</t>
  </si>
  <si>
    <t>PAT-&gt;ARG1/12,ARG2/2</t>
  </si>
  <si>
    <t>"svědčit-004"</t>
  </si>
  <si>
    <t>"svědět-001"</t>
  </si>
  <si>
    <t>"svědět-002"</t>
  </si>
  <si>
    <t>"světit-001"</t>
  </si>
  <si>
    <t>"světit-002"</t>
  </si>
  <si>
    <t>"svěřit-001"</t>
  </si>
  <si>
    <t>"svěřit-002"</t>
  </si>
  <si>
    <t>ACT-&gt;ARG0/355</t>
  </si>
  <si>
    <t>PAT-&gt;ARG1/530,ARG2/1</t>
  </si>
  <si>
    <t>ADDR-&gt;ARG1/4,ARG2/369</t>
  </si>
  <si>
    <t>"svěřit-003"</t>
  </si>
  <si>
    <t>ADDR-&gt;ARG2/57</t>
  </si>
  <si>
    <t>"svěřit-004"</t>
  </si>
  <si>
    <t>"svěřit-se-001"</t>
  </si>
  <si>
    <t>PAT: s+7; ↓že; .s; ↓c</t>
  </si>
  <si>
    <t>"svěřovat-001"</t>
  </si>
  <si>
    <t>"svěřovat-002"</t>
  </si>
  <si>
    <t>"svěřovat-003"</t>
  </si>
  <si>
    <t>"svěřovat-se-001"</t>
  </si>
  <si>
    <t>"symbolizovat-001"</t>
  </si>
  <si>
    <t>"sympatizovat-001"</t>
  </si>
  <si>
    <t>"synchronizovat-001"</t>
  </si>
  <si>
    <t>"sypat-001"</t>
  </si>
  <si>
    <t>"sypat-002"</t>
  </si>
  <si>
    <t>"sypat-003"</t>
  </si>
  <si>
    <t>"sypat-004"</t>
  </si>
  <si>
    <t>"sypat-005"</t>
  </si>
  <si>
    <t>"sypat-006"</t>
  </si>
  <si>
    <t>DPHR: z-1[rukáv:S2]</t>
  </si>
  <si>
    <t>"sypat-se-001"</t>
  </si>
  <si>
    <t>"sytit-001"</t>
  </si>
  <si>
    <t>"sytit-002"</t>
  </si>
  <si>
    <t>"syčet-001"</t>
  </si>
  <si>
    <t>"sáhnout-001"</t>
  </si>
  <si>
    <t>"sáhnout-002"</t>
  </si>
  <si>
    <t>"sáhnout-003"</t>
  </si>
  <si>
    <t>DIR3-&gt;ARG1/10</t>
  </si>
  <si>
    <t>"sáhnout-si-001"</t>
  </si>
  <si>
    <t>DPHR: na-1[dno.S4]</t>
  </si>
  <si>
    <t>"sápat-se-001"</t>
  </si>
  <si>
    <t>PAT: po+6,na+4</t>
  </si>
  <si>
    <t>"sát-001"</t>
  </si>
  <si>
    <t>"sázet-001"</t>
  </si>
  <si>
    <t>"sázet-002"</t>
  </si>
  <si>
    <t>"sázet-003"</t>
  </si>
  <si>
    <t>"sázet-004"</t>
  </si>
  <si>
    <t>"sázet-005"</t>
  </si>
  <si>
    <t>PAT-&gt;ARG1/1,ARG2/24</t>
  </si>
  <si>
    <t>"sázet-se-001"</t>
  </si>
  <si>
    <t>EFF: o-1[ten.NS4[že[.v]]]; o-1[ten.NS4[.c]]; ↓že</t>
  </si>
  <si>
    <t>EFF-&gt;ARG2/22</t>
  </si>
  <si>
    <t>"sáňkovat-001"</t>
  </si>
  <si>
    <t>"sídlit-001"</t>
  </si>
  <si>
    <t>ACT-&gt;ARG0/5,ARG1/3450,ARG2/299,ARGm-LOC/1</t>
  </si>
  <si>
    <t>LOC-&gt;ARG1/131,ARG2/3733,ARGm-LOC/137</t>
  </si>
  <si>
    <t>"sílit-001"</t>
  </si>
  <si>
    <t>ACT-&gt;ARG1/178,ARG2/4</t>
  </si>
  <si>
    <t>"sípat-001"</t>
  </si>
  <si>
    <t>"sít-001"</t>
  </si>
  <si>
    <t>"sýčkovat-001"</t>
  </si>
  <si>
    <t>EFF: 4; ↓že; ↓aby; ↓ať; ↓zda; ↓jak-2; .s</t>
  </si>
  <si>
    <t>"sčítat-001"</t>
  </si>
  <si>
    <t>"sžírat-001"</t>
  </si>
  <si>
    <t>"sžít-se-001"</t>
  </si>
  <si>
    <t>"tabuizovat-001"</t>
  </si>
  <si>
    <t>"tahat-001"</t>
  </si>
  <si>
    <t>DPHR: za-1[ucho.P4]</t>
  </si>
  <si>
    <t>"tahat-002"</t>
  </si>
  <si>
    <t>?PAT: 4; za+4</t>
  </si>
  <si>
    <t>"tahat-003"</t>
  </si>
  <si>
    <t>"tahat-004"</t>
  </si>
  <si>
    <t>"tahat-005"</t>
  </si>
  <si>
    <t>"tahat-006"</t>
  </si>
  <si>
    <t>"tahat-007"</t>
  </si>
  <si>
    <t>"tajit-001"</t>
  </si>
  <si>
    <t>PAT-&gt;ARG0/2,ARG1/22</t>
  </si>
  <si>
    <t>"tajit-002"</t>
  </si>
  <si>
    <t>"tajit-se-001"</t>
  </si>
  <si>
    <t>PAT: 7; s+7; ↓že</t>
  </si>
  <si>
    <t>"taktovat-001"</t>
  </si>
  <si>
    <t>"tancovat-001"</t>
  </si>
  <si>
    <t>"tankovat-001"</t>
  </si>
  <si>
    <t>"tanout-001"</t>
  </si>
  <si>
    <t>"tančit-001"</t>
  </si>
  <si>
    <t>"tasit-001"</t>
  </si>
  <si>
    <t>"tasit-002"</t>
  </si>
  <si>
    <t>"taxikařit-001"</t>
  </si>
  <si>
    <t>"tejpovat-001"</t>
  </si>
  <si>
    <t>"telefonovat-001"</t>
  </si>
  <si>
    <t>ADDR-&gt;ARG1/9</t>
  </si>
  <si>
    <t>"telefonovat-002"</t>
  </si>
  <si>
    <t>"telefonovat-003"</t>
  </si>
  <si>
    <t>"telefonovat-004"</t>
  </si>
  <si>
    <t>"telefonovat-005"</t>
  </si>
  <si>
    <t>"telefonovat-006"</t>
  </si>
  <si>
    <t>"telegrafovat-001"</t>
  </si>
  <si>
    <t>"tematizovat-001"</t>
  </si>
  <si>
    <t>"tendovat-001"</t>
  </si>
  <si>
    <t>"tenčit-se-001"</t>
  </si>
  <si>
    <t>"teoretizovat-001"</t>
  </si>
  <si>
    <t>PAT: ↓že; o+6</t>
  </si>
  <si>
    <t>"tepat-001"</t>
  </si>
  <si>
    <t>"tepat-002"</t>
  </si>
  <si>
    <t>"terorizovat-001"</t>
  </si>
  <si>
    <t>"testovat-001"</t>
  </si>
  <si>
    <t>"tetovat-001"</t>
  </si>
  <si>
    <t>"textovat-001"</t>
  </si>
  <si>
    <t>"tečkovat-001"</t>
  </si>
  <si>
    <t>ACT-&gt;ARG0/1,ARG2/2</t>
  </si>
  <si>
    <t>"tečovat-001"</t>
  </si>
  <si>
    <t>"tikat-001"</t>
  </si>
  <si>
    <t>DPHR: hodina.P1[biologický.#]</t>
  </si>
  <si>
    <t>"tipnout-001"</t>
  </si>
  <si>
    <t>"tipnout-002"</t>
  </si>
  <si>
    <t>"tipovat-001"</t>
  </si>
  <si>
    <t>?EFF: na+4; do+2; a4</t>
  </si>
  <si>
    <t>"tipovat-002"</t>
  </si>
  <si>
    <t>"tisknout-001"</t>
  </si>
  <si>
    <t>"tisknout-002"</t>
  </si>
  <si>
    <t>"tkvít-001"</t>
  </si>
  <si>
    <t>ACT-&gt;ARG1/308,ARG2/3</t>
  </si>
  <si>
    <t>PAT-&gt;ARG1/2,ARG2/306</t>
  </si>
  <si>
    <t>"tkvít-002"</t>
  </si>
  <si>
    <t>"tlačit-001"</t>
  </si>
  <si>
    <t>"tlačit-002"</t>
  </si>
  <si>
    <t>"tlačit-003"</t>
  </si>
  <si>
    <t>"tlačit-004"</t>
  </si>
  <si>
    <t>PAT-&gt;ARG1/25,ARG2/88</t>
  </si>
  <si>
    <t>"tlačit-005"</t>
  </si>
  <si>
    <t>ADDR: 4; na+4</t>
  </si>
  <si>
    <t>?PAT: k+3; do+2; .f; ↓aby; ↓ať</t>
  </si>
  <si>
    <t>ACT-&gt;ARG0/126,ARG1/1</t>
  </si>
  <si>
    <t>ADDR-&gt;ARG0/1,ARG1/124,ARG2/5</t>
  </si>
  <si>
    <t>PAT-&gt;ARG1/6,ARG2/113</t>
  </si>
  <si>
    <t>"tlačit-006"</t>
  </si>
  <si>
    <t>"tlačit-007"</t>
  </si>
  <si>
    <t>DPHR: k-1[zeď.S3]</t>
  </si>
  <si>
    <t>"tlačit-008"</t>
  </si>
  <si>
    <t>DPHR: na-1[pila.S4]</t>
  </si>
  <si>
    <t>"tlačit-009"</t>
  </si>
  <si>
    <t>"tlačit-se-001"</t>
  </si>
  <si>
    <t>"tlačit-se-002"</t>
  </si>
  <si>
    <t>"tlačit-se-003"</t>
  </si>
  <si>
    <t>"tleskat-001"</t>
  </si>
  <si>
    <t>"tlouci-001"</t>
  </si>
  <si>
    <t>"tlouci-002"</t>
  </si>
  <si>
    <t>"tlouci-003"</t>
  </si>
  <si>
    <t>"tlouci-004"</t>
  </si>
  <si>
    <t>"tlouci-se-001"</t>
  </si>
  <si>
    <t>"tloustnout-001"</t>
  </si>
  <si>
    <t>"tlumit-001"</t>
  </si>
  <si>
    <t>"tlumit-002"</t>
  </si>
  <si>
    <t>"tlumočit-001"</t>
  </si>
  <si>
    <t>"tlumočit-002"</t>
  </si>
  <si>
    <t>"tmelit-001"</t>
  </si>
  <si>
    <t>"tolerovat-001"</t>
  </si>
  <si>
    <t>"tolerovat-002"</t>
  </si>
  <si>
    <t>"tonout-001"</t>
  </si>
  <si>
    <t>"tonout-002"</t>
  </si>
  <si>
    <t>"topit-001"</t>
  </si>
  <si>
    <t>"topit-se-001"</t>
  </si>
  <si>
    <t>"topit-se-002"</t>
  </si>
  <si>
    <t>ACT-&gt;ARG1/3110,ARG2/296</t>
  </si>
  <si>
    <t>"torpédovat-001"</t>
  </si>
  <si>
    <t>"torpédovat-002"</t>
  </si>
  <si>
    <t>"toulat-se-001"</t>
  </si>
  <si>
    <t>"toužit-001"</t>
  </si>
  <si>
    <t>PAT: po+6; .f; ↓aby</t>
  </si>
  <si>
    <t>ACT-&gt;ARG0/52,ARG1/3102,ARG2/296</t>
  </si>
  <si>
    <t>"točit-001"</t>
  </si>
  <si>
    <t>ACT-&gt;ARG0/349,ARG1/5,ARG2/3</t>
  </si>
  <si>
    <t>PAT-&gt;ARG1/526</t>
  </si>
  <si>
    <t>"točit-002"</t>
  </si>
  <si>
    <t>"točit-003"</t>
  </si>
  <si>
    <t>"točit-004"</t>
  </si>
  <si>
    <t>"točit-005"</t>
  </si>
  <si>
    <t>"točit-006"</t>
  </si>
  <si>
    <t>"točit-se-001"</t>
  </si>
  <si>
    <t>PAT: kolem-1[.2]</t>
  </si>
  <si>
    <t>"točit-se-002"</t>
  </si>
  <si>
    <t>"točit-se-003"</t>
  </si>
  <si>
    <t>DPHR: hlava.S1</t>
  </si>
  <si>
    <t>"točit-se-004"</t>
  </si>
  <si>
    <t>DPHR: záda.S7</t>
  </si>
  <si>
    <t>"točit-se-005"</t>
  </si>
  <si>
    <t>"tradovat-001"</t>
  </si>
  <si>
    <t>"trampovat-001"</t>
  </si>
  <si>
    <t>"transformovat-001"</t>
  </si>
  <si>
    <t>PAT-&gt;ARG0/24,ARG1/25</t>
  </si>
  <si>
    <t>?EFF: na+4; v+4; k+3; do+2</t>
  </si>
  <si>
    <t>EFF-&gt;ARG2/66</t>
  </si>
  <si>
    <t>"transformovat-se-001"</t>
  </si>
  <si>
    <t>ACT-&gt;ARG0/15,ARG1/7</t>
  </si>
  <si>
    <t>ORIG-&gt;ARG2/1,ARG3/5</t>
  </si>
  <si>
    <t>"transplantovat-001"</t>
  </si>
  <si>
    <t>"transportovat-001"</t>
  </si>
  <si>
    <t>"tratit-001"</t>
  </si>
  <si>
    <t>"traumatizovat-001"</t>
  </si>
  <si>
    <t>"trefit-001"</t>
  </si>
  <si>
    <t>"trefit-002"</t>
  </si>
  <si>
    <t>"trefit-003"</t>
  </si>
  <si>
    <t>"trefit-004"</t>
  </si>
  <si>
    <t>"trefit-005"</t>
  </si>
  <si>
    <t>DPHR: do-1[černý-1.NS2]</t>
  </si>
  <si>
    <t>"trefit-006"</t>
  </si>
  <si>
    <t>DPHR: hřebík.S4,na-1[hlavička.S4]</t>
  </si>
  <si>
    <t>"trefit-se-001"</t>
  </si>
  <si>
    <t>"trefit-se-002"</t>
  </si>
  <si>
    <t>"trefit-se-003"</t>
  </si>
  <si>
    <t>"trefovat-se-001"</t>
  </si>
  <si>
    <t>"trestat-001"</t>
  </si>
  <si>
    <t>"trhat-001"</t>
  </si>
  <si>
    <t>"trhat-002"</t>
  </si>
  <si>
    <t>"trhat-003"</t>
  </si>
  <si>
    <t>"trhat-se-001"</t>
  </si>
  <si>
    <t>"trhnout-001"</t>
  </si>
  <si>
    <t>"trhnout-se-001"</t>
  </si>
  <si>
    <t>"trhnout-se-002"</t>
  </si>
  <si>
    <t>"triumfovat-001"</t>
  </si>
  <si>
    <t>"trivializovat-001"</t>
  </si>
  <si>
    <t>"trmácet-se-001"</t>
  </si>
  <si>
    <t>"trnout-001"</t>
  </si>
  <si>
    <t>?PAT: ↓aby; ↓zda; ↓jestli</t>
  </si>
  <si>
    <t>"tropit-001"</t>
  </si>
  <si>
    <t>"troubit-001"</t>
  </si>
  <si>
    <t>"troubit-002"</t>
  </si>
  <si>
    <t>"troubit-003"</t>
  </si>
  <si>
    <t>"troufat-si-001"</t>
  </si>
  <si>
    <t>"troufnout-si-001"</t>
  </si>
  <si>
    <t>"trousit-se-001"</t>
  </si>
  <si>
    <t>"trpět-001"</t>
  </si>
  <si>
    <t>"trpět-002"</t>
  </si>
  <si>
    <t>PAT: 7; na+4</t>
  </si>
  <si>
    <t>ACT-&gt;ARG0/2259,ARG1/19,ARG2/76</t>
  </si>
  <si>
    <t>PAT-&gt;ARG0/1,ARG1/2346,ARG2/6</t>
  </si>
  <si>
    <t>"trpět-003"</t>
  </si>
  <si>
    <t>"trpět-004"</t>
  </si>
  <si>
    <t>ACT-&gt;ARG0/93,ARG1/3275,ARG2/299</t>
  </si>
  <si>
    <t>"truchlit-001"</t>
  </si>
  <si>
    <t>?PAT: nad+7; ↓že; ↓c</t>
  </si>
  <si>
    <t>"trucovat-001"</t>
  </si>
  <si>
    <t>"trumfnout-001"</t>
  </si>
  <si>
    <t>"trumfovat-001"</t>
  </si>
  <si>
    <t>"trvat-001"</t>
  </si>
  <si>
    <t>ACT: 1; .f; ↓než-2; ↓že</t>
  </si>
  <si>
    <t>ACT-&gt;ARG0/60,ARG1/403,ARG2/1</t>
  </si>
  <si>
    <t>"trvat-002"</t>
  </si>
  <si>
    <t>ACT-&gt;ARG0/941,ARG1/3107,ARG2/296</t>
  </si>
  <si>
    <t>PAT-&gt;ARG1/988,ARG2/2</t>
  </si>
  <si>
    <t>"trvat-003"</t>
  </si>
  <si>
    <t>ACT-&gt;ARG0/53,ARG1/3462,ARG2/297</t>
  </si>
  <si>
    <t>"trvat-004"</t>
  </si>
  <si>
    <t>DPHR: na-1[svůj-1.NS6]</t>
  </si>
  <si>
    <t>"tryskat-001"</t>
  </si>
  <si>
    <t>"trápit-001"</t>
  </si>
  <si>
    <t>ACT: 1; ↓zda</t>
  </si>
  <si>
    <t>"trápit-se-001"</t>
  </si>
  <si>
    <t>PAT: 7; s+7; nad+7; ↓c</t>
  </si>
  <si>
    <t>"trápit-se-002"</t>
  </si>
  <si>
    <t>ACT-&gt;ARG0/20,ARG1/4</t>
  </si>
  <si>
    <t>"trávit-001"</t>
  </si>
  <si>
    <t>"trávit-002"</t>
  </si>
  <si>
    <t>MEANS-&gt;ARG1/4,ARG2/66</t>
  </si>
  <si>
    <t>ACMP-&gt;ARG1/4,ARG2/66</t>
  </si>
  <si>
    <t>"trénovat-001"</t>
  </si>
  <si>
    <t>"trénovat-002"</t>
  </si>
  <si>
    <t>"trýznit-001"</t>
  </si>
  <si>
    <t>"trčet-001"</t>
  </si>
  <si>
    <t>"trčet-002"</t>
  </si>
  <si>
    <t>"tuhnout-001"</t>
  </si>
  <si>
    <t>"tulit-se-001"</t>
  </si>
  <si>
    <t>"turistovat-001"</t>
  </si>
  <si>
    <t>"tutlat-001"</t>
  </si>
  <si>
    <t>PAT: 4; ↓že; ↓jestli; ↓jak-2; ↓zda; ↓c</t>
  </si>
  <si>
    <t>"tutlat-002"</t>
  </si>
  <si>
    <t>"tušit-001"</t>
  </si>
  <si>
    <t>PAT: 4; ↓že; ↓c; ↓zda; ↓jak-2</t>
  </si>
  <si>
    <t>ACT-&gt;ARG0/2805,ARG1/24</t>
  </si>
  <si>
    <t>PAT-&gt;ARG1/657,ARG2/1</t>
  </si>
  <si>
    <t>"tvarovat-001"</t>
  </si>
  <si>
    <t>"tvarovat-002"</t>
  </si>
  <si>
    <t>"tvořit-001"</t>
  </si>
  <si>
    <t>ACT-&gt;ARG0/613,ARG1/8,ARG2/3</t>
  </si>
  <si>
    <t>PAT-&gt;ARG0/3,ARG1/1008</t>
  </si>
  <si>
    <t>ADDR-&gt;ARG1/7,ARG3/18</t>
  </si>
  <si>
    <t>ORIG-&gt;ARG1/1,ARG2/41</t>
  </si>
  <si>
    <t>"tvořit-002"</t>
  </si>
  <si>
    <t>ACT-&gt;ARG0/455,ARG1/4245,ARG2/391</t>
  </si>
  <si>
    <t>PAT-&gt;ARG0/164,ARG1/860,ARG2/3878</t>
  </si>
  <si>
    <t>"tvořit-003"</t>
  </si>
  <si>
    <t>ACT-&gt;ARG0/394,ARG1/3114,ARG2/381</t>
  </si>
  <si>
    <t>EXT-&gt;ARG0/3,ARG1/626,ARG2/3471</t>
  </si>
  <si>
    <t>"tvořit-se-001"</t>
  </si>
  <si>
    <t>"tvrdit-001"</t>
  </si>
  <si>
    <t>"tvrdit-002"</t>
  </si>
  <si>
    <t>EFF: 4; ↓že; ↓zda; .s; ↓c; ↓jestli</t>
  </si>
  <si>
    <t>ACT-&gt;ARG0/13636,ARG1/3147,ARG2/296</t>
  </si>
  <si>
    <t>EFF-&gt;ARG0/3,ARG1/12176,ARG2/3454</t>
  </si>
  <si>
    <t>PAT-&gt;ARG0/3,ARG1/135,ARG2/1,ARG3/31</t>
  </si>
  <si>
    <t>ADDR-&gt;ARG1/3,ARG2/334</t>
  </si>
  <si>
    <t>"tvrdit-003"</t>
  </si>
  <si>
    <t>DPHR: basa.S1,muzika.S4</t>
  </si>
  <si>
    <t>"tvářit-se-001"</t>
  </si>
  <si>
    <t>"tykat-001"</t>
  </si>
  <si>
    <t>"--tykat-si-001"</t>
  </si>
  <si>
    <t>"tyčit-se-001"</t>
  </si>
  <si>
    <t>"tábořit-001"</t>
  </si>
  <si>
    <t>"táhnout-001"</t>
  </si>
  <si>
    <t>PAT-&gt;ARG0/1,ARG1/26</t>
  </si>
  <si>
    <t>"táhnout-002"</t>
  </si>
  <si>
    <t>"táhnout-003"</t>
  </si>
  <si>
    <t>PAT: na+4; 1</t>
  </si>
  <si>
    <t>"táhnout-004"</t>
  </si>
  <si>
    <t>"táhnout-005"</t>
  </si>
  <si>
    <t>?PAT: k+3; za+7</t>
  </si>
  <si>
    <t>ADDR-&gt;ARG1/25</t>
  </si>
  <si>
    <t>"táhnout-006"</t>
  </si>
  <si>
    <t>"táhnout-007"</t>
  </si>
  <si>
    <t>DPHR: příklad.1</t>
  </si>
  <si>
    <t>"táhnout-008"</t>
  </si>
  <si>
    <t>"táhnout-009"</t>
  </si>
  <si>
    <t>"táhnout-010"</t>
  </si>
  <si>
    <t>"táhnout-011"</t>
  </si>
  <si>
    <t>"--táhnout-012"</t>
  </si>
  <si>
    <t>"táhnout-013"</t>
  </si>
  <si>
    <t>"táhnout-se-001"</t>
  </si>
  <si>
    <t>"táhnout-se-002"</t>
  </si>
  <si>
    <t>"táhnout-se-003"</t>
  </si>
  <si>
    <t>"táhnout-se-004"</t>
  </si>
  <si>
    <t>"táhnout-se-005"</t>
  </si>
  <si>
    <t>"táhnout-se-006"</t>
  </si>
  <si>
    <t>"tápat-001"</t>
  </si>
  <si>
    <t>"tát-001"</t>
  </si>
  <si>
    <t>"tát-002"</t>
  </si>
  <si>
    <t>"tát-003"</t>
  </si>
  <si>
    <t>"tázat-se-001"</t>
  </si>
  <si>
    <t>PAT: na+4; ↓zda; ↓jak-2; ↓jestli; ↓c; .s; ohledně[.2]</t>
  </si>
  <si>
    <t>"téci-001"</t>
  </si>
  <si>
    <t>ACT-&gt;ARG0/10,ARG1/20</t>
  </si>
  <si>
    <t>"téci-002"</t>
  </si>
  <si>
    <t>"téci-003"</t>
  </si>
  <si>
    <t>"téci-004"</t>
  </si>
  <si>
    <t>"tíhnout-001"</t>
  </si>
  <si>
    <t>"típnout-001"</t>
  </si>
  <si>
    <t>"tísnit-se-001"</t>
  </si>
  <si>
    <t>ACT-&gt;ARG0/8,ARG2/2</t>
  </si>
  <si>
    <t>LOC-&gt;ARG1/4,ARG2/1</t>
  </si>
  <si>
    <t>"týkat-se-001"</t>
  </si>
  <si>
    <t>ACT-&gt;ARG0/339,ARG1/3177,ARG2/476</t>
  </si>
  <si>
    <t>PAT-&gt;ARG0/1,ARG1/1242,ARG2/3609</t>
  </si>
  <si>
    <t>"týrat-001"</t>
  </si>
  <si>
    <t>"těsnit-001"</t>
  </si>
  <si>
    <t>"těšit-001"</t>
  </si>
  <si>
    <t>"těšit-002"</t>
  </si>
  <si>
    <t>"těšit-se-001"</t>
  </si>
  <si>
    <t>ACT-&gt;ARG0/36,ARG1/56,ARG2/4</t>
  </si>
  <si>
    <t>"těšit-se-002"</t>
  </si>
  <si>
    <t>PAT: na+4; ↓že; ↓c; ↓jestli</t>
  </si>
  <si>
    <t>PAT-&gt;ARG1/111,ARG2/1</t>
  </si>
  <si>
    <t>"těšit-se-003"</t>
  </si>
  <si>
    <t>PAT: z+2; ↓že</t>
  </si>
  <si>
    <t>"těšit-se-004"</t>
  </si>
  <si>
    <t>"těšívat-se-001"</t>
  </si>
  <si>
    <t>"těžit-001"</t>
  </si>
  <si>
    <t>PAT-&gt;ARG1/286,ARG2/1</t>
  </si>
  <si>
    <t>"těžit-002"</t>
  </si>
  <si>
    <t>ACT-&gt;ARG0/12,ARG1/80</t>
  </si>
  <si>
    <t>PAT-&gt;ARG0/66,ARG1/22</t>
  </si>
  <si>
    <t>"třepat-001"</t>
  </si>
  <si>
    <t>PAT: s+7; 4</t>
  </si>
  <si>
    <t>"třepetat-se-001"</t>
  </si>
  <si>
    <t>"třepit-se-001"</t>
  </si>
  <si>
    <t>"třpytit-se-001"</t>
  </si>
  <si>
    <t>"třást-se-001"</t>
  </si>
  <si>
    <t>"třást-se-002"</t>
  </si>
  <si>
    <t>"třást-si-001"</t>
  </si>
  <si>
    <t>"tříbit-001"</t>
  </si>
  <si>
    <t>"třídit-001"</t>
  </si>
  <si>
    <t>"třídit-002"</t>
  </si>
  <si>
    <t>"třímat-001"</t>
  </si>
  <si>
    <t>"třísknout-001"</t>
  </si>
  <si>
    <t>"třít-001"</t>
  </si>
  <si>
    <t>"ubezpečit-001"</t>
  </si>
  <si>
    <t>PAT: 7; o+6; ↓že; .s; ↓c</t>
  </si>
  <si>
    <t>"ubezpečovat-001"</t>
  </si>
  <si>
    <t>"ubližovat-001"</t>
  </si>
  <si>
    <t>ACT: 1; .f; ↓kdyby</t>
  </si>
  <si>
    <t>"ublížit-001"</t>
  </si>
  <si>
    <t>ACT-&gt;ARG0/27,ARG1/4,ARG2/76</t>
  </si>
  <si>
    <t>"ubodat-001"</t>
  </si>
  <si>
    <t>"ubourat-001"</t>
  </si>
  <si>
    <t>"ubrat-001"</t>
  </si>
  <si>
    <t>PAT-&gt;ARG2/134</t>
  </si>
  <si>
    <t>"ubrat-002"</t>
  </si>
  <si>
    <t>"ubrat-003"</t>
  </si>
  <si>
    <t>DIR1-&gt;ARG1/21,ARG2/52</t>
  </si>
  <si>
    <t>"ubrat-004"</t>
  </si>
  <si>
    <t>"ubrat-005"</t>
  </si>
  <si>
    <t>"ubránit-001"</t>
  </si>
  <si>
    <t>?EFF: před+7; proti+3; 3</t>
  </si>
  <si>
    <t>"ubránit-se-001"</t>
  </si>
  <si>
    <t>"--ubránit-se-002"</t>
  </si>
  <si>
    <t>PAT: 3; před+7; proti+3</t>
  </si>
  <si>
    <t>"ubytovat-001"</t>
  </si>
  <si>
    <t>"ubytovat-se-001"</t>
  </si>
  <si>
    <t>"ubytovávat-001"</t>
  </si>
  <si>
    <t>"ubytovávat-002"</t>
  </si>
  <si>
    <t>"ubytovávat-se-001"</t>
  </si>
  <si>
    <t>"--ubytovávat-se-002"</t>
  </si>
  <si>
    <t>"ubíhat-001"</t>
  </si>
  <si>
    <t>"ubíjet-001"</t>
  </si>
  <si>
    <t>"ubírat-001"</t>
  </si>
  <si>
    <t>"ubírat-se-001"</t>
  </si>
  <si>
    <t>ACT-&gt;ARG0/4,ARG1/173,ARG2/1</t>
  </si>
  <si>
    <t>DIR2-&gt;ARG2/55</t>
  </si>
  <si>
    <t>"ubírat-se-002"</t>
  </si>
  <si>
    <t>"ubít-001"</t>
  </si>
  <si>
    <t>"ubýt-001"</t>
  </si>
  <si>
    <t>ACT: 2; 1</t>
  </si>
  <si>
    <t>ACT-&gt;ARG1/317</t>
  </si>
  <si>
    <t>"ubývat-001"</t>
  </si>
  <si>
    <t>"uběhnout-001"</t>
  </si>
  <si>
    <t>"uběhnout-002"</t>
  </si>
  <si>
    <t>"ucelit-se-001"</t>
  </si>
  <si>
    <t>"uchechtávat-se-001"</t>
  </si>
  <si>
    <t>"uchlácholit-001"</t>
  </si>
  <si>
    <t>"uchopit-001"</t>
  </si>
  <si>
    <t>"uchovat-001"</t>
  </si>
  <si>
    <t>?EFF: .a</t>
  </si>
  <si>
    <t>"uchovat-se-001"</t>
  </si>
  <si>
    <t>"uchovávat-001"</t>
  </si>
  <si>
    <t>ACT-&gt;ARG0/54,ARG1/1</t>
  </si>
  <si>
    <t>"uchránit-001"</t>
  </si>
  <si>
    <t>ACT-&gt;ARG0/22,ARG1/1,ARG3/9</t>
  </si>
  <si>
    <t>PAT-&gt;ARG1/78,ARG2/2</t>
  </si>
  <si>
    <t>EFF-&gt;ARG2/17</t>
  </si>
  <si>
    <t>"uchvacovat-001"</t>
  </si>
  <si>
    <t>"uchvátit-001"</t>
  </si>
  <si>
    <t>"uchvátit-002"</t>
  </si>
  <si>
    <t>"uchylovat-se-001"</t>
  </si>
  <si>
    <t>"uchylovat-se-002"</t>
  </si>
  <si>
    <t>"uchytit-se-001"</t>
  </si>
  <si>
    <t>"uchytit-se-002"</t>
  </si>
  <si>
    <t>"uchytit-se-003"</t>
  </si>
  <si>
    <t>"uchytnout-se-001"</t>
  </si>
  <si>
    <t>"ucházet-se-001"</t>
  </si>
  <si>
    <t>"uchýlit-se-001"</t>
  </si>
  <si>
    <t>"uchýlit-se-002"</t>
  </si>
  <si>
    <t>"ucpat-001"</t>
  </si>
  <si>
    <t>"ucpat-se-001"</t>
  </si>
  <si>
    <t>"uctít-001"</t>
  </si>
  <si>
    <t>"uctít-002"</t>
  </si>
  <si>
    <t>"uctívat-001"</t>
  </si>
  <si>
    <t>"ucuknout-001"</t>
  </si>
  <si>
    <t>"ucvaknout-001"</t>
  </si>
  <si>
    <t>"ucvaknout-002"</t>
  </si>
  <si>
    <t>"ucítit-001"</t>
  </si>
  <si>
    <t>"ucítit-002"</t>
  </si>
  <si>
    <t>"ucítit-003"</t>
  </si>
  <si>
    <t>CPHR: {nutkání,potřeba,...}.4</t>
  </si>
  <si>
    <t>"udat-001"</t>
  </si>
  <si>
    <t>"udat-002"</t>
  </si>
  <si>
    <t>ACT-&gt;ARG0/12172,ARG1/36</t>
  </si>
  <si>
    <t>PAT-&gt;ARG0/2,ARG1/10973,ARG2/2</t>
  </si>
  <si>
    <t>"udat-003"</t>
  </si>
  <si>
    <t>"udat-004"</t>
  </si>
  <si>
    <t>LOC-&gt;ARG2/2</t>
  </si>
  <si>
    <t>"udat-005"</t>
  </si>
  <si>
    <t>DPHR: tón.S4</t>
  </si>
  <si>
    <t>"udeřit-001"</t>
  </si>
  <si>
    <t>"udeřit-002"</t>
  </si>
  <si>
    <t>"udeřit-003"</t>
  </si>
  <si>
    <t>"udeřit-004"</t>
  </si>
  <si>
    <t>ACT-&gt;ARG0/18,ARG1/1,ARG2/22</t>
  </si>
  <si>
    <t>ACT-&gt;ARG0/62,ARG1/1,ARG2/7</t>
  </si>
  <si>
    <t>ACT-&gt;ARG0/86,ARG1/2,ARG2/31</t>
  </si>
  <si>
    <t>"udeřit-005"</t>
  </si>
  <si>
    <t>ACT-&gt;ARG0/77,ARG1/2,ARG2/22</t>
  </si>
  <si>
    <t>"udeřit-se-001"</t>
  </si>
  <si>
    <t>"udit-001"</t>
  </si>
  <si>
    <t>"udivit-001"</t>
  </si>
  <si>
    <t>"udivovat-001"</t>
  </si>
  <si>
    <t>"udobřit-se-001"</t>
  </si>
  <si>
    <t>"udolat-001"</t>
  </si>
  <si>
    <t>"udržet-001"</t>
  </si>
  <si>
    <t>"udržet-002"</t>
  </si>
  <si>
    <t>ACT-&gt;ARG0/136,ARG1/1</t>
  </si>
  <si>
    <t>PAT-&gt;ARG0/2,ARG1/220</t>
  </si>
  <si>
    <t>LOC-&gt;ARG1/15,ARG2/38</t>
  </si>
  <si>
    <t>"udržet-003"</t>
  </si>
  <si>
    <t>ACT-&gt;ARG0/2593,ARG1/122</t>
  </si>
  <si>
    <t>PAT-&gt;ARG0/32,ARG1/2881,ARG3/32</t>
  </si>
  <si>
    <t>"udržet-004"</t>
  </si>
  <si>
    <t>"udržet-005"</t>
  </si>
  <si>
    <t>PAT-&gt;ARG0/2,ARG1/282</t>
  </si>
  <si>
    <t>LOC-&gt;ARG1/4,ARG2/32</t>
  </si>
  <si>
    <t>MANN-&gt;ARG1/90,ARG2/7</t>
  </si>
  <si>
    <t>"udržet-006"</t>
  </si>
  <si>
    <t>DPHR-&gt;ARG1/6</t>
  </si>
  <si>
    <t>"udržet-007"</t>
  </si>
  <si>
    <t>"udržet-008"</t>
  </si>
  <si>
    <t>DPHR: tempo.S4</t>
  </si>
  <si>
    <t>PAT-&gt;ARG1/2,ARG2/4</t>
  </si>
  <si>
    <t>"udržet-se-001"</t>
  </si>
  <si>
    <t>LOC-&gt;ARG1/3,ARG2/27,ARG3/33</t>
  </si>
  <si>
    <t>"udržet-se-002"</t>
  </si>
  <si>
    <t>"udržet-se-003"</t>
  </si>
  <si>
    <t>"udržet-si-001"</t>
  </si>
  <si>
    <t>ACT-&gt;ARG0/3151,ARG1/25</t>
  </si>
  <si>
    <t>PAT-&gt;ARG0/3,ARG1/3427,ARG2/3</t>
  </si>
  <si>
    <t>"udržovat-001"</t>
  </si>
  <si>
    <t>EFF: .a</t>
  </si>
  <si>
    <t>"udržovat-002"</t>
  </si>
  <si>
    <t>PAT-&gt;ARG0/2,ARG1/394</t>
  </si>
  <si>
    <t>LOC-&gt;ARG1/342</t>
  </si>
  <si>
    <t>"udržovat-003"</t>
  </si>
  <si>
    <t>ACT-&gt;ARG0/2537,ARG1/21</t>
  </si>
  <si>
    <t>PAT-&gt;ARG0/3,ARG1/2867</t>
  </si>
  <si>
    <t>"udržovat-004"</t>
  </si>
  <si>
    <t>"udržovat-005"</t>
  </si>
  <si>
    <t>"udržovat-006"</t>
  </si>
  <si>
    <t>CPHR: {styk}.4</t>
  </si>
  <si>
    <t>"udržovat-007"</t>
  </si>
  <si>
    <t>"udržovat-se-001"</t>
  </si>
  <si>
    <t>ACT-&gt;ARG0/24,ARG1/6</t>
  </si>
  <si>
    <t>LOC-&gt;ARG1/84,ARG2/3</t>
  </si>
  <si>
    <t>"udusit-001"</t>
  </si>
  <si>
    <t>"udusit-002"</t>
  </si>
  <si>
    <t>"udusit-se-001"</t>
  </si>
  <si>
    <t>"udát-se-001"</t>
  </si>
  <si>
    <t>ACT: 1; ↓že; tak-3</t>
  </si>
  <si>
    <t>ACT-&gt;ARG1/83</t>
  </si>
  <si>
    <t>"udát-se-002"</t>
  </si>
  <si>
    <t>"udávat-001"</t>
  </si>
  <si>
    <t>ACT-&gt;ARG0/13078,ARG1/3171,ARG2/297</t>
  </si>
  <si>
    <t>PAT-&gt;ARG0/4,ARG1/11800,ARG2/3453</t>
  </si>
  <si>
    <t>ADDR-&gt;ARG1/1,ARG2/18</t>
  </si>
  <si>
    <t>"udávat-002"</t>
  </si>
  <si>
    <t>ACT-&gt;ARG0/346</t>
  </si>
  <si>
    <t>PAT-&gt;ARG1/542</t>
  </si>
  <si>
    <t>"udávat-003"</t>
  </si>
  <si>
    <t>"udávat-004"</t>
  </si>
  <si>
    <t>"udávat-005"</t>
  </si>
  <si>
    <t>"udávat-006"</t>
  </si>
  <si>
    <t>"udílet-001"</t>
  </si>
  <si>
    <t>"udílet-002"</t>
  </si>
  <si>
    <t>"udýchat-se-001"</t>
  </si>
  <si>
    <t>"udělat-001"</t>
  </si>
  <si>
    <t>PAT-&gt;ARG1/284,ARG2/1</t>
  </si>
  <si>
    <t>ADDR-&gt;ARG1/269,ARG2/13,ARG3/1</t>
  </si>
  <si>
    <t>"udělat-002"</t>
  </si>
  <si>
    <t>ACT-&gt;ARG0/218,ARG1/1</t>
  </si>
  <si>
    <t>PAT-&gt;ARG1/296</t>
  </si>
  <si>
    <t>"udělat-003"</t>
  </si>
  <si>
    <t>ACT-&gt;ARG0/777,ARG1/8,ARG2/3,ARG3/1</t>
  </si>
  <si>
    <t>PAT-&gt;ARG1/984,ARG2/41</t>
  </si>
  <si>
    <t>ORIG-&gt;ARG1/307,ARG2/29</t>
  </si>
  <si>
    <t>"udělat-004"</t>
  </si>
  <si>
    <t>EFF: 7; .a7; .a1</t>
  </si>
  <si>
    <t>"udělat-005"</t>
  </si>
  <si>
    <t>"udělat-006"</t>
  </si>
  <si>
    <t>PAT: 4; ↓c; ↓že</t>
  </si>
  <si>
    <t>ACT-&gt;ARG0/3325,ARG1/56,ARG2/3,ARG3/1</t>
  </si>
  <si>
    <t>PAT-&gt;ARG0/1,ARG1/3866,ARG2/26,ARG4/1</t>
  </si>
  <si>
    <t>"udělat-007"</t>
  </si>
  <si>
    <t>"udělat-008"</t>
  </si>
  <si>
    <t>"udělat-009"</t>
  </si>
  <si>
    <t>"udělat-010"</t>
  </si>
  <si>
    <t>CPHR: {konec,nabídka,přítrž,...}.4</t>
  </si>
  <si>
    <t>"udělat-011"</t>
  </si>
  <si>
    <t>CPHR: {rešerše,závěr,...}.4</t>
  </si>
  <si>
    <t>"udělat-012"</t>
  </si>
  <si>
    <t>CPHR: {fotka,fotečka,fotografie,snímek,zápis,záznam,...}.4</t>
  </si>
  <si>
    <t>"udělat-013"</t>
  </si>
  <si>
    <t>CPHR: {deklarace,demolice,dohoda,expertíza,chyba,kompromis,konkurz,kontrola,krok,maturita,obchod,omezení,opatření,pokrok,pokus,prohlídka,předpoklad,rozhodnutí,skok,směna,spojení,škrt,státnice,úprava,ústupek,volba,výběr,výkup,výzkum,zásah,zátah,zkouška,změna,...}.4</t>
  </si>
  <si>
    <t>ACT-&gt;ARG0/414,ARG1/10</t>
  </si>
  <si>
    <t>CPHR-&gt;ARG1/519,ARG2/8</t>
  </si>
  <si>
    <t>ACT-&gt;ARG0/338,ARG1/26</t>
  </si>
  <si>
    <t>CPHR-&gt;ARG1/413,ARG2/26</t>
  </si>
  <si>
    <t>"udělat-014"</t>
  </si>
  <si>
    <t>DPHR: bankrot.S4</t>
  </si>
  <si>
    <t>"udělat-015"</t>
  </si>
  <si>
    <t>DPHR: dobře.@3</t>
  </si>
  <si>
    <t>"udělat-016"</t>
  </si>
  <si>
    <t>DPHR: tečka.S4</t>
  </si>
  <si>
    <t>"udělat-017"</t>
  </si>
  <si>
    <t>"udělat-018"</t>
  </si>
  <si>
    <t>DPHR: obrat.S4[o-1[sto-2.S4[osmdesát.S4[stupeň.P2]]]]</t>
  </si>
  <si>
    <t>DPHR-&gt;ARG1/215</t>
  </si>
  <si>
    <t>"udělat-019"</t>
  </si>
  <si>
    <t>DPHR: tak-3.d</t>
  </si>
  <si>
    <t>"udělat-020"</t>
  </si>
  <si>
    <t>DPHR: paseka.S4</t>
  </si>
  <si>
    <t>"udělat-021"</t>
  </si>
  <si>
    <t>DPHR: sekec.S4,mazec.S4</t>
  </si>
  <si>
    <t>"udělat-022"</t>
  </si>
  <si>
    <t>"udělat-023"</t>
  </si>
  <si>
    <t>"udělat-se-001"</t>
  </si>
  <si>
    <t>"udělat-se-002"</t>
  </si>
  <si>
    <t>"udělat-se-003"</t>
  </si>
  <si>
    <t>"udělat-se-004"</t>
  </si>
  <si>
    <t>"udělat-se-005"</t>
  </si>
  <si>
    <t>"udělat-si-001"</t>
  </si>
  <si>
    <t>CPHR: {čas,den,legrace,názor,představa,sranda,úsudek,...}.4</t>
  </si>
  <si>
    <t>ACT-&gt;ARG0/287,ARG1/25</t>
  </si>
  <si>
    <t>CPHR-&gt;ARG1/352,ARG2/26</t>
  </si>
  <si>
    <t>"udělat-si-002"</t>
  </si>
  <si>
    <t>DPHR: obrázek.S4</t>
  </si>
  <si>
    <t>"udělat-si-003"</t>
  </si>
  <si>
    <t>"udělit-001"</t>
  </si>
  <si>
    <t>ACT-&gt;ARG0/472</t>
  </si>
  <si>
    <t>PAT-&gt;ARG1/949,ARG2/57</t>
  </si>
  <si>
    <t>ADDR-&gt;ARG0/336,ARG1/69,ARG2/554</t>
  </si>
  <si>
    <t>"udělit-002"</t>
  </si>
  <si>
    <t>CPHR: {cena-1,milost,pochvala,pokuta,právo,pravomoc,rada-1,schválení,souhlas,uznání,zákaz,...}.4</t>
  </si>
  <si>
    <t>CPHR-&gt;ARG1/188</t>
  </si>
  <si>
    <t>ADDR-&gt;ARG1/12,ARG2/176</t>
  </si>
  <si>
    <t>CPHR-&gt;ARG1/29</t>
  </si>
  <si>
    <t>ADDR-&gt;ARG1/4,ARG2/22</t>
  </si>
  <si>
    <t>"udělovat-001"</t>
  </si>
  <si>
    <t>ACT-&gt;ARG0/242</t>
  </si>
  <si>
    <t>PAT-&gt;ARG1/347,ARG2/1</t>
  </si>
  <si>
    <t>ADDR-&gt;ARG1/4,ARG2/312</t>
  </si>
  <si>
    <t>"udělovat-002"</t>
  </si>
  <si>
    <t>CPHR: {amnestie,autorizace,cena-2,pochvala,pokuta,povinnost,povýšení,právo,rada-1,souhlas,titul,trest,uznání,výsada,zmocnění,...}.4</t>
  </si>
  <si>
    <t>"udřít-se-001"</t>
  </si>
  <si>
    <t>"uhasit-001"</t>
  </si>
  <si>
    <t>"uhlídat-001"</t>
  </si>
  <si>
    <t>"uhnout-001"</t>
  </si>
  <si>
    <t>PAT: před+7; 3</t>
  </si>
  <si>
    <t>"uhnout-002"</t>
  </si>
  <si>
    <t>"uhnít-001"</t>
  </si>
  <si>
    <t>"uhnívat-001"</t>
  </si>
  <si>
    <t>"uhnízdit-se-001"</t>
  </si>
  <si>
    <t>"uhodit-001"</t>
  </si>
  <si>
    <t>"uhodit-002"</t>
  </si>
  <si>
    <t>ACT-&gt;ARG0/6,ARG2/2</t>
  </si>
  <si>
    <t>"uhodit-003"</t>
  </si>
  <si>
    <t>"uhodit-004"</t>
  </si>
  <si>
    <t>"uhodit-se-001"</t>
  </si>
  <si>
    <t>"uhodnout-001"</t>
  </si>
  <si>
    <t>"uhořet-001"</t>
  </si>
  <si>
    <t>"uhrabat-001"</t>
  </si>
  <si>
    <t>"uhradit-001"</t>
  </si>
  <si>
    <t>ACT-&gt;ARG0/414,ARG1/3,ARG2/55</t>
  </si>
  <si>
    <t>PAT-&gt;ARG1/783,ARG2/14,ARG3/27</t>
  </si>
  <si>
    <t>ADDR-&gt;ARG0/1,ARG1/12,ARG2/151,ARG3/4</t>
  </si>
  <si>
    <t>EFF-&gt;ARG1/3,ARG2/16,ARG3/187</t>
  </si>
  <si>
    <t>"uhradit-002"</t>
  </si>
  <si>
    <t>"uhrazovat-001"</t>
  </si>
  <si>
    <t>"uhrát-001"</t>
  </si>
  <si>
    <t>"uhynout-001"</t>
  </si>
  <si>
    <t>"uhádnout-001"</t>
  </si>
  <si>
    <t>"uhájit-001"</t>
  </si>
  <si>
    <t>"uhánět-001"</t>
  </si>
  <si>
    <t>"uhánět-002"</t>
  </si>
  <si>
    <t>"uhánět-003"</t>
  </si>
  <si>
    <t>"uhánět-004"</t>
  </si>
  <si>
    <t>"uháčkovat-001"</t>
  </si>
  <si>
    <t>"uhýbat-001"</t>
  </si>
  <si>
    <t>"ujasnit-001"</t>
  </si>
  <si>
    <t>"ujasnit-si-001"</t>
  </si>
  <si>
    <t>"ujednat-001"</t>
  </si>
  <si>
    <t>"ujednávat-001"</t>
  </si>
  <si>
    <t>"ujet-001"</t>
  </si>
  <si>
    <t>"ujet-002"</t>
  </si>
  <si>
    <t>"ujet-003"</t>
  </si>
  <si>
    <t>"ujet-004"</t>
  </si>
  <si>
    <t>"ujistit-001"</t>
  </si>
  <si>
    <t>PAT-&gt;ARG2/39</t>
  </si>
  <si>
    <t>ADDR-&gt;ARG1/23</t>
  </si>
  <si>
    <t>"ujistit-se-001"</t>
  </si>
  <si>
    <t>PAT: 7; o+6; ↓že; .s; ↓c; ↓zda</t>
  </si>
  <si>
    <t>"ujišťovat-001"</t>
  </si>
  <si>
    <t>"ujmout-se-001"</t>
  </si>
  <si>
    <t>ACT-&gt;ARG0/520,ARG1/106,ARG2/3</t>
  </si>
  <si>
    <t>PAT-&gt;ARG1/570,ARG2/78</t>
  </si>
  <si>
    <t>"ujmout-se-002"</t>
  </si>
  <si>
    <t>"ujídat-001"</t>
  </si>
  <si>
    <t>ACT-&gt;ARG0/22,ARG1/1</t>
  </si>
  <si>
    <t>"ujímat-se-001"</t>
  </si>
  <si>
    <t>"ujímat-se-002"</t>
  </si>
  <si>
    <t>"ujíst-001"</t>
  </si>
  <si>
    <t>"ujít-001"</t>
  </si>
  <si>
    <t>"ujít-002"</t>
  </si>
  <si>
    <t>"ujít-003"</t>
  </si>
  <si>
    <t>PAT: 1; ↓že; ↓c</t>
  </si>
  <si>
    <t>"ujít-004"</t>
  </si>
  <si>
    <t>"ujíždět-001"</t>
  </si>
  <si>
    <t>"ujíždět-002"</t>
  </si>
  <si>
    <t>"ukamenovat-001"</t>
  </si>
  <si>
    <t>"ukapávat-001"</t>
  </si>
  <si>
    <t>"ukazovat-001"</t>
  </si>
  <si>
    <t>ACT-&gt;ARG0/446,ARG1/28</t>
  </si>
  <si>
    <t>PAT-&gt;ARG1/998,ARG2/2</t>
  </si>
  <si>
    <t>ADDR-&gt;ARG2/17</t>
  </si>
  <si>
    <t>"ukazovat-002"</t>
  </si>
  <si>
    <t>PAT-&gt;ARG1/582,ARG2/2</t>
  </si>
  <si>
    <t>"ukazovat-003"</t>
  </si>
  <si>
    <t>"ukazovat-004"</t>
  </si>
  <si>
    <t>EFF-&gt;ARG1/433</t>
  </si>
  <si>
    <t>"ukazovat-005"</t>
  </si>
  <si>
    <t>"ukazovat-006"</t>
  </si>
  <si>
    <t>CPHR: {lítost,...}</t>
  </si>
  <si>
    <t>"ukazovat-007"</t>
  </si>
  <si>
    <t>PAT-&gt;ARG1/560</t>
  </si>
  <si>
    <t>PAT-&gt;ARG1/427</t>
  </si>
  <si>
    <t>"ukazovat-se-001"</t>
  </si>
  <si>
    <t>ACT-&gt;ARG0/24,ARG1/29</t>
  </si>
  <si>
    <t>PAT: 7; 1[{jako,jakožto}:/AuxY]; být[.7]; .a1[{jako,jakožto}:/AuxY]</t>
  </si>
  <si>
    <t>PAT-&gt;ARG1/455</t>
  </si>
  <si>
    <t>"ukazovat-se-002"</t>
  </si>
  <si>
    <t>"ukazovat-se-003"</t>
  </si>
  <si>
    <t>"ukazovat-se-004"</t>
  </si>
  <si>
    <t>"ukazovat-se-005"</t>
  </si>
  <si>
    <t>ACT: 1; ↓že; ↓zda</t>
  </si>
  <si>
    <t>ACT-&gt;ARG1/40,ARG2/2</t>
  </si>
  <si>
    <t>"ukecávat-001"</t>
  </si>
  <si>
    <t>"uklidit-001"</t>
  </si>
  <si>
    <t>"uklidit-002"</t>
  </si>
  <si>
    <t>DPHR: pod-1[koberec.S4]</t>
  </si>
  <si>
    <t>"uklidnit-001"</t>
  </si>
  <si>
    <t>"uklidnit-se-001"</t>
  </si>
  <si>
    <t>"uklidňovat-001"</t>
  </si>
  <si>
    <t>"uklidňovat-se-001"</t>
  </si>
  <si>
    <t>"--uklidňovat-se-002"</t>
  </si>
  <si>
    <t>"uklouznout-001"</t>
  </si>
  <si>
    <t>"ukládat-001"</t>
  </si>
  <si>
    <t>ACT-&gt;ARG0/254,ARG1/3,ARG2/4</t>
  </si>
  <si>
    <t>PAT-&gt;ARG1/408,ARG2/2</t>
  </si>
  <si>
    <t>"ukládat-002"</t>
  </si>
  <si>
    <t>ACT-&gt;ARG0/234,ARG1/3,ARG2/4</t>
  </si>
  <si>
    <t>PAT-&gt;ARG1/287,ARG2/147</t>
  </si>
  <si>
    <t>ADDR-&gt;ARG1/142,ARG2/48</t>
  </si>
  <si>
    <t>"ukládat-003"</t>
  </si>
  <si>
    <t>"ukládat-004"</t>
  </si>
  <si>
    <t>PAT-&gt;ARG1/160</t>
  </si>
  <si>
    <t>"ukládat-005"</t>
  </si>
  <si>
    <t>CPHR: {penále,podmínka,pokuta,povinnost,sankce,trest,úkol,...}.4</t>
  </si>
  <si>
    <t>"ukládat-se-001"</t>
  </si>
  <si>
    <t>"uklízet-001"</t>
  </si>
  <si>
    <t>"ukojit-001"</t>
  </si>
  <si>
    <t>"ukolébat-001"</t>
  </si>
  <si>
    <t>"ukonejšit-001"</t>
  </si>
  <si>
    <t>"ukončit-001"</t>
  </si>
  <si>
    <t>ACT-&gt;ARG0/487,ARG1/283</t>
  </si>
  <si>
    <t>PAT-&gt;ARG1/3986,ARG2/384,ARG4/29,ARGm-EXT/40,ARGm-MNR/21</t>
  </si>
  <si>
    <t>"ukončit-002"</t>
  </si>
  <si>
    <t>ACT-&gt;ARG1/292</t>
  </si>
  <si>
    <t>LOC-&gt;ARG1/1,ARGm-EXT/352,ARGm-MNR/260</t>
  </si>
  <si>
    <t>ACT-&gt;ARG1/107</t>
  </si>
  <si>
    <t>LOC-&gt;ARGm-EXT/40,ARGm-MNR/21</t>
  </si>
  <si>
    <t>MANN-&gt;ARGm-MNR/8</t>
  </si>
  <si>
    <t>ACMP-&gt;ARG2/14,ARG4/29</t>
  </si>
  <si>
    <t>"--ukončit-003"</t>
  </si>
  <si>
    <t>"ukončovat-001"</t>
  </si>
  <si>
    <t>"ukopnout-001"</t>
  </si>
  <si>
    <t>"ukotvit-001"</t>
  </si>
  <si>
    <t>"ukousnout-001"</t>
  </si>
  <si>
    <t>"ukousnout-002"</t>
  </si>
  <si>
    <t>"ukout-001"</t>
  </si>
  <si>
    <t>"ukovat-001"</t>
  </si>
  <si>
    <t>"ukočírovat-001"</t>
  </si>
  <si>
    <t>"ukořistit-001"</t>
  </si>
  <si>
    <t>"ukradnout-001"</t>
  </si>
  <si>
    <t>"ukrajovat-001"</t>
  </si>
  <si>
    <t>"ukrajovat-002"</t>
  </si>
  <si>
    <t>"ukrojit-001"</t>
  </si>
  <si>
    <t>"ukrádat-001"</t>
  </si>
  <si>
    <t>"ukrást-001"</t>
  </si>
  <si>
    <t>"ukrýt-001"</t>
  </si>
  <si>
    <t>"ukrývat-001"</t>
  </si>
  <si>
    <t>"ukrývat-se-001"</t>
  </si>
  <si>
    <t>"ukuchtit-001"</t>
  </si>
  <si>
    <t>"ukvapit-se-001"</t>
  </si>
  <si>
    <t>"ukájet-001"</t>
  </si>
  <si>
    <t>"ukázat-001"</t>
  </si>
  <si>
    <t>ACT-&gt;ARG0/671,ARG1/3,ARG2/164</t>
  </si>
  <si>
    <t>PAT-&gt;ARG0/2,ARG1/1506,ARG2/6</t>
  </si>
  <si>
    <t>ADDR-&gt;ARG0/1,ARG2/10</t>
  </si>
  <si>
    <t>"ukázat-002"</t>
  </si>
  <si>
    <t>PAT-&gt;ARG1/569,ARG2/2</t>
  </si>
  <si>
    <t>"ukázat-003"</t>
  </si>
  <si>
    <t>EFF-&gt;ARG1/377</t>
  </si>
  <si>
    <t>"ukázat-004"</t>
  </si>
  <si>
    <t>"ukázat-005"</t>
  </si>
  <si>
    <t>DPHR: dveře.4</t>
  </si>
  <si>
    <t>DPHR-&gt;ARG1/377</t>
  </si>
  <si>
    <t>"ukázat-006"</t>
  </si>
  <si>
    <t>"ukázat-se-001"</t>
  </si>
  <si>
    <t>PAT: 7; .a1; 1[{jako,jakožto}:/AuxY]; .a1[{jako,jakožto}:/AuxY]; být[.7]; být[.1]</t>
  </si>
  <si>
    <t>PAT-&gt;ARG1/447,ARG2/2</t>
  </si>
  <si>
    <t>"ukázat-se-002"</t>
  </si>
  <si>
    <t>"ukázat-se-003"</t>
  </si>
  <si>
    <t>"ukázat-se-004"</t>
  </si>
  <si>
    <t>ACT: 1; ↓že; ↓zda; ↓jak-2; ↓c</t>
  </si>
  <si>
    <t>ACT-&gt;ARG0/4,ARG1/153,ARG2/2</t>
  </si>
  <si>
    <t>"ukázat-se-005"</t>
  </si>
  <si>
    <t>"ukáznit-001"</t>
  </si>
  <si>
    <t>"ukáznit-se-001"</t>
  </si>
  <si>
    <t>"ukřižovat-001"</t>
  </si>
  <si>
    <t>"ulehnout-001"</t>
  </si>
  <si>
    <t>"ulehnout-002"</t>
  </si>
  <si>
    <t>"ulehčit-001"</t>
  </si>
  <si>
    <t>"ulehčovat-001"</t>
  </si>
  <si>
    <t>"ulejvat-se-001"</t>
  </si>
  <si>
    <t>"uletět-001"</t>
  </si>
  <si>
    <t>"uletět-002"</t>
  </si>
  <si>
    <t>"ulevit-001"</t>
  </si>
  <si>
    <t>"ulevit-se-001"</t>
  </si>
  <si>
    <t>"--ulevit-se-002"</t>
  </si>
  <si>
    <t>"ulevit-si-001"</t>
  </si>
  <si>
    <t>"ulomit-001"</t>
  </si>
  <si>
    <t>"ulomit-se-001"</t>
  </si>
  <si>
    <t>"uloupit-001"</t>
  </si>
  <si>
    <t>"uloupnout-001"</t>
  </si>
  <si>
    <t>"ulovit-001"</t>
  </si>
  <si>
    <t>"ulovit-002"</t>
  </si>
  <si>
    <t>"uložit-001"</t>
  </si>
  <si>
    <t>"uložit-002"</t>
  </si>
  <si>
    <t>ACT-&gt;ARG0/189,ARG1/3</t>
  </si>
  <si>
    <t>PAT-&gt;ARG1/225</t>
  </si>
  <si>
    <t>LOC-&gt;ARG1/3,ARG2/27</t>
  </si>
  <si>
    <t>"uložit-003"</t>
  </si>
  <si>
    <t>"uložit-004"</t>
  </si>
  <si>
    <t>CPHR: {napomenutí,pokuta,povinnost,sankce,trest,...}.4</t>
  </si>
  <si>
    <t>CPHR-&gt;ARG0/1,ARG1/13,ARG3/3</t>
  </si>
  <si>
    <t>ADDR-&gt;ARG1/3,ARG2/14</t>
  </si>
  <si>
    <t>"ulpívat-001"</t>
  </si>
  <si>
    <t>"ulpívat-002"</t>
  </si>
  <si>
    <t>"ulpět-001"</t>
  </si>
  <si>
    <t>"ulámat-se-001"</t>
  </si>
  <si>
    <t>"ulít-001"</t>
  </si>
  <si>
    <t>"umanout-si-001"</t>
  </si>
  <si>
    <t>"umisťovat-001"</t>
  </si>
  <si>
    <t>"umisťovat-002"</t>
  </si>
  <si>
    <t>"umisťovat-se-001"</t>
  </si>
  <si>
    <t>"umlknout-001"</t>
  </si>
  <si>
    <t>"umlknout-002"</t>
  </si>
  <si>
    <t>"umluvit-001"</t>
  </si>
  <si>
    <t>?PAT: ↓aby; ↓že</t>
  </si>
  <si>
    <t>"umlčet-001"</t>
  </si>
  <si>
    <t>ACT-&gt;ARG0/55,ARG1/2</t>
  </si>
  <si>
    <t>PAT-&gt;ARG0/3,ARG1/109</t>
  </si>
  <si>
    <t>"umlčovat-001"</t>
  </si>
  <si>
    <t>"umocnit-001"</t>
  </si>
  <si>
    <t>"umocnit-002"</t>
  </si>
  <si>
    <t>"umocňovat-001"</t>
  </si>
  <si>
    <t>"umocňovat-002"</t>
  </si>
  <si>
    <t>"umoudřit-se-001"</t>
  </si>
  <si>
    <t>"umoudřit-se-002"</t>
  </si>
  <si>
    <t>"umořit-001"</t>
  </si>
  <si>
    <t>"umořovat-001"</t>
  </si>
  <si>
    <t>"umožnit-001"</t>
  </si>
  <si>
    <t>PAT: 4; .f; ↓že; ↓aby; ↓aby</t>
  </si>
  <si>
    <t>ACT-&gt;ARG0/901,ARG1/1,ARG3/3</t>
  </si>
  <si>
    <t>PAT-&gt;ARG1/1397,ARG2/27</t>
  </si>
  <si>
    <t>ADDR-&gt;ARG1/217,ARG2/339</t>
  </si>
  <si>
    <t>"umožnit-002"</t>
  </si>
  <si>
    <t>PAT-&gt;ARG1/1005</t>
  </si>
  <si>
    <t>"umožňovat-001"</t>
  </si>
  <si>
    <t>ACT-&gt;ARG0/1217,ARG1/2</t>
  </si>
  <si>
    <t>PAT-&gt;ARG0/1,ARG1/1803,ARG2/5</t>
  </si>
  <si>
    <t>ADDR-&gt;ARG1/191,ARG2/495</t>
  </si>
  <si>
    <t>"umožňovat-002"</t>
  </si>
  <si>
    <t>ACT-&gt;ARG0/661,ARG1/4</t>
  </si>
  <si>
    <t>PAT-&gt;ARG1/982,ARG2/3,ARG3/1</t>
  </si>
  <si>
    <t>"umíchat-001"</t>
  </si>
  <si>
    <t>"umínit-si-001"</t>
  </si>
  <si>
    <t>PAT: 4; ↓že; ↓jak-2; ↓aby; .f; ↓c</t>
  </si>
  <si>
    <t>"umírat-001"</t>
  </si>
  <si>
    <t>"umírnit-001"</t>
  </si>
  <si>
    <t>"umístit-001"</t>
  </si>
  <si>
    <t>PAT-&gt;ARG1/141,ARGm-LOC/1</t>
  </si>
  <si>
    <t>"umístit-002"</t>
  </si>
  <si>
    <t>"umístit-se-001"</t>
  </si>
  <si>
    <t>ACT-&gt;ARG0/1,ARG1/49</t>
  </si>
  <si>
    <t>LOC-&gt;ARG1/1,ARG2/5,ARGm-EXT/40,ARGm-MNR/21</t>
  </si>
  <si>
    <t>"umísťovat-001"</t>
  </si>
  <si>
    <t>"umísťovat-002"</t>
  </si>
  <si>
    <t>"umísťovat-se-001"</t>
  </si>
  <si>
    <t>"umýt-001"</t>
  </si>
  <si>
    <t>"umýt-si-001"</t>
  </si>
  <si>
    <t>DPHR: ruka.P4</t>
  </si>
  <si>
    <t>DPHR-&gt;ARG1/1,ARG3/2</t>
  </si>
  <si>
    <t>"umývat-001"</t>
  </si>
  <si>
    <t>"umět-001"</t>
  </si>
  <si>
    <t>ACT-&gt;ARG0/456,ARG1/2</t>
  </si>
  <si>
    <t>PAT-&gt;ARG1/531,ARG2/16</t>
  </si>
  <si>
    <t>"umřít-001"</t>
  </si>
  <si>
    <t>"unavit-001"</t>
  </si>
  <si>
    <t>"unavit-se-001"</t>
  </si>
  <si>
    <t>"unavovat-001"</t>
  </si>
  <si>
    <t>"unikat-001"</t>
  </si>
  <si>
    <t>"unikat-002"</t>
  </si>
  <si>
    <t>"unikat-003"</t>
  </si>
  <si>
    <t>"unikat-004"</t>
  </si>
  <si>
    <t>"uniknout-001"</t>
  </si>
  <si>
    <t>"uniknout-002"</t>
  </si>
  <si>
    <t>"uniknout-003"</t>
  </si>
  <si>
    <t>"uniknout-004"</t>
  </si>
  <si>
    <t>"uniknout-005"</t>
  </si>
  <si>
    <t>DIR1-&gt;ARG1/17</t>
  </si>
  <si>
    <t>"unášet-001"</t>
  </si>
  <si>
    <t>"unášet-002"</t>
  </si>
  <si>
    <t>"unášet-003"</t>
  </si>
  <si>
    <t>"unést-001"</t>
  </si>
  <si>
    <t>"unést-002"</t>
  </si>
  <si>
    <t>"unést-003"</t>
  </si>
  <si>
    <t>"unést-004"</t>
  </si>
  <si>
    <t>"unést-005"</t>
  </si>
  <si>
    <t>"upadat-001"</t>
  </si>
  <si>
    <t>ACT-&gt;ARG0/8,ARG1/747,ARG2/4</t>
  </si>
  <si>
    <t>"upadnout-001"</t>
  </si>
  <si>
    <t>"upadnout-002"</t>
  </si>
  <si>
    <t>"upadnout-003"</t>
  </si>
  <si>
    <t>"upalovat-001"</t>
  </si>
  <si>
    <t>"upamatovat-si-001"</t>
  </si>
  <si>
    <t>PAT: 4; na+4; ↓že</t>
  </si>
  <si>
    <t>"upevnit-001"</t>
  </si>
  <si>
    <t>"upevnit-002"</t>
  </si>
  <si>
    <t>"upevnit-003"</t>
  </si>
  <si>
    <t>"upevnit-004"</t>
  </si>
  <si>
    <t>"upevnit-se-001"</t>
  </si>
  <si>
    <t>"upevňovat-001"</t>
  </si>
  <si>
    <t>"upgradovat-001"</t>
  </si>
  <si>
    <t>"upisovat-001"</t>
  </si>
  <si>
    <t>"upisovat-se-001"</t>
  </si>
  <si>
    <t>PAT: 7; k+3; .f; ↓že</t>
  </si>
  <si>
    <t>"uplatit-001"</t>
  </si>
  <si>
    <t>"uplatnit-001"</t>
  </si>
  <si>
    <t>PAT-&gt;ARG1/269</t>
  </si>
  <si>
    <t>EFF-&gt;ARG2/34</t>
  </si>
  <si>
    <t>ACT-&gt;ARG0/504,ARG1/12,ARG2/80</t>
  </si>
  <si>
    <t>PAT-&gt;ARG0/2,ARG1/1163,ARG2/10,ARG3/3</t>
  </si>
  <si>
    <t>"uplatnit-se-001"</t>
  </si>
  <si>
    <t>"--uplatňovat-001"</t>
  </si>
  <si>
    <t>"uplatňovat-002"</t>
  </si>
  <si>
    <t>ACT-&gt;ARG0/2431,ARG1/46</t>
  </si>
  <si>
    <t>PAT-&gt;ARG0/1,ARG1/2666,ARG2/26</t>
  </si>
  <si>
    <t>"uplatňovat-se-001"</t>
  </si>
  <si>
    <t>"uplavat-001"</t>
  </si>
  <si>
    <t>"uplavat-002"</t>
  </si>
  <si>
    <t>"uplynout-001"</t>
  </si>
  <si>
    <t>"uplácet-001"</t>
  </si>
  <si>
    <t>"uplést-001"</t>
  </si>
  <si>
    <t>"uplést-si-001"</t>
  </si>
  <si>
    <t>DPHR: na-1[se.4$2&lt;6&gt;],bič.S4</t>
  </si>
  <si>
    <t>"upnout-se-001"</t>
  </si>
  <si>
    <t>"upomínat-001"</t>
  </si>
  <si>
    <t>PAT: na+4; ↓že; ↓aby; ↓c; .s</t>
  </si>
  <si>
    <t>"uposlechnout-001"</t>
  </si>
  <si>
    <t>"upotřebit-001"</t>
  </si>
  <si>
    <t>"upotřebovat-001"</t>
  </si>
  <si>
    <t>"upoutat-001"</t>
  </si>
  <si>
    <t>"upoutat-002"</t>
  </si>
  <si>
    <t>"upoutat-003"</t>
  </si>
  <si>
    <t>ACT-&gt;ARG0/43,ARG1/1</t>
  </si>
  <si>
    <t>DPHR: pozornost-1.S4</t>
  </si>
  <si>
    <t>ADDR-&gt;ARG1/89</t>
  </si>
  <si>
    <t>ACT-&gt;ARG0/1,ARG1/1,ARG2/1</t>
  </si>
  <si>
    <t>DPHR-&gt;ARG1/2,ARG2/3</t>
  </si>
  <si>
    <t>"--upoutat-004"</t>
  </si>
  <si>
    <t>DPHR: pozornost</t>
  </si>
  <si>
    <t>"upoutávat-001"</t>
  </si>
  <si>
    <t>"upouštět-001"</t>
  </si>
  <si>
    <t>"upouštět-002"</t>
  </si>
  <si>
    <t>"upozadit-001"</t>
  </si>
  <si>
    <t>"upozornit-001"</t>
  </si>
  <si>
    <t>PAT: na+4; ↓že; ↓aby; ↓c; .s; ↓ať</t>
  </si>
  <si>
    <t>ACT-&gt;ARG0/395</t>
  </si>
  <si>
    <t>PAT-&gt;ARG1/357,ARG2/46</t>
  </si>
  <si>
    <t>ADDR-&gt;ARG1/59,ARG2/27</t>
  </si>
  <si>
    <t>"upozorňovat-001"</t>
  </si>
  <si>
    <t>ACT-&gt;ARG0/445,ARG1/3</t>
  </si>
  <si>
    <t>PAT-&gt;ARG1/455,ARG2/21</t>
  </si>
  <si>
    <t>ADDR-&gt;ARG1/33,ARG2/4</t>
  </si>
  <si>
    <t>"upravit-001"</t>
  </si>
  <si>
    <t>ACT-&gt;ARG0/53,ARG1/2</t>
  </si>
  <si>
    <t>PAT-&gt;ARG0/2,ARG1/116</t>
  </si>
  <si>
    <t>EFF-&gt;ARG2/12</t>
  </si>
  <si>
    <t>"upravit-002"</t>
  </si>
  <si>
    <t>ACT-&gt;ARG0/57,ARG1/2</t>
  </si>
  <si>
    <t>PAT-&gt;ARG1/105,ARG2/1</t>
  </si>
  <si>
    <t>"upravit-003"</t>
  </si>
  <si>
    <t>"upravovat-001"</t>
  </si>
  <si>
    <t>ACT-&gt;ARG0/13,ARG1/2</t>
  </si>
  <si>
    <t>EFF-&gt;ARG2/6,ARG4/25</t>
  </si>
  <si>
    <t>"upravovat-002"</t>
  </si>
  <si>
    <t>"uprchnout-001"</t>
  </si>
  <si>
    <t>"uprosit-001"</t>
  </si>
  <si>
    <t>"uprázdnit-001"</t>
  </si>
  <si>
    <t>"upsat-001"</t>
  </si>
  <si>
    <t>PAT-&gt;ARG1/16,ARG3/6</t>
  </si>
  <si>
    <t>"upsat-002"</t>
  </si>
  <si>
    <t>"upsat-se-001"</t>
  </si>
  <si>
    <t>"upustit-001"</t>
  </si>
  <si>
    <t>"upustit-002"</t>
  </si>
  <si>
    <t>"upálit-001"</t>
  </si>
  <si>
    <t>"upéci-001"</t>
  </si>
  <si>
    <t>"upéci-002"</t>
  </si>
  <si>
    <t>"upíchnout-se-001"</t>
  </si>
  <si>
    <t>"upíjet-001"</t>
  </si>
  <si>
    <t>"upínat-se-001"</t>
  </si>
  <si>
    <t>"upírat-001"</t>
  </si>
  <si>
    <t>ADDR-&gt;ARG0/39</t>
  </si>
  <si>
    <t>"upírat-002"</t>
  </si>
  <si>
    <t>EFF-&gt;ARG1/2,ARG2/2</t>
  </si>
  <si>
    <t>"upít-001"</t>
  </si>
  <si>
    <t>"upít-se-001"</t>
  </si>
  <si>
    <t>"upřednostnit-001"</t>
  </si>
  <si>
    <t>"upřednostňovat-001"</t>
  </si>
  <si>
    <t>ACT-&gt;ARG0/175</t>
  </si>
  <si>
    <t>"upřesnit-001"</t>
  </si>
  <si>
    <t>PAT-&gt;ARG1/135</t>
  </si>
  <si>
    <t>"upřesňovat-001"</t>
  </si>
  <si>
    <t>"upřít-001"</t>
  </si>
  <si>
    <t>ACT-&gt;ARG0/243</t>
  </si>
  <si>
    <t>PAT-&gt;ARG1/349,ARG2/1</t>
  </si>
  <si>
    <t>"upřít-002"</t>
  </si>
  <si>
    <t>CPHR: {pozornost-1,zrak,...}.4</t>
  </si>
  <si>
    <t>"urazit-001"</t>
  </si>
  <si>
    <t>"urazit-002"</t>
  </si>
  <si>
    <t>"urazit-003"</t>
  </si>
  <si>
    <t>"urazit-se-001"</t>
  </si>
  <si>
    <t>"urgovat-001"</t>
  </si>
  <si>
    <t>"urodit-se-001"</t>
  </si>
  <si>
    <t>"uronit-001"</t>
  </si>
  <si>
    <t>DPHR: slza.S4</t>
  </si>
  <si>
    <t>"urovnat-001"</t>
  </si>
  <si>
    <t>PAT-&gt;ARG1/102,ARG2/7</t>
  </si>
  <si>
    <t>"urovnávat-001"</t>
  </si>
  <si>
    <t>"urvat-001"</t>
  </si>
  <si>
    <t>"urychlit-001"</t>
  </si>
  <si>
    <t>ACT-&gt;ARG0/60,ARG1/3102,ARG2/326</t>
  </si>
  <si>
    <t>PAT-&gt;ARG1/218,ARG2/3451</t>
  </si>
  <si>
    <t>"urychlovat-001"</t>
  </si>
  <si>
    <t>"urážet-001"</t>
  </si>
  <si>
    <t>"urážet-002"</t>
  </si>
  <si>
    <t>"určit-001"</t>
  </si>
  <si>
    <t>ACT-&gt;ARG0/353,ARG1/1</t>
  </si>
  <si>
    <t>PAT-&gt;ARG1/681,ARG2/1</t>
  </si>
  <si>
    <t>"určit-002"</t>
  </si>
  <si>
    <t>PAT-&gt;ARG1/162,ARG2/1</t>
  </si>
  <si>
    <t>ADDR-&gt;ARG1/4,ARG2/135</t>
  </si>
  <si>
    <t>"určit-003"</t>
  </si>
  <si>
    <t>"určit-004"</t>
  </si>
  <si>
    <t>EFF: 7; za+4; 4[{jako,jakožto}:/AuxY]; :a4[{jako,jakožto}:/AuxY]</t>
  </si>
  <si>
    <t>"určit-005"</t>
  </si>
  <si>
    <t>ACT-&gt;ARG0/456,ARG1/1</t>
  </si>
  <si>
    <t>PAT-&gt;ARG1/818,ARG2/10</t>
  </si>
  <si>
    <t>EFF-&gt;ARG2/30</t>
  </si>
  <si>
    <t>"určit-006"</t>
  </si>
  <si>
    <t>PAT-&gt;ARG0/2,ARG1/179</t>
  </si>
  <si>
    <t>"určit-007"</t>
  </si>
  <si>
    <t>ACT-&gt;ARG0/61,ARG2/34</t>
  </si>
  <si>
    <t>PAT-&gt;ARG1/241,ARG2/1</t>
  </si>
  <si>
    <t>"určovat-001"</t>
  </si>
  <si>
    <t>"určovat-002"</t>
  </si>
  <si>
    <t>"určovat-003"</t>
  </si>
  <si>
    <t>"určovat-004"</t>
  </si>
  <si>
    <t>"určovat-005"</t>
  </si>
  <si>
    <t>PAT-&gt;ARG1/234</t>
  </si>
  <si>
    <t>"usadit-001"</t>
  </si>
  <si>
    <t>"usadit-002"</t>
  </si>
  <si>
    <t>"usadit-se-001"</t>
  </si>
  <si>
    <t>ACT-&gt;ARG0/3,ARG1/40,ARG4/1</t>
  </si>
  <si>
    <t>LOC-&gt;ARG2/13,ARG4/32,ARGm-LOC/23</t>
  </si>
  <si>
    <t>"usadit-se-002"</t>
  </si>
  <si>
    <t>"usadit-se-003"</t>
  </si>
  <si>
    <t>ACT-&gt;ARG0/1,ARG1/78,ARG4/1</t>
  </si>
  <si>
    <t>"usadit-se-004"</t>
  </si>
  <si>
    <t>ACT-&gt;ARG0/1,ARG1/26,ARG4/1</t>
  </si>
  <si>
    <t>LOC-&gt;ARG2/12,ARG4/31</t>
  </si>
  <si>
    <t>"usadit-se-005"</t>
  </si>
  <si>
    <t>ACT-&gt;ARG0/1,ARG1/7</t>
  </si>
  <si>
    <t>"usazovat-001"</t>
  </si>
  <si>
    <t>"usazovat-se-001"</t>
  </si>
  <si>
    <t>"usazovat-se-002"</t>
  </si>
  <si>
    <t>"usazovat-se-003"</t>
  </si>
  <si>
    <t>"uschnout-001"</t>
  </si>
  <si>
    <t>"uschovat-001"</t>
  </si>
  <si>
    <t>"uschovávat-001"</t>
  </si>
  <si>
    <t>"usedat-001"</t>
  </si>
  <si>
    <t>"usedat-002"</t>
  </si>
  <si>
    <t>"usednout-001"</t>
  </si>
  <si>
    <t>"usednout-002"</t>
  </si>
  <si>
    <t>"useknout-001"</t>
  </si>
  <si>
    <t>"useknout-002"</t>
  </si>
  <si>
    <t>"usilovat-001"</t>
  </si>
  <si>
    <t>PAT: o+4; ↓c; .f; ↓aby</t>
  </si>
  <si>
    <t>ACT-&gt;ARG0/1008,ARG1/2,ARG2/1</t>
  </si>
  <si>
    <t>PAT-&gt;ARG1/1175,ARG2/43</t>
  </si>
  <si>
    <t>"uskladnit-001"</t>
  </si>
  <si>
    <t>"uskladňovat-001"</t>
  </si>
  <si>
    <t>"uskočit-001"</t>
  </si>
  <si>
    <t>"uskromnit-se-001"</t>
  </si>
  <si>
    <t>"uskrovnit-se-001"</t>
  </si>
  <si>
    <t>"uskrovňovat-se-001"</t>
  </si>
  <si>
    <t>"uskutečnit-001"</t>
  </si>
  <si>
    <t>ACT-&gt;ARG0/622,ARG1/124,ARG2/3451,ARG3/1</t>
  </si>
  <si>
    <t>PAT-&gt;ARG1/4012,ARG2/296</t>
  </si>
  <si>
    <t>"uskutečnit-002"</t>
  </si>
  <si>
    <t>CPHR: {koupě,operace,plán,platba,prodej,příkaz,...}.4</t>
  </si>
  <si>
    <t>CPHR-&gt;ARG1/748</t>
  </si>
  <si>
    <t>"--uskutečnit-003"</t>
  </si>
  <si>
    <t>CPHR: {operace,platba,prodej,příkaz,...}.4</t>
  </si>
  <si>
    <t>"uskutečnit-se-001"</t>
  </si>
  <si>
    <t>ACT-&gt;ARG0/1,ARG1/981</t>
  </si>
  <si>
    <t>"uskutečňovat-001"</t>
  </si>
  <si>
    <t>ACT-&gt;ARG0/148</t>
  </si>
  <si>
    <t>PAT-&gt;ARG1/432</t>
  </si>
  <si>
    <t>"uskutečňovat-se-001"</t>
  </si>
  <si>
    <t>"uslyšet-001"</t>
  </si>
  <si>
    <t>"uslyšet-002"</t>
  </si>
  <si>
    <t>EFF-&gt;ARG1/50,ARG2/4</t>
  </si>
  <si>
    <t>"uslyšet-003"</t>
  </si>
  <si>
    <t>ACT-&gt;ARG0/77,ARG1/46</t>
  </si>
  <si>
    <t>PAT-&gt;ARG0/18,ARG1/100,ARG2/26</t>
  </si>
  <si>
    <t>"uslyšet-004"</t>
  </si>
  <si>
    <t>"usmažit-001"</t>
  </si>
  <si>
    <t>"usmlouvat-001"</t>
  </si>
  <si>
    <t>"usmolit-001"</t>
  </si>
  <si>
    <t>"usmrcovat-001"</t>
  </si>
  <si>
    <t>"usmrtit-001"</t>
  </si>
  <si>
    <t>"usmyslet-si-001"</t>
  </si>
  <si>
    <t>"usmát-se-001"</t>
  </si>
  <si>
    <t>"usmívat-se-001"</t>
  </si>
  <si>
    <t>"usmívat-se-002"</t>
  </si>
  <si>
    <t>"usmířit-001"</t>
  </si>
  <si>
    <t>"usmířit-002"</t>
  </si>
  <si>
    <t>"usmířit-se-001"</t>
  </si>
  <si>
    <t>"usměrnit-001"</t>
  </si>
  <si>
    <t>"usměrňovat-001"</t>
  </si>
  <si>
    <t>"usnadnit-001"</t>
  </si>
  <si>
    <t>PAT-&gt;ARG1/91,ARG2/3</t>
  </si>
  <si>
    <t>"usnadňovat-001"</t>
  </si>
  <si>
    <t>"usnout-001"</t>
  </si>
  <si>
    <t>"usnout-002"</t>
  </si>
  <si>
    <t>"usnést-se-001"</t>
  </si>
  <si>
    <t>PAT: na+6; ↓že; ↓zda; ↓jestli; ↓c; ↓aby; .f; .s</t>
  </si>
  <si>
    <t>"usoudit-001"</t>
  </si>
  <si>
    <t>ACT-&gt;ARG0/197,ARG1/1</t>
  </si>
  <si>
    <t>PAT-&gt;ARG0/1,ARG1/218</t>
  </si>
  <si>
    <t>"usoudit-002"</t>
  </si>
  <si>
    <t>ACT-&gt;ARG0/497,ARG1/1</t>
  </si>
  <si>
    <t>EFF-&gt;ARG1/543,ARG2/16</t>
  </si>
  <si>
    <t>"usoužit-001"</t>
  </si>
  <si>
    <t>"uspat-001"</t>
  </si>
  <si>
    <t>"uspat-se-001"</t>
  </si>
  <si>
    <t>"uspokojit-001"</t>
  </si>
  <si>
    <t>ACT-&gt;ARG0/55,ARG1/5,ARG2/5</t>
  </si>
  <si>
    <t>PAT-&gt;ARG0/1,ARG1/178,ARG2/7</t>
  </si>
  <si>
    <t>"uspokojovat-001"</t>
  </si>
  <si>
    <t>ACT-&gt;ARG0/4,ARG2/1</t>
  </si>
  <si>
    <t>"uspořit-001"</t>
  </si>
  <si>
    <t>ACT-&gt;ARG0/17,ARG3/13</t>
  </si>
  <si>
    <t>"uspořádat-001"</t>
  </si>
  <si>
    <t>"uspořádat-002"</t>
  </si>
  <si>
    <t>"uspořádat-003"</t>
  </si>
  <si>
    <t>"uspořádat-004"</t>
  </si>
  <si>
    <t>"uspořádávat-001"</t>
  </si>
  <si>
    <t>"uspíšit-001"</t>
  </si>
  <si>
    <t>ACT-&gt;ARG0/32,ARG2/30</t>
  </si>
  <si>
    <t>"uspěchat-001"</t>
  </si>
  <si>
    <t>"uspět-001"</t>
  </si>
  <si>
    <t>PAT-&gt;ARG1/17,ARG3/6</t>
  </si>
  <si>
    <t>"uspět-002"</t>
  </si>
  <si>
    <t>ACT-&gt;ARG0/38,ARG1/192</t>
  </si>
  <si>
    <t>"usrkávat-001"</t>
  </si>
  <si>
    <t>"ustalovat-001"</t>
  </si>
  <si>
    <t>"ustalovat-se-001"</t>
  </si>
  <si>
    <t>"ustanovit-001"</t>
  </si>
  <si>
    <t>PAT-&gt;ARG1/256,ARG2/5</t>
  </si>
  <si>
    <t>"ustanovit-002"</t>
  </si>
  <si>
    <t>EFF-&gt;ARG1/1,ARG2/7</t>
  </si>
  <si>
    <t>"ustanovit-003"</t>
  </si>
  <si>
    <t>"ustanovovat-001"</t>
  </si>
  <si>
    <t>PAT-&gt;ARG0/54</t>
  </si>
  <si>
    <t>"ustat-001"</t>
  </si>
  <si>
    <t>"ustat-002"</t>
  </si>
  <si>
    <t>ACT-&gt;ARG0/3,ARG1/26</t>
  </si>
  <si>
    <t>"ustavit-001"</t>
  </si>
  <si>
    <t>ACT-&gt;ARG0/126</t>
  </si>
  <si>
    <t>PAT-&gt;ARG1/203</t>
  </si>
  <si>
    <t>"ustavit-002"</t>
  </si>
  <si>
    <t>"ustavovat-001"</t>
  </si>
  <si>
    <t>EFF: 7; za+4; .n4[{jako,jakožto}:/AuxY]</t>
  </si>
  <si>
    <t>"ustavovat-002"</t>
  </si>
  <si>
    <t>"ustlat-001"</t>
  </si>
  <si>
    <t>"ustlat-si-001"</t>
  </si>
  <si>
    <t>"ustoupit-001"</t>
  </si>
  <si>
    <t>ACT-&gt;ARG0/34,ARG1/4</t>
  </si>
  <si>
    <t>"ustoupit-002"</t>
  </si>
  <si>
    <t>PAT-&gt;ARG1/14,ARG2/14</t>
  </si>
  <si>
    <t>"ustoupit-003"</t>
  </si>
  <si>
    <t>"ustoupit-004"</t>
  </si>
  <si>
    <t>DIR1-&gt;ARG1/51</t>
  </si>
  <si>
    <t>"ustoupit-005"</t>
  </si>
  <si>
    <t>ACT-&gt;ARG1/73</t>
  </si>
  <si>
    <t>"ustoupit-006"</t>
  </si>
  <si>
    <t>"ustrnout-001"</t>
  </si>
  <si>
    <t>"ustrojit-001"</t>
  </si>
  <si>
    <t>"ustrojit-se-001"</t>
  </si>
  <si>
    <t>"ustupovat-001"</t>
  </si>
  <si>
    <t>"ustupovat-002"</t>
  </si>
  <si>
    <t>"ustupovat-003"</t>
  </si>
  <si>
    <t>"ustupovat-004"</t>
  </si>
  <si>
    <t>DIR1-&gt;ARG1/2</t>
  </si>
  <si>
    <t>"ustupovat-005"</t>
  </si>
  <si>
    <t>"ustálit-001"</t>
  </si>
  <si>
    <t>"ustálit-se-001"</t>
  </si>
  <si>
    <t>ACT-&gt;ARG0/1,ARG1/102,ARG4/1</t>
  </si>
  <si>
    <t>"ustát-001"</t>
  </si>
  <si>
    <t>"ustávat-001"</t>
  </si>
  <si>
    <t>"ustávat-002"</t>
  </si>
  <si>
    <t>"usuzovat-001"</t>
  </si>
  <si>
    <t>ACT-&gt;ARG0/413,ARG1/1</t>
  </si>
  <si>
    <t>"usuzovat-002"</t>
  </si>
  <si>
    <t>ACT-&gt;ARG0/353,ARG1/4</t>
  </si>
  <si>
    <t>EFF-&gt;ARG1/397</t>
  </si>
  <si>
    <t>"usušit-001"</t>
  </si>
  <si>
    <t>"usvědčit-001"</t>
  </si>
  <si>
    <t>"usvědčit-002"</t>
  </si>
  <si>
    <t>EFF: 7; 4[{jako,jakožto}:/AuxY]; za+4; .a4[{jako,jakožto}:/AuxY]; za-1[.a4]</t>
  </si>
  <si>
    <t>"usvědčovat-001"</t>
  </si>
  <si>
    <t>PAT: v+6,o+6</t>
  </si>
  <si>
    <t>"usíci-001"</t>
  </si>
  <si>
    <t>"usídlit-se-001"</t>
  </si>
  <si>
    <t>"usídlit-se-002"</t>
  </si>
  <si>
    <t>"usínat-001"</t>
  </si>
  <si>
    <t>"utahat-001"</t>
  </si>
  <si>
    <t>"utahovat-001"</t>
  </si>
  <si>
    <t>"utahovat-002"</t>
  </si>
  <si>
    <t>DPHR: opasek.S4</t>
  </si>
  <si>
    <t>"utahovat-si-001"</t>
  </si>
  <si>
    <t>"utahovat-si-002"</t>
  </si>
  <si>
    <t>"utajovat-001"</t>
  </si>
  <si>
    <t>"utichat-001"</t>
  </si>
  <si>
    <t>"utichnout-001"</t>
  </si>
  <si>
    <t>"utišit-001"</t>
  </si>
  <si>
    <t>"utišit-002"</t>
  </si>
  <si>
    <t>"utišit-se-001"</t>
  </si>
  <si>
    <t>"utišovat-001"</t>
  </si>
  <si>
    <t>"utkat-se-001"</t>
  </si>
  <si>
    <t>"utkat-se-002"</t>
  </si>
  <si>
    <t>"utkvít-001"</t>
  </si>
  <si>
    <t>"utkvít-002"</t>
  </si>
  <si>
    <t>LOC-&gt;ARG0/5</t>
  </si>
  <si>
    <t>"utkvět-001"</t>
  </si>
  <si>
    <t>ACT: 1; .v</t>
  </si>
  <si>
    <t>"utkvět-002"</t>
  </si>
  <si>
    <t>"utkávat-se-001"</t>
  </si>
  <si>
    <t>"utkávat-se-002"</t>
  </si>
  <si>
    <t>"utlačovat-001"</t>
  </si>
  <si>
    <t>"utlouci-001"</t>
  </si>
  <si>
    <t>"utloukat-001"</t>
  </si>
  <si>
    <t>"utlumit-001"</t>
  </si>
  <si>
    <t>"utlumit-002"</t>
  </si>
  <si>
    <t>"utlumit-se-001"</t>
  </si>
  <si>
    <t>"utnout-001"</t>
  </si>
  <si>
    <t>"utnout-se-001"</t>
  </si>
  <si>
    <t>DPHR: mistr:S1[tesař.S1]</t>
  </si>
  <si>
    <t>"utonout-001"</t>
  </si>
  <si>
    <t>"utopit-001"</t>
  </si>
  <si>
    <t>"utopit-002"</t>
  </si>
  <si>
    <t>"utopit-se-001"</t>
  </si>
  <si>
    <t>"utratit-001"</t>
  </si>
  <si>
    <t>ACT-&gt;ARG0/101,ARG3/1</t>
  </si>
  <si>
    <t>PAT-&gt;ARG1/1,ARG3/143</t>
  </si>
  <si>
    <t>?EFF: za+4,na+4</t>
  </si>
  <si>
    <t>"utratit-002"</t>
  </si>
  <si>
    <t>"utratit-003"</t>
  </si>
  <si>
    <t>EXT-&gt;ARG1/1,ARG3/143</t>
  </si>
  <si>
    <t>?PAT: za+4; na+4</t>
  </si>
  <si>
    <t>PAT-&gt;ARG1/112,ARG3/1</t>
  </si>
  <si>
    <t>ACT-&gt;ARG0/450,ARG1/1</t>
  </si>
  <si>
    <t>EXT-&gt;ARG0/2,ARG1/813,ARG3/1</t>
  </si>
  <si>
    <t>"utrhnout-001"</t>
  </si>
  <si>
    <t>"utrhnout-se-001"</t>
  </si>
  <si>
    <t>"utrhnout-se-002"</t>
  </si>
  <si>
    <t>"utrhávat-001"</t>
  </si>
  <si>
    <t>"utrousit-001"</t>
  </si>
  <si>
    <t>"utrpět-001"</t>
  </si>
  <si>
    <t>ACT-&gt;ARG0/2690,ARG1/144,ARG2/1</t>
  </si>
  <si>
    <t>PAT-&gt;ARG0/1,ARG1/2944,ARG2/143</t>
  </si>
  <si>
    <t>"utrpět-002"</t>
  </si>
  <si>
    <t>ACT-&gt;ARG0/35,ARG1/161</t>
  </si>
  <si>
    <t>PAT-&gt;ARG0/45,ARG1/37,ARG2/98</t>
  </si>
  <si>
    <t>"utrácet-001"</t>
  </si>
  <si>
    <t>ACT-&gt;ARG0/101,ARG1/2,ARG3/1</t>
  </si>
  <si>
    <t>"utrácet-002"</t>
  </si>
  <si>
    <t>"utržit-001"</t>
  </si>
  <si>
    <t>ACT-&gt;ARG0/2297,ARG1/21</t>
  </si>
  <si>
    <t>PAT-&gt;ARG0/1,ARG1/2500</t>
  </si>
  <si>
    <t>"utržit-002"</t>
  </si>
  <si>
    <t>"utuchat-001"</t>
  </si>
  <si>
    <t>"ututlat-001"</t>
  </si>
  <si>
    <t>"utužit-001"</t>
  </si>
  <si>
    <t>"utužovat-001"</t>
  </si>
  <si>
    <t>"utvořit-001"</t>
  </si>
  <si>
    <t>"utvořit-002"</t>
  </si>
  <si>
    <t>CPHR: {rekord}.4</t>
  </si>
  <si>
    <t>"utvořit-se-001"</t>
  </si>
  <si>
    <t>"utvrdit-001"</t>
  </si>
  <si>
    <t>PAT: v+6; ↓že; ↓c</t>
  </si>
  <si>
    <t>"utvrdit-002"</t>
  </si>
  <si>
    <t>"utvrzovat-001"</t>
  </si>
  <si>
    <t>PAT: v+6; ↓že</t>
  </si>
  <si>
    <t>"utvrzovat-002"</t>
  </si>
  <si>
    <t>"utvářet-001"</t>
  </si>
  <si>
    <t>"utvářet-se-001"</t>
  </si>
  <si>
    <t>"utábořit-se-001"</t>
  </si>
  <si>
    <t>"utáhnout-001"</t>
  </si>
  <si>
    <t>"utáhnout-002"</t>
  </si>
  <si>
    <t>"utáhnout-003"</t>
  </si>
  <si>
    <t>"utápět-se-001"</t>
  </si>
  <si>
    <t>"utéci-001"</t>
  </si>
  <si>
    <t>"utéci-002"</t>
  </si>
  <si>
    <t>"utéci-003"</t>
  </si>
  <si>
    <t>"utéci-se-001"</t>
  </si>
  <si>
    <t>"utíkat-001"</t>
  </si>
  <si>
    <t>ACT-&gt;ARG0/30,ARG1/4</t>
  </si>
  <si>
    <t>"utíkat-002"</t>
  </si>
  <si>
    <t>"utíkat-003"</t>
  </si>
  <si>
    <t>"utírat-001"</t>
  </si>
  <si>
    <t>"utěšit-001"</t>
  </si>
  <si>
    <t>"utěšovat-001"</t>
  </si>
  <si>
    <t>"utřídit-001"</t>
  </si>
  <si>
    <t>"utřít-001"</t>
  </si>
  <si>
    <t>"uvadnout-001"</t>
  </si>
  <si>
    <t>"uvadnout-002"</t>
  </si>
  <si>
    <t>"uvalit-001"</t>
  </si>
  <si>
    <t>PAT-&gt;ARG0/1,ARG1/76,ARG3/3</t>
  </si>
  <si>
    <t>ADDR-&gt;ARG1/10,ARG2/49</t>
  </si>
  <si>
    <t>"uvalit-002"</t>
  </si>
  <si>
    <t>CPHR: {blokáda,břemeno,clo,daň,dluh,embargo,exekuce,hypotéka,karanténa,moratorium,opatření,penále,platba,podmínka,poplatek,právo,sankce,správa,úrok,vazba-1,zákaz,zátěž,...}.4</t>
  </si>
  <si>
    <t>ADDR: na+4; vůči+3</t>
  </si>
  <si>
    <t>ADDR-&gt;ARG1/7,ARG2/40</t>
  </si>
  <si>
    <t>CPHR-&gt;ARG1/67</t>
  </si>
  <si>
    <t>"uvalovat-001"</t>
  </si>
  <si>
    <t>"uvalovat-002"</t>
  </si>
  <si>
    <t>CPHR: {blokáda,clo,daň,embargo,exekuce,hypotéka,karanténa,podmínka,poplatek,sankce,standarda,vazba-1,...}.4</t>
  </si>
  <si>
    <t>"uvařit-001"</t>
  </si>
  <si>
    <t>"uvařit-002"</t>
  </si>
  <si>
    <t>"uvažovat-001"</t>
  </si>
  <si>
    <t>"uvažovat-002"</t>
  </si>
  <si>
    <t>ACT-&gt;ARG0/448</t>
  </si>
  <si>
    <t>PAT: o+6; nad+7; ↓že; ↓zda; ↓jestli; ↓c; .s</t>
  </si>
  <si>
    <t>PAT-&gt;ARG1/484,ARG2/53</t>
  </si>
  <si>
    <t>"uvažovat-003"</t>
  </si>
  <si>
    <t>"uvažovat-004"</t>
  </si>
  <si>
    <t>"uveřejnit-001"</t>
  </si>
  <si>
    <t>ACT-&gt;ARG0/1024,ARG1/4</t>
  </si>
  <si>
    <t>PAT-&gt;ARG1/1168</t>
  </si>
  <si>
    <t>"uveřejnit-002"</t>
  </si>
  <si>
    <t>"uveřejňovat-001"</t>
  </si>
  <si>
    <t>"uveřejňovat-002"</t>
  </si>
  <si>
    <t>EFF-&gt;ARG1/21</t>
  </si>
  <si>
    <t>"uvidět-001"</t>
  </si>
  <si>
    <t>EFF: .f; ↓že; ↓jak-2</t>
  </si>
  <si>
    <t>"uvidět-002"</t>
  </si>
  <si>
    <t>ACT-&gt;ARG0/366,ARG1/1</t>
  </si>
  <si>
    <t>PAT-&gt;ARG1/502,ARG2/1</t>
  </si>
  <si>
    <t>"uvidět-003"</t>
  </si>
  <si>
    <t>"uvidět-004"</t>
  </si>
  <si>
    <t>"uvidět-se-001"</t>
  </si>
  <si>
    <t>ACT-&gt;ARG1/483,ARG2/1</t>
  </si>
  <si>
    <t>"--uvidět-se-002"</t>
  </si>
  <si>
    <t>"uvolit-se-001"</t>
  </si>
  <si>
    <t>"uvolnit-001"</t>
  </si>
  <si>
    <t>DIR1-&gt;ARG2/6</t>
  </si>
  <si>
    <t>"uvolnit-002"</t>
  </si>
  <si>
    <t>ACT-&gt;ARG0/120,ARG1/2</t>
  </si>
  <si>
    <t>PAT-&gt;ARG1/275</t>
  </si>
  <si>
    <t>"uvolnit-003"</t>
  </si>
  <si>
    <t>ACT-&gt;ARG0/67,ARG1/1</t>
  </si>
  <si>
    <t>"uvolnit-004"</t>
  </si>
  <si>
    <t>"uvolnit-005"</t>
  </si>
  <si>
    <t>"uvolnit-006"</t>
  </si>
  <si>
    <t>"uvolnit-007"</t>
  </si>
  <si>
    <t>"uvolnit-008"</t>
  </si>
  <si>
    <t>"uvolnit-se-001"</t>
  </si>
  <si>
    <t>ACT-&gt;ARG1/75</t>
  </si>
  <si>
    <t>"uvolnit-se-002"</t>
  </si>
  <si>
    <t>"uvolnit-se-003"</t>
  </si>
  <si>
    <t>"uvolnit-se-004"</t>
  </si>
  <si>
    <t>"uvolnit-se-005"</t>
  </si>
  <si>
    <t>"uvolnit-se-006"</t>
  </si>
  <si>
    <t>"uvolňovat-001"</t>
  </si>
  <si>
    <t>"uvolňovat-002"</t>
  </si>
  <si>
    <t>ACT-&gt;ARG0/38,ARG1/1</t>
  </si>
  <si>
    <t>"uvolňovat-003"</t>
  </si>
  <si>
    <t>"uvolňovat-004"</t>
  </si>
  <si>
    <t>"uvolňovat-se-001"</t>
  </si>
  <si>
    <t>"uvrhnout-001"</t>
  </si>
  <si>
    <t>"uvrhnout-002"</t>
  </si>
  <si>
    <t>"uvádět-001"</t>
  </si>
  <si>
    <t>ACT-&gt;ARG0/3123,ARG1/21</t>
  </si>
  <si>
    <t>PAT: 4; ↓že; ↓zda; ↓když; .s; ↓c</t>
  </si>
  <si>
    <t>PAT-&gt;ARG0/3,ARG1/14461,ARG2/3472</t>
  </si>
  <si>
    <t>"uvádět-002"</t>
  </si>
  <si>
    <t>"uvádět-003"</t>
  </si>
  <si>
    <t>"uvádět-004"</t>
  </si>
  <si>
    <t>"uvádět-005"</t>
  </si>
  <si>
    <t>"uvádět-006"</t>
  </si>
  <si>
    <t>"uvádět-007"</t>
  </si>
  <si>
    <t>ACT-&gt;ARG0/252</t>
  </si>
  <si>
    <t>PAT-&gt;ARG1/397</t>
  </si>
  <si>
    <t>"uvádět-008"</t>
  </si>
  <si>
    <t>ACT-&gt;ARG0/13760,ARG1/52</t>
  </si>
  <si>
    <t>EFF-&gt;ARG0/3,ARG1/12820,ARG2/11,ARG3/10</t>
  </si>
  <si>
    <t>PAT-&gt;ARG0/2,ARG1/10,ARG2/4,ARG3/30</t>
  </si>
  <si>
    <t>"uvádět-009"</t>
  </si>
  <si>
    <t>DPHR: na-1[míra:4[pravý:#]]</t>
  </si>
  <si>
    <t>"uvádět-010"</t>
  </si>
  <si>
    <t>DPHR: v-1[život.S4]</t>
  </si>
  <si>
    <t>"uvádět-011"</t>
  </si>
  <si>
    <t>ACT-&gt;ARG0/29,ARG1/4</t>
  </si>
  <si>
    <t>PAT-&gt;ARG1/107,ARG2/6</t>
  </si>
  <si>
    <t>MANN-&gt;ARG2/104</t>
  </si>
  <si>
    <t>"uvázat-001"</t>
  </si>
  <si>
    <t>"uvázat-002"</t>
  </si>
  <si>
    <t>"uvázat-se-001"</t>
  </si>
  <si>
    <t>"uváznout-001"</t>
  </si>
  <si>
    <t>ACT-&gt;ARG1/3105,ARG2/296</t>
  </si>
  <si>
    <t>"uvážit-001"</t>
  </si>
  <si>
    <t>"uvést-001"</t>
  </si>
  <si>
    <t>ACT-&gt;ARG0/14547,ARG1/43</t>
  </si>
  <si>
    <t>PAT-&gt;ARG0/3,ARG1/13581,ARG2/18,ARG3/2</t>
  </si>
  <si>
    <t>EFF-&gt;ARG0/1,ARG1/361,ARG2/23</t>
  </si>
  <si>
    <t>"uvést-002"</t>
  </si>
  <si>
    <t>ACT-&gt;ARG0/389,ARG1/67,ARG2/3</t>
  </si>
  <si>
    <t>PAT-&gt;ARG1/462,ARG2/15</t>
  </si>
  <si>
    <t>DIR3-&gt;ARG0/1,ARG1/151,ARG2/3,ARG3/3,ARG4/3</t>
  </si>
  <si>
    <t>"uvést-003"</t>
  </si>
  <si>
    <t>ACT-&gt;ARG0/231,ARG1/16</t>
  </si>
  <si>
    <t>PAT-&gt;ARG1/371,ARG2/51</t>
  </si>
  <si>
    <t>"uvést-004"</t>
  </si>
  <si>
    <t>ACT-&gt;ARG0/166</t>
  </si>
  <si>
    <t>PAT-&gt;ARG1/231</t>
  </si>
  <si>
    <t>"uvést-005"</t>
  </si>
  <si>
    <t>ACT-&gt;ARG0/307,ARG1/3</t>
  </si>
  <si>
    <t>PAT-&gt;ARG1/474</t>
  </si>
  <si>
    <t>"uvést-006"</t>
  </si>
  <si>
    <t>"uvést-007"</t>
  </si>
  <si>
    <t>ACT-&gt;ARG0/13218,ARG1/39</t>
  </si>
  <si>
    <t>EFF-&gt;ARG0/2,ARG1/11871,ARG2/4</t>
  </si>
  <si>
    <t>ADDR-&gt;ARG1/2,ARG2/349</t>
  </si>
  <si>
    <t>ACT-&gt;ARG0/14176,ARG1/43</t>
  </si>
  <si>
    <t>EFF-&gt;ARG0/3,ARG1/13016,ARG2/10</t>
  </si>
  <si>
    <t>PAT-&gt;ARG0/2,ARG1/12,ARG2/310,ARG3/30</t>
  </si>
  <si>
    <t>"uvést-008"</t>
  </si>
  <si>
    <t>CPHR: {důvod,vysvětlení,zdůvodnění}.4</t>
  </si>
  <si>
    <t>ACT-&gt;ARG0/283,ARG1/2</t>
  </si>
  <si>
    <t>CPHR-&gt;ARG1/382,ARG2/2,ARG3/1</t>
  </si>
  <si>
    <t>CPHR-&gt;ARG1/31</t>
  </si>
  <si>
    <t>"uvést-009"</t>
  </si>
  <si>
    <t>CPHR: {opatření,...}.4</t>
  </si>
  <si>
    <t>CPHR-&gt;ARG1/190</t>
  </si>
  <si>
    <t>"uvést-010"</t>
  </si>
  <si>
    <t>DPHR: na-1[míra:4[{správný,pravý}:#]]</t>
  </si>
  <si>
    <t>"uvést-011"</t>
  </si>
  <si>
    <t>"uvést-012"</t>
  </si>
  <si>
    <t>DPHR: do-1[pohyb.S2]</t>
  </si>
  <si>
    <t>"uvést-013"</t>
  </si>
  <si>
    <t>DPHR: v-1[platnost.S4]</t>
  </si>
  <si>
    <t>"uvést-se-001"</t>
  </si>
  <si>
    <t>"uvítat-001"</t>
  </si>
  <si>
    <t>"uvítat-002"</t>
  </si>
  <si>
    <t>PAT: 4; ↓aby; ↓jestli; ↓že; ↓kdyby</t>
  </si>
  <si>
    <t>"uvítat-003"</t>
  </si>
  <si>
    <t>"uvíznout-001"</t>
  </si>
  <si>
    <t>"uvíznout-002"</t>
  </si>
  <si>
    <t>ACT-&gt;ARG1/124,ARG2/1</t>
  </si>
  <si>
    <t>"uvíznout-003"</t>
  </si>
  <si>
    <t>"uvědomit-001"</t>
  </si>
  <si>
    <t>PAT-&gt;ARG1/1,ARG2/26</t>
  </si>
  <si>
    <t>"uvědomit-si-001"</t>
  </si>
  <si>
    <t>ACT-&gt;ARG0/992,ARG1/7</t>
  </si>
  <si>
    <t>PAT-&gt;ARG1/1060,ARG2/17</t>
  </si>
  <si>
    <t>"uvědomovat-si-001"</t>
  </si>
  <si>
    <t>"uvěznit-001"</t>
  </si>
  <si>
    <t>"uvězňovat-001"</t>
  </si>
  <si>
    <t>"uvěřit-001"</t>
  </si>
  <si>
    <t>"uvěřit-002"</t>
  </si>
  <si>
    <t>?PAT: 4; ↓že; ↓c</t>
  </si>
  <si>
    <t>"uzamknout-001"</t>
  </si>
  <si>
    <t>"uzavírat-001"</t>
  </si>
  <si>
    <t>"uzavírat-002"</t>
  </si>
  <si>
    <t>ACT-&gt;ARG0/30,ARG1/18</t>
  </si>
  <si>
    <t>"uzavírat-003"</t>
  </si>
  <si>
    <t>ACT-&gt;ARG0/82,ARG1/374</t>
  </si>
  <si>
    <t>"uzavírat-004"</t>
  </si>
  <si>
    <t>ACT-&gt;ARG1/357</t>
  </si>
  <si>
    <t>LOC-&gt;ARG1/1,ARG2/14,ARG4/29,ARGm-EXT/352,ARGm-MNR/260</t>
  </si>
  <si>
    <t>MANN-&gt;ARGm-EXT/40,ARGm-MNR/21</t>
  </si>
  <si>
    <t>"uzavírat-005"</t>
  </si>
  <si>
    <t>CPHR: {dohoda,kompromis,kontrakt,obchod,pojištění,příměří,sázka,smlouva,sňatek,...}.4</t>
  </si>
  <si>
    <t>CPHR-&gt;ARG1/199</t>
  </si>
  <si>
    <t>"--uzavírat-006"</t>
  </si>
  <si>
    <t>"--uzavírat-007"</t>
  </si>
  <si>
    <t>"uzavírat-se-001"</t>
  </si>
  <si>
    <t>?PAT: 3; před+7; proti+3</t>
  </si>
  <si>
    <t>"uzavřít-001"</t>
  </si>
  <si>
    <t>ACT-&gt;ARG0/111,ARG1/1</t>
  </si>
  <si>
    <t>"uzavřít-002"</t>
  </si>
  <si>
    <t>"uzavřít-003"</t>
  </si>
  <si>
    <t>"uzavřít-004"</t>
  </si>
  <si>
    <t>ACT-&gt;ARG0/191,ARG1/311</t>
  </si>
  <si>
    <t>PAT-&gt;ARG1/334</t>
  </si>
  <si>
    <t>"uzavřít-005"</t>
  </si>
  <si>
    <t>ACT-&gt;ARG0/46,ARG1/18</t>
  </si>
  <si>
    <t>"uzavřít-006"</t>
  </si>
  <si>
    <t>ACT-&gt;ARG0/36,ARG1/85</t>
  </si>
  <si>
    <t>PAT-&gt;ARG1/398,ARG2/14,ARG4/29</t>
  </si>
  <si>
    <t>"uzavřít-007"</t>
  </si>
  <si>
    <t>"uzavřít-008"</t>
  </si>
  <si>
    <t>"uzavřít-009"</t>
  </si>
  <si>
    <t>ACT-&gt;ARG0/30,ARG1/417</t>
  </si>
  <si>
    <t>"uzavřít-010"</t>
  </si>
  <si>
    <t>CPHR: {akvizice,dohoda,kontrakt,koupě,mír,nákup,obchod,partnerství,prodej,přátelství,příměří,sázka,smír,smlouva,sňatek,svazek,transakce,účet,vztah,...}.4</t>
  </si>
  <si>
    <t>ACT-&gt;ARG0/474,ARG1/2,ARG2/14</t>
  </si>
  <si>
    <t>CPHR-&gt;ARG1/917</t>
  </si>
  <si>
    <t>ACT-&gt;ARG0/236</t>
  </si>
  <si>
    <t>CPHR-&gt;ARG1/385</t>
  </si>
  <si>
    <t>"--uzavřít-011"</t>
  </si>
  <si>
    <t>"--uzavřít-012"</t>
  </si>
  <si>
    <t>"uzavřít-se-001"</t>
  </si>
  <si>
    <t>"uzdravit-001"</t>
  </si>
  <si>
    <t>"uzdravit-se-001"</t>
  </si>
  <si>
    <t>"uzdravovat-001"</t>
  </si>
  <si>
    <t>"uzdravovat-002"</t>
  </si>
  <si>
    <t>"uzdravovat-se-001"</t>
  </si>
  <si>
    <t>"uzemnit-001"</t>
  </si>
  <si>
    <t>"uzlit-se-001"</t>
  </si>
  <si>
    <t>"uznat-001"</t>
  </si>
  <si>
    <t>EFF: 7; za+4; 4[{jako,jakožto}:/AuxY]; .a4[{jako,jakožto}:/AuxY]; ↓že</t>
  </si>
  <si>
    <t>PAT-&gt;ARG0/2,ARG1/100,ARG2/1</t>
  </si>
  <si>
    <t>EFF-&gt;ARG1/59,ARG2/36</t>
  </si>
  <si>
    <t>"uznat-002"</t>
  </si>
  <si>
    <t>ACT-&gt;ARG0/282,ARG1/3</t>
  </si>
  <si>
    <t>PAT-&gt;ARG1/361</t>
  </si>
  <si>
    <t>"--uznat-003"</t>
  </si>
  <si>
    <t>"uznávat-001"</t>
  </si>
  <si>
    <t>EFF-&gt;ARG2/11</t>
  </si>
  <si>
    <t>"uznávat-002"</t>
  </si>
  <si>
    <t>ACT-&gt;ARG0/160,ARG1/3</t>
  </si>
  <si>
    <t>"uzobnout-001"</t>
  </si>
  <si>
    <t>"uzpůsobit-001"</t>
  </si>
  <si>
    <t>"uzpůsobit-002"</t>
  </si>
  <si>
    <t>"uzrát-001"</t>
  </si>
  <si>
    <t>"uzurpovat-001"</t>
  </si>
  <si>
    <t>"uzákonit-001"</t>
  </si>
  <si>
    <t>"uzákoňovat-001"</t>
  </si>
  <si>
    <t>"učarovat-001"</t>
  </si>
  <si>
    <t>"učesat-001"</t>
  </si>
  <si>
    <t>"učinit-001"</t>
  </si>
  <si>
    <t>"učinit-002"</t>
  </si>
  <si>
    <t>ORIG-&gt;ARG1/267</t>
  </si>
  <si>
    <t>"učinit-003"</t>
  </si>
  <si>
    <t>PAT-&gt;ARG1/271</t>
  </si>
  <si>
    <t>EFF-&gt;ARG1/264,ARG2/2</t>
  </si>
  <si>
    <t>"učinit-004"</t>
  </si>
  <si>
    <t>ACT-&gt;ARG0/502,ARG1/2</t>
  </si>
  <si>
    <t>PAT-&gt;ARG1/859</t>
  </si>
  <si>
    <t>"učinit-005"</t>
  </si>
  <si>
    <t>"učinit-006"</t>
  </si>
  <si>
    <t>CPHR: {konec,přítrž,...}.4</t>
  </si>
  <si>
    <t>"učinit-007"</t>
  </si>
  <si>
    <t>CPHR: {nabídka,protinabídka,ústupek,...}.4</t>
  </si>
  <si>
    <t>ACT-&gt;ARG0/790,ARG1/2</t>
  </si>
  <si>
    <t>CPHR-&gt;ARG1/1090,ARG2/3,ARG3/1</t>
  </si>
  <si>
    <t>ADDR-&gt;ARG1/9,ARG2/327,ARG3/78</t>
  </si>
  <si>
    <t>"učinit-008"</t>
  </si>
  <si>
    <t>CPHR: {shrnutí,závěr,...}.4</t>
  </si>
  <si>
    <t>CPHR-&gt;ARG1/18</t>
  </si>
  <si>
    <t>"učinit-009"</t>
  </si>
  <si>
    <t>CPHR: {expertíza,chyba,kapitulace,kontrola,krok,návrh,objev,odhad,omezení,opatření,oznámení,pokrok,pokus,poznámka,prohlášení,prověrka,připomínka,přiznání,rozhodnutí,sázka,slib,volba,vyjádření,zátah,závazek,změna,...}.4</t>
  </si>
  <si>
    <t>CPHR-&gt;ARG1/253</t>
  </si>
  <si>
    <t>CPHR-&gt;ARG1/418</t>
  </si>
  <si>
    <t>ACT-&gt;ARG0/376,ARG1/25</t>
  </si>
  <si>
    <t>CPHR-&gt;ARG1/477,ARG2/26</t>
  </si>
  <si>
    <t>ACT-&gt;ARG0/2604,ARG1/45</t>
  </si>
  <si>
    <t>CPHR-&gt;ARG0/1,ARG1/3377,ARG2/26</t>
  </si>
  <si>
    <t>ACT-&gt;ARG0/2399,ARG1/20</t>
  </si>
  <si>
    <t>CPHR-&gt;ARG0/1,ARG1/2550</t>
  </si>
  <si>
    <t>"učinit-010"</t>
  </si>
  <si>
    <t>DPHR: zadost</t>
  </si>
  <si>
    <t>"učinit-011"</t>
  </si>
  <si>
    <t>DPHR: štěstí.S4</t>
  </si>
  <si>
    <t>"učinit-012"</t>
  </si>
  <si>
    <t>DPHR: svůj-1.NS4</t>
  </si>
  <si>
    <t>"učinit-si-001"</t>
  </si>
  <si>
    <t>CPHR: {názor,...}.4</t>
  </si>
  <si>
    <t>CPHR-&gt;ARG1/136</t>
  </si>
  <si>
    <t>"učit-001"</t>
  </si>
  <si>
    <t>?PAT: 4; 3; .f; ↓že; ↓aby; ↓c</t>
  </si>
  <si>
    <t>ADDR-&gt;ARG1/2,ARG2/19</t>
  </si>
  <si>
    <t>"učit-se-001"</t>
  </si>
  <si>
    <t>?ORIG: od+2; na+6; z+2</t>
  </si>
  <si>
    <t>ACT-&gt;ARG0/72,ARG1/1,ARG2/30</t>
  </si>
  <si>
    <t>"učit-se-002"</t>
  </si>
  <si>
    <t>PAT: 7; na+4; 1[{jako,jakožto}:/AuxY]</t>
  </si>
  <si>
    <t>"učit-se-003"</t>
  </si>
  <si>
    <t>EFF-&gt;ARG1/88</t>
  </si>
  <si>
    <t>"učit-se-004"</t>
  </si>
  <si>
    <t>MANN-&gt;ARG1/62</t>
  </si>
  <si>
    <t>"--učit-se-005"</t>
  </si>
  <si>
    <t>"učívat-001"</t>
  </si>
  <si>
    <t>"učívávat-001"</t>
  </si>
  <si>
    <t>"uřezat-001"</t>
  </si>
  <si>
    <t>"uřvat-001"</t>
  </si>
  <si>
    <t>"uříznout-001"</t>
  </si>
  <si>
    <t>"ušetřit-001"</t>
  </si>
  <si>
    <t>ACT-&gt;ARG0/20,ARG1/1,ARG3/14</t>
  </si>
  <si>
    <t>"ušetřit-002"</t>
  </si>
  <si>
    <t>?EFF: 2; před+7; proti+3; od+2</t>
  </si>
  <si>
    <t>ACT-&gt;ARG0/3,ARG1/1,ARG3/1</t>
  </si>
  <si>
    <t>"ušetřit-si-001"</t>
  </si>
  <si>
    <t>"ušklíbnout-se-001"</t>
  </si>
  <si>
    <t>PAT: na+4; nad+7</t>
  </si>
  <si>
    <t>"ušklíbnout-se-002"</t>
  </si>
  <si>
    <t>"uškodit-001"</t>
  </si>
  <si>
    <t>ACT-&gt;ARG0/39,ARG2/76</t>
  </si>
  <si>
    <t>"uškrtit-001"</t>
  </si>
  <si>
    <t>"ušlapat-001"</t>
  </si>
  <si>
    <t>"ušlapat-002"</t>
  </si>
  <si>
    <t>"ušlapávat-001"</t>
  </si>
  <si>
    <t>"ušpinit-se-001"</t>
  </si>
  <si>
    <t>"uštědřit-001"</t>
  </si>
  <si>
    <t>CPHR: {branka,gól,pohlavek,políček,problém,rána,výprask,...}.4</t>
  </si>
  <si>
    <t>ACT-&gt;ARG0/3,ARG1/2,ARG2/87,ARG3/5</t>
  </si>
  <si>
    <t>CPHR-&gt;ARG1/369</t>
  </si>
  <si>
    <t>ADDR-&gt;ARG0/336,ARG1/2,ARG2/3</t>
  </si>
  <si>
    <t>"ušít-001"</t>
  </si>
  <si>
    <t>"ušít-002"</t>
  </si>
  <si>
    <t>DPHR: na-1[míra.S4]</t>
  </si>
  <si>
    <t>"ušít-003"</t>
  </si>
  <si>
    <t>DPHR: na-1[tělo.4]</t>
  </si>
  <si>
    <t>"užasnout-001"</t>
  </si>
  <si>
    <t>PAT: nad+7; ↓c</t>
  </si>
  <si>
    <t>"uživit-001"</t>
  </si>
  <si>
    <t>"uživit-se-001"</t>
  </si>
  <si>
    <t>"užírat-001"</t>
  </si>
  <si>
    <t>"užírat-se-001"</t>
  </si>
  <si>
    <t>"užít-001"</t>
  </si>
  <si>
    <t>PAT-&gt;ARG1/626,ARG2/1</t>
  </si>
  <si>
    <t>"užít-002"</t>
  </si>
  <si>
    <t>"užít-003"</t>
  </si>
  <si>
    <t>"užít-004"</t>
  </si>
  <si>
    <t>"užít-si-001"</t>
  </si>
  <si>
    <t>PAT-&gt;ARG0/1,ARG1/2301</t>
  </si>
  <si>
    <t>"užívat-001"</t>
  </si>
  <si>
    <t>ACT-&gt;ARG0/342,ARG1/1</t>
  </si>
  <si>
    <t>PAT-&gt;ARG1/661,ARG2/1</t>
  </si>
  <si>
    <t>"užívat-002"</t>
  </si>
  <si>
    <t>"užívat-003"</t>
  </si>
  <si>
    <t>"užívat-004"</t>
  </si>
  <si>
    <t>ACT-&gt;ARG0/322,ARG1/1</t>
  </si>
  <si>
    <t>"--užívat-005"</t>
  </si>
  <si>
    <t>"užívat-si-001"</t>
  </si>
  <si>
    <t>"vadit-001"</t>
  </si>
  <si>
    <t>ACT: 1; ↓že; ↓když; .f; ↓jak-2; ↓kdyby; ↓c; ↓jestli</t>
  </si>
  <si>
    <t>ACT-&gt;ARG0/13,ARG1/14</t>
  </si>
  <si>
    <t>PAT-&gt;ARG0/2164,ARG1/3140,ARG2/296</t>
  </si>
  <si>
    <t>"vadit-002"</t>
  </si>
  <si>
    <t>"vadnout-001"</t>
  </si>
  <si>
    <t>"valit-001"</t>
  </si>
  <si>
    <t>"valit-se-001"</t>
  </si>
  <si>
    <t>"valorizovat-001"</t>
  </si>
  <si>
    <t>"vandrovat-001"</t>
  </si>
  <si>
    <t>"vanout-001"</t>
  </si>
  <si>
    <t>"vanout-002"</t>
  </si>
  <si>
    <t>"varovat-001"</t>
  </si>
  <si>
    <t>ACT-&gt;ARG0/176</t>
  </si>
  <si>
    <t>PAT: před+7; ↓že; ↓aby; ↓ať; ↓c; .s</t>
  </si>
  <si>
    <t>PAT-&gt;ARG1/114,ARG2/66</t>
  </si>
  <si>
    <t>ADDR-&gt;ARG1/60,ARG2/28</t>
  </si>
  <si>
    <t>"varovat-se-001"</t>
  </si>
  <si>
    <t>"vařit-001"</t>
  </si>
  <si>
    <t>"vařit-002"</t>
  </si>
  <si>
    <t>"vařit-003"</t>
  </si>
  <si>
    <t>"vařit-se-001"</t>
  </si>
  <si>
    <t>"vařívávat-001"</t>
  </si>
  <si>
    <t>"vběhnout-001"</t>
  </si>
  <si>
    <t>DIR3-&gt;ARG1/67</t>
  </si>
  <si>
    <t>"vcházet-001"</t>
  </si>
  <si>
    <t>DIR3-&gt;ARG1/78</t>
  </si>
  <si>
    <t>"vcházet-002"</t>
  </si>
  <si>
    <t>"vcítit-se-001"</t>
  </si>
  <si>
    <t>"vdechnout-001"</t>
  </si>
  <si>
    <t>DPHR: život.S4</t>
  </si>
  <si>
    <t>DPHR-&gt;ARG2/15</t>
  </si>
  <si>
    <t>"vdát-001"</t>
  </si>
  <si>
    <t>"vdát-se-001"</t>
  </si>
  <si>
    <t>"vdávat-001"</t>
  </si>
  <si>
    <t>"vdávat-se-001"</t>
  </si>
  <si>
    <t>"vděčit-001"</t>
  </si>
  <si>
    <t>PAT-&gt;ARG0/1,ARG1/3131,ARG2/296</t>
  </si>
  <si>
    <t>"vecpat-se-001"</t>
  </si>
  <si>
    <t>"vecpávat-001"</t>
  </si>
  <si>
    <t>"vegetovat-001"</t>
  </si>
  <si>
    <t>"vehnat-001"</t>
  </si>
  <si>
    <t>"vejít-001"</t>
  </si>
  <si>
    <t>"vejít-002"</t>
  </si>
  <si>
    <t>"vejít-003"</t>
  </si>
  <si>
    <t>ACT: 1; ↓že; ↓zda; ↓jestli; ↓c</t>
  </si>
  <si>
    <t>ACT-&gt;ARG0/197,ARG1/505,ARG2/6</t>
  </si>
  <si>
    <t>CPHR: v-1[{platnost,povědomí,styk,známost-2,život,...}.4]; do-1[{platnost,povědomí,styk,známost-2,...}.2]</t>
  </si>
  <si>
    <t>CPHR-&gt;ARG1/224,ARG2/554</t>
  </si>
  <si>
    <t>"vejít-se-001"</t>
  </si>
  <si>
    <t>ACT-&gt;ARG1/5,ARG2/28</t>
  </si>
  <si>
    <t>"vejít-se-002"</t>
  </si>
  <si>
    <t>"velebit-001"</t>
  </si>
  <si>
    <t>"velet-001"</t>
  </si>
  <si>
    <t>PAT: 4; .f; ↓že; ↓aby; ↓ať; ↓c; k+3; .s</t>
  </si>
  <si>
    <t>"velet-002"</t>
  </si>
  <si>
    <t>"ventilovat-001"</t>
  </si>
  <si>
    <t>"ventilovat-002"</t>
  </si>
  <si>
    <t>"venčit-001"</t>
  </si>
  <si>
    <t>"vepsat-001"</t>
  </si>
  <si>
    <t>"vepsat-se-001"</t>
  </si>
  <si>
    <t>"verbovat-001"</t>
  </si>
  <si>
    <t>"veselit-se-001"</t>
  </si>
  <si>
    <t>"veslovat-001"</t>
  </si>
  <si>
    <t>"vestavět-001"</t>
  </si>
  <si>
    <t>"vetkat-001"</t>
  </si>
  <si>
    <t>"vetknout-001"</t>
  </si>
  <si>
    <t>"vetovat-001"</t>
  </si>
  <si>
    <t>"vetřít-se-001"</t>
  </si>
  <si>
    <t>"večeřet-001"</t>
  </si>
  <si>
    <t>"vhazovat-001"</t>
  </si>
  <si>
    <t>"vhlížet-001"</t>
  </si>
  <si>
    <t>"vhodit-001"</t>
  </si>
  <si>
    <t>"vhánět-001"</t>
  </si>
  <si>
    <t>"vidět-001"</t>
  </si>
  <si>
    <t>EFF: v+6; na+6</t>
  </si>
  <si>
    <t>EFF-&gt;ARG2/68</t>
  </si>
  <si>
    <t>ACT-&gt;ARG0/484,ARG1/1</t>
  </si>
  <si>
    <t>PAT-&gt;ARG0/1,ARG1/2866,ARG2/13</t>
  </si>
  <si>
    <t>EFF-&gt;ARG0/2154,ARG1/72,ARG2/68</t>
  </si>
  <si>
    <t>"vidět-002"</t>
  </si>
  <si>
    <t>ACT-&gt;ARG0/452,ARG1/1</t>
  </si>
  <si>
    <t>PAT-&gt;ARG1/604,ARG2/1</t>
  </si>
  <si>
    <t>EFF-&gt;ARG1/27,ARG2/80</t>
  </si>
  <si>
    <t>"vidět-003"</t>
  </si>
  <si>
    <t>EFF: .f; ↓že; ↓jak-2; ↓aby</t>
  </si>
  <si>
    <t>"vidět-004"</t>
  </si>
  <si>
    <t>"vidět-005"</t>
  </si>
  <si>
    <t>"vidět-006"</t>
  </si>
  <si>
    <t>PAT: 1; 4</t>
  </si>
  <si>
    <t>"vidět-007"</t>
  </si>
  <si>
    <t>PAT: 4; 2; ↓že; ↓jak-2; ↓jestli; ↓zda; ↓c; ↓aby; na+4; ↓když</t>
  </si>
  <si>
    <t>ACT-&gt;ARG0/2814,ARG1/22,ARG2/164</t>
  </si>
  <si>
    <t>PAT-&gt;ARG0/1,ARG1/3352,ARG2/21</t>
  </si>
  <si>
    <t>"vidět-008"</t>
  </si>
  <si>
    <t>"vidět-009"</t>
  </si>
  <si>
    <t>ACT-&gt;ARG0/410,ARG1/1</t>
  </si>
  <si>
    <t>PAT-&gt;ARG1/557,ARG2/2</t>
  </si>
  <si>
    <t>"vidět-010"</t>
  </si>
  <si>
    <t>"vidět-011"</t>
  </si>
  <si>
    <t>"vidět-012"</t>
  </si>
  <si>
    <t>DPHR: na-1[oko:P4[vlastní-1:#]]</t>
  </si>
  <si>
    <t>"vidět-013"</t>
  </si>
  <si>
    <t>DPHR: na-1[oko.P4[vlastní-1.#]]</t>
  </si>
  <si>
    <t>"vidět-014"</t>
  </si>
  <si>
    <t>DPHR: z-1[ruka.S2[první.#]]</t>
  </si>
  <si>
    <t>"vidět-015"</t>
  </si>
  <si>
    <t>"vidět-016"</t>
  </si>
  <si>
    <t>"--vidět-017"</t>
  </si>
  <si>
    <t>PAT: 1; 4; pro+4</t>
  </si>
  <si>
    <t>LOC: 1; 4; na+6; *</t>
  </si>
  <si>
    <t>"vidět-se-001"</t>
  </si>
  <si>
    <t>"--vidět-se-002"</t>
  </si>
  <si>
    <t>"viklat-se-001"</t>
  </si>
  <si>
    <t>"vinit-001"</t>
  </si>
  <si>
    <t>"vinout-se-001"</t>
  </si>
  <si>
    <t>"vinout-se-002"</t>
  </si>
  <si>
    <t>"viset-001"</t>
  </si>
  <si>
    <t>ACT-&gt;ARG1/414</t>
  </si>
  <si>
    <t>"viset-002"</t>
  </si>
  <si>
    <t>DPHR: jako[meč.S1[Damokles:#]]</t>
  </si>
  <si>
    <t>"viset-003"</t>
  </si>
  <si>
    <t>DPHR: otazník.1</t>
  </si>
  <si>
    <t>"viset-004"</t>
  </si>
  <si>
    <t>LOC-&gt;ARG1/1,ARG2/91</t>
  </si>
  <si>
    <t>"viset-005"</t>
  </si>
  <si>
    <t>DPHR: na-1[vlásek.S6]</t>
  </si>
  <si>
    <t>"viset-006"</t>
  </si>
  <si>
    <t>"vjet-001"</t>
  </si>
  <si>
    <t>"vjíždět-001"</t>
  </si>
  <si>
    <t>"vklouznout-001"</t>
  </si>
  <si>
    <t>"vkládat-001"</t>
  </si>
  <si>
    <t>ACT-&gt;ARG0/416,ARG3/1</t>
  </si>
  <si>
    <t>PAT-&gt;ARG1/342,ARG2/1,ARG3/143</t>
  </si>
  <si>
    <t>DIR3-&gt;ARG1/113,ARG3/1</t>
  </si>
  <si>
    <t>"vkládat-002"</t>
  </si>
  <si>
    <t>PAT-&gt;ARG1/22,ARG2/2</t>
  </si>
  <si>
    <t>"vkročit-001"</t>
  </si>
  <si>
    <t>"vkrádat-se-001"</t>
  </si>
  <si>
    <t>"vkrást-se-001"</t>
  </si>
  <si>
    <t>"vlastnit-001"</t>
  </si>
  <si>
    <t>ACT-&gt;ARG0/2825,ARG1/3123,ARG2/296</t>
  </si>
  <si>
    <t>PAT-&gt;ARG0/1,ARG1/3077,ARG2/3451</t>
  </si>
  <si>
    <t>"vletět-001"</t>
  </si>
  <si>
    <t>"vlichotit-se-001"</t>
  </si>
  <si>
    <t>"vlnit-se-001"</t>
  </si>
  <si>
    <t>"vloupat-se-001"</t>
  </si>
  <si>
    <t>"vložit-001"</t>
  </si>
  <si>
    <t>ACT-&gt;ARG0/348,ARG1/1,ARG2/1</t>
  </si>
  <si>
    <t>PAT-&gt;ARG0/1,ARG1/481,ARG2/22</t>
  </si>
  <si>
    <t>DIR3-&gt;ARG0/2,ARG1/14,ARG2/1</t>
  </si>
  <si>
    <t>"vložit-002"</t>
  </si>
  <si>
    <t>"vložit-se-001"</t>
  </si>
  <si>
    <t>"vládnout-001"</t>
  </si>
  <si>
    <t>ACT-&gt;ARG0/200,ARG1/3103,ARG2/296</t>
  </si>
  <si>
    <t>"vládnout-002"</t>
  </si>
  <si>
    <t>"vládnout-003"</t>
  </si>
  <si>
    <t>ACT-&gt;ARG0/8,ARG1/522,ARG2/3451</t>
  </si>
  <si>
    <t>"vlákat-001"</t>
  </si>
  <si>
    <t>"vlát-001"</t>
  </si>
  <si>
    <t>"vláčet-001"</t>
  </si>
  <si>
    <t>"vléci-001"</t>
  </si>
  <si>
    <t>"vléci-se-001"</t>
  </si>
  <si>
    <t>ACT-&gt;ARG0/5,ARG1/3</t>
  </si>
  <si>
    <t>"vléci-se-002"</t>
  </si>
  <si>
    <t>"vlétnout-001"</t>
  </si>
  <si>
    <t>"vlétnout-002"</t>
  </si>
  <si>
    <t>"vlévat-001"</t>
  </si>
  <si>
    <t>"vlévat-se-001"</t>
  </si>
  <si>
    <t>"vlézt-001"</t>
  </si>
  <si>
    <t>"vlézt-002"</t>
  </si>
  <si>
    <t>DPHR: do-1[hlava.S2]</t>
  </si>
  <si>
    <t>"vlézt-003"</t>
  </si>
  <si>
    <t>DPHR: na-1[záda.P4]</t>
  </si>
  <si>
    <t>"vlézt-004"</t>
  </si>
  <si>
    <t>"vlít-001"</t>
  </si>
  <si>
    <t>"vmanipulovat-001"</t>
  </si>
  <si>
    <t>"vmanévrovat-001"</t>
  </si>
  <si>
    <t>"vmašírovat-001"</t>
  </si>
  <si>
    <t>"vmáčknout-001"</t>
  </si>
  <si>
    <t>"vmáčknout-002"</t>
  </si>
  <si>
    <t>"vměšovat-se-001"</t>
  </si>
  <si>
    <t>"vměšovat-se-002"</t>
  </si>
  <si>
    <t>"vniknout-001"</t>
  </si>
  <si>
    <t>"vnořit-001"</t>
  </si>
  <si>
    <t>"vnucovat-001"</t>
  </si>
  <si>
    <t>"vnucovat-se-001"</t>
  </si>
  <si>
    <t>"vnutit-001"</t>
  </si>
  <si>
    <t>"vnutit-se-001"</t>
  </si>
  <si>
    <t>"vnášet-001"</t>
  </si>
  <si>
    <t>"vnést-001"</t>
  </si>
  <si>
    <t>PAT-&gt;ARG1/328,ARG2/2</t>
  </si>
  <si>
    <t>DIR3-&gt;ARG1/1,ARG2/31</t>
  </si>
  <si>
    <t>"vnímat-001"</t>
  </si>
  <si>
    <t>ACT-&gt;ARG0/572,ARG1/1</t>
  </si>
  <si>
    <t>PAT-&gt;ARG0/2,ARG1/741,ARG2/12,ARG3/4</t>
  </si>
  <si>
    <t>EFF-&gt;ARG1/98,ARG2/94</t>
  </si>
  <si>
    <t>"vnímat-002"</t>
  </si>
  <si>
    <t>"vnímat-003"</t>
  </si>
  <si>
    <t>"vodit-001"</t>
  </si>
  <si>
    <t>"vojákovat-001"</t>
  </si>
  <si>
    <t>"volat-001"</t>
  </si>
  <si>
    <t>ADDR-&gt;ARG1/33</t>
  </si>
  <si>
    <t>"volat-002"</t>
  </si>
  <si>
    <t>PAT: 4; ↓že; ↓zda; ↓jestli; ↓aby; .s; ↓c; ↓ať</t>
  </si>
  <si>
    <t>"volat-003"</t>
  </si>
  <si>
    <t>"volat-004"</t>
  </si>
  <si>
    <t>"volat-005"</t>
  </si>
  <si>
    <t>"volat-006"</t>
  </si>
  <si>
    <t>PAT-&gt;ARG1/270,ARG2/1</t>
  </si>
  <si>
    <t>"volat-007"</t>
  </si>
  <si>
    <t>"volat-008"</t>
  </si>
  <si>
    <t>"volat-009"</t>
  </si>
  <si>
    <t>DIR3-&gt;ARG1/7</t>
  </si>
  <si>
    <t>"--volat-si-001"</t>
  </si>
  <si>
    <t>"volit-001"</t>
  </si>
  <si>
    <t>ACT-&gt;ARG0/225,ARG1/78,ARG2/1</t>
  </si>
  <si>
    <t>PAT-&gt;ARG1/294,ARG2/7</t>
  </si>
  <si>
    <t>"volit-002"</t>
  </si>
  <si>
    <t>"volávat-001"</t>
  </si>
  <si>
    <t>"vonět-001"</t>
  </si>
  <si>
    <t>"vonět-002"</t>
  </si>
  <si>
    <t>"voperovat-001"</t>
  </si>
  <si>
    <t>"vozit-001"</t>
  </si>
  <si>
    <t>"vozit-002"</t>
  </si>
  <si>
    <t>"vozit-se-001"</t>
  </si>
  <si>
    <t>"vozit-se-002"</t>
  </si>
  <si>
    <t>"vozívat-001"</t>
  </si>
  <si>
    <t>"vošukat-001"</t>
  </si>
  <si>
    <t>"vpadnout-001"</t>
  </si>
  <si>
    <t>"vpadnout-002"</t>
  </si>
  <si>
    <t>"vpadávat-001"</t>
  </si>
  <si>
    <t>"vpašovat-001"</t>
  </si>
  <si>
    <t>"vpisovat-001"</t>
  </si>
  <si>
    <t>"vplout-001"</t>
  </si>
  <si>
    <t>"vplouvat-001"</t>
  </si>
  <si>
    <t>"vplouvat-002"</t>
  </si>
  <si>
    <t>"vplynout-001"</t>
  </si>
  <si>
    <t>"vplést-001"</t>
  </si>
  <si>
    <t>"vplétat-001"</t>
  </si>
  <si>
    <t>"vplížit-se-001"</t>
  </si>
  <si>
    <t>"vpouštět-001"</t>
  </si>
  <si>
    <t>"vpravit-001"</t>
  </si>
  <si>
    <t>"vpravovat-se-001"</t>
  </si>
  <si>
    <t>"vpustit-001"</t>
  </si>
  <si>
    <t>"vpíjet-se-001"</t>
  </si>
  <si>
    <t>"vracet-001"</t>
  </si>
  <si>
    <t>"vracet-002"</t>
  </si>
  <si>
    <t>EFF: 3; do+2; k+3</t>
  </si>
  <si>
    <t>"vracet-003"</t>
  </si>
  <si>
    <t>"vracet-se-001"</t>
  </si>
  <si>
    <t>"vracet-se-002"</t>
  </si>
  <si>
    <t>"vracet-se-003"</t>
  </si>
  <si>
    <t>ACT-&gt;ARG0/23,ARG1/127</t>
  </si>
  <si>
    <t>DIR3-&gt;ARG5/28</t>
  </si>
  <si>
    <t>"vracet-se-004"</t>
  </si>
  <si>
    <t>"vracet-se-005"</t>
  </si>
  <si>
    <t>DPHR: do-1[forma.S2]</t>
  </si>
  <si>
    <t>"vracívat-se-001"</t>
  </si>
  <si>
    <t>"vrazit-001"</t>
  </si>
  <si>
    <t>"vrazit-002"</t>
  </si>
  <si>
    <t>"vrazit-003"</t>
  </si>
  <si>
    <t>DPHR: nůž.S4,do-1[záda.P2]</t>
  </si>
  <si>
    <t>"vrazit-004"</t>
  </si>
  <si>
    <t>"vrazit-005"</t>
  </si>
  <si>
    <t>"vraštit-001"</t>
  </si>
  <si>
    <t>"vraždit-001"</t>
  </si>
  <si>
    <t>"vrcholit-001"</t>
  </si>
  <si>
    <t>"vrhat-001"</t>
  </si>
  <si>
    <t>"vrhat-002"</t>
  </si>
  <si>
    <t>"vrhat-003"</t>
  </si>
  <si>
    <t>"vrhat-004"</t>
  </si>
  <si>
    <t>"vrhat-005"</t>
  </si>
  <si>
    <t>CPHR: {dojem,podezření,pochyby,stín,světlo,...}.4</t>
  </si>
  <si>
    <t>DIR3-&gt;ARG2/21</t>
  </si>
  <si>
    <t>"vrhat-006"</t>
  </si>
  <si>
    <t>"vrhat-se-001"</t>
  </si>
  <si>
    <t>"vrhat-se-002"</t>
  </si>
  <si>
    <t>"--vrhat-se-003"</t>
  </si>
  <si>
    <t>"--vrhat-se-004"</t>
  </si>
  <si>
    <t>"vrhnout-001"</t>
  </si>
  <si>
    <t>"vrhnout-002"</t>
  </si>
  <si>
    <t>"vrhnout-003"</t>
  </si>
  <si>
    <t>CPHR: {podezření,stín,světlo,...}.4</t>
  </si>
  <si>
    <t>"vrhnout-se-001"</t>
  </si>
  <si>
    <t>"vrhnout-se-002"</t>
  </si>
  <si>
    <t>ACT-&gt;ARG0/13,ARG1/26</t>
  </si>
  <si>
    <t>"vrhnout-se-003"</t>
  </si>
  <si>
    <t>"vrnět-001"</t>
  </si>
  <si>
    <t>"vrnět-se-001"</t>
  </si>
  <si>
    <t>"vrtat-001"</t>
  </si>
  <si>
    <t>PAT-&gt;ARG1/4,ARG4/5</t>
  </si>
  <si>
    <t>"vrtat-002"</t>
  </si>
  <si>
    <t>"vrtat-003"</t>
  </si>
  <si>
    <t>"vrtat-se-001"</t>
  </si>
  <si>
    <t>"vrtat-se-002"</t>
  </si>
  <si>
    <t>"vrtět-001"</t>
  </si>
  <si>
    <t>"vrtět-se-001"</t>
  </si>
  <si>
    <t>"vrzat-001"</t>
  </si>
  <si>
    <t>"vrátit-001"</t>
  </si>
  <si>
    <t>PAT-&gt;ARG1/109,ARG2/1,ARG3/6</t>
  </si>
  <si>
    <t>ADDR-&gt;ARG1/11,ARG2/23</t>
  </si>
  <si>
    <t>"vrátit-002"</t>
  </si>
  <si>
    <t>EFF: 3; do+2; k+3; na+4</t>
  </si>
  <si>
    <t>ACT-&gt;ARG0/86,ARG1/20</t>
  </si>
  <si>
    <t>"vrátit-003"</t>
  </si>
  <si>
    <t>"vrátit-004"</t>
  </si>
  <si>
    <t>PAT-&gt;ARG1/375,ARG2/2</t>
  </si>
  <si>
    <t>DIR3-&gt;ARG1/1,ARG2/78</t>
  </si>
  <si>
    <t>"vrátit-005"</t>
  </si>
  <si>
    <t>DPHR: do-1[hra.S2]</t>
  </si>
  <si>
    <t>"vrátit-006"</t>
  </si>
  <si>
    <t>"vrátit-se-001"</t>
  </si>
  <si>
    <t>"vrátit-se-002"</t>
  </si>
  <si>
    <t>ACT-&gt;ARG0/52,ARG1/176</t>
  </si>
  <si>
    <t>PAT-&gt;ARG1/94,ARG2/1</t>
  </si>
  <si>
    <t>"vrátit-se-003"</t>
  </si>
  <si>
    <t>ACT-&gt;ARG0/50,ARG1/95</t>
  </si>
  <si>
    <t>DIR3-&gt;ARG1/68</t>
  </si>
  <si>
    <t>"vrátit-se-004"</t>
  </si>
  <si>
    <t>ACT-&gt;ARG0/7,ARG1/282</t>
  </si>
  <si>
    <t>DIR3-&gt;ARG1/8,ARG2/7,ARGm-LOC/1</t>
  </si>
  <si>
    <t>"vrátit-se-005"</t>
  </si>
  <si>
    <t>"vrátit-se-006"</t>
  </si>
  <si>
    <t>?EFF: z+2</t>
  </si>
  <si>
    <t>"vrávorat-001"</t>
  </si>
  <si>
    <t>"vrážet-001"</t>
  </si>
  <si>
    <t>"vrýt-se-001"</t>
  </si>
  <si>
    <t>"vrčet-001"</t>
  </si>
  <si>
    <t>"vrčet-002"</t>
  </si>
  <si>
    <t>"vrčet-003"</t>
  </si>
  <si>
    <t>"vršit-001"</t>
  </si>
  <si>
    <t>"vršit-se-001"</t>
  </si>
  <si>
    <t>"vsadit-001"</t>
  </si>
  <si>
    <t>PAT-&gt;ARG0/2,ARG1/14</t>
  </si>
  <si>
    <t>"vsadit-002"</t>
  </si>
  <si>
    <t>PAT-&gt;ARG1/9,ARG2/22</t>
  </si>
  <si>
    <t>"vsadit-003"</t>
  </si>
  <si>
    <t>"vsadit-se-001"</t>
  </si>
  <si>
    <t>ADDR-&gt;ARG2/1,ARG3/1</t>
  </si>
  <si>
    <t>EFF: o-1.4[ten.4[že[.v]]]; o-1.4[ten.4[.c]]; ↓že</t>
  </si>
  <si>
    <t>EFF-&gt;ARG1/1,ARG2/24</t>
  </si>
  <si>
    <t>PAT-&gt;ARG1/1,ARG2/2,ARG3/1</t>
  </si>
  <si>
    <t>"vstoupit-001"</t>
  </si>
  <si>
    <t>"vstoupit-002"</t>
  </si>
  <si>
    <t>"vstoupit-003"</t>
  </si>
  <si>
    <t>ACT-&gt;ARG0/243,ARG1/542,ARG2/3</t>
  </si>
  <si>
    <t>DIR3-&gt;ARG1/282,ARG2/341</t>
  </si>
  <si>
    <t>"vstoupit-004"</t>
  </si>
  <si>
    <t>ACT-&gt;ARG0/176,ARG1/151</t>
  </si>
  <si>
    <t>DIR3-&gt;ARG1/219</t>
  </si>
  <si>
    <t>"vstoupit-005"</t>
  </si>
  <si>
    <t>ACT-&gt;ARG0/207,ARG1/3641,ARG2/303</t>
  </si>
  <si>
    <t>CPHR: v-1[{platnost,známost-2,...}.4]</t>
  </si>
  <si>
    <t>CPHR-&gt;ARG1/352,ARG2/4016</t>
  </si>
  <si>
    <t>"vstupovat-001"</t>
  </si>
  <si>
    <t>"vstupovat-002"</t>
  </si>
  <si>
    <t>ACT-&gt;ARG0/76,ARG1/80</t>
  </si>
  <si>
    <t>DIR3-&gt;ARG1/80</t>
  </si>
  <si>
    <t>"vstupovat-003"</t>
  </si>
  <si>
    <t>ACT-&gt;ARG0/71,ARG1/93</t>
  </si>
  <si>
    <t>DIR3-&gt;ARG1/78,ARG2/18</t>
  </si>
  <si>
    <t>"vstupovat-004"</t>
  </si>
  <si>
    <t>"vstupovat-005"</t>
  </si>
  <si>
    <t>"vstát-001"</t>
  </si>
  <si>
    <t>ACT-&gt;ARG1/21</t>
  </si>
  <si>
    <t>"vstát-002"</t>
  </si>
  <si>
    <t>"vstávat-001"</t>
  </si>
  <si>
    <t>"vstávat-002"</t>
  </si>
  <si>
    <t>"vstávat-003"</t>
  </si>
  <si>
    <t>DPHR: vlas.P1[na-1[hlava.S6]],hrůza.S7</t>
  </si>
  <si>
    <t>"vstřebat-001"</t>
  </si>
  <si>
    <t>"vstřebávat-001"</t>
  </si>
  <si>
    <t>"vstřelit-001"</t>
  </si>
  <si>
    <t>"vstřikovat-001"</t>
  </si>
  <si>
    <t>"vstříknout-001"</t>
  </si>
  <si>
    <t>"vsunout-001"</t>
  </si>
  <si>
    <t>"vsázet-001"</t>
  </si>
  <si>
    <t>"vsázet-se-001"</t>
  </si>
  <si>
    <t>"vsítit-001"</t>
  </si>
  <si>
    <t>"vtahovat-001"</t>
  </si>
  <si>
    <t>"vtahovat-002"</t>
  </si>
  <si>
    <t>"vtipkovat-001"</t>
  </si>
  <si>
    <t>?PAT: o+6; ↓že; .s</t>
  </si>
  <si>
    <t>PAT-&gt;ARG1/7,ARG2/4</t>
  </si>
  <si>
    <t>"vtisknout-001"</t>
  </si>
  <si>
    <t>ADDR-&gt;ARG0/1,ARG1/54,ARG2/6</t>
  </si>
  <si>
    <t>"vtisknout-002"</t>
  </si>
  <si>
    <t>"vtiskovat-001"</t>
  </si>
  <si>
    <t>"vtiskovat-002"</t>
  </si>
  <si>
    <t>"vtlačit-001"</t>
  </si>
  <si>
    <t>"vtlačovat-001"</t>
  </si>
  <si>
    <t>"vtrhnout-001"</t>
  </si>
  <si>
    <t>ACT-&gt;ARG0/15,ARG1/17</t>
  </si>
  <si>
    <t>"vtrhávat-001"</t>
  </si>
  <si>
    <t>"vtáhnout-001"</t>
  </si>
  <si>
    <t>"vtáhnout-002"</t>
  </si>
  <si>
    <t>"vtírat-se-001"</t>
  </si>
  <si>
    <t>"vtělit-001"</t>
  </si>
  <si>
    <t>"vtěsnat-001"</t>
  </si>
  <si>
    <t>"vtěsnat-se-001"</t>
  </si>
  <si>
    <t>"vybalancovat-001"</t>
  </si>
  <si>
    <t>"vybalit-001"</t>
  </si>
  <si>
    <t>"vybalovat-001"</t>
  </si>
  <si>
    <t>"vybalovat-002"</t>
  </si>
  <si>
    <t>"vybarvit-001"</t>
  </si>
  <si>
    <t>"vybarvovat-se-001"</t>
  </si>
  <si>
    <t>"vybavit-001"</t>
  </si>
  <si>
    <t>ACT-&gt;ARG0/133,ARG1/2,ARG3/1</t>
  </si>
  <si>
    <t>PAT-&gt;ARG1/368,ARG2/3</t>
  </si>
  <si>
    <t>"vybavit-se-001"</t>
  </si>
  <si>
    <t>"vybavit-si-001"</t>
  </si>
  <si>
    <t>"vybavovat-001"</t>
  </si>
  <si>
    <t>"vybavovat-se-001"</t>
  </si>
  <si>
    <t>"vybavovat-se-002"</t>
  </si>
  <si>
    <t>"vybavovat-si-001"</t>
  </si>
  <si>
    <t>"vybičovat-001"</t>
  </si>
  <si>
    <t>CPHR: {zájem}.4</t>
  </si>
  <si>
    <t>"--vybičovat-002"</t>
  </si>
  <si>
    <t>"vyblednout-001"</t>
  </si>
  <si>
    <t>"vybojovat-001"</t>
  </si>
  <si>
    <t>?ADDR: s+7; proti+3; nad+7</t>
  </si>
  <si>
    <t>"vybojovat-002"</t>
  </si>
  <si>
    <t>"vybombardovat-001"</t>
  </si>
  <si>
    <t>"vybouchnout-001"</t>
  </si>
  <si>
    <t>"vybouchnout-002"</t>
  </si>
  <si>
    <t>"--vybouchnout-003"</t>
  </si>
  <si>
    <t>"vyboulit-se-001"</t>
  </si>
  <si>
    <t>"vybourat-001"</t>
  </si>
  <si>
    <t>"vybourat-002"</t>
  </si>
  <si>
    <t>"vybourat-se-001"</t>
  </si>
  <si>
    <t>"vybourávat-001"</t>
  </si>
  <si>
    <t>"vybouřit-se-001"</t>
  </si>
  <si>
    <t>"vyboxovat-001"</t>
  </si>
  <si>
    <t>"vybočit-001"</t>
  </si>
  <si>
    <t>"vybočovat-001"</t>
  </si>
  <si>
    <t>"vybrakovat-001"</t>
  </si>
  <si>
    <t>"vybrat-001"</t>
  </si>
  <si>
    <t>ACT-&gt;ARG0/225,ARG1/1</t>
  </si>
  <si>
    <t>PAT-&gt;ARG1/400,ARG2/2,ARG3/1</t>
  </si>
  <si>
    <t>ORIG-&gt;ARG1/1,ARG2/16</t>
  </si>
  <si>
    <t>"vybrat-002"</t>
  </si>
  <si>
    <t>PAT-&gt;ARG1/156</t>
  </si>
  <si>
    <t>ORIG-&gt;ARG1/1,ARG2/17</t>
  </si>
  <si>
    <t>"vybrat-003"</t>
  </si>
  <si>
    <t>ACT-&gt;ARG0/380,ARG1/2</t>
  </si>
  <si>
    <t>PAT-&gt;ARG1/440</t>
  </si>
  <si>
    <t>DIR1-&gt;ARG1/2,ARG2/87,ARG3/5</t>
  </si>
  <si>
    <t>"vybrat-004"</t>
  </si>
  <si>
    <t>"vybrat-005"</t>
  </si>
  <si>
    <t>"vybrousit-001"</t>
  </si>
  <si>
    <t>"vybrousit-002"</t>
  </si>
  <si>
    <t>"vybruslit-001"</t>
  </si>
  <si>
    <t>"vybrušovat-001"</t>
  </si>
  <si>
    <t>"vybuchnout-001"</t>
  </si>
  <si>
    <t>ACT-&gt;ARG1/64,ARG2/1</t>
  </si>
  <si>
    <t>"vybuchnout-002"</t>
  </si>
  <si>
    <t>"vybuchnout-003"</t>
  </si>
  <si>
    <t>?PAT: v+4; 7</t>
  </si>
  <si>
    <t>"vybuchovat-001"</t>
  </si>
  <si>
    <t>"vybudit-001"</t>
  </si>
  <si>
    <t>"vybudovat-001"</t>
  </si>
  <si>
    <t>ACT-&gt;ARG0/239,ARG1/1</t>
  </si>
  <si>
    <t>PAT-&gt;ARG1/468</t>
  </si>
  <si>
    <t>"vybudovat-002"</t>
  </si>
  <si>
    <t>ACT-&gt;ARG0/411,ARG1/1</t>
  </si>
  <si>
    <t>PAT-&gt;ARG1/742,ARG2/2</t>
  </si>
  <si>
    <t>"vybujet-001"</t>
  </si>
  <si>
    <t>"vyburcovat-001"</t>
  </si>
  <si>
    <t>"vybídnout-001"</t>
  </si>
  <si>
    <t>PAT-&gt;ARG2/75</t>
  </si>
  <si>
    <t>ADDR-&gt;ARG1/67,ARG2/2</t>
  </si>
  <si>
    <t>"vybíhat-001"</t>
  </si>
  <si>
    <t>"vybíhat-002"</t>
  </si>
  <si>
    <t>"vybíhat-003"</t>
  </si>
  <si>
    <t>"vybíjet-001"</t>
  </si>
  <si>
    <t>"vybíjet-002"</t>
  </si>
  <si>
    <t>"vybílit-001"</t>
  </si>
  <si>
    <t>"vybírat-001"</t>
  </si>
  <si>
    <t>ACT-&gt;ARG0/231,ARG1/2</t>
  </si>
  <si>
    <t>PAT-&gt;ARG1/91,ARG3/1</t>
  </si>
  <si>
    <t>ORIG-&gt;ARG1/196,ARG2/3</t>
  </si>
  <si>
    <t>PAT-&gt;ARG1/149,ARG3/1</t>
  </si>
  <si>
    <t>ORIG-&gt;ARG1/1,ARG2/15</t>
  </si>
  <si>
    <t>"vybírat-002"</t>
  </si>
  <si>
    <t>"vybírat-003"</t>
  </si>
  <si>
    <t>"vybít-001"</t>
  </si>
  <si>
    <t>"vybít-002"</t>
  </si>
  <si>
    <t>"vybízet-001"</t>
  </si>
  <si>
    <t>ACT-&gt;ARG0/99,ARG1/1</t>
  </si>
  <si>
    <t>PAT-&gt;ARG1/1,ARG2/130</t>
  </si>
  <si>
    <t>ADDR-&gt;ARG1/100,ARG2/4</t>
  </si>
  <si>
    <t>"vybýt-001"</t>
  </si>
  <si>
    <t>"vyběhat-001"</t>
  </si>
  <si>
    <t>"vyběhat-002"</t>
  </si>
  <si>
    <t>"vyběhnout-001"</t>
  </si>
  <si>
    <t>ACT-&gt;ARG0/15,ARG1/2</t>
  </si>
  <si>
    <t>"vyběhnout-002"</t>
  </si>
  <si>
    <t>"vyběhnout-003"</t>
  </si>
  <si>
    <t>"vycachtat-se-001"</t>
  </si>
  <si>
    <t>"vycementovat-001"</t>
  </si>
  <si>
    <t>"vycestovat-001"</t>
  </si>
  <si>
    <t>"vychladit-001"</t>
  </si>
  <si>
    <t>"vychladnout-001"</t>
  </si>
  <si>
    <t>"vychladnout-002"</t>
  </si>
  <si>
    <t>"vychloubat-se-001"</t>
  </si>
  <si>
    <t>"vychodit-001"</t>
  </si>
  <si>
    <t>"vychovat-001"</t>
  </si>
  <si>
    <t>"vychovat-002"</t>
  </si>
  <si>
    <t>"vychovávat-001"</t>
  </si>
  <si>
    <t>"vychovávat-002"</t>
  </si>
  <si>
    <t>"vychrlit-001"</t>
  </si>
  <si>
    <t>"vychrlit-002"</t>
  </si>
  <si>
    <t>"vychutnat-001"</t>
  </si>
  <si>
    <t>"vychutnat-si-001"</t>
  </si>
  <si>
    <t>"vychutnávat-si-001"</t>
  </si>
  <si>
    <t>"vychutnávat-si-002"</t>
  </si>
  <si>
    <t>"vychvalovat-001"</t>
  </si>
  <si>
    <t>"vychylovat-se-001"</t>
  </si>
  <si>
    <t>"vychytat-001"</t>
  </si>
  <si>
    <t>"vychytat-002"</t>
  </si>
  <si>
    <t>"vycházet-001"</t>
  </si>
  <si>
    <t>PAT: 4[{jako,jakožto}:/AuxY]; .a4[{jako,jakožto}:/AuxY]</t>
  </si>
  <si>
    <t>"vycházet-002"</t>
  </si>
  <si>
    <t>"vycházet-003"</t>
  </si>
  <si>
    <t>"vycházet-004"</t>
  </si>
  <si>
    <t>"vycházet-005"</t>
  </si>
  <si>
    <t>"vycházet-006"</t>
  </si>
  <si>
    <t>PAT-&gt;ARG2/76</t>
  </si>
  <si>
    <t>"vycházet-007"</t>
  </si>
  <si>
    <t>ACT-&gt;ARG0/81,ARG1/216,ARG2/22</t>
  </si>
  <si>
    <t>PAT-&gt;ARG1/110,ARG2/353</t>
  </si>
  <si>
    <t>"vycházet-008"</t>
  </si>
  <si>
    <t>"vycházet-009"</t>
  </si>
  <si>
    <t>"vycházet-010"</t>
  </si>
  <si>
    <t>"vycházet-011"</t>
  </si>
  <si>
    <t>"vycházet-012"</t>
  </si>
  <si>
    <t>EXT: na+4; 4</t>
  </si>
  <si>
    <t>"vycházet-013"</t>
  </si>
  <si>
    <t>"vycházet-014"</t>
  </si>
  <si>
    <t>"vycházet-015"</t>
  </si>
  <si>
    <t>"vycházet-016"</t>
  </si>
  <si>
    <t>DPHR: vstříc</t>
  </si>
  <si>
    <t>"vycházet-017"</t>
  </si>
  <si>
    <t>"vycházet-018"</t>
  </si>
  <si>
    <t>PAT: ↓.1,aby</t>
  </si>
  <si>
    <t>"vycházet-019"</t>
  </si>
  <si>
    <t>"vycházet-020"</t>
  </si>
  <si>
    <t>PAT: 4; z+2</t>
  </si>
  <si>
    <t>"vychýlit-001"</t>
  </si>
  <si>
    <t>"vychýlit-se-001"</t>
  </si>
  <si>
    <t>"vycouvat-001"</t>
  </si>
  <si>
    <t>ACT-&gt;ARG0/27,ARG1/15</t>
  </si>
  <si>
    <t>"vycouvat-002"</t>
  </si>
  <si>
    <t>"vycucat-001"</t>
  </si>
  <si>
    <t>"vycucat-002"</t>
  </si>
  <si>
    <t>"vycucat-si-001"</t>
  </si>
  <si>
    <t>DPHR: z-1[prst.S2]</t>
  </si>
  <si>
    <t>"vycucávat-001"</t>
  </si>
  <si>
    <t>"vycvičit-001"</t>
  </si>
  <si>
    <t>"vycítit-001"</t>
  </si>
  <si>
    <t>PAT-&gt;ARG1/84,ARG2/1</t>
  </si>
  <si>
    <t>"vycítit-002"</t>
  </si>
  <si>
    <t>"vydat-001"</t>
  </si>
  <si>
    <t>"vydat-002"</t>
  </si>
  <si>
    <t>ACT-&gt;ARG0/223,ARG2/1</t>
  </si>
  <si>
    <t>PAT-&gt;ARG0/1,ARG1/277,ARG2/35</t>
  </si>
  <si>
    <t>ADDR-&gt;ARG1/4,ARG2/44,ARG3/7</t>
  </si>
  <si>
    <t>"vydat-003"</t>
  </si>
  <si>
    <t>"vydat-004"</t>
  </si>
  <si>
    <t>ACT-&gt;ARG0/596,ARG1/1,ARG2/1,ARG3/1</t>
  </si>
  <si>
    <t>PAT-&gt;ARG1/845,ARG2/1,ARG3/143</t>
  </si>
  <si>
    <t>EFF-&gt;ARG0/1,ARG1/5,ARG2/318</t>
  </si>
  <si>
    <t>"vydat-005"</t>
  </si>
  <si>
    <t>"vydat-006"</t>
  </si>
  <si>
    <t>ACT-&gt;ARG0/656,ARG2/1</t>
  </si>
  <si>
    <t>PAT-&gt;ARG0/1,ARG1/1321,ARG2/1</t>
  </si>
  <si>
    <t>"vydat-007"</t>
  </si>
  <si>
    <t>PAT-&gt;ARG1/279</t>
  </si>
  <si>
    <t>"vydat-008"</t>
  </si>
  <si>
    <t>"vydat-009"</t>
  </si>
  <si>
    <t>"vydat-010"</t>
  </si>
  <si>
    <t>ACT-&gt;ARG0/231,ARG2/1,ARG3/1</t>
  </si>
  <si>
    <t>EXT-&gt;ARG1/154,ARG3/143</t>
  </si>
  <si>
    <t>"vydat-011"</t>
  </si>
  <si>
    <t>CPHR: {doporučení,instrukce,opatření,oznámení,pokárání,pokyn,požadavek,právo,prohlášení,příkaz,rozhodnutí,rozkaz,signál,souhlas,zákaz,...}.4</t>
  </si>
  <si>
    <t>CPHR-&gt;ARG1/150</t>
  </si>
  <si>
    <t>ACT-&gt;ARG0/397,ARG2/1</t>
  </si>
  <si>
    <t>CPHR-&gt;ARG1/546</t>
  </si>
  <si>
    <t>ADDR-&gt;ARG1/3,ARG2/31</t>
  </si>
  <si>
    <t>CPHR-&gt;ARG1/551</t>
  </si>
  <si>
    <t>ACT-&gt;ARG0/184,ARG2/1</t>
  </si>
  <si>
    <t>CPHR-&gt;ARG1/239</t>
  </si>
  <si>
    <t>ADDR-&gt;ARG1/4,ARG2/36</t>
  </si>
  <si>
    <t>"vydat-012"</t>
  </si>
  <si>
    <t>DPHR: na-1[milost:S4],na-1[nemilost-2:S4]</t>
  </si>
  <si>
    <t>"vydat-013"</t>
  </si>
  <si>
    <t>DPHR: všanc</t>
  </si>
  <si>
    <t>"--vydat-014"</t>
  </si>
  <si>
    <t>DPHR: zatykač.4</t>
  </si>
  <si>
    <t>"vydat-015"</t>
  </si>
  <si>
    <t xml:space="preserve">EXT: </t>
  </si>
  <si>
    <t>"vydat-016"</t>
  </si>
  <si>
    <t>CPHR: {rozhodnutí}.4</t>
  </si>
  <si>
    <t>"vydat-se-001"</t>
  </si>
  <si>
    <t>ACT-&gt;ARG0/9,ARG1/4</t>
  </si>
  <si>
    <t>"vydat-se-002"</t>
  </si>
  <si>
    <t>ACT-&gt;ARG0/160,ARG1/220,ARG2/3</t>
  </si>
  <si>
    <t>DIR3-&gt;ARG1/175,ARG2/2</t>
  </si>
  <si>
    <t>"vydat-se-003"</t>
  </si>
  <si>
    <t>DPHR: v-1[stopa.P6[:u#]]</t>
  </si>
  <si>
    <t>"vydařit-se-001"</t>
  </si>
  <si>
    <t>"vydechnout-si-001"</t>
  </si>
  <si>
    <t>"vydedukovat-001"</t>
  </si>
  <si>
    <t>"vydezinfikovat-001"</t>
  </si>
  <si>
    <t>"vydlabat-001"</t>
  </si>
  <si>
    <t>"vydlužit-si-001"</t>
  </si>
  <si>
    <t>"vydláždit-001"</t>
  </si>
  <si>
    <t>"vydláždit-002"</t>
  </si>
  <si>
    <t>"vydobýt-001"</t>
  </si>
  <si>
    <t>"vydojit-001"</t>
  </si>
  <si>
    <t>?ORIG: z+2; od+2; na+6</t>
  </si>
  <si>
    <t>"vydolovat-001"</t>
  </si>
  <si>
    <t>"vydolovat-002"</t>
  </si>
  <si>
    <t>"vydovádět-se-001"</t>
  </si>
  <si>
    <t>"vydražit-001"</t>
  </si>
  <si>
    <t>"vydrbat-001"</t>
  </si>
  <si>
    <t>"vydrápat-se-001"</t>
  </si>
  <si>
    <t>"vydržet-001"</t>
  </si>
  <si>
    <t>ACT-&gt;ARG0/6,ARG1/26</t>
  </si>
  <si>
    <t>PAT-&gt;ARG1/8,ARG2/10</t>
  </si>
  <si>
    <t>"vydržet-002"</t>
  </si>
  <si>
    <t>"vydržovat-001"</t>
  </si>
  <si>
    <t>"vydyndat-001"</t>
  </si>
  <si>
    <t>"vydávat-001"</t>
  </si>
  <si>
    <t>ACT-&gt;ARG0/150,ARG2/1</t>
  </si>
  <si>
    <t>PAT-&gt;ARG0/1,ARG1/215</t>
  </si>
  <si>
    <t>"vydávat-002"</t>
  </si>
  <si>
    <t>"vydávat-003"</t>
  </si>
  <si>
    <t>ACT-&gt;ARG0/193</t>
  </si>
  <si>
    <t>EFF-&gt;ARG1/264,ARG2/24</t>
  </si>
  <si>
    <t>"vydávat-004"</t>
  </si>
  <si>
    <t>"vydávat-005"</t>
  </si>
  <si>
    <t>"vydávat-006"</t>
  </si>
  <si>
    <t>ACT-&gt;ARG0/709,ARG2/1,ARG3/1</t>
  </si>
  <si>
    <t>PAT-&gt;ARG0/1,ARG1/858,ARG2/1,ARG3/143</t>
  </si>
  <si>
    <t>"vydávat-007"</t>
  </si>
  <si>
    <t>"vydávat-008"</t>
  </si>
  <si>
    <t>CPHR: {pokyn,povel,povolení,příkaz,rozkaz,souhlas,...}.4</t>
  </si>
  <si>
    <t>"vydávat-se-001"</t>
  </si>
  <si>
    <t>"vydávat-se-002"</t>
  </si>
  <si>
    <t>ACT-&gt;ARG0/2,ARG1/3102,ARG2/296</t>
  </si>
  <si>
    <t>PAT-&gt;ARG1/126,ARG2/3451</t>
  </si>
  <si>
    <t>"vydávat-se-003"</t>
  </si>
  <si>
    <t>ACT-&gt;ARG0/66,ARG1/2</t>
  </si>
  <si>
    <t>"vydírat-001"</t>
  </si>
  <si>
    <t>"vydýchat-se-001"</t>
  </si>
  <si>
    <t>"vydědit-001"</t>
  </si>
  <si>
    <t>"vydělat-001"</t>
  </si>
  <si>
    <t>?ORIG: na+6; z+2; za+4</t>
  </si>
  <si>
    <t>ACT-&gt;ARG0/203,ARG1/50</t>
  </si>
  <si>
    <t>PAT-&gt;ARG1/285</t>
  </si>
  <si>
    <t>ORIG-&gt;ARG0/45,ARG1/27,ARG3/7</t>
  </si>
  <si>
    <t>ACT-&gt;ARG0/198,ARG1/36</t>
  </si>
  <si>
    <t>ORIG-&gt;ARG0/21,ARG1/23,ARG3/7</t>
  </si>
  <si>
    <t>"vydělat-002"</t>
  </si>
  <si>
    <t>"vydělit-001"</t>
  </si>
  <si>
    <t>"vydělit-002"</t>
  </si>
  <si>
    <t>"vydělit-se-001"</t>
  </si>
  <si>
    <t>"vydělovat-se-001"</t>
  </si>
  <si>
    <t>"vydělávat-001"</t>
  </si>
  <si>
    <t>ACT-&gt;ARG0/2348,ARG1/22</t>
  </si>
  <si>
    <t>PAT-&gt;ARG1/292</t>
  </si>
  <si>
    <t>ORIG-&gt;ARG1/1,ARG3/7</t>
  </si>
  <si>
    <t>"vyděsit-001"</t>
  </si>
  <si>
    <t>ACT-&gt;ARG0/11,ARG2/4</t>
  </si>
  <si>
    <t>"vyděsit-se-001"</t>
  </si>
  <si>
    <t>"vydřít-001"</t>
  </si>
  <si>
    <t>"vyexpedovat-001"</t>
  </si>
  <si>
    <t>"vyfasovat-001"</t>
  </si>
  <si>
    <t>"vyfasovat-002"</t>
  </si>
  <si>
    <t>"vyfotit-001"</t>
  </si>
  <si>
    <t>"vyfotit-002"</t>
  </si>
  <si>
    <t>"vyfotit-se-001"</t>
  </si>
  <si>
    <t>"vyfotografovat-001"</t>
  </si>
  <si>
    <t>"vyfotografovat-se-001"</t>
  </si>
  <si>
    <t>"vyfouknout-001"</t>
  </si>
  <si>
    <t>"vyfouknout-002"</t>
  </si>
  <si>
    <t>"vygenerovat-001"</t>
  </si>
  <si>
    <t>"vygradovat-001"</t>
  </si>
  <si>
    <t>"vygumovat-001"</t>
  </si>
  <si>
    <t>"vyhasnout-001"</t>
  </si>
  <si>
    <t>"vyhasnout-002"</t>
  </si>
  <si>
    <t>"vyhasínat-001"</t>
  </si>
  <si>
    <t>"vyhazovat-001"</t>
  </si>
  <si>
    <t>"vyhazovat-002"</t>
  </si>
  <si>
    <t>DPHR: okno.S7</t>
  </si>
  <si>
    <t>"vyhazovat-003"</t>
  </si>
  <si>
    <t>"vyhazovat-004"</t>
  </si>
  <si>
    <t>"vyhazovat-005"</t>
  </si>
  <si>
    <t>"--vyhazovat-006"</t>
  </si>
  <si>
    <t>DPHR: oknem</t>
  </si>
  <si>
    <t>"vyhecovat-001"</t>
  </si>
  <si>
    <t>?PAT: k+3; proti+3; ↓ať; .s</t>
  </si>
  <si>
    <t>"vyhladit-001"</t>
  </si>
  <si>
    <t>"vyhladit-002"</t>
  </si>
  <si>
    <t>"vyhladovět-001"</t>
  </si>
  <si>
    <t>"vyhladovět-002"</t>
  </si>
  <si>
    <t>"vyhlazovat-001"</t>
  </si>
  <si>
    <t>"vyhlašovat-001"</t>
  </si>
  <si>
    <t>"vyhlašovat-002"</t>
  </si>
  <si>
    <t>CPHR: {boj,preference,válka,...}.4</t>
  </si>
  <si>
    <t>"vyhledat-001"</t>
  </si>
  <si>
    <t>ACT-&gt;ARG0/289,ARG2/1</t>
  </si>
  <si>
    <t>PAT-&gt;ARG1/410,ARG2/1</t>
  </si>
  <si>
    <t>"vyhledávat-001"</t>
  </si>
  <si>
    <t>ACT-&gt;ARG0/340,ARG2/1</t>
  </si>
  <si>
    <t>PAT-&gt;ARG1/474,ARG2/1</t>
  </si>
  <si>
    <t>"vyhledávat-002"</t>
  </si>
  <si>
    <t>PAT-&gt;ARG1/99,ARG2/1</t>
  </si>
  <si>
    <t>"vyhloubit-001"</t>
  </si>
  <si>
    <t>"vyhlásit-001"</t>
  </si>
  <si>
    <t>EFF-&gt;ARG1/9,ARG2/5</t>
  </si>
  <si>
    <t>"vyhlásit-002"</t>
  </si>
  <si>
    <t>ACT-&gt;ARG0/625,ARG1/43,ARG2/1</t>
  </si>
  <si>
    <t>PAT-&gt;ARG1/744,ARG2/9</t>
  </si>
  <si>
    <t>"vyhlásit-003"</t>
  </si>
  <si>
    <t>CPHR: {boj,stávka,válka,...}.4</t>
  </si>
  <si>
    <t>"vyhláskovat-001"</t>
  </si>
  <si>
    <t>"vyhlédnout-001"</t>
  </si>
  <si>
    <t>"vyhlídnout-001"</t>
  </si>
  <si>
    <t>"vyhlížet-001"</t>
  </si>
  <si>
    <t>"vyhlížet-002"</t>
  </si>
  <si>
    <t>"vyhlížet-003"</t>
  </si>
  <si>
    <t>"vyhmátnout-001"</t>
  </si>
  <si>
    <t>"vyhnat-001"</t>
  </si>
  <si>
    <t>"vyhnat-002"</t>
  </si>
  <si>
    <t>"vyhnat-003"</t>
  </si>
  <si>
    <t>"vyhnat-004"</t>
  </si>
  <si>
    <t>"--vyhnat-005"</t>
  </si>
  <si>
    <t>"vyhnat-006"</t>
  </si>
  <si>
    <t>"vyhnout-se-001"</t>
  </si>
  <si>
    <t>ACT-&gt;ARG0/89,ARG1/28</t>
  </si>
  <si>
    <t>"vyhnout-se-002"</t>
  </si>
  <si>
    <t>"vyhoblovat-001"</t>
  </si>
  <si>
    <t>"vyhodit-001"</t>
  </si>
  <si>
    <t>DIR1-&gt;ARG2/2</t>
  </si>
  <si>
    <t>"vyhodit-002"</t>
  </si>
  <si>
    <t>"vyhodit-003"</t>
  </si>
  <si>
    <t>"vyhodit-004"</t>
  </si>
  <si>
    <t>"vyhodit-005"</t>
  </si>
  <si>
    <t>"vyhodit-si-001"</t>
  </si>
  <si>
    <t>DPHR: z-1[kopýtko.S2]</t>
  </si>
  <si>
    <t>"vyhodit-si-002"</t>
  </si>
  <si>
    <t>DPHR: z-1[kopyto.S2]</t>
  </si>
  <si>
    <t>"vyhodnocovat-001"</t>
  </si>
  <si>
    <t>"vyhodnotit-001"</t>
  </si>
  <si>
    <t>"vyhostit-001"</t>
  </si>
  <si>
    <t>"vyhotovit-001"</t>
  </si>
  <si>
    <t>"vyhotovit-002"</t>
  </si>
  <si>
    <t>"vyhoupnout-se-001"</t>
  </si>
  <si>
    <t>ACT-&gt;ARG0/20,ARG1/72</t>
  </si>
  <si>
    <t>DIR3-&gt;ARG1/27</t>
  </si>
  <si>
    <t>"vyhoupnout-se-002"</t>
  </si>
  <si>
    <t>"vyhovovat-001"</t>
  </si>
  <si>
    <t>ACT-&gt;ARG0/4,ARG1/105</t>
  </si>
  <si>
    <t>PAT-&gt;ARG0/57,ARG1/61,ARG2/8</t>
  </si>
  <si>
    <t>"vyhovovat-002"</t>
  </si>
  <si>
    <t>"vyhovět-001"</t>
  </si>
  <si>
    <t>"vyhořet-001"</t>
  </si>
  <si>
    <t>"vyhošťovat-001"</t>
  </si>
  <si>
    <t>"vyhrabat-001"</t>
  </si>
  <si>
    <t>"vyhrabat-se-001"</t>
  </si>
  <si>
    <t>"vyhrabávat-se-001"</t>
  </si>
  <si>
    <t>"vyhradit-001"</t>
  </si>
  <si>
    <t>ACT-&gt;ARG0/314</t>
  </si>
  <si>
    <t>PAT-&gt;ARG0/16,ARG1/477,ARG2/1</t>
  </si>
  <si>
    <t>ADDR-&gt;ARG1/18,ARG2/140</t>
  </si>
  <si>
    <t>"vyhradit-002"</t>
  </si>
  <si>
    <t>"vyhradit-si-001"</t>
  </si>
  <si>
    <t>"vyhranit-001"</t>
  </si>
  <si>
    <t>"vyhranit-se-001"</t>
  </si>
  <si>
    <t>"vyhrazovat-si-001"</t>
  </si>
  <si>
    <t>"vyhraňovat-se-001"</t>
  </si>
  <si>
    <t>"vyhrknout-001"</t>
  </si>
  <si>
    <t>"vyhrknout-002"</t>
  </si>
  <si>
    <t>"vyhrnout-se-001"</t>
  </si>
  <si>
    <t>"vyhrocovat-se-001"</t>
  </si>
  <si>
    <t>"vyhrotit-001"</t>
  </si>
  <si>
    <t>"vyhrotit-se-001"</t>
  </si>
  <si>
    <t>"vyhrožovat-001"</t>
  </si>
  <si>
    <t>PAT: 7; ↓že; .f</t>
  </si>
  <si>
    <t>PAT-&gt;ARG0/1,ARG1/54,ARG2/9</t>
  </si>
  <si>
    <t>"vyhrožovat-002"</t>
  </si>
  <si>
    <t>"vyhrát-001"</t>
  </si>
  <si>
    <t>ACT-&gt;ARG0/150,ARG1/281,ARG2/3</t>
  </si>
  <si>
    <t>PAT-&gt;ARG1/176,ARG2/1</t>
  </si>
  <si>
    <t>"vyhrát-002"</t>
  </si>
  <si>
    <t>PAT-&gt;ARG1/176</t>
  </si>
  <si>
    <t>"vyhrát-se-001"</t>
  </si>
  <si>
    <t>"vyhrát-si-001"</t>
  </si>
  <si>
    <t>"vyhrávat-001"</t>
  </si>
  <si>
    <t>PAT-&gt;ARG1/153</t>
  </si>
  <si>
    <t>"vyhrávat-002"</t>
  </si>
  <si>
    <t>"vyhrávat-003"</t>
  </si>
  <si>
    <t>"vyhubit-001"</t>
  </si>
  <si>
    <t>"vyhubovat-001"</t>
  </si>
  <si>
    <t>"vyhynout-001"</t>
  </si>
  <si>
    <t>"vyhánět-001"</t>
  </si>
  <si>
    <t>"vyhánět-002"</t>
  </si>
  <si>
    <t>PAT-&gt;ARG1/173</t>
  </si>
  <si>
    <t>"vyházet-001"</t>
  </si>
  <si>
    <t>"vyházet-002"</t>
  </si>
  <si>
    <t>"vyházet-003"</t>
  </si>
  <si>
    <t>?PAT: za-1[.2]</t>
  </si>
  <si>
    <t>"vyházet-004"</t>
  </si>
  <si>
    <t>"vyháčkovat-001"</t>
  </si>
  <si>
    <t>"vyhýbat-se-001"</t>
  </si>
  <si>
    <t>PAT-&gt;ARG1/148,ARG2/1</t>
  </si>
  <si>
    <t>"vyhřeznout-001"</t>
  </si>
  <si>
    <t>"vyhřezávat-001"</t>
  </si>
  <si>
    <t>"vyhřát-se-001"</t>
  </si>
  <si>
    <t>"vyhřívat-se-001"</t>
  </si>
  <si>
    <t>"vyinkasovat-001"</t>
  </si>
  <si>
    <t>"vyjadřovat-001"</t>
  </si>
  <si>
    <t>ACT-&gt;ARG0/206,ARG1/2,ARG2/164</t>
  </si>
  <si>
    <t>PAT-&gt;ARG0/180,ARG1/701,ARG2/6</t>
  </si>
  <si>
    <t>"vyjadřovat-002"</t>
  </si>
  <si>
    <t>CPHR: {důvěra,podpora,preference,soustrast,sympatie,úcta,uznání,...}.4</t>
  </si>
  <si>
    <t>CPHR-&gt;ARG1/54</t>
  </si>
  <si>
    <t>"vyjadřovat-003"</t>
  </si>
  <si>
    <t>ACT-&gt;ARG0/55,ARG1/2,ARG2/164</t>
  </si>
  <si>
    <t>CPHR: {hodnocení,naděje,názor,nechápavost,nejistota,nesouhlas,obava,obdiv,odhodlání,ochota,poděkování,podezření,pochopení,pochyba,postoj,potěšení,protest,překvapení,přesvědčení,připravenost,rozčarování,rozhořčení,skepse,souhlas,spokojenost,stanovisko,údiv,uspokojení,úzkost,vůle,zájem,zklamání,znepokojení,...}.4; chápavost.~4</t>
  </si>
  <si>
    <t>CPHR-&gt;ARG1/304,ARG2/6</t>
  </si>
  <si>
    <t>ACT-&gt;ARG0/101,ARG1/1</t>
  </si>
  <si>
    <t>CPHR-&gt;ARG1/97,ARG2/36</t>
  </si>
  <si>
    <t>"vyjadřovat-se-001"</t>
  </si>
  <si>
    <t>PAT: k+3; o+6; ↓že; v+6; .s; ↓c</t>
  </si>
  <si>
    <t>"vyjadřovat-se-002"</t>
  </si>
  <si>
    <t>PAT: proti+3; pro+4</t>
  </si>
  <si>
    <t>"vyjadřovat-se-003"</t>
  </si>
  <si>
    <t>"vyjasnit-001"</t>
  </si>
  <si>
    <t>"vyjasňovat-001"</t>
  </si>
  <si>
    <t>"vyjasňovat-se-001"</t>
  </si>
  <si>
    <t>"vyjasňovat-se-002"</t>
  </si>
  <si>
    <t>"vyjednat-001"</t>
  </si>
  <si>
    <t>PAT-&gt;ARG1/44,ARG2/63</t>
  </si>
  <si>
    <t>"vyjednávat-001"</t>
  </si>
  <si>
    <t>PAT-&gt;ARG1/37,ARG2/63</t>
  </si>
  <si>
    <t>"vyjednávat-002"</t>
  </si>
  <si>
    <t>PAT: o+6; v+6</t>
  </si>
  <si>
    <t>PAT-&gt;ARG1/39,ARG2/99</t>
  </si>
  <si>
    <t>"vyjet-001"</t>
  </si>
  <si>
    <t>"vyjet-002"</t>
  </si>
  <si>
    <t>"vyjet-003"</t>
  </si>
  <si>
    <t>"vyjet-004"</t>
  </si>
  <si>
    <t>"vyjet-005"</t>
  </si>
  <si>
    <t>"vyjet-si-001"</t>
  </si>
  <si>
    <t>"vyjevit-001"</t>
  </si>
  <si>
    <t>EFF: 4; ↓že; ↓zda; ↓c</t>
  </si>
  <si>
    <t>"vyjevit-se-001"</t>
  </si>
  <si>
    <t>PAT: 1[{jako,jakožto}:/AuxY]</t>
  </si>
  <si>
    <t>"vyjevit-se-002"</t>
  </si>
  <si>
    <t>"vyjezdit-se-001"</t>
  </si>
  <si>
    <t>"vyjmenovat-001"</t>
  </si>
  <si>
    <t>PAT-&gt;ARG1/22,ARG2/8</t>
  </si>
  <si>
    <t>"vyjmenovávat-001"</t>
  </si>
  <si>
    <t>"vyjmout-001"</t>
  </si>
  <si>
    <t>"vyjmout-002"</t>
  </si>
  <si>
    <t>ACT-&gt;ARG0/45,ARG1/2</t>
  </si>
  <si>
    <t>PAT-&gt;ARG0/1,ARG1/3240,ARG2/297</t>
  </si>
  <si>
    <t>"vyjádřit-001"</t>
  </si>
  <si>
    <t>"vyjádřit-002"</t>
  </si>
  <si>
    <t>CPHR: {dík,důvěra,lítost,podpora,preference,soustrast,sympatie,úcta,účast,uznání,...}.4</t>
  </si>
  <si>
    <t>"vyjádřit-003"</t>
  </si>
  <si>
    <t>CPHR: {hodnocení,chápavost,jistota,kritika,naděje,názor,nechápavost,nejistota,nesouhlas,obava,obdiv,očekávání,odhodlání,ochota,poděkování,podezření,pochopení,pochyba,politování,postoj,potěšení,protest,přání,překvapení,přesvědčení,připomínka,připravenost,rada,radost,rozčarování,rozhořčení,souhlas,spokojenost,stanovisko,touha,údiv,úleva,uspokojení,úzkost,úžas,vůle,zájem,zklamání,znepokojení,...}.4</t>
  </si>
  <si>
    <t>ACT-&gt;ARG0/12189,ARG1/36</t>
  </si>
  <si>
    <t>CPHR-&gt;ARG0/2,ARG1/10561,ARG2/2</t>
  </si>
  <si>
    <t>CPHR-&gt;ARG1/101</t>
  </si>
  <si>
    <t>"vyjádřit-se-001"</t>
  </si>
  <si>
    <t>ACT-&gt;ARG0/12263,ARG1/36</t>
  </si>
  <si>
    <t>PAT: k+3; o+6; ↓že; v+6; ↓zda; .s; ↓c</t>
  </si>
  <si>
    <t>PAT-&gt;ARG0/2,ARG1/10581,ARG2/2</t>
  </si>
  <si>
    <t>"vyjádřit-se-002"</t>
  </si>
  <si>
    <t>"vyjádřit-se-003"</t>
  </si>
  <si>
    <t>BEN-&gt;ARG1/7</t>
  </si>
  <si>
    <t>"vyjímat-001"</t>
  </si>
  <si>
    <t>PAT: 4; ↓že; .v</t>
  </si>
  <si>
    <t>"vyjímat-se-001"</t>
  </si>
  <si>
    <t>"vyjít-001"</t>
  </si>
  <si>
    <t>"vyjít-002"</t>
  </si>
  <si>
    <t>ACT-&gt;ARG1/116,ARG2/2</t>
  </si>
  <si>
    <t>PAT-&gt;ARG2/136</t>
  </si>
  <si>
    <t>"vyjít-003"</t>
  </si>
  <si>
    <t>"vyjít-004"</t>
  </si>
  <si>
    <t>"vyjít-005"</t>
  </si>
  <si>
    <t>"vyjít-006"</t>
  </si>
  <si>
    <t>ACT-&gt;ARG0/13,ARG1/285</t>
  </si>
  <si>
    <t>PAT-&gt;ARG0/193,ARG1/3</t>
  </si>
  <si>
    <t>"vyjít-007"</t>
  </si>
  <si>
    <t>"vyjít-008"</t>
  </si>
  <si>
    <t>"vyjít-009"</t>
  </si>
  <si>
    <t>"vyjít-010"</t>
  </si>
  <si>
    <t>PAT: 1; ↓že; ↓aby</t>
  </si>
  <si>
    <t>"vyjít-011"</t>
  </si>
  <si>
    <t>"vyjít-012"</t>
  </si>
  <si>
    <t>"vyjít-013"</t>
  </si>
  <si>
    <t>"vyjít-014"</t>
  </si>
  <si>
    <t>"vyjít-015"</t>
  </si>
  <si>
    <t>ACT-&gt;ARG0/59,ARG1/214</t>
  </si>
  <si>
    <t>"vyjít-016"</t>
  </si>
  <si>
    <t>"vyjít-017"</t>
  </si>
  <si>
    <t>ACT-&gt;ARG0/61,ARG1/11</t>
  </si>
  <si>
    <t>"vyjít-018"</t>
  </si>
  <si>
    <t>"vyjít-019"</t>
  </si>
  <si>
    <t>ACT-&gt;ARG1/460,ARG2/6</t>
  </si>
  <si>
    <t>DPHR-&gt;ARG2/473</t>
  </si>
  <si>
    <t>"vyjít-020"</t>
  </si>
  <si>
    <t>"vyjít-021"</t>
  </si>
  <si>
    <t>DPHR: na-1[povrch.S4]</t>
  </si>
  <si>
    <t>"vyjít-022"</t>
  </si>
  <si>
    <t>DPHR: na-1[světlo.S4]</t>
  </si>
  <si>
    <t>"vyjít-023"</t>
  </si>
  <si>
    <t>"vyjít-024"</t>
  </si>
  <si>
    <t xml:space="preserve">TFHL: </t>
  </si>
  <si>
    <t>"vyjít-si-001"</t>
  </si>
  <si>
    <t>"vyjíždět-001"</t>
  </si>
  <si>
    <t>"vyjíždět-002"</t>
  </si>
  <si>
    <t>"vyjíždět-003"</t>
  </si>
  <si>
    <t>"vyjíždět-004"</t>
  </si>
  <si>
    <t>"vyjíždět-si-001"</t>
  </si>
  <si>
    <t>"vykalkulovat-001"</t>
  </si>
  <si>
    <t>"vykat-001"</t>
  </si>
  <si>
    <t>"vykazovat-001"</t>
  </si>
  <si>
    <t>ACT-&gt;ARG0/3269,ARG1/43,ARG2/164</t>
  </si>
  <si>
    <t>PAT-&gt;ARG0/1,ARG1/4706,ARG2/6</t>
  </si>
  <si>
    <t>ADDR-&gt;ARG2/12,ARG3/11</t>
  </si>
  <si>
    <t>"vykazovat-002"</t>
  </si>
  <si>
    <t>"vykazovat-003"</t>
  </si>
  <si>
    <t>"vykašlat-001"</t>
  </si>
  <si>
    <t>"vykašlat-se-001"</t>
  </si>
  <si>
    <t>"vykecat-001"</t>
  </si>
  <si>
    <t>"vykecat-002"</t>
  </si>
  <si>
    <t>"vykecat-se-001"</t>
  </si>
  <si>
    <t>"vyklepat-001"</t>
  </si>
  <si>
    <t>"vyklidit-001"</t>
  </si>
  <si>
    <t>"vyklidit-002"</t>
  </si>
  <si>
    <t>PAT-&gt;ARG1/14,ARG2/2</t>
  </si>
  <si>
    <t>"vyklopit-001"</t>
  </si>
  <si>
    <t>"vyklopit-002"</t>
  </si>
  <si>
    <t>"vyklopit-003"</t>
  </si>
  <si>
    <t>"vykloubit-001"</t>
  </si>
  <si>
    <t>"vyklouznout-001"</t>
  </si>
  <si>
    <t>"vyklubat-se-001"</t>
  </si>
  <si>
    <t>ACT-&gt;ARG1/37,ARG2/2</t>
  </si>
  <si>
    <t>"vyklusávat-001"</t>
  </si>
  <si>
    <t>"vykládat-001"</t>
  </si>
  <si>
    <t>"vykládat-002"</t>
  </si>
  <si>
    <t>"vykládat-003"</t>
  </si>
  <si>
    <t>"vykládat-004"</t>
  </si>
  <si>
    <t>"vykládat-005"</t>
  </si>
  <si>
    <t>"vykládat-006"</t>
  </si>
  <si>
    <t>EFF: 4; ↓že; .s; ↓c; ↓jak-2</t>
  </si>
  <si>
    <t>"vykládat-007"</t>
  </si>
  <si>
    <t>"vykládat-si-001"</t>
  </si>
  <si>
    <t>"--vykládat-si-002"</t>
  </si>
  <si>
    <t>EFF: ↓že; ↓c</t>
  </si>
  <si>
    <t>"vyklízet-001"</t>
  </si>
  <si>
    <t>DPHR: pozice.P4</t>
  </si>
  <si>
    <t>"vyklízet-002"</t>
  </si>
  <si>
    <t>"vyklízet-003"</t>
  </si>
  <si>
    <t>"vykoledovat-001"</t>
  </si>
  <si>
    <t>"vykolejit-001"</t>
  </si>
  <si>
    <t>"vykompenzovat-001"</t>
  </si>
  <si>
    <t>ACT-&gt;ARG0/4,ARG2/66</t>
  </si>
  <si>
    <t>"vykonat-001"</t>
  </si>
  <si>
    <t>ACT-&gt;ARG0/565,ARG1/227,ARG3/1</t>
  </si>
  <si>
    <t>PAT-&gt;ARG0/170,ARG1/770,ARG2/26</t>
  </si>
  <si>
    <t>"vykonat-002"</t>
  </si>
  <si>
    <t>CPHR: {excize,hodnocení,instruktáž,návštěva,ohledání,poradenství,průzkum,reorganizace,restrukturalizace,slib,správa,test,údržba,vklad,...}.4</t>
  </si>
  <si>
    <t>"vykonat-003"</t>
  </si>
  <si>
    <t>"vykonávat-001"</t>
  </si>
  <si>
    <t>ACT-&gt;ARG0/248,ARG1/272,ARG3/2</t>
  </si>
  <si>
    <t>PAT-&gt;ARG0/1,ARG1/292,ARG3/290</t>
  </si>
  <si>
    <t>"vykonávat-002"</t>
  </si>
  <si>
    <t>"vykonávat-003"</t>
  </si>
  <si>
    <t>CPHR: {aktivita,činnost,dozor,funkce,hodnocení,instruktáž,inventarizace,obchod,ohledání,povinnost,povolání,práce,prohlídka,průzkum,reorganizace,restrukturalizace,slib,služba,test,údržba,úloha,veto,vklad,zkouška,...}.4</t>
  </si>
  <si>
    <t>CPHR-&gt;ARG1/217</t>
  </si>
  <si>
    <t>ACT-&gt;ARG0/352,ARG1/3,ARG3/1</t>
  </si>
  <si>
    <t>CPHR-&gt;ARG0/1,ARG1/432</t>
  </si>
  <si>
    <t>"vykopat-001"</t>
  </si>
  <si>
    <t>"vykopat-002"</t>
  </si>
  <si>
    <t>DPHR: sekera:S4[válečný.#]</t>
  </si>
  <si>
    <t>"vykopat-003"</t>
  </si>
  <si>
    <t>"vykopávat-001"</t>
  </si>
  <si>
    <t>"vykopávat-002"</t>
  </si>
  <si>
    <t>"vykopírovat-001"</t>
  </si>
  <si>
    <t>"vykorespondovat-001"</t>
  </si>
  <si>
    <t>"vykostit-001"</t>
  </si>
  <si>
    <t>"vykouknout-001"</t>
  </si>
  <si>
    <t>"vykoumat-001"</t>
  </si>
  <si>
    <t>"vykoupat-001"</t>
  </si>
  <si>
    <t>"vykoupat-se-001"</t>
  </si>
  <si>
    <t>"vykoupit-001"</t>
  </si>
  <si>
    <t>ACT-&gt;ARG0/511,ARG1/1</t>
  </si>
  <si>
    <t>PAT-&gt;ARG0/2,ARG1/953,ARG3/1</t>
  </si>
  <si>
    <t>"vykoupit-002"</t>
  </si>
  <si>
    <t>EFF-&gt;ARG0/2</t>
  </si>
  <si>
    <t>"vykoupit-003"</t>
  </si>
  <si>
    <t>?EFF: před+7; proti+3; z+2</t>
  </si>
  <si>
    <t>"vykouzlit-001"</t>
  </si>
  <si>
    <t>"vykouřit-001"</t>
  </si>
  <si>
    <t>"vykovat-001"</t>
  </si>
  <si>
    <t>"vykořenit-001"</t>
  </si>
  <si>
    <t>"vykořisťovat-001"</t>
  </si>
  <si>
    <t>"vykračovat-si-001"</t>
  </si>
  <si>
    <t>"vykreslit-001"</t>
  </si>
  <si>
    <t>PAT: 4; ↓c; .s</t>
  </si>
  <si>
    <t>"vykreslit-002"</t>
  </si>
  <si>
    <t>"vykreslit-se-001"</t>
  </si>
  <si>
    <t>"vykreslovat-001"</t>
  </si>
  <si>
    <t>"vykrmit-001"</t>
  </si>
  <si>
    <t>"vykrmovat-001"</t>
  </si>
  <si>
    <t>"vykroutit-se-001"</t>
  </si>
  <si>
    <t>"vykročit-001"</t>
  </si>
  <si>
    <t>"vykročit-002"</t>
  </si>
  <si>
    <t>"vykrvácet-001"</t>
  </si>
  <si>
    <t>"vykrystalizovat-001"</t>
  </si>
  <si>
    <t>"vykrádat-001"</t>
  </si>
  <si>
    <t>"vykrást-001"</t>
  </si>
  <si>
    <t>"vykrýt-001"</t>
  </si>
  <si>
    <t>"vykuchat-001"</t>
  </si>
  <si>
    <t>"vykukovat-001"</t>
  </si>
  <si>
    <t>"vykukovat-002"</t>
  </si>
  <si>
    <t>"vykulminovat-001"</t>
  </si>
  <si>
    <t>"vykupovat-001"</t>
  </si>
  <si>
    <t>"vykvasit-001"</t>
  </si>
  <si>
    <t>"vykvést-001"</t>
  </si>
  <si>
    <t>"vykvést-002"</t>
  </si>
  <si>
    <t>"vykydat-001"</t>
  </si>
  <si>
    <t>"vykynout-001"</t>
  </si>
  <si>
    <t>"vykácet-001"</t>
  </si>
  <si>
    <t>"vykálet-se-001"</t>
  </si>
  <si>
    <t>"vykázat-001"</t>
  </si>
  <si>
    <t>ACT-&gt;ARG0/3120,ARG1/28</t>
  </si>
  <si>
    <t>PAT-&gt;ARG0/2,ARG1/3880,ARG2/1</t>
  </si>
  <si>
    <t>ADDR-&gt;ARG2/17,ARG3/10</t>
  </si>
  <si>
    <t>"vykázat-002"</t>
  </si>
  <si>
    <t>PAT-&gt;ARG1/87,ARG2/2</t>
  </si>
  <si>
    <t>"vykázat-se-001"</t>
  </si>
  <si>
    <t>"vykřiknout-001"</t>
  </si>
  <si>
    <t>"vykřikovat-001"</t>
  </si>
  <si>
    <t>PAT: 4; ↓že; ↓aby; ↓ať; ↓c; .s</t>
  </si>
  <si>
    <t>"vykřikovat-002"</t>
  </si>
  <si>
    <t>"vyladit-001"</t>
  </si>
  <si>
    <t>"vylamovat-001"</t>
  </si>
  <si>
    <t>"vylamovat-002"</t>
  </si>
  <si>
    <t>"vylamovat-003"</t>
  </si>
  <si>
    <t>"vylekat-001"</t>
  </si>
  <si>
    <t>"vylekat-se-001"</t>
  </si>
  <si>
    <t>"vylepit-001"</t>
  </si>
  <si>
    <t>"vylepit-002"</t>
  </si>
  <si>
    <t>"vylepšit-001"</t>
  </si>
  <si>
    <t>ACT-&gt;ARG0/52,ARG2/12</t>
  </si>
  <si>
    <t>EFF-&gt;ARG2/4,ARG4/2</t>
  </si>
  <si>
    <t>"vylepšovat-001"</t>
  </si>
  <si>
    <t>"vyletět-001"</t>
  </si>
  <si>
    <t>PAT-&gt;ARG4/5</t>
  </si>
  <si>
    <t>ORIG-&gt;ARG3/1,ARGm-LOC/1</t>
  </si>
  <si>
    <t>ACT-&gt;ARG1/196</t>
  </si>
  <si>
    <t>PAT-&gt;ARG4/121</t>
  </si>
  <si>
    <t>ORIG-&gt;ARG3/29,ARGm-LOC/1</t>
  </si>
  <si>
    <t>ACT-&gt;ARG1/130</t>
  </si>
  <si>
    <t>"vyletět-002"</t>
  </si>
  <si>
    <t>"vyletět-003"</t>
  </si>
  <si>
    <t>"vyletět-004"</t>
  </si>
  <si>
    <t>ACT-&gt;ARG1/69</t>
  </si>
  <si>
    <t>"vyletět-005"</t>
  </si>
  <si>
    <t>"vyletět-006"</t>
  </si>
  <si>
    <t>"vylhávat-se-001"</t>
  </si>
  <si>
    <t>"vylidnit-001"</t>
  </si>
  <si>
    <t>"vylidnit-se-001"</t>
  </si>
  <si>
    <t>"vylodit-001"</t>
  </si>
  <si>
    <t>"vylodit-se-001"</t>
  </si>
  <si>
    <t>"vylomit-001"</t>
  </si>
  <si>
    <t>"vylomit-se-001"</t>
  </si>
  <si>
    <t>"vylosovat-001"</t>
  </si>
  <si>
    <t>"vyloupit-001"</t>
  </si>
  <si>
    <t>"vyloupnout-001"</t>
  </si>
  <si>
    <t>"vyloupnout-se-001"</t>
  </si>
  <si>
    <t>"vyloučit-001"</t>
  </si>
  <si>
    <t>DIR1-&gt;ARG1/1,ARG2/30</t>
  </si>
  <si>
    <t>"vyloučit-002"</t>
  </si>
  <si>
    <t>"vyloučit-003"</t>
  </si>
  <si>
    <t>"vyloučit-se-001"</t>
  </si>
  <si>
    <t>"vylovit-001"</t>
  </si>
  <si>
    <t>"vyloďovat-001"</t>
  </si>
  <si>
    <t>"vyložit-001"</t>
  </si>
  <si>
    <t>"vyložit-002"</t>
  </si>
  <si>
    <t>"vyložit-003"</t>
  </si>
  <si>
    <t>DPHR: karta.P4,na-1[stůl.S4]</t>
  </si>
  <si>
    <t>"vyluhovat-se-001"</t>
  </si>
  <si>
    <t>"vylustrovat-001"</t>
  </si>
  <si>
    <t>"vylučovat-001"</t>
  </si>
  <si>
    <t>"vylučovat-002"</t>
  </si>
  <si>
    <t>"vylučovat-003"</t>
  </si>
  <si>
    <t>"vylučovat-se-001"</t>
  </si>
  <si>
    <t>"vylákat-001"</t>
  </si>
  <si>
    <t>?ORIG: na+6; z+2; od+2</t>
  </si>
  <si>
    <t>"vylámat-001"</t>
  </si>
  <si>
    <t>"vylétnout-001"</t>
  </si>
  <si>
    <t>ACT-&gt;ARG1/141</t>
  </si>
  <si>
    <t>PAT-&gt;ARG2/1,ARG4/39</t>
  </si>
  <si>
    <t>ORIG-&gt;ARG3/16,ARGm-LOC/1</t>
  </si>
  <si>
    <t>"vylétnout-002"</t>
  </si>
  <si>
    <t>"vylétnout-003"</t>
  </si>
  <si>
    <t>"vylétnout-004"</t>
  </si>
  <si>
    <t>DIR3-&gt;ARG2/2,ARG4/2</t>
  </si>
  <si>
    <t>"vylétnout-005"</t>
  </si>
  <si>
    <t>"vylévat-001"</t>
  </si>
  <si>
    <t>"vylévat-se-001"</t>
  </si>
  <si>
    <t>"vylévat-si-001"</t>
  </si>
  <si>
    <t>"vylézat-001"</t>
  </si>
  <si>
    <t>"vylézt-001"</t>
  </si>
  <si>
    <t>"vylézt-002"</t>
  </si>
  <si>
    <t>"vylézt-003"</t>
  </si>
  <si>
    <t>"vylézt-004"</t>
  </si>
  <si>
    <t>"vylézt-005"</t>
  </si>
  <si>
    <t>"vylézt-006"</t>
  </si>
  <si>
    <t>"vylézt-007"</t>
  </si>
  <si>
    <t>"vyléčit-001"</t>
  </si>
  <si>
    <t>ACT-&gt;ARG3/2</t>
  </si>
  <si>
    <t>"vyléčit-002"</t>
  </si>
  <si>
    <t>"vyléčit-se-001"</t>
  </si>
  <si>
    <t>"vylít-001"</t>
  </si>
  <si>
    <t>"vylít-002"</t>
  </si>
  <si>
    <t>"vylítat-001"</t>
  </si>
  <si>
    <t>"vylítat-002"</t>
  </si>
  <si>
    <t>"vylítnout-001"</t>
  </si>
  <si>
    <t>"vylítnout-002"</t>
  </si>
  <si>
    <t>"vylítávat-001"</t>
  </si>
  <si>
    <t>"vylízat-001"</t>
  </si>
  <si>
    <t>"vylízat-se-001"</t>
  </si>
  <si>
    <t>"vylíčit-001"</t>
  </si>
  <si>
    <t>"vymalovat-001"</t>
  </si>
  <si>
    <t>"vymanit-001"</t>
  </si>
  <si>
    <t>"vymanit-se-001"</t>
  </si>
  <si>
    <t>ACT-&gt;ARG0/5,ARG1/280,ARG2/3</t>
  </si>
  <si>
    <t>DIR1-&gt;ARG1/2,ARG2/279</t>
  </si>
  <si>
    <t>"vymanévrovat-001"</t>
  </si>
  <si>
    <t>"vymazat-001"</t>
  </si>
  <si>
    <t>"vymazat-002"</t>
  </si>
  <si>
    <t>"vymazat-003"</t>
  </si>
  <si>
    <t>"vymazat-004"</t>
  </si>
  <si>
    <t>DPHR: z-1[hlava.S2]</t>
  </si>
  <si>
    <t>"vymačkat-001"</t>
  </si>
  <si>
    <t>"vymačkat-002"</t>
  </si>
  <si>
    <t>"vymetat-001"</t>
  </si>
  <si>
    <t>"vymetat-002"</t>
  </si>
  <si>
    <t>"vymezit-001"</t>
  </si>
  <si>
    <t>PAT-&gt;ARG1/153,ARG2/1</t>
  </si>
  <si>
    <t>"vymezovat-001"</t>
  </si>
  <si>
    <t>PAT-&gt;ARG1/125,ARG2/1</t>
  </si>
  <si>
    <t>"vymizet-001"</t>
  </si>
  <si>
    <t>"vymiňovat-si-001"</t>
  </si>
  <si>
    <t>"vymknout-se-001"</t>
  </si>
  <si>
    <t>ACT-&gt;ARG1/109</t>
  </si>
  <si>
    <t>PAT-&gt;ARG1/1,ARG2/97</t>
  </si>
  <si>
    <t>"vymknout-se-002"</t>
  </si>
  <si>
    <t>DPHR: z-1[ruka.S2]; z-1[ruka.P2]</t>
  </si>
  <si>
    <t>"vymlouvat-001"</t>
  </si>
  <si>
    <t>"vymlouvat-se-001"</t>
  </si>
  <si>
    <t>PAT-&gt;ARG1/43,ARG2/1</t>
  </si>
  <si>
    <t>"vymluvit-001"</t>
  </si>
  <si>
    <t>"vymluvit-se-001"</t>
  </si>
  <si>
    <t>"vymlátit-001"</t>
  </si>
  <si>
    <t>"vymoci-001"</t>
  </si>
  <si>
    <t>?ORIG: na+6; po+6; od+2; z+2</t>
  </si>
  <si>
    <t>"vymodlit-001"</t>
  </si>
  <si>
    <t>"vymočit-se-001"</t>
  </si>
  <si>
    <t>"vymrdat-001"</t>
  </si>
  <si>
    <t>"vymrdat-002"</t>
  </si>
  <si>
    <t>"vymrštit-001"</t>
  </si>
  <si>
    <t>ORIG-&gt;ARG3/17</t>
  </si>
  <si>
    <t>"vymrštit-002"</t>
  </si>
  <si>
    <t>"vymrštit-003"</t>
  </si>
  <si>
    <t>"vymstít-se-001"</t>
  </si>
  <si>
    <t>"vymykat-se-001"</t>
  </si>
  <si>
    <t>"vymykat-se-002"</t>
  </si>
  <si>
    <t>"vymyslet-001"</t>
  </si>
  <si>
    <t>PAT: 4; ↓že; ↓zda; ↓jestli; ↓c; .f</t>
  </si>
  <si>
    <t>ACT-&gt;ARG0/374,ARG1/3,ARG2/2</t>
  </si>
  <si>
    <t>PAT-&gt;ARG1/533,ARG2/2</t>
  </si>
  <si>
    <t>"vymyslet-002"</t>
  </si>
  <si>
    <t>EFF: 4; ↓že; ↓jak-2</t>
  </si>
  <si>
    <t>EFF-&gt;ARG1/33</t>
  </si>
  <si>
    <t>"vymyslet-si-001"</t>
  </si>
  <si>
    <t>"vymyslet-si-002"</t>
  </si>
  <si>
    <t>"vymyslet-si-003"</t>
  </si>
  <si>
    <t>"vymyslit-001"</t>
  </si>
  <si>
    <t>"vymyslit-002"</t>
  </si>
  <si>
    <t>"vymyslit-si-001"</t>
  </si>
  <si>
    <t>PAT-&gt;ARG1/5,ARG2/6</t>
  </si>
  <si>
    <t>"vymyslit-si-002"</t>
  </si>
  <si>
    <t>?PAT: o+6; na+4</t>
  </si>
  <si>
    <t>"vymáchat-001"</t>
  </si>
  <si>
    <t>"vymáhat-001"</t>
  </si>
  <si>
    <t>?ORIG: na+6; po+6; od+2</t>
  </si>
  <si>
    <t>"vymáčknout-001"</t>
  </si>
  <si>
    <t>"vymáčknout-002"</t>
  </si>
  <si>
    <t>"vymést-001"</t>
  </si>
  <si>
    <t>"vymést-002"</t>
  </si>
  <si>
    <t>"vymínit-si-001"</t>
  </si>
  <si>
    <t>"vymírat-001"</t>
  </si>
  <si>
    <t>"vymýt-001"</t>
  </si>
  <si>
    <t>"vymýtit-001"</t>
  </si>
  <si>
    <t>"vymýtit-002"</t>
  </si>
  <si>
    <t>"vymývat-001"</t>
  </si>
  <si>
    <t>"vymýšlet-001"</t>
  </si>
  <si>
    <t>"vymýšlet-002"</t>
  </si>
  <si>
    <t>"vymýšlet-si-001"</t>
  </si>
  <si>
    <t>"vymýšlet-si-002"</t>
  </si>
  <si>
    <t>"vyměnit-001"</t>
  </si>
  <si>
    <t>ACT-&gt;ARG0/129,ARG1/2,ARG2/29</t>
  </si>
  <si>
    <t>PAT-&gt;ARG1/290,ARG3/6</t>
  </si>
  <si>
    <t>EFF-&gt;ARG1/12,ARG2/39,ARG3/35</t>
  </si>
  <si>
    <t>"vyměnit-002"</t>
  </si>
  <si>
    <t>ACT-&gt;ARG0/148,ARG1/3,ARG2/8</t>
  </si>
  <si>
    <t>PAT-&gt;ARG1/242,ARG2/1,ARG3/8</t>
  </si>
  <si>
    <t>EFF-&gt;ARG1/14,ARG2/62,ARG3/29</t>
  </si>
  <si>
    <t>"vyměňovat-001"</t>
  </si>
  <si>
    <t>?ADDR: s+7; mezi-1[.P7]; mezi+7,mezi+7</t>
  </si>
  <si>
    <t>ADDR-&gt;ARG0/1,ARG2/1</t>
  </si>
  <si>
    <t>EFF-&gt;ARG1/1,ARG3/10</t>
  </si>
  <si>
    <t>"vyměňovat-002"</t>
  </si>
  <si>
    <t>EFF-&gt;ARG1/2,ARG3/35</t>
  </si>
  <si>
    <t>"--vyměňovat-si-001"</t>
  </si>
  <si>
    <t>"vyměřit-001"</t>
  </si>
  <si>
    <t>PAT-&gt;ARG1/23,ARG2/1</t>
  </si>
  <si>
    <t>"vyměřovat-001"</t>
  </si>
  <si>
    <t>"vymřít-001"</t>
  </si>
  <si>
    <t>"vynachválit-si-001"</t>
  </si>
  <si>
    <t>PAT: 4; ↓jak-2; ↓že</t>
  </si>
  <si>
    <t>"vynacházet-se-001"</t>
  </si>
  <si>
    <t>"vynadat-001"</t>
  </si>
  <si>
    <t>"vynahradit-001"</t>
  </si>
  <si>
    <t>"vynahrazovat-001"</t>
  </si>
  <si>
    <t>"vynakládat-001"</t>
  </si>
  <si>
    <t>ACT-&gt;ARG0/232,ARG1/2,ARG3/1</t>
  </si>
  <si>
    <t>PAT-&gt;ARG1/162,ARG2/1,ARG3/143</t>
  </si>
  <si>
    <t>"vynaleznout-001"</t>
  </si>
  <si>
    <t>PAT-&gt;ARG1/169,ARG2/2</t>
  </si>
  <si>
    <t>"vynaložit-001"</t>
  </si>
  <si>
    <t>"vynaložit-002"</t>
  </si>
  <si>
    <t>ACT-&gt;ARG0/179,ARG3/1</t>
  </si>
  <si>
    <t>PAT-&gt;ARG1/265,ARG3/143</t>
  </si>
  <si>
    <t>"vynaložit-003"</t>
  </si>
  <si>
    <t>"vynalézat-001"</t>
  </si>
  <si>
    <t>"vynalézt-001"</t>
  </si>
  <si>
    <t>"vyndat-001"</t>
  </si>
  <si>
    <t>"vyndat-002"</t>
  </si>
  <si>
    <t>"vyndavat-001"</t>
  </si>
  <si>
    <t>"vyndávat-001"</t>
  </si>
  <si>
    <t>"vyndávat-002"</t>
  </si>
  <si>
    <t>"vynechat-001"</t>
  </si>
  <si>
    <t>"vynechat-002"</t>
  </si>
  <si>
    <t>"vynechávat-001"</t>
  </si>
  <si>
    <t>"vynechávat-002"</t>
  </si>
  <si>
    <t>"vynikat-001"</t>
  </si>
  <si>
    <t>"vyniknout-001"</t>
  </si>
  <si>
    <t>"vynosit-001"</t>
  </si>
  <si>
    <t>"vynořit-se-001"</t>
  </si>
  <si>
    <t>"vynořit-se-002"</t>
  </si>
  <si>
    <t>ACT-&gt;ARG0/33,ARG1/24</t>
  </si>
  <si>
    <t>"vynořit-se-003"</t>
  </si>
  <si>
    <t>"vynořovat-se-001"</t>
  </si>
  <si>
    <t>"vynořovat-se-002"</t>
  </si>
  <si>
    <t>"vynucovat-001"</t>
  </si>
  <si>
    <t>ORIG-&gt;ARG2/4</t>
  </si>
  <si>
    <t>"vynucovat-si-001"</t>
  </si>
  <si>
    <t>"vynulovat-001"</t>
  </si>
  <si>
    <t>"vynutit-001"</t>
  </si>
  <si>
    <t>"vynutit-si-001"</t>
  </si>
  <si>
    <t>PAT-&gt;ARG1/28,ARG2/145</t>
  </si>
  <si>
    <t>"vynásobit-001"</t>
  </si>
  <si>
    <t>"vynášet-001"</t>
  </si>
  <si>
    <t>ACT-&gt;ARG0/117,ARG1/4</t>
  </si>
  <si>
    <t>PAT-&gt;ARG0/2,ARG1/346,ARG3/1</t>
  </si>
  <si>
    <t>"vynášet-002"</t>
  </si>
  <si>
    <t>"vynášet-003"</t>
  </si>
  <si>
    <t>"vynášet-004"</t>
  </si>
  <si>
    <t>"vynášet-005"</t>
  </si>
  <si>
    <t>"vynést-001"</t>
  </si>
  <si>
    <t>"vynést-002"</t>
  </si>
  <si>
    <t>ACT-&gt;ARG0/59,ARG1/9</t>
  </si>
  <si>
    <t>PAT-&gt;ARG0/6,ARG1/86</t>
  </si>
  <si>
    <t>DIR3-&gt;ARG2/2,ARG3/37</t>
  </si>
  <si>
    <t>"vynést-003"</t>
  </si>
  <si>
    <t>ACT-&gt;ARG0/412,ARG1/92</t>
  </si>
  <si>
    <t>PAT-&gt;ARG1/786,ARG2/99,ARG3/1</t>
  </si>
  <si>
    <t>"vynést-004"</t>
  </si>
  <si>
    <t>"vynést-005"</t>
  </si>
  <si>
    <t>ACT-&gt;ARG0/108,ARG1/2</t>
  </si>
  <si>
    <t>EXT-&gt;ARG1/453,ARG2/1</t>
  </si>
  <si>
    <t>"vynést-006"</t>
  </si>
  <si>
    <t>ACT-&gt;ARG0/217,ARG2/1</t>
  </si>
  <si>
    <t>CPHR: {rozhodnutí,rozsudek,soud,trest,...}.4</t>
  </si>
  <si>
    <t>CPHR-&gt;ARG1/278</t>
  </si>
  <si>
    <t>"vyobrazit-001"</t>
  </si>
  <si>
    <t>PAT: 4; ↓c; ↓jak-2; ↓že</t>
  </si>
  <si>
    <t>"vyoperovat-001"</t>
  </si>
  <si>
    <t>"vyostřit-se-001"</t>
  </si>
  <si>
    <t>"vyostřovat-se-001"</t>
  </si>
  <si>
    <t>"vypadat-001"</t>
  </si>
  <si>
    <t>PAT: a.1; ↓že</t>
  </si>
  <si>
    <t>ACT-&gt;ARG0/49,ARG1/143</t>
  </si>
  <si>
    <t>PAT-&gt;ARG1/184,ARG2/1</t>
  </si>
  <si>
    <t>"vypadat-002"</t>
  </si>
  <si>
    <t>ACT-&gt;ARG0/41,ARG1/151,ARG2/7</t>
  </si>
  <si>
    <t>PAT-&gt;ARG0/49,ARG1/256,ARG2/1</t>
  </si>
  <si>
    <t>"vypadat-003"</t>
  </si>
  <si>
    <t>"vypadat-004"</t>
  </si>
  <si>
    <t xml:space="preserve">ALT-TFHL: </t>
  </si>
  <si>
    <t>ACT-&gt;ARG0/90,ARG1/3346,ARG2/299</t>
  </si>
  <si>
    <t>MANN-&gt;ARG1/405,ARG2/3513</t>
  </si>
  <si>
    <t>"vypadat-005"</t>
  </si>
  <si>
    <t>"vypadat-006"</t>
  </si>
  <si>
    <t>DPHR: jako[ze-1[škatulka.S2]]</t>
  </si>
  <si>
    <t>DPHR-&gt;ARG1/59</t>
  </si>
  <si>
    <t>"vypadnout-001"</t>
  </si>
  <si>
    <t>ACT-&gt;ARG0/7,ARG1/53</t>
  </si>
  <si>
    <t>DIR1-&gt;ARG1/4,ARG3/32</t>
  </si>
  <si>
    <t>"vypadnout-002"</t>
  </si>
  <si>
    <t>"vypadnout-003"</t>
  </si>
  <si>
    <t>"vypadnout-004"</t>
  </si>
  <si>
    <t>"vypadnout-005"</t>
  </si>
  <si>
    <t>"vypadnout-006"</t>
  </si>
  <si>
    <t>"vypadnout-007"</t>
  </si>
  <si>
    <t>"vypadnout-008"</t>
  </si>
  <si>
    <t>"vypadávat-001"</t>
  </si>
  <si>
    <t>"vypadávat-002"</t>
  </si>
  <si>
    <t>"vypalovat-001"</t>
  </si>
  <si>
    <t>"vypalovat-002"</t>
  </si>
  <si>
    <t>"vypalovat-003"</t>
  </si>
  <si>
    <t>"vypařit-se-001"</t>
  </si>
  <si>
    <t>"vypařovat-se-001"</t>
  </si>
  <si>
    <t>"vypisovat-001"</t>
  </si>
  <si>
    <t>"vypisovat-002"</t>
  </si>
  <si>
    <t>"vypisovat-003"</t>
  </si>
  <si>
    <t>"vypisovat-004"</t>
  </si>
  <si>
    <t>"vyplatit-001"</t>
  </si>
  <si>
    <t>ACT-&gt;ARG0/730,ARG1/3,ARG2/1</t>
  </si>
  <si>
    <t>PAT-&gt;ARG1/1447,ARG2/32,ARG3/19</t>
  </si>
  <si>
    <t>ADDR-&gt;ARG0/1,ARG1/8,ARG2/469,ARG3/4</t>
  </si>
  <si>
    <t>EFF-&gt;ARG1/3,ARG2/16,ARG3/189</t>
  </si>
  <si>
    <t>"vyplatit-002"</t>
  </si>
  <si>
    <t>ACT-&gt;ARG0/293,ARG1/1,ARG2/1</t>
  </si>
  <si>
    <t>PAT-&gt;ARG0/1,ARG1/27,ARG2/128,ARG3/4</t>
  </si>
  <si>
    <t>"vyplatit-003"</t>
  </si>
  <si>
    <t>"vyplatit-004"</t>
  </si>
  <si>
    <t>EXT-&gt;ARG1/363,ARG2/11,ARG3/9</t>
  </si>
  <si>
    <t>"vyplatit-005"</t>
  </si>
  <si>
    <t>PAT-&gt;ARG0/1,ARG1/8,ARG2/130,ARG3/4</t>
  </si>
  <si>
    <t>"vyplatit-se-001"</t>
  </si>
  <si>
    <t>ACT: 1; .f; ↓že; ↓kdyby</t>
  </si>
  <si>
    <t>"vyplatit-se-002"</t>
  </si>
  <si>
    <t>"vyplavat-001"</t>
  </si>
  <si>
    <t>"vyplavat-002"</t>
  </si>
  <si>
    <t>"vyplavat-se-001"</t>
  </si>
  <si>
    <t>"vyplavit-001"</t>
  </si>
  <si>
    <t>"vyplavit-002"</t>
  </si>
  <si>
    <t>"vyplazovat-001"</t>
  </si>
  <si>
    <t>"vyplašit-001"</t>
  </si>
  <si>
    <t>"vyplenit-001"</t>
  </si>
  <si>
    <t>"vyplivnout-001"</t>
  </si>
  <si>
    <t>"vyplivovat-001"</t>
  </si>
  <si>
    <t>"vyplnit-001"</t>
  </si>
  <si>
    <t>"vyplnit-002"</t>
  </si>
  <si>
    <t>"vyplnit-003"</t>
  </si>
  <si>
    <t>"vyplnit-se-001"</t>
  </si>
  <si>
    <t>"vyplodit-001"</t>
  </si>
  <si>
    <t>"vyplout-001"</t>
  </si>
  <si>
    <t>"vyplouvat-001"</t>
  </si>
  <si>
    <t>"vyplouvat-002"</t>
  </si>
  <si>
    <t>"vyplynout-001"</t>
  </si>
  <si>
    <t>ACT-&gt;ARG0/35,ARG1/190,ARG2/22</t>
  </si>
  <si>
    <t>PAT-&gt;ARG1/50,ARG2/87</t>
  </si>
  <si>
    <t>"vyplynovat-001"</t>
  </si>
  <si>
    <t>"vyplácet-001"</t>
  </si>
  <si>
    <t>ACT-&gt;ARG0/691,ARG1/5,ARG2/1</t>
  </si>
  <si>
    <t>PAT-&gt;ARG1/840,ARG2/13,ARG3/18</t>
  </si>
  <si>
    <t>"vyplácet-002"</t>
  </si>
  <si>
    <t>"vyplácet-003"</t>
  </si>
  <si>
    <t>ACT-&gt;ARG0/288,ARG1/2,ARG2/1</t>
  </si>
  <si>
    <t>EXT-&gt;ARG1/344,ARG2/11,ARG3/9</t>
  </si>
  <si>
    <t>"vyplácet-004"</t>
  </si>
  <si>
    <t>"vyplácet-005"</t>
  </si>
  <si>
    <t>EFF-&gt;ARG1/3,ARG2/16,ARG3/186</t>
  </si>
  <si>
    <t>"vyplácet-se-001"</t>
  </si>
  <si>
    <t>"vypláchnout-001"</t>
  </si>
  <si>
    <t>"vyplétat-001"</t>
  </si>
  <si>
    <t>"vyplísnit-001"</t>
  </si>
  <si>
    <t>"vyplýtvat-001"</t>
  </si>
  <si>
    <t>"vyplývat-001"</t>
  </si>
  <si>
    <t>ACT-&gt;ARG1/797,ARG2/22</t>
  </si>
  <si>
    <t>PAT-&gt;ARG0/331,ARG1/50,ARG2/80</t>
  </si>
  <si>
    <t>"vyplňovat-001"</t>
  </si>
  <si>
    <t>PAT-&gt;ARG1/229,ARG2/26</t>
  </si>
  <si>
    <t>"vyplňovat-002"</t>
  </si>
  <si>
    <t>"vypnout-001"</t>
  </si>
  <si>
    <t>"vypnout-002"</t>
  </si>
  <si>
    <t>"vypnout-se-001"</t>
  </si>
  <si>
    <t>"vypochodovat-001"</t>
  </si>
  <si>
    <t>"vypodobňovat-001"</t>
  </si>
  <si>
    <t>"vypomoci-001"</t>
  </si>
  <si>
    <t>?PAT: 4; .f; s+7; v+6</t>
  </si>
  <si>
    <t>"vypomáhat-001"</t>
  </si>
  <si>
    <t>"vyporážet-001"</t>
  </si>
  <si>
    <t>"vyposlechnout-001"</t>
  </si>
  <si>
    <t>"vypotit-001"</t>
  </si>
  <si>
    <t>"vypotit-002"</t>
  </si>
  <si>
    <t>"vypouštět-001"</t>
  </si>
  <si>
    <t>"vypouštět-002"</t>
  </si>
  <si>
    <t>"vypovídat-001"</t>
  </si>
  <si>
    <t>"vypovídat-002"</t>
  </si>
  <si>
    <t>"vypovídat-003"</t>
  </si>
  <si>
    <t>"vypovídat-004"</t>
  </si>
  <si>
    <t>"vypovídat-005"</t>
  </si>
  <si>
    <t>"vypovídat-006"</t>
  </si>
  <si>
    <t>"vypovídat-007"</t>
  </si>
  <si>
    <t>EFF: 4; ↓že; ↓zda; ↓jestli</t>
  </si>
  <si>
    <t>"vypovídat-008"</t>
  </si>
  <si>
    <t>"vypovídat-se-001"</t>
  </si>
  <si>
    <t>"vypovědět-001"</t>
  </si>
  <si>
    <t>"vypovědět-002"</t>
  </si>
  <si>
    <t>"vypovědět-003"</t>
  </si>
  <si>
    <t>"vypovědět-004"</t>
  </si>
  <si>
    <t>EFF-&gt;ARG0/1,ARG1/61</t>
  </si>
  <si>
    <t>"vypovědět-005"</t>
  </si>
  <si>
    <t>"vypovědět-006"</t>
  </si>
  <si>
    <t>CPHR: {válka,...}.4</t>
  </si>
  <si>
    <t>"vypovědět-007"</t>
  </si>
  <si>
    <t>DPHR: služba.S4</t>
  </si>
  <si>
    <t>"vypozorovat-001"</t>
  </si>
  <si>
    <t>"vypočíst-001"</t>
  </si>
  <si>
    <t>"vypočítat-001"</t>
  </si>
  <si>
    <t>"vypočítávat-001"</t>
  </si>
  <si>
    <t>"vypočítávat-002"</t>
  </si>
  <si>
    <t>"vypořádat-001"</t>
  </si>
  <si>
    <t>"vypořádat-002"</t>
  </si>
  <si>
    <t>"vypořádat-se-001"</t>
  </si>
  <si>
    <t>PAT-&gt;ARG1/258</t>
  </si>
  <si>
    <t>"vypořádávat-001"</t>
  </si>
  <si>
    <t>"vypořádávat-se-001"</t>
  </si>
  <si>
    <t>"vypracovat-001"</t>
  </si>
  <si>
    <t>ACT-&gt;ARG0/155,ARG2/2</t>
  </si>
  <si>
    <t>PAT-&gt;ARG1/216,ARG2/2</t>
  </si>
  <si>
    <t>"vypracovat-se-001"</t>
  </si>
  <si>
    <t>?PAT: na+4; do+2; k+3</t>
  </si>
  <si>
    <t>"vypracovávat-001"</t>
  </si>
  <si>
    <t>ACT-&gt;ARG0/10,ARG2/2</t>
  </si>
  <si>
    <t>"vypracovávat-se-001"</t>
  </si>
  <si>
    <t>"vyprat-001"</t>
  </si>
  <si>
    <t>"vyprat-002"</t>
  </si>
  <si>
    <t>"vypravit-001"</t>
  </si>
  <si>
    <t>"vypravit-002"</t>
  </si>
  <si>
    <t>DPHR: z-1.$2&lt;V&gt;[se.$2&lt;6&gt;$5&lt;2&gt;]</t>
  </si>
  <si>
    <t>"vypravit-se-001"</t>
  </si>
  <si>
    <t>"vypravovat-001"</t>
  </si>
  <si>
    <t>"vypravovat-002"</t>
  </si>
  <si>
    <t>"vypravovat-003"</t>
  </si>
  <si>
    <t>"vypravovat-se-001"</t>
  </si>
  <si>
    <t>"vyprazdňovat-001"</t>
  </si>
  <si>
    <t>"vyprchat-001"</t>
  </si>
  <si>
    <t>"vyprodat-001"</t>
  </si>
  <si>
    <t>PAT-&gt;ARG0/4,ARG1/39</t>
  </si>
  <si>
    <t>"vyprodukovat-001"</t>
  </si>
  <si>
    <t>ACT-&gt;ARG0/533,ARG1/7,ARG2/3</t>
  </si>
  <si>
    <t>PAT-&gt;ARG1/798</t>
  </si>
  <si>
    <t>"vyprodávat-001"</t>
  </si>
  <si>
    <t>ACT-&gt;ARG0/489,ARG1/2,ARG2/1</t>
  </si>
  <si>
    <t>PAT-&gt;ARG0/1,ARG1/933,ARG2/1</t>
  </si>
  <si>
    <t>"vyprofilovat-se-001"</t>
  </si>
  <si>
    <t>?PAT: na+4; do+2; 1[{jako,jakožto}:/AuxY]; .a1[{jako,jakožto}:/AuxY]</t>
  </si>
  <si>
    <t>"vyprojektovat-001"</t>
  </si>
  <si>
    <t>"vyprostit-001"</t>
  </si>
  <si>
    <t>DIR1-&gt;ARG2/5</t>
  </si>
  <si>
    <t>"--vyprostit-002"</t>
  </si>
  <si>
    <t>"vyprostit-se-001"</t>
  </si>
  <si>
    <t>"vyprovodit-001"</t>
  </si>
  <si>
    <t>"vyprovokovat-001"</t>
  </si>
  <si>
    <t>ACT-&gt;ARG0/6,ARG2/4</t>
  </si>
  <si>
    <t>"vyprovokovat-002"</t>
  </si>
  <si>
    <t>ADDR-&gt;ARG1/2,ARG2/1</t>
  </si>
  <si>
    <t>"vyprovázet-001"</t>
  </si>
  <si>
    <t>"vyprošťovat-001"</t>
  </si>
  <si>
    <t>"vyprávět-001"</t>
  </si>
  <si>
    <t>ACT-&gt;ARG0/314,ARG1/2</t>
  </si>
  <si>
    <t>"vyprávět-002"</t>
  </si>
  <si>
    <t>EFF: 4; ↓že; ↓jak-2; .s; ↓c; ↓jestli</t>
  </si>
  <si>
    <t>ACT-&gt;ARG0/12428,ARG1/38</t>
  </si>
  <si>
    <t>ADDR-&gt;ARG1/2,ARG2/332</t>
  </si>
  <si>
    <t>EFF-&gt;ARG0/2,ARG1/10843,ARG2/2</t>
  </si>
  <si>
    <t>"vyprázdnit-001"</t>
  </si>
  <si>
    <t>"vyprázdnit-se-001"</t>
  </si>
  <si>
    <t>"vyprášit-001"</t>
  </si>
  <si>
    <t>"vypršet-001"</t>
  </si>
  <si>
    <t>ACT-&gt;ARG1/92,ARG2/55</t>
  </si>
  <si>
    <t>"vypsat-001"</t>
  </si>
  <si>
    <t>ACT-&gt;ARG0/345,ARG1/9</t>
  </si>
  <si>
    <t>PAT-&gt;ARG1/478,ARG2/53,ARG3/1</t>
  </si>
  <si>
    <t>"vypsat-002"</t>
  </si>
  <si>
    <t>"vyptat-se-001"</t>
  </si>
  <si>
    <t>"vyptávat-se-001"</t>
  </si>
  <si>
    <t>ADDR-&gt;ARG0/1,ARG1/1,ARG2/3</t>
  </si>
  <si>
    <t>"vypucovat-001"</t>
  </si>
  <si>
    <t>"vypudit-001"</t>
  </si>
  <si>
    <t>"vypuknout-001"</t>
  </si>
  <si>
    <t>ACT-&gt;ARG0/6,ARG1/158</t>
  </si>
  <si>
    <t>"vypumpovat-001"</t>
  </si>
  <si>
    <t>"vypustit-001"</t>
  </si>
  <si>
    <t>"vypustit-002"</t>
  </si>
  <si>
    <t>PAT-&gt;ARG1/105</t>
  </si>
  <si>
    <t>"vypustit-003"</t>
  </si>
  <si>
    <t>"vypustit-004"</t>
  </si>
  <si>
    <t>"vypustit-005"</t>
  </si>
  <si>
    <t>"vypuzovat-001"</t>
  </si>
  <si>
    <t>"vypálit-001"</t>
  </si>
  <si>
    <t>"vypálit-002"</t>
  </si>
  <si>
    <t>DPHR: rybník:S4</t>
  </si>
  <si>
    <t>DPHR-&gt;ARG1/31</t>
  </si>
  <si>
    <t>"vypálit-003"</t>
  </si>
  <si>
    <t>"vypálit-004"</t>
  </si>
  <si>
    <t>"vypárat-001"</t>
  </si>
  <si>
    <t>"vypást-001"</t>
  </si>
  <si>
    <t>"vypást-002"</t>
  </si>
  <si>
    <t>"vypátrat-001"</t>
  </si>
  <si>
    <t>"vypíchnout-001"</t>
  </si>
  <si>
    <t>"vypíchnout-002"</t>
  </si>
  <si>
    <t>"vypínat-001"</t>
  </si>
  <si>
    <t>"vypískat-001"</t>
  </si>
  <si>
    <t>"vypískávat-001"</t>
  </si>
  <si>
    <t>"vypít-001"</t>
  </si>
  <si>
    <t>"vypěnit-001"</t>
  </si>
  <si>
    <t>"vypěnit-002"</t>
  </si>
  <si>
    <t>"vypěstovat-001"</t>
  </si>
  <si>
    <t>"vypěstovat-002"</t>
  </si>
  <si>
    <t>"vypřáhnout-001"</t>
  </si>
  <si>
    <t>"vypůjčit-001"</t>
  </si>
  <si>
    <t>"vypůjčit-si-001"</t>
  </si>
  <si>
    <t>"vypůjčovat-si-001"</t>
  </si>
  <si>
    <t>"vyrazit-001"</t>
  </si>
  <si>
    <t>"vyrazit-002"</t>
  </si>
  <si>
    <t>"vyrazit-003"</t>
  </si>
  <si>
    <t>"vyrazit-004"</t>
  </si>
  <si>
    <t>ACT-&gt;ARG0/12,ARG1/365,ARG2/3</t>
  </si>
  <si>
    <t>"vyrazit-005"</t>
  </si>
  <si>
    <t>"vyrazit-006"</t>
  </si>
  <si>
    <t>"vyrazit-007"</t>
  </si>
  <si>
    <t>"vyrazit-si-001"</t>
  </si>
  <si>
    <t>"vyrašit-001"</t>
  </si>
  <si>
    <t>"vyrašit-002"</t>
  </si>
  <si>
    <t>"vyreklamovat-001"</t>
  </si>
  <si>
    <t>"vyretušovat-001"</t>
  </si>
  <si>
    <t>"vyrobit-001"</t>
  </si>
  <si>
    <t>ACT-&gt;ARG0/715,ARG1/9,ARG2/3,ARG3/1</t>
  </si>
  <si>
    <t>PAT-&gt;ARG0/3,ARG1/1170,ARG2/2,ARG3/1</t>
  </si>
  <si>
    <t>ORIG-&gt;ARG1/1,ARG2/39</t>
  </si>
  <si>
    <t>"vyrojit-se-001"</t>
  </si>
  <si>
    <t>"vyrovnat-001"</t>
  </si>
  <si>
    <t>PAT-&gt;ARG0/1,ARG1/78,ARG4/1</t>
  </si>
  <si>
    <t>"vyrovnat-002"</t>
  </si>
  <si>
    <t>"vyrovnat-003"</t>
  </si>
  <si>
    <t>"vyrovnat-004"</t>
  </si>
  <si>
    <t>"vyrovnat-005"</t>
  </si>
  <si>
    <t>ACT-&gt;ARG0/18,ARG1/22,ARG2/66</t>
  </si>
  <si>
    <t>PAT-&gt;ARG1/108,ARG2/31</t>
  </si>
  <si>
    <t>"vyrovnat-006"</t>
  </si>
  <si>
    <t>ACT-&gt;ARG0/72,ARG1/28</t>
  </si>
  <si>
    <t>PAT-&gt;ARG1/248,ARG3/6</t>
  </si>
  <si>
    <t>"vyrovnat-007"</t>
  </si>
  <si>
    <t>"--vyrovnat-008"</t>
  </si>
  <si>
    <t>DPHR: účty</t>
  </si>
  <si>
    <t>"vyrovnat-se-001"</t>
  </si>
  <si>
    <t>ACT-&gt;ARG0/54,ARG1/34</t>
  </si>
  <si>
    <t>PAT-&gt;ARG1/186,ARG2/7</t>
  </si>
  <si>
    <t>"vyrovnat-se-002"</t>
  </si>
  <si>
    <t>PAT-&gt;ARG1/224</t>
  </si>
  <si>
    <t>"vyrovnat-se-003"</t>
  </si>
  <si>
    <t>"vyrovnat-se-004"</t>
  </si>
  <si>
    <t>"vyrovnat-si-001"</t>
  </si>
  <si>
    <t>"vyrovnávat-001"</t>
  </si>
  <si>
    <t>"vyrovnávat-002"</t>
  </si>
  <si>
    <t>ACT-&gt;ARG0/20,ARG2/66</t>
  </si>
  <si>
    <t>"vyrovnávat-se-001"</t>
  </si>
  <si>
    <t>"vyrozumět-001"</t>
  </si>
  <si>
    <t>PAT: o+6; ↓že; ↓c; .s</t>
  </si>
  <si>
    <t>"vyrozumět-002"</t>
  </si>
  <si>
    <t>"vyrubat-001"</t>
  </si>
  <si>
    <t>"vyrukovat-001"</t>
  </si>
  <si>
    <t>"vyrušit-001"</t>
  </si>
  <si>
    <t>"vyrušovat-001"</t>
  </si>
  <si>
    <t>"vyrvat-001"</t>
  </si>
  <si>
    <t>"vyrábět-001"</t>
  </si>
  <si>
    <t>ACT-&gt;ARG0/598,ARG1/6,ARG2/3</t>
  </si>
  <si>
    <t>PAT-&gt;ARG1/1017,ARG3/1</t>
  </si>
  <si>
    <t>"vyrážet-001"</t>
  </si>
  <si>
    <t>"vyrážet-002"</t>
  </si>
  <si>
    <t>"vyrážet-003"</t>
  </si>
  <si>
    <t>"vyrýt-001"</t>
  </si>
  <si>
    <t>"vyrýt-002"</t>
  </si>
  <si>
    <t>"vyrůst-001"</t>
  </si>
  <si>
    <t>ACT-&gt;ARG1/1236,ARG2/8</t>
  </si>
  <si>
    <t>PAT: v+4; do+2; na+4</t>
  </si>
  <si>
    <t>PAT-&gt;ARG2/54,ARG4/818</t>
  </si>
  <si>
    <t>ORIG-&gt;ARG2/8,ARG3/375</t>
  </si>
  <si>
    <t>"vyrůst-002"</t>
  </si>
  <si>
    <t>"vyrůst-003"</t>
  </si>
  <si>
    <t>ACT-&gt;ARG1/199,ARG2/4</t>
  </si>
  <si>
    <t>"vyrůst-004"</t>
  </si>
  <si>
    <t>"vyrůst-005"</t>
  </si>
  <si>
    <t>"vyrůstat-001"</t>
  </si>
  <si>
    <t>"vyrůstat-002"</t>
  </si>
  <si>
    <t>"vyrůstat-003"</t>
  </si>
  <si>
    <t>"vyrůstat-004"</t>
  </si>
  <si>
    <t>"vysadit-001"</t>
  </si>
  <si>
    <t>"vysadit-002"</t>
  </si>
  <si>
    <t>"vysadit-003"</t>
  </si>
  <si>
    <t>"vysadit-004"</t>
  </si>
  <si>
    <t>"vysadit-005"</t>
  </si>
  <si>
    <t>"vysadit-006"</t>
  </si>
  <si>
    <t>"vysazovat-001"</t>
  </si>
  <si>
    <t>"vysazovat-002"</t>
  </si>
  <si>
    <t>"vyschnout-001"</t>
  </si>
  <si>
    <t>"vyschnout-002"</t>
  </si>
  <si>
    <t>"vyschnout-003"</t>
  </si>
  <si>
    <t>"vysedat-001"</t>
  </si>
  <si>
    <t>"vysednout-001"</t>
  </si>
  <si>
    <t>"vysedávat-001"</t>
  </si>
  <si>
    <t>"vysedět-001"</t>
  </si>
  <si>
    <t>"vysekávat-001"</t>
  </si>
  <si>
    <t>"vysemenit-se-001"</t>
  </si>
  <si>
    <t>"vysilovat-001"</t>
  </si>
  <si>
    <t>"vyskočit-001"</t>
  </si>
  <si>
    <t>ACT-&gt;ARG1/214</t>
  </si>
  <si>
    <t>PAT-&gt;ARG2/1,ARG4/164</t>
  </si>
  <si>
    <t>ORIG-&gt;ARG3/46</t>
  </si>
  <si>
    <t>"vyskočit-002"</t>
  </si>
  <si>
    <t>"vyskočit-003"</t>
  </si>
  <si>
    <t>ACT-&gt;ARG0/4,ARG1/81</t>
  </si>
  <si>
    <t>"vyskytnout-se-001"</t>
  </si>
  <si>
    <t>ACT-&gt;ARG1/288</t>
  </si>
  <si>
    <t>LOC-&gt;ARG0/9</t>
  </si>
  <si>
    <t>"vyskytnout-se-002"</t>
  </si>
  <si>
    <t>"vyskytovat-se-001"</t>
  </si>
  <si>
    <t>ACT-&gt;ARG0/2154,ARG1/4226,ARG2/299</t>
  </si>
  <si>
    <t>LOC-&gt;ARG1/10,ARG2/279</t>
  </si>
  <si>
    <t>"vyskytovat-se-002"</t>
  </si>
  <si>
    <t>ACT-&gt;ARG1/93</t>
  </si>
  <si>
    <t>"vyskákat-001"</t>
  </si>
  <si>
    <t>"vyslat-001"</t>
  </si>
  <si>
    <t>"vyslat-002"</t>
  </si>
  <si>
    <t>"vyslechnout-001"</t>
  </si>
  <si>
    <t>PAT-&gt;ARG1/110,ARG2/4</t>
  </si>
  <si>
    <t>"vyslechnout-002"</t>
  </si>
  <si>
    <t>"vyslechnout-si-001"</t>
  </si>
  <si>
    <t>PAT-&gt;ARG1/72,ARG2/4</t>
  </si>
  <si>
    <t>"vysledovat-001"</t>
  </si>
  <si>
    <t>"vysloužit-001"</t>
  </si>
  <si>
    <t>"vysloužit-si-001"</t>
  </si>
  <si>
    <t>"vyslovit-001"</t>
  </si>
  <si>
    <t>"vyslovit-002"</t>
  </si>
  <si>
    <t>"vyslovit-003"</t>
  </si>
  <si>
    <t>CPHR: {důvěra,kompliment,nedůvěra,podpora,...}.4</t>
  </si>
  <si>
    <t>"vyslovit-004"</t>
  </si>
  <si>
    <t>ACT-&gt;ARG0/181</t>
  </si>
  <si>
    <t>CPHR: {domněnka,hypotéza,idea,informace,lítost,myšlenka,námitka,názor,nesouhlas,obava,obvinění,podezření,potřeba,požadavek,přání,předpoklad,předpověď,přesvědčení,souhlas,spokojenost,tvrzení,uspokojení,verdikt,znepokojení,...}.4</t>
  </si>
  <si>
    <t>CPHR-&gt;ARG1/185</t>
  </si>
  <si>
    <t>ACT-&gt;ARG0/280</t>
  </si>
  <si>
    <t>CPHR-&gt;ARG1/654,ARG2/3</t>
  </si>
  <si>
    <t>"vyslovit-se-001"</t>
  </si>
  <si>
    <t>PAT: k+3; o+6; ↓že; v+6; .s</t>
  </si>
  <si>
    <t>"vyslovit-se-002"</t>
  </si>
  <si>
    <t>PAT: proti+3; za+4; pro+4; prospěch.S4[v-1,.2]</t>
  </si>
  <si>
    <t>"vyslovovat-001"</t>
  </si>
  <si>
    <t>"vyslovovat-002"</t>
  </si>
  <si>
    <t>"vyslovovat-003"</t>
  </si>
  <si>
    <t>CPHR: {domněnka,idea,lítost,myšlenka,názor,nesouhlas,obava,obvinění,podezření,potřeba,požadavek,přání,předpoklad,předpověď,přesvědčení,souhlas,spokojenost,uspokojení,verdikt,znepokojení,...}.4</t>
  </si>
  <si>
    <t>"vyslovovat-se-001"</t>
  </si>
  <si>
    <t>"vyslovovat-se-002"</t>
  </si>
  <si>
    <t>PAT: proti+3; za+4; pro+4; v-1[prospěch:4/AuxP,.2]</t>
  </si>
  <si>
    <t>"vyslyšet-001"</t>
  </si>
  <si>
    <t>PAT-&gt;ARG1/70,ARG2/1</t>
  </si>
  <si>
    <t>"vyslýchat-001"</t>
  </si>
  <si>
    <t>"vysmát-se-001"</t>
  </si>
  <si>
    <t>"vysmívat-se-001"</t>
  </si>
  <si>
    <t>"vysnít-001"</t>
  </si>
  <si>
    <t>"vysnívat-si-001"</t>
  </si>
  <si>
    <t>"vysnívat-si-002"</t>
  </si>
  <si>
    <t>"vysochat-001"</t>
  </si>
  <si>
    <t>"vysolit-001"</t>
  </si>
  <si>
    <t>"vysouvat-se-001"</t>
  </si>
  <si>
    <t>"vysoušet-001"</t>
  </si>
  <si>
    <t>"vyspat-se-001"</t>
  </si>
  <si>
    <t>"vyspravit-001"</t>
  </si>
  <si>
    <t>"vyspět-001"</t>
  </si>
  <si>
    <t>"vyspět-002"</t>
  </si>
  <si>
    <t>"vyspět-003"</t>
  </si>
  <si>
    <t>"vystartovat-001"</t>
  </si>
  <si>
    <t>"vystartovat-002"</t>
  </si>
  <si>
    <t>"vystavit-001"</t>
  </si>
  <si>
    <t>PAT-&gt;ARG1/65,ARG2/117</t>
  </si>
  <si>
    <t>ADDR-&gt;ARG0/32,ARG1/260,ARG2/13</t>
  </si>
  <si>
    <t>"vystavit-002"</t>
  </si>
  <si>
    <t>PAT-&gt;ARG1/16,ARG2/5</t>
  </si>
  <si>
    <t>"vystavit-003"</t>
  </si>
  <si>
    <t>"vystavit-004"</t>
  </si>
  <si>
    <t>PAT-&gt;ARG1/238</t>
  </si>
  <si>
    <t>"vystavovat-001"</t>
  </si>
  <si>
    <t>ACT-&gt;ARG0/40,ARG1/2</t>
  </si>
  <si>
    <t>PAT-&gt;ARG1/36,ARG2/13</t>
  </si>
  <si>
    <t>ADDR-&gt;ARG1/17,ARG2/13</t>
  </si>
  <si>
    <t>"vystavovat-002"</t>
  </si>
  <si>
    <t>"vystavovat-003"</t>
  </si>
  <si>
    <t>ACT-&gt;ARG0/2163,ARG1/19</t>
  </si>
  <si>
    <t>"vystavovat-se-001"</t>
  </si>
  <si>
    <t>"vystavět-001"</t>
  </si>
  <si>
    <t>"vystavět-002"</t>
  </si>
  <si>
    <t>"vystačit-001"</t>
  </si>
  <si>
    <t>"vystačit-002"</t>
  </si>
  <si>
    <t>"vystačit-si-001"</t>
  </si>
  <si>
    <t>"vystačit-si-002"</t>
  </si>
  <si>
    <t>"vystihnout-001"</t>
  </si>
  <si>
    <t>"vystihovat-001"</t>
  </si>
  <si>
    <t>"vystlat-001"</t>
  </si>
  <si>
    <t>"vystopovat-001"</t>
  </si>
  <si>
    <t>"vystoupat-001"</t>
  </si>
  <si>
    <t>ACT-&gt;ARG1/1067,ARG2/4</t>
  </si>
  <si>
    <t>PAT-&gt;ARG2/8,ARG4/868</t>
  </si>
  <si>
    <t>ORIG-&gt;ARG3/389,ARG4/1</t>
  </si>
  <si>
    <t>"vystoupat-002"</t>
  </si>
  <si>
    <t>ACT-&gt;ARG0/6,ARG1/1039,ARG2/4</t>
  </si>
  <si>
    <t>DIR3-&gt;ARG2/6,ARG4/773</t>
  </si>
  <si>
    <t>"vystoupat-003"</t>
  </si>
  <si>
    <t>"vystoupit-001"</t>
  </si>
  <si>
    <t>"vystoupit-002"</t>
  </si>
  <si>
    <t>ACT-&gt;ARG0/107,ARG1/116</t>
  </si>
  <si>
    <t>"vystoupit-003"</t>
  </si>
  <si>
    <t>"vystoupit-004"</t>
  </si>
  <si>
    <t>ACT-&gt;ARG0/20,ARG1/12</t>
  </si>
  <si>
    <t>"vystoupit-005"</t>
  </si>
  <si>
    <t>"vystoupit-006"</t>
  </si>
  <si>
    <t>ACT-&gt;ARG0/160,ARG1/122,ARG3/1</t>
  </si>
  <si>
    <t>"vystoupit-007"</t>
  </si>
  <si>
    <t>"vystoupit-008"</t>
  </si>
  <si>
    <t>PAT-&gt;ARG2/2,ARG4/95</t>
  </si>
  <si>
    <t>ORIG-&gt;ARG3/38,ARG4/1</t>
  </si>
  <si>
    <t>"vystoupit-009"</t>
  </si>
  <si>
    <t>"--vystoupit-010"</t>
  </si>
  <si>
    <t>"vystrašit-001"</t>
  </si>
  <si>
    <t>ACT-&gt;ARG0/6,ARG1/3,ARG2/2</t>
  </si>
  <si>
    <t>"vystrkovat-001"</t>
  </si>
  <si>
    <t>"vystrkovat-002"</t>
  </si>
  <si>
    <t>DPHR: růžek.P4; tykadlo.P4</t>
  </si>
  <si>
    <t>"vystrnadit-001"</t>
  </si>
  <si>
    <t>"vystrčit-001"</t>
  </si>
  <si>
    <t>"vystrčit-002"</t>
  </si>
  <si>
    <t>"vystudovat-001"</t>
  </si>
  <si>
    <t>"vystupovat-001"</t>
  </si>
  <si>
    <t>PAT: proti+3; pro+4; vůči+3; za+4</t>
  </si>
  <si>
    <t>ACT-&gt;ARG0/80,ARG1/2</t>
  </si>
  <si>
    <t>"vystupovat-002"</t>
  </si>
  <si>
    <t>ACT-&gt;ARG1/119</t>
  </si>
  <si>
    <t>"vystupovat-003"</t>
  </si>
  <si>
    <t>"vystupovat-004"</t>
  </si>
  <si>
    <t>ACT-&gt;ARG0/38,ARG1/77</t>
  </si>
  <si>
    <t>"vystupovat-005"</t>
  </si>
  <si>
    <t>"vystupovat-006"</t>
  </si>
  <si>
    <t>DPHR: do-1[popředí.2]</t>
  </si>
  <si>
    <t>"vystupovat-007"</t>
  </si>
  <si>
    <t>"vystupovat-008"</t>
  </si>
  <si>
    <t>"vystupovat-009"</t>
  </si>
  <si>
    <t>"vystupovat-010"</t>
  </si>
  <si>
    <t>DPHR: z-1[řada.S2]</t>
  </si>
  <si>
    <t>"vystupňovat-001"</t>
  </si>
  <si>
    <t>"vystupňovat-se-001"</t>
  </si>
  <si>
    <t>"vystydnout-001"</t>
  </si>
  <si>
    <t>"vystát-001"</t>
  </si>
  <si>
    <t>"vystát-002"</t>
  </si>
  <si>
    <t>"vystěhovat-001"</t>
  </si>
  <si>
    <t>"vystěhovat-se-001"</t>
  </si>
  <si>
    <t>"vystěhovávat-001"</t>
  </si>
  <si>
    <t>"vystřelit-001"</t>
  </si>
  <si>
    <t>"vystřelit-002"</t>
  </si>
  <si>
    <t>"vystřelit-003"</t>
  </si>
  <si>
    <t>"vystřelit-004"</t>
  </si>
  <si>
    <t>"vystřelovat-001"</t>
  </si>
  <si>
    <t>"vystřihnout-001"</t>
  </si>
  <si>
    <t>"vystřihnout-002"</t>
  </si>
  <si>
    <t>"vystřihávat-001"</t>
  </si>
  <si>
    <t>"vystřihávat-002"</t>
  </si>
  <si>
    <t>"vystřihávat-003"</t>
  </si>
  <si>
    <t>"vystřídat-001"</t>
  </si>
  <si>
    <t>"vystřídat-002"</t>
  </si>
  <si>
    <t>ACT-&gt;ARG0/130,ARG1/115,ARG2/8</t>
  </si>
  <si>
    <t>PAT-&gt;ARG1/185,ARG2/90</t>
  </si>
  <si>
    <t>"vystřídat-se-001"</t>
  </si>
  <si>
    <t>"vystříkat-001"</t>
  </si>
  <si>
    <t>"vystříkat-002"</t>
  </si>
  <si>
    <t>"vystřílet-001"</t>
  </si>
  <si>
    <t>"vystřízlivět-001"</t>
  </si>
  <si>
    <t>"vystřízlivět-002"</t>
  </si>
  <si>
    <t>"vysunout-se-001"</t>
  </si>
  <si>
    <t>"vysušit-001"</t>
  </si>
  <si>
    <t>"vysušovat-001"</t>
  </si>
  <si>
    <t>"vysvléci-001"</t>
  </si>
  <si>
    <t>"vysvlíknout-001"</t>
  </si>
  <si>
    <t>"vysvobodit-001"</t>
  </si>
  <si>
    <t>"vysvobozovat-001"</t>
  </si>
  <si>
    <t>"vysvítat-001"</t>
  </si>
  <si>
    <t>"vysvětit-001"</t>
  </si>
  <si>
    <t>"vysvětlit-001"</t>
  </si>
  <si>
    <t>ACT-&gt;ARG0/399,ARG1/2</t>
  </si>
  <si>
    <t>ADDR-&gt;ARG1/2,ARG2/335</t>
  </si>
  <si>
    <t>"vysvětlit-002"</t>
  </si>
  <si>
    <t>"vysvětlit-si-001"</t>
  </si>
  <si>
    <t>"vysvětlovat-001"</t>
  </si>
  <si>
    <t>ACT-&gt;ARG0/419</t>
  </si>
  <si>
    <t>PAT-&gt;ARG1/518,ARG3/4</t>
  </si>
  <si>
    <t>"--vysvětlovat-002"</t>
  </si>
  <si>
    <t>"vysvětlovat-si-001"</t>
  </si>
  <si>
    <t>"vysychat-001"</t>
  </si>
  <si>
    <t>"vysychat-002"</t>
  </si>
  <si>
    <t>"vysypat-001"</t>
  </si>
  <si>
    <t>"vysypat-002"</t>
  </si>
  <si>
    <t>"vysypat-003"</t>
  </si>
  <si>
    <t>"vysypat-004"</t>
  </si>
  <si>
    <t>"vysypat-005"</t>
  </si>
  <si>
    <t>"vysypat-se-001"</t>
  </si>
  <si>
    <t>"vysypávat-001"</t>
  </si>
  <si>
    <t>"vysypávat-002"</t>
  </si>
  <si>
    <t>"vysypávat-003"</t>
  </si>
  <si>
    <t>"vysypávat-se-001"</t>
  </si>
  <si>
    <t>"vysát-001"</t>
  </si>
  <si>
    <t>"vysát-002"</t>
  </si>
  <si>
    <t>"vysávat-001"</t>
  </si>
  <si>
    <t>"vysávat-002"</t>
  </si>
  <si>
    <t>"vysávat-003"</t>
  </si>
  <si>
    <t>"vysázet-001"</t>
  </si>
  <si>
    <t>"vysázet-002"</t>
  </si>
  <si>
    <t>"vysílat-001"</t>
  </si>
  <si>
    <t>ACT-&gt;ARG0/296</t>
  </si>
  <si>
    <t>PAT-&gt;ARG1/421,ARG2/1</t>
  </si>
  <si>
    <t>"vysílat-002"</t>
  </si>
  <si>
    <t>"vysílat-003"</t>
  </si>
  <si>
    <t>ACT-&gt;ARG0/2291,ARG1/3123,ARG2/296</t>
  </si>
  <si>
    <t>PAT-&gt;ARG0/1,ARG1/3240</t>
  </si>
  <si>
    <t>"vysílat-004"</t>
  </si>
  <si>
    <t>"vysýpat-001"</t>
  </si>
  <si>
    <t>"vytahat-001"</t>
  </si>
  <si>
    <t>"vytahovat-001"</t>
  </si>
  <si>
    <t>"vytahovat-002"</t>
  </si>
  <si>
    <t>"vytahovat-003"</t>
  </si>
  <si>
    <t>"vytahovat-004"</t>
  </si>
  <si>
    <t>"vytahovat-se-001"</t>
  </si>
  <si>
    <t>"vytancovat-se-001"</t>
  </si>
  <si>
    <t>"vytanout-001"</t>
  </si>
  <si>
    <t>"vytanout-002"</t>
  </si>
  <si>
    <t>DPHR: před-1[oko.P7]</t>
  </si>
  <si>
    <t>"vytasit-001"</t>
  </si>
  <si>
    <t>"vytasit-se-001"</t>
  </si>
  <si>
    <t>"vytempovat-001"</t>
  </si>
  <si>
    <t>"vytesat-001"</t>
  </si>
  <si>
    <t>"vytesávat-001"</t>
  </si>
  <si>
    <t>"vytetovat-001"</t>
  </si>
  <si>
    <t>"vytečkovat-001"</t>
  </si>
  <si>
    <t>"vytipovat-001"</t>
  </si>
  <si>
    <t>"vytipovávat-001"</t>
  </si>
  <si>
    <t>"vytisknout-001"</t>
  </si>
  <si>
    <t>"vytknout-001"</t>
  </si>
  <si>
    <t>"vytknout-002"</t>
  </si>
  <si>
    <t>"vytknout-003"</t>
  </si>
  <si>
    <t>"vytlačit-001"</t>
  </si>
  <si>
    <t>"vytlačit-002"</t>
  </si>
  <si>
    <t>"vytlačit-003"</t>
  </si>
  <si>
    <t>"vytlačit-004"</t>
  </si>
  <si>
    <t>"vytlačit-005"</t>
  </si>
  <si>
    <t>"vytlačit-006"</t>
  </si>
  <si>
    <t>?EFF: na-1[.2]</t>
  </si>
  <si>
    <t>"vytlačovat-001"</t>
  </si>
  <si>
    <t>"vytlačovat-002"</t>
  </si>
  <si>
    <t>"vytlouci-001"</t>
  </si>
  <si>
    <t>"vytloukat-001"</t>
  </si>
  <si>
    <t>"vytopit-001"</t>
  </si>
  <si>
    <t>"vytočit-001"</t>
  </si>
  <si>
    <t>"vytočit-002"</t>
  </si>
  <si>
    <t>"vytočit-003"</t>
  </si>
  <si>
    <t>"vytratit-se-001"</t>
  </si>
  <si>
    <t>ACT-&gt;ARG1/111</t>
  </si>
  <si>
    <t>"vytrejdovat-001"</t>
  </si>
  <si>
    <t>"vytrhat-001"</t>
  </si>
  <si>
    <t>"vytrhnout-001"</t>
  </si>
  <si>
    <t>"vytrhnout-002"</t>
  </si>
  <si>
    <t>"vytrhovat-001"</t>
  </si>
  <si>
    <t>"vytrhovat-002"</t>
  </si>
  <si>
    <t>"vytrhávat-001"</t>
  </si>
  <si>
    <t>"vytrhávat-002"</t>
  </si>
  <si>
    <t>DPHR: z-1[kořen.P2]</t>
  </si>
  <si>
    <t>"vytrpět-001"</t>
  </si>
  <si>
    <t>"vytrpět-si-001"</t>
  </si>
  <si>
    <t>"vytrubovat-001"</t>
  </si>
  <si>
    <t>"vytrucovat-001"</t>
  </si>
  <si>
    <t>"vytrvat-001"</t>
  </si>
  <si>
    <t>ACT-&gt;ARG1/82</t>
  </si>
  <si>
    <t>PAT-&gt;ARG3/33</t>
  </si>
  <si>
    <t>"vytrvat-002"</t>
  </si>
  <si>
    <t>"vytrvávat-001"</t>
  </si>
  <si>
    <t>"vytrácet-se-001"</t>
  </si>
  <si>
    <t>"vytrénovat-001"</t>
  </si>
  <si>
    <t>"vytušit-001"</t>
  </si>
  <si>
    <t>"vytvarovat-001"</t>
  </si>
  <si>
    <t>"vytvořit-001"</t>
  </si>
  <si>
    <t>ACT-&gt;ARG0/1754,ARG1/10,ARG2/3,ARG3/1</t>
  </si>
  <si>
    <t>PAT-&gt;ARG1/2530,ARG2/2</t>
  </si>
  <si>
    <t>ADDR-&gt;ARG1/150,ARG2/28,ARG3/17</t>
  </si>
  <si>
    <t>ORIG-&gt;ARG1/268,ARG2/45</t>
  </si>
  <si>
    <t>"vytvořit-002"</t>
  </si>
  <si>
    <t>ACT-&gt;ARG0/563,ARG1/6,ARG2/3</t>
  </si>
  <si>
    <t>PAT-&gt;ARG1/831</t>
  </si>
  <si>
    <t>ORIG-&gt;ARG2/35</t>
  </si>
  <si>
    <t>"vytvořit-003"</t>
  </si>
  <si>
    <t>ACT-&gt;ARG0/624,ARG1/16</t>
  </si>
  <si>
    <t>PAT-&gt;ARG1/920,ARG2/14</t>
  </si>
  <si>
    <t>"vytvořit-004"</t>
  </si>
  <si>
    <t>"vytvořit-005"</t>
  </si>
  <si>
    <t>CPHR: {zápis,záznam,...}.4</t>
  </si>
  <si>
    <t>"vytvořit-006"</t>
  </si>
  <si>
    <t>CPHR: {dojem}.4</t>
  </si>
  <si>
    <t>"vytvořit-se-001"</t>
  </si>
  <si>
    <t>ACT-&gt;ARG1/287</t>
  </si>
  <si>
    <t>"vytvářet-001"</t>
  </si>
  <si>
    <t>ACT-&gt;ARG0/700,ARG1/147,ARG2/5</t>
  </si>
  <si>
    <t>PAT-&gt;ARG1/1146,ARG2/1</t>
  </si>
  <si>
    <t>ADDR-&gt;ARG1/7,ARG3/16</t>
  </si>
  <si>
    <t>ORIG-&gt;ARG2/32</t>
  </si>
  <si>
    <t>"vytvářet-002"</t>
  </si>
  <si>
    <t>ACT-&gt;ARG0/672,ARG1/6,ARG2/3</t>
  </si>
  <si>
    <t>PAT-&gt;ARG1/1086</t>
  </si>
  <si>
    <t>"vytvářet-003"</t>
  </si>
  <si>
    <t>ACT-&gt;ARG0/655,ARG1/6</t>
  </si>
  <si>
    <t>PAT-&gt;ARG0/3,ARG1/895</t>
  </si>
  <si>
    <t>"vytvářet-004"</t>
  </si>
  <si>
    <t>"vytvářet-se-001"</t>
  </si>
  <si>
    <t>ACT-&gt;ARG1/20,ARG2/2</t>
  </si>
  <si>
    <t>"vytypovat-001"</t>
  </si>
  <si>
    <t>"vytyčit-001"</t>
  </si>
  <si>
    <t>"vytyčovat-001"</t>
  </si>
  <si>
    <t>"vytáhnout-001"</t>
  </si>
  <si>
    <t>ACT-&gt;ARG0/2203,ARG1/20</t>
  </si>
  <si>
    <t>PAT-&gt;ARG0/1,ARG1/2339</t>
  </si>
  <si>
    <t>DIR1-&gt;ARG2/10</t>
  </si>
  <si>
    <t>"vytáhnout-002"</t>
  </si>
  <si>
    <t>"vytáhnout-003"</t>
  </si>
  <si>
    <t>"vytáhnout-004"</t>
  </si>
  <si>
    <t>"vytáhnout-005"</t>
  </si>
  <si>
    <t>"vytáhnout-006"</t>
  </si>
  <si>
    <t>"vytáhnout-007"</t>
  </si>
  <si>
    <t>?ORIG: od+2,z+2,na+6</t>
  </si>
  <si>
    <t>"vytáhnout-008"</t>
  </si>
  <si>
    <t>"vytáhnout-009"</t>
  </si>
  <si>
    <t>"vytáhnout-010"</t>
  </si>
  <si>
    <t>"vytáhnout-se-001"</t>
  </si>
  <si>
    <t>"vytápět-001"</t>
  </si>
  <si>
    <t>"vytáčet-001"</t>
  </si>
  <si>
    <t>"vytáčet-002"</t>
  </si>
  <si>
    <t>"vytáčet-003"</t>
  </si>
  <si>
    <t>"vytáčet-004"</t>
  </si>
  <si>
    <t>"vytéci-001"</t>
  </si>
  <si>
    <t>"vytékat-001"</t>
  </si>
  <si>
    <t>"vytírat-001"</t>
  </si>
  <si>
    <t>"vytížit-001"</t>
  </si>
  <si>
    <t>PAT-&gt;ARG0/1,ARG1/64</t>
  </si>
  <si>
    <t>"vytýkat-001"</t>
  </si>
  <si>
    <t>"vytýkat-002"</t>
  </si>
  <si>
    <t>"vytýčit-001"</t>
  </si>
  <si>
    <t>"vytěsnit-001"</t>
  </si>
  <si>
    <t>"vytěžit-001"</t>
  </si>
  <si>
    <t>ACT-&gt;ARG0/154,ARG1/49</t>
  </si>
  <si>
    <t>PAT-&gt;ARG1/242,ARG2/3</t>
  </si>
  <si>
    <t>ORIG-&gt;ARG0/45,ARG1/17,ARG3/7</t>
  </si>
  <si>
    <t>"vytěžit-002"</t>
  </si>
  <si>
    <t>"vytřást-001"</t>
  </si>
  <si>
    <t>"vytříbit-001"</t>
  </si>
  <si>
    <t>"vytříbit-se-001"</t>
  </si>
  <si>
    <t>"vytřídit-001"</t>
  </si>
  <si>
    <t>"vytřídit-002"</t>
  </si>
  <si>
    <t>"vytřít-001"</t>
  </si>
  <si>
    <t>"vyudit-001"</t>
  </si>
  <si>
    <t>"vyučit-001"</t>
  </si>
  <si>
    <t>PAT: 3; 7</t>
  </si>
  <si>
    <t>"vyučit-se-001"</t>
  </si>
  <si>
    <t>PAT: 7; 3; jako[.1]; na+4</t>
  </si>
  <si>
    <t>"vyučovat-001"</t>
  </si>
  <si>
    <t>"využít-001"</t>
  </si>
  <si>
    <t>ACT-&gt;ARG0/936,ARG1/27,ARG2/13</t>
  </si>
  <si>
    <t>PAT: 2; 4; ↓c</t>
  </si>
  <si>
    <t>PAT-&gt;ARG1/1568,ARG2/27</t>
  </si>
  <si>
    <t>"využívat-001"</t>
  </si>
  <si>
    <t>ACT-&gt;ARG0/1122,ARG1/82,ARG2/28</t>
  </si>
  <si>
    <t>PAT-&gt;ARG0/62,ARG1/4747,ARG2/375,ARG4/1</t>
  </si>
  <si>
    <t>"využívat-002"</t>
  </si>
  <si>
    <t>"vyvalit-001"</t>
  </si>
  <si>
    <t>"vyvalit-se-001"</t>
  </si>
  <si>
    <t>"vyvalit-se-002"</t>
  </si>
  <si>
    <t>"vyvarovat-se-001"</t>
  </si>
  <si>
    <t>PAT: 2; .f</t>
  </si>
  <si>
    <t>"vyvařit-001"</t>
  </si>
  <si>
    <t>"vyvařovat-001"</t>
  </si>
  <si>
    <t>"vyvažovat-001"</t>
  </si>
  <si>
    <t>ACT-&gt;ARG0/5,ARG2/66</t>
  </si>
  <si>
    <t>"vyvdat-001"</t>
  </si>
  <si>
    <t>"vyvinout-001"</t>
  </si>
  <si>
    <t>"vyvinout-002"</t>
  </si>
  <si>
    <t>ACT-&gt;ARG0/140,ARG1/1</t>
  </si>
  <si>
    <t>CPHR: {činnost,nátlak,snaha,tlak,úsilí,...}.4</t>
  </si>
  <si>
    <t>"vyvinout-se-001"</t>
  </si>
  <si>
    <t>ACT-&gt;ARG1/462,ARG2/8</t>
  </si>
  <si>
    <t>PAT-&gt;ARG2/476,ARG4/5</t>
  </si>
  <si>
    <t>"vyvinout-se-002"</t>
  </si>
  <si>
    <t>ACT-&gt;ARG1/28,ARG2/2</t>
  </si>
  <si>
    <t>PAT-&gt;ARG0/2,ARG2/2</t>
  </si>
  <si>
    <t>"vyvinout-se-003"</t>
  </si>
  <si>
    <t>"--vyvinout-se-004"</t>
  </si>
  <si>
    <t>"vyvlastnit-001"</t>
  </si>
  <si>
    <t>"vyvlastnit-002"</t>
  </si>
  <si>
    <t>"vyvléci-se-001"</t>
  </si>
  <si>
    <t>"vyvléknout-se-001"</t>
  </si>
  <si>
    <t>"vyvléknout-se-002"</t>
  </si>
  <si>
    <t>"vyvlíknout-se-001"</t>
  </si>
  <si>
    <t>"vyvodit-001"</t>
  </si>
  <si>
    <t>ORIG: z+2; odtud; odsud; odkudkoliv; odevšad; odtamtud; odjinud; odkud; odněkud; odnikud; odkudsi</t>
  </si>
  <si>
    <t>"vyvodit-002"</t>
  </si>
  <si>
    <t>"vyvolat-001"</t>
  </si>
  <si>
    <t>ACT-&gt;ARG0/1075,ARG1/40</t>
  </si>
  <si>
    <t>PAT-&gt;ARG0/32,ARG1/1455</t>
  </si>
  <si>
    <t>"vyvolat-002"</t>
  </si>
  <si>
    <t>"vyvolat-003"</t>
  </si>
  <si>
    <t>"vyvolat-004"</t>
  </si>
  <si>
    <t>CPHR: {debata,dohad,dojem,důvěra,emoce,hněv,konotace,kritika,mutace,naděje,nadšení,nálada,napětí,nedůvěra,nejistota,nevole,nevraživost,obava,obnovení,odpor,otázka,panika,pocit,pochybnost,potřeba,povyk,pozornost,požadavek,projev,protest,překvapení,přesvědčení,reakce,revoluce,rozčarování,rozčilení,rozpaky,roztržka,smích,snaha,spekulace,spor,strach,svár,trauma,trend,uzavření,vliv,vznesení,vzpomínka,zájem,zděšení,zloba,zmatek,zvědavost,...}.4</t>
  </si>
  <si>
    <t>CPHR-&gt;ARG0/1,ARG1/32,ARG3/3</t>
  </si>
  <si>
    <t>ACT-&gt;ARG0/475,ARG1/4,ARG2/33</t>
  </si>
  <si>
    <t>CPHR-&gt;ARG0/1,ARG1/691</t>
  </si>
  <si>
    <t>ACT-&gt;ARG0/411,ARG1/5</t>
  </si>
  <si>
    <t>CPHR-&gt;ARG1/528</t>
  </si>
  <si>
    <t>ACT-&gt;ARG0/306,ARG1/3,ARG2/4</t>
  </si>
  <si>
    <t>CPHR-&gt;ARG1/415</t>
  </si>
  <si>
    <t>CPHR-&gt;ARG1/76</t>
  </si>
  <si>
    <t>ACT-&gt;ARG0/98,ARG1/2</t>
  </si>
  <si>
    <t>CPHR-&gt;ARG1/109</t>
  </si>
  <si>
    <t>ACT-&gt;ARG0/147,ARG1/1</t>
  </si>
  <si>
    <t>CPHR-&gt;ARG0/1,ARG1/164</t>
  </si>
  <si>
    <t>ACT-&gt;ARG0/255,ARG1/235</t>
  </si>
  <si>
    <t>CPHR-&gt;ARG0/153,ARG1/288</t>
  </si>
  <si>
    <t>"vyvolat-005"</t>
  </si>
  <si>
    <t>"vyvolat-006"</t>
  </si>
  <si>
    <t>"vyvolávat-001"</t>
  </si>
  <si>
    <t>"vyvolávat-002"</t>
  </si>
  <si>
    <t>ACT-&gt;ARG0/252,ARG1/109,ARG2/4</t>
  </si>
  <si>
    <t>PAT-&gt;ARG0/1,ARG1/321</t>
  </si>
  <si>
    <t>"vyvolávat-003"</t>
  </si>
  <si>
    <t>CPHR: {děs,dohad,dojem,důvěra,konotace,kritika,megaotázka,megaproblém,nadšení,napětí,nedůvěra,neochota,nevole,obava,odpor,otázka,panika,pochybnost,problém,projev,protest,přesvědčení,reakce,rozkol,rozpaky,rozruch,snaha,sympatie,údiv,výkyv,vzpomínka,zájem,zděšení,zmatek,znepokojení,zvědavost,zvrat,...}.4</t>
  </si>
  <si>
    <t>ACT-&gt;ARG0/217,ARG1/3</t>
  </si>
  <si>
    <t>CPHR-&gt;ARG0/1,ARG1/244</t>
  </si>
  <si>
    <t>ACT-&gt;ARG0/68,ARG1/3104,ARG2/296</t>
  </si>
  <si>
    <t>CPHR-&gt;ARG1/198,ARG2/3451</t>
  </si>
  <si>
    <t>ACT-&gt;ARG0/226,ARG1/3</t>
  </si>
  <si>
    <t>CPHR-&gt;ARG0/1,ARG1/260</t>
  </si>
  <si>
    <t>"vyvolávat-004"</t>
  </si>
  <si>
    <t>"vyvolávat-005"</t>
  </si>
  <si>
    <t>"vyvozit-001"</t>
  </si>
  <si>
    <t>"vyvozovat-001"</t>
  </si>
  <si>
    <t>"vyvozovat-002"</t>
  </si>
  <si>
    <t>"vyvracet-001"</t>
  </si>
  <si>
    <t>"vyvraždit-001"</t>
  </si>
  <si>
    <t>"vyvražďovat-001"</t>
  </si>
  <si>
    <t>"vyvrcholit-001"</t>
  </si>
  <si>
    <t>"vyvrhnout-001"</t>
  </si>
  <si>
    <t>"vyvrhnout-002"</t>
  </si>
  <si>
    <t>"vyvrhnout-003"</t>
  </si>
  <si>
    <t>"vyvrtat-001"</t>
  </si>
  <si>
    <t>"vyvrátit-001"</t>
  </si>
  <si>
    <t>ACT-&gt;ARG0/100,ARG1/1</t>
  </si>
  <si>
    <t>"vyvstat-001"</t>
  </si>
  <si>
    <t>ACT-&gt;ARG1/4,ARG2/22</t>
  </si>
  <si>
    <t>"vyvstávat-001"</t>
  </si>
  <si>
    <t>ACT-&gt;ARG1/79,ARG2/2</t>
  </si>
  <si>
    <t>"vyvyšovat-se-001"</t>
  </si>
  <si>
    <t>PAT: nad-1[.4]</t>
  </si>
  <si>
    <t>"vyvzdorovat-001"</t>
  </si>
  <si>
    <t>"vyvádět-001"</t>
  </si>
  <si>
    <t>"vyvádět-002"</t>
  </si>
  <si>
    <t>DPHR: z-1[míra.S2]</t>
  </si>
  <si>
    <t>"vyvádět-003"</t>
  </si>
  <si>
    <t>"vyvádět-004"</t>
  </si>
  <si>
    <t>"vyválet-001"</t>
  </si>
  <si>
    <t>"vyválet-se-001"</t>
  </si>
  <si>
    <t>"vyvázat-001"</t>
  </si>
  <si>
    <t>ORIG-&gt;ARG1/6</t>
  </si>
  <si>
    <t>"vyváznout-001"</t>
  </si>
  <si>
    <t>"vyváznout-002"</t>
  </si>
  <si>
    <t>"vyvářet-001"</t>
  </si>
  <si>
    <t>"vyvážet-001"</t>
  </si>
  <si>
    <t>PAT-&gt;ARG0/489,ARG1/27,ARG2/1</t>
  </si>
  <si>
    <t>"vyvážit-001"</t>
  </si>
  <si>
    <t>PAT-&gt;ARG1/108,ARG2/2</t>
  </si>
  <si>
    <t>EFF-&gt;ARG0/4,ARG2/66</t>
  </si>
  <si>
    <t>"vyvážit-002"</t>
  </si>
  <si>
    <t>"vyvést-001"</t>
  </si>
  <si>
    <t>PAT-&gt;ARG1/104,ARG2/1</t>
  </si>
  <si>
    <t>ORIG-&gt;ARG1/36</t>
  </si>
  <si>
    <t>"vyvést-002"</t>
  </si>
  <si>
    <t>"vyvést-003"</t>
  </si>
  <si>
    <t>"vyvést-004"</t>
  </si>
  <si>
    <t>DPHR: z-1[rovnováha.S2]</t>
  </si>
  <si>
    <t>"vyvést-005"</t>
  </si>
  <si>
    <t>"vyvést-se-001"</t>
  </si>
  <si>
    <t>"vyvézt-001"</t>
  </si>
  <si>
    <t>"vyvézt-002"</t>
  </si>
  <si>
    <t>"vyvíjet-001"</t>
  </si>
  <si>
    <t>ACT-&gt;ARG0/161</t>
  </si>
  <si>
    <t>PAT-&gt;ARG1/312,ARG2/2</t>
  </si>
  <si>
    <t>"vyvíjet-002"</t>
  </si>
  <si>
    <t>CPHR: {aktivita,činnost,iniciativa,nátlak,snaha,tlak,úsilí,...}.4</t>
  </si>
  <si>
    <t>CPHR-&gt;ARG1/470</t>
  </si>
  <si>
    <t>CPHR-&gt;ARG1/152</t>
  </si>
  <si>
    <t>"vyvíjet-se-001"</t>
  </si>
  <si>
    <t>ACT-&gt;ARG0/86,ARG1/111,ARG2/2</t>
  </si>
  <si>
    <t>"vyvěrat-001"</t>
  </si>
  <si>
    <t>PAT-&gt;ARG2/79</t>
  </si>
  <si>
    <t>"vyvěrat-002"</t>
  </si>
  <si>
    <t>"vyvěsit-001"</t>
  </si>
  <si>
    <t>"vyvětrat-001"</t>
  </si>
  <si>
    <t>"vyvěšovat-001"</t>
  </si>
  <si>
    <t>"vyzařovat-001"</t>
  </si>
  <si>
    <t>"vyzařovat-002"</t>
  </si>
  <si>
    <t>DIR1-&gt;ARG0/2</t>
  </si>
  <si>
    <t>"vyzbrojit-001"</t>
  </si>
  <si>
    <t>"vyzbrojit-se-001"</t>
  </si>
  <si>
    <t>"vyzbrojovat-001"</t>
  </si>
  <si>
    <t>"vyzdobit-001"</t>
  </si>
  <si>
    <t>"vyzdvihnout-001"</t>
  </si>
  <si>
    <t>"vyzdvihnout-002"</t>
  </si>
  <si>
    <t>"vyzdvihnout-003"</t>
  </si>
  <si>
    <t>"vyzdvihovat-001"</t>
  </si>
  <si>
    <t>PAT-&gt;ARG1/99</t>
  </si>
  <si>
    <t>"vyzdívat-001"</t>
  </si>
  <si>
    <t>"vyzkoumat-001"</t>
  </si>
  <si>
    <t>"vyzkoušet-001"</t>
  </si>
  <si>
    <t>ACT-&gt;ARG0/415,ARG1/6</t>
  </si>
  <si>
    <t>PAT-&gt;ARG1/582,ARG2/36</t>
  </si>
  <si>
    <t>"vyzkoušet-si-001"</t>
  </si>
  <si>
    <t>"vyznamenat-001"</t>
  </si>
  <si>
    <t>"vyznamenat-se-001"</t>
  </si>
  <si>
    <t>"vyznat-se-001"</t>
  </si>
  <si>
    <t>ACT-&gt;ARG0/295,ARG1/1</t>
  </si>
  <si>
    <t>PAT-&gt;ARG1/316,ARG2/16</t>
  </si>
  <si>
    <t>"vyznat-se-002"</t>
  </si>
  <si>
    <t>"vyznat-se-003"</t>
  </si>
  <si>
    <t>"vyznat-se-004"</t>
  </si>
  <si>
    <t>"vyznačit-001"</t>
  </si>
  <si>
    <t>"vyznačovat-se-001"</t>
  </si>
  <si>
    <t>ACT-&gt;ARG0/26,ARG1/2</t>
  </si>
  <si>
    <t>PAT-&gt;ARG0/4,ARG1/77</t>
  </si>
  <si>
    <t>"vyznávat-001"</t>
  </si>
  <si>
    <t>"vyznít-001"</t>
  </si>
  <si>
    <t>MANN-&gt;ARG2/34</t>
  </si>
  <si>
    <t>"vyznívat-001"</t>
  </si>
  <si>
    <t>"vyzobávat-001"</t>
  </si>
  <si>
    <t>"vyzpovídat-001"</t>
  </si>
  <si>
    <t>"vyzpovídat-se-001"</t>
  </si>
  <si>
    <t>"vyzpívat-001"</t>
  </si>
  <si>
    <t>"vyzradit-001"</t>
  </si>
  <si>
    <t>ACT-&gt;ARG0/104,ARG1/1</t>
  </si>
  <si>
    <t>EFF-&gt;ARG1/219</t>
  </si>
  <si>
    <t>"vyzrát-001"</t>
  </si>
  <si>
    <t>"vyzrát-002"</t>
  </si>
  <si>
    <t>"vyzrávat-001"</t>
  </si>
  <si>
    <t>"vyztužit-001"</t>
  </si>
  <si>
    <t>"vyzvat-001"</t>
  </si>
  <si>
    <t>ACT-&gt;ARG0/311,ARG1/1</t>
  </si>
  <si>
    <t>PAT-&gt;ARG1/272,ARG2/151</t>
  </si>
  <si>
    <t>ADDR-&gt;ARG1/496,ARG2/122</t>
  </si>
  <si>
    <t>"vyzvednout-001"</t>
  </si>
  <si>
    <t>"vyzvednout-002"</t>
  </si>
  <si>
    <t>"vyzvednout-003"</t>
  </si>
  <si>
    <t>"vyzvedávat-001"</t>
  </si>
  <si>
    <t>"vyzvedávat-002"</t>
  </si>
  <si>
    <t>"vyzvonit-001"</t>
  </si>
  <si>
    <t>"vyzvrátit-001"</t>
  </si>
  <si>
    <t>"vyzvánět-001"</t>
  </si>
  <si>
    <t>"vyzvídat-001"</t>
  </si>
  <si>
    <t>?ORIG: od+2; na+6</t>
  </si>
  <si>
    <t>"vyzvědět-001"</t>
  </si>
  <si>
    <t>"vyzískat-001"</t>
  </si>
  <si>
    <t>"vyzývat-001"</t>
  </si>
  <si>
    <t>PAT: k+3; ↓aby; na+4; .f; .s</t>
  </si>
  <si>
    <t>ACT-&gt;ARG0/157,ARG1/1</t>
  </si>
  <si>
    <t>PAT-&gt;ARG1/104,ARG2/58</t>
  </si>
  <si>
    <t>ADDR-&gt;ARG1/125,ARG2/2</t>
  </si>
  <si>
    <t>"vyústit-001"</t>
  </si>
  <si>
    <t>ACT-&gt;ARG0/327,ARG1/190,ARG2/1</t>
  </si>
  <si>
    <t>PAT: k+3; v+4; do+2</t>
  </si>
  <si>
    <t>PAT-&gt;ARG1/517,ARG2/253,ARG3/1</t>
  </si>
  <si>
    <t>"vyústit-002"</t>
  </si>
  <si>
    <t>"vyústit-003"</t>
  </si>
  <si>
    <t>"vyúčtovat-001"</t>
  </si>
  <si>
    <t>"vyčerpat-001"</t>
  </si>
  <si>
    <t>"vyčerpat-002"</t>
  </si>
  <si>
    <t>ACT-&gt;ARG0/120,ARG3/1</t>
  </si>
  <si>
    <t>PAT-&gt;ARG1/47,ARG3/143</t>
  </si>
  <si>
    <t>"vyčerpat-003"</t>
  </si>
  <si>
    <t>"vyčerpat-004"</t>
  </si>
  <si>
    <t>"vyčerpat-se-001"</t>
  </si>
  <si>
    <t>"vyčerpávat-001"</t>
  </si>
  <si>
    <t>"vyčerpávat-002"</t>
  </si>
  <si>
    <t>"vyčerpávat-003"</t>
  </si>
  <si>
    <t>"vyčinit-001"</t>
  </si>
  <si>
    <t>"vyčistit-001"</t>
  </si>
  <si>
    <t>PAT-&gt;ARG1/38,ARG2/9</t>
  </si>
  <si>
    <t>ORIG-&gt;ARG1/8,ARG2/3</t>
  </si>
  <si>
    <t>"vyčistit-002"</t>
  </si>
  <si>
    <t>"--vyčistit-003"</t>
  </si>
  <si>
    <t>"vyčkat-001"</t>
  </si>
  <si>
    <t>ACT-&gt;ARG0/4,ARG1/16,ARG2/1</t>
  </si>
  <si>
    <t>"vyčkat-002"</t>
  </si>
  <si>
    <t>?PAT: 4; 2; na+4; ↓že; ↓jestli; ↓až-2; ↓zda; ↓než-2</t>
  </si>
  <si>
    <t>ACT-&gt;ARG0/4,ARG1/62,ARG2/2</t>
  </si>
  <si>
    <t>PAT-&gt;ARG1/2,ARG2/74,ARGm-TMP/2</t>
  </si>
  <si>
    <t>"vyčkávat-001"</t>
  </si>
  <si>
    <t>"vyčkávat-002"</t>
  </si>
  <si>
    <t>ACT-&gt;ARG1/62,ARG2/2</t>
  </si>
  <si>
    <t>?PAT: 4; 2; na+4; ↓že; ↓jestli; ↓až-2; ↓zda</t>
  </si>
  <si>
    <t>PAT-&gt;ARG2/74,ARGm-TMP/2</t>
  </si>
  <si>
    <t>"vyčlenit-001"</t>
  </si>
  <si>
    <t>PAT-&gt;ARG1/90,ARG2/1,ARG3/1</t>
  </si>
  <si>
    <t>DIR1-&gt;ARG1/3,ARG2/28</t>
  </si>
  <si>
    <t>"vyčlenit-002"</t>
  </si>
  <si>
    <t>"vyčlenit-se-001"</t>
  </si>
  <si>
    <t>"vyčleňovat-001"</t>
  </si>
  <si>
    <t>"vyčleňovat-se-001"</t>
  </si>
  <si>
    <t>"vyčnívat-001"</t>
  </si>
  <si>
    <t>"vyčnívat-002"</t>
  </si>
  <si>
    <t>"vyčíhnout-si-001"</t>
  </si>
  <si>
    <t>"vyčíslit-001"</t>
  </si>
  <si>
    <t>PAT-&gt;ARG0/4,ARG1/130</t>
  </si>
  <si>
    <t>EFF-&gt;ARG1/5,ARG2/2</t>
  </si>
  <si>
    <t>"vyčíslovat-001"</t>
  </si>
  <si>
    <t>"vyčíst-001"</t>
  </si>
  <si>
    <t>"vyčíst-002"</t>
  </si>
  <si>
    <t>"vyčítat-001"</t>
  </si>
  <si>
    <t>PAT-&gt;ARG2/37</t>
  </si>
  <si>
    <t>ADDR-&gt;ARG1/46,ARG2/1</t>
  </si>
  <si>
    <t>"vyčítat-002"</t>
  </si>
  <si>
    <t>"vyřadit-001"</t>
  </si>
  <si>
    <t>ACT-&gt;ARG0/185</t>
  </si>
  <si>
    <t>PAT-&gt;ARG1/369</t>
  </si>
  <si>
    <t>"vyřadit-002"</t>
  </si>
  <si>
    <t>"vyřazovat-001"</t>
  </si>
  <si>
    <t>"vyřezat-001"</t>
  </si>
  <si>
    <t>"vyřezávat-001"</t>
  </si>
  <si>
    <t>"vyřezávat-002"</t>
  </si>
  <si>
    <t>"vyřešit-001"</t>
  </si>
  <si>
    <t>ACT-&gt;ARG0/264,ARG1/2,ARG2/2</t>
  </si>
  <si>
    <t>PAT-&gt;ARG1/425,ARG2/59,ARG3/1</t>
  </si>
  <si>
    <t>"vyřešit-002"</t>
  </si>
  <si>
    <t>"vyřizovat-001"</t>
  </si>
  <si>
    <t>"vyřizovat-002"</t>
  </si>
  <si>
    <t>"vyřizovat-003"</t>
  </si>
  <si>
    <t>PAT-&gt;ARG1/233</t>
  </si>
  <si>
    <t>"vyřizovat-004"</t>
  </si>
  <si>
    <t>DPHR: účet.P4</t>
  </si>
  <si>
    <t>"vyřknout-001"</t>
  </si>
  <si>
    <t>PAT-&gt;ARG1/102,ARG3/1</t>
  </si>
  <si>
    <t>"vyřvávat-001"</t>
  </si>
  <si>
    <t>"vyřádit-se-001"</t>
  </si>
  <si>
    <t>"vyřídit-001"</t>
  </si>
  <si>
    <t>"vyřídit-002"</t>
  </si>
  <si>
    <t>"vyřídit-003"</t>
  </si>
  <si>
    <t>ACT-&gt;ARG0/130</t>
  </si>
  <si>
    <t>"vyřídit-004"</t>
  </si>
  <si>
    <t>"vyřídit-si-001"</t>
  </si>
  <si>
    <t>"vyříkat-si-001"</t>
  </si>
  <si>
    <t>"vyříznout-001"</t>
  </si>
  <si>
    <t>"vyšachovat-001"</t>
  </si>
  <si>
    <t>"vyšetřit-001"</t>
  </si>
  <si>
    <t>"vyšetřit-002"</t>
  </si>
  <si>
    <t>"vyšetřit-si-001"</t>
  </si>
  <si>
    <t>"vyšetřovat-001"</t>
  </si>
  <si>
    <t>ACT-&gt;ARG0/76,ARG1/7</t>
  </si>
  <si>
    <t>PAT-&gt;ARG0/12,ARG1/109</t>
  </si>
  <si>
    <t>"vyšetřovat-002"</t>
  </si>
  <si>
    <t>"vyškemrat-001"</t>
  </si>
  <si>
    <t>"vyškolit-001"</t>
  </si>
  <si>
    <t>"vyškrabat-001"</t>
  </si>
  <si>
    <t>"vyškrabat-002"</t>
  </si>
  <si>
    <t>"vyškrtnout-001"</t>
  </si>
  <si>
    <t>PAT-&gt;ARG1/137</t>
  </si>
  <si>
    <t>DIR1-&gt;ARG2/4,ARG3/1</t>
  </si>
  <si>
    <t>"vyškrábat-001"</t>
  </si>
  <si>
    <t>"vyškrábat-se-001"</t>
  </si>
  <si>
    <t>"vyškrábat-se-002"</t>
  </si>
  <si>
    <t>"--vyškrábat-se-003"</t>
  </si>
  <si>
    <t>"vyšlapat-001"</t>
  </si>
  <si>
    <t>"vyšlapat-002"</t>
  </si>
  <si>
    <t>"vyšlapat-003"</t>
  </si>
  <si>
    <t>"vyšlapávat-001"</t>
  </si>
  <si>
    <t>"vyšlechtit-001"</t>
  </si>
  <si>
    <t>"vyšlehnout-001"</t>
  </si>
  <si>
    <t>"vyšlápnout-si-001"</t>
  </si>
  <si>
    <t>"vyšlápnout-si-002"</t>
  </si>
  <si>
    <t>"vyšmátrat-001"</t>
  </si>
  <si>
    <t>"vyšoupnout-001"</t>
  </si>
  <si>
    <t>"vyšperkovat-001"</t>
  </si>
  <si>
    <t>"vyšplhat-001"</t>
  </si>
  <si>
    <t>"vyšplhat-se-001"</t>
  </si>
  <si>
    <t>ACT-&gt;ARG0/10,ARG1/132</t>
  </si>
  <si>
    <t>?PAT: na+4; přes+4; do+2; nad-1.4[.4]</t>
  </si>
  <si>
    <t>PAT-&gt;ARG1/13,ARG2/5,ARG4/95</t>
  </si>
  <si>
    <t>PAT-&gt;ARG2/2,ARG4/97</t>
  </si>
  <si>
    <t>ORIG-&gt;ARG3/40,ARG4/1</t>
  </si>
  <si>
    <t>"vyšplhat-se-002"</t>
  </si>
  <si>
    <t>ACT-&gt;ARG0/2,ARG1/87</t>
  </si>
  <si>
    <t>"vyšroubovat-001"</t>
  </si>
  <si>
    <t>"vyštvat-001"</t>
  </si>
  <si>
    <t>"vyštěknout-001"</t>
  </si>
  <si>
    <t>"vyšumět-001"</t>
  </si>
  <si>
    <t>"vyšupat-001"</t>
  </si>
  <si>
    <t>"vyšvihnout-se-001"</t>
  </si>
  <si>
    <t>"vyšvihnout-se-002"</t>
  </si>
  <si>
    <t>"vyšvindlovat-001"</t>
  </si>
  <si>
    <t>"vyšít-001"</t>
  </si>
  <si>
    <t>"vyšít-002"</t>
  </si>
  <si>
    <t>"vyšívat-001"</t>
  </si>
  <si>
    <t>"vyšňořit-001"</t>
  </si>
  <si>
    <t>"vyšťourat-001"</t>
  </si>
  <si>
    <t>"vyžadovat-001"</t>
  </si>
  <si>
    <t>ACT-&gt;ARG0/355,ARG1/1</t>
  </si>
  <si>
    <t>PAT-&gt;ARG1/404</t>
  </si>
  <si>
    <t>ACT-&gt;ARG0/1587,ARG1/15,ARG2/85</t>
  </si>
  <si>
    <t>PAT-&gt;ARG1/5216,ARG2/306</t>
  </si>
  <si>
    <t>ORIG-&gt;ARG1/7,ARG2/202</t>
  </si>
  <si>
    <t>"--vyžadovat-002"</t>
  </si>
  <si>
    <t>"vyžadovat-si-001"</t>
  </si>
  <si>
    <t>"vyždímat-001"</t>
  </si>
  <si>
    <t>"vyždímat-002"</t>
  </si>
  <si>
    <t>"vyžebrat-001"</t>
  </si>
  <si>
    <t>"vyžebrávat-001"</t>
  </si>
  <si>
    <t>"vyžehlit-001"</t>
  </si>
  <si>
    <t>"vyženit-001"</t>
  </si>
  <si>
    <t>"vyživit-001"</t>
  </si>
  <si>
    <t>"vyživovat-001"</t>
  </si>
  <si>
    <t>"vyžrat-001"</t>
  </si>
  <si>
    <t>"vyžádat-001"</t>
  </si>
  <si>
    <t>ACT-&gt;ARG0/653,ARG1/3,ARG2/5</t>
  </si>
  <si>
    <t>PAT-&gt;ARG1/671</t>
  </si>
  <si>
    <t>?ORIG: na+6; od+2; po+6</t>
  </si>
  <si>
    <t>ORIG-&gt;ARG1/5,ARG2/18</t>
  </si>
  <si>
    <t>"vyžádat-si-001"</t>
  </si>
  <si>
    <t>ACT-&gt;ARG0/807,ARG1/4,ARG2/4</t>
  </si>
  <si>
    <t>PAT-&gt;ARG1/1015,ARG2/2</t>
  </si>
  <si>
    <t>"vyžádat-si-002"</t>
  </si>
  <si>
    <t>"vyžít-se-001"</t>
  </si>
  <si>
    <t>"vyžívat-001"</t>
  </si>
  <si>
    <t>"vyžívat-se-001"</t>
  </si>
  <si>
    <t>"vzbouřit-se-001"</t>
  </si>
  <si>
    <t>"vzbudit-001"</t>
  </si>
  <si>
    <t>"vzbudit-002"</t>
  </si>
  <si>
    <t>ACT-&gt;ARG0/419,ARG1/2</t>
  </si>
  <si>
    <t>CPHR: {cit,dojem,emoce,naděje,nadšení,nedůvěra,nelibost,nevole,nostalgie,obava,odpor,pobouření,pocit,podezření,pohoršení,pozornost-1,protest,pýcha,rozhořčení,rozpaky,strach,touha,tvorba,zájem,...}.4</t>
  </si>
  <si>
    <t>CPHR-&gt;ARG1/565</t>
  </si>
  <si>
    <t>LOC-&gt;ARG1/275,ARG2/154</t>
  </si>
  <si>
    <t>CPHR-&gt;ARG1/103</t>
  </si>
  <si>
    <t>CPHR-&gt;ARG1/64</t>
  </si>
  <si>
    <t>"vzbudit-se-001"</t>
  </si>
  <si>
    <t>"vzburcovat-001"</t>
  </si>
  <si>
    <t>"vzbuzovat-001"</t>
  </si>
  <si>
    <t>CPHR: {agresivita,dojem,důvěra,emoce,iluze,lítost,mrazení,naděje,nedůvěra,nedůvěra,nostalgie,obava,panika,pocit,podezření,pohoršení,pochyba,pochybnost,pozornost,radost,rozpaky,sympatie,touha,úsměv,zájem,závist,...}.4</t>
  </si>
  <si>
    <t>CPHR-&gt;ARG1/89</t>
  </si>
  <si>
    <t>CPHR-&gt;ARG1/125,ARG2/1</t>
  </si>
  <si>
    <t>CPHR-&gt;ARG1/3</t>
  </si>
  <si>
    <t>"vzchopit-se-001"</t>
  </si>
  <si>
    <t>ACT-&gt;ARG0/32,ARG1/107</t>
  </si>
  <si>
    <t>PAT-&gt;ARG1/29,ARG2/12,ARG4/13</t>
  </si>
  <si>
    <t>"vzchopit-se-002"</t>
  </si>
  <si>
    <t>"vzdalovat-se-001"</t>
  </si>
  <si>
    <t>PAT: od+2; 3</t>
  </si>
  <si>
    <t>"vzdalovat-se-002"</t>
  </si>
  <si>
    <t>"vzdorovat-001"</t>
  </si>
  <si>
    <t>"vzdorovat-002"</t>
  </si>
  <si>
    <t>"vzdouvat-001"</t>
  </si>
  <si>
    <t>"vzdychat-001"</t>
  </si>
  <si>
    <t>"vzdálit-001"</t>
  </si>
  <si>
    <t>?ORIG: od+2; 3</t>
  </si>
  <si>
    <t>"vzdálit-002"</t>
  </si>
  <si>
    <t>"vzdálit-se-001"</t>
  </si>
  <si>
    <t>"vzdát-001"</t>
  </si>
  <si>
    <t>"vzdát-002"</t>
  </si>
  <si>
    <t>"vzdát-003"</t>
  </si>
  <si>
    <t>CPHR: {pocta,...}.4</t>
  </si>
  <si>
    <t>"vzdát-004"</t>
  </si>
  <si>
    <t>"vzdát-se-001"</t>
  </si>
  <si>
    <t>ACT-&gt;ARG0/332</t>
  </si>
  <si>
    <t>PAT-&gt;ARG1/311,ARG2/13</t>
  </si>
  <si>
    <t>"vzdát-se-002"</t>
  </si>
  <si>
    <t>PAT-&gt;ARG1/18,ARG2/2</t>
  </si>
  <si>
    <t>"vzdávat-001"</t>
  </si>
  <si>
    <t>"vzdávat-002"</t>
  </si>
  <si>
    <t>CPHR: {hold,pocta,...}.4</t>
  </si>
  <si>
    <t>"vzdávat-se-001"</t>
  </si>
  <si>
    <t>"vzdávat-se-002"</t>
  </si>
  <si>
    <t>"vzdělat-001"</t>
  </si>
  <si>
    <t>"vzdělávat-001"</t>
  </si>
  <si>
    <t>PAT-&gt;ARG0/249,ARG1/354,ARG4/1</t>
  </si>
  <si>
    <t>"vzedmout-001"</t>
  </si>
  <si>
    <t>"vzedmout-se-001"</t>
  </si>
  <si>
    <t>ACT-&gt;ARG1/72</t>
  </si>
  <si>
    <t>"vzejít-001"</t>
  </si>
  <si>
    <t>ACT-&gt;ARG1/371,ARG2/495</t>
  </si>
  <si>
    <t>PAT-&gt;ARG0/193,ARG1/480,ARG2/86,ARG3/1</t>
  </si>
  <si>
    <t>"vzejít-002"</t>
  </si>
  <si>
    <t>"vzepnout-se-001"</t>
  </si>
  <si>
    <t>"vzepřít-se-001"</t>
  </si>
  <si>
    <t>"vzhlédnout-001"</t>
  </si>
  <si>
    <t>"vzhlédnout-002"</t>
  </si>
  <si>
    <t>"vzhlížet-001"</t>
  </si>
  <si>
    <t>"vzhlížet-002"</t>
  </si>
  <si>
    <t>"vzkazovat-001"</t>
  </si>
  <si>
    <t>"vzklíčit-001"</t>
  </si>
  <si>
    <t>"vzkvétat-001"</t>
  </si>
  <si>
    <t>"vzkypět-001"</t>
  </si>
  <si>
    <t>"vzkázat-001"</t>
  </si>
  <si>
    <t>"vzkřísit-001"</t>
  </si>
  <si>
    <t>"vzlétnout-001"</t>
  </si>
  <si>
    <t>"vzmoci-se-001"</t>
  </si>
  <si>
    <t>"vznikat-001"</t>
  </si>
  <si>
    <t>ACT-&gt;ARG1/889</t>
  </si>
  <si>
    <t>"vznikat-002"</t>
  </si>
  <si>
    <t>CPHR: {povinnost,...}.1</t>
  </si>
  <si>
    <t>"vzniknout-001"</t>
  </si>
  <si>
    <t>ACT-&gt;ARG1/294,ARG2/103</t>
  </si>
  <si>
    <t>PAT-&gt;ARG0/18</t>
  </si>
  <si>
    <t>"vzniknout-002"</t>
  </si>
  <si>
    <t>ACT-&gt;ARG0/130,ARG1/1224,ARG2/495</t>
  </si>
  <si>
    <t>PAT-&gt;ARG0/42,ARG1/51,ARG2/93,ARG3/1</t>
  </si>
  <si>
    <t>"vzniknout-003"</t>
  </si>
  <si>
    <t>"vznášet-001"</t>
  </si>
  <si>
    <t>CPHR: {dotaz,kritika,možnost,nárok,obvinění,prosba,připomínka,sankce,...}.4</t>
  </si>
  <si>
    <t>CPHR-&gt;ARG1/77</t>
  </si>
  <si>
    <t>?ADDR: na+4; vůči+3</t>
  </si>
  <si>
    <t>"--vznášet-002"</t>
  </si>
  <si>
    <t>CPHR: {možnost,nárok,obvinění,...}.4</t>
  </si>
  <si>
    <t>?ADDR: na+4; vůči+3; proti+3</t>
  </si>
  <si>
    <t>"vznášet-se-001"</t>
  </si>
  <si>
    <t>LOC-&gt;ARG1/2</t>
  </si>
  <si>
    <t>"vznášet-se-002"</t>
  </si>
  <si>
    <t>"vznést-001"</t>
  </si>
  <si>
    <t>CPHR: {dotaz,kritika,námitka,nárok,obvinění,otázka,pochyba,požadavek,prosba,protest,připomínka,sankce,žaloba,...}.4</t>
  </si>
  <si>
    <t>CPHR-&gt;ARG0/1,ARG1/89,ARG3/3</t>
  </si>
  <si>
    <t>ACT-&gt;ARG0/85,ARG1/2</t>
  </si>
  <si>
    <t>CPHR-&gt;ARG0/1,ARG1/104,ARG3/3</t>
  </si>
  <si>
    <t>"--vznést-002"</t>
  </si>
  <si>
    <t>CPHR: {dotaz,kritika,námitka,obvinění,pochyba,prosba,protest,připomínka,sankce,žaloba,...}.4</t>
  </si>
  <si>
    <t>"vznít-se-001"</t>
  </si>
  <si>
    <t>"vznítit-se-001"</t>
  </si>
  <si>
    <t>"vzpamatovat-se-001"</t>
  </si>
  <si>
    <t>ACT-&gt;ARG0/36,ARG1/88</t>
  </si>
  <si>
    <t>PAT-&gt;ARG1/47,ARG2/11,ARG3/12</t>
  </si>
  <si>
    <t>"vzpamatovávat-se-001"</t>
  </si>
  <si>
    <t>ACT-&gt;ARG0/5,ARG1/105</t>
  </si>
  <si>
    <t>PAT-&gt;ARG2/17,ARG3/12</t>
  </si>
  <si>
    <t>"vzplanout-001"</t>
  </si>
  <si>
    <t>"vzplanout-002"</t>
  </si>
  <si>
    <t>"vzplanout-003"</t>
  </si>
  <si>
    <t>"vzplanout-004"</t>
  </si>
  <si>
    <t>CPHR: {hněv,láska,nenávist,vztek,...}.7</t>
  </si>
  <si>
    <t>"vzpomenout-001"</t>
  </si>
  <si>
    <t>PAT: 4; na+4; ↓že; ↓zda; ↓jestli; ↓jak-2; .s; ↓c</t>
  </si>
  <si>
    <t>"vzpomenout-si-001"</t>
  </si>
  <si>
    <t>PAT: na+4; ↓že; ↓zda; ↓jestli; ↓jak-2; .s; ↓c; .f; ↓když; 4</t>
  </si>
  <si>
    <t>ACT-&gt;ARG0/12300,ARG1/36</t>
  </si>
  <si>
    <t>PAT-&gt;ARG0/2,ARG1/10737,ARG2/38</t>
  </si>
  <si>
    <t>"vzpomínat-001"</t>
  </si>
  <si>
    <t>PAT: na+4; ↓že; ↓zda; ↓jestli; ↓jak-2; .s; ↓c; 4</t>
  </si>
  <si>
    <t>ACT-&gt;ARG0/187</t>
  </si>
  <si>
    <t>PAT-&gt;ARG1/304</t>
  </si>
  <si>
    <t>"vzpomínat-si-001"</t>
  </si>
  <si>
    <t>PAT: 4; na+4; ↓že; ↓zda; ↓jak; ↓jestli; .s; ↓c</t>
  </si>
  <si>
    <t>"vzpružit-001"</t>
  </si>
  <si>
    <t>"vzpínat-se-001"</t>
  </si>
  <si>
    <t>"vzpírat-se-001"</t>
  </si>
  <si>
    <t>"vzrušit-001"</t>
  </si>
  <si>
    <t>"vzrušovat-001"</t>
  </si>
  <si>
    <t>"vzrůst-001"</t>
  </si>
  <si>
    <t>ACT-&gt;ARG0/159,ARG1/5334,ARG2/304</t>
  </si>
  <si>
    <t>PAT-&gt;ARG1/399,ARG2/3486,ARG4/1558</t>
  </si>
  <si>
    <t>ORIG-&gt;ARG2/8,ARG3/589,ARG4/1,ARGm-LOC/1</t>
  </si>
  <si>
    <t>"vzrůstat-001"</t>
  </si>
  <si>
    <t>ACT-&gt;ARG1/184,ARG2/4</t>
  </si>
  <si>
    <t>"vztahovat-001"</t>
  </si>
  <si>
    <t>"vztahovat-se-001"</t>
  </si>
  <si>
    <t>PAT: na+4; k+3; do+2</t>
  </si>
  <si>
    <t>ACT-&gt;ARG0/103,ARG1/64,ARG2/49</t>
  </si>
  <si>
    <t>PAT-&gt;ARG1/304,ARG2/129</t>
  </si>
  <si>
    <t>"vztekat-se-001"</t>
  </si>
  <si>
    <t>"vztyčit-001"</t>
  </si>
  <si>
    <t>"vztyčit-se-001"</t>
  </si>
  <si>
    <t>"vztyčovat-001"</t>
  </si>
  <si>
    <t>"vztyčovat-002"</t>
  </si>
  <si>
    <t>"vztáhnout-001"</t>
  </si>
  <si>
    <t>"vztáhnout-002"</t>
  </si>
  <si>
    <t>DPHR: pěst.S4</t>
  </si>
  <si>
    <t>PAT: na+4; po+6</t>
  </si>
  <si>
    <t>"vztáhnout-003"</t>
  </si>
  <si>
    <t>"vzít-001"</t>
  </si>
  <si>
    <t>"vzít-002"</t>
  </si>
  <si>
    <t>"vzít-003"</t>
  </si>
  <si>
    <t>"vzít-004"</t>
  </si>
  <si>
    <t>EFF-&gt;ARG1/1,ARG2/11</t>
  </si>
  <si>
    <t>"vzít-005"</t>
  </si>
  <si>
    <t>DIR1-&gt;ARG2/13</t>
  </si>
  <si>
    <t>"vzít-006"</t>
  </si>
  <si>
    <t>"vzít-007"</t>
  </si>
  <si>
    <t>"vzít-008"</t>
  </si>
  <si>
    <t>"vzít-009"</t>
  </si>
  <si>
    <t>PAT: 4; za+4</t>
  </si>
  <si>
    <t>"vzít-010"</t>
  </si>
  <si>
    <t>PAT-&gt;ARG1/22,ARG2/11</t>
  </si>
  <si>
    <t>"vzít-011"</t>
  </si>
  <si>
    <t>"vzít-012"</t>
  </si>
  <si>
    <t>ACT-&gt;ARG0/274,ARG1/25</t>
  </si>
  <si>
    <t>PAT-&gt;ARG1/345,ARG2/26</t>
  </si>
  <si>
    <t>"vzít-013"</t>
  </si>
  <si>
    <t>"vzít-014"</t>
  </si>
  <si>
    <t>"vzít-015"</t>
  </si>
  <si>
    <t>"vzít-016"</t>
  </si>
  <si>
    <t>"vzít-017"</t>
  </si>
  <si>
    <t>"vzít-018"</t>
  </si>
  <si>
    <t>"vzít-019"</t>
  </si>
  <si>
    <t>CPHR: {právo,...}.4</t>
  </si>
  <si>
    <t>"vzít-020"</t>
  </si>
  <si>
    <t>"vzít-021"</t>
  </si>
  <si>
    <t>DPHR: do-1[ruka:P2[svůj-1.FP2]]; do-1[ruka:P2]</t>
  </si>
  <si>
    <t>"vzít-022"</t>
  </si>
  <si>
    <t>DPHR: do-1[ruka:P2[svůj-1.P2]]</t>
  </si>
  <si>
    <t>"vzít-023"</t>
  </si>
  <si>
    <t>DPHR: do-1[vazba-1.S2]</t>
  </si>
  <si>
    <t>"vzít-025"</t>
  </si>
  <si>
    <t>DPHR: na-1[milost.4]</t>
  </si>
  <si>
    <t>"vzít-026"</t>
  </si>
  <si>
    <t>PAT-&gt;ARG1/224,ARG2/26</t>
  </si>
  <si>
    <t>"vzít-027"</t>
  </si>
  <si>
    <t>"vzít-028"</t>
  </si>
  <si>
    <t>DPHR: na-1[zřetel.S4]</t>
  </si>
  <si>
    <t>"vzít-029"</t>
  </si>
  <si>
    <t>DPHR: v-1[potaz.S4]</t>
  </si>
  <si>
    <t>"vzít-030"</t>
  </si>
  <si>
    <t>ACT-&gt;ARG0/172,ARG1/2</t>
  </si>
  <si>
    <t>DPHR-&gt;ARG1/129,ARG2/6</t>
  </si>
  <si>
    <t>PAT-&gt;ARG1/194,ARG2/52</t>
  </si>
  <si>
    <t>"vzít-031"</t>
  </si>
  <si>
    <t>DPHR: za-1[slovo.S4]</t>
  </si>
  <si>
    <t>"vzít-032"</t>
  </si>
  <si>
    <t>DPHR: za-1[svůj-1]</t>
  </si>
  <si>
    <t>"vzít-033"</t>
  </si>
  <si>
    <t>"vzít-034"</t>
  </si>
  <si>
    <t>DPHR: zpět; zpátky</t>
  </si>
  <si>
    <t>"vzít-035"</t>
  </si>
  <si>
    <t>DPHR: do-1[zaječí.P2]</t>
  </si>
  <si>
    <t>"vzít-036"</t>
  </si>
  <si>
    <t>DPHR: konec:4[rychlý:#]</t>
  </si>
  <si>
    <t>"vzít-037"</t>
  </si>
  <si>
    <t>DPHR: noha,na-1[rameno:P4]</t>
  </si>
  <si>
    <t>"vzít-038"</t>
  </si>
  <si>
    <t>DPHR: roh.S4</t>
  </si>
  <si>
    <t>"vzít-039"</t>
  </si>
  <si>
    <t>DPHR: za-1[svůj-1.NS4]</t>
  </si>
  <si>
    <t>"vzít-040"</t>
  </si>
  <si>
    <t>CPHR: {závazek}.4</t>
  </si>
  <si>
    <t>"vzít-041"</t>
  </si>
  <si>
    <t>DPHR: vítr.S4,z-1[plachta.P2]</t>
  </si>
  <si>
    <t>"vzít-042"</t>
  </si>
  <si>
    <t>DPHR: do-1[ruka:P2[vlastní.#]]</t>
  </si>
  <si>
    <t>"--vzít-043"</t>
  </si>
  <si>
    <t>"vzít-044"</t>
  </si>
  <si>
    <t>"vzít-045"</t>
  </si>
  <si>
    <t>"vzít-046"</t>
  </si>
  <si>
    <t>DPHR: plac.S4</t>
  </si>
  <si>
    <t>"vzít-047"</t>
  </si>
  <si>
    <t>DPHR: na-1[bedra.P4[svůj-1.#]]</t>
  </si>
  <si>
    <t>"vzít-048"</t>
  </si>
  <si>
    <t>"vzít-049"</t>
  </si>
  <si>
    <t>DPHR: do-1[zajetí.2]</t>
  </si>
  <si>
    <t>"vzít-050"</t>
  </si>
  <si>
    <t>"vzít-051"</t>
  </si>
  <si>
    <t>"vzít-052"</t>
  </si>
  <si>
    <t>"vzít-053"</t>
  </si>
  <si>
    <t>"vzít-054"</t>
  </si>
  <si>
    <t>"vzít-se-001"</t>
  </si>
  <si>
    <t>"vzít-se-002"</t>
  </si>
  <si>
    <t>"vzít-se-003"</t>
  </si>
  <si>
    <t>"vzít-se-004"</t>
  </si>
  <si>
    <t>"vzít-se-005"</t>
  </si>
  <si>
    <t>DPHR: vzít[kde,se],tady</t>
  </si>
  <si>
    <t>"vzít-si-001"</t>
  </si>
  <si>
    <t>ACT-&gt;ARG0/251,ARG1/25</t>
  </si>
  <si>
    <t>PAT-&gt;ARG1/295,ARG2/26</t>
  </si>
  <si>
    <t>"vzít-si-002"</t>
  </si>
  <si>
    <t>"vzít-si-003"</t>
  </si>
  <si>
    <t>"vzít-si-004"</t>
  </si>
  <si>
    <t>"vzít-si-005"</t>
  </si>
  <si>
    <t>"vzít-si-006"</t>
  </si>
  <si>
    <t>"vzít-si-007"</t>
  </si>
  <si>
    <t>DPHR: k-1[srdce.S3]</t>
  </si>
  <si>
    <t>"vzít-si-008"</t>
  </si>
  <si>
    <t>"vzít-si-009"</t>
  </si>
  <si>
    <t>"vzít-si-010"</t>
  </si>
  <si>
    <t>"vzít-si-011"</t>
  </si>
  <si>
    <t>"vzít-si-012"</t>
  </si>
  <si>
    <t>"vzít-si-013"</t>
  </si>
  <si>
    <t>DPHR: do-1[prádlo.S2]</t>
  </si>
  <si>
    <t>"vzít-si-014"</t>
  </si>
  <si>
    <t>"vzít-si-015"</t>
  </si>
  <si>
    <t>DPHR: za-1[vlastní.4#]; jako[vlastní.4#]; za-1[svůj-1.4]</t>
  </si>
  <si>
    <t>"vzít-si-016"</t>
  </si>
  <si>
    <t>"vzývat-001"</t>
  </si>
  <si>
    <t>"vábit-001"</t>
  </si>
  <si>
    <t>"váhat-001"</t>
  </si>
  <si>
    <t>?PAT: s+7; nad+7; .f; ↓zda</t>
  </si>
  <si>
    <t>ACT-&gt;ARG0/8,ARG1/3106,ARG2/296</t>
  </si>
  <si>
    <t>"válet-001"</t>
  </si>
  <si>
    <t>"válet-se-001"</t>
  </si>
  <si>
    <t>"válet-se-002"</t>
  </si>
  <si>
    <t>"válčit-001"</t>
  </si>
  <si>
    <t>"válčit-002"</t>
  </si>
  <si>
    <t>"válčit-003"</t>
  </si>
  <si>
    <t>?PAT: za+4; o+4</t>
  </si>
  <si>
    <t>"vát-001"</t>
  </si>
  <si>
    <t>"vázat-001"</t>
  </si>
  <si>
    <t>"vázat-002"</t>
  </si>
  <si>
    <t>EFF-&gt;ARG1/31,ARG2/12</t>
  </si>
  <si>
    <t>"vázat-003"</t>
  </si>
  <si>
    <t>"vázat-004"</t>
  </si>
  <si>
    <t>ACT-&gt;ARG1/32,ARG2/1,ARG3/2</t>
  </si>
  <si>
    <t>PAT-&gt;ARG0/3,ARG1/23</t>
  </si>
  <si>
    <t>"vázat-005"</t>
  </si>
  <si>
    <t>"vázat-006"</t>
  </si>
  <si>
    <t>"vázat-007"</t>
  </si>
  <si>
    <t>?PAT: k+3; .f; ↓aby</t>
  </si>
  <si>
    <t>"vázat-008"</t>
  </si>
  <si>
    <t>"vázat-se-001"</t>
  </si>
  <si>
    <t>"vázat-se-002"</t>
  </si>
  <si>
    <t>PAT-&gt;ARG2/35</t>
  </si>
  <si>
    <t>"vázat-se-003"</t>
  </si>
  <si>
    <t>"váznout-001"</t>
  </si>
  <si>
    <t>"váznout-002"</t>
  </si>
  <si>
    <t>"vážit-001"</t>
  </si>
  <si>
    <t>"vážit-002"</t>
  </si>
  <si>
    <t>"vážit-003"</t>
  </si>
  <si>
    <t>"vážit-004"</t>
  </si>
  <si>
    <t>EXT-&gt;ARG3/12</t>
  </si>
  <si>
    <t>"vážit-si-001"</t>
  </si>
  <si>
    <t>"vést-001"</t>
  </si>
  <si>
    <t>ACT-&gt;ARG0/564,ARG1/3191,ARG2/296</t>
  </si>
  <si>
    <t>PAT-&gt;ARG1/671,ARG2/3722,ARG3/2</t>
  </si>
  <si>
    <t>ADDR-&gt;ARG1/61,ARG2/1,ARG3/1</t>
  </si>
  <si>
    <t>"vést-002"</t>
  </si>
  <si>
    <t>?ADDR: s+7; proti+3; nad+7; před+7</t>
  </si>
  <si>
    <t>"vést-003"</t>
  </si>
  <si>
    <t>"vést-004"</t>
  </si>
  <si>
    <t>"vést-005"</t>
  </si>
  <si>
    <t>PAT-&gt;ARG1/69,ARG2/2</t>
  </si>
  <si>
    <t>"vést-006"</t>
  </si>
  <si>
    <t>ACT-&gt;ARG0/465,ARG1/1</t>
  </si>
  <si>
    <t>PAT-&gt;ARG0/11,ARG1/518</t>
  </si>
  <si>
    <t>"vést-007"</t>
  </si>
  <si>
    <t>"vést-008"</t>
  </si>
  <si>
    <t>"vést-009"</t>
  </si>
  <si>
    <t>"vést-010"</t>
  </si>
  <si>
    <t>PAT-&gt;ARG2/115</t>
  </si>
  <si>
    <t>ACT-&gt;ARG0/473,ARG1/3193,ARG2/296</t>
  </si>
  <si>
    <t>PAT-&gt;ARG1/667,ARG2/3670</t>
  </si>
  <si>
    <t>"vést-011"</t>
  </si>
  <si>
    <t>"vést-012"</t>
  </si>
  <si>
    <t>ACT-&gt;ARG0/121,ARG1/79</t>
  </si>
  <si>
    <t>DIR3-&gt;ARG2/115</t>
  </si>
  <si>
    <t>"vést-013"</t>
  </si>
  <si>
    <t>CPHR: {boj,debata,dialog,diskuse,hovor,jednání,kampaň,komunikace,korespondence,nápor,obchod,operace,pohovor,pokus,polemika,propaganda,rozhovor,řízení,snaha,spor,tažení,úsilí,útok,válka,vyjednávání,...}.4</t>
  </si>
  <si>
    <t>ACT-&gt;ARG0/2531,ARG1/118</t>
  </si>
  <si>
    <t>CPHR-&gt;ARG0/1,ARG1/2630,ARG2/91</t>
  </si>
  <si>
    <t>ACT-&gt;ARG0/215,ARG1/2</t>
  </si>
  <si>
    <t>CPHR-&gt;ARG1/224,ARG2/1</t>
  </si>
  <si>
    <t>CPHR-&gt;ARG1/36</t>
  </si>
  <si>
    <t>"vést-014"</t>
  </si>
  <si>
    <t>CPHR: {obžaloba,proces,stíhání,žaloba,...}</t>
  </si>
  <si>
    <t>"vést-015"</t>
  </si>
  <si>
    <t>DPHR: řeč.P4</t>
  </si>
  <si>
    <t>"vést-016"</t>
  </si>
  <si>
    <t>DPHR: řeč:P4[hloupý.P4@1]</t>
  </si>
  <si>
    <t>"vést-017"</t>
  </si>
  <si>
    <t>"vést-018"</t>
  </si>
  <si>
    <t>ACT-&gt;ARG0/101,ARG1/78</t>
  </si>
  <si>
    <t>"vést-019"</t>
  </si>
  <si>
    <t>DPHR: styl.S4</t>
  </si>
  <si>
    <t>"vést-020"</t>
  </si>
  <si>
    <t>"vést-021"</t>
  </si>
  <si>
    <t>DPHR: latina.S4[myslivecký.#]</t>
  </si>
  <si>
    <t>"vést-022"</t>
  </si>
  <si>
    <t>"vést-023"</t>
  </si>
  <si>
    <t>"vést-024"</t>
  </si>
  <si>
    <t>"vést-se-001"</t>
  </si>
  <si>
    <t>ACT-&gt;ARG0/77,ARGm-MNR/2</t>
  </si>
  <si>
    <t>MANN-&gt;ARG1/2,ARGm-MNR/22</t>
  </si>
  <si>
    <t>"vést-se-002"</t>
  </si>
  <si>
    <t>"vést-si-001"</t>
  </si>
  <si>
    <t>ACT-&gt;ARG0/441,ARG1/3127,ARG2/296,ARGm-MNR/2</t>
  </si>
  <si>
    <t>MANN-&gt;ARG1/123,ARG2/3455,ARGm-MNR/22</t>
  </si>
  <si>
    <t>ACMP-&gt;ARG1/4,ARG2/1,ARG3/45</t>
  </si>
  <si>
    <t>"vést-si-002"</t>
  </si>
  <si>
    <t>"vévodit-001"</t>
  </si>
  <si>
    <t>"vézt-001"</t>
  </si>
  <si>
    <t>"vézt-se-001"</t>
  </si>
  <si>
    <t>"vézt-se-002"</t>
  </si>
  <si>
    <t>"vídat-001"</t>
  </si>
  <si>
    <t>"--vídat-se-001"</t>
  </si>
  <si>
    <t>"vídávat-001"</t>
  </si>
  <si>
    <t>"--vídávat-se-001"</t>
  </si>
  <si>
    <t>"vítat-001"</t>
  </si>
  <si>
    <t>"vítat-002"</t>
  </si>
  <si>
    <t>"vítat-003"</t>
  </si>
  <si>
    <t>"vítat-004"</t>
  </si>
  <si>
    <t>"vítězit-001"</t>
  </si>
  <si>
    <t>?ADDR: nad+7</t>
  </si>
  <si>
    <t>"vířit-001"</t>
  </si>
  <si>
    <t>"výt-001"</t>
  </si>
  <si>
    <t>"včelařit-001"</t>
  </si>
  <si>
    <t>"včlenit-001"</t>
  </si>
  <si>
    <t>ACT-&gt;ARG0/87,ARG1/5</t>
  </si>
  <si>
    <t>PAT-&gt;ARG1/149,ARG2/1</t>
  </si>
  <si>
    <t>"včlenit-se-001"</t>
  </si>
  <si>
    <t>"včleňovat-001"</t>
  </si>
  <si>
    <t>"včleňovat-se-001"</t>
  </si>
  <si>
    <t>"vědět-001"</t>
  </si>
  <si>
    <t>ACT-&gt;ARG0/744,ARG1/3105,ARG2/296</t>
  </si>
  <si>
    <t>PAT: 4; o+6; ↓jak-2; ↓c; ↓zda; ↓že; ↓jestli; .v</t>
  </si>
  <si>
    <t>PAT-&gt;ARG1/937,ARG2/19,ARG3/4</t>
  </si>
  <si>
    <t>"vědět-002"</t>
  </si>
  <si>
    <t>"vědět-003"</t>
  </si>
  <si>
    <t>ACT-&gt;ARG0/301,ARG1/1</t>
  </si>
  <si>
    <t>"vědět-004"</t>
  </si>
  <si>
    <t>ACT-&gt;ARG0/300,ARG1/2</t>
  </si>
  <si>
    <t>EFF: 4; ↓že; ↓zda; ↓jak-2; ↓jestli; ↓c</t>
  </si>
  <si>
    <t>EFF-&gt;ARG1/320,ARG2/97</t>
  </si>
  <si>
    <t>PAT-&gt;ARG1/34,ARG2/3</t>
  </si>
  <si>
    <t>"vědět-005"</t>
  </si>
  <si>
    <t>DPHR: svůj-1</t>
  </si>
  <si>
    <t>"vědět-006"</t>
  </si>
  <si>
    <t>DPHR: to.NS4</t>
  </si>
  <si>
    <t>"vědět-si-001"</t>
  </si>
  <si>
    <t>DPHR: rada-1.S2</t>
  </si>
  <si>
    <t>"věnovat-001"</t>
  </si>
  <si>
    <t>ACT-&gt;ARG0/460,ARG1/1,ARG2/34</t>
  </si>
  <si>
    <t>PAT-&gt;ARG0/1,ARG1/674,ARG2/4</t>
  </si>
  <si>
    <t>ADDR-&gt;ARG1/24,ARG2/549</t>
  </si>
  <si>
    <t>"věnovat-002"</t>
  </si>
  <si>
    <t>PAT-&gt;ARG1/28,ARG2/1</t>
  </si>
  <si>
    <t>ADDR-&gt;ARG1/1,ARG2/33</t>
  </si>
  <si>
    <t>"věnovat-003"</t>
  </si>
  <si>
    <t>ACT-&gt;ARG0/143,ARG1/1,ARG3/1</t>
  </si>
  <si>
    <t>CPHR: {čas,loajalita,péče,pozornost-1,prostor,přízeň,úsilí,úsilí,zájem,...}.4</t>
  </si>
  <si>
    <t>CPHR-&gt;ARG1/52,ARG3/143</t>
  </si>
  <si>
    <t>ADDR-&gt;ARG1/112,ARG3/1</t>
  </si>
  <si>
    <t>ACT-&gt;ARG0/754,ARG1/28</t>
  </si>
  <si>
    <t>CPHR-&gt;ARG0/1,ARG1/1026,ARG2/30</t>
  </si>
  <si>
    <t>ADDR-&gt;ARG0/37,ARG1/61,ARG2/614</t>
  </si>
  <si>
    <t>ACT-&gt;ARG0/214,ARG1/3</t>
  </si>
  <si>
    <t>CPHR-&gt;ARG1/278,ARG2/3</t>
  </si>
  <si>
    <t>ADDR-&gt;ARG1/26,ARG2/151</t>
  </si>
  <si>
    <t>"věnovat-se-001"</t>
  </si>
  <si>
    <t>ACT-&gt;ARG0/477,ARG1/6,ARG3/1</t>
  </si>
  <si>
    <t>PAT-&gt;ARG1/462,ARG2/215</t>
  </si>
  <si>
    <t>"věstit-001"</t>
  </si>
  <si>
    <t>"věstit-002"</t>
  </si>
  <si>
    <t>DPHR: nic.S4[dobrý-1.NS2]</t>
  </si>
  <si>
    <t>"větrat-001"</t>
  </si>
  <si>
    <t>"větrat-002"</t>
  </si>
  <si>
    <t>"větřit-001"</t>
  </si>
  <si>
    <t>"vězet-001"</t>
  </si>
  <si>
    <t>"vězet-002"</t>
  </si>
  <si>
    <t>"věznit-001"</t>
  </si>
  <si>
    <t>"věřit-001"</t>
  </si>
  <si>
    <t>ACT-&gt;ARG0/555,ARG1/3105,ARG2/296</t>
  </si>
  <si>
    <t>PAT: 3; ↓že; ↓c; .v</t>
  </si>
  <si>
    <t>"věřit-002"</t>
  </si>
  <si>
    <t>"věřit-003"</t>
  </si>
  <si>
    <t>ACT-&gt;ARG0/329,ARG1/3</t>
  </si>
  <si>
    <t>PAT-&gt;ARG1/358</t>
  </si>
  <si>
    <t>"věřit-004"</t>
  </si>
  <si>
    <t>ADDR-&gt;ARG1/15</t>
  </si>
  <si>
    <t>?PAT: 4; ↓že; ↓c; .v</t>
  </si>
  <si>
    <t>"věřit-005"</t>
  </si>
  <si>
    <t>ACT-&gt;ARG0/305,ARG1/3</t>
  </si>
  <si>
    <t>EFF-&gt;ARG1/331</t>
  </si>
  <si>
    <t>"věšet-001"</t>
  </si>
  <si>
    <t>"věštit-001"</t>
  </si>
  <si>
    <t>"vřeštět-001"</t>
  </si>
  <si>
    <t>"vřít-001"</t>
  </si>
  <si>
    <t>"vřít-002"</t>
  </si>
  <si>
    <t>"vřít-003"</t>
  </si>
  <si>
    <t>"vřítit-se-001"</t>
  </si>
  <si>
    <t>"všimnout-si-001"</t>
  </si>
  <si>
    <t>ACT-&gt;ARG0/558,ARG1/2</t>
  </si>
  <si>
    <t>PAT-&gt;ARG0/5,ARG1/687,ARG2/2</t>
  </si>
  <si>
    <t>"všimnout-si-002"</t>
  </si>
  <si>
    <t>EFF: ↓že; ↓jak</t>
  </si>
  <si>
    <t>"vštípit-001"</t>
  </si>
  <si>
    <t>"vštěpovat-001"</t>
  </si>
  <si>
    <t>"všímat-si-001"</t>
  </si>
  <si>
    <t>"vžít-se-001"</t>
  </si>
  <si>
    <t>"vžít-se-002"</t>
  </si>
  <si>
    <t>"zabalit-001"</t>
  </si>
  <si>
    <t>"zabalit-002"</t>
  </si>
  <si>
    <t>"zabarikádovat-001"</t>
  </si>
  <si>
    <t>"zabarvit-001"</t>
  </si>
  <si>
    <t>"zabarvit-002"</t>
  </si>
  <si>
    <t>"zabavit-001"</t>
  </si>
  <si>
    <t>"zabavit-002"</t>
  </si>
  <si>
    <t>"zabavit-se-001"</t>
  </si>
  <si>
    <t>"zabavovat-001"</t>
  </si>
  <si>
    <t>"zabavovat-se-001"</t>
  </si>
  <si>
    <t>"zabednit-001"</t>
  </si>
  <si>
    <t>"zabetonovat-001"</t>
  </si>
  <si>
    <t>"zabetonovat-002"</t>
  </si>
  <si>
    <t>"zabetonovat-003"</t>
  </si>
  <si>
    <t>"zabezpečit-001"</t>
  </si>
  <si>
    <t>"zabezpečit-002"</t>
  </si>
  <si>
    <t>"zabezpečovat-001"</t>
  </si>
  <si>
    <t>"zabezpečovat-002"</t>
  </si>
  <si>
    <t>"zablokovat-001"</t>
  </si>
  <si>
    <t>ACT-&gt;ARG0/28,ARG1/2,ARG3/6</t>
  </si>
  <si>
    <t>PAT-&gt;ARG0/1,ARG1/80</t>
  </si>
  <si>
    <t>"zablokovat-002"</t>
  </si>
  <si>
    <t>ACT-&gt;ARG0/19,ARG3/5</t>
  </si>
  <si>
    <t>"zablokovat-se-001"</t>
  </si>
  <si>
    <t>"zabloudit-001"</t>
  </si>
  <si>
    <t>"zablátit-001"</t>
  </si>
  <si>
    <t>"zablýskat-001"</t>
  </si>
  <si>
    <t>"zabodnout-001"</t>
  </si>
  <si>
    <t>"zabodnout-002"</t>
  </si>
  <si>
    <t>"zabodovat-001"</t>
  </si>
  <si>
    <t>"zabolet-001"</t>
  </si>
  <si>
    <t>"zabouchat-001"</t>
  </si>
  <si>
    <t>"zabouchnout-001"</t>
  </si>
  <si>
    <t>"zabouchnout-se-001"</t>
  </si>
  <si>
    <t>"zabořit-001"</t>
  </si>
  <si>
    <t>"zabrat-001"</t>
  </si>
  <si>
    <t>ACT-&gt;ARG0/60,ARG1/3,ARG2/1</t>
  </si>
  <si>
    <t>"zabrat-002"</t>
  </si>
  <si>
    <t>ACT: 1; ↓než-3</t>
  </si>
  <si>
    <t>ACT-&gt;ARG0/47,ARG1/2,ARG2/1</t>
  </si>
  <si>
    <t>ACT-&gt;ARG0/259,ARG1/28,ARG2/1</t>
  </si>
  <si>
    <t>PAT-&gt;ARG1/293,ARG2/26</t>
  </si>
  <si>
    <t>"zabrat-003"</t>
  </si>
  <si>
    <t>"zabrat-004"</t>
  </si>
  <si>
    <t>"zabrat-005"</t>
  </si>
  <si>
    <t>"zabrat-006"</t>
  </si>
  <si>
    <t>"zabrat-007"</t>
  </si>
  <si>
    <t>ACT-&gt;ARG0/68,ARG1/3112,ARG2/296</t>
  </si>
  <si>
    <t>"zabrat-008"</t>
  </si>
  <si>
    <t>"zabrat-009"</t>
  </si>
  <si>
    <t>"zabrat-010"</t>
  </si>
  <si>
    <t>"zabrat-se-001"</t>
  </si>
  <si>
    <t>"zabraňovat-001"</t>
  </si>
  <si>
    <t>ACT-&gt;ARG0/29,ARG3/10</t>
  </si>
  <si>
    <t>PAT: v+6; ↓aby; .f</t>
  </si>
  <si>
    <t>PAT-&gt;ARG2/69</t>
  </si>
  <si>
    <t>ADDR-&gt;ARG1/70</t>
  </si>
  <si>
    <t>"zabraňovat-002"</t>
  </si>
  <si>
    <t>ACT-&gt;ARG0/86,ARG3/13</t>
  </si>
  <si>
    <t>PAT-&gt;ARG1/196,ARG2/56</t>
  </si>
  <si>
    <t>"zabrnkat-001"</t>
  </si>
  <si>
    <t>"zabrnkat-002"</t>
  </si>
  <si>
    <t>"zabrousit-001"</t>
  </si>
  <si>
    <t>"zabručet-001"</t>
  </si>
  <si>
    <t>PAT: ↓že; ↓c; .s</t>
  </si>
  <si>
    <t>"zabrzdit-001"</t>
  </si>
  <si>
    <t>"zabrzdit-002"</t>
  </si>
  <si>
    <t>"zabránit-001"</t>
  </si>
  <si>
    <t>ACT-&gt;ARG0/111,ARG3/16</t>
  </si>
  <si>
    <t>PAT: v+6; .f; ↓aby</t>
  </si>
  <si>
    <t>PAT-&gt;ARG1/72,ARG2/137</t>
  </si>
  <si>
    <t>ADDR-&gt;ARG1/269</t>
  </si>
  <si>
    <t>"zabránit-002"</t>
  </si>
  <si>
    <t>ACT-&gt;ARG0/119,ARG3/13</t>
  </si>
  <si>
    <t>PAT-&gt;ARG1/349</t>
  </si>
  <si>
    <t>ACT-&gt;ARG0/164,ARG1/2,ARG3/25</t>
  </si>
  <si>
    <t>PAT-&gt;ARG0/1,ARG1/416,ARG2/77</t>
  </si>
  <si>
    <t>"zabudovat-001"</t>
  </si>
  <si>
    <t>"zabudovat-002"</t>
  </si>
  <si>
    <t>"zabušit-001"</t>
  </si>
  <si>
    <t>"zabydlet-se-001"</t>
  </si>
  <si>
    <t>"zabydlovat-se-001"</t>
  </si>
  <si>
    <t>"zabíhat-001"</t>
  </si>
  <si>
    <t>"zabíhat-002"</t>
  </si>
  <si>
    <t>"zabíjet-001"</t>
  </si>
  <si>
    <t>"zabíjet-se-001"</t>
  </si>
  <si>
    <t>"zabírat-001"</t>
  </si>
  <si>
    <t>"zabírat-002"</t>
  </si>
  <si>
    <t>"zabírat-003"</t>
  </si>
  <si>
    <t>"zabírat-004"</t>
  </si>
  <si>
    <t>"zabírat-005"</t>
  </si>
  <si>
    <t>EXT-&gt;ARG1/6</t>
  </si>
  <si>
    <t>"zabírat-006"</t>
  </si>
  <si>
    <t>"zabírat-007"</t>
  </si>
  <si>
    <t>"zabít-001"</t>
  </si>
  <si>
    <t>"zabít-002"</t>
  </si>
  <si>
    <t>DPHR: čas.S4</t>
  </si>
  <si>
    <t>"zabít-se-001"</t>
  </si>
  <si>
    <t>"zabývat-se-001"</t>
  </si>
  <si>
    <t>ACT-&gt;ARG0/463,ARG1/321,ARG2/56,ARG3/1</t>
  </si>
  <si>
    <t>PAT-&gt;ARG0/24,ARG1/1190,ARG2/175</t>
  </si>
  <si>
    <t>ACT-&gt;ARG0/96,ARG1/20,ARG2/49</t>
  </si>
  <si>
    <t>PAT-&gt;ARG1/281,ARG2/14</t>
  </si>
  <si>
    <t>"zaběhnout-001"</t>
  </si>
  <si>
    <t>"zaběhnout-002"</t>
  </si>
  <si>
    <t>"zaběhnout-003"</t>
  </si>
  <si>
    <t>"zaběhávat-001"</t>
  </si>
  <si>
    <t>"zabřednout-001"</t>
  </si>
  <si>
    <t>"zacelit-001"</t>
  </si>
  <si>
    <t>"zacelit-se-001"</t>
  </si>
  <si>
    <t>"zacelovat-001"</t>
  </si>
  <si>
    <t>"zacelovat-002"</t>
  </si>
  <si>
    <t>"zachovat-001"</t>
  </si>
  <si>
    <t>"zachovat-002"</t>
  </si>
  <si>
    <t>"zachovat-003"</t>
  </si>
  <si>
    <t>ACT-&gt;ARG0/532,ARG1/163</t>
  </si>
  <si>
    <t>PAT-&gt;ARG0/2,ARG1/799,ARG2/4</t>
  </si>
  <si>
    <t>"zachovat-004"</t>
  </si>
  <si>
    <t>"zachovat-005"</t>
  </si>
  <si>
    <t>"zachovat-006"</t>
  </si>
  <si>
    <t>DPHR: hlava.S4[chladná.#]</t>
  </si>
  <si>
    <t>"zachovat-se-001"</t>
  </si>
  <si>
    <t>"zachovat-se-002"</t>
  </si>
  <si>
    <t>ACT-&gt;ARG0/4,ARG1/108</t>
  </si>
  <si>
    <t>"zachovat-si-001"</t>
  </si>
  <si>
    <t>ACT-&gt;ARG0/150</t>
  </si>
  <si>
    <t>"zachovávat-001"</t>
  </si>
  <si>
    <t>"zachovávat-002"</t>
  </si>
  <si>
    <t>"zachovávat-003"</t>
  </si>
  <si>
    <t>"zachraňovat-001"</t>
  </si>
  <si>
    <t>"zachránit-001"</t>
  </si>
  <si>
    <t>PAT-&gt;ARG0/5,ARG1/76</t>
  </si>
  <si>
    <t>?EFF: před+7; od+2</t>
  </si>
  <si>
    <t>EFF-&gt;ARG1/5,ARG2/9</t>
  </si>
  <si>
    <t>"zachránit-002"</t>
  </si>
  <si>
    <t>ACT-&gt;ARG0/23,ARG1/1,ARG3/9</t>
  </si>
  <si>
    <t>PAT-&gt;ARG1/95,ARG2/2</t>
  </si>
  <si>
    <t>"zachránit-se-001"</t>
  </si>
  <si>
    <t>"zachtít-se-001"</t>
  </si>
  <si>
    <t>PAT: 2; 4; .f</t>
  </si>
  <si>
    <t>"zachutnat-001"</t>
  </si>
  <si>
    <t>"zachvacovat-001"</t>
  </si>
  <si>
    <t>"zachvátit-001"</t>
  </si>
  <si>
    <t>PAT-&gt;ARG1/1,ARG2/4</t>
  </si>
  <si>
    <t>"zachvět-se-001"</t>
  </si>
  <si>
    <t>"zachycovat-001"</t>
  </si>
  <si>
    <t>"zachycovat-002"</t>
  </si>
  <si>
    <t>"zachycovat-003"</t>
  </si>
  <si>
    <t>"zachytat-si-001"</t>
  </si>
  <si>
    <t>"zachytit-001"</t>
  </si>
  <si>
    <t>"zachytit-002"</t>
  </si>
  <si>
    <t>"zachytit-003"</t>
  </si>
  <si>
    <t>"zachytit-004"</t>
  </si>
  <si>
    <t>"zachytit-005"</t>
  </si>
  <si>
    <t>"zachytit-006"</t>
  </si>
  <si>
    <t>"zachytit-se-001"</t>
  </si>
  <si>
    <t>"zachytávat-001"</t>
  </si>
  <si>
    <t>"zacházet-001"</t>
  </si>
  <si>
    <t>PAT-&gt;ARG0/249,ARG1/63</t>
  </si>
  <si>
    <t>MANN-&gt;ARG1/3,ARG2/22,ARG3/6</t>
  </si>
  <si>
    <t>"zacházet-002"</t>
  </si>
  <si>
    <t>"zacházet-003"</t>
  </si>
  <si>
    <t>DPHR: do-1[krajnost.P2]</t>
  </si>
  <si>
    <t>"zacházet-004"</t>
  </si>
  <si>
    <t>"zacházet-005"</t>
  </si>
  <si>
    <t>DPHR: do-1[detail.P2]</t>
  </si>
  <si>
    <t>"zacházet-006"</t>
  </si>
  <si>
    <t>ACT-&gt;ARG0/1,ARG1/80</t>
  </si>
  <si>
    <t>"zacházet-007"</t>
  </si>
  <si>
    <t>"zaclonit-001"</t>
  </si>
  <si>
    <t>"zacpat-001"</t>
  </si>
  <si>
    <t>"zacvaknout-001"</t>
  </si>
  <si>
    <t>"zacvičit-001"</t>
  </si>
  <si>
    <t>"zacvičit-002"</t>
  </si>
  <si>
    <t>"zacvičit-si-001"</t>
  </si>
  <si>
    <t>"zacvičovat-001"</t>
  </si>
  <si>
    <t>"zacílit-001"</t>
  </si>
  <si>
    <t>"zacílit-002"</t>
  </si>
  <si>
    <t>"zadaptovat-001"</t>
  </si>
  <si>
    <t>"zadat-001"</t>
  </si>
  <si>
    <t>ACT-&gt;ARG0/376,ARG1/2</t>
  </si>
  <si>
    <t>PAT-&gt;ARG1/447</t>
  </si>
  <si>
    <t>ADDR-&gt;ARG1/2,ARG2/380</t>
  </si>
  <si>
    <t>"zadat-002"</t>
  </si>
  <si>
    <t>CPHR: {příkaz}.4</t>
  </si>
  <si>
    <t>"zadat-003"</t>
  </si>
  <si>
    <t>"zadat-004"</t>
  </si>
  <si>
    <t>"zadat-si-001"</t>
  </si>
  <si>
    <t>PAT: s+7; před+7</t>
  </si>
  <si>
    <t>"zadlužit-001"</t>
  </si>
  <si>
    <t>"zadlužit-se-001"</t>
  </si>
  <si>
    <t>"zadlužovat-001"</t>
  </si>
  <si>
    <t>"zadministrovat-001"</t>
  </si>
  <si>
    <t>"zadrhnout-se-001"</t>
  </si>
  <si>
    <t>ACT-&gt;ARG1/122,ARG2/1</t>
  </si>
  <si>
    <t>"zadrhávat-se-001"</t>
  </si>
  <si>
    <t>"zadržet-001"</t>
  </si>
  <si>
    <t>"zadržet-002"</t>
  </si>
  <si>
    <t>"zadržet-003"</t>
  </si>
  <si>
    <t>ACT-&gt;ARG0/185,ARG1/2</t>
  </si>
  <si>
    <t>"zadržovat-001"</t>
  </si>
  <si>
    <t>"zadržovat-002"</t>
  </si>
  <si>
    <t>"zadusit-001"</t>
  </si>
  <si>
    <t>"zadusit-se-001"</t>
  </si>
  <si>
    <t>"zadávat-001"</t>
  </si>
  <si>
    <t>PAT-&gt;ARG1/370</t>
  </si>
  <si>
    <t>ADDR-&gt;ARG1/8,ARG2/245</t>
  </si>
  <si>
    <t>"zadávat-002"</t>
  </si>
  <si>
    <t>"zadávat-003"</t>
  </si>
  <si>
    <t>"zadívat-se-001"</t>
  </si>
  <si>
    <t>"zadýchávat-se-001"</t>
  </si>
  <si>
    <t>"zadělat-001"</t>
  </si>
  <si>
    <t>"zaevidovat-001"</t>
  </si>
  <si>
    <t>"zafixovat-001"</t>
  </si>
  <si>
    <t>"zafungovat-001"</t>
  </si>
  <si>
    <t>"zagitovat-001"</t>
  </si>
  <si>
    <t>"zahajovat-001"</t>
  </si>
  <si>
    <t>ACT-&gt;ARG0/109,ARG1/104,ARG2/3</t>
  </si>
  <si>
    <t>PAT-&gt;ARG0/1,ARG1/166</t>
  </si>
  <si>
    <t>"zahajovat-002"</t>
  </si>
  <si>
    <t>"zahajovat-003"</t>
  </si>
  <si>
    <t>"--zahajovat-004"</t>
  </si>
  <si>
    <t>"zahalit-001"</t>
  </si>
  <si>
    <t>ACT-&gt;ARG0/14,ARG2/3</t>
  </si>
  <si>
    <t>PAT-&gt;ARG1/4,ARG2/21</t>
  </si>
  <si>
    <t>"zahalovat-001"</t>
  </si>
  <si>
    <t>"zahanbit-001"</t>
  </si>
  <si>
    <t>"zahaprovat-001"</t>
  </si>
  <si>
    <t>"zahazovat-001"</t>
  </si>
  <si>
    <t>"zahladit-001"</t>
  </si>
  <si>
    <t>"zahlazovat-001"</t>
  </si>
  <si>
    <t>"zahledět-se-001"</t>
  </si>
  <si>
    <t>"zahlodat-001"</t>
  </si>
  <si>
    <t>ACT: v+6</t>
  </si>
  <si>
    <t>DPHR: červík.1; červík.1[pochybnost.2]</t>
  </si>
  <si>
    <t>?PAT: ↓zda</t>
  </si>
  <si>
    <t>"zahloubat-se-001"</t>
  </si>
  <si>
    <t>"zahltit-001"</t>
  </si>
  <si>
    <t>ACT-&gt;ARG0/5,ARG2/5</t>
  </si>
  <si>
    <t>"zahltit-se-001"</t>
  </si>
  <si>
    <t>"zahlédnout-001"</t>
  </si>
  <si>
    <t>"zahnat-001"</t>
  </si>
  <si>
    <t>"zahnat-002"</t>
  </si>
  <si>
    <t>"zahnat-003"</t>
  </si>
  <si>
    <t>"zahnat-004"</t>
  </si>
  <si>
    <t>"zahnat-005"</t>
  </si>
  <si>
    <t>DPHR: do-1[kout.2]</t>
  </si>
  <si>
    <t>"zahnout-001"</t>
  </si>
  <si>
    <t>"zahnout-002"</t>
  </si>
  <si>
    <t>"zahodit-001"</t>
  </si>
  <si>
    <t>"zahodit-002"</t>
  </si>
  <si>
    <t>"zahojit-001"</t>
  </si>
  <si>
    <t>"zahojit-se-001"</t>
  </si>
  <si>
    <t>"zahojit-se-002"</t>
  </si>
  <si>
    <t>"zahoukat-001"</t>
  </si>
  <si>
    <t>"zahrabat-001"</t>
  </si>
  <si>
    <t>"zahrabat-002"</t>
  </si>
  <si>
    <t>"zahradit-001"</t>
  </si>
  <si>
    <t>ACT-&gt;ARG0/19,ARG3/3</t>
  </si>
  <si>
    <t>PAT-&gt;ARG0/1,ARG1/52</t>
  </si>
  <si>
    <t>"zahradit-002"</t>
  </si>
  <si>
    <t>"zahradničit-001"</t>
  </si>
  <si>
    <t>"zahrnout-001"</t>
  </si>
  <si>
    <t>"zahrnout-002"</t>
  </si>
  <si>
    <t>ACT-&gt;ARG0/9,ARG2/26</t>
  </si>
  <si>
    <t>PAT-&gt;ARG1/1030,ARG2/2</t>
  </si>
  <si>
    <t>LOC-&gt;ARG0/6,ARG1/3,ARG2/427</t>
  </si>
  <si>
    <t>"zahrnout-003"</t>
  </si>
  <si>
    <t>ACT-&gt;ARG0/724,ARG1/6,ARG2/454</t>
  </si>
  <si>
    <t>PAT-&gt;ARG1/1826,ARG2/156</t>
  </si>
  <si>
    <t>DIR3-&gt;ARG0/53,ARG1/163,ARG2/46</t>
  </si>
  <si>
    <t>"zahrnout-004"</t>
  </si>
  <si>
    <t>ACT-&gt;ARG0/6,ARG1/3,ARG2/427</t>
  </si>
  <si>
    <t>PAT-&gt;ARG1/919,ARG2/2</t>
  </si>
  <si>
    <t>"zahrnovat-001"</t>
  </si>
  <si>
    <t>"zahrnovat-002"</t>
  </si>
  <si>
    <t>ACT-&gt;ARG0/8,ARG1/3,ARG2/427</t>
  </si>
  <si>
    <t>PAT-&gt;ARG1/1024,ARG2/2</t>
  </si>
  <si>
    <t>"zahrnovat-003"</t>
  </si>
  <si>
    <t>ACT-&gt;ARG0/2334,ARG1/77,ARG2/752</t>
  </si>
  <si>
    <t>PAT-&gt;ARG0/3,ARG1/4114,ARG2/122</t>
  </si>
  <si>
    <t>"zahrozit-001"</t>
  </si>
  <si>
    <t>"zahrát-001"</t>
  </si>
  <si>
    <t>ACT-&gt;ARG0/41,ARG1/2</t>
  </si>
  <si>
    <t>"zahrát-002"</t>
  </si>
  <si>
    <t>ACT-&gt;ARG0/87,ARG1/2,ARG2/22</t>
  </si>
  <si>
    <t>"zahrát-003"</t>
  </si>
  <si>
    <t>"zahrát-004"</t>
  </si>
  <si>
    <t>DPHR: na-1[emoce.S4]</t>
  </si>
  <si>
    <t>"zahrát-si-001"</t>
  </si>
  <si>
    <t>"zahrát-si-002"</t>
  </si>
  <si>
    <t>ACT-&gt;ARG0/50,ARG1/2</t>
  </si>
  <si>
    <t>PAT: 4; na+4; s+7</t>
  </si>
  <si>
    <t>"zahrávat-001"</t>
  </si>
  <si>
    <t>"zahrávat-si-001"</t>
  </si>
  <si>
    <t>"zahubit-001"</t>
  </si>
  <si>
    <t>"zahubit-002"</t>
  </si>
  <si>
    <t>"zahynout-001"</t>
  </si>
  <si>
    <t>ACT-&gt;ARG1/147</t>
  </si>
  <si>
    <t>"zahájit-001"</t>
  </si>
  <si>
    <t>ACT-&gt;ARG0/795,ARG1/1023,ARG2/15</t>
  </si>
  <si>
    <t>PAT-&gt;ARG0/3,ARG1/1215,ARG2/863</t>
  </si>
  <si>
    <t>"zahájit-002"</t>
  </si>
  <si>
    <t>ACT-&gt;ARG0/3,ARG1/212</t>
  </si>
  <si>
    <t>"zahájit-003"</t>
  </si>
  <si>
    <t>"zaháknout-001"</t>
  </si>
  <si>
    <t>"zahálet-001"</t>
  </si>
  <si>
    <t>"zahánět-001"</t>
  </si>
  <si>
    <t>"zahánět-002"</t>
  </si>
  <si>
    <t>"zahánět-003"</t>
  </si>
  <si>
    <t>DPHR-&gt;ARG1/73</t>
  </si>
  <si>
    <t>"zaházet-001"</t>
  </si>
  <si>
    <t>"zahýbat-001"</t>
  </si>
  <si>
    <t>"zahýbat-002"</t>
  </si>
  <si>
    <t>"zahýbat-si-001"</t>
  </si>
  <si>
    <t>DPHR: karta.P7</t>
  </si>
  <si>
    <t>"zahřát-001"</t>
  </si>
  <si>
    <t>"zahřát-002"</t>
  </si>
  <si>
    <t>"zahřát-se-001"</t>
  </si>
  <si>
    <t>"zahřívat-001"</t>
  </si>
  <si>
    <t>"zainteresovat-001"</t>
  </si>
  <si>
    <t>ADDR-&gt;ARG0/19,ARG1/3103,ARG2/296</t>
  </si>
  <si>
    <t>"zainvestovat-001"</t>
  </si>
  <si>
    <t>"zajet-001"</t>
  </si>
  <si>
    <t>"zajet-002"</t>
  </si>
  <si>
    <t>"zajet-003"</t>
  </si>
  <si>
    <t>"zajet-004"</t>
  </si>
  <si>
    <t>"zajet-si-001"</t>
  </si>
  <si>
    <t>"zajezdit-si-001"</t>
  </si>
  <si>
    <t>"zajiskřit-001"</t>
  </si>
  <si>
    <t>"zajiskřit-002"</t>
  </si>
  <si>
    <t>"zajistit-001"</t>
  </si>
  <si>
    <t>ACT-&gt;ARG0/1367,ARG1/3</t>
  </si>
  <si>
    <t>PAT-&gt;ARG0/1,ARG1/1941,ARG2/43,ARG3/1</t>
  </si>
  <si>
    <t>ADDR-&gt;ARG1/58,ARG2/639,ARG3/5</t>
  </si>
  <si>
    <t>"zajistit-002"</t>
  </si>
  <si>
    <t>"zajistit-003"</t>
  </si>
  <si>
    <t>"zajistit-004"</t>
  </si>
  <si>
    <t>"zajišťovat-001"</t>
  </si>
  <si>
    <t>ACT-&gt;ARG0/629,ARG1/1</t>
  </si>
  <si>
    <t>PAT-&gt;ARG1/959,ARG2/25</t>
  </si>
  <si>
    <t>ADDR-&gt;ARG1/22,ARG2/432,ARG3/1</t>
  </si>
  <si>
    <t>"zajišťovat-002"</t>
  </si>
  <si>
    <t>ACT-&gt;ARG1/386</t>
  </si>
  <si>
    <t>PAT-&gt;ARG0/254</t>
  </si>
  <si>
    <t>"zajišťovat-003"</t>
  </si>
  <si>
    <t>"zajmout-001"</t>
  </si>
  <si>
    <t>"zajásat-001"</t>
  </si>
  <si>
    <t>"zajímat-001"</t>
  </si>
  <si>
    <t>"zajímat-002"</t>
  </si>
  <si>
    <t>ACT-&gt;ARG0/102,ARG1/26</t>
  </si>
  <si>
    <t>PAT-&gt;ARG0/24,ARG1/137,ARG2/13</t>
  </si>
  <si>
    <t>"zajímat-se-001"</t>
  </si>
  <si>
    <t>ACT-&gt;ARG0/165,ARG1/20</t>
  </si>
  <si>
    <t>PAT: o+4; ↓jestli; ↓zda; ↓c</t>
  </si>
  <si>
    <t>PAT-&gt;ARG0/24,ARG1/190,ARG2/21</t>
  </si>
  <si>
    <t>"zajímkovat-001"</t>
  </si>
  <si>
    <t>"zajít-001"</t>
  </si>
  <si>
    <t>ACT-&gt;ARG0/4,ARG1/110,ARG2/1</t>
  </si>
  <si>
    <t>"zajít-002"</t>
  </si>
  <si>
    <t>"zajít-003"</t>
  </si>
  <si>
    <t>"zajít-si-001"</t>
  </si>
  <si>
    <t>"zajíždět-001"</t>
  </si>
  <si>
    <t>"zakalkulovat-001"</t>
  </si>
  <si>
    <t>"zakalkulovat-002"</t>
  </si>
  <si>
    <t>"zakalkulovávat-001"</t>
  </si>
  <si>
    <t>"zakalkulovávat-002"</t>
  </si>
  <si>
    <t>"zakazovat-001"</t>
  </si>
  <si>
    <t>ACT-&gt;ARG0/73,ARG1/1,ARG3/10</t>
  </si>
  <si>
    <t>PAT-&gt;ARG1/82,ARG2/90</t>
  </si>
  <si>
    <t>ADDR-&gt;ARG1/91,ARG2/13</t>
  </si>
  <si>
    <t>"zakleknout-001"</t>
  </si>
  <si>
    <t>"zaklepat-001"</t>
  </si>
  <si>
    <t>"zaklepat-002"</t>
  </si>
  <si>
    <t>DPHR: ten.NS4,na-1[dřevo.S4]</t>
  </si>
  <si>
    <t>"zaklepat-003"</t>
  </si>
  <si>
    <t>"zaklesnout-001"</t>
  </si>
  <si>
    <t>"zaklopýtnout-001"</t>
  </si>
  <si>
    <t>"zakládat-001"</t>
  </si>
  <si>
    <t>ACT-&gt;ARG0/430,ARG1/70,ARG2/3</t>
  </si>
  <si>
    <t>PAT-&gt;ARG1/692</t>
  </si>
  <si>
    <t>ORIG-&gt;ARG2/204</t>
  </si>
  <si>
    <t>"zakládat-002"</t>
  </si>
  <si>
    <t>"zakládat-003"</t>
  </si>
  <si>
    <t>"zakládat-004"</t>
  </si>
  <si>
    <t>"zakládat-005"</t>
  </si>
  <si>
    <t>"zakládat-se-001"</t>
  </si>
  <si>
    <t>ACT-&gt;ARG1/129</t>
  </si>
  <si>
    <t>PAT-&gt;ARG2/275</t>
  </si>
  <si>
    <t>"zakládat-si-001"</t>
  </si>
  <si>
    <t>PAT: na+6; ↓aby</t>
  </si>
  <si>
    <t>"zaklínit-001"</t>
  </si>
  <si>
    <t>"zaklínit-002"</t>
  </si>
  <si>
    <t>"zaklít-001"</t>
  </si>
  <si>
    <t>"zaknihovat-001"</t>
  </si>
  <si>
    <t>"zakoktávat-se-001"</t>
  </si>
  <si>
    <t>"zakolísat-001"</t>
  </si>
  <si>
    <t>?PAT: ↓zda; ↓jestli; ↓c; .s</t>
  </si>
  <si>
    <t>"zakolísat-002"</t>
  </si>
  <si>
    <t>"zakomponovat-001"</t>
  </si>
  <si>
    <t>"zakomponovat-002"</t>
  </si>
  <si>
    <t>"zakonzervovat-001"</t>
  </si>
  <si>
    <t>"zakončit-001"</t>
  </si>
  <si>
    <t>ACT-&gt;ARG0/9,ARG1/108</t>
  </si>
  <si>
    <t>PAT-&gt;ARG1/19,ARGm-EXT/40,ARGm-MNR/21</t>
  </si>
  <si>
    <t>"zakončit-002"</t>
  </si>
  <si>
    <t>ACT-&gt;ARG0/27,ARG1/3578,ARG2/296</t>
  </si>
  <si>
    <t>LOC-&gt;ARG1/1,ARG2/14,ARG4/29,ARGm-EXT/397,ARGm-MNR/284</t>
  </si>
  <si>
    <t>MANN-&gt;ARG2/10</t>
  </si>
  <si>
    <t xml:space="preserve">ALT-ACMP: </t>
  </si>
  <si>
    <t>ACMP-&gt;ARG1/121,ARG2/3451,ARGm-EXT/1,ARGm-MNR/2</t>
  </si>
  <si>
    <t>LOC-&gt;ARG2/14,ARG4/29,ARGm-EXT/40,ARGm-MNR/21</t>
  </si>
  <si>
    <t>MANN-&gt;ARG2/14,ARG4/29</t>
  </si>
  <si>
    <t>"zakopat-001"</t>
  </si>
  <si>
    <t>"zakopat-002"</t>
  </si>
  <si>
    <t>"zakopat-003"</t>
  </si>
  <si>
    <t>DPHR: sekera.S4[válečný.#]</t>
  </si>
  <si>
    <t>DPHR-&gt;ARG1/7</t>
  </si>
  <si>
    <t>"zakopat-004"</t>
  </si>
  <si>
    <t>"zakopat-se-001"</t>
  </si>
  <si>
    <t>"zakopnout-001"</t>
  </si>
  <si>
    <t>"zakopávat-001"</t>
  </si>
  <si>
    <t>"zakopávat-002"</t>
  </si>
  <si>
    <t>"zakopávat-003"</t>
  </si>
  <si>
    <t>"zakotvit-001"</t>
  </si>
  <si>
    <t>PAT-&gt;ARG1/106</t>
  </si>
  <si>
    <t>"zakotvit-002"</t>
  </si>
  <si>
    <t>"zakotvit-003"</t>
  </si>
  <si>
    <t>"zakotvovat-001"</t>
  </si>
  <si>
    <t>"zakotvovat-002"</t>
  </si>
  <si>
    <t>"zakotvovat-003"</t>
  </si>
  <si>
    <t>LOC-&gt;ARG0/2</t>
  </si>
  <si>
    <t>"zakoukat-se-001"</t>
  </si>
  <si>
    <t>"zakoukat-se-002"</t>
  </si>
  <si>
    <t>"zakoupit-001"</t>
  </si>
  <si>
    <t>ACT-&gt;ARG0/646,ARG1/1</t>
  </si>
  <si>
    <t>PAT-&gt;ARG0/2,ARG1/1200,ARG3/1</t>
  </si>
  <si>
    <t>ORIG-&gt;ARG1/1,ARG2/87</t>
  </si>
  <si>
    <t>"zakousnout-001"</t>
  </si>
  <si>
    <t>"zakousnout-se-001"</t>
  </si>
  <si>
    <t>"zakousnout-se-002"</t>
  </si>
  <si>
    <t>"zakouřit-si-001"</t>
  </si>
  <si>
    <t>"zakoušet-001"</t>
  </si>
  <si>
    <t>"zakořenit-001"</t>
  </si>
  <si>
    <t>"zakrajovat-001"</t>
  </si>
  <si>
    <t>"zakreslit-001"</t>
  </si>
  <si>
    <t>"zakreslovat-001"</t>
  </si>
  <si>
    <t>"zakrnět-001"</t>
  </si>
  <si>
    <t>"zakroutit-001"</t>
  </si>
  <si>
    <t>"zakročit-001"</t>
  </si>
  <si>
    <t>ACT-&gt;ARG0/207,ARG1/168</t>
  </si>
  <si>
    <t>?PAT: proti+3; vůči+3; prospěch.S4[v-1,.u#]; prospěch.S4[v-1,.2]</t>
  </si>
  <si>
    <t>PAT-&gt;ARG1/13,ARG2/144</t>
  </si>
  <si>
    <t>"zakročovat-001"</t>
  </si>
  <si>
    <t>"zakrýt-001"</t>
  </si>
  <si>
    <t>ACT-&gt;ARG0/89,ARG2/4</t>
  </si>
  <si>
    <t>"zakrýt-002"</t>
  </si>
  <si>
    <t>"zakrývat-001"</t>
  </si>
  <si>
    <t>"zakrývat-002"</t>
  </si>
  <si>
    <t>"zaktivizovat-001"</t>
  </si>
  <si>
    <t>"zaktivovat-001"</t>
  </si>
  <si>
    <t>"zaktualizovat-001"</t>
  </si>
  <si>
    <t>"zakuplovat-001"</t>
  </si>
  <si>
    <t>"zakusit-001"</t>
  </si>
  <si>
    <t>ACT-&gt;ARG0/109,ARG1/2</t>
  </si>
  <si>
    <t>"zakusovat-se-001"</t>
  </si>
  <si>
    <t>"zakusovat-se-002"</t>
  </si>
  <si>
    <t>"zakusovat-se-003"</t>
  </si>
  <si>
    <t>"zakázat-001"</t>
  </si>
  <si>
    <t>ACT-&gt;ARG0/48,ARG1/1</t>
  </si>
  <si>
    <t>PAT-&gt;ARG1/93,ARG2/22</t>
  </si>
  <si>
    <t>"zakódovat-001"</t>
  </si>
  <si>
    <t>"zakódovat-002"</t>
  </si>
  <si>
    <t>"zakřiknout-001"</t>
  </si>
  <si>
    <t>"zakřiknout-002"</t>
  </si>
  <si>
    <t>"zakřivovat-001"</t>
  </si>
  <si>
    <t>"zakřičet-001"</t>
  </si>
  <si>
    <t>"zakřičet-si-001"</t>
  </si>
  <si>
    <t>"zalapat-001"</t>
  </si>
  <si>
    <t>"zalehnout-001"</t>
  </si>
  <si>
    <t>"zaleknout-se-001"</t>
  </si>
  <si>
    <t>"zalepit-001"</t>
  </si>
  <si>
    <t>"zalepit-002"</t>
  </si>
  <si>
    <t>"zalepovat-001"</t>
  </si>
  <si>
    <t>"zalesňovat-001"</t>
  </si>
  <si>
    <t>"zalhat-001"</t>
  </si>
  <si>
    <t>"zalichotit-001"</t>
  </si>
  <si>
    <t>"zalidnit-001"</t>
  </si>
  <si>
    <t>"zalistovat-001"</t>
  </si>
  <si>
    <t>"zalitovat-001"</t>
  </si>
  <si>
    <t>"založit-001"</t>
  </si>
  <si>
    <t>ACT-&gt;ARG0/687,ARG1/69,ARG2/4</t>
  </si>
  <si>
    <t>PAT-&gt;ARG1/1070,ARG2/1</t>
  </si>
  <si>
    <t>ORIG-&gt;ARG2/287</t>
  </si>
  <si>
    <t>"založit-002"</t>
  </si>
  <si>
    <t>"založit-003"</t>
  </si>
  <si>
    <t>"založit-004"</t>
  </si>
  <si>
    <t>"založit-005"</t>
  </si>
  <si>
    <t>"zalykat-se-001"</t>
  </si>
  <si>
    <t>"zalyžovat-si-001"</t>
  </si>
  <si>
    <t>"zalévat-001"</t>
  </si>
  <si>
    <t>"zalézat-001"</t>
  </si>
  <si>
    <t>"zalézt-001"</t>
  </si>
  <si>
    <t>"zalíbit-se-001"</t>
  </si>
  <si>
    <t>"zalít-001"</t>
  </si>
  <si>
    <t>"zalít-002"</t>
  </si>
  <si>
    <t>"zalít-003"</t>
  </si>
  <si>
    <t>"zalít-se-001"</t>
  </si>
  <si>
    <t>"zalívat-001"</t>
  </si>
  <si>
    <t>"zamanout-si-001"</t>
  </si>
  <si>
    <t>"zamaskovat-001"</t>
  </si>
  <si>
    <t>"zamerikanizovat-001"</t>
  </si>
  <si>
    <t>"zametat-001"</t>
  </si>
  <si>
    <t>"zamezit-001"</t>
  </si>
  <si>
    <t>ACT-&gt;ARG0/4,ARG3/3</t>
  </si>
  <si>
    <t>PAT: v+6; 4; .f; ↓aby</t>
  </si>
  <si>
    <t>ADDR-&gt;ARG1/18</t>
  </si>
  <si>
    <t>"zamezit-002"</t>
  </si>
  <si>
    <t>ACT-&gt;ARG0/70,ARG3/6</t>
  </si>
  <si>
    <t>PAT-&gt;ARG0/1,ARG1/180,ARG2/19</t>
  </si>
  <si>
    <t>"zamezovat-001"</t>
  </si>
  <si>
    <t>ACT-&gt;ARG0/17,ARG3/10</t>
  </si>
  <si>
    <t>PAT-&gt;ARG2/57</t>
  </si>
  <si>
    <t>"zamezovat-002"</t>
  </si>
  <si>
    <t>ACT-&gt;ARG0/298,ARG2/1,ARG3/3</t>
  </si>
  <si>
    <t>PAT: 4; 3; ↓aby</t>
  </si>
  <si>
    <t>PAT-&gt;ARG1/472</t>
  </si>
  <si>
    <t>"zameškat-001"</t>
  </si>
  <si>
    <t>"zamhouřit-001"</t>
  </si>
  <si>
    <t>"zamilovat-se-001"</t>
  </si>
  <si>
    <t>PAT-&gt;ARG2/3,ARG4/1</t>
  </si>
  <si>
    <t>"zamilovat-si-001"</t>
  </si>
  <si>
    <t>"zamilovávat-se-001"</t>
  </si>
  <si>
    <t>"zamknout-001"</t>
  </si>
  <si>
    <t>"zamknout-002"</t>
  </si>
  <si>
    <t>"zamlouvat-se-001"</t>
  </si>
  <si>
    <t>ACT-&gt;ARG0/57,ARG1/19</t>
  </si>
  <si>
    <t>PAT-&gt;ARG0/12,ARG1/61</t>
  </si>
  <si>
    <t>"zamluvit-001"</t>
  </si>
  <si>
    <t>"zamluvit-002"</t>
  </si>
  <si>
    <t>"zamlčet-001"</t>
  </si>
  <si>
    <t>"zamlčovat-001"</t>
  </si>
  <si>
    <t>"zamlžit-001"</t>
  </si>
  <si>
    <t>"zamlžovat-001"</t>
  </si>
  <si>
    <t>"zamnout-si-001"</t>
  </si>
  <si>
    <t>"zamotat-001"</t>
  </si>
  <si>
    <t>"zamotat-002"</t>
  </si>
  <si>
    <t>"zamotat-se-001"</t>
  </si>
  <si>
    <t>"zamotat-se-002"</t>
  </si>
  <si>
    <t>"zamotat-se-003"</t>
  </si>
  <si>
    <t>"zamotat-se-004"</t>
  </si>
  <si>
    <t>"zamotávat-001"</t>
  </si>
  <si>
    <t>"zamořit-001"</t>
  </si>
  <si>
    <t>"zamražovat-001"</t>
  </si>
  <si>
    <t>"zamručet-001"</t>
  </si>
  <si>
    <t>PAT: 4; ↓že; ↓ať; .s; ↓c</t>
  </si>
  <si>
    <t>"zamručet-002"</t>
  </si>
  <si>
    <t>"zamrzet-001"</t>
  </si>
  <si>
    <t>"zamrznout-001"</t>
  </si>
  <si>
    <t>"zamykat-001"</t>
  </si>
  <si>
    <t>"zamyslet-se-001"</t>
  </si>
  <si>
    <t>PAT: nad+7; ↓jestli; ↓zda; ↓c</t>
  </si>
  <si>
    <t>PAT-&gt;ARG1/135,ARG2/36</t>
  </si>
  <si>
    <t>"zamyslit-se-001"</t>
  </si>
  <si>
    <t>"zamávat-001"</t>
  </si>
  <si>
    <t>"zamávat-002"</t>
  </si>
  <si>
    <t>"zamáčknout-001"</t>
  </si>
  <si>
    <t>"zamáčknout-002"</t>
  </si>
  <si>
    <t>"zamést-001"</t>
  </si>
  <si>
    <t>"zamést-002"</t>
  </si>
  <si>
    <t>"zamést-003"</t>
  </si>
  <si>
    <t>"zamést-004"</t>
  </si>
  <si>
    <t>DPHR: práh:S4[vlastní-1:#]; před-1[prah.S7[vlastni-1:#]]</t>
  </si>
  <si>
    <t>"zamíchat-001"</t>
  </si>
  <si>
    <t>PAT: 7; s+7; 4</t>
  </si>
  <si>
    <t>"zamítat-001"</t>
  </si>
  <si>
    <t>"zamítnout-001"</t>
  </si>
  <si>
    <t>ACT-&gt;ARG0/537</t>
  </si>
  <si>
    <t>"zamířit-001"</t>
  </si>
  <si>
    <t>"zamířit-002"</t>
  </si>
  <si>
    <t>ACT-&gt;ARG0/30,ARG1/2</t>
  </si>
  <si>
    <t>"zamířit-003"</t>
  </si>
  <si>
    <t>"zamýšlet-001"</t>
  </si>
  <si>
    <t>PAT-&gt;ARG0/2,ARG1/122,ARG2/5</t>
  </si>
  <si>
    <t>"zamýšlet-002"</t>
  </si>
  <si>
    <t>ACT-&gt;ARG0/1043</t>
  </si>
  <si>
    <t>PAT-&gt;ARG1/1089,ARG2/4</t>
  </si>
  <si>
    <t>"zamýšlet-se-001"</t>
  </si>
  <si>
    <t>"zaměnit-001"</t>
  </si>
  <si>
    <t>EFF-&gt;ARG1/1,ARG2/6</t>
  </si>
  <si>
    <t>"zaměstnat-001"</t>
  </si>
  <si>
    <t>PAT-&gt;ARG1/168,ARG2/3</t>
  </si>
  <si>
    <t>"zaměstnat-002"</t>
  </si>
  <si>
    <t>"zaměstnávat-001"</t>
  </si>
  <si>
    <t>ACT-&gt;ARG0/2290,ARG1/19</t>
  </si>
  <si>
    <t>PAT-&gt;ARG0/3,ARG1/2429,ARG2/2</t>
  </si>
  <si>
    <t>"zaměstnávat-002"</t>
  </si>
  <si>
    <t>"zaměstnávat-se-001"</t>
  </si>
  <si>
    <t>"zaměňovat-001"</t>
  </si>
  <si>
    <t>"zaměřit-001"</t>
  </si>
  <si>
    <t>ALT-DIR3: *</t>
  </si>
  <si>
    <t>ACT-&gt;ARG0/123,ARG1/2</t>
  </si>
  <si>
    <t>PAT-&gt;ARG0/40,ARG1/180,ARG2/62</t>
  </si>
  <si>
    <t>DIR3-&gt;ARG1/209,ARG2/90</t>
  </si>
  <si>
    <t>"zaměřit-002"</t>
  </si>
  <si>
    <t>"zaměřit-se-001"</t>
  </si>
  <si>
    <t>ACT-&gt;ARG0/488,ARG1/31,ARG2/3</t>
  </si>
  <si>
    <t>PAT-&gt;ARG1/609,ARG2/75</t>
  </si>
  <si>
    <t>"zaměřit-se-002"</t>
  </si>
  <si>
    <t>"zaměřovat-001"</t>
  </si>
  <si>
    <t>PAT-&gt;ARG0/1,ARG1/25</t>
  </si>
  <si>
    <t>"zaměřovat-002"</t>
  </si>
  <si>
    <t>"zaměřovat-003"</t>
  </si>
  <si>
    <t>"zaměřovat-se-001"</t>
  </si>
  <si>
    <t>ACT-&gt;ARG0/132,ARG1/26,ARG2/1</t>
  </si>
  <si>
    <t>PAT-&gt;ARG1/114,ARG2/74</t>
  </si>
  <si>
    <t>"zanalyzovat-001"</t>
  </si>
  <si>
    <t>"zanechat-001"</t>
  </si>
  <si>
    <t>PAT-&gt;ARG1/47,ARG2/46</t>
  </si>
  <si>
    <t>ADDR-&gt;ARG1/48,ARG2/24</t>
  </si>
  <si>
    <t>"zanechat-002"</t>
  </si>
  <si>
    <t>"zanechat-003"</t>
  </si>
  <si>
    <t>ACT-&gt;ARG0/149,ARG1/1</t>
  </si>
  <si>
    <t>PAT-&gt;ARG1/221,ARG2/4</t>
  </si>
  <si>
    <t>"zanechat-004"</t>
  </si>
  <si>
    <t>ACMP-&gt;ARG1/3,ARG2/46</t>
  </si>
  <si>
    <t>"zanechat-005"</t>
  </si>
  <si>
    <t>ACT-&gt;ARG0/151,ARG1/7</t>
  </si>
  <si>
    <t>PAT-&gt;ARG1/174,ARG2/13</t>
  </si>
  <si>
    <t>"zanechat-006"</t>
  </si>
  <si>
    <t>DPHR: napospas</t>
  </si>
  <si>
    <t>"zanechávat-001"</t>
  </si>
  <si>
    <t>PAT-&gt;ARG1/73,ARG2/4</t>
  </si>
  <si>
    <t>"zanechávat-002"</t>
  </si>
  <si>
    <t>"zanedbat-001"</t>
  </si>
  <si>
    <t>"zanedbat-002"</t>
  </si>
  <si>
    <t>"zanedbávat-001"</t>
  </si>
  <si>
    <t>"zanedbávat-002"</t>
  </si>
  <si>
    <t>PAT-&gt;ARG1/7,ARG2/28</t>
  </si>
  <si>
    <t>"zaneprázdnit-001"</t>
  </si>
  <si>
    <t>"zanevřít-001"</t>
  </si>
  <si>
    <t>"zanikat-001"</t>
  </si>
  <si>
    <t>"zanikat-002"</t>
  </si>
  <si>
    <t>CPHR: {nárok,povinnost,právo,...}.1</t>
  </si>
  <si>
    <t>"zaniknout-001"</t>
  </si>
  <si>
    <t>"zaniknout-002"</t>
  </si>
  <si>
    <t>"zaniknout-003"</t>
  </si>
  <si>
    <t>"zanotovat-001"</t>
  </si>
  <si>
    <t>"zanořovat-se-001"</t>
  </si>
  <si>
    <t>"zanášet-001"</t>
  </si>
  <si>
    <t>"zanést-001"</t>
  </si>
  <si>
    <t>"zanést-002"</t>
  </si>
  <si>
    <t>"zanést-003"</t>
  </si>
  <si>
    <t>"zanést-004"</t>
  </si>
  <si>
    <t>"zanést-005"</t>
  </si>
  <si>
    <t>"zanést-006"</t>
  </si>
  <si>
    <t>"zaobalovat-001"</t>
  </si>
  <si>
    <t>"zaoblit-001"</t>
  </si>
  <si>
    <t>"zaobírat-se-001"</t>
  </si>
  <si>
    <t>"zaopatřovat-001"</t>
  </si>
  <si>
    <t>"zaostat-001"</t>
  </si>
  <si>
    <t>PAT-&gt;ARG1/19,ARG2/279</t>
  </si>
  <si>
    <t>"zaostávat-001"</t>
  </si>
  <si>
    <t>ACT-&gt;ARG0/36,ARG1/34</t>
  </si>
  <si>
    <t>PAT-&gt;ARG0/1,ARG1/37,ARG4/3</t>
  </si>
  <si>
    <t>"zaostřit-001"</t>
  </si>
  <si>
    <t>"zapadat-001"</t>
  </si>
  <si>
    <t>DIR3-&gt;ARG1/13</t>
  </si>
  <si>
    <t>"zapadat-002"</t>
  </si>
  <si>
    <t>"zapadat-003"</t>
  </si>
  <si>
    <t>"zapadat-004"</t>
  </si>
  <si>
    <t>"zapadnout-001"</t>
  </si>
  <si>
    <t>DIR3-&gt;ARG1/14,ARG4/1</t>
  </si>
  <si>
    <t>"zapadnout-002"</t>
  </si>
  <si>
    <t>"zapadnout-003"</t>
  </si>
  <si>
    <t>"zapadnout-004"</t>
  </si>
  <si>
    <t>"zapalovat-001"</t>
  </si>
  <si>
    <t>"zapamatovat-si-001"</t>
  </si>
  <si>
    <t>"zapamatovat-si-002"</t>
  </si>
  <si>
    <t>"zapamatovávat-si-001"</t>
  </si>
  <si>
    <t>"zaparkovat-001"</t>
  </si>
  <si>
    <t>"zapečetit-001"</t>
  </si>
  <si>
    <t>"zapinkat-si-001"</t>
  </si>
  <si>
    <t>"zapisovat-001"</t>
  </si>
  <si>
    <t>"zapisovat-002"</t>
  </si>
  <si>
    <t>"zapisovat-003"</t>
  </si>
  <si>
    <t>"zaplatit-001"</t>
  </si>
  <si>
    <t>ACT-&gt;ARG0/439,ARG1/2,ARG2/50</t>
  </si>
  <si>
    <t>PAT-&gt;ARG1/751,ARG2/16,ARG3/20</t>
  </si>
  <si>
    <t>ADDR-&gt;ARG0/1,ARG1/1,ARG2/142,ARG3/4</t>
  </si>
  <si>
    <t>EFF-&gt;ARG1/6,ARG2/16,ARG3/186</t>
  </si>
  <si>
    <t>"zaplatit-002"</t>
  </si>
  <si>
    <t>ACT-&gt;ARG0/425,ARG1/5,ARG2/1,ARG3/1</t>
  </si>
  <si>
    <t>EXT-&gt;ARG1/411,ARG2/13,ARG3/160</t>
  </si>
  <si>
    <t>PAT-&gt;ARG1/115,ARG2/16,ARG3/187</t>
  </si>
  <si>
    <t>ADDR-&gt;ARG0/1,ARG1/1,ARG2/139,ARG3/4</t>
  </si>
  <si>
    <t>"zaplatit-003"</t>
  </si>
  <si>
    <t>"zaplatit-004"</t>
  </si>
  <si>
    <t>DPHR: Pán.S1[Bůh]; pánbůh.S1</t>
  </si>
  <si>
    <t>?ACT: ↓že</t>
  </si>
  <si>
    <t>"zaplatit-005"</t>
  </si>
  <si>
    <t>"zaplatit-se-001"</t>
  </si>
  <si>
    <t>ACT-&gt;ARG1/140,ARG2/1</t>
  </si>
  <si>
    <t>"zaplavat-001"</t>
  </si>
  <si>
    <t>"zaplavat-si-001"</t>
  </si>
  <si>
    <t>"zaplavit-001"</t>
  </si>
  <si>
    <t>EFF-&gt;ARG2/6</t>
  </si>
  <si>
    <t>"zaplavit-002"</t>
  </si>
  <si>
    <t>ACT-&gt;ARG0/7,ARG1/2,ARG2/6</t>
  </si>
  <si>
    <t>"zaplavit-003"</t>
  </si>
  <si>
    <t>"zaplavovat-001"</t>
  </si>
  <si>
    <t>"zaplavčíkovat-si-001"</t>
  </si>
  <si>
    <t>"zaplašit-001"</t>
  </si>
  <si>
    <t>"zaplnit-001"</t>
  </si>
  <si>
    <t>"zaplnit-se-001"</t>
  </si>
  <si>
    <t>"zaplombovat-001"</t>
  </si>
  <si>
    <t>"zaplynovat-001"</t>
  </si>
  <si>
    <t>"zaplácat-001"</t>
  </si>
  <si>
    <t>"zaplést-001"</t>
  </si>
  <si>
    <t>PAT-&gt;ARG1/9,ARG2/80</t>
  </si>
  <si>
    <t>ADDR-&gt;ARG1/173,ARG2/9</t>
  </si>
  <si>
    <t>"zaplést-002"</t>
  </si>
  <si>
    <t>"zaplést-se-001"</t>
  </si>
  <si>
    <t>ACT-&gt;ARG0/17,ARG1/429,ARG2/6</t>
  </si>
  <si>
    <t>PAT-&gt;ARG1/3,ARG2/510</t>
  </si>
  <si>
    <t>"zaplést-se-002"</t>
  </si>
  <si>
    <t>"zaplést-se-003"</t>
  </si>
  <si>
    <t>"zaplétat-001"</t>
  </si>
  <si>
    <t>"zaplétat-002"</t>
  </si>
  <si>
    <t>"zaplňovat-001"</t>
  </si>
  <si>
    <t>"zaplňovat-se-001"</t>
  </si>
  <si>
    <t>"zapnout-001"</t>
  </si>
  <si>
    <t>"zapnout-002"</t>
  </si>
  <si>
    <t>"zapnout-003"</t>
  </si>
  <si>
    <t>"zapnout-se-001"</t>
  </si>
  <si>
    <t>"zapochybovat-001"</t>
  </si>
  <si>
    <t>"zapojit-001"</t>
  </si>
  <si>
    <t>ACT-&gt;ARG0/37,ARG1/2,ARG2/1</t>
  </si>
  <si>
    <t>PAT: do+2; v+6</t>
  </si>
  <si>
    <t>PAT-&gt;ARG1/190,ARG2/71</t>
  </si>
  <si>
    <t>ADDR-&gt;ARG1/112,ARG2/80</t>
  </si>
  <si>
    <t>"zapojit-002"</t>
  </si>
  <si>
    <t>"zapojit-003"</t>
  </si>
  <si>
    <t>ACT-&gt;ARG0/6,ARG1/4,ARG2/428</t>
  </si>
  <si>
    <t>PAT-&gt;ARG1/922,ARG2/48</t>
  </si>
  <si>
    <t>DIR3-&gt;ARG1/23</t>
  </si>
  <si>
    <t>"zapojit-se-001"</t>
  </si>
  <si>
    <t>ACT-&gt;ARG0/153,ARG1/165,ARG2/81</t>
  </si>
  <si>
    <t>PAT-&gt;ARG1/362,ARG2/231</t>
  </si>
  <si>
    <t>"zapojit-se-002"</t>
  </si>
  <si>
    <t>"zapojovat-001"</t>
  </si>
  <si>
    <t>"zapojovat-002"</t>
  </si>
  <si>
    <t>"zapojovat-se-001"</t>
  </si>
  <si>
    <t>ACT-&gt;ARG1/153,ARG2/81</t>
  </si>
  <si>
    <t>PAT-&gt;ARG1/173,ARG2/195</t>
  </si>
  <si>
    <t>"zapojovat-se-002"</t>
  </si>
  <si>
    <t>"zapomenout-001"</t>
  </si>
  <si>
    <t>PAT: 4; na+4; ↓že; ↓zda; ↓c; .f; ↓jak-2</t>
  </si>
  <si>
    <t>"zapomenout-002"</t>
  </si>
  <si>
    <t>"zapomínat-001"</t>
  </si>
  <si>
    <t>PAT: na+4; ↓že; ↓zda; ↓jestli; ↓c; .f; 4</t>
  </si>
  <si>
    <t>"zapotit-se-001"</t>
  </si>
  <si>
    <t>"zapotácet-se-001"</t>
  </si>
  <si>
    <t>"zapovídat-001"</t>
  </si>
  <si>
    <t>"započíst-001"</t>
  </si>
  <si>
    <t>"započíst-002"</t>
  </si>
  <si>
    <t>ACT-&gt;ARG0/12,ARG1/3,ARG2/427</t>
  </si>
  <si>
    <t>PAT-&gt;ARG1/933,ARG2/2</t>
  </si>
  <si>
    <t>"--započíst-003"</t>
  </si>
  <si>
    <t>EFF: NOT PARSED:.4[{jako,jakožto}/AuxY]</t>
  </si>
  <si>
    <t>"započít-001"</t>
  </si>
  <si>
    <t>ACT-&gt;ARG0/111,ARG1/143,ARG2/1</t>
  </si>
  <si>
    <t>PAT: 4; s+7; .f</t>
  </si>
  <si>
    <t>"započít-002"</t>
  </si>
  <si>
    <t>"započítat-001"</t>
  </si>
  <si>
    <t>ACT-&gt;ARG0/16,ARG1/1,ARG2/66</t>
  </si>
  <si>
    <t>"započítat-002"</t>
  </si>
  <si>
    <t>"--započítat-003"</t>
  </si>
  <si>
    <t>"započítávat-001"</t>
  </si>
  <si>
    <t>ACT-&gt;ARG0/13,ARG1/1,ARG2/26</t>
  </si>
  <si>
    <t>"započítávat-002"</t>
  </si>
  <si>
    <t>"zapracovat-001"</t>
  </si>
  <si>
    <t>"zapracovat-002"</t>
  </si>
  <si>
    <t>"zapracovat-003"</t>
  </si>
  <si>
    <t>"zapracovat-se-001"</t>
  </si>
  <si>
    <t>"zapracovávat-001"</t>
  </si>
  <si>
    <t>"zapracovávat-002"</t>
  </si>
  <si>
    <t>?PAT: v+6; do+2</t>
  </si>
  <si>
    <t>"zapracovávat-se-001"</t>
  </si>
  <si>
    <t>"zapraskat-001"</t>
  </si>
  <si>
    <t>"zapraskat-002"</t>
  </si>
  <si>
    <t>"zaprašovat-001"</t>
  </si>
  <si>
    <t>"zaprodat-001"</t>
  </si>
  <si>
    <t>"zaprodávat-001"</t>
  </si>
  <si>
    <t>"zaprodávat-se-001"</t>
  </si>
  <si>
    <t>"zaprotokolovat-001"</t>
  </si>
  <si>
    <t>"zaprášit-se-001"</t>
  </si>
  <si>
    <t>"zapršet-001"</t>
  </si>
  <si>
    <t>"zapsat-001"</t>
  </si>
  <si>
    <t>"zapsat-002"</t>
  </si>
  <si>
    <t>"zapsat-003"</t>
  </si>
  <si>
    <t>ACT-&gt;ARG0/184,ARG1/2</t>
  </si>
  <si>
    <t>"zapsat-004"</t>
  </si>
  <si>
    <t>"zapsat-se-001"</t>
  </si>
  <si>
    <t>"zapsat-se-002"</t>
  </si>
  <si>
    <t>"zapudit-001"</t>
  </si>
  <si>
    <t>"zapustit-001"</t>
  </si>
  <si>
    <t>"zapustit-002"</t>
  </si>
  <si>
    <t>"zapáchat-001"</t>
  </si>
  <si>
    <t>"zapálit-001"</t>
  </si>
  <si>
    <t>"zapéci-001"</t>
  </si>
  <si>
    <t>"zapíchnout-001"</t>
  </si>
  <si>
    <t>"zapíchnout-002"</t>
  </si>
  <si>
    <t>"zapíchnout-003"</t>
  </si>
  <si>
    <t>"zapíchávat-001"</t>
  </si>
  <si>
    <t>"zapíjet-001"</t>
  </si>
  <si>
    <t>"zapínat-001"</t>
  </si>
  <si>
    <t xml:space="preserve">ACT: </t>
  </si>
  <si>
    <t>"zapínat-002"</t>
  </si>
  <si>
    <t>"zapírat-001"</t>
  </si>
  <si>
    <t>"zapít-001"</t>
  </si>
  <si>
    <t>"zapět-001"</t>
  </si>
  <si>
    <t>"zapět-002"</t>
  </si>
  <si>
    <t>"zapět-003"</t>
  </si>
  <si>
    <t>"zapřáhnout-001"</t>
  </si>
  <si>
    <t>"zapřáhnout-002"</t>
  </si>
  <si>
    <t>"zapříst-001"</t>
  </si>
  <si>
    <t>"zapřít-001"</t>
  </si>
  <si>
    <t>"zapřít-se-001"</t>
  </si>
  <si>
    <t>"zapříčinit-001"</t>
  </si>
  <si>
    <t>ACT-&gt;ARG0/774,ARG1/4,ARG2/4</t>
  </si>
  <si>
    <t>PAT-&gt;ARG0/1,ARG1/1041,ARG2/2</t>
  </si>
  <si>
    <t>"zapříčiňovat-001"</t>
  </si>
  <si>
    <t>PAT-&gt;ARG0/1,ARG1/164</t>
  </si>
  <si>
    <t>"zapůjčit-001"</t>
  </si>
  <si>
    <t>"zapůjčit-si-001"</t>
  </si>
  <si>
    <t>"zapůsobit-001"</t>
  </si>
  <si>
    <t>ACT-&gt;ARG0/8,ARG1/3102,ARG2/296</t>
  </si>
  <si>
    <t>"zaradovat-se-001"</t>
  </si>
  <si>
    <t>"zarazit-001"</t>
  </si>
  <si>
    <t>"zarazit-002"</t>
  </si>
  <si>
    <t>ACT-&gt;ARG0/108</t>
  </si>
  <si>
    <t>PAT-&gt;ARG1/177</t>
  </si>
  <si>
    <t>"zarazit-003"</t>
  </si>
  <si>
    <t>PAT-&gt;ARG0/12</t>
  </si>
  <si>
    <t>"zarazit-004"</t>
  </si>
  <si>
    <t>"zarazit-se-001"</t>
  </si>
  <si>
    <t>"zarazit-se-002"</t>
  </si>
  <si>
    <t>PAT: nad+7; ↓že</t>
  </si>
  <si>
    <t>"zarazit-se-003"</t>
  </si>
  <si>
    <t>"zareagovat-001"</t>
  </si>
  <si>
    <t>ACT-&gt;ARG0/155,ARG1/77</t>
  </si>
  <si>
    <t>PAT-&gt;ARG1/89,ARG2/5</t>
  </si>
  <si>
    <t>"zareagovat-002"</t>
  </si>
  <si>
    <t>EFF: .s; ↓že</t>
  </si>
  <si>
    <t>EFF-&gt;ARG1/1,ARG2/31</t>
  </si>
  <si>
    <t>"zaregistrovat-001"</t>
  </si>
  <si>
    <t>"zaregistrovat-002"</t>
  </si>
  <si>
    <t>PAT-&gt;ARG1/113,ARG2/8,ARG3/2</t>
  </si>
  <si>
    <t>"zarezervovat-001"</t>
  </si>
  <si>
    <t>"zariskovat-001"</t>
  </si>
  <si>
    <t>"zarmoutit-001"</t>
  </si>
  <si>
    <t>"zaručit-001"</t>
  </si>
  <si>
    <t>ACT-&gt;ARG0/278</t>
  </si>
  <si>
    <t>PAT-&gt;ARG1/369,ARG2/17</t>
  </si>
  <si>
    <t>ADDR-&gt;ARG1/29,ARG2/187</t>
  </si>
  <si>
    <t>"zaručit-se-001"</t>
  </si>
  <si>
    <t>PAT: za+4; ↓že; ↓že</t>
  </si>
  <si>
    <t>"zaručovat-001"</t>
  </si>
  <si>
    <t>PAT-&gt;ARG1/441,ARG2/46</t>
  </si>
  <si>
    <t>ADDR-&gt;ARG1/66,ARG2/136</t>
  </si>
  <si>
    <t>"zarybařit-si-001"</t>
  </si>
  <si>
    <t>"zarychtovat-001"</t>
  </si>
  <si>
    <t>"zarámovat-001"</t>
  </si>
  <si>
    <t>"zarámovat-002"</t>
  </si>
  <si>
    <t>"zarážet-001"</t>
  </si>
  <si>
    <t>"zarážet-002"</t>
  </si>
  <si>
    <t>"zarážet-003"</t>
  </si>
  <si>
    <t>"zarýt-se-001"</t>
  </si>
  <si>
    <t>"zarývat-se-001"</t>
  </si>
  <si>
    <t>"zarýžovat-si-001"</t>
  </si>
  <si>
    <t>"zarůst-001"</t>
  </si>
  <si>
    <t>"zarůstat-001"</t>
  </si>
  <si>
    <t>"zarůstat-002"</t>
  </si>
  <si>
    <t>"zasadit-001"</t>
  </si>
  <si>
    <t>ACT-&gt;ARG0/19,ARG1/2,ARG2/22</t>
  </si>
  <si>
    <t>ADDR-&gt;ARG1/46</t>
  </si>
  <si>
    <t>"zasadit-002"</t>
  </si>
  <si>
    <t>"zasadit-003"</t>
  </si>
  <si>
    <t>"zasadit-004"</t>
  </si>
  <si>
    <t>"zasadit-005"</t>
  </si>
  <si>
    <t>"zasadit-se-001"</t>
  </si>
  <si>
    <t>PAT: o+4; za+4</t>
  </si>
  <si>
    <t>"zasahovat-001"</t>
  </si>
  <si>
    <t>ACT-&gt;ARG0/33,ARG2/78</t>
  </si>
  <si>
    <t>"zasahovat-002"</t>
  </si>
  <si>
    <t>"zasahovat-003"</t>
  </si>
  <si>
    <t>PAT: proti+3; vůči+3</t>
  </si>
  <si>
    <t>"zasahovat-004"</t>
  </si>
  <si>
    <t>ACT-&gt;ARG0/26,ARG1/64</t>
  </si>
  <si>
    <t>"zasahovat-005"</t>
  </si>
  <si>
    <t>"zasalutovat-001"</t>
  </si>
  <si>
    <t>"zasazovat-001"</t>
  </si>
  <si>
    <t>"zasazovat-002"</t>
  </si>
  <si>
    <t>"--zasazovat-003"</t>
  </si>
  <si>
    <t>"zasazovat-se-001"</t>
  </si>
  <si>
    <t>"zaschnout-001"</t>
  </si>
  <si>
    <t>"zasebevraždit-se-001"</t>
  </si>
  <si>
    <t>"zasedat-001"</t>
  </si>
  <si>
    <t>ACT-&gt;ARG0/52,ARG1/927,ARG2/2</t>
  </si>
  <si>
    <t>LOC-&gt;ARG0/6,ARG1/13,ARG2/430</t>
  </si>
  <si>
    <t>"zasedat-002"</t>
  </si>
  <si>
    <t>"zasednout-001"</t>
  </si>
  <si>
    <t>"zasednout-002"</t>
  </si>
  <si>
    <t>"zasednout-003"</t>
  </si>
  <si>
    <t>"zaseknout-001"</t>
  </si>
  <si>
    <t>"zaseknout-002"</t>
  </si>
  <si>
    <t>"zaseknout-003"</t>
  </si>
  <si>
    <t>"zaseknout-004"</t>
  </si>
  <si>
    <t>"zaseknout-se-001"</t>
  </si>
  <si>
    <t>"zaskakovat-001"</t>
  </si>
  <si>
    <t>"zaskotačit-si-001"</t>
  </si>
  <si>
    <t>"zaskočit-001"</t>
  </si>
  <si>
    <t>"zaskočit-002"</t>
  </si>
  <si>
    <t>"zaskočit-003"</t>
  </si>
  <si>
    <t>"zaskočit-004"</t>
  </si>
  <si>
    <t>"zaslat-001"</t>
  </si>
  <si>
    <t>PAT-&gt;ARG1/450</t>
  </si>
  <si>
    <t>ADDR-&gt;ARG0/193,ARG1/4,ARG2/82</t>
  </si>
  <si>
    <t>"zaslat-002"</t>
  </si>
  <si>
    <t>"zaslechnout-001"</t>
  </si>
  <si>
    <t>"zaslechnout-002"</t>
  </si>
  <si>
    <t>?EFF: .f; ↓jak-2; ↓že</t>
  </si>
  <si>
    <t>"zaslechnout-003"</t>
  </si>
  <si>
    <t>ACT: *</t>
  </si>
  <si>
    <t>"zaslepit-001"</t>
  </si>
  <si>
    <t>"zaslepit-002"</t>
  </si>
  <si>
    <t>"zaslepovat-001"</t>
  </si>
  <si>
    <t>"zasloužit-001"</t>
  </si>
  <si>
    <t>"zasloužit-se-001"</t>
  </si>
  <si>
    <t>PAT-&gt;ARG0/1,ARG1/454</t>
  </si>
  <si>
    <t>"zasloužit-si-001"</t>
  </si>
  <si>
    <t>ACT-&gt;ARG0/309,ARG1/1</t>
  </si>
  <si>
    <t>PAT-&gt;ARG1/340</t>
  </si>
  <si>
    <t>"zasluhovat-001"</t>
  </si>
  <si>
    <t>"zasluhovat-se-001"</t>
  </si>
  <si>
    <t>"zasluhovat-si-001"</t>
  </si>
  <si>
    <t>"zasmečovat-si-001"</t>
  </si>
  <si>
    <t>"zasmrdět-001"</t>
  </si>
  <si>
    <t>"zasmát-se-001"</t>
  </si>
  <si>
    <t>"zasnoubit-se-001"</t>
  </si>
  <si>
    <t>"zaspat-001"</t>
  </si>
  <si>
    <t>"zaspat-002"</t>
  </si>
  <si>
    <t>"zaspat-003"</t>
  </si>
  <si>
    <t>"zasportovat-si-001"</t>
  </si>
  <si>
    <t>"zastarat-001"</t>
  </si>
  <si>
    <t>"zastarávat-001"</t>
  </si>
  <si>
    <t>"zastat-001"</t>
  </si>
  <si>
    <t>"zastat-se-001"</t>
  </si>
  <si>
    <t>"zastavit-001"</t>
  </si>
  <si>
    <t>ACT-&gt;ARG0/408,ARG1/11,ARG2/5,ARG3/3</t>
  </si>
  <si>
    <t>PAT-&gt;ARG0/1,ARG1/539,ARG2/9</t>
  </si>
  <si>
    <t>"zastavit-002"</t>
  </si>
  <si>
    <t>"zastavit-003"</t>
  </si>
  <si>
    <t>PAT-&gt;ARG1/201</t>
  </si>
  <si>
    <t>"zastavit-004"</t>
  </si>
  <si>
    <t>ACT-&gt;ARG0/3,ARG1/10</t>
  </si>
  <si>
    <t>"zastavit-005"</t>
  </si>
  <si>
    <t>"zastavit-006"</t>
  </si>
  <si>
    <t>"zastavit-se-001"</t>
  </si>
  <si>
    <t>ACT-&gt;ARG0/5,ARG1/19</t>
  </si>
  <si>
    <t>LOC-&gt;ARG1/1,ARG2/4,ARG4/3</t>
  </si>
  <si>
    <t>"zastavit-se-002"</t>
  </si>
  <si>
    <t>ACT-&gt;ARG0/11,ARG1/106</t>
  </si>
  <si>
    <t>"zastavit-se-003"</t>
  </si>
  <si>
    <t>ACT-&gt;ARG0/3,ARG1/14</t>
  </si>
  <si>
    <t>"zastavit-se-004"</t>
  </si>
  <si>
    <t>"zastavovat-001"</t>
  </si>
  <si>
    <t>"zastavovat-002"</t>
  </si>
  <si>
    <t>ACT-&gt;ARG0/32,ARG1/1</t>
  </si>
  <si>
    <t>"zastavovat-003"</t>
  </si>
  <si>
    <t>"zastavovat-004"</t>
  </si>
  <si>
    <t>"zastavovat-se-001"</t>
  </si>
  <si>
    <t>ACT-&gt;ARG0/1,ARG1/5</t>
  </si>
  <si>
    <t>"zastavět-001"</t>
  </si>
  <si>
    <t>"zastihnout-001"</t>
  </si>
  <si>
    <t>"zastihnout-002"</t>
  </si>
  <si>
    <t>?EFF: .a4</t>
  </si>
  <si>
    <t>"zastiňovat-001"</t>
  </si>
  <si>
    <t>"zastiňovat-002"</t>
  </si>
  <si>
    <t>"zastiňovat-003"</t>
  </si>
  <si>
    <t>"zastoupit-001"</t>
  </si>
  <si>
    <t>ACT-&gt;ARG0/155,ARG1/3</t>
  </si>
  <si>
    <t>PAT-&gt;ARG1/220,ARG2/3</t>
  </si>
  <si>
    <t>"zastoupit-002"</t>
  </si>
  <si>
    <t>ACT-&gt;ARG0/13,ARG1/326,ARG2/10</t>
  </si>
  <si>
    <t>"zastrašit-001"</t>
  </si>
  <si>
    <t>PAT-&gt;ARG1/3,ARG2/3</t>
  </si>
  <si>
    <t>"zastrašovat-001"</t>
  </si>
  <si>
    <t>"zastrkovat-001"</t>
  </si>
  <si>
    <t>DPHR: růžek.P4</t>
  </si>
  <si>
    <t>"zastrkávat-001"</t>
  </si>
  <si>
    <t>"zastrčit-001"</t>
  </si>
  <si>
    <t>"zastupovat-001"</t>
  </si>
  <si>
    <t>ACT-&gt;ARG0/155,ARG1/3102,ARG2/296</t>
  </si>
  <si>
    <t>"zastydět-se-001"</t>
  </si>
  <si>
    <t>?PAT: za+4; .f; ↓c</t>
  </si>
  <si>
    <t>"zastávat-001"</t>
  </si>
  <si>
    <t>ACT-&gt;ARG0/2853,ARG1/3155,ARG2/296,ARG3/1</t>
  </si>
  <si>
    <t>PAT-&gt;ARG0/1,ARG1/3234,ARG2/3483</t>
  </si>
  <si>
    <t>"zastávat-002"</t>
  </si>
  <si>
    <t>ACT-&gt;ARG0/2,ARG1/3</t>
  </si>
  <si>
    <t>PAT-&gt;ARG1/3,ARG2/4</t>
  </si>
  <si>
    <t>"zastávat-003"</t>
  </si>
  <si>
    <t>CPHR: {linie,myšlenka,názor,pohled,postoj,přístup,stanovisko,...}.4</t>
  </si>
  <si>
    <t>ACT-&gt;ARG0/412,ARG1/26</t>
  </si>
  <si>
    <t>CPHR-&gt;ARG1/430,ARG2/26</t>
  </si>
  <si>
    <t>ACT-&gt;ARG0/241,ARG1/25</t>
  </si>
  <si>
    <t>CPHR-&gt;ARG1/278,ARG2/26</t>
  </si>
  <si>
    <t>"zastávat-se-001"</t>
  </si>
  <si>
    <t>"zastínit-001"</t>
  </si>
  <si>
    <t>"zastírat-001"</t>
  </si>
  <si>
    <t>"zastírat-002"</t>
  </si>
  <si>
    <t>"zastřelit-001"</t>
  </si>
  <si>
    <t>"zastřešit-001"</t>
  </si>
  <si>
    <t>"zastřešit-002"</t>
  </si>
  <si>
    <t>"zastřešit-003"</t>
  </si>
  <si>
    <t>"zastřešovat-001"</t>
  </si>
  <si>
    <t>"zastřešovat-002"</t>
  </si>
  <si>
    <t>"zastřihávat-001"</t>
  </si>
  <si>
    <t>"zastříkat-001"</t>
  </si>
  <si>
    <t>"zastřít-001"</t>
  </si>
  <si>
    <t>"zastřít-002"</t>
  </si>
  <si>
    <t>"zastřít-003"</t>
  </si>
  <si>
    <t>"zasunout-001"</t>
  </si>
  <si>
    <t>"zasvítit-001"</t>
  </si>
  <si>
    <t>"zasvítit-002"</t>
  </si>
  <si>
    <t>"zasvěcovat-001"</t>
  </si>
  <si>
    <t>"zasvěcovat-002"</t>
  </si>
  <si>
    <t>"zasvětit-001"</t>
  </si>
  <si>
    <t>PAT-&gt;ARG2/14</t>
  </si>
  <si>
    <t>ADDR-&gt;ARG1/11</t>
  </si>
  <si>
    <t>"zasvětit-002"</t>
  </si>
  <si>
    <t>"zasvětit-003"</t>
  </si>
  <si>
    <t>"zasypat-001"</t>
  </si>
  <si>
    <t>"zasypat-002"</t>
  </si>
  <si>
    <t>"zasypat-003"</t>
  </si>
  <si>
    <t>"zasypávat-001"</t>
  </si>
  <si>
    <t>"zasyčet-001"</t>
  </si>
  <si>
    <t>"zasyčet-002"</t>
  </si>
  <si>
    <t>"zasáhnout-001"</t>
  </si>
  <si>
    <t>ACT-&gt;ARG0/265,ARG1/227,ARG2/131</t>
  </si>
  <si>
    <t>PAT-&gt;ARG0/197,ARG1/548,ARG2/1</t>
  </si>
  <si>
    <t>"zasáhnout-002"</t>
  </si>
  <si>
    <t>"zasáhnout-003"</t>
  </si>
  <si>
    <t>PAT-&gt;ARG1/8,ARG2/2</t>
  </si>
  <si>
    <t>"zasáhnout-004"</t>
  </si>
  <si>
    <t>ACT-&gt;ARG0/110,ARG1/3127,ARG2/296</t>
  </si>
  <si>
    <t>"zasáhnout-005"</t>
  </si>
  <si>
    <t>"zasílat-001"</t>
  </si>
  <si>
    <t>ADDR-&gt;ARG2/73</t>
  </si>
  <si>
    <t>"zasílat-002"</t>
  </si>
  <si>
    <t>DIR3-&gt;ARG2/6</t>
  </si>
  <si>
    <t>"zasít-001"</t>
  </si>
  <si>
    <t>"zatahat-001"</t>
  </si>
  <si>
    <t>DPHR: kočka.S4,za-1[ocas.S1]</t>
  </si>
  <si>
    <t>"zatahovat-001"</t>
  </si>
  <si>
    <t>"zatahovat-002"</t>
  </si>
  <si>
    <t>"zatajit-001"</t>
  </si>
  <si>
    <t>"zatajit-002"</t>
  </si>
  <si>
    <t>"zatajit-003"</t>
  </si>
  <si>
    <t>"zatajit-se-001"</t>
  </si>
  <si>
    <t>DPHR: dech.S1</t>
  </si>
  <si>
    <t>"zatajovat-001"</t>
  </si>
  <si>
    <t>"zatajovat-002"</t>
  </si>
  <si>
    <t>"zatancovat-001"</t>
  </si>
  <si>
    <t>"zatancovat-si-001"</t>
  </si>
  <si>
    <t>"zatancovat-si-002"</t>
  </si>
  <si>
    <t>"zatančit-001"</t>
  </si>
  <si>
    <t>"zatančit-si-001"</t>
  </si>
  <si>
    <t>"zatarasit-001"</t>
  </si>
  <si>
    <t>ACT-&gt;ARG0/22,ARG3/3</t>
  </si>
  <si>
    <t>PAT-&gt;ARG0/1,ARG1/54</t>
  </si>
  <si>
    <t>"zatavit-001"</t>
  </si>
  <si>
    <t>"zatelefonovat-001"</t>
  </si>
  <si>
    <t>"zatelefonovat-002"</t>
  </si>
  <si>
    <t>"zatelefonovat-003"</t>
  </si>
  <si>
    <t>"zatelefonovat-004"</t>
  </si>
  <si>
    <t>"zatelefonovat-si-001"</t>
  </si>
  <si>
    <t>"zatelefonovat-si-002"</t>
  </si>
  <si>
    <t>"--zatelefonovat-si-003"</t>
  </si>
  <si>
    <t>"zatemnit-001"</t>
  </si>
  <si>
    <t>"zatemnit-002"</t>
  </si>
  <si>
    <t>"zatemňovat-001"</t>
  </si>
  <si>
    <t>"zateplovat-001"</t>
  </si>
  <si>
    <t>"zatknout-001"</t>
  </si>
  <si>
    <t>"zatlačit-001"</t>
  </si>
  <si>
    <t>PAT-&gt;ARG1/51,ARG2/2</t>
  </si>
  <si>
    <t>DIR3-&gt;ARG1/1,ARG2/5</t>
  </si>
  <si>
    <t>"zatlačit-002"</t>
  </si>
  <si>
    <t>PAT-&gt;ARG1/13,ARG2/12</t>
  </si>
  <si>
    <t>"zatlačit-003"</t>
  </si>
  <si>
    <t>"--zatlačit-004"</t>
  </si>
  <si>
    <t>"zatlačovat-001"</t>
  </si>
  <si>
    <t>"zatleskat-001"</t>
  </si>
  <si>
    <t>"zatlouct-001"</t>
  </si>
  <si>
    <t>"zatloukat-001"</t>
  </si>
  <si>
    <t>"zatmelit-001"</t>
  </si>
  <si>
    <t>"zatnout-001"</t>
  </si>
  <si>
    <t>DPHR: tipec.S4</t>
  </si>
  <si>
    <t>"zatopit-001"</t>
  </si>
  <si>
    <t>"zatopit-002"</t>
  </si>
  <si>
    <t>"zatopit-003"</t>
  </si>
  <si>
    <t>"zatoulat-se-001"</t>
  </si>
  <si>
    <t>"zatoužit-001"</t>
  </si>
  <si>
    <t>"zatočit-001"</t>
  </si>
  <si>
    <t>"zatočit-002"</t>
  </si>
  <si>
    <t>"zatočit-se-001"</t>
  </si>
  <si>
    <t>"zatraktivnit-001"</t>
  </si>
  <si>
    <t>"zatratit-001"</t>
  </si>
  <si>
    <t>"zatrhnout-001"</t>
  </si>
  <si>
    <t>PAT: 4; .f; ↓že; ↓aby; ↓c</t>
  </si>
  <si>
    <t>"zatrnout-001"</t>
  </si>
  <si>
    <t>"zatrpknout-001"</t>
  </si>
  <si>
    <t>"zatrénovat-si-001"</t>
  </si>
  <si>
    <t>"zatvářit-se-001"</t>
  </si>
  <si>
    <t>"zatáhnout-001"</t>
  </si>
  <si>
    <t>DIR3-&gt;ARG2/13</t>
  </si>
  <si>
    <t>"zatáhnout-002"</t>
  </si>
  <si>
    <t>"zatáhnout-003"</t>
  </si>
  <si>
    <t>DPHR: za-1[nit.S4]</t>
  </si>
  <si>
    <t>"zatáhnout-004"</t>
  </si>
  <si>
    <t>"zatáhnout-005"</t>
  </si>
  <si>
    <t>"zatáhnout-006"</t>
  </si>
  <si>
    <t>"zatáhnout-se-001"</t>
  </si>
  <si>
    <t>"zatáhnout-se-002"</t>
  </si>
  <si>
    <t>"zatápět-001"</t>
  </si>
  <si>
    <t>"zatáčet-001"</t>
  </si>
  <si>
    <t>"zatáčet-002"</t>
  </si>
  <si>
    <t>"zatáčet-003"</t>
  </si>
  <si>
    <t>"zatékat-001"</t>
  </si>
  <si>
    <t>"zatékat-002"</t>
  </si>
  <si>
    <t>"zatékat-003"</t>
  </si>
  <si>
    <t>"zatížit-001"</t>
  </si>
  <si>
    <t>ACT-&gt;ARG0/135,ARG1/2,ARG2/88</t>
  </si>
  <si>
    <t>PAT-&gt;ARG1/146,ARG2/35</t>
  </si>
  <si>
    <t>"zatýkat-001"</t>
  </si>
  <si>
    <t>"zatěsnit-001"</t>
  </si>
  <si>
    <t>"zatěžovat-001"</t>
  </si>
  <si>
    <t>PAT-&gt;ARG1/7,ARG2/35</t>
  </si>
  <si>
    <t>"zatěžovat-002"</t>
  </si>
  <si>
    <t>ACT-&gt;ARG0/2,ARG2/4</t>
  </si>
  <si>
    <t>"zatřepat-001"</t>
  </si>
  <si>
    <t>"zatřepat-002"</t>
  </si>
  <si>
    <t>"--zatřepat-003"</t>
  </si>
  <si>
    <t>"zatřepat-se-001"</t>
  </si>
  <si>
    <t>"zatřepat-se-002"</t>
  </si>
  <si>
    <t>"zatřást-001"</t>
  </si>
  <si>
    <t>"zatřást-002"</t>
  </si>
  <si>
    <t>"zatřást-se-001"</t>
  </si>
  <si>
    <t>"zatřást-se-002"</t>
  </si>
  <si>
    <t>"zaujmout-001"</t>
  </si>
  <si>
    <t>ACT: 1; ↓že; ↓c; ↓jak-2</t>
  </si>
  <si>
    <t>ACT-&gt;ARG0/12,ARG3/2</t>
  </si>
  <si>
    <t>PAT-&gt;ARG1/108</t>
  </si>
  <si>
    <t>"zaujmout-002"</t>
  </si>
  <si>
    <t>"zaujmout-003"</t>
  </si>
  <si>
    <t>"zaujmout-004"</t>
  </si>
  <si>
    <t>ACT-&gt;ARG0/139,ARG1/4</t>
  </si>
  <si>
    <t>CPHR: {postoj,pozice,role,stanovisko,strategie,vztah,...}.4</t>
  </si>
  <si>
    <t>CPHR-&gt;ARG1/170,ARG2/3</t>
  </si>
  <si>
    <t>ACT-&gt;ARG0/253,ARG1/27</t>
  </si>
  <si>
    <t>CPHR-&gt;ARG1/304,ARG2/28</t>
  </si>
  <si>
    <t>"zaujímat-001"</t>
  </si>
  <si>
    <t>"zaujímat-002"</t>
  </si>
  <si>
    <t>"zaujímat-003"</t>
  </si>
  <si>
    <t>ACT-&gt;ARG0/197,ARG1/318,ARG2/3</t>
  </si>
  <si>
    <t>PAT-&gt;ARG1/226,ARG2/320</t>
  </si>
  <si>
    <t>"zaujímat-004"</t>
  </si>
  <si>
    <t>ACT-&gt;ARG0/2408,ARG1/3146,ARG2/296</t>
  </si>
  <si>
    <t>CPHR: {postoj,stanovisko,vztah,...}.4</t>
  </si>
  <si>
    <t>CPHR-&gt;ARG0/1,ARG1/2670,ARG2/3477</t>
  </si>
  <si>
    <t>"zauzlovat-001"</t>
  </si>
  <si>
    <t>"zauzlovat-002"</t>
  </si>
  <si>
    <t>"zaučit-001"</t>
  </si>
  <si>
    <t>"zaučit-se-001"</t>
  </si>
  <si>
    <t>PAT: 7; v+6; na+4</t>
  </si>
  <si>
    <t>"zaučovat-001"</t>
  </si>
  <si>
    <t>?PAT: v+6; 4; .f</t>
  </si>
  <si>
    <t>"zaučovat-se-001"</t>
  </si>
  <si>
    <t>"zavadit-001"</t>
  </si>
  <si>
    <t>"zavalit-001"</t>
  </si>
  <si>
    <t>ACT-&gt;ARG0/9,ARG1/8,ARG2/4</t>
  </si>
  <si>
    <t>"zavalit-002"</t>
  </si>
  <si>
    <t>"zavalit-003"</t>
  </si>
  <si>
    <t>"zavazovat-001"</t>
  </si>
  <si>
    <t>ACT-&gt;ARG0/175,ARG1/3,ARG2/4</t>
  </si>
  <si>
    <t>ADDR-&gt;ARG0/2,ARG1/17,ARG2/43</t>
  </si>
  <si>
    <t>PAT-&gt;ARG1/286,ARG2/2</t>
  </si>
  <si>
    <t>"zavazovat-002"</t>
  </si>
  <si>
    <t>"zavazovat-se-001"</t>
  </si>
  <si>
    <t>ACT-&gt;ARG0/12122,ARG1/36</t>
  </si>
  <si>
    <t>PAT-&gt;ARG0/2,ARG1/10493,ARG2/2</t>
  </si>
  <si>
    <t>ADDR-&gt;ARG0/2,ARG1/14,ARG2/9</t>
  </si>
  <si>
    <t>"zavařit-001"</t>
  </si>
  <si>
    <t>"zavařovat-001"</t>
  </si>
  <si>
    <t>"zavdat-001"</t>
  </si>
  <si>
    <t>CPHR: {podnět,příčina,...}.4</t>
  </si>
  <si>
    <t>"zavdávat-001"</t>
  </si>
  <si>
    <t>"zavděčit-se-001"</t>
  </si>
  <si>
    <t>"zavelet-001"</t>
  </si>
  <si>
    <t>PAT: k+3; 4; .f; ↓že; ↓aby; ↓ať; ↓c</t>
  </si>
  <si>
    <t>"zavinit-001"</t>
  </si>
  <si>
    <t>ACT-&gt;ARG0/72,ARG1/43,ARG2/1</t>
  </si>
  <si>
    <t>PAT-&gt;ARG1/84,ARG2/33</t>
  </si>
  <si>
    <t>"zavinout-001"</t>
  </si>
  <si>
    <t>"zavládnout-001"</t>
  </si>
  <si>
    <t>"zavlát-001"</t>
  </si>
  <si>
    <t>"zavléci-001"</t>
  </si>
  <si>
    <t>"zavolat-001"</t>
  </si>
  <si>
    <t>PAT: 4; ↓že; ↓c; .s; ↓jestli</t>
  </si>
  <si>
    <t>"zavolat-002"</t>
  </si>
  <si>
    <t>"zavolat-003"</t>
  </si>
  <si>
    <t>"zavolat-004"</t>
  </si>
  <si>
    <t>"zavolat-005"</t>
  </si>
  <si>
    <t>ADDR-&gt;ARG1/41</t>
  </si>
  <si>
    <t>"zavolat-006"</t>
  </si>
  <si>
    <t>"zavolat-007"</t>
  </si>
  <si>
    <t>DIR3-&gt;ARG1/33</t>
  </si>
  <si>
    <t>"--zavolat-si-001"</t>
  </si>
  <si>
    <t>"zavonět-001"</t>
  </si>
  <si>
    <t>"zavraždit-001"</t>
  </si>
  <si>
    <t>PAT-&gt;ARG1/87</t>
  </si>
  <si>
    <t>"zavrhnout-001"</t>
  </si>
  <si>
    <t>"zavrhovat-001"</t>
  </si>
  <si>
    <t>"zavrtávat-se-001"</t>
  </si>
  <si>
    <t>"--zavrtávat-se-002"</t>
  </si>
  <si>
    <t>"zavrtět-001"</t>
  </si>
  <si>
    <t>"zavrtět-se-001"</t>
  </si>
  <si>
    <t>"zavrávorat-001"</t>
  </si>
  <si>
    <t>"završit-001"</t>
  </si>
  <si>
    <t>ACT-&gt;ARG0/86,ARG1/5,ARG2/5</t>
  </si>
  <si>
    <t>"završit-se-001"</t>
  </si>
  <si>
    <t>"završovat-001"</t>
  </si>
  <si>
    <t>"zavtipkovat-001"</t>
  </si>
  <si>
    <t>"zavzpomínat-001"</t>
  </si>
  <si>
    <t>"zavzpomínat-si-001"</t>
  </si>
  <si>
    <t>PAT: na+4; ↓že; ↓jestli; ↓zda; .s; ↓c</t>
  </si>
  <si>
    <t>"zavádět-001"</t>
  </si>
  <si>
    <t>"zavádět-002"</t>
  </si>
  <si>
    <t>"zavádět-003"</t>
  </si>
  <si>
    <t>ACT-&gt;ARG0/247</t>
  </si>
  <si>
    <t>PAT-&gt;ARG1/418</t>
  </si>
  <si>
    <t>"zavádět-004"</t>
  </si>
  <si>
    <t>ACT-&gt;ARG0/156</t>
  </si>
  <si>
    <t>"zavádět-005"</t>
  </si>
  <si>
    <t>DPHR: řeč.S4</t>
  </si>
  <si>
    <t>"zaváhat-001"</t>
  </si>
  <si>
    <t>"zavánět-001"</t>
  </si>
  <si>
    <t>"zavánět-002"</t>
  </si>
  <si>
    <t>"zavát-001"</t>
  </si>
  <si>
    <t>"zavávat-001"</t>
  </si>
  <si>
    <t>"zavázat-001"</t>
  </si>
  <si>
    <t>ADDR-&gt;ARG0/2,ARG1/19</t>
  </si>
  <si>
    <t>PAT-&gt;ARG1/1,ARG2/7</t>
  </si>
  <si>
    <t>"zavázat-se-001"</t>
  </si>
  <si>
    <t>ACT-&gt;ARG0/785,ARG1/15,ARG2/1</t>
  </si>
  <si>
    <t>PAT-&gt;ARG1/712,ARG2/30,ARG3/9</t>
  </si>
  <si>
    <t>ADDR-&gt;ARG0/4,ARG1/6,ARG2/128,ARG3/4</t>
  </si>
  <si>
    <t>"zavářet-001"</t>
  </si>
  <si>
    <t>"zavážet-001"</t>
  </si>
  <si>
    <t>"zavážet-002"</t>
  </si>
  <si>
    <t>"zavést-001"</t>
  </si>
  <si>
    <t>ACT-&gt;ARG0/106</t>
  </si>
  <si>
    <t>"zavést-002"</t>
  </si>
  <si>
    <t>"zavést-003"</t>
  </si>
  <si>
    <t>ACT-&gt;ARG0/953,ARG1/149,ARG2/6</t>
  </si>
  <si>
    <t>PAT-&gt;ARG1/1411</t>
  </si>
  <si>
    <t>"zavést-004"</t>
  </si>
  <si>
    <t>ACT-&gt;ARG0/614,ARG1/26</t>
  </si>
  <si>
    <t>PAT-&gt;ARG0/2,ARG1/1105,ARG2/26</t>
  </si>
  <si>
    <t>"zavést-005"</t>
  </si>
  <si>
    <t>"zavést-006"</t>
  </si>
  <si>
    <t>"zavést-007"</t>
  </si>
  <si>
    <t>"zavést-se-001"</t>
  </si>
  <si>
    <t>"zavézt-001"</t>
  </si>
  <si>
    <t>"zavézt-002"</t>
  </si>
  <si>
    <t>"zavírat-001"</t>
  </si>
  <si>
    <t>"zavírat-002"</t>
  </si>
  <si>
    <t>PAT-&gt;ARG0/30,ARG1/38</t>
  </si>
  <si>
    <t>"zavírat-003"</t>
  </si>
  <si>
    <t>"zavírat-004"</t>
  </si>
  <si>
    <t>"zavírat-005"</t>
  </si>
  <si>
    <t>"zavírat-006"</t>
  </si>
  <si>
    <t>"zavírat-007"</t>
  </si>
  <si>
    <t>"zavítat-001"</t>
  </si>
  <si>
    <t>"zavěsit-001"</t>
  </si>
  <si>
    <t>PAT-&gt;ARG3/32</t>
  </si>
  <si>
    <t>"zavětřit-001"</t>
  </si>
  <si>
    <t>"zavěšovat-001"</t>
  </si>
  <si>
    <t>"zavřít-001"</t>
  </si>
  <si>
    <t>ACT-&gt;ARG0/79,ARG1/23</t>
  </si>
  <si>
    <t>"zavřít-002"</t>
  </si>
  <si>
    <t>ACT-&gt;ARG0/34,ARG1/18</t>
  </si>
  <si>
    <t>"zavřít-003"</t>
  </si>
  <si>
    <t>"zavřít-004"</t>
  </si>
  <si>
    <t>"zavřít-005"</t>
  </si>
  <si>
    <t>"zavřít-006"</t>
  </si>
  <si>
    <t>DPHR: ústa.4</t>
  </si>
  <si>
    <t>"zavřít-007"</t>
  </si>
  <si>
    <t>"zavřít-008"</t>
  </si>
  <si>
    <t>"zavřít-se-001"</t>
  </si>
  <si>
    <t>"zazelenit-se-001"</t>
  </si>
  <si>
    <t>"zazimovat-001"</t>
  </si>
  <si>
    <t>"zazimovávat-001"</t>
  </si>
  <si>
    <t>"zazlívat-001"</t>
  </si>
  <si>
    <t>PAT-&gt;ARG1/3,ARG2/33</t>
  </si>
  <si>
    <t>ADDR-&gt;ARG1/43,ARG2/1</t>
  </si>
  <si>
    <t>"zazmatkovat-001"</t>
  </si>
  <si>
    <t>"zaznamenat-001"</t>
  </si>
  <si>
    <t>ACT-&gt;ARG0/2951,ARG1/27</t>
  </si>
  <si>
    <t>PAT-&gt;ARG0/2,ARG1/3682,ARG2/1,ARG3/4</t>
  </si>
  <si>
    <t>"zaznamenat-002"</t>
  </si>
  <si>
    <t>ACT-&gt;ARG0/2185,ARG1/87</t>
  </si>
  <si>
    <t>PAT-&gt;ARG0/55,ARG1/2302</t>
  </si>
  <si>
    <t>"zaznamenat-003"</t>
  </si>
  <si>
    <t>ACT-&gt;ARG0/2528,ARG1/25</t>
  </si>
  <si>
    <t>PAT-&gt;ARG0/2,ARG1/2762,ARG2/1,ARG3/4</t>
  </si>
  <si>
    <t>"zaznamenat-004"</t>
  </si>
  <si>
    <t>"zaznamenat-005"</t>
  </si>
  <si>
    <t>ACT-&gt;ARG0/3534,ARG1/395,ARG2/3455</t>
  </si>
  <si>
    <t>CPHR: {dluh,kurz,minimum,nárůst,návrat,navýšení,nezdar,obrat,ohodnocení,podpora,pokles,poptávka,posun,problém,prodej,propad,příjem,rozkvět,růst,snížení,stagnace,tržba,úspěch,výdaj,výdělek,výhra,výkon,výkyv,výnos,vzestup,vzrůst,zisk,změna,zmírnění,zotavení,ztráta,zvrat,zvýšení,...}.4</t>
  </si>
  <si>
    <t>CPHR-&gt;ARG0/1,ARG1/7009,ARG2/360,ARG3/2,ARG4/45</t>
  </si>
  <si>
    <t>ACT-&gt;ARG0/2817,ARG1/3192,ARG2/296</t>
  </si>
  <si>
    <t>CPHR-&gt;ARG0/1,ARG1/3115,ARG2/3513,ARG3/4</t>
  </si>
  <si>
    <t>ACT-&gt;ARG0/392,ARG1/1</t>
  </si>
  <si>
    <t>CPHR-&gt;ARG1/524,ARG2/1</t>
  </si>
  <si>
    <t>ACT-&gt;ARG0/615,ARG1/4</t>
  </si>
  <si>
    <t>CPHR-&gt;ARG1/756,ARG2/1</t>
  </si>
  <si>
    <t>ACT-&gt;ARG0/740,ARG1/4</t>
  </si>
  <si>
    <t>CPHR-&gt;ARG1/835</t>
  </si>
  <si>
    <t>CPHR-&gt;ARG1/21</t>
  </si>
  <si>
    <t>CPHR-&gt;ARG1/41</t>
  </si>
  <si>
    <t>CPHR-&gt;ARG1/575</t>
  </si>
  <si>
    <t>"--zaznamenat-006"</t>
  </si>
  <si>
    <t>CPHR: {kurz,nárůst,návrat,navýšení,nezdar,obrat,ohodnocení,pokles,posun,propad,rozkvět,růst,stagnace,úspěch,výhra,výkon,výkyv,vzestup,vzrůst,zisk,ztráta,zvrat,zvýšení,...}.4</t>
  </si>
  <si>
    <t>"zaznamenávat-001"</t>
  </si>
  <si>
    <t>"zaznamenávat-002"</t>
  </si>
  <si>
    <t>PAT: 4; ↓že; ↓jak-2; ↓zda; ↓jestli; ↓zda</t>
  </si>
  <si>
    <t>"zaznamenávat-003"</t>
  </si>
  <si>
    <t>"zaznamenávat-004"</t>
  </si>
  <si>
    <t>CPHR: {dluh,marže,nárůst,navýšení,obrat,pokles,poptávka,posun,propad,příjem,růst,snížení,tržba,úspěch,výdaj,výdělek,výnos,vzestup,vzrůst,zisk,ztráta,zvýšení,...}.4</t>
  </si>
  <si>
    <t>CPHR-&gt;ARG1/62</t>
  </si>
  <si>
    <t>"--zaznamenávat-005"</t>
  </si>
  <si>
    <t>CPHR: {dluh,marže,nárůst,navýšení,obrat,pokles,poptávka,propad,příjem,růst,snížení,tržba,výdaj,výdělek,výnos,vzestup,vzrůst,zisk,ztráta,zvýšení,...}.4</t>
  </si>
  <si>
    <t>"zaznít-001"</t>
  </si>
  <si>
    <t>"zaznít-002"</t>
  </si>
  <si>
    <t>"--zaznít-003"</t>
  </si>
  <si>
    <t>"zaznívat-001"</t>
  </si>
  <si>
    <t>?PAT: z+2; od+2</t>
  </si>
  <si>
    <t>"zazpívat-001"</t>
  </si>
  <si>
    <t>"zazpívat-002"</t>
  </si>
  <si>
    <t>"zazpívat-003"</t>
  </si>
  <si>
    <t>"--zazpívat-si-001"</t>
  </si>
  <si>
    <t>"zazvonit-001"</t>
  </si>
  <si>
    <t>"zazářit-001"</t>
  </si>
  <si>
    <t>"zazářit-002"</t>
  </si>
  <si>
    <t>"zaúpět-001"</t>
  </si>
  <si>
    <t>PAT: 4; ↓že; ↓zda; ↓jestli; ↓aby; ↓ať; .s; ↓c</t>
  </si>
  <si>
    <t>"zaútočit-001"</t>
  </si>
  <si>
    <t>"zaúčtovat-001"</t>
  </si>
  <si>
    <t>"začlenit-001"</t>
  </si>
  <si>
    <t>"začlenit-se-001"</t>
  </si>
  <si>
    <t>"začleňovat-001"</t>
  </si>
  <si>
    <t>"začmuchat-001"</t>
  </si>
  <si>
    <t>"začoudit-se-001"</t>
  </si>
  <si>
    <t>"začínat-001"</t>
  </si>
  <si>
    <t>ACT-&gt;ARG0/597,ARG1/488,ARG2/5</t>
  </si>
  <si>
    <t>PAT-&gt;ARG1/752,ARG2/143,ARG4/1</t>
  </si>
  <si>
    <t>"začínat-002"</t>
  </si>
  <si>
    <t>ACT-&gt;ARG0/1,ARG1/27</t>
  </si>
  <si>
    <t>"začínat-003"</t>
  </si>
  <si>
    <t>ACT-&gt;ARG0/111,ARG1/258,ARG2/5</t>
  </si>
  <si>
    <t>"začínat-004"</t>
  </si>
  <si>
    <t>ACT-&gt;ARG0/112,ARG1/269,ARG2/3</t>
  </si>
  <si>
    <t>MEANS-&gt;ARG2/14</t>
  </si>
  <si>
    <t>"začínat-005"</t>
  </si>
  <si>
    <t>?PAT: 4; s+7; .f</t>
  </si>
  <si>
    <t>DPHR: od-1[píka.S2]</t>
  </si>
  <si>
    <t>"začínat-si-001"</t>
  </si>
  <si>
    <t>"začíst-se-001"</t>
  </si>
  <si>
    <t>"začít-001"</t>
  </si>
  <si>
    <t>ACT-&gt;ARG0/654,ARG1/992,ARG2/12</t>
  </si>
  <si>
    <t>PAT-&gt;ARG0/2,ARG1/1028,ARG2/4188</t>
  </si>
  <si>
    <t>"začít-002"</t>
  </si>
  <si>
    <t>ACT-&gt;ARG0/229,ARG1/637,ARG2/4</t>
  </si>
  <si>
    <t>"začít-003"</t>
  </si>
  <si>
    <t>ACT-&gt;ARG0/109,ARG1/94,ARG2/3</t>
  </si>
  <si>
    <t>DPHR: od-1[nula.S2]</t>
  </si>
  <si>
    <t>"začít-004"</t>
  </si>
  <si>
    <t>"začít-si-001"</t>
  </si>
  <si>
    <t>"zařadit-001"</t>
  </si>
  <si>
    <t>PAT-&gt;ARG0/155,ARG1/2,ARG2/3</t>
  </si>
  <si>
    <t>DIR3-&gt;ARG1/245</t>
  </si>
  <si>
    <t>"zařadit-002"</t>
  </si>
  <si>
    <t>"zařadit-003"</t>
  </si>
  <si>
    <t>"--zařadit-004"</t>
  </si>
  <si>
    <t>"zařadit-se-001"</t>
  </si>
  <si>
    <t>ACT-&gt;ARG1/1212,ARG2/5</t>
  </si>
  <si>
    <t>DIR3-&gt;ARG0/6,ARG1/5,ARG2/721</t>
  </si>
  <si>
    <t>"zařadit-se-002"</t>
  </si>
  <si>
    <t>"zařazovat-001"</t>
  </si>
  <si>
    <t>"zařazovat-002"</t>
  </si>
  <si>
    <t>DIR3-&gt;ARG1/377</t>
  </si>
  <si>
    <t>"zařazovat-se-001"</t>
  </si>
  <si>
    <t>PAT: mezi+4; k+3</t>
  </si>
  <si>
    <t>"zařeknout-se-001"</t>
  </si>
  <si>
    <t>"zařezávat-se-001"</t>
  </si>
  <si>
    <t>"zařizovat-001"</t>
  </si>
  <si>
    <t>"zařizovat-002"</t>
  </si>
  <si>
    <t>"zařvat-001"</t>
  </si>
  <si>
    <t>"zařídit-001"</t>
  </si>
  <si>
    <t>PAT: 4; ↓aby; ↓c; ↓že</t>
  </si>
  <si>
    <t>"zařídit-002"</t>
  </si>
  <si>
    <t>PAT-&gt;ARG1/130</t>
  </si>
  <si>
    <t>"zařídit-003"</t>
  </si>
  <si>
    <t>"zařídit-004"</t>
  </si>
  <si>
    <t>"zařídit-se-001"</t>
  </si>
  <si>
    <t>PAT: podle+2</t>
  </si>
  <si>
    <t>"zařídit-se-002"</t>
  </si>
  <si>
    <t>"zařídit-se-003"</t>
  </si>
  <si>
    <t>"zařídit-se-004"</t>
  </si>
  <si>
    <t>"zaříkávat-001"</t>
  </si>
  <si>
    <t>"zaříznout-001"</t>
  </si>
  <si>
    <t>"zaříznout-002"</t>
  </si>
  <si>
    <t>"zaříznout-003"</t>
  </si>
  <si>
    <t>"zaříznout-se-001"</t>
  </si>
  <si>
    <t>"zašeptat-001"</t>
  </si>
  <si>
    <t>"zašeptat-002"</t>
  </si>
  <si>
    <t>"zašeptat-003"</t>
  </si>
  <si>
    <t>"zašermovat-001"</t>
  </si>
  <si>
    <t>"zašklebit-se-001"</t>
  </si>
  <si>
    <t>"zaškrtnout-001"</t>
  </si>
  <si>
    <t>"zašmodrchat-001"</t>
  </si>
  <si>
    <t>"zašněrovat-001"</t>
  </si>
  <si>
    <t>"zašoupnout-001"</t>
  </si>
  <si>
    <t>"zaštiťovat-001"</t>
  </si>
  <si>
    <t>"zaštukovat-001"</t>
  </si>
  <si>
    <t>"zaštípnout-se-001"</t>
  </si>
  <si>
    <t>"zaštítit-001"</t>
  </si>
  <si>
    <t>"zašátrat-001"</t>
  </si>
  <si>
    <t>"zašátrat-002"</t>
  </si>
  <si>
    <t>"zašít-001"</t>
  </si>
  <si>
    <t>"zašívat-001"</t>
  </si>
  <si>
    <t>"zaťukat-001"</t>
  </si>
  <si>
    <t>"zažalovat-001"</t>
  </si>
  <si>
    <t>"zažalovat-002"</t>
  </si>
  <si>
    <t>"zažehnat-001"</t>
  </si>
  <si>
    <t>"zažehnout-001"</t>
  </si>
  <si>
    <t>"zažehnout-002"</t>
  </si>
  <si>
    <t>"zažádat-001"</t>
  </si>
  <si>
    <t>"zažádat-002"</t>
  </si>
  <si>
    <t>PAT: o+4; .f; ↓zda; ↓aby; ↓ať; .s; ↓c; ↓jestli</t>
  </si>
  <si>
    <t>ACT-&gt;ARG0/380,ARG2/1</t>
  </si>
  <si>
    <t>PAT-&gt;ARG1/504</t>
  </si>
  <si>
    <t>"zažíhat-001"</t>
  </si>
  <si>
    <t>"zažít-001"</t>
  </si>
  <si>
    <t>PAT: 4; ↓že; ↓aby; ↓když</t>
  </si>
  <si>
    <t>ACT-&gt;ARG0/2817,ARG1/29</t>
  </si>
  <si>
    <t>PAT-&gt;ARG0/1,ARG1/3066,ARG2/7</t>
  </si>
  <si>
    <t>"zažít-002"</t>
  </si>
  <si>
    <t>"zažít-se-001"</t>
  </si>
  <si>
    <t>"zažívat-001"</t>
  </si>
  <si>
    <t>ACT-&gt;ARG0/2287,ARG1/120</t>
  </si>
  <si>
    <t>PAT-&gt;ARG0/1,ARG1/2397</t>
  </si>
  <si>
    <t>"zbandat-001"</t>
  </si>
  <si>
    <t>?PAT: k+3; na+4; ↓aby; ↓ať; .s</t>
  </si>
  <si>
    <t>"zbankat-001"</t>
  </si>
  <si>
    <t>PAT: .f; k+3; do+2; ↓aby; ↓ať</t>
  </si>
  <si>
    <t>"zbankrotovat-001"</t>
  </si>
  <si>
    <t>"zbarvit-001"</t>
  </si>
  <si>
    <t>MANN-&gt;ARG2/41</t>
  </si>
  <si>
    <t>"zbarvit-se-001"</t>
  </si>
  <si>
    <t>"zbavit-001"</t>
  </si>
  <si>
    <t>PAT-&gt;ARG1/38,ARG2/13</t>
  </si>
  <si>
    <t>ADDR-&gt;ARG0/1,ARG1/173,ARG2/32</t>
  </si>
  <si>
    <t>"zbavit-se-001"</t>
  </si>
  <si>
    <t>ACT-&gt;ARG0/147,ARG1/32</t>
  </si>
  <si>
    <t>PAT-&gt;ARG1/310</t>
  </si>
  <si>
    <t>"zbavovat-001"</t>
  </si>
  <si>
    <t>ADDR-&gt;ARG0/2,ARG1/43,ARG2/11</t>
  </si>
  <si>
    <t>"zbavovat-se-001"</t>
  </si>
  <si>
    <t>PAT-&gt;ARG1/115,ARG2/1</t>
  </si>
  <si>
    <t>"zbaštit-001"</t>
  </si>
  <si>
    <t>"zblbnout-001"</t>
  </si>
  <si>
    <t>"zblokovat-001"</t>
  </si>
  <si>
    <t>"zbláznit-se-001"</t>
  </si>
  <si>
    <t>"zbláznit-se-002"</t>
  </si>
  <si>
    <t>"zbohatnout-001"</t>
  </si>
  <si>
    <t>"zbortit-se-001"</t>
  </si>
  <si>
    <t>"zbourat-001"</t>
  </si>
  <si>
    <t>"zbourat-002"</t>
  </si>
  <si>
    <t>"zbořit-001"</t>
  </si>
  <si>
    <t>"zbořit-se-001"</t>
  </si>
  <si>
    <t>"zbožňovat-001"</t>
  </si>
  <si>
    <t>"zbrojit-001"</t>
  </si>
  <si>
    <t>"zbrousit-001"</t>
  </si>
  <si>
    <t>"zbrzdit-001"</t>
  </si>
  <si>
    <t>"zbrzdit-se-001"</t>
  </si>
  <si>
    <t>ACT-&gt;ARG0/1,ARG1/33,ARG2/1</t>
  </si>
  <si>
    <t>"zbrázdit-001"</t>
  </si>
  <si>
    <t>"zbrázdit-002"</t>
  </si>
  <si>
    <t>"zbudovat-001"</t>
  </si>
  <si>
    <t>"zbuntovat-001"</t>
  </si>
  <si>
    <t>"zbystřit-001"</t>
  </si>
  <si>
    <t>"zbystřit-002"</t>
  </si>
  <si>
    <t>"zbystřit-003"</t>
  </si>
  <si>
    <t>"zbít-001"</t>
  </si>
  <si>
    <t>"zbýt-001"</t>
  </si>
  <si>
    <t>ACT-&gt;ARG1/3,ARG2/46</t>
  </si>
  <si>
    <t>"zbýt-002"</t>
  </si>
  <si>
    <t>"zbýt-003"</t>
  </si>
  <si>
    <t>?PAT: na+4; pro+4</t>
  </si>
  <si>
    <t>PAT-&gt;ARG1/4,ARG2/13</t>
  </si>
  <si>
    <t>"zbýt-004"</t>
  </si>
  <si>
    <t>ACT-&gt;ARG1/62,ARG2/47</t>
  </si>
  <si>
    <t>PAT-&gt;ARG0/21,ARG1/1,ARG3/3</t>
  </si>
  <si>
    <t>"zbýt-005"</t>
  </si>
  <si>
    <t>"zbývat-001"</t>
  </si>
  <si>
    <t>ACT-&gt;ARG0/1,ARG1/2350,ARG2/1,ARG3/299</t>
  </si>
  <si>
    <t>PAT-&gt;ARG0/2160,ARG1/29,ARG3/2</t>
  </si>
  <si>
    <t>"zbývat-002"</t>
  </si>
  <si>
    <t>"zbývat-003"</t>
  </si>
  <si>
    <t>"zbývat-004"</t>
  </si>
  <si>
    <t>ACT-&gt;ARG0/1,ARG1/2341</t>
  </si>
  <si>
    <t>"zbývat-005"</t>
  </si>
  <si>
    <t>"zběhnout-001"</t>
  </si>
  <si>
    <t>"zcestovat-001"</t>
  </si>
  <si>
    <t>"zchladit-001"</t>
  </si>
  <si>
    <t>"zchladit-002"</t>
  </si>
  <si>
    <t>"zchladit-se-001"</t>
  </si>
  <si>
    <t>"zchladnout-001"</t>
  </si>
  <si>
    <t>"zchladnout-002"</t>
  </si>
  <si>
    <t>"zchodit-001"</t>
  </si>
  <si>
    <t>"zchudnout-001"</t>
  </si>
  <si>
    <t>"zcizit-001"</t>
  </si>
  <si>
    <t>"zdanit-001"</t>
  </si>
  <si>
    <t>PAT-&gt;ARG2/2,ARG3/4</t>
  </si>
  <si>
    <t>"zdaňovat-001"</t>
  </si>
  <si>
    <t>PAT-&gt;ARG2/2,ARG3/1</t>
  </si>
  <si>
    <t>"zdařit-se-001"</t>
  </si>
  <si>
    <t>ACT-&gt;ARG0/155,ARG1/144</t>
  </si>
  <si>
    <t>PAT-&gt;ARG1/250,ARG2/144</t>
  </si>
  <si>
    <t>"zdechnout-001"</t>
  </si>
  <si>
    <t>"zdecimovat-001"</t>
  </si>
  <si>
    <t>"zdeformovat-001"</t>
  </si>
  <si>
    <t>"zdeformovat-002"</t>
  </si>
  <si>
    <t>"zdeformovat-se-001"</t>
  </si>
  <si>
    <t>"zdemolovat-001"</t>
  </si>
  <si>
    <t>"zdeptat-001"</t>
  </si>
  <si>
    <t>"zdesetinásobit-001"</t>
  </si>
  <si>
    <t>"zdesetinásobit-se-001"</t>
  </si>
  <si>
    <t>ACT-&gt;ARG1/177,ARG2/4</t>
  </si>
  <si>
    <t>"zdevastovat-001"</t>
  </si>
  <si>
    <t>"zdiskreditovat-001"</t>
  </si>
  <si>
    <t>"zdivočet-001"</t>
  </si>
  <si>
    <t>"zdobit-001"</t>
  </si>
  <si>
    <t>"zdobit-002"</t>
  </si>
  <si>
    <t>"zdokonalit-001"</t>
  </si>
  <si>
    <t>"zdokonalit-se-001"</t>
  </si>
  <si>
    <t>"zdokonalovat-001"</t>
  </si>
  <si>
    <t>"zdokonalovat-se-001"</t>
  </si>
  <si>
    <t>"zdolat-001"</t>
  </si>
  <si>
    <t>"zdolávat-001"</t>
  </si>
  <si>
    <t>"zdolávat-002"</t>
  </si>
  <si>
    <t>"zdomácnět-001"</t>
  </si>
  <si>
    <t>"zdostupnit-001"</t>
  </si>
  <si>
    <t>"zdramatizovat-001"</t>
  </si>
  <si>
    <t>"zdravit-001"</t>
  </si>
  <si>
    <t>"--zdravit-se-001"</t>
  </si>
  <si>
    <t>"zdražit-001"</t>
  </si>
  <si>
    <t>ACT-&gt;ARG0/102,ARG1/66</t>
  </si>
  <si>
    <t>ORIG-&gt;ARG2/8,ARG3/30</t>
  </si>
  <si>
    <t>EFF-&gt;ARG1/1,ARG2/15,ARG4/79</t>
  </si>
  <si>
    <t>"zdražit-002"</t>
  </si>
  <si>
    <t>"zdražovat-001"</t>
  </si>
  <si>
    <t>"zdrhnout-001"</t>
  </si>
  <si>
    <t>"zdrsnit-001"</t>
  </si>
  <si>
    <t>"zdrsnět-001"</t>
  </si>
  <si>
    <t>"zdrtit-001"</t>
  </si>
  <si>
    <t>"zdráhat-se-001"</t>
  </si>
  <si>
    <t>PAT: .f; 2</t>
  </si>
  <si>
    <t>"zdržet-001"</t>
  </si>
  <si>
    <t>"zdržet-se-001"</t>
  </si>
  <si>
    <t>"zdržet-se-002"</t>
  </si>
  <si>
    <t>"zdržet-se-003"</t>
  </si>
  <si>
    <t>ACT-&gt;ARG1/62</t>
  </si>
  <si>
    <t>"zdržovat-001"</t>
  </si>
  <si>
    <t>PAT: od+2; v+6</t>
  </si>
  <si>
    <t>"zdržovat-002"</t>
  </si>
  <si>
    <t>"zdržovat-se-001"</t>
  </si>
  <si>
    <t>"zdvihat-001"</t>
  </si>
  <si>
    <t>"zdvihnout-001"</t>
  </si>
  <si>
    <t>"zdvihnout-002"</t>
  </si>
  <si>
    <t>"zdvihnout-003"</t>
  </si>
  <si>
    <t>"zdvojnásobit-001"</t>
  </si>
  <si>
    <t>ORIG-&gt;ARG3/11,ARG4/1</t>
  </si>
  <si>
    <t>EFF-&gt;ARG4/26</t>
  </si>
  <si>
    <t>"zdvojnásobit-se-001"</t>
  </si>
  <si>
    <t>PAT-&gt;ARG4/26</t>
  </si>
  <si>
    <t>"zdvojnásobovat-001"</t>
  </si>
  <si>
    <t>"zdvojnásobovat-se-001"</t>
  </si>
  <si>
    <t>"zdát-se-001"</t>
  </si>
  <si>
    <t>ACT: 3; pro+4</t>
  </si>
  <si>
    <t>ACT-&gt;ARG1/2,ARG2/5</t>
  </si>
  <si>
    <t>PAT: 1; ↓že; .f; ↓aby</t>
  </si>
  <si>
    <t>PAT-&gt;ARG0/89,ARG1/190</t>
  </si>
  <si>
    <t>EFF: 7; být[.7]; .a1; .a7; .a1[{jako,jakožto}:/AuxY]; ↓že; .f; .d</t>
  </si>
  <si>
    <t>EFF-&gt;ARG1/331,ARG2/8</t>
  </si>
  <si>
    <t>ACT-&gt;ARG0/5,ARG1/3105,ARG2/305</t>
  </si>
  <si>
    <t>EFF-&gt;ARG1/393,ARG2/3493</t>
  </si>
  <si>
    <t>"zdát-se-002"</t>
  </si>
  <si>
    <t>ACT-&gt;ARG0/6,ARG1/3,ARG2/4</t>
  </si>
  <si>
    <t>EFF-&gt;ARG1/7</t>
  </si>
  <si>
    <t>"zdát-se-003"</t>
  </si>
  <si>
    <t>"zdát-se-004"</t>
  </si>
  <si>
    <t>ACT-&gt;ARG0/102,ARG1/35,ARG2/7</t>
  </si>
  <si>
    <t>PAT-&gt;ARG0/8,ARG1/362,ARG2/4</t>
  </si>
  <si>
    <t>"zdát-se-005"</t>
  </si>
  <si>
    <t>PAT: být.f</t>
  </si>
  <si>
    <t>"zdít-001"</t>
  </si>
  <si>
    <t>"zdědit-001"</t>
  </si>
  <si>
    <t>"zděsit-001"</t>
  </si>
  <si>
    <t>"zděsit-se-001"</t>
  </si>
  <si>
    <t>"zdřímnout-si-001"</t>
  </si>
  <si>
    <t>"zdůraznit-001"</t>
  </si>
  <si>
    <t>PAT: 4; ↓že; ↓ať; ↓aby; ↓c; .s; .v</t>
  </si>
  <si>
    <t>"zdůraznit-002"</t>
  </si>
  <si>
    <t>"zdůrazňovat-001"</t>
  </si>
  <si>
    <t>PAT: 4; ↓že; ↓ať; ↓aby; ↓c; .s</t>
  </si>
  <si>
    <t>"zdůrazňovat-002"</t>
  </si>
  <si>
    <t>"zdůvodnit-001"</t>
  </si>
  <si>
    <t>"zdůvodňovat-001"</t>
  </si>
  <si>
    <t>"zedničit-001"</t>
  </si>
  <si>
    <t>"zefektivnit-001"</t>
  </si>
  <si>
    <t>"zefektivňovat-001"</t>
  </si>
  <si>
    <t>"zelenat-se-001"</t>
  </si>
  <si>
    <t>"zelenat-se-002"</t>
  </si>
  <si>
    <t>"zemdlévat-001"</t>
  </si>
  <si>
    <t>"zemřít-001"</t>
  </si>
  <si>
    <t>ACT-&gt;ARG0/36,ARG1/71</t>
  </si>
  <si>
    <t>"zepsout-001"</t>
  </si>
  <si>
    <t>"zeptat-se-001"</t>
  </si>
  <si>
    <t>ACT-&gt;ARG0/213</t>
  </si>
  <si>
    <t>PAT-&gt;ARG1/309</t>
  </si>
  <si>
    <t>ADDR-&gt;ARG0/1,ARG1/5,ARG2/159</t>
  </si>
  <si>
    <t>"zesilovat-001"</t>
  </si>
  <si>
    <t>"zesilovat-002"</t>
  </si>
  <si>
    <t>"zesilovat-003"</t>
  </si>
  <si>
    <t>"zesilovat-se-001"</t>
  </si>
  <si>
    <t>"zeslabit-001"</t>
  </si>
  <si>
    <t>"zeslabovat-001"</t>
  </si>
  <si>
    <t>"zeslábnout-001"</t>
  </si>
  <si>
    <t>ACT-&gt;ARG1/203</t>
  </si>
  <si>
    <t>PAT-&gt;ARG1/1,ARG4/52,ARGm-LOC/1</t>
  </si>
  <si>
    <t>"zesměšnit-001"</t>
  </si>
  <si>
    <t>"zesměšňovat-001"</t>
  </si>
  <si>
    <t>"zestručnit-001"</t>
  </si>
  <si>
    <t>"zestárnout-001"</t>
  </si>
  <si>
    <t>"zestátnit-001"</t>
  </si>
  <si>
    <t>"zestátňovat-001"</t>
  </si>
  <si>
    <t>"zesílit-001"</t>
  </si>
  <si>
    <t>"zesílit-002"</t>
  </si>
  <si>
    <t>ACT-&gt;ARG0/1,ARG1/37</t>
  </si>
  <si>
    <t>PAT-&gt;ARG4/2</t>
  </si>
  <si>
    <t>"zet-001"</t>
  </si>
  <si>
    <t>"zet-002"</t>
  </si>
  <si>
    <t>DPHR: prázdnota.S7</t>
  </si>
  <si>
    <t>"zevšeobecňovat-001"</t>
  </si>
  <si>
    <t>"zezelenat-001"</t>
  </si>
  <si>
    <t>"zečtyřnásobit-001"</t>
  </si>
  <si>
    <t>"zečtyřnásobit-se-001"</t>
  </si>
  <si>
    <t>"zešedivět-001"</t>
  </si>
  <si>
    <t>"zeštíhlet-001"</t>
  </si>
  <si>
    <t>"zeštíhlet-002"</t>
  </si>
  <si>
    <t>"zeštíhlit-001"</t>
  </si>
  <si>
    <t>"zeštíhlovat-001"</t>
  </si>
  <si>
    <t>"zežloutnout-001"</t>
  </si>
  <si>
    <t>"zfalšovat-001"</t>
  </si>
  <si>
    <t>"zfanatizovat-001"</t>
  </si>
  <si>
    <t>"zfilmovat-001"</t>
  </si>
  <si>
    <t>"zformovat-001"</t>
  </si>
  <si>
    <t>"zformovat-se-001"</t>
  </si>
  <si>
    <t>"zformulovat-001"</t>
  </si>
  <si>
    <t>"zhanobit-001"</t>
  </si>
  <si>
    <t>"zhasnout-001"</t>
  </si>
  <si>
    <t>"zhasnout-002"</t>
  </si>
  <si>
    <t>"zhasnout-003"</t>
  </si>
  <si>
    <t>"zhasnout-se-001"</t>
  </si>
  <si>
    <t>"zhasínat-001"</t>
  </si>
  <si>
    <t>"zhatit-001"</t>
  </si>
  <si>
    <t>"zhlavovat-001"</t>
  </si>
  <si>
    <t>"zhlédnout-001"</t>
  </si>
  <si>
    <t>"zhlédnout-002"</t>
  </si>
  <si>
    <t>"zhlížet-se-001"</t>
  </si>
  <si>
    <t>"zhmotnit-001"</t>
  </si>
  <si>
    <t>"zhmotňovat-se-001"</t>
  </si>
  <si>
    <t>"zhodnocovat-001"</t>
  </si>
  <si>
    <t>"zhodnocovat-se-001"</t>
  </si>
  <si>
    <t>"zhodnotit-001"</t>
  </si>
  <si>
    <t>?EFF: v+4</t>
  </si>
  <si>
    <t>"zhodnotit-002"</t>
  </si>
  <si>
    <t>"zhodnotit-003"</t>
  </si>
  <si>
    <t>"zhodnotit-se-001"</t>
  </si>
  <si>
    <t>"zhojit-001"</t>
  </si>
  <si>
    <t>"zhoršit-001"</t>
  </si>
  <si>
    <t>ACT-&gt;ARG0/252,ARG1/5,ARG2/76</t>
  </si>
  <si>
    <t>"zhoršit-se-001"</t>
  </si>
  <si>
    <t>"zhoršovat-001"</t>
  </si>
  <si>
    <t>PAT-&gt;ARG1/12,ARG2/5</t>
  </si>
  <si>
    <t>"zhoršovat-se-001"</t>
  </si>
  <si>
    <t>ACT-&gt;ARG0/1,ARG1/138,ARG2/1</t>
  </si>
  <si>
    <t>"zhospodárnit-001"</t>
  </si>
  <si>
    <t>"zhostit-se-001"</t>
  </si>
  <si>
    <t>"zhotovit-001"</t>
  </si>
  <si>
    <t>"zhotovovat-001"</t>
  </si>
  <si>
    <t>"zhoupnout-se-001"</t>
  </si>
  <si>
    <t>"zhoustnout-001"</t>
  </si>
  <si>
    <t>"zhořknout-001"</t>
  </si>
  <si>
    <t>"zhroutit-se-001"</t>
  </si>
  <si>
    <t>ACT-&gt;ARG1/61</t>
  </si>
  <si>
    <t>PAT-&gt;ARG4/29</t>
  </si>
  <si>
    <t>"zhroutit-se-002"</t>
  </si>
  <si>
    <t>"zhroutit-se-003"</t>
  </si>
  <si>
    <t>ACT-&gt;ARG1/113</t>
  </si>
  <si>
    <t>"zhroutit-se-004"</t>
  </si>
  <si>
    <t>"zhrozit-se-001"</t>
  </si>
  <si>
    <t>"zhrudkovatět-001"</t>
  </si>
  <si>
    <t>"zhubnout-001"</t>
  </si>
  <si>
    <t>"zhumanizovat-001"</t>
  </si>
  <si>
    <t>"zhuntovat-001"</t>
  </si>
  <si>
    <t>"zhušťovat-001"</t>
  </si>
  <si>
    <t>"zhušťovat-002"</t>
  </si>
  <si>
    <t>"zhypnotizovat-001"</t>
  </si>
  <si>
    <t>"zhysterizovat-001"</t>
  </si>
  <si>
    <t>"zhýčkat-001"</t>
  </si>
  <si>
    <t>"zhřešit-001"</t>
  </si>
  <si>
    <t>"zideologizovat-001"</t>
  </si>
  <si>
    <t>"zinscenovat-001"</t>
  </si>
  <si>
    <t>"zintenzivňovat-001"</t>
  </si>
  <si>
    <t>"zintenzívnit-001"</t>
  </si>
  <si>
    <t>ACT-&gt;ARG0/6,ARG1/8</t>
  </si>
  <si>
    <t>"--zintenzívnit-se-001"</t>
  </si>
  <si>
    <t>"zintenzívňovat-001"</t>
  </si>
  <si>
    <t>"zintrikovat-001"</t>
  </si>
  <si>
    <t>"zjasňovat-se-001"</t>
  </si>
  <si>
    <t>"zjednat-001"</t>
  </si>
  <si>
    <t>"zjednat-002"</t>
  </si>
  <si>
    <t>CPHR: {klid,náprava,pořádek,spravedlnost,...}.4</t>
  </si>
  <si>
    <t>"zjednat-003"</t>
  </si>
  <si>
    <t>"zjednodušit-001"</t>
  </si>
  <si>
    <t>"zjednodušit-002"</t>
  </si>
  <si>
    <t>"zjednodušit-se-001"</t>
  </si>
  <si>
    <t>"zjednodušovat-001"</t>
  </si>
  <si>
    <t>"zjednodušovat-002"</t>
  </si>
  <si>
    <t>"zjednávat-001"</t>
  </si>
  <si>
    <t>"zjednávat-002"</t>
  </si>
  <si>
    <t>CPHR: {klid,náprava,...}.4</t>
  </si>
  <si>
    <t>"zjemnit-001"</t>
  </si>
  <si>
    <t>"zjevit-se-001"</t>
  </si>
  <si>
    <t>ACT-&gt;ARG1/316,ARG2/16</t>
  </si>
  <si>
    <t>PAT-&gt;ARG1/8,ARG2/3</t>
  </si>
  <si>
    <t>"zjevit-se-002"</t>
  </si>
  <si>
    <t>"zjevovat-se-001"</t>
  </si>
  <si>
    <t>"zjistit-001"</t>
  </si>
  <si>
    <t>ACT-&gt;ARG0/454,ARG1/2</t>
  </si>
  <si>
    <t>PAT: na+4; o+6</t>
  </si>
  <si>
    <t>PAT-&gt;ARG0/2,ARG1/120,ARG2/3</t>
  </si>
  <si>
    <t>EFF-&gt;ARG0/1,ARG1/639,ARG3/2</t>
  </si>
  <si>
    <t>?ORIG: u+2; od+2</t>
  </si>
  <si>
    <t>"zjistit-002"</t>
  </si>
  <si>
    <t>ACT-&gt;ARG0/1365,ARG1/5</t>
  </si>
  <si>
    <t>PAT-&gt;ARG0/1,ARG1/2372,ARG2/26,ARG3/3</t>
  </si>
  <si>
    <t>"zjitřit-001"</t>
  </si>
  <si>
    <t>"zjitřovat-001"</t>
  </si>
  <si>
    <t>"zjizvit-001"</t>
  </si>
  <si>
    <t>"zjišťovat-001"</t>
  </si>
  <si>
    <t>ACT-&gt;ARG0/206,ARG1/1</t>
  </si>
  <si>
    <t>PAT-&gt;ARG0/2,ARG1/111,ARG2/1</t>
  </si>
  <si>
    <t>EFF: 4; ↓že; ↓zda; .v</t>
  </si>
  <si>
    <t>EFF-&gt;ARG0/1,ARG1/171</t>
  </si>
  <si>
    <t>"zjišťovat-002"</t>
  </si>
  <si>
    <t>ACT-&gt;ARG0/316,ARG1/1,ARG2/16</t>
  </si>
  <si>
    <t>PAT: 4; ↓zda; ↓jestli; ↓že; ↓c; .v</t>
  </si>
  <si>
    <t>PAT-&gt;ARG0/1,ARG1/447</t>
  </si>
  <si>
    <t>"zkalit-001"</t>
  </si>
  <si>
    <t>"zkapalnit-001"</t>
  </si>
  <si>
    <t>"zkazit-001"</t>
  </si>
  <si>
    <t>"zkazit-se-001"</t>
  </si>
  <si>
    <t>"zklamat-001"</t>
  </si>
  <si>
    <t>ACT-&gt;ARG0/5,ARG1/14</t>
  </si>
  <si>
    <t>PAT-&gt;ARG0/12,ARG1/20</t>
  </si>
  <si>
    <t>"zklamat-002"</t>
  </si>
  <si>
    <t>"zklidnit-001"</t>
  </si>
  <si>
    <t>"zklidnit-se-001"</t>
  </si>
  <si>
    <t>"zkolabovat-001"</t>
  </si>
  <si>
    <t>"zkolaudovat-001"</t>
  </si>
  <si>
    <t>"zkombinovat-001"</t>
  </si>
  <si>
    <t>"zkomolit-001"</t>
  </si>
  <si>
    <t>"zkompletovat-001"</t>
  </si>
  <si>
    <t>"zkomplikovat-001"</t>
  </si>
  <si>
    <t>PAT-&gt;ARG1/315</t>
  </si>
  <si>
    <t>"zkomplikovat-se-001"</t>
  </si>
  <si>
    <t>"zkomponovat-001"</t>
  </si>
  <si>
    <t>"zkoncentrovat-se-001"</t>
  </si>
  <si>
    <t>"zkoncipovat-001"</t>
  </si>
  <si>
    <t>"zkonfiskovat-001"</t>
  </si>
  <si>
    <t>"zkonsolidovat-001"</t>
  </si>
  <si>
    <t>"zkonsolidovat-se-001"</t>
  </si>
  <si>
    <t>"zkonstruovat-001"</t>
  </si>
  <si>
    <t>"zkontaktovat-001"</t>
  </si>
  <si>
    <t>"zkontrolovat-001"</t>
  </si>
  <si>
    <t>"zkonvertovat-001"</t>
  </si>
  <si>
    <t>"zkonzistentnit-001"</t>
  </si>
  <si>
    <t>"zkonzolidovat-001"</t>
  </si>
  <si>
    <t>"zkonzumovat-001"</t>
  </si>
  <si>
    <t>"zkoordinovat-001"</t>
  </si>
  <si>
    <t>"zkopat-001"</t>
  </si>
  <si>
    <t>"zkopírovat-001"</t>
  </si>
  <si>
    <t>"--zkopírovat-002"</t>
  </si>
  <si>
    <t>"zkorigovat-001"</t>
  </si>
  <si>
    <t>"zkorumpovat-001"</t>
  </si>
  <si>
    <t>"zkoumat-001"</t>
  </si>
  <si>
    <t>ACT-&gt;ARG0/344</t>
  </si>
  <si>
    <t>PAT-&gt;ARG0/1,ARG1/445</t>
  </si>
  <si>
    <t>"zkoušet-001"</t>
  </si>
  <si>
    <t>"zkoušet-002"</t>
  </si>
  <si>
    <t>?ORIG: z+2; 4</t>
  </si>
  <si>
    <t>"zkoušet-003"</t>
  </si>
  <si>
    <t>"zkoušet-004"</t>
  </si>
  <si>
    <t>"zkoušet-005"</t>
  </si>
  <si>
    <t>"zkoušet-006"</t>
  </si>
  <si>
    <t>PAT: 4; .f; ↓zda; ↓jestli; ↓c</t>
  </si>
  <si>
    <t>ACT-&gt;ARG0/316</t>
  </si>
  <si>
    <t>"zkoušet-si-001"</t>
  </si>
  <si>
    <t>"zkrachovat-001"</t>
  </si>
  <si>
    <t>ACT-&gt;ARG1/3317,ARG2/296</t>
  </si>
  <si>
    <t>"zkracovat-001"</t>
  </si>
  <si>
    <t>ORIG-&gt;ARG3/21</t>
  </si>
  <si>
    <t>EFF-&gt;ARG2/3,ARG4/37</t>
  </si>
  <si>
    <t>"zkreslit-001"</t>
  </si>
  <si>
    <t>"zkreslovat-001"</t>
  </si>
  <si>
    <t>"zkritizovat-001"</t>
  </si>
  <si>
    <t>"zkrotit-001"</t>
  </si>
  <si>
    <t>"zkrotit-002"</t>
  </si>
  <si>
    <t>"zkrouhnout-001"</t>
  </si>
  <si>
    <t>"zkroutit-se-001"</t>
  </si>
  <si>
    <t>"zkrvavit-001"</t>
  </si>
  <si>
    <t>"zkrátit-001"</t>
  </si>
  <si>
    <t>ORIG-&gt;ARG2/1,ARG3/19,ARG4/1</t>
  </si>
  <si>
    <t>EFF-&gt;ARG2/10,ARG4/33</t>
  </si>
  <si>
    <t>"zkrátit-002"</t>
  </si>
  <si>
    <t>"zkrátit-se-001"</t>
  </si>
  <si>
    <t>"zkrášlit-001"</t>
  </si>
  <si>
    <t>"zkultivovat-001"</t>
  </si>
  <si>
    <t>"zkusit-001"</t>
  </si>
  <si>
    <t>"zkusit-002"</t>
  </si>
  <si>
    <t>PAT-&gt;ARG1/441,ARG2/54</t>
  </si>
  <si>
    <t>"zkusit-003"</t>
  </si>
  <si>
    <t>"zkusit-004"</t>
  </si>
  <si>
    <t>"zkusit-005"</t>
  </si>
  <si>
    <t>DPHR: na-1[pěst:S4[vlastní-1.#]]</t>
  </si>
  <si>
    <t>"zkusit-006"</t>
  </si>
  <si>
    <t>"zkusit-007"</t>
  </si>
  <si>
    <t>"zkusit-si-001"</t>
  </si>
  <si>
    <t>"zkusit-si-002"</t>
  </si>
  <si>
    <t>"zkvalitnit-001"</t>
  </si>
  <si>
    <t>"zkvalitňovat-001"</t>
  </si>
  <si>
    <t>"zkysnout-001"</t>
  </si>
  <si>
    <t>"zkřivit-001"</t>
  </si>
  <si>
    <t>"zkřížit-001"</t>
  </si>
  <si>
    <t>"zkřížit-002"</t>
  </si>
  <si>
    <t>"zlegalizovat-001"</t>
  </si>
  <si>
    <t>"zlehčit-001"</t>
  </si>
  <si>
    <t>"zlehčovat-001"</t>
  </si>
  <si>
    <t>"zlenivět-001"</t>
  </si>
  <si>
    <t>"zlepšit-001"</t>
  </si>
  <si>
    <t>ACT-&gt;ARG0/493,ARG1/34,ARG2/12</t>
  </si>
  <si>
    <t>PAT-&gt;ARG0/1,ARG1/699</t>
  </si>
  <si>
    <t>ORIG-&gt;ARG3/19</t>
  </si>
  <si>
    <t>EFF-&gt;ARG2/5,ARG4/41</t>
  </si>
  <si>
    <t>"zlepšit-se-001"</t>
  </si>
  <si>
    <t>ACT-&gt;ARG1/509</t>
  </si>
  <si>
    <t>PAT-&gt;ARG0/2,ARG2/61,ARG4/115</t>
  </si>
  <si>
    <t>ORIG-&gt;ARG3/26</t>
  </si>
  <si>
    <t>"zlepšovat-001"</t>
  </si>
  <si>
    <t>ACT-&gt;ARG0/191,ARG1/1,ARG2/5</t>
  </si>
  <si>
    <t>"zlepšovat-se-001"</t>
  </si>
  <si>
    <t>"zlepšovat-se-002"</t>
  </si>
  <si>
    <t>ACT-&gt;ARG1/458,ARG2/6</t>
  </si>
  <si>
    <t>"zlevnit-001"</t>
  </si>
  <si>
    <t>PAT-&gt;ARG1/173,ARG2/2</t>
  </si>
  <si>
    <t>ORIG-&gt;ARG3/18,ARG4/1</t>
  </si>
  <si>
    <t>EFF-&gt;ARG2/10,ARG4/31</t>
  </si>
  <si>
    <t>"zlevnit-002"</t>
  </si>
  <si>
    <t>"zlevňovat-001"</t>
  </si>
  <si>
    <t>"zliberalizovat-001"</t>
  </si>
  <si>
    <t>"zlidovět-001"</t>
  </si>
  <si>
    <t>"zlikvidovat-001"</t>
  </si>
  <si>
    <t>"zlobit-001"</t>
  </si>
  <si>
    <t>"zlobit-002"</t>
  </si>
  <si>
    <t>"zlobit-se-001"</t>
  </si>
  <si>
    <t>"zlomit-001"</t>
  </si>
  <si>
    <t>"zlomit-002"</t>
  </si>
  <si>
    <t>"zlomit-003"</t>
  </si>
  <si>
    <t>"zlomit-004"</t>
  </si>
  <si>
    <t>DPHR-&gt;ARG1/36</t>
  </si>
  <si>
    <t>"zlomit-se-001"</t>
  </si>
  <si>
    <t>"zlořečit-001"</t>
  </si>
  <si>
    <t>"zlákat-001"</t>
  </si>
  <si>
    <t>?PAT: k+3; .f; ↓aby; ↓ať; na+4</t>
  </si>
  <si>
    <t>"zlámat-001"</t>
  </si>
  <si>
    <t>"zlíbit-se-001"</t>
  </si>
  <si>
    <t>"zmalomyslnět-001"</t>
  </si>
  <si>
    <t>"zmalátnit-001"</t>
  </si>
  <si>
    <t>"zmalířštět-001"</t>
  </si>
  <si>
    <t>"zmanipulovat-001"</t>
  </si>
  <si>
    <t>"zmapovat-001"</t>
  </si>
  <si>
    <t>"zmarnit-001"</t>
  </si>
  <si>
    <t>"zmasakrovat-001"</t>
  </si>
  <si>
    <t>"zmačknout-001"</t>
  </si>
  <si>
    <t>"zmařit-001"</t>
  </si>
  <si>
    <t>ACT-&gt;ARG0/88,ARG2/1</t>
  </si>
  <si>
    <t>"zmařit-002"</t>
  </si>
  <si>
    <t>ACT-&gt;ARG0/15,ARG2/3</t>
  </si>
  <si>
    <t>"zmehnout-001"</t>
  </si>
  <si>
    <t>"zmenšit-001"</t>
  </si>
  <si>
    <t>PAT-&gt;ARG1/496</t>
  </si>
  <si>
    <t>ORIG-&gt;ARG3/39,ARG4/1</t>
  </si>
  <si>
    <t>EFF-&gt;ARG2/13,ARG4/69</t>
  </si>
  <si>
    <t>"zmenšit-se-001"</t>
  </si>
  <si>
    <t>ACT-&gt;ARG1/375</t>
  </si>
  <si>
    <t>PAT-&gt;ARG0/3,ARG2/3,ARG4/49</t>
  </si>
  <si>
    <t>ORIG-&gt;ARG3/30</t>
  </si>
  <si>
    <t>"zmenšovat-001"</t>
  </si>
  <si>
    <t>ACT-&gt;ARG0/29,ARG1/3</t>
  </si>
  <si>
    <t>PAT-&gt;ARG1/44,ARG2/2,ARG4/4</t>
  </si>
  <si>
    <t>EFF-&gt;ARG2/15,ARG4/5</t>
  </si>
  <si>
    <t>"zmenšovat-se-001"</t>
  </si>
  <si>
    <t>ACT-&gt;ARG0/1,ARG1/293</t>
  </si>
  <si>
    <t>PAT-&gt;ARG0/11,ARG2/1,ARG4/214</t>
  </si>
  <si>
    <t>ORIG-&gt;ARG3/54,ARG4/4</t>
  </si>
  <si>
    <t>"zmeškat-001"</t>
  </si>
  <si>
    <t>"zminimalizovat-001"</t>
  </si>
  <si>
    <t>"zmizet-001"</t>
  </si>
  <si>
    <t>ACT-&gt;ARG0/24,ARG1/239</t>
  </si>
  <si>
    <t>"zmiňovat-001"</t>
  </si>
  <si>
    <t>PAT-&gt;ARG1/235</t>
  </si>
  <si>
    <t>"--zmiňovat-002"</t>
  </si>
  <si>
    <t>"zmiňovat-se-001"</t>
  </si>
  <si>
    <t>ACT-&gt;ARG0/137</t>
  </si>
  <si>
    <t>"zmiňovat-se-002"</t>
  </si>
  <si>
    <t>"zmlknout-001"</t>
  </si>
  <si>
    <t>"zmlátit-001"</t>
  </si>
  <si>
    <t>"zmnohonásobit-001"</t>
  </si>
  <si>
    <t>"zmobilizovat-001"</t>
  </si>
  <si>
    <t>"zmoci-001"</t>
  </si>
  <si>
    <t>"zmoci-002"</t>
  </si>
  <si>
    <t>"zmoci-se-001"</t>
  </si>
  <si>
    <t>"zmocnit-001"</t>
  </si>
  <si>
    <t>"zmocnit-se-001"</t>
  </si>
  <si>
    <t>"zmocnit-se-002"</t>
  </si>
  <si>
    <t>"zmocnit-se-003"</t>
  </si>
  <si>
    <t>CPHR: {nenávist,strach,...}.1</t>
  </si>
  <si>
    <t>"zmocňovat-001"</t>
  </si>
  <si>
    <t>"zmocňovat-se-001"</t>
  </si>
  <si>
    <t>"zmodernizovat-001"</t>
  </si>
  <si>
    <t>"zmoknout-001"</t>
  </si>
  <si>
    <t>"zmonopolizovat-001"</t>
  </si>
  <si>
    <t>"zmotat-001"</t>
  </si>
  <si>
    <t>"zmrazit-001"</t>
  </si>
  <si>
    <t>"zmrazovat-001"</t>
  </si>
  <si>
    <t>"zmrzačit-001"</t>
  </si>
  <si>
    <t>"zmrznout-001"</t>
  </si>
  <si>
    <t>"zmutovat-001"</t>
  </si>
  <si>
    <t>"zmužnět-001"</t>
  </si>
  <si>
    <t>"zmydlit-001"</t>
  </si>
  <si>
    <t>"zmáchat-001"</t>
  </si>
  <si>
    <t>"zmást-001"</t>
  </si>
  <si>
    <t>PAT-&gt;ARG1/19,ARG2/2</t>
  </si>
  <si>
    <t>"zmátořit-se-001"</t>
  </si>
  <si>
    <t>"zmáčknout-001"</t>
  </si>
  <si>
    <t>"zmínit-001"</t>
  </si>
  <si>
    <t>ACT-&gt;ARG0/312,ARG2/26</t>
  </si>
  <si>
    <t>PAT-&gt;ARG1/562</t>
  </si>
  <si>
    <t>"zmínit-se-001"</t>
  </si>
  <si>
    <t>"zmínit-se-002"</t>
  </si>
  <si>
    <t>EFF-&gt;ARG1/44</t>
  </si>
  <si>
    <t>"zmírat-001"</t>
  </si>
  <si>
    <t>"zmírnit-001"</t>
  </si>
  <si>
    <t>ACT-&gt;ARG0/226,ARG1/1</t>
  </si>
  <si>
    <t>PAT-&gt;ARG0/18,ARG1/491</t>
  </si>
  <si>
    <t>ORIG-&gt;ARG3/20</t>
  </si>
  <si>
    <t>EFF-&gt;ARG2/3,ARG4/35</t>
  </si>
  <si>
    <t>"zmírnit-se-001"</t>
  </si>
  <si>
    <t>ACT-&gt;ARG1/3112,ARG2/296</t>
  </si>
  <si>
    <t>"zmírnět-001"</t>
  </si>
  <si>
    <t>"zmírňovat-001"</t>
  </si>
  <si>
    <t>ACT-&gt;ARG0/68,ARG1/1</t>
  </si>
  <si>
    <t>PAT-&gt;ARG1/179,ARG2/1</t>
  </si>
  <si>
    <t>"zmírňovat-se-001"</t>
  </si>
  <si>
    <t>"zmítat-001"</t>
  </si>
  <si>
    <t>ACT-&gt;ARG1/2,ARG2/1</t>
  </si>
  <si>
    <t>"zmítat-se-001"</t>
  </si>
  <si>
    <t>"zmýlit-se-001"</t>
  </si>
  <si>
    <t>"změknout-001"</t>
  </si>
  <si>
    <t>"změkčit-001"</t>
  </si>
  <si>
    <t>"změkčovat-001"</t>
  </si>
  <si>
    <t>"změnit-001"</t>
  </si>
  <si>
    <t>ACT-&gt;ARG0/422,ARG1/100</t>
  </si>
  <si>
    <t>PAT-&gt;ARG1/741,ARG2/26</t>
  </si>
  <si>
    <t>ORIG-&gt;ARG1/1,ARG2/6,ARG3/7</t>
  </si>
  <si>
    <t>EFF-&gt;ARG1/264,ARG2/138,ARG3/2</t>
  </si>
  <si>
    <t>"změnit-002"</t>
  </si>
  <si>
    <t>"změnit-003"</t>
  </si>
  <si>
    <t>PAT-&gt;ARG2/19</t>
  </si>
  <si>
    <t>"změnit-004"</t>
  </si>
  <si>
    <t>DPHR: k-1[dobrý.a3]</t>
  </si>
  <si>
    <t>"změnit-005"</t>
  </si>
  <si>
    <t>DPHR: k-1[dobrý.NS3@2]</t>
  </si>
  <si>
    <t>"změnit-se-001"</t>
  </si>
  <si>
    <t>ACT-&gt;ARG0/1,ARG1/483,ARG2/1</t>
  </si>
  <si>
    <t>PAT-&gt;ARG1/2,ARG2/217,ARG4/41</t>
  </si>
  <si>
    <t>ORIG-&gt;ARG3/27</t>
  </si>
  <si>
    <t>"změřit-001"</t>
  </si>
  <si>
    <t>"změřit-002"</t>
  </si>
  <si>
    <t>"znamenat-001"</t>
  </si>
  <si>
    <t>ACT-&gt;ARG0/13558,ARG1/3150,ARG2/376</t>
  </si>
  <si>
    <t>PAT: 4; .f; ↓že; ↓aby; .s; ↓c; .v</t>
  </si>
  <si>
    <t>PAT-&gt;ARG0/3,ARG1/12547,ARG2/3461</t>
  </si>
  <si>
    <t>"znamenat-002"</t>
  </si>
  <si>
    <t>"značit-001"</t>
  </si>
  <si>
    <t>ACT-&gt;ARG0/374</t>
  </si>
  <si>
    <t>PAT-&gt;ARG1/416</t>
  </si>
  <si>
    <t>"značit-002"</t>
  </si>
  <si>
    <t>"znechucovat-001"</t>
  </si>
  <si>
    <t>"znechutit-001"</t>
  </si>
  <si>
    <t>PAT-&gt;ARG1/3112,ARG2/296</t>
  </si>
  <si>
    <t>"znegovat-001"</t>
  </si>
  <si>
    <t>"znehodnocovat-001"</t>
  </si>
  <si>
    <t>"znehodnotit-001"</t>
  </si>
  <si>
    <t>"znehodnotit-002"</t>
  </si>
  <si>
    <t>"znehodnotit-se-001"</t>
  </si>
  <si>
    <t>"znejistit-001"</t>
  </si>
  <si>
    <t>"znejistět-001"</t>
  </si>
  <si>
    <t>"znejistět-002"</t>
  </si>
  <si>
    <t>"zneklidnit-001"</t>
  </si>
  <si>
    <t>PAT-&gt;ARG0/2,ARG1/13</t>
  </si>
  <si>
    <t>"zneklidnět-001"</t>
  </si>
  <si>
    <t>"zneklidňovat-001"</t>
  </si>
  <si>
    <t>"znemožnit-001"</t>
  </si>
  <si>
    <t>ACT-&gt;ARG0/245,ARG1/76,ARG3/21</t>
  </si>
  <si>
    <t>PAT-&gt;ARG0/37,ARG1/407,ARG2/68</t>
  </si>
  <si>
    <t>ADDR-&gt;ARG1/73,ARG2/10</t>
  </si>
  <si>
    <t>"znemožňovat-001"</t>
  </si>
  <si>
    <t>PAT-&gt;ARG1/4,ARG2/7</t>
  </si>
  <si>
    <t>"znepokojit-001"</t>
  </si>
  <si>
    <t>ACT-&gt;ARG0/46,ARG1/31</t>
  </si>
  <si>
    <t>PAT-&gt;ARG0/6,ARG1/60</t>
  </si>
  <si>
    <t>"znepokojovat-001"</t>
  </si>
  <si>
    <t>ACT-&gt;ARG0/43,ARG1/56,ARG2/1</t>
  </si>
  <si>
    <t>PAT-&gt;ARG0/4,ARG1/43</t>
  </si>
  <si>
    <t>"znepokojovat-se-001"</t>
  </si>
  <si>
    <t>"znepřátelit-001"</t>
  </si>
  <si>
    <t>"znepřátelit-si-001"</t>
  </si>
  <si>
    <t>"znepříjemnit-001"</t>
  </si>
  <si>
    <t>"znepříjemňovat-001"</t>
  </si>
  <si>
    <t>"znervóznit-001"</t>
  </si>
  <si>
    <t>"znervóznit-002"</t>
  </si>
  <si>
    <t>"znervóznět-001"</t>
  </si>
  <si>
    <t>"znervózňovat-001"</t>
  </si>
  <si>
    <t>"znesnadnit-001"</t>
  </si>
  <si>
    <t>"znesnadňovat-001"</t>
  </si>
  <si>
    <t>"znesvěcovat-001"</t>
  </si>
  <si>
    <t>"znetvořit-001"</t>
  </si>
  <si>
    <t>"zneuctít-001"</t>
  </si>
  <si>
    <t>"zneužít-001"</t>
  </si>
  <si>
    <t>"zneužívat-001"</t>
  </si>
  <si>
    <t>ACT-&gt;ARG0/324,ARG1/1</t>
  </si>
  <si>
    <t>"znevažovat-001"</t>
  </si>
  <si>
    <t>"znevážit-001"</t>
  </si>
  <si>
    <t>"znevýhodnit-001"</t>
  </si>
  <si>
    <t>"znevýhodňovat-001"</t>
  </si>
  <si>
    <t>"znečistit-001"</t>
  </si>
  <si>
    <t>"znečišťovat-001"</t>
  </si>
  <si>
    <t>"zneškodnit-001"</t>
  </si>
  <si>
    <t>"znivelizovat-001"</t>
  </si>
  <si>
    <t>"zničit-001"</t>
  </si>
  <si>
    <t>"zničit-se-001"</t>
  </si>
  <si>
    <t>"znormalizovat-001"</t>
  </si>
  <si>
    <t>"znovuobjevit-001"</t>
  </si>
  <si>
    <t>"znovuobjevovat-001"</t>
  </si>
  <si>
    <t>"znovuobnovit-001"</t>
  </si>
  <si>
    <t>"znovuotevřít-001"</t>
  </si>
  <si>
    <t>"znovuzvolit-001"</t>
  </si>
  <si>
    <t>"známkovat-001"</t>
  </si>
  <si>
    <t>"znárodnit-001"</t>
  </si>
  <si>
    <t>"znárodňovat-001"</t>
  </si>
  <si>
    <t>"znásilnit-001"</t>
  </si>
  <si>
    <t>"znásilnit-002"</t>
  </si>
  <si>
    <t>"znásilňovat-001"</t>
  </si>
  <si>
    <t>"znásilňovat-002"</t>
  </si>
  <si>
    <t>"znásobit-001"</t>
  </si>
  <si>
    <t>"znásobit-002"</t>
  </si>
  <si>
    <t>"znásobit-se-001"</t>
  </si>
  <si>
    <t>"znásobovat-001"</t>
  </si>
  <si>
    <t>"znásobovat-se-001"</t>
  </si>
  <si>
    <t>"znát-001"</t>
  </si>
  <si>
    <t>ACT-&gt;ARG0/1283,ARG1/2</t>
  </si>
  <si>
    <t>PAT-&gt;ARG1/1485,ARG2/17</t>
  </si>
  <si>
    <t>"znát-002"</t>
  </si>
  <si>
    <t>EFF-&gt;ARG1/316,ARG2/16</t>
  </si>
  <si>
    <t>"znát-003"</t>
  </si>
  <si>
    <t>"znát-004"</t>
  </si>
  <si>
    <t>"znát-005"</t>
  </si>
  <si>
    <t>ACT-&gt;ARG0/295,ARG1/100</t>
  </si>
  <si>
    <t>"znát-006"</t>
  </si>
  <si>
    <t>"znát-se-001"</t>
  </si>
  <si>
    <t>"--znát-se-002"</t>
  </si>
  <si>
    <t>"znázorňovat-001"</t>
  </si>
  <si>
    <t>"znít-001"</t>
  </si>
  <si>
    <t>"znít-002"</t>
  </si>
  <si>
    <t>"znít-003"</t>
  </si>
  <si>
    <t>ACT-&gt;ARG0/12224,ARG1/3459,ARG2/300</t>
  </si>
  <si>
    <t>MANN-&gt;ARG0/3,ARG1/10728,ARG2/3766,ARG3/10</t>
  </si>
  <si>
    <t>"znít-004"</t>
  </si>
  <si>
    <t>ACT-&gt;ARG2/34</t>
  </si>
  <si>
    <t>"znít-005"</t>
  </si>
  <si>
    <t>ACT-&gt;ARG0/5,ARG1/3138,ARG2/297</t>
  </si>
  <si>
    <t>"zněkolikanásobit-001"</t>
  </si>
  <si>
    <t>"zobchodovat-001"</t>
  </si>
  <si>
    <t>"zobecňovat-001"</t>
  </si>
  <si>
    <t>"zobrazit-001"</t>
  </si>
  <si>
    <t>PAT-&gt;ARG1/476</t>
  </si>
  <si>
    <t>"zobrazit-002"</t>
  </si>
  <si>
    <t>"zobrazit-se-001"</t>
  </si>
  <si>
    <t>LOC-&gt;ARG1/22</t>
  </si>
  <si>
    <t>"zobrazovat-001"</t>
  </si>
  <si>
    <t>ACT-&gt;ARG0/49,ARG1/2,ARG2/173</t>
  </si>
  <si>
    <t>PAT-&gt;ARG1/765,ARG2/6</t>
  </si>
  <si>
    <t>"zobrazovat-se-001"</t>
  </si>
  <si>
    <t>"zocelit-001"</t>
  </si>
  <si>
    <t>"zocelit-se-001"</t>
  </si>
  <si>
    <t>"zodpovídat-001"</t>
  </si>
  <si>
    <t>"zodpovídat-002"</t>
  </si>
  <si>
    <t>"zodpovídat-se-001"</t>
  </si>
  <si>
    <t>PAT: z+2; za+4</t>
  </si>
  <si>
    <t>"zodpovědět-001"</t>
  </si>
  <si>
    <t>PAT: 4; .f; ↓c; ↓zda</t>
  </si>
  <si>
    <t>"zohavit-001"</t>
  </si>
  <si>
    <t>"zohlednit-001"</t>
  </si>
  <si>
    <t>"zohledňovat-001"</t>
  </si>
  <si>
    <t>ACT-&gt;ARG0/2,ARG1/30</t>
  </si>
  <si>
    <t>PAT: 4; ↓jak-2; ↓že; ↓c</t>
  </si>
  <si>
    <t>PAT-&gt;ARG1/2,ARG2/1,ARG4/25</t>
  </si>
  <si>
    <t>"zopakovat-001"</t>
  </si>
  <si>
    <t>ACT-&gt;ARG0/30,ARG1/30</t>
  </si>
  <si>
    <t>PAT: 4; ↓zda; ↓jestli; ↓aby; .s; ↓c</t>
  </si>
  <si>
    <t>"zopakovat-002"</t>
  </si>
  <si>
    <t>"zopakovat-003"</t>
  </si>
  <si>
    <t>EFF-&gt;ARG1/30</t>
  </si>
  <si>
    <t>"zopakovat-se-001"</t>
  </si>
  <si>
    <t>"zoptimalizovat-001"</t>
  </si>
  <si>
    <t>"zorganizovat-001"</t>
  </si>
  <si>
    <t>"zorientovat-se-001"</t>
  </si>
  <si>
    <t>"zosnovat-001"</t>
  </si>
  <si>
    <t>"zosobňovat-001"</t>
  </si>
  <si>
    <t>"zostřit-001"</t>
  </si>
  <si>
    <t>"zostřit-se-001"</t>
  </si>
  <si>
    <t>"zostřovat-001"</t>
  </si>
  <si>
    <t>"zotavit-001"</t>
  </si>
  <si>
    <t>"zotavit-se-001"</t>
  </si>
  <si>
    <t>ACT-&gt;ARG0/16,ARG1/130</t>
  </si>
  <si>
    <t>"zotavovat-se-001"</t>
  </si>
  <si>
    <t>"zoufat-si-001"</t>
  </si>
  <si>
    <t>"zout-001"</t>
  </si>
  <si>
    <t>"zout-002"</t>
  </si>
  <si>
    <t>"zošklivit-si-001"</t>
  </si>
  <si>
    <t>"zpanikařit-001"</t>
  </si>
  <si>
    <t>"zpeněžit-001"</t>
  </si>
  <si>
    <t>"zpeněžovat-001"</t>
  </si>
  <si>
    <t>"zpestřit-001"</t>
  </si>
  <si>
    <t>"zpestřovat-001"</t>
  </si>
  <si>
    <t>"zpevnit-001"</t>
  </si>
  <si>
    <t>ACT-&gt;ARG0/12,ARG1/34</t>
  </si>
  <si>
    <t>PAT-&gt;ARG1/17,ARG4/8</t>
  </si>
  <si>
    <t>"zpevnit-002"</t>
  </si>
  <si>
    <t>"zpevňovat-001"</t>
  </si>
  <si>
    <t>"zpečetit-001"</t>
  </si>
  <si>
    <t>"zplanýrovat-001"</t>
  </si>
  <si>
    <t>"zplizovat-001"</t>
  </si>
  <si>
    <t>"zplnoletnit-001"</t>
  </si>
  <si>
    <t>"zplnomocnit-001"</t>
  </si>
  <si>
    <t>"zplnomocňovat-001"</t>
  </si>
  <si>
    <t>"zplodit-001"</t>
  </si>
  <si>
    <t>"zplodit-002"</t>
  </si>
  <si>
    <t>"zploštit-001"</t>
  </si>
  <si>
    <t>"zpochybnit-001"</t>
  </si>
  <si>
    <t>PAT-&gt;ARG1/87,ARG2/13</t>
  </si>
  <si>
    <t>"zpochybňovat-001"</t>
  </si>
  <si>
    <t>PAT-&gt;ARG1/110,ARG2/13</t>
  </si>
  <si>
    <t>"zpodobňovat-001"</t>
  </si>
  <si>
    <t>"zpohodlnět-001"</t>
  </si>
  <si>
    <t>"zpolitizovat-001"</t>
  </si>
  <si>
    <t>"zpomalit-001"</t>
  </si>
  <si>
    <t>ACT-&gt;ARG0/7,ARG1/26</t>
  </si>
  <si>
    <t>"zpomalit-002"</t>
  </si>
  <si>
    <t>"zpomalit-se-001"</t>
  </si>
  <si>
    <t>"zpomalit-se-002"</t>
  </si>
  <si>
    <t>"zpomalovat-001"</t>
  </si>
  <si>
    <t>"zpomalovat-002"</t>
  </si>
  <si>
    <t>ACT-&gt;ARG1/58</t>
  </si>
  <si>
    <t>"zpomalovat-se-001"</t>
  </si>
  <si>
    <t>"zpopelnit-001"</t>
  </si>
  <si>
    <t>"zpopularizovat-001"</t>
  </si>
  <si>
    <t>"zpotit-se-001"</t>
  </si>
  <si>
    <t>"zpovídat-001"</t>
  </si>
  <si>
    <t>"zpozdit-001"</t>
  </si>
  <si>
    <t>"zpozdit-se-001"</t>
  </si>
  <si>
    <t>"zpozdit-se-002"</t>
  </si>
  <si>
    <t>"zpozornět-001"</t>
  </si>
  <si>
    <t>"zpozorovat-001"</t>
  </si>
  <si>
    <t>"zpožďovat-001"</t>
  </si>
  <si>
    <t>"zpožďovat-se-001"</t>
  </si>
  <si>
    <t>"zpracovat-001"</t>
  </si>
  <si>
    <t>ACT-&gt;ARG0/207,ARG2/2</t>
  </si>
  <si>
    <t>"zpracovat-002"</t>
  </si>
  <si>
    <t>ACT-&gt;ARG0/219,ARG1/1</t>
  </si>
  <si>
    <t>PAT-&gt;ARG1/327,ARG2/2</t>
  </si>
  <si>
    <t>EFF-&gt;ARG1/1,ARG2/2</t>
  </si>
  <si>
    <t>"zpracovat-003"</t>
  </si>
  <si>
    <t>"zpracovat-004"</t>
  </si>
  <si>
    <t>"zpracovávat-001"</t>
  </si>
  <si>
    <t>ACT-&gt;ARG0/60,ARG1/3102,ARG2/296</t>
  </si>
  <si>
    <t>"zpracovávat-002"</t>
  </si>
  <si>
    <t>ACT-&gt;ARG0/413,ARG1/2</t>
  </si>
  <si>
    <t>PAT-&gt;ARG1/766,ARG2/1</t>
  </si>
  <si>
    <t>"zpracovávat-003"</t>
  </si>
  <si>
    <t>"zpracovávat-004"</t>
  </si>
  <si>
    <t>ACT-&gt;ARG0/329,ARG1/1</t>
  </si>
  <si>
    <t>PAT-&gt;ARG1/654,ARG2/1</t>
  </si>
  <si>
    <t>"zpravit-001"</t>
  </si>
  <si>
    <t>"zprivatizovat-001"</t>
  </si>
  <si>
    <t>"zprofanovat-001"</t>
  </si>
  <si>
    <t>"zpronevěřit-001"</t>
  </si>
  <si>
    <t>"zpronevěřit-se-001"</t>
  </si>
  <si>
    <t>"zprostit-001"</t>
  </si>
  <si>
    <t>PAT-&gt;ARG1/27,ARG2/8</t>
  </si>
  <si>
    <t>ADDR-&gt;ARG1/20,ARG2/2</t>
  </si>
  <si>
    <t>"zprostředkovat-001"</t>
  </si>
  <si>
    <t>"zprostředkovat-002"</t>
  </si>
  <si>
    <t>"zprostředkovávat-001"</t>
  </si>
  <si>
    <t>"zprotivit-se-001"</t>
  </si>
  <si>
    <t>"zprovoznit-001"</t>
  </si>
  <si>
    <t>"zprošťovat-001"</t>
  </si>
  <si>
    <t>"zprůhledňovat-001"</t>
  </si>
  <si>
    <t>"zprůměrovat-001"</t>
  </si>
  <si>
    <t>"zpuchřet-001"</t>
  </si>
  <si>
    <t>"zpustošit-001"</t>
  </si>
  <si>
    <t>"zpytovat-001"</t>
  </si>
  <si>
    <t>"zpívat-001"</t>
  </si>
  <si>
    <t>"zpívat-002"</t>
  </si>
  <si>
    <t>"zpívat-003"</t>
  </si>
  <si>
    <t>"zpívat-004"</t>
  </si>
  <si>
    <t>"zpívat-005"</t>
  </si>
  <si>
    <t>"zpívávat-001"</t>
  </si>
  <si>
    <t>"zpětinásobit-se-001"</t>
  </si>
  <si>
    <t>"zpřehlednit-001"</t>
  </si>
  <si>
    <t>"zpřeházet-001"</t>
  </si>
  <si>
    <t>"zpřesnit-001"</t>
  </si>
  <si>
    <t>"zpřesňovat-001"</t>
  </si>
  <si>
    <t>"zpřetrhat-001"</t>
  </si>
  <si>
    <t>"zpříjemnit-001"</t>
  </si>
  <si>
    <t>"zpříjemňovat-001"</t>
  </si>
  <si>
    <t>"zpřísnit-001"</t>
  </si>
  <si>
    <t>"zpřísnět-001"</t>
  </si>
  <si>
    <t>"zpřístupnit-001"</t>
  </si>
  <si>
    <t>ADDR-&gt;ARG1/264</t>
  </si>
  <si>
    <t>"zpřístupnit-002"</t>
  </si>
  <si>
    <t>ACT-&gt;ARG0/193,ARG2/1</t>
  </si>
  <si>
    <t>"zpřístupňovat-001"</t>
  </si>
  <si>
    <t>"zpřísňovat-001"</t>
  </si>
  <si>
    <t>"způsobit-001"</t>
  </si>
  <si>
    <t>ACT-&gt;ARG0/938,ARG1/91</t>
  </si>
  <si>
    <t>PAT-&gt;ARG0/1,ARG1/1262,ARG2/144</t>
  </si>
  <si>
    <t>ADDR-&gt;ARG1/55,ARG2/10</t>
  </si>
  <si>
    <t>"způsobit-002"</t>
  </si>
  <si>
    <t>ACT-&gt;ARG0/2070,ARG1/3298,ARG2/428</t>
  </si>
  <si>
    <t>PAT-&gt;ARG0/4,ARG1/2946,ARG2/3773,ARG3/1</t>
  </si>
  <si>
    <t>"způsobovat-001"</t>
  </si>
  <si>
    <t>ACT-&gt;ARG0/273,ARG1/1</t>
  </si>
  <si>
    <t>PAT-&gt;ARG0/1,ARG1/683,ARG4/1</t>
  </si>
  <si>
    <t>ADDR-&gt;ARG0/249,ARG1/16,ARG2/167,ARG3/1</t>
  </si>
  <si>
    <t>"způsobovat-002"</t>
  </si>
  <si>
    <t>ACT-&gt;ARG0/583,ARG1/123,ARG2/3452</t>
  </si>
  <si>
    <t>PAT-&gt;ARG0/1,ARG1/3943,ARG2/299</t>
  </si>
  <si>
    <t>"zracionalizovat-001"</t>
  </si>
  <si>
    <t>"zradit-001"</t>
  </si>
  <si>
    <t>"zranit-001"</t>
  </si>
  <si>
    <t>ACT-&gt;ARG0/33,ARG2/76</t>
  </si>
  <si>
    <t>"zranit-002"</t>
  </si>
  <si>
    <t>"zranit-se-001"</t>
  </si>
  <si>
    <t>"zrazovat-001"</t>
  </si>
  <si>
    <t>"zrazovat-002"</t>
  </si>
  <si>
    <t>"zračit-se-001"</t>
  </si>
  <si>
    <t>"zrcadlit-001"</t>
  </si>
  <si>
    <t>ACT-&gt;ARG2/9</t>
  </si>
  <si>
    <t>"zrealizovat-001"</t>
  </si>
  <si>
    <t>PAT-&gt;ARG1/251</t>
  </si>
  <si>
    <t>"zredukovat-001"</t>
  </si>
  <si>
    <t>ACT-&gt;ARG0/310,ARG1/1</t>
  </si>
  <si>
    <t>PAT-&gt;ARG1/639,ARG2/1</t>
  </si>
  <si>
    <t>ORIG-&gt;ARG2/8,ARG3/40,ARG4/1</t>
  </si>
  <si>
    <t>EFF-&gt;ARG2/13,ARG4/71</t>
  </si>
  <si>
    <t>"zredukovat-002"</t>
  </si>
  <si>
    <t>"zreformovat-001"</t>
  </si>
  <si>
    <t>"zregulovat-001"</t>
  </si>
  <si>
    <t>"zrekapitulovat-001"</t>
  </si>
  <si>
    <t>"zrekonstruovat-001"</t>
  </si>
  <si>
    <t>"zrekonstruovat-002"</t>
  </si>
  <si>
    <t>"zrenovovat-001"</t>
  </si>
  <si>
    <t>"zreorganizovat-001"</t>
  </si>
  <si>
    <t>"zrestaurovat-001"</t>
  </si>
  <si>
    <t>"zrevidovat-001"</t>
  </si>
  <si>
    <t>"zrodit-001"</t>
  </si>
  <si>
    <t>"zrodit-se-001"</t>
  </si>
  <si>
    <t>ACT-&gt;ARG0/1,ARG1/20</t>
  </si>
  <si>
    <t>"zrudnout-001"</t>
  </si>
  <si>
    <t>"zruinovat-001"</t>
  </si>
  <si>
    <t>"zrušit-001"</t>
  </si>
  <si>
    <t>ACT-&gt;ARG0/630,ARG1/182</t>
  </si>
  <si>
    <t>PAT-&gt;ARG1/1135,ARG2/1</t>
  </si>
  <si>
    <t>"zrušit-002"</t>
  </si>
  <si>
    <t>"zrychlit-001"</t>
  </si>
  <si>
    <t>ACT-&gt;ARG0/17,ARG1/15</t>
  </si>
  <si>
    <t>"zrychlit-002"</t>
  </si>
  <si>
    <t>"zrychlit-se-001"</t>
  </si>
  <si>
    <t>"zrychlovat-001"</t>
  </si>
  <si>
    <t>"zrychlovat-002"</t>
  </si>
  <si>
    <t>"zrychlovat-se-001"</t>
  </si>
  <si>
    <t>"zrychtovat-001"</t>
  </si>
  <si>
    <t>"zrát-001"</t>
  </si>
  <si>
    <t>"zrýt-001"</t>
  </si>
  <si>
    <t>"zrůžovět-001"</t>
  </si>
  <si>
    <t>"ztenčit-001"</t>
  </si>
  <si>
    <t>"ztenčit-se-001"</t>
  </si>
  <si>
    <t>"ztenčovat-001"</t>
  </si>
  <si>
    <t>"ztenčovat-se-001"</t>
  </si>
  <si>
    <t>"ztichnout-001"</t>
  </si>
  <si>
    <t>"ztišit-se-001"</t>
  </si>
  <si>
    <t>"ztlouci-001"</t>
  </si>
  <si>
    <t>"ztloustnout-001"</t>
  </si>
  <si>
    <t>"ztlumit-001"</t>
  </si>
  <si>
    <t>"ztmavnout-001"</t>
  </si>
  <si>
    <t>"ztmavnout-002"</t>
  </si>
  <si>
    <t>"ztotožnit-001"</t>
  </si>
  <si>
    <t>"ztotožnit-se-001"</t>
  </si>
  <si>
    <t>PAT: ↓že; v+6</t>
  </si>
  <si>
    <t>ADDR-&gt;ARG1/63</t>
  </si>
  <si>
    <t>"ztotožnit-se-002"</t>
  </si>
  <si>
    <t>"ztotožňovat-001"</t>
  </si>
  <si>
    <t>"ztotožňovat-se-001"</t>
  </si>
  <si>
    <t>PAT: ↓že; v+6; na+6</t>
  </si>
  <si>
    <t>"ztotožňovat-se-002"</t>
  </si>
  <si>
    <t>ACT-&gt;ARG1/2,ARG2/2</t>
  </si>
  <si>
    <t>"ztrapnit-001"</t>
  </si>
  <si>
    <t>"ztrapňovat-001"</t>
  </si>
  <si>
    <t>"ztratit-001"</t>
  </si>
  <si>
    <t>ACT-&gt;ARG0/185,ARG1/122,ARG2/1</t>
  </si>
  <si>
    <t>PAT-&gt;ARG1/211,ARG2/17,ARG4/104</t>
  </si>
  <si>
    <t>ORIG-&gt;ARG3/16,ARG4/3,ARGm-LOC/1</t>
  </si>
  <si>
    <t>"ztratit-002"</t>
  </si>
  <si>
    <t>ACT-&gt;ARG0/167,ARG1/52</t>
  </si>
  <si>
    <t>PAT-&gt;ARG1/197,ARG2/79</t>
  </si>
  <si>
    <t>EFF-&gt;ARG2/2,ARG4/63</t>
  </si>
  <si>
    <t>"ztratit-003"</t>
  </si>
  <si>
    <t>ACT-&gt;ARG0/179,ARG1/730,ARG2/4</t>
  </si>
  <si>
    <t>PAT-&gt;ARG1/211,ARG2/95</t>
  </si>
  <si>
    <t>"ztratit-004"</t>
  </si>
  <si>
    <t>"ztratit-005"</t>
  </si>
  <si>
    <t>ACT-&gt;ARG0/169,ARG1/52</t>
  </si>
  <si>
    <t>PAT-&gt;ARG1/199,ARG2/79</t>
  </si>
  <si>
    <t>"ztratit-006"</t>
  </si>
  <si>
    <t>"ztratit-007"</t>
  </si>
  <si>
    <t>CPHR: {chuť,možnost,příležitost,šance,...}.4</t>
  </si>
  <si>
    <t>CPHR-&gt;ARG1/197,ARG2/1</t>
  </si>
  <si>
    <t>"ztratit-008"</t>
  </si>
  <si>
    <t>"ztratit-009"</t>
  </si>
  <si>
    <t>DPHR: z-1[dohled.S2]</t>
  </si>
  <si>
    <t>"ztratit-010"</t>
  </si>
  <si>
    <t>DPHR: z-1[doslech.S2]</t>
  </si>
  <si>
    <t>"ztratit-011"</t>
  </si>
  <si>
    <t>"ztratit-se-001"</t>
  </si>
  <si>
    <t>ACT-&gt;ARG0/1,ARG1/334,ARG2/2</t>
  </si>
  <si>
    <t>"ztratit-se-002"</t>
  </si>
  <si>
    <t>"ztrhat-001"</t>
  </si>
  <si>
    <t>"ztrojnásobit-001"</t>
  </si>
  <si>
    <t>"ztrojnásobit-se-001"</t>
  </si>
  <si>
    <t>"ztroskotat-001"</t>
  </si>
  <si>
    <t>"ztroskotat-002"</t>
  </si>
  <si>
    <t>"ztroskotávat-001"</t>
  </si>
  <si>
    <t>"ztrpknout-001"</t>
  </si>
  <si>
    <t>"ztrpčovat-001"</t>
  </si>
  <si>
    <t>"ztrácet-001"</t>
  </si>
  <si>
    <t>"ztrácet-002"</t>
  </si>
  <si>
    <t>ACT-&gt;ARG0/170,ARG1/717,ARG2/4</t>
  </si>
  <si>
    <t>PAT-&gt;ARG1/201,ARG2/97,ARG4/435</t>
  </si>
  <si>
    <t>"ztrácet-003"</t>
  </si>
  <si>
    <t>ACT-&gt;ARG0/170,ARG1/2</t>
  </si>
  <si>
    <t>PAT-&gt;ARG1/200,ARG2/1</t>
  </si>
  <si>
    <t>"ztrácet-004"</t>
  </si>
  <si>
    <t>"ztrácet-005"</t>
  </si>
  <si>
    <t>"ztrácet-006"</t>
  </si>
  <si>
    <t>CPHR: {chuť,příležitost,zájem,...}.4</t>
  </si>
  <si>
    <t>CPHR-&gt;ARG1/198,ARG2/1</t>
  </si>
  <si>
    <t>"ztrácet-007"</t>
  </si>
  <si>
    <t>"ztrácet-008"</t>
  </si>
  <si>
    <t>"ztrácet-009"</t>
  </si>
  <si>
    <t>"--ztrácet-010"</t>
  </si>
  <si>
    <t>DPHR: půdu.S4</t>
  </si>
  <si>
    <t>"ztrácet-se-001"</t>
  </si>
  <si>
    <t>ACT-&gt;ARG1/197,ARG2/1</t>
  </si>
  <si>
    <t>"ztuhnout-001"</t>
  </si>
  <si>
    <t>"ztuhnout-002"</t>
  </si>
  <si>
    <t>"ztupit-001"</t>
  </si>
  <si>
    <t>"ztvrdit-001"</t>
  </si>
  <si>
    <t>"ztvárnit-001"</t>
  </si>
  <si>
    <t>"ztvárňovat-001"</t>
  </si>
  <si>
    <t>"ztížit-001"</t>
  </si>
  <si>
    <t>"ztělesnit-001"</t>
  </si>
  <si>
    <t>"ztělesňovat-001"</t>
  </si>
  <si>
    <t>ACT-&gt;ARG0/2,ARG2/3</t>
  </si>
  <si>
    <t>"ztěžovat-001"</t>
  </si>
  <si>
    <t>PAT-&gt;ARG1/276</t>
  </si>
  <si>
    <t>"ztřískat-001"</t>
  </si>
  <si>
    <t>"zuřit-001"</t>
  </si>
  <si>
    <t>"zuřit-002"</t>
  </si>
  <si>
    <t>"zušlechtit-001"</t>
  </si>
  <si>
    <t>"zužitkovat-001"</t>
  </si>
  <si>
    <t>"zužovat-001"</t>
  </si>
  <si>
    <t>"zužovat-002"</t>
  </si>
  <si>
    <t>"zužovat-se-001"</t>
  </si>
  <si>
    <t>PAT-&gt;ARG1/2,ARG3/5</t>
  </si>
  <si>
    <t>ORIG-&gt;ARG4/9</t>
  </si>
  <si>
    <t>"zužovat-se-002"</t>
  </si>
  <si>
    <t>PAT-&gt;ARG1/15,ARG4/4</t>
  </si>
  <si>
    <t>"zvadnout-001"</t>
  </si>
  <si>
    <t>"zvadnout-002"</t>
  </si>
  <si>
    <t>"zvažovat-001"</t>
  </si>
  <si>
    <t>ADDR: mezi+7</t>
  </si>
  <si>
    <t>"zvažovat-002"</t>
  </si>
  <si>
    <t>ACT-&gt;ARG0/323</t>
  </si>
  <si>
    <t>PAT-&gt;ARG1/544,ARG2/1</t>
  </si>
  <si>
    <t>"zvedat-001"</t>
  </si>
  <si>
    <t>ACT-&gt;ARG0/225</t>
  </si>
  <si>
    <t>EFF-&gt;ARG2/3,ARG3/37,ARG4/37</t>
  </si>
  <si>
    <t>"zvedat-002"</t>
  </si>
  <si>
    <t>PAT-&gt;ARG1/17,ARG2/4</t>
  </si>
  <si>
    <t>"zvedat-se-001"</t>
  </si>
  <si>
    <t>ACT-&gt;ARG1/985,ARG2/4</t>
  </si>
  <si>
    <t>"zvedat-se-002"</t>
  </si>
  <si>
    <t>"zvedat-se-003"</t>
  </si>
  <si>
    <t>ACT-&gt;ARG1/979,ARG2/4</t>
  </si>
  <si>
    <t>PAT-&gt;ARG2/6,ARG4/775</t>
  </si>
  <si>
    <t>ORIG-&gt;ARG3/352</t>
  </si>
  <si>
    <t>"zvednout-001"</t>
  </si>
  <si>
    <t>ACT-&gt;ARG0/584,ARG1/184,ARG2/4</t>
  </si>
  <si>
    <t>PAT-&gt;ARG1/1929,ARG2/5,ARG4/6</t>
  </si>
  <si>
    <t>ORIG-&gt;ARG2/13,ARG3/458</t>
  </si>
  <si>
    <t>EFF-&gt;ARG1/1,ARG2/8,ARG4/1011</t>
  </si>
  <si>
    <t>"zvednout-002"</t>
  </si>
  <si>
    <t>"zvednout-003"</t>
  </si>
  <si>
    <t>CPHR: {naděje,...}.4</t>
  </si>
  <si>
    <t>"--zvednout-004"</t>
  </si>
  <si>
    <t>"zvednout-se-001"</t>
  </si>
  <si>
    <t>ACT-&gt;ARG0/2,ARG1/1399,ARG2/4</t>
  </si>
  <si>
    <t>PAT-&gt;ARG1/2,ARG2/19,ARG4/949</t>
  </si>
  <si>
    <t>ORIG-&gt;ARG3/437</t>
  </si>
  <si>
    <t>"zvednout-se-002"</t>
  </si>
  <si>
    <t>"zvednout-se-003"</t>
  </si>
  <si>
    <t>"zvednout-se-004"</t>
  </si>
  <si>
    <t>"zvelebit-001"</t>
  </si>
  <si>
    <t>"zvelebovat-001"</t>
  </si>
  <si>
    <t>"zveličit-001"</t>
  </si>
  <si>
    <t>"zveličovat-001"</t>
  </si>
  <si>
    <t>"zveřejnit-001"</t>
  </si>
  <si>
    <t>ACT-&gt;ARG0/14114,ARG1/205,ARG2/1</t>
  </si>
  <si>
    <t>PAT-&gt;ARG0/2,ARG1/13179,ARG2/2</t>
  </si>
  <si>
    <t>"zveřejnit-002"</t>
  </si>
  <si>
    <t>ACT-&gt;ARG0/1224,ARG1/4,ARG2/1</t>
  </si>
  <si>
    <t>EFF-&gt;ARG1/1582,ARG2/1</t>
  </si>
  <si>
    <t>"zveřejňovat-001"</t>
  </si>
  <si>
    <t>"zveřejňovat-002"</t>
  </si>
  <si>
    <t>"zviditelnit-001"</t>
  </si>
  <si>
    <t>"zviditelnit-002"</t>
  </si>
  <si>
    <t>"zvlnit-se-001"</t>
  </si>
  <si>
    <t>"zvládat-001"</t>
  </si>
  <si>
    <t>ACT-&gt;ARG0/153</t>
  </si>
  <si>
    <t>PAT-&gt;ARG1/217</t>
  </si>
  <si>
    <t>"zvládat-002"</t>
  </si>
  <si>
    <t>"zvládat-003"</t>
  </si>
  <si>
    <t>"zvládnout-001"</t>
  </si>
  <si>
    <t>ACT-&gt;ARG0/2473,ARG1/20</t>
  </si>
  <si>
    <t>PAT-&gt;ARG0/1,ARG1/2733</t>
  </si>
  <si>
    <t>"zvládnout-002"</t>
  </si>
  <si>
    <t>DPHR: na-1[výborný.FS4@1$11&lt;A&gt;]</t>
  </si>
  <si>
    <t>"zvládnout-003"</t>
  </si>
  <si>
    <t>"zvládnout-004"</t>
  </si>
  <si>
    <t>"--zvládnout-005"</t>
  </si>
  <si>
    <t>"zvolat-001"</t>
  </si>
  <si>
    <t>"zvolit-001"</t>
  </si>
  <si>
    <t>PAT: 4; ↓c; ↓aby</t>
  </si>
  <si>
    <t>ACT-&gt;ARG0/890,ARG1/4,ARG2/1</t>
  </si>
  <si>
    <t>PAT-&gt;ARG1/1094,ARG2/10,ARG3/1</t>
  </si>
  <si>
    <t>ORIG-&gt;ARG1/1,ARG2/3</t>
  </si>
  <si>
    <t>"zvolit-002"</t>
  </si>
  <si>
    <t>PAT-&gt;ARG1/201,ARG2/7</t>
  </si>
  <si>
    <t>EFF-&gt;ARG1/3,ARG2/56</t>
  </si>
  <si>
    <t>"zvolnit-001"</t>
  </si>
  <si>
    <t>"zvonit-001"</t>
  </si>
  <si>
    <t>"zvonit-002"</t>
  </si>
  <si>
    <t>"zvonit-003"</t>
  </si>
  <si>
    <t>DPHR: hrana.S1</t>
  </si>
  <si>
    <t>"zvorat-001"</t>
  </si>
  <si>
    <t>"zvracet-001"</t>
  </si>
  <si>
    <t>"zvrhnout-se-001"</t>
  </si>
  <si>
    <t>ACT-&gt;ARG0/2,ARG1/22</t>
  </si>
  <si>
    <t>PAT-&gt;ARG1/4,ARG2/25</t>
  </si>
  <si>
    <t>"zvrhnout-se-002"</t>
  </si>
  <si>
    <t>"zvrtnout-se-001"</t>
  </si>
  <si>
    <t>"zvrátit-001"</t>
  </si>
  <si>
    <t>"zvrátit-se-001"</t>
  </si>
  <si>
    <t>"zvučet-001"</t>
  </si>
  <si>
    <t>"zvykat-si-001"</t>
  </si>
  <si>
    <t>ACT-&gt;ARG0/72,ARG1/3</t>
  </si>
  <si>
    <t>PAT: na+4; .f; ↓že</t>
  </si>
  <si>
    <t>"zvyknout-si-001"</t>
  </si>
  <si>
    <t>ACT-&gt;ARG0/180,ARG1/124,ARG2/1</t>
  </si>
  <si>
    <t>PAT-&gt;ARG1/267,ARG3/3,ARG4/5</t>
  </si>
  <si>
    <t>"zvyšovat-001"</t>
  </si>
  <si>
    <t>ACT-&gt;ARG0/672,ARG1/13,ARG2/17</t>
  </si>
  <si>
    <t>PAT-&gt;ARG0/2,ARG1/1539,ARG2/5,ARG4/6</t>
  </si>
  <si>
    <t>ORIG-&gt;ARG3/162</t>
  </si>
  <si>
    <t>EFF-&gt;ARG1/2,ARG2/8,ARG3/37,ARG4/337</t>
  </si>
  <si>
    <t>"zvyšovat-se-001"</t>
  </si>
  <si>
    <t>ACT-&gt;ARG0/107,ARG1/1848,ARG2/9,ARG4/6</t>
  </si>
  <si>
    <t>PAT-&gt;ARG1/182,ARG2/14,ARG4/1030</t>
  </si>
  <si>
    <t>ORIG-&gt;ARG3/515</t>
  </si>
  <si>
    <t>"zvát-001"</t>
  </si>
  <si>
    <t>"zvát-002"</t>
  </si>
  <si>
    <t>ACT-&gt;ARG0/197,ARG1/3,ARG2/4</t>
  </si>
  <si>
    <t>PAT-&gt;ARG1/325,ARG2/2</t>
  </si>
  <si>
    <t>"zvážit-001"</t>
  </si>
  <si>
    <t>PAT-&gt;ARG1/362,ARG2/1</t>
  </si>
  <si>
    <t>"zvážnět-001"</t>
  </si>
  <si>
    <t>"zvítězit-001"</t>
  </si>
  <si>
    <t>ACT-&gt;ARG0/92,ARG1/3105,ARG2/296</t>
  </si>
  <si>
    <t>PAT-&gt;ARG1/83,ARG2/1</t>
  </si>
  <si>
    <t>?ADDR: proti+3; nad+7</t>
  </si>
  <si>
    <t>"zvýhodnit-001"</t>
  </si>
  <si>
    <t>"zvýhodňovat-001"</t>
  </si>
  <si>
    <t>"zvýraznit-001"</t>
  </si>
  <si>
    <t>"zvýrazňovat-001"</t>
  </si>
  <si>
    <t>"zvýšit-001"</t>
  </si>
  <si>
    <t>ACT-&gt;ARG0/1147,ARG1/1033,ARG2/46</t>
  </si>
  <si>
    <t>PAT-&gt;ARG1/2431,ARG2/6,ARG4/7</t>
  </si>
  <si>
    <t>ORIG-&gt;ARG2/13,ARG3/469</t>
  </si>
  <si>
    <t>EFF-&gt;ARG1/25,ARG2/32,ARG3/37,ARG4/1098</t>
  </si>
  <si>
    <t>"zvýšit-002"</t>
  </si>
  <si>
    <t>ACT-&gt;ARG1/1142,ARG2/4</t>
  </si>
  <si>
    <t>PAT-&gt;ARG2/12,ARG4/1036</t>
  </si>
  <si>
    <t>ORIG-&gt;ARG3/363</t>
  </si>
  <si>
    <t>"zvýšit-se-001"</t>
  </si>
  <si>
    <t>ACT-&gt;ARG0/166,ARG1/2542,ARG2/8</t>
  </si>
  <si>
    <t>PAT-&gt;ARG1/4,ARG2/22,ARG3/37,ARG4/1702</t>
  </si>
  <si>
    <t>ORIG-&gt;ARG3/611,ARG4/1</t>
  </si>
  <si>
    <t>"zvědět-001"</t>
  </si>
  <si>
    <t>"zvědět-002"</t>
  </si>
  <si>
    <t>"zvěstovat-001"</t>
  </si>
  <si>
    <t>"zvětšit-001"</t>
  </si>
  <si>
    <t>ACT-&gt;ARG0/193,ARG1/6</t>
  </si>
  <si>
    <t>PAT-&gt;ARG1/374,ARG2/1,ARG4/6</t>
  </si>
  <si>
    <t>ORIG-&gt;ARG3/40</t>
  </si>
  <si>
    <t>EFF-&gt;ARG2/2,ARG4/87</t>
  </si>
  <si>
    <t>"zvětšit-se-001"</t>
  </si>
  <si>
    <t>ACT-&gt;ARG0/5,ARG1/414,ARG2/4</t>
  </si>
  <si>
    <t>PAT-&gt;ARG1/2,ARG2/3,ARG4/170</t>
  </si>
  <si>
    <t>ORIG-&gt;ARG3/85</t>
  </si>
  <si>
    <t>"zvětšovat-001"</t>
  </si>
  <si>
    <t>"zvětšovat-se-001"</t>
  </si>
  <si>
    <t>ACT-&gt;ARG0/3,ARG1/55</t>
  </si>
  <si>
    <t>PAT-&gt;ARG1/1,ARG4/36</t>
  </si>
  <si>
    <t>ORIG-&gt;ARG3/10</t>
  </si>
  <si>
    <t>"zvěčnit-001"</t>
  </si>
  <si>
    <t>"zábst-001"</t>
  </si>
  <si>
    <t>"záležet-001"</t>
  </si>
  <si>
    <t>ACT: 1; ↓zda; ↓že; ↓jestli; ↓jak; ↓c</t>
  </si>
  <si>
    <t>PAT: na+6; ↓c</t>
  </si>
  <si>
    <t>ACT-&gt;ARG0/53,ARG1/95</t>
  </si>
  <si>
    <t>PAT-&gt;ARG0/35,ARG1/95</t>
  </si>
  <si>
    <t>"záležet-002"</t>
  </si>
  <si>
    <t>"zápasit-001"</t>
  </si>
  <si>
    <t>"zápasit-002"</t>
  </si>
  <si>
    <t>"zápolit-001"</t>
  </si>
  <si>
    <t>"zásobit-001"</t>
  </si>
  <si>
    <t>ACT-&gt;ARG0/10,ARG2/33</t>
  </si>
  <si>
    <t>ADDR-&gt;ARG0/1,ARG1/36,ARG2/18</t>
  </si>
  <si>
    <t>"zásobovat-001"</t>
  </si>
  <si>
    <t>ACT-&gt;ARG0/125</t>
  </si>
  <si>
    <t>ADDR-&gt;ARG0/2,ARG1/46,ARG2/91</t>
  </si>
  <si>
    <t>"závidět-001"</t>
  </si>
  <si>
    <t>PAT: 4; ↓c; ↓když</t>
  </si>
  <si>
    <t>"záviset-001"</t>
  </si>
  <si>
    <t>ACT: 1; ↓zda; ↓že; ↓c; ↓aby</t>
  </si>
  <si>
    <t>ACT-&gt;ARG0/48,ARG1/5</t>
  </si>
  <si>
    <t>PAT-&gt;ARG1/67,ARG2/6</t>
  </si>
  <si>
    <t>"závodit-001"</t>
  </si>
  <si>
    <t>?PAT: o+4; 4</t>
  </si>
  <si>
    <t>"závodit-si-001"</t>
  </si>
  <si>
    <t>"zářit-001"</t>
  </si>
  <si>
    <t>"zářit-002"</t>
  </si>
  <si>
    <t>"zírat-001"</t>
  </si>
  <si>
    <t>"zírat-002"</t>
  </si>
  <si>
    <t>"zírat-003"</t>
  </si>
  <si>
    <t>CPHR: {překvapení,údiv,...}.7</t>
  </si>
  <si>
    <t>"získat-001"</t>
  </si>
  <si>
    <t>ACT-&gt;ARG0/312,ARG2/1</t>
  </si>
  <si>
    <t>ORIG-&gt;ARG1/7,ARG2/14,ARG3/6</t>
  </si>
  <si>
    <t>ACT-&gt;ARG0/5267,ARG1/672,ARG2/561</t>
  </si>
  <si>
    <t>PAT-&gt;ARG0/48,ARG1/7785,ARG2/672,ARG3/1,ARG4/4</t>
  </si>
  <si>
    <t>ORIG-&gt;ARG0/29,ARG1/18,ARG2/284,ARG3/60</t>
  </si>
  <si>
    <t>"získat-002"</t>
  </si>
  <si>
    <t>ACT-&gt;ARG0/671,ARG1/9</t>
  </si>
  <si>
    <t>PAT-&gt;ARG1/825,ARG2/2,ARG4/1</t>
  </si>
  <si>
    <t>ORIG-&gt;ARG1/6,ARG2/121,ARG3/11</t>
  </si>
  <si>
    <t>"získat-003"</t>
  </si>
  <si>
    <t>PAT-&gt;ARG2/168,ARG4/3</t>
  </si>
  <si>
    <t>EFF-&gt;ARG2/6,ARG4/163</t>
  </si>
  <si>
    <t>ACT-&gt;ARG1/160</t>
  </si>
  <si>
    <t>PAT-&gt;ARG2/176,ARG4/3</t>
  </si>
  <si>
    <t>EFF-&gt;ARG2/6,ARG4/171</t>
  </si>
  <si>
    <t>"získat-004"</t>
  </si>
  <si>
    <t>ACT-&gt;ARG0/4339,ARG1/232,ARG2/370</t>
  </si>
  <si>
    <t>PAT-&gt;ARG0/4,ARG1/6195,ARG2/173,ARG3/1,ARG4/4</t>
  </si>
  <si>
    <t>"získat-005"</t>
  </si>
  <si>
    <t>ACT-&gt;ARG0/867,ARG1/139</t>
  </si>
  <si>
    <t>PAT: na+6; 4</t>
  </si>
  <si>
    <t>PAT-&gt;ARG1/1402,ARG2/170,ARG4/4</t>
  </si>
  <si>
    <t>"získat-006"</t>
  </si>
  <si>
    <t>CPHR: {dojem,pocit,podezření,podnět,prospěch,přesvědčení,...}.4</t>
  </si>
  <si>
    <t>"získat-007"</t>
  </si>
  <si>
    <t>CPHR: {důvěra,důvod,důvod,impuls,kontrola,možnost,odpověď,odpověď,opatření,oprávnění,podíl,podnět,podpora,podpora,povolení,právo,prospěch,představa,přehled,příležitost,příslib,přístup,rada,respekt,respekt,schválení,slib,souhlas,svolení,vědomost,vliv,výhoda,výhoda,zákaz,zákaz,zkušenost,znalost,...}.4</t>
  </si>
  <si>
    <t>ACT-&gt;ARG0/380,ARG1/11,ARG2/154</t>
  </si>
  <si>
    <t>CPHR-&gt;ARG1/597,ARG2/2</t>
  </si>
  <si>
    <t>ORIG-&gt;ARG1/2,ARG2/91,ARG3/5</t>
  </si>
  <si>
    <t>CPHR-&gt;ARG1/84</t>
  </si>
  <si>
    <t>ORIG-&gt;ARG2/18</t>
  </si>
  <si>
    <t>ACT-&gt;ARG0/3144,ARG1/29,ARG2/24</t>
  </si>
  <si>
    <t>CPHR-&gt;ARG0/1,ARG1/3694,ARG2/2,ARG4/1</t>
  </si>
  <si>
    <t>ORIG-&gt;ARG1/6,ARG2/167,ARG3/11</t>
  </si>
  <si>
    <t>CPHR-&gt;ARG1/294</t>
  </si>
  <si>
    <t>ORIG-&gt;ARG2/20</t>
  </si>
  <si>
    <t>ACT-&gt;ARG0/960,ARG1/12</t>
  </si>
  <si>
    <t>CPHR-&gt;ARG1/1358,ARG2/4,ARG4/1</t>
  </si>
  <si>
    <t>ORIG-&gt;ARG1/5,ARG2/137,ARG3/5</t>
  </si>
  <si>
    <t>"získat-008"</t>
  </si>
  <si>
    <t>"--získat-009"</t>
  </si>
  <si>
    <t>"získávat-001"</t>
  </si>
  <si>
    <t>ACT-&gt;ARG0/1399,ARG1/16,ARG2/3</t>
  </si>
  <si>
    <t>PAT-&gt;ARG1/2127,ARG2/2,ARG4/1</t>
  </si>
  <si>
    <t>ORIG-&gt;ARG1/8,ARG2/201,ARG3/51</t>
  </si>
  <si>
    <t>"získávat-002"</t>
  </si>
  <si>
    <t>ACT-&gt;ARG0/2689,ARG1/26</t>
  </si>
  <si>
    <t>PAT-&gt;ARG0/1,ARG1/3017,ARG2/3,ARG4/1</t>
  </si>
  <si>
    <t>"získávat-003"</t>
  </si>
  <si>
    <t>ACT-&gt;ARG0/54,ARG1/3</t>
  </si>
  <si>
    <t>PAT-&gt;ARG1/90,ARG2/2</t>
  </si>
  <si>
    <t>ACT-&gt;ARG0/44,ARG1/134</t>
  </si>
  <si>
    <t>PAT-&gt;ARG1/72,ARG2/2</t>
  </si>
  <si>
    <t>"získávat-004"</t>
  </si>
  <si>
    <t>CPHR: {dojem,přesvědčení,...}.4</t>
  </si>
  <si>
    <t>"získávat-005"</t>
  </si>
  <si>
    <t>CPHR: {důvěra,impuls,možnost,nápad,náskok,povolení,právo,přehled,příslib,přístup,respekt,slib,souhlas,vliv,znalost,zkušenost,...}.4</t>
  </si>
  <si>
    <t>CPHR-&gt;ARG1/72,ARG2/2</t>
  </si>
  <si>
    <t>ACT-&gt;ARG0/256,ARG1/6</t>
  </si>
  <si>
    <t>CPHR-&gt;ARG1/351,ARG4/1</t>
  </si>
  <si>
    <t>ORIG-&gt;ARG1/3,ARG2/31</t>
  </si>
  <si>
    <t>"zúročit-001"</t>
  </si>
  <si>
    <t>"zúročit-se-001"</t>
  </si>
  <si>
    <t>"zútulnit-001"</t>
  </si>
  <si>
    <t>"zúčastnit-se-001"</t>
  </si>
  <si>
    <t>ACT-&gt;ARG0/99,ARG1/91</t>
  </si>
  <si>
    <t>PAT: 2; na+6</t>
  </si>
  <si>
    <t>"zúčastňovat-se-001"</t>
  </si>
  <si>
    <t>"zúčtovat-001"</t>
  </si>
  <si>
    <t>"zúčtovat-002"</t>
  </si>
  <si>
    <t>"zúžit-001"</t>
  </si>
  <si>
    <t>ACT-&gt;ARG0/16,ARG1/3</t>
  </si>
  <si>
    <t>PAT-&gt;ARG1/35,ARG4/4</t>
  </si>
  <si>
    <t>"zúžit-002"</t>
  </si>
  <si>
    <t>"zúžit-se-001"</t>
  </si>
  <si>
    <t>"zúžit-se-002"</t>
  </si>
  <si>
    <t>"zčervenat-001"</t>
  </si>
  <si>
    <t>"zčitelnit-001"</t>
  </si>
  <si>
    <t>"zčtyřnásobit-se-001"</t>
  </si>
  <si>
    <t>"zřeknout-se-001"</t>
  </si>
  <si>
    <t>"zřezat-001"</t>
  </si>
  <si>
    <t>"zřizovat-001"</t>
  </si>
  <si>
    <t>ACT-&gt;ARG0/228,ARG1/1</t>
  </si>
  <si>
    <t>PAT-&gt;ARG1/368</t>
  </si>
  <si>
    <t>"zříci-se-001"</t>
  </si>
  <si>
    <t>"zřídit-001"</t>
  </si>
  <si>
    <t>"zřídit-002"</t>
  </si>
  <si>
    <t>"zříkat-se-001"</t>
  </si>
  <si>
    <t>"zřít-001"</t>
  </si>
  <si>
    <t>"zřítit-se-001"</t>
  </si>
  <si>
    <t>PAT-&gt;ARG2/1,ARG4/10</t>
  </si>
  <si>
    <t>"zřítit-se-002"</t>
  </si>
  <si>
    <t>"zůstat-001"</t>
  </si>
  <si>
    <t>ACT-&gt;ARG1/136,ARG2/49</t>
  </si>
  <si>
    <t>PAT-&gt;ARG3/60</t>
  </si>
  <si>
    <t>"zůstat-002"</t>
  </si>
  <si>
    <t>ACT-&gt;ARG0/222,ARG1/4016,ARG2/300,ARG3/1,ARG4/1</t>
  </si>
  <si>
    <t>PAT: 7; .a1; .a7; .f</t>
  </si>
  <si>
    <t>PAT-&gt;ARG1/500,ARG2/3559,ARG3/355</t>
  </si>
  <si>
    <t>"zůstat-003"</t>
  </si>
  <si>
    <t>PAT: při+6; s+7</t>
  </si>
  <si>
    <t>"zůstat-004"</t>
  </si>
  <si>
    <t>ACT-&gt;ARG1/3346,ARG2/296</t>
  </si>
  <si>
    <t>PAT-&gt;ARG0/73,ARG1/1,ARG3/3</t>
  </si>
  <si>
    <t>"zůstat-005"</t>
  </si>
  <si>
    <t>ACT-&gt;ARG0/215,ARG1/978,ARG2/3,ARG3/1</t>
  </si>
  <si>
    <t>LOC-&gt;ARG1/289,ARG2/313,ARG3/127</t>
  </si>
  <si>
    <t>"zůstat-006"</t>
  </si>
  <si>
    <t>ACT-&gt;ARG0/26,ARG1/3955,ARG2/302,ARG3/1</t>
  </si>
  <si>
    <t>LOC-&gt;ARG0/1,ARG1/22,ARG2/312,ARG3/415</t>
  </si>
  <si>
    <t>ACMP-&gt;ARG1/124,ARG2/3559</t>
  </si>
  <si>
    <t>"zůstat-007"</t>
  </si>
  <si>
    <t>ACT: na+6; při+6; u+2; v+6</t>
  </si>
  <si>
    <t>"zůstat-008"</t>
  </si>
  <si>
    <t>DPHR: sám.1</t>
  </si>
  <si>
    <t>PAT: v+6; s+7; na+4</t>
  </si>
  <si>
    <t>"zůstat-009"</t>
  </si>
  <si>
    <t>DPHR: na-1[ocet.S4]</t>
  </si>
  <si>
    <t>DPHR-&gt;ARG1/9</t>
  </si>
  <si>
    <t>"zůstat-010"</t>
  </si>
  <si>
    <t>LOC-&gt;ARG1/121,ARG2/3451</t>
  </si>
  <si>
    <t>"zůstat-011"</t>
  </si>
  <si>
    <t>DPHR-&gt;ARG3/60</t>
  </si>
  <si>
    <t>"zůstat-012"</t>
  </si>
  <si>
    <t>DPHR: stát-3.f</t>
  </si>
  <si>
    <t>"zůstat-013"</t>
  </si>
  <si>
    <t>"--zůstat-014"</t>
  </si>
  <si>
    <t>"zůstávat-001"</t>
  </si>
  <si>
    <t>"zůstávat-002"</t>
  </si>
  <si>
    <t>"zůstávat-003"</t>
  </si>
  <si>
    <t>ACT: 1; ↓zda; ↓že; ↓c</t>
  </si>
  <si>
    <t>ACT-&gt;ARG1/3373,ARG2/296,ARG3/1</t>
  </si>
  <si>
    <t>PAT: s+7; 7; .a1; .a7; .f</t>
  </si>
  <si>
    <t>PAT-&gt;ARG1/124,ARG2/3451,ARG3/290</t>
  </si>
  <si>
    <t>ACT-&gt;ARG0/579,ARG1/3667,ARG2/296,ARG3/3</t>
  </si>
  <si>
    <t>PAT-&gt;ARG1/895,ARG2/3475,ARG3/392</t>
  </si>
  <si>
    <t>"zůstávat-004"</t>
  </si>
  <si>
    <t>"zůstávat-005"</t>
  </si>
  <si>
    <t>ACT-&gt;ARG1/1090,ARG2/4,ARG3/1</t>
  </si>
  <si>
    <t>LOC-&gt;ARG1/5,ARG2/305,ARG3/382</t>
  </si>
  <si>
    <t>"zůstávat-006"</t>
  </si>
  <si>
    <t>ACT-&gt;ARG1/473,ARG2/3,ARG3/1</t>
  </si>
  <si>
    <t>LOC-&gt;ARG1/6,ARG2/46,ARG3/382</t>
  </si>
  <si>
    <t>"zůstávat-007"</t>
  </si>
  <si>
    <t>ACT: u+2; na+6; při+6</t>
  </si>
  <si>
    <t>"zůstávat-008"</t>
  </si>
  <si>
    <t>DPHR: při-1[starý-2.N6]</t>
  </si>
  <si>
    <t>"zůstávat-009"</t>
  </si>
  <si>
    <t>"zůstávat-010"</t>
  </si>
  <si>
    <t>DPHR: rozum.S1,stát-3.f$11&lt;A&gt;</t>
  </si>
  <si>
    <t>"zůstávat-011"</t>
  </si>
  <si>
    <t>PAT: u+2</t>
  </si>
  <si>
    <t>"zželet-se-001"</t>
  </si>
  <si>
    <t>"úpět-001"</t>
  </si>
  <si>
    <t>?PAT: nad+7; na+4; ↓že; ↓c</t>
  </si>
  <si>
    <t>"úročit-001"</t>
  </si>
  <si>
    <t>"ústit-001"</t>
  </si>
  <si>
    <t>"ústit-002"</t>
  </si>
  <si>
    <t>"útočit-001"</t>
  </si>
  <si>
    <t>"úvěrovat-001"</t>
  </si>
  <si>
    <t>"účastnit-se-001"</t>
  </si>
  <si>
    <t>ACT-&gt;ARG0/459,ARG1/3722,ARG2/308</t>
  </si>
  <si>
    <t>PAT-&gt;ARG0/12,ARG1/597,ARG2/490,ARG4/1</t>
  </si>
  <si>
    <t>"účinkovat-001"</t>
  </si>
  <si>
    <t>"účinkovat-002"</t>
  </si>
  <si>
    <t>"účtovat-001"</t>
  </si>
  <si>
    <t>PAT-&gt;ARG0/1,ARG1/121,ARG3/3</t>
  </si>
  <si>
    <t>ADDR-&gt;ARG1/2,ARG2/9,ARG3/1</t>
  </si>
  <si>
    <t>EFF-&gt;ARG1/3,ARG3/25</t>
  </si>
  <si>
    <t>"účtovat-si-001"</t>
  </si>
  <si>
    <t>PAT-&gt;ARG0/1,ARG1/32</t>
  </si>
  <si>
    <t>ADDR-&gt;ARG1/2,ARG2/6,ARG3/1</t>
  </si>
  <si>
    <t>EFF-&gt;ARG1/2,ARG3/24</t>
  </si>
  <si>
    <t>"účtovat-si-002"</t>
  </si>
  <si>
    <t>PAT-&gt;ARG0/1,ARG1/42</t>
  </si>
  <si>
    <t>"úřadovat-001"</t>
  </si>
  <si>
    <t>"čalounit-001"</t>
  </si>
  <si>
    <t>"čapnout-001"</t>
  </si>
  <si>
    <t>"čapnout-002"</t>
  </si>
  <si>
    <t>"časovat-001"</t>
  </si>
  <si>
    <t>"častovat-001"</t>
  </si>
  <si>
    <t>PAT-&gt;ARG3/4</t>
  </si>
  <si>
    <t>"častovat-002"</t>
  </si>
  <si>
    <t>"čekat-001"</t>
  </si>
  <si>
    <t>"čekat-002"</t>
  </si>
  <si>
    <t>ACT-&gt;ARG0/1328,ARG1/88,ARG2/2</t>
  </si>
  <si>
    <t>PAT: 4; na+4; ↓jestli; ↓zda; ↓zdali; ↓že; ↓c</t>
  </si>
  <si>
    <t>PAT-&gt;ARG1/1470,ARG2/94,ARGm-TMP/1</t>
  </si>
  <si>
    <t>"čekat-003"</t>
  </si>
  <si>
    <t>PAT: 4; na+4; ↓že; ↓jestli; ↓až-2; ↓zda; ↓než-2</t>
  </si>
  <si>
    <t>ACT-&gt;ARG0/74,ARG1/4984,ARG2/301,ARG4/1</t>
  </si>
  <si>
    <t>PAT-&gt;ARG0/897,ARG1/241,ARG2/3553,ARGm-TMP/2</t>
  </si>
  <si>
    <t>ACT-&gt;ARG0/648,ARG1/47,ARG2/1</t>
  </si>
  <si>
    <t>PAT-&gt;ARG1/739,ARG2/66,ARGm-TMP/1</t>
  </si>
  <si>
    <t>"čekat-004"</t>
  </si>
  <si>
    <t>"čekat-006"</t>
  </si>
  <si>
    <t>"čekat-007"</t>
  </si>
  <si>
    <t>PAT: ↓že; ↓až-3; ↓než</t>
  </si>
  <si>
    <t>"čekat-se-001"</t>
  </si>
  <si>
    <t>"čekávat-001"</t>
  </si>
  <si>
    <t>PAT: 4; na+4; ↓že; ↓jestli; ↓až-2; ↓zda</t>
  </si>
  <si>
    <t>"čelit-001"</t>
  </si>
  <si>
    <t>ACT-&gt;ARG0/568,ARG1/10</t>
  </si>
  <si>
    <t>PAT-&gt;ARG0/21,ARG1/753,ARG2/3</t>
  </si>
  <si>
    <t>"čepovat-001"</t>
  </si>
  <si>
    <t>"čerpat-001"</t>
  </si>
  <si>
    <t>?ORIG: z+2; od+2; odtud; odkud; odkudkoliv; odevšad; odtamtud; odjinud; odtud; odněkud; odnikud; odkudsi</t>
  </si>
  <si>
    <t>ACT-&gt;ARG0/43,ARG2/1</t>
  </si>
  <si>
    <t>PAT-&gt;ARG1/37,ARG2/15</t>
  </si>
  <si>
    <t>ORIG-&gt;ARG1/16,ARG2/11</t>
  </si>
  <si>
    <t>"čerpat-002"</t>
  </si>
  <si>
    <t>"--čerpat-003"</t>
  </si>
  <si>
    <t>"čertit-se-001"</t>
  </si>
  <si>
    <t>"česat-001"</t>
  </si>
  <si>
    <t>"česat-002"</t>
  </si>
  <si>
    <t>"česat-003"</t>
  </si>
  <si>
    <t>"česávat-001"</t>
  </si>
  <si>
    <t>"čeřit-001"</t>
  </si>
  <si>
    <t>"čeřit-002"</t>
  </si>
  <si>
    <t>DPHR: hladina.4</t>
  </si>
  <si>
    <t>"čichat-001"</t>
  </si>
  <si>
    <t>"činit-001"</t>
  </si>
  <si>
    <t>"činit-002"</t>
  </si>
  <si>
    <t>"činit-003"</t>
  </si>
  <si>
    <t>EFF-&gt;ARG1/272</t>
  </si>
  <si>
    <t>"činit-004"</t>
  </si>
  <si>
    <t>EFF: .a7</t>
  </si>
  <si>
    <t>"činit-005"</t>
  </si>
  <si>
    <t>ACT-&gt;ARG0/2355,ARG1/19</t>
  </si>
  <si>
    <t>PAT: 4; .d; tak-3; ↓c</t>
  </si>
  <si>
    <t>"činit-006"</t>
  </si>
  <si>
    <t>"činit-007"</t>
  </si>
  <si>
    <t>ACT-&gt;ARG0/410,ARG1/5942,ARG2/307,ARG3/9</t>
  </si>
  <si>
    <t>EXT-&gt;ARG1/645,ARG2/3711</t>
  </si>
  <si>
    <t>"činit-008"</t>
  </si>
  <si>
    <t>"činit-009"</t>
  </si>
  <si>
    <t>ACT-&gt;ARG0/167</t>
  </si>
  <si>
    <t>CPHR: {doporučení,nabídka,...}.4</t>
  </si>
  <si>
    <t>CPHR-&gt;ARG1/222</t>
  </si>
  <si>
    <t>"činit-010"</t>
  </si>
  <si>
    <t>CPHR: {závěr,závěr,...}.4</t>
  </si>
  <si>
    <t>"činit-011"</t>
  </si>
  <si>
    <t>CPHR: {expertíza,kontrola,krok,omezení,opatření,pokrok,pokus,prohlášení,rozhodnutí,zátah,...}.4</t>
  </si>
  <si>
    <t>"--činit-012"</t>
  </si>
  <si>
    <t>"činit-se-001"</t>
  </si>
  <si>
    <t>"činit-si-001"</t>
  </si>
  <si>
    <t>"činit-si-002"</t>
  </si>
  <si>
    <t>"čistit-001"</t>
  </si>
  <si>
    <t>"čišet-001"</t>
  </si>
  <si>
    <t>"čišet-002"</t>
  </si>
  <si>
    <t>"členit-001"</t>
  </si>
  <si>
    <t>"čmajznout-001"</t>
  </si>
  <si>
    <t>"čnět-001"</t>
  </si>
  <si>
    <t>"čouhat-001"</t>
  </si>
  <si>
    <t>"čpět-001"</t>
  </si>
  <si>
    <t>"črtat-001"</t>
  </si>
  <si>
    <t>"čumět-001"</t>
  </si>
  <si>
    <t>"čumět-002"</t>
  </si>
  <si>
    <t>"čučet-001"</t>
  </si>
  <si>
    <t>"čučet-002"</t>
  </si>
  <si>
    <t>"čvachtat-se-001"</t>
  </si>
  <si>
    <t>"číhat-001"</t>
  </si>
  <si>
    <t>PAT: 4; na+4; ↓jestli; ↓až-2; ↓zda</t>
  </si>
  <si>
    <t>"číslovat-001"</t>
  </si>
  <si>
    <t>"číst-001"</t>
  </si>
  <si>
    <t>"číst-002"</t>
  </si>
  <si>
    <t>ACT-&gt;ARG0/49,ARG1/8</t>
  </si>
  <si>
    <t>PAT-&gt;ARG1/64,ARG3/14</t>
  </si>
  <si>
    <t>"číst-003"</t>
  </si>
  <si>
    <t>"číst-004"</t>
  </si>
  <si>
    <t>"číst-005"</t>
  </si>
  <si>
    <t>"čítat-001"</t>
  </si>
  <si>
    <t>"čítat-002"</t>
  </si>
  <si>
    <t>ACT-&gt;ARG0/2227,ARG1/165</t>
  </si>
  <si>
    <t>EXT-&gt;ARG0/1,ARG1/2341,ARG2/209</t>
  </si>
  <si>
    <t>"čítávat-001"</t>
  </si>
  <si>
    <t>"čůrat-001"</t>
  </si>
  <si>
    <t>"řadit-001"</t>
  </si>
  <si>
    <t>"řadit-002"</t>
  </si>
  <si>
    <t>PAT-&gt;ARG1/67,ARG2/1</t>
  </si>
  <si>
    <t>"řadit-003"</t>
  </si>
  <si>
    <t>"řadit-se-001"</t>
  </si>
  <si>
    <t>DIR3-&gt;ARG1/5</t>
  </si>
  <si>
    <t>"řadit-se-002"</t>
  </si>
  <si>
    <t>"ředit-001"</t>
  </si>
  <si>
    <t>"řehtat-se-001"</t>
  </si>
  <si>
    <t>"řezat-001"</t>
  </si>
  <si>
    <t>"řezat-002"</t>
  </si>
  <si>
    <t>"řezat-003"</t>
  </si>
  <si>
    <t>"řečnit-001"</t>
  </si>
  <si>
    <t>"řešit-001"</t>
  </si>
  <si>
    <t>ACT-&gt;ARG0/572,ARG1/6,ARG2/2,ARG3/1</t>
  </si>
  <si>
    <t>PAT-&gt;ARG1/915,ARG2/1</t>
  </si>
  <si>
    <t>"řešit-002"</t>
  </si>
  <si>
    <t>"řinčet-001"</t>
  </si>
  <si>
    <t>"řvát-001"</t>
  </si>
  <si>
    <t>"řvát-002"</t>
  </si>
  <si>
    <t>"řádit-001"</t>
  </si>
  <si>
    <t>"říci-001"</t>
  </si>
  <si>
    <t>PAT: o+4; ↓aby; ↓ať; ↓zda; ↓jestli; .s; ↓c</t>
  </si>
  <si>
    <t>"říci-002"</t>
  </si>
  <si>
    <t>"říci-003"</t>
  </si>
  <si>
    <t>"říci-004"</t>
  </si>
  <si>
    <t>PAT-&gt;ARG0/2,ARG1/10492,ARG2/2</t>
  </si>
  <si>
    <t>"říci-005"</t>
  </si>
  <si>
    <t>PAT: 3; na+4; proti+3</t>
  </si>
  <si>
    <t>"říci-006"</t>
  </si>
  <si>
    <t>"říci-007"</t>
  </si>
  <si>
    <t>"říci-008"</t>
  </si>
  <si>
    <t>EFF: 4; ↓že; ↓aby; ↓ať; ↓jak-2; ↓jestli; ↓zda; .s; ↓c</t>
  </si>
  <si>
    <t>?PAT: o+6; co-1.4</t>
  </si>
  <si>
    <t>ACT-&gt;ARG0/12625,ARG1/40</t>
  </si>
  <si>
    <t>ADDR-&gt;ARG1/3,ARG2/354</t>
  </si>
  <si>
    <t>EFF-&gt;ARG0/2,ARG1/11024,ARG2/2</t>
  </si>
  <si>
    <t>PAT-&gt;ARG0/2,ARG1/105,ARG2/1,ARG3/29</t>
  </si>
  <si>
    <t>"říci-009"</t>
  </si>
  <si>
    <t>EFF: 4; ↓že; ↓zda; ↓jak-2; .s; ↓c</t>
  </si>
  <si>
    <t>"říci-010"</t>
  </si>
  <si>
    <t>"říci-011"</t>
  </si>
  <si>
    <t>?EFF: 4[{jako,jakožto}:/AuxY]</t>
  </si>
  <si>
    <t>"říci-012"</t>
  </si>
  <si>
    <t>"říci-si-001"</t>
  </si>
  <si>
    <t>PAT: ↓že; .s; ↓c</t>
  </si>
  <si>
    <t>"--říci-si-002"</t>
  </si>
  <si>
    <t>"--říct-si-001"</t>
  </si>
  <si>
    <t>"řídit-001"</t>
  </si>
  <si>
    <t>ACT-&gt;ARG0/676,ARG1/3,ARG2/17</t>
  </si>
  <si>
    <t>PAT-&gt;ARG0/10,ARG1/736,ARG2/52</t>
  </si>
  <si>
    <t>"řídit-002"</t>
  </si>
  <si>
    <t>ACT-&gt;ARG0/116,ARG2/1</t>
  </si>
  <si>
    <t>"řídit-003"</t>
  </si>
  <si>
    <t>"řídit-se-001"</t>
  </si>
  <si>
    <t>ACT-&gt;ARG0/284,ARG1/268</t>
  </si>
  <si>
    <t>PAT: 7; podle+2</t>
  </si>
  <si>
    <t>PAT-&gt;ARG0/150,ARG1/385,ARG2/28</t>
  </si>
  <si>
    <t>"řídnout-001"</t>
  </si>
  <si>
    <t>"říkat-001"</t>
  </si>
  <si>
    <t>"říkat-002"</t>
  </si>
  <si>
    <t>"říkat-003"</t>
  </si>
  <si>
    <t>"říkat-004"</t>
  </si>
  <si>
    <t>EFF: 1; 5; tak-3; jak-3; ↓že; jakpak</t>
  </si>
  <si>
    <t>ACT-&gt;ARG0/180</t>
  </si>
  <si>
    <t>"říkat-005"</t>
  </si>
  <si>
    <t>"říkat-006"</t>
  </si>
  <si>
    <t>"říkat-007"</t>
  </si>
  <si>
    <t>ADDR: 3; k+3</t>
  </si>
  <si>
    <t>ACT-&gt;ARG0/13002,ARG1/38</t>
  </si>
  <si>
    <t>ADDR-&gt;ARG1/5,ARG2/333</t>
  </si>
  <si>
    <t>EFF-&gt;ARG0/2,ARG1/11238,ARG2/26</t>
  </si>
  <si>
    <t>PAT-&gt;ARG0/2,ARG1/226,ARG2/345,ARG3/30</t>
  </si>
  <si>
    <t>"říkat-008"</t>
  </si>
  <si>
    <t>"říkat-009"</t>
  </si>
  <si>
    <t>DPHR: nic.S4</t>
  </si>
  <si>
    <t>"říkat-010"</t>
  </si>
  <si>
    <t>"říkat-si-001"</t>
  </si>
  <si>
    <t>"--říkat-si-002"</t>
  </si>
  <si>
    <t>PAT: ↓že; ↓jestli; .s; ↓c</t>
  </si>
  <si>
    <t>"--říkat-si-003"</t>
  </si>
  <si>
    <t>"říkávat-001"</t>
  </si>
  <si>
    <t>EFF: 1; 5; tak-3; jak-3</t>
  </si>
  <si>
    <t>"říkávat-002"</t>
  </si>
  <si>
    <t>"říkávat-003"</t>
  </si>
  <si>
    <t>"řítit-se-001"</t>
  </si>
  <si>
    <t>"řítit-se-002"</t>
  </si>
  <si>
    <t>ACT-&gt;ARG0/3,ARG1/49</t>
  </si>
  <si>
    <t>"říznout-001"</t>
  </si>
  <si>
    <t>"říznout-se-001"</t>
  </si>
  <si>
    <t>"šedivět-001"</t>
  </si>
  <si>
    <t>"šelestit-001"</t>
  </si>
  <si>
    <t>"šeptat-001"</t>
  </si>
  <si>
    <t>"šeptat-002"</t>
  </si>
  <si>
    <t>"šeptat-003"</t>
  </si>
  <si>
    <t>EFF: 4; ↓že; ↓ať; ↓aby; ↓jestli; ↓zda; ↓c; .s</t>
  </si>
  <si>
    <t>?ADDR: 3; k+3</t>
  </si>
  <si>
    <t>EFF-&gt;ARG1/5</t>
  </si>
  <si>
    <t>"šermovat-001"</t>
  </si>
  <si>
    <t>"šetřit-001"</t>
  </si>
  <si>
    <t>"šetřit-002"</t>
  </si>
  <si>
    <t>ACT-&gt;ARG0/16,ARG3/4</t>
  </si>
  <si>
    <t>"šetřit-003"</t>
  </si>
  <si>
    <t>"šetřit-004"</t>
  </si>
  <si>
    <t>"šetřit-005"</t>
  </si>
  <si>
    <t>"šidit-001"</t>
  </si>
  <si>
    <t>"šikanovat-001"</t>
  </si>
  <si>
    <t>"šilhat-001"</t>
  </si>
  <si>
    <t>"šilhat-002"</t>
  </si>
  <si>
    <t>"šklebit-se-001"</t>
  </si>
  <si>
    <t>"škobrtnout-001"</t>
  </si>
  <si>
    <t>"škodit-001"</t>
  </si>
  <si>
    <t>ACT: 1; ↓kdyby; .f; ↓c</t>
  </si>
  <si>
    <t>ACT-&gt;ARG0/38,ARG2/76</t>
  </si>
  <si>
    <t>"školit-001"</t>
  </si>
  <si>
    <t>PAT: o+6; v+6; ↓že; ↓aby; ↓ať; .s; ↓c</t>
  </si>
  <si>
    <t>"školit-002"</t>
  </si>
  <si>
    <t>"škrabat-001"</t>
  </si>
  <si>
    <t>"škrtat-001"</t>
  </si>
  <si>
    <t>"škrtat-002"</t>
  </si>
  <si>
    <t>"škrtit-001"</t>
  </si>
  <si>
    <t>"škrtit-002"</t>
  </si>
  <si>
    <t>"škrtnout-001"</t>
  </si>
  <si>
    <t>"škrtnout-002"</t>
  </si>
  <si>
    <t>"škrábat-001"</t>
  </si>
  <si>
    <t>"škrábat-002"</t>
  </si>
  <si>
    <t>"škrábat-003"</t>
  </si>
  <si>
    <t>"škrábat-se-001"</t>
  </si>
  <si>
    <t>"škrábnout-001"</t>
  </si>
  <si>
    <t>"škubat-001"</t>
  </si>
  <si>
    <t>"škudlit-001"</t>
  </si>
  <si>
    <t>"škudlit-002"</t>
  </si>
  <si>
    <t>"škvařit-001"</t>
  </si>
  <si>
    <t>"šlapat-001"</t>
  </si>
  <si>
    <t>"šlapat-002"</t>
  </si>
  <si>
    <t>DPHR: na-1[pata.P4]</t>
  </si>
  <si>
    <t>DPHR-&gt;ARG1/2,ARG2/4</t>
  </si>
  <si>
    <t>"šlapat-003"</t>
  </si>
  <si>
    <t>"šlapat-004"</t>
  </si>
  <si>
    <t>"šlapat-005"</t>
  </si>
  <si>
    <t>"šlápnout-001"</t>
  </si>
  <si>
    <t>"šlápnout-002"</t>
  </si>
  <si>
    <t>"šmajdat-001"</t>
  </si>
  <si>
    <t>"šmakovat-001"</t>
  </si>
  <si>
    <t>"šmátrat-001"</t>
  </si>
  <si>
    <t>"šnorchlovat-001"</t>
  </si>
  <si>
    <t>"šněrovat-001"</t>
  </si>
  <si>
    <t>"šněrovat-002"</t>
  </si>
  <si>
    <t>"šokovat-001"</t>
  </si>
  <si>
    <t>"šoupat-001"</t>
  </si>
  <si>
    <t>"šoupnout-001"</t>
  </si>
  <si>
    <t>"šoupnout-002"</t>
  </si>
  <si>
    <t>"šoustnout-si-001"</t>
  </si>
  <si>
    <t>"špehovat-001"</t>
  </si>
  <si>
    <t>"špinit-001"</t>
  </si>
  <si>
    <t>"špitat-001"</t>
  </si>
  <si>
    <t>"špitnout-001"</t>
  </si>
  <si>
    <t>"špitnout-002"</t>
  </si>
  <si>
    <t>"šplhat-001"</t>
  </si>
  <si>
    <t>"šplhat-se-001"</t>
  </si>
  <si>
    <t>ACT-&gt;ARG0/6,ARG1/5</t>
  </si>
  <si>
    <t>DIR3-&gt;ARG1/1,ARG3/7</t>
  </si>
  <si>
    <t>"šplhat-se-002"</t>
  </si>
  <si>
    <t>"šplhnout-si-001"</t>
  </si>
  <si>
    <t>"šplouchat-001"</t>
  </si>
  <si>
    <t>"šponovat-001"</t>
  </si>
  <si>
    <t>"špulit-se-001"</t>
  </si>
  <si>
    <t>"šroubovat-001"</t>
  </si>
  <si>
    <t>"šroubovat-002"</t>
  </si>
  <si>
    <t>"štvát-001"</t>
  </si>
  <si>
    <t>"štvát-002"</t>
  </si>
  <si>
    <t>"štípat-001"</t>
  </si>
  <si>
    <t>"štípat-002"</t>
  </si>
  <si>
    <t>"štípat-003"</t>
  </si>
  <si>
    <t>"štípnout-001"</t>
  </si>
  <si>
    <t>"štípnout-002"</t>
  </si>
  <si>
    <t>"štítit-se-001"</t>
  </si>
  <si>
    <t>?PAT: 2; .f</t>
  </si>
  <si>
    <t>"štěkat-001"</t>
  </si>
  <si>
    <t>"štěpit-001"</t>
  </si>
  <si>
    <t>EFF-&gt;ARG2/15</t>
  </si>
  <si>
    <t>"štěpit-se-001"</t>
  </si>
  <si>
    <t>"šukat-001"</t>
  </si>
  <si>
    <t>"šumět-001"</t>
  </si>
  <si>
    <t>"šustit-001"</t>
  </si>
  <si>
    <t>"šustit-002"</t>
  </si>
  <si>
    <t>"šuškat-001"</t>
  </si>
  <si>
    <t>"šuškat-002"</t>
  </si>
  <si>
    <t>"šuškat-003"</t>
  </si>
  <si>
    <t>"švihnout-001"</t>
  </si>
  <si>
    <t>"šáhnout-001"</t>
  </si>
  <si>
    <t>"šáhnout-002"</t>
  </si>
  <si>
    <t>"šálit-001"</t>
  </si>
  <si>
    <t>"šárat-001"</t>
  </si>
  <si>
    <t>"šátrat-001"</t>
  </si>
  <si>
    <t>"šéfovat-001"</t>
  </si>
  <si>
    <t>"šíbovat-001"</t>
  </si>
  <si>
    <t>"šílet-001"</t>
  </si>
  <si>
    <t>"šít-001"</t>
  </si>
  <si>
    <t>"šít-002"</t>
  </si>
  <si>
    <t>"šířit-001"</t>
  </si>
  <si>
    <t>"šířit-002"</t>
  </si>
  <si>
    <t>"šířit-se-001"</t>
  </si>
  <si>
    <t>"šňupat-001"</t>
  </si>
  <si>
    <t>"šťouchat-001"</t>
  </si>
  <si>
    <t>"šťouchat-se-001"</t>
  </si>
  <si>
    <t>"šťourat-001"</t>
  </si>
  <si>
    <t>PAT: v+6; do+2</t>
  </si>
  <si>
    <t>"šťourat-se-001"</t>
  </si>
  <si>
    <t>"šůrovat-001"</t>
  </si>
  <si>
    <t>"ťukat-001"</t>
  </si>
  <si>
    <t>"ťukat-002"</t>
  </si>
  <si>
    <t>"ťukat-si-001"</t>
  </si>
  <si>
    <t>"ťuknout-001"</t>
  </si>
  <si>
    <t>"žadonit-001"</t>
  </si>
  <si>
    <t>PAT: o+4; ↓aby; ↓ať; .s; ↓c</t>
  </si>
  <si>
    <t>"žalovat-001"</t>
  </si>
  <si>
    <t>PAT-&gt;ARG2/13,ARG3/3</t>
  </si>
  <si>
    <t>"žalovat-002"</t>
  </si>
  <si>
    <t>PAT-&gt;ARG1/97,ARG2/13</t>
  </si>
  <si>
    <t>"žalovat-003"</t>
  </si>
  <si>
    <t>"žalovat-004"</t>
  </si>
  <si>
    <t>"žasnout-001"</t>
  </si>
  <si>
    <t>PAT: nad+7; ↓že; ↓c</t>
  </si>
  <si>
    <t>"ždímat-001"</t>
  </si>
  <si>
    <t>"žebrat-001"</t>
  </si>
  <si>
    <t>?PAT: o+4; ↓aby; ↓ať; .s; ↓c; 4</t>
  </si>
  <si>
    <t>"žehlit-001"</t>
  </si>
  <si>
    <t>"žehlívat-001"</t>
  </si>
  <si>
    <t>"žehnat-001"</t>
  </si>
  <si>
    <t>"žehrat-001"</t>
  </si>
  <si>
    <t>PAT: na+4; ↓že; ↓c</t>
  </si>
  <si>
    <t>"ženit-se-001"</t>
  </si>
  <si>
    <t>"žertovat-001"</t>
  </si>
  <si>
    <t>"žhavit-001"</t>
  </si>
  <si>
    <t>"žirovat-001"</t>
  </si>
  <si>
    <t>"živit-001"</t>
  </si>
  <si>
    <t>PAT-&gt;ARG1/7,ARG2/9</t>
  </si>
  <si>
    <t>"živit-002"</t>
  </si>
  <si>
    <t>"živit-se-001"</t>
  </si>
  <si>
    <t>"živit-se-002"</t>
  </si>
  <si>
    <t>"živořit-001"</t>
  </si>
  <si>
    <t>ACT-&gt;ARG0/30,ARG1/45</t>
  </si>
  <si>
    <t>"žonglovat-001"</t>
  </si>
  <si>
    <t>"žrát-001"</t>
  </si>
  <si>
    <t>"žrát-002"</t>
  </si>
  <si>
    <t>"žvanit-001"</t>
  </si>
  <si>
    <t>"žvýkat-001"</t>
  </si>
  <si>
    <t>"žádat-001"</t>
  </si>
  <si>
    <t>PAT: o+4; .f; ↓zda; ↓jestli; ↓aby; ↓ať; .s; ↓c</t>
  </si>
  <si>
    <t>ACT-&gt;ARG0/1265,ARG2/1</t>
  </si>
  <si>
    <t>PAT-&gt;ARG1/1363,ARG2/78</t>
  </si>
  <si>
    <t>ADDR-&gt;ARG1/150,ARG2/145</t>
  </si>
  <si>
    <t>"žádat-002"</t>
  </si>
  <si>
    <t>ACT-&gt;ARG0/1165,ARG1/2,ARG2/1</t>
  </si>
  <si>
    <t>PAT-&gt;ARG1/1380,ARG2/22</t>
  </si>
  <si>
    <t>ORIG-&gt;ARG1/9,ARG2/139</t>
  </si>
  <si>
    <t>"žárlit-001"</t>
  </si>
  <si>
    <t>"žít-001"</t>
  </si>
  <si>
    <t>"žít-002"</t>
  </si>
  <si>
    <t>"žít-003"</t>
  </si>
  <si>
    <t>"žít-004"</t>
  </si>
  <si>
    <t>"žít-005"</t>
  </si>
  <si>
    <t>ACT-&gt;ARG0/86,ARG1/401,ARG2/3454</t>
  </si>
  <si>
    <t>"žít-006"</t>
  </si>
  <si>
    <t>DPHR: z-1[ruka.S2],do-1[ústa.P2]</t>
  </si>
  <si>
    <t>"žít-007"</t>
  </si>
  <si>
    <t>DPHR: život.S7[vlastní-1.$11&lt;A&gt;#,svůj-1.#]</t>
  </si>
  <si>
    <t>DPHR-&gt;ARG1/21</t>
  </si>
  <si>
    <t>"žít-si-001"</t>
  </si>
  <si>
    <t>"žít-si-002"</t>
  </si>
  <si>
    <t>ACT-&gt;ARG0/133,ARG1/5</t>
  </si>
  <si>
    <t>PAT-&gt;ARG1/286,ARG2/2,ARG3/2</t>
  </si>
  <si>
    <t>ORIG-&gt;ARG2/1,ARG3/10</t>
  </si>
  <si>
    <t>EFF-&gt;ARG1/2,ARG2/96,ARG3/2,ARG4/27</t>
  </si>
  <si>
    <t>ACT-&gt;ARG0/593</t>
  </si>
  <si>
    <t>PAT-&gt;ARG1/592,ARG2/4</t>
  </si>
  <si>
    <t>ACT-&gt;ARG0/590,ARG1/186,ARG2/6</t>
  </si>
  <si>
    <t>PAT-&gt;ARG1/713,ARG2/1</t>
  </si>
  <si>
    <t>ACT-&gt;ARG0/266</t>
  </si>
  <si>
    <t>PAT-&gt;ARG1/398</t>
  </si>
  <si>
    <t>ACT-&gt;ARG0/820,ARG1/168,ARG2/19,ARG3/1</t>
  </si>
  <si>
    <t>ACT-&gt;ARG0/122,ARG1/14</t>
  </si>
  <si>
    <t>ACT-&gt;ARG0/50,ARG1/48</t>
  </si>
  <si>
    <t>PAT-&gt;ARG1/17,ARG2/34</t>
  </si>
  <si>
    <t>ACT-&gt;ARG0/360,ARG1/32</t>
  </si>
  <si>
    <t>PAT-&gt;ARG1/704,ARG2/35</t>
  </si>
  <si>
    <t>ACT-&gt;ARG0/229</t>
  </si>
  <si>
    <t>PAT-&gt;ARG1/341</t>
  </si>
  <si>
    <t>ACT-&gt;ARG0/166,ARG1/128,ARG2/1</t>
  </si>
  <si>
    <t>PAT-&gt;ARG1/53,ARG2/295</t>
  </si>
  <si>
    <t>ACT-&gt;ARG0/24,ARG2/2</t>
  </si>
  <si>
    <t>ACT-&gt;ARG0/289,ARG2/3</t>
  </si>
  <si>
    <t>PAT-&gt;ARG1/354</t>
  </si>
  <si>
    <t>ACT-&gt;ARG0/13898,ARG1/47</t>
  </si>
  <si>
    <t>PAT-&gt;ARG0/5,ARG1/12570,ARG2/25,ARG3/29</t>
  </si>
  <si>
    <t>ADDR-&gt;ARG1/22,ARG2/40</t>
  </si>
  <si>
    <t>ACT-&gt;ARG0/4,ARG1/472,ARG2/3</t>
  </si>
  <si>
    <t>ACT-&gt;ARG0/58,ARG1/42</t>
  </si>
  <si>
    <t>PAT-&gt;ARG0/23,ARG1/63,ARG2/9</t>
  </si>
  <si>
    <t>ACT-&gt;ARG0/481,ARG1/2</t>
  </si>
  <si>
    <t>PAT-&gt;ARG1/553,ARG2/5</t>
  </si>
  <si>
    <t>ADDR-&gt;ARG1/18,ARG2/400</t>
  </si>
  <si>
    <t>ACT-&gt;ARG0/654,ARG1/40,ARG2/18,ARG3/1</t>
  </si>
  <si>
    <t>PAT-&gt;ARG0/1,ARG1/776,ARG2/59,ARG3/1</t>
  </si>
  <si>
    <t>ACT-&gt;ARG0/172</t>
  </si>
  <si>
    <t>PAT-&gt;ARG1/324</t>
  </si>
  <si>
    <t>ACT-&gt;ARG0/172,ARG1/1,ARG3/6</t>
  </si>
  <si>
    <t>PAT-&gt;ARG0/1,ARG1/437,ARG2/2</t>
  </si>
  <si>
    <t>ACT-&gt;ARG0/51,ARG1/34</t>
  </si>
  <si>
    <t>PAT-&gt;ARG1/138,ARG2/39</t>
  </si>
  <si>
    <t>ACT-&gt;ARG0/50,ARG1/11</t>
  </si>
  <si>
    <t>PAT-&gt;ARG1/138,ARG2/14</t>
  </si>
  <si>
    <t>DIR3-&gt;ARG2/25</t>
  </si>
  <si>
    <t>ACT-&gt;ARG1/117</t>
  </si>
  <si>
    <t>ACT-&gt;ARG0/2,ARG1/239</t>
  </si>
  <si>
    <t>ACT-&gt;ARG0/606</t>
  </si>
  <si>
    <t>PAT-&gt;ARG1/640</t>
  </si>
  <si>
    <t>ADDR-&gt;ARG1/54,ARG2/2</t>
  </si>
  <si>
    <t>PAT-&gt;ARG1/22,ARG2/30</t>
  </si>
  <si>
    <t>ACT-&gt;ARG0/9,ARG1/16</t>
  </si>
  <si>
    <t>PAT-&gt;ARG0/9,ARG1/11</t>
  </si>
  <si>
    <t>ACT-&gt;ARG0/452</t>
  </si>
  <si>
    <t>PAT-&gt;ARG1/613,ARG2/2</t>
  </si>
  <si>
    <t>PAT-&gt;ARG0/5,ARG1/228</t>
  </si>
  <si>
    <t>ADDR-&gt;ARG1/45</t>
  </si>
  <si>
    <t>ACT-&gt;ARG0/77,ARG1/1,ARG3/13</t>
  </si>
  <si>
    <t>PAT-&gt;ARG1/82,ARG2/108</t>
  </si>
  <si>
    <t>ADDR-&gt;ARG1/113,ARG2/13</t>
  </si>
  <si>
    <t>ACT-&gt;ARG0/64,ARG1/181,ARG2/2,ARG3/19</t>
  </si>
  <si>
    <t>PAT-&gt;ARG1/16,ARG2/71</t>
  </si>
  <si>
    <t>ADDR-&gt;ARG0/108,ARG1/3,ARG2/42</t>
  </si>
  <si>
    <t>ACT-&gt;ARG0/105,ARG1/1</t>
  </si>
  <si>
    <t>PAT-&gt;ARG0/1,ARG1/137,ARG3/1</t>
  </si>
  <si>
    <t>ORIG-&gt;ARG1/2,ARG2/22,ARG3/1</t>
  </si>
  <si>
    <t>ACT-&gt;ARG0/108,ARG1/1,ARG2/1</t>
  </si>
  <si>
    <t>EFF-&gt;ARG1/3,ARG2/156</t>
  </si>
  <si>
    <t>MEANS-&gt;ARG2/7</t>
  </si>
  <si>
    <t>ACMP-&gt;ARG2/7</t>
  </si>
  <si>
    <t>CRIT-&gt;ARG2/7</t>
  </si>
  <si>
    <t>CPR-&gt;ARG2/7</t>
  </si>
  <si>
    <t>ACT-&gt;ARG0/123,ARG3/2</t>
  </si>
  <si>
    <t>PAT-&gt;ARG1/102,ARG2/37,ARG3/1</t>
  </si>
  <si>
    <t>BEN-&gt;ARG2/7</t>
  </si>
  <si>
    <t>ACT-&gt;ARG0/553,ARG1/2,ARG2/38</t>
  </si>
  <si>
    <t>CPHR-&gt;ARG0/1,ARG1/810,ARG2/2</t>
  </si>
  <si>
    <t>LOC-&gt;ARG1/3,ARG2/14,ARG3/1,ARG4/79</t>
  </si>
  <si>
    <t>ORIG-&gt;ARG2/200</t>
  </si>
  <si>
    <t>ACT-&gt;ARG0/782,ARG1/6,ARG2/3</t>
  </si>
  <si>
    <t>PAT-&gt;ARG1/1318,ARG3/1,ARG4/5</t>
  </si>
  <si>
    <t>ORIG-&gt;ARG1/1,ARG2/44</t>
  </si>
  <si>
    <t>ACT-&gt;ARG0/131,ARG1/21</t>
  </si>
  <si>
    <t>PAT-&gt;ARG0/28,ARG1/146</t>
  </si>
  <si>
    <t>ACT-&gt;ARG0/215,ARG1/4</t>
  </si>
  <si>
    <t>ACT-&gt;ARG0/770,ARG1/23</t>
  </si>
  <si>
    <t>PAT-&gt;ARG0/1,ARG1/724,ARG2/9</t>
  </si>
  <si>
    <t>ACT-&gt;ARG0/111,ARG1/15,ARGM-MNR/2</t>
  </si>
  <si>
    <t>MANN-&gt;ARG1/2,ARG2/2,ARGM-MNR/22</t>
  </si>
  <si>
    <t>ACT-&gt;ARG1/446</t>
  </si>
  <si>
    <t>ACT-&gt;ARG1/438,ARG2/51</t>
  </si>
  <si>
    <t>DPHR-&gt;ARG1/2,ARG2/2,ARGM-MNR/22</t>
  </si>
  <si>
    <t>ACT-&gt;ARG0/57,ARG1/37</t>
  </si>
  <si>
    <t>ACT-&gt;ARG0/1,ARG1/397</t>
  </si>
  <si>
    <t>ACT-&gt;ARG0/7,ARG1/188,ARG2/3</t>
  </si>
  <si>
    <t>DPHR-&gt;ARG0/2,ARG1/52,ARG2/113</t>
  </si>
  <si>
    <t>ACT-&gt;ARG1/12,ARG2/64</t>
  </si>
  <si>
    <t>ACT-&gt;ARG0/17,ARG1/3683,ARG2/296,ARG3/1</t>
  </si>
  <si>
    <t>PAT-&gt;ARG1/124,ARG2/3551,ARG3/415</t>
  </si>
  <si>
    <t>ACT-&gt;ARG0/9,ARG1/174</t>
  </si>
  <si>
    <t>ACT-&gt;ARG0/302,ARG1/4</t>
  </si>
  <si>
    <t>PAT-&gt;ARG1/684,ARG2/6</t>
  </si>
  <si>
    <t>EFF-&gt;ARG1/8,ARG2/530</t>
  </si>
  <si>
    <t>ACT-&gt;ARG0/31,ARG1/78</t>
  </si>
  <si>
    <t>PAT-&gt;ARG1/178,ARG2/1</t>
  </si>
  <si>
    <t>ACT-&gt;ARG0/34,ARG2/2</t>
  </si>
  <si>
    <t>ACT-&gt;ARG0/100,ARG1/83</t>
  </si>
  <si>
    <t>DIR3-&gt;ARG1/81,ARG4/3</t>
  </si>
  <si>
    <t>ACT-&gt;ARG0/46,ARG1/3</t>
  </si>
  <si>
    <t>MANN-&gt;ARG2/21,ARG3/1</t>
  </si>
  <si>
    <t>ACT-&gt;ARG0/131,ARG1/3,ARG3/37</t>
  </si>
  <si>
    <t>PAT-&gt;ARG0/10,ARG1/373,ARG2/4</t>
  </si>
  <si>
    <t>EFF-&gt;ARG1/17,ARG2/114</t>
  </si>
  <si>
    <t>ACT-&gt;ARG0/469,ARG1/3,ARG2/4</t>
  </si>
  <si>
    <t>PAT-&gt;ARG1/605,ARG2/81</t>
  </si>
  <si>
    <t>ORIG-&gt;ARG1/75,ARG2/180</t>
  </si>
  <si>
    <t>PAT-&gt;ARG1/73,ARG2/3</t>
  </si>
  <si>
    <t>ACT-&gt;ARG1/56,ARG2/1</t>
  </si>
  <si>
    <t>PAT-&gt;ARG0/41</t>
  </si>
  <si>
    <t>ACT-&gt;ARG0/153,ARG1/1</t>
  </si>
  <si>
    <t>ACT-&gt;ARG0/3,ARG1/15</t>
  </si>
  <si>
    <t>PAT-&gt;ARG2/25</t>
  </si>
  <si>
    <t>ACT-&gt;ARG0/98,ARG1/5</t>
  </si>
  <si>
    <t>PAT-&gt;ARG1/141,ARG2/1</t>
  </si>
  <si>
    <t>ACT-&gt;ARG0/207,ARG3/1</t>
  </si>
  <si>
    <t>PAT-&gt;ARG0/1,ARG1/112,ARG2/7,ARG3/143</t>
  </si>
  <si>
    <t>DIR3-&gt;ARG1/112,ARG2/2,ARG3/1</t>
  </si>
  <si>
    <t>ACT-&gt;ARG0/28,ARG1/2</t>
  </si>
  <si>
    <t>PAT-&gt;ARG0/1,ARG1/93,ARG2/12</t>
  </si>
  <si>
    <t>EFF-&gt;ARG1/19,ARG2/98</t>
  </si>
  <si>
    <t>ACT-&gt;ARG0/17,ARG1/4</t>
  </si>
  <si>
    <t>LOC-&gt;ARG1/21</t>
  </si>
  <si>
    <t>MANN-&gt;ARG1/21</t>
  </si>
  <si>
    <t>CPR-&gt;ARG1/21</t>
  </si>
  <si>
    <t>ACT-&gt;ARG0/919,ARG2/1</t>
  </si>
  <si>
    <t>PAT-&gt;ARG1/1291,ARG2/10</t>
  </si>
  <si>
    <t>ADDR-&gt;ARG1/43,ARG2/795</t>
  </si>
  <si>
    <t>ACT-&gt;ARG0/275,ARG1/150</t>
  </si>
  <si>
    <t>PAT-&gt;ARG0/2,ARG1/329,ARG2/144</t>
  </si>
  <si>
    <t>EXT-&gt;ARG1/2,ARG2/2,ARGM-MNR/22</t>
  </si>
  <si>
    <t>ACT-&gt;ARG0/54,ARG1/2</t>
  </si>
  <si>
    <t>ACT-&gt;ARG0/41,ARG1/7</t>
  </si>
  <si>
    <t>ACT-&gt;ARG0/307</t>
  </si>
  <si>
    <t>ACT-&gt;ARG0/180,ARG1/1</t>
  </si>
  <si>
    <t>PAT-&gt;ARG1/291,ARG2/2</t>
  </si>
  <si>
    <t>ADDR-&gt;ARG1/7,ARG2/212</t>
  </si>
  <si>
    <t>ACT-&gt;ARG0/85,ARG2/6</t>
  </si>
  <si>
    <t>ACT-&gt;ARG0/114,ARG1/1</t>
  </si>
  <si>
    <t>DIR1-&gt;ARG1/3,ARG2/14</t>
  </si>
  <si>
    <t>ACT-&gt;ARG0/38,ARG1/79</t>
  </si>
  <si>
    <t>ACT-&gt;ARG0/475,ARG1/4,ARG2/164</t>
  </si>
  <si>
    <t>PAT-&gt;ARG1/919,ARG2/7,ARG3/1</t>
  </si>
  <si>
    <t>ACT-&gt;ARG0/3,ARG1/69</t>
  </si>
  <si>
    <t>PAT-&gt;ARG1/8,ARG2/20,ARG3/1</t>
  </si>
  <si>
    <t>PAT-&gt;ARG1/34,ARG2/94</t>
  </si>
  <si>
    <t>ADDR-&gt;ARG1/77,ARG2/1</t>
  </si>
  <si>
    <t>ACT-&gt;ARG0/305</t>
  </si>
  <si>
    <t>PAT-&gt;ARG0/1,ARG1/9</t>
  </si>
  <si>
    <t>ACT-&gt;ARG0/10,ARG1/42</t>
  </si>
  <si>
    <t>ACT-&gt;ARG0/90,ARG1/1</t>
  </si>
  <si>
    <t>PAT-&gt;ARG1/356</t>
  </si>
  <si>
    <t>ADDR-&gt;ARG1/1,ARG2/110</t>
  </si>
  <si>
    <t>DPHR-&gt;ARG1/5,ARG2/1</t>
  </si>
  <si>
    <t>PAT-&gt;ARG1/168</t>
  </si>
  <si>
    <t>ACT-&gt;ARG0/22,ARG1/342</t>
  </si>
  <si>
    <t>ACT-&gt;ARG0/139,ARG1/258</t>
  </si>
  <si>
    <t>DIR3-&gt;ARG1/135</t>
  </si>
  <si>
    <t>ACT-&gt;ARG0/319,ARG1/6</t>
  </si>
  <si>
    <t>PAT-&gt;ARG1/509</t>
  </si>
  <si>
    <t>ACT-&gt;ARG0/1056,ARG1/10</t>
  </si>
  <si>
    <t>PAT-&gt;ARG1/1524,ARG2/2,ARG4/1</t>
  </si>
  <si>
    <t>ORIG-&gt;ARG1/10,ARG2/174,ARG3/5</t>
  </si>
  <si>
    <t>DPHR-&gt;ARG1/509</t>
  </si>
  <si>
    <t>ACT-&gt;ARG0/1,ARG1/3</t>
  </si>
  <si>
    <t>ACT-&gt;ARG0/420</t>
  </si>
  <si>
    <t>PAT-&gt;ARG0/1,ARG1/644,ARG2/3</t>
  </si>
  <si>
    <t>ADDR-&gt;ARG1/6,ARG2/363,ARG4/2</t>
  </si>
  <si>
    <t>PAT-&gt;ARG0/1,ARG1/219,ARG2/1</t>
  </si>
  <si>
    <t>EFF-&gt;ARG0/5,ARG1/12570,ARG2/25,ARG3/29</t>
  </si>
  <si>
    <t>ACT-&gt;ARG0/43,ARG1/17</t>
  </si>
  <si>
    <t>PAT-&gt;ARG1/87,ARG2/20</t>
  </si>
  <si>
    <t>PAT-&gt;ARG1/12,ARG2/64</t>
  </si>
  <si>
    <t>ADDR-&gt;ARG1/106,ARG2/3</t>
  </si>
  <si>
    <t>ACT-&gt;ARG0/352,ARG2/1</t>
  </si>
  <si>
    <t>PAT-&gt;ARG1/489,ARG2/5</t>
  </si>
  <si>
    <t>PAT-&gt;ARG1/154,ARG2/5</t>
  </si>
  <si>
    <t>PAT-&gt;ARG1/18,ARG2/30,ARG3/46</t>
  </si>
  <si>
    <t>ADDR-&gt;ARG1/129</t>
  </si>
  <si>
    <t>PAT-&gt;ARG0/1,ARG1/222,ARG2/72</t>
  </si>
  <si>
    <t>ADDR-&gt;ARG1/110,ARG2/5</t>
  </si>
  <si>
    <t>ACT-&gt;ARG0/170,ARG1/336</t>
  </si>
  <si>
    <t>DIR3-&gt;ARG1/145</t>
  </si>
  <si>
    <t>ACT-&gt;ARG0/144,ARG1/30</t>
  </si>
  <si>
    <t>ADDR-&gt;ARG1/1,ARG2/19</t>
  </si>
  <si>
    <t>ACT-&gt;ARG0/30,ARG1/29</t>
  </si>
  <si>
    <t>ACT-&gt;ARG0/753,ARG1/4</t>
  </si>
  <si>
    <t>PAT-&gt;ARG1/1211,ARG2/2</t>
  </si>
  <si>
    <t>ORIG-&gt;ARG1/1,ARG2/18</t>
  </si>
  <si>
    <t>ACT-&gt;ARG0/234,ARG1/9</t>
  </si>
  <si>
    <t>PAT-&gt;ARG1/441,ARG2/1,ARGM-EXT/1,ARGM-MNR/2</t>
  </si>
  <si>
    <t>ACT-&gt;ARG0/389,ARG1/4,ARG2/164</t>
  </si>
  <si>
    <t>PAT-&gt;ARG1/778,ARG2/7</t>
  </si>
  <si>
    <t>ACT-&gt;ARG0/604,ARG1/10</t>
  </si>
  <si>
    <t>PAT-&gt;ARG1/880</t>
  </si>
  <si>
    <t>ACT-&gt;ARG0/142,ARG1/306</t>
  </si>
  <si>
    <t>DIR3-&gt;ARG1/136</t>
  </si>
  <si>
    <t>PAT-&gt;ARG1/367</t>
  </si>
  <si>
    <t>ACT-&gt;ARG0/568,ARG1/5</t>
  </si>
  <si>
    <t>EFF-&gt;ARG1/558,ARG2/2</t>
  </si>
  <si>
    <t>PAT-&gt;ARG1/99,ARG2/4</t>
  </si>
  <si>
    <t>ACT-&gt;ARG0/352</t>
  </si>
  <si>
    <t>PAT-&gt;ARG1/282,ARG2/260</t>
  </si>
  <si>
    <t>ADDR-&gt;ARG0/1,ARG1/593,ARG2/8</t>
  </si>
  <si>
    <t>PAT-&gt;ARG0/1,ARG1/299,ARG2/1</t>
  </si>
  <si>
    <t>ACT-&gt;ARG0/128,ARG1/3,ARG2/38</t>
  </si>
  <si>
    <t>PAT-&gt;ARG1/223,ARG2/4</t>
  </si>
  <si>
    <t>ACT-&gt;ARG1/171,ARG2/2</t>
  </si>
  <si>
    <t>BEN-&gt;ARG1/37,ARG2/113</t>
  </si>
  <si>
    <t>MANN-&gt;ARG1/37,ARG2/113</t>
  </si>
  <si>
    <t>ACMP-&gt;ARG1/37,ARG2/113</t>
  </si>
  <si>
    <t>CRIT-&gt;ARG1/37,ARG2/113</t>
  </si>
  <si>
    <t>RESL-&gt;ARG1/37,ARG2/113</t>
  </si>
  <si>
    <t>ACT-&gt;ARG0/376,ARG1/3,ARG2/1</t>
  </si>
  <si>
    <t>PAT-&gt;ARG1/528,ARG2/13,ARG3/26</t>
  </si>
  <si>
    <t>ADDR-&gt;ARG0/1,ARG1/12,ARG2/156,ARG3/4</t>
  </si>
  <si>
    <t>ACT-&gt;ARG1/124</t>
  </si>
  <si>
    <t>PAT-&gt;ARG0/34,ARG2/77</t>
  </si>
  <si>
    <t>EXT-&gt;ARG1/528,ARG2/13,ARG3/26</t>
  </si>
  <si>
    <t>PAT-&gt;ARG1/38,ARG2/3</t>
  </si>
  <si>
    <t>EFF-&gt;ARG0/26,ARG1/2</t>
  </si>
  <si>
    <t>PAT-&gt;ARG1/68,ARG2/63,ARG3/1</t>
  </si>
  <si>
    <t>ADDR-&gt;ARG1/58,ARG2/6</t>
  </si>
  <si>
    <t>PAT-&gt;ARG1/329,ARG2/8</t>
  </si>
  <si>
    <t>PAT-&gt;ARG0/1,ARG1/605,ARG2/1</t>
  </si>
  <si>
    <t>DIR3-&gt;ARG1/1,ARG2/118</t>
  </si>
  <si>
    <t>DIR3-&gt;ARG1/1,ARG2/110</t>
  </si>
  <si>
    <t>PAT-&gt;ARG1/65,ARG2/1</t>
  </si>
  <si>
    <t>PAT-&gt;ARG0/2,ARG1/468,ARG2/2</t>
  </si>
  <si>
    <t>DIR3-&gt;ARG2/16</t>
  </si>
  <si>
    <t>ACT-&gt;ARG0/156,ARG1/1</t>
  </si>
  <si>
    <t>PAT-&gt;ARG1/255,ARG2/3</t>
  </si>
  <si>
    <t>ACT-&gt;ARG0/58,ARG1/316,ARG2/2</t>
  </si>
  <si>
    <t>PAT-&gt;ARG0/3,ARG1/52,ARG2/405,ARG3/5</t>
  </si>
  <si>
    <t>EFF-&gt;ARG1/173,ARG3/2</t>
  </si>
  <si>
    <t>PAT-&gt;ARG1/173,ARG3/2</t>
  </si>
  <si>
    <t>ACT-&gt;ARG0/70,ARG1/205</t>
  </si>
  <si>
    <t>EFF-&gt;ARG1/290,ARG3/2</t>
  </si>
  <si>
    <t>PAT-&gt;ARG1/290,ARG3/2</t>
  </si>
  <si>
    <t>ORIG-&gt;ARG2/42</t>
  </si>
  <si>
    <t>ACT-&gt;ARG1/160,ARG2/1</t>
  </si>
  <si>
    <t>ACT-&gt;ARG0/354,ARG1/19</t>
  </si>
  <si>
    <t>PAT-&gt;ARG1/470,ARG4/3</t>
  </si>
  <si>
    <t>ACT-&gt;ARG0/1886,ARG1/21</t>
  </si>
  <si>
    <t>PAT-&gt;ARG1/2708,ARG2/4,ARG4/2</t>
  </si>
  <si>
    <t>ORIG-&gt;ARG1/15,ARG2/333,ARG3/13</t>
  </si>
  <si>
    <t>DIR3-&gt;ARG1/19,ARG2/22,ARG3/37</t>
  </si>
  <si>
    <t>ACT-&gt;ARG0/440,ARG1/25</t>
  </si>
  <si>
    <t>PAT-&gt;ARG1/697,ARG2/2,ARG4/1</t>
  </si>
  <si>
    <t>CPHR-&gt;ARG1/1524,ARG2/2,ARG4/1</t>
  </si>
  <si>
    <t>ACT-&gt;ARG0/830,ARG1/11</t>
  </si>
  <si>
    <t>PAT-&gt;ARG1/1184,ARG2/2,ARG4/1</t>
  </si>
  <si>
    <t>DPHR-&gt;ARG1/1524,ARG2/2,ARG4/1</t>
  </si>
  <si>
    <t>ACT-&gt;ARG0/57,ARG1/1</t>
  </si>
  <si>
    <t>DIR1-&gt;ARG1/17,ARG2/1</t>
  </si>
  <si>
    <t>CPHR-&gt;ARG2/5</t>
  </si>
  <si>
    <t>ACT-&gt;ARG0/75,ARG1/82</t>
  </si>
  <si>
    <t>ACT-&gt;ARG0/41,ARG1/642</t>
  </si>
  <si>
    <t>ACT-&gt;ARG0/1375,ARG1/16</t>
  </si>
  <si>
    <t>PAT-&gt;ARG1/2033,ARG2/2,ARG4/1</t>
  </si>
  <si>
    <t>ACT-&gt;ARG0/377,ARG1/322,ARG2/2</t>
  </si>
  <si>
    <t>PAT-&gt;ARG0/3,ARG1/561,ARG2/405,ARG3/5</t>
  </si>
  <si>
    <t>ACT-&gt;ARG0/178,ARG1/2</t>
  </si>
  <si>
    <t>PAT-&gt;ARG1/212,ARG2/1</t>
  </si>
  <si>
    <t>ADDR-&gt;ARG0/1,ARG1/21,ARG2/39</t>
  </si>
  <si>
    <t>ACT-&gt;ARG0/50,ARG1/54,ARG2/80</t>
  </si>
  <si>
    <t>PAT-&gt;ARG1/276,ARG2/80</t>
  </si>
  <si>
    <t>ACT-&gt;ARG0/61,ARG1/1,ARG2/13</t>
  </si>
  <si>
    <t>ACT-&gt;ARG0/140,ARG1/279</t>
  </si>
  <si>
    <t>ACT-&gt;ARG0/18,ARG1/54,ARG2/80</t>
  </si>
  <si>
    <t>PAT-&gt;ARG1/230,ARG2/80</t>
  </si>
  <si>
    <t>ACT-&gt;ARG0/815</t>
  </si>
  <si>
    <t>PAT-&gt;ARG1/855</t>
  </si>
  <si>
    <t>ACT-&gt;ARG0/4,ARG1/5</t>
  </si>
  <si>
    <t>ACT-&gt;ARG0/313,ARG1/1</t>
  </si>
  <si>
    <t>PAT-&gt;ARG1/540,ARG2/3</t>
  </si>
  <si>
    <t>ADDR-&gt;ARG1/455,ARG2/84</t>
  </si>
  <si>
    <t>PAT-&gt;ARG0/1,ARG1/272,ARG2/1</t>
  </si>
  <si>
    <t>PAT-&gt;ARG1/158,ARG2/28</t>
  </si>
  <si>
    <t>PAT-&gt;ARG0/1,ARG1/596,ARG2/15</t>
  </si>
  <si>
    <t>ACT-&gt;ARG0/103,ARG2/6</t>
  </si>
  <si>
    <t>PAT-&gt;ARG1/213</t>
  </si>
  <si>
    <t>ACT-&gt;ARG0/16,ARG1/32</t>
  </si>
  <si>
    <t>PAT-&gt;ARG1/19,ARG2/24</t>
  </si>
  <si>
    <t>ACT-&gt;ARG0/169,ARG1/286,ARG2/1</t>
  </si>
  <si>
    <t>DIR3-&gt;ARG1/161,ARG2/1</t>
  </si>
  <si>
    <t>LOC-&gt;ARG1/78</t>
  </si>
  <si>
    <t>ACT-&gt;ARG0/187,ARG1/2</t>
  </si>
  <si>
    <t>PAT-&gt;ARG1/205</t>
  </si>
  <si>
    <t>ACT-&gt;ARG0/293</t>
  </si>
  <si>
    <t>ACT-&gt;ARG0/496,ARG1/166</t>
  </si>
  <si>
    <t>PAT-&gt;ARG1/752,ARG2/3</t>
  </si>
  <si>
    <t>ACT-&gt;ARG0/18,ARG1/3817,ARG2/296,ARG3/1</t>
  </si>
  <si>
    <t>LOC-&gt;ARG1/124,ARG2/3551,ARG3/507</t>
  </si>
  <si>
    <t>ACT-&gt;ARG0/1,ARG1/134</t>
  </si>
  <si>
    <t>LOC-&gt;ARG3/92</t>
  </si>
  <si>
    <t>PAT-&gt;ARG1/8,ARG2/1</t>
  </si>
  <si>
    <t>EFF-&gt;ARG1/342,ARG2/1</t>
  </si>
  <si>
    <t>ACT-&gt;ARG0/779,ARG1/2,ARG3/1</t>
  </si>
  <si>
    <t>PAT-&gt;ARG0/1,ARG1/879,ARG2/60,ARG3/144</t>
  </si>
  <si>
    <t>ADDR-&gt;ARG1/10,ARG2/176,ARG3/86</t>
  </si>
  <si>
    <t>EFF-&gt;ARG1/112,ARG2/2,ARG3/1</t>
  </si>
  <si>
    <t>ACT-&gt;ARG0/1222,ARG2/1</t>
  </si>
  <si>
    <t>PAT-&gt;ARG1/1716,ARG2/12</t>
  </si>
  <si>
    <t>ADDR-&gt;ARG1/49,ARG2/1150,ARG4/2</t>
  </si>
  <si>
    <t>ACT-&gt;ARG0/826,ARG1/187,ARG2/9</t>
  </si>
  <si>
    <t>PAT-&gt;ARG1/1094,ARG2/1</t>
  </si>
  <si>
    <t>ADDR-&gt;ARG1/22,ARG2/77,ARG3/34</t>
  </si>
  <si>
    <t>PAT-&gt;ARG1/175</t>
  </si>
  <si>
    <t>EFF-&gt;ARG1/169</t>
  </si>
  <si>
    <t>ACT-&gt;ARG0/189</t>
  </si>
  <si>
    <t>ACT-&gt;ARG0/572,ARG1/2</t>
  </si>
  <si>
    <t>CPHR-&gt;ARG1/767,ARG2/53,ARG3/1</t>
  </si>
  <si>
    <t>ACT-&gt;ARG0/549,ARG1/2,ARG2/3</t>
  </si>
  <si>
    <t>CPHR-&gt;ARG1/381</t>
  </si>
  <si>
    <t>ADDR-&gt;ARG1/477,ARG2/161,ARG3/34</t>
  </si>
  <si>
    <t>ACT-&gt;ARG0/808,ARG1/3,ARG2/3</t>
  </si>
  <si>
    <t>CPHR-&gt;ARG1/1148,ARG2/53,ARG3/1</t>
  </si>
  <si>
    <t>ADDR-&gt;ARG1/32,ARG2/253,ARG3/120</t>
  </si>
  <si>
    <t>ACT-&gt;ARG0/905,ARG1/20,ARG2/3</t>
  </si>
  <si>
    <t>CPHR-&gt;ARG0/1,ARG1/699,ARG2/101</t>
  </si>
  <si>
    <t>ADDR-&gt;ARG1/581,ARG2/283,ARG3/34</t>
  </si>
  <si>
    <t>ACT-&gt;ARG0/236,ARG1/1,ARG2/3</t>
  </si>
  <si>
    <t>ACT-&gt;ARG0/97,ARG1/4</t>
  </si>
  <si>
    <t>ADDR-&gt;ARG1/103</t>
  </si>
  <si>
    <t>PAT-&gt;ARG1/767,ARG2/53,ARG3/1</t>
  </si>
  <si>
    <t>PAT-&gt;ARG1/3,ARG2/16</t>
  </si>
  <si>
    <t>ACT-&gt;ARG0/10,ARG1/3</t>
  </si>
  <si>
    <t>PAT-&gt;ARG1/8,ARG2/6</t>
  </si>
  <si>
    <t>ACT-&gt;ARG0/21,ARG1/50</t>
  </si>
  <si>
    <t>PAT-&gt;ARG1/23,ARG2/37</t>
  </si>
  <si>
    <t>ACT-&gt;ARG0/448,ARG1/1</t>
  </si>
  <si>
    <t>PAT-&gt;ARG1/455,ARG2/4,ARG3/1</t>
  </si>
  <si>
    <t>ADDR-&gt;ARG1/9,ARG2/483,ARG4/2</t>
  </si>
  <si>
    <t>PAT-&gt;ARG1/381</t>
  </si>
  <si>
    <t>PAT-&gt;ARG1/425,ARG2/2</t>
  </si>
  <si>
    <t>ADDR-&gt;ARG1/6,ARG2/355,ARG4/2</t>
  </si>
  <si>
    <t>ACT-&gt;ARG0/384,ARG1/1</t>
  </si>
  <si>
    <t>CPHR-&gt;ARG1/56,ARG2/30</t>
  </si>
  <si>
    <t>ADDR-&gt;ARG1/499,ARG2/107</t>
  </si>
  <si>
    <t>ACT-&gt;ARG0/98,ARG1/4</t>
  </si>
  <si>
    <t>ADDR-&gt;ARG1/105</t>
  </si>
  <si>
    <t>ACT-&gt;ARG0/621,ARG1/2,ARG2/3</t>
  </si>
  <si>
    <t>CPHR-&gt;ARG1/415,ARG2/94</t>
  </si>
  <si>
    <t>ADDR-&gt;ARG1/554,ARG2/162,ARG3/34</t>
  </si>
  <si>
    <t>ADDR-&gt;ARG0/52,ARG1/1</t>
  </si>
  <si>
    <t>CPHR-&gt;ARG1/113</t>
  </si>
  <si>
    <t>ACT-&gt;ARG0/1491,ARG1/2,ARG2/1</t>
  </si>
  <si>
    <t>PAT-&gt;ARG1/2058,ARG2/63,ARG3/1</t>
  </si>
  <si>
    <t>ADDR-&gt;ARG1/53,ARG2/971,ARG3/86</t>
  </si>
  <si>
    <t>PAT-&gt;ARG1/174,ARG2/204</t>
  </si>
  <si>
    <t>ADDR-&gt;ARG1/221,ARG2/5</t>
  </si>
  <si>
    <t>ACT-&gt;ARG0/202,ARG1/18</t>
  </si>
  <si>
    <t>ADDR-&gt;ARG1/27,ARG2/50</t>
  </si>
  <si>
    <t>PAT-&gt;ARG0/1,ARG1/166,ARG2/7</t>
  </si>
  <si>
    <t>DPHR-&gt;ARG1/381</t>
  </si>
  <si>
    <t>PAT-&gt;ARG1/22,ARG2/77,ARG3/34</t>
  </si>
  <si>
    <t>DIR1-&gt;ARG1/3,ARG2/156</t>
  </si>
  <si>
    <t>MANN-&gt;ARG1/3,ARG2/156</t>
  </si>
  <si>
    <t>ACMP-&gt;ARG1/3,ARG2/156</t>
  </si>
  <si>
    <t>CRIT-&gt;ARG1/3,ARG2/156</t>
  </si>
  <si>
    <t>CPR-&gt;ARG1/3,ARG2/156</t>
  </si>
  <si>
    <t>DIR3-&gt;ARG1/76,ARG2/1</t>
  </si>
  <si>
    <t>ACT-&gt;ARG0/1383,ARG1/5</t>
  </si>
  <si>
    <t>CPHR-&gt;ARG1/1413,ARG2/2</t>
  </si>
  <si>
    <t>ACT-&gt;ARG0/20,ARG2/5</t>
  </si>
  <si>
    <t>ACT-&gt;ARG0/472,ARG1/1</t>
  </si>
  <si>
    <t>ACT-&gt;ARG0/241</t>
  </si>
  <si>
    <t>ACT-&gt;ARG0/69,ARG1/79</t>
  </si>
  <si>
    <t>ACT-&gt;ARG0/12,ARG1/117</t>
  </si>
  <si>
    <t>ORIG-&gt;ARG1/5,ARG2/159,ARG3/8</t>
  </si>
  <si>
    <t>ACT-&gt;ARG0/439,ARG1/5,ARG2/21</t>
  </si>
  <si>
    <t>PAT-&gt;ARG0/1,ARG1/286,ARG2/145,ARG3/4</t>
  </si>
  <si>
    <t>ACT-&gt;ARG0/13,ARG1/168</t>
  </si>
  <si>
    <t>ACT-&gt;ARG0/4,ARG1/1,ARG2/2</t>
  </si>
  <si>
    <t>PAT-&gt;ARG1/10,ARG2/4</t>
  </si>
  <si>
    <t>ACT-&gt;ARG0/278,ARG1/6</t>
  </si>
  <si>
    <t>PAT-&gt;ARG1/654</t>
  </si>
  <si>
    <t>PAT-&gt;ARG0/1,ARG1/127</t>
  </si>
  <si>
    <t>PAT-&gt;ARG0/2,ARG1/28</t>
  </si>
  <si>
    <t>ACT-&gt;ARG0/717,ARG1/8,ARG3/9</t>
  </si>
  <si>
    <t>PAT-&gt;ARG1/952,ARG2/17</t>
  </si>
  <si>
    <t>ACT-&gt;ARG0/56,ARG1/1</t>
  </si>
  <si>
    <t>ACT-&gt;ARG0/182,ARG1/101,ARG3/6</t>
  </si>
  <si>
    <t>LOC-&gt;ARG1/232</t>
  </si>
  <si>
    <t>ACT-&gt;ARG0/4,ARG1/193</t>
  </si>
  <si>
    <t>ACT-&gt;ARG0/30,ARG1/28,ARG2/1</t>
  </si>
  <si>
    <t>DIR3-&gt;ARG1/26,ARG2/1</t>
  </si>
  <si>
    <t>PAT-&gt;ARG1/26,ARG2/1</t>
  </si>
  <si>
    <t>ACT-&gt;ARG0/4,ARG1/30</t>
  </si>
  <si>
    <t>PAT-&gt;ARG1/48,ARG2/6</t>
  </si>
  <si>
    <t>ACT-&gt;ARG0/4,ARG1/29</t>
  </si>
  <si>
    <t>DIR3-&gt;ARG1/48,ARG2/3</t>
  </si>
  <si>
    <t>ACT-&gt;ARG0/4,ARG1/45</t>
  </si>
  <si>
    <t>PAT-&gt;ARG1/61,ARG2/3</t>
  </si>
  <si>
    <t>ACT-&gt;ARG0/7,ARG1/33</t>
  </si>
  <si>
    <t>ACT-&gt;ARG0/11,ARG1/233</t>
  </si>
  <si>
    <t>PAT-&gt;ARG1/5,ARG2/2</t>
  </si>
  <si>
    <t>LOC-&gt;ARG1/8</t>
  </si>
  <si>
    <t>ACT-&gt;ARG0/754,ARG1/7,ARG2/9</t>
  </si>
  <si>
    <t>PAT-&gt;ARG1/987,ARG2/42,ARG3/46</t>
  </si>
  <si>
    <t>ADDR-&gt;ARG0/2,ARG1/122,ARG2/301,ARG3/8</t>
  </si>
  <si>
    <t>ACT-&gt;ARG0/46,ARG1/29,ARG2/6</t>
  </si>
  <si>
    <t>DIR3-&gt;ARG1/57,ARG2/2</t>
  </si>
  <si>
    <t>ACT-&gt;ARG0/4,ARG1/19</t>
  </si>
  <si>
    <t>PAT-&gt;ARG0/170,ARG1/3</t>
  </si>
  <si>
    <t>EFF-&gt;ARG1/37</t>
  </si>
  <si>
    <t>PAT-&gt;ARG1/141,ARG3/1</t>
  </si>
  <si>
    <t>PAT-&gt;ARG1/601</t>
  </si>
  <si>
    <t>ACT-&gt;ARG0/62,ARG1/73</t>
  </si>
  <si>
    <t>PAT-&gt;ARG1/71,ARG2/71</t>
  </si>
  <si>
    <t>PAT-&gt;ARG1/44,ARG2/2</t>
  </si>
  <si>
    <t>PAT-&gt;ARG1/179,ARG2/12,ARG3/1</t>
  </si>
  <si>
    <t>ADDR-&gt;ARG1/2,ARG2/11,ARG3/1</t>
  </si>
  <si>
    <t>ACT-&gt;ARG0/21,ARG1/1095,ARG2/29</t>
  </si>
  <si>
    <t>DIR3-&gt;ARG0/6,ARG1/6,ARG2/492</t>
  </si>
  <si>
    <t>ACT-&gt;ARG0/661,ARG1/20,ARG3/9</t>
  </si>
  <si>
    <t>PAT-&gt;ARG1/875,ARG2/17</t>
  </si>
  <si>
    <t>PAT-&gt;ARG1/133,ARG3/1</t>
  </si>
  <si>
    <t>ACT-&gt;ARG0/54,ARG1/2,ARG3/19</t>
  </si>
  <si>
    <t>PAT-&gt;ARG0/10,ARG1/179,ARG2/2</t>
  </si>
  <si>
    <t>ACT-&gt;ARG0/18,ARG1/3</t>
  </si>
  <si>
    <t>ACT-&gt;ARG0/91,ARG1/206,ARG2/3</t>
  </si>
  <si>
    <t>PAT-&gt;ARG0/2,ARG1/3,ARG2/10,ARG3/1</t>
  </si>
  <si>
    <t>EFF-&gt;ARG1/241,ARG2/55,ARG3/10</t>
  </si>
  <si>
    <t>ACT-&gt;ARG0/2,ARG1/3,ARG2/10,ARG3/1</t>
  </si>
  <si>
    <t>PAT-&gt;ARG0/91,ARG1/206,ARG2/3</t>
  </si>
  <si>
    <t>MANN-&gt;ARG1/241,ARG2/55,ARG3/10</t>
  </si>
  <si>
    <t>PAT-&gt;ARG1/252,ARG2/13</t>
  </si>
  <si>
    <t>PAT-&gt;ARG1/161,ARG2/7</t>
  </si>
  <si>
    <t>EFF-&gt;ARG1/1,ARG2/81</t>
  </si>
  <si>
    <t>ACT-&gt;ARG1/232,ARG2/3</t>
  </si>
  <si>
    <t>PAT-&gt;ARG1/1,ARG2/382,ARG3/10</t>
  </si>
  <si>
    <t>ACT-&gt;ARG0/664,ARG1/44,ARG2/18,ARG3/1</t>
  </si>
  <si>
    <t>PAT-&gt;ARG0/1,ARG1/783,ARG2/70,ARG3/1</t>
  </si>
  <si>
    <t>ACT-&gt;ARG0/80,ARG1/15</t>
  </si>
  <si>
    <t>DIR2-&gt;ARG1/10</t>
  </si>
  <si>
    <t>ACT-&gt;ARG0/793,ARG1/298,ARG2/18,ARG3/1</t>
  </si>
  <si>
    <t>DIR3-&gt;ARG0/1,ARG1/911,ARG2/59,ARG3/1</t>
  </si>
  <si>
    <t>ACT-&gt;ARG0/25,ARG1/102</t>
  </si>
  <si>
    <t>PAT-&gt;ARG0/111,ARG1/15,ARGM-MNR/2</t>
  </si>
  <si>
    <t>ACT-&gt;ARG0/11,ARG1/1938,ARG2/8</t>
  </si>
  <si>
    <t>PAT-&gt;ARG1/9,ARG2/48,ARG4/1380</t>
  </si>
  <si>
    <t>ORIG-&gt;ARG3/540,ARG4/1</t>
  </si>
  <si>
    <t>EFF-&gt;ARG1/2,ARG2/18</t>
  </si>
  <si>
    <t>ACT-&gt;ARG0/198,ARG1/3154,ARG2/10</t>
  </si>
  <si>
    <t>PAT-&gt;ARG1/219,ARG2/31,ARG4/1778,ARGM-LOC/4</t>
  </si>
  <si>
    <t>ORIG-&gt;ARG3/543,ARG4/10,ARGM-LOC/2</t>
  </si>
  <si>
    <t>CPHR-&gt;ARG1/212,ARG2/1</t>
  </si>
  <si>
    <t>ACT-&gt;ARG0/40,ARG2/3</t>
  </si>
  <si>
    <t>ACT-&gt;ARG0/206</t>
  </si>
  <si>
    <t>ADDR-&gt;ARG1/13,ARG2/1,ARG3/45</t>
  </si>
  <si>
    <t>ACT-&gt;ARG0/20,ARG1/5</t>
  </si>
  <si>
    <t>PAT-&gt;ARG1/62,ARG2/2</t>
  </si>
  <si>
    <t>EFF-&gt;ARG1/7,ARG2/29,ARG3/1</t>
  </si>
  <si>
    <t>PAT-&gt;ARG1/121</t>
  </si>
  <si>
    <t>ACT-&gt;ARG0/89,ARG2/3</t>
  </si>
  <si>
    <t>ACT-&gt;ARG0/298,ARG1/3,ARG3/1</t>
  </si>
  <si>
    <t>CPHR-&gt;ARG1/395</t>
  </si>
  <si>
    <t>ACT-&gt;ARG0/29,ARG1/95,ARG2/12</t>
  </si>
  <si>
    <t>PAT-&gt;ARG1/19,ARG2/98</t>
  </si>
  <si>
    <t>ACT-&gt;ARG0/124,ARG1/1</t>
  </si>
  <si>
    <t>PAT-&gt;ARG1/256</t>
  </si>
  <si>
    <t>ADDR-&gt;ARG1/1,ARG2/22</t>
  </si>
  <si>
    <t>PAT-&gt;ARG1/54,ARG2/2</t>
  </si>
  <si>
    <t>ACT-&gt;ARG0/1,ARG1/47</t>
  </si>
  <si>
    <t>PAT-&gt;ARG0/29,ARG1/1,ARG2/1</t>
  </si>
  <si>
    <t>ACT-&gt;ARG0/522,ARG1/5,ARG2/3</t>
  </si>
  <si>
    <t>PAT-&gt;ARG1/918,ARG3/1,ARG4/5</t>
  </si>
  <si>
    <t>ACT-&gt;ARG0/1,ARG1/51</t>
  </si>
  <si>
    <t>PAT-&gt;ARG1/8,ARG2/11,ARG3/1</t>
  </si>
  <si>
    <t>ACT-&gt;ARG0/533</t>
  </si>
  <si>
    <t>PAT-&gt;ARG1/740,ARG2/11</t>
  </si>
  <si>
    <t>ACT-&gt;ARG1/592,ARG2/2</t>
  </si>
  <si>
    <t>LOC-&gt;ARG1/38,ARG2/135,ARG4/38,ARGM-EXT/392,ARGM-MNR/281</t>
  </si>
  <si>
    <t>MANN-&gt;ARG1/38,ARG2/135,ARG4/38,ARGM-EXT/392,ARGM-MNR/281</t>
  </si>
  <si>
    <t>ACMP-&gt;ARG1/38,ARG2/135,ARG4/38,ARGM-EXT/392,ARGM-MNR/281</t>
  </si>
  <si>
    <t>PAT-&gt;ARG1/24,ARG2/2</t>
  </si>
  <si>
    <t>ACT-&gt;ARG0/7,ARG1/24,ARG2/2</t>
  </si>
  <si>
    <t>ACT-&gt;ARG0/506,ARG1/1</t>
  </si>
  <si>
    <t>PAT-&gt;ARG0/2,ARG1/927,ARG3/1</t>
  </si>
  <si>
    <t>ACT-&gt;ARG0/17,ARG1/6</t>
  </si>
  <si>
    <t>PAT-&gt;ARG1/37,ARG2/2</t>
  </si>
  <si>
    <t>EFF-&gt;ARG1/2,ARG2/15</t>
  </si>
  <si>
    <t>PAT-&gt;ARG1/2,ARG2/14</t>
  </si>
  <si>
    <t>ACT-&gt;ARG0/533,ARG1/20</t>
  </si>
  <si>
    <t>PAT-&gt;ARG1/1036,ARG2/9,ARG4/13</t>
  </si>
  <si>
    <t>ORIG-&gt;ARG2/1,ARG3/75,ARG4/2</t>
  </si>
  <si>
    <t>EFF-&gt;ARG2/56,ARG3/1,ARG4/123,ARG5/1</t>
  </si>
  <si>
    <t>ACT-&gt;ARG0/11,ARG2/3</t>
  </si>
  <si>
    <t>PAT-&gt;ARG0/2,ARG1/42</t>
  </si>
  <si>
    <t>ACT-&gt;ARG0/177,ARG1/67,ARG2/17</t>
  </si>
  <si>
    <t>PAT-&gt;ARG1/354,ARG4/70</t>
  </si>
  <si>
    <t>ACT-&gt;ARG0/15,ARG1/14</t>
  </si>
  <si>
    <t>PAT-&gt;ARG1/23,ARG2/22</t>
  </si>
  <si>
    <t>ADDR-&gt;ARG1/13,ARG2/12</t>
  </si>
  <si>
    <t>ACT-&gt;ARG0/15,ARG1/27,ARG2/12</t>
  </si>
  <si>
    <t>DIR3-&gt;ARG1/23,ARG2/22</t>
  </si>
  <si>
    <t>ACT-&gt;ARG0/10,ARG1/65</t>
  </si>
  <si>
    <t>ACT-&gt;ARG0/58,ARG1/33</t>
  </si>
  <si>
    <t>PAT-&gt;ARG0/16,ARG1/63,ARG2/9</t>
  </si>
  <si>
    <t>ACT-&gt;ARG0/319,ARG1/1</t>
  </si>
  <si>
    <t>PAT-&gt;ARG1/570,ARG2/3</t>
  </si>
  <si>
    <t>ACT-&gt;ARG0/2,ARG1/40</t>
  </si>
  <si>
    <t>PAT-&gt;ARG1/38,ARG2/4</t>
  </si>
  <si>
    <t>ACT-&gt;ARG0/3,ARG1/147,ARG2/1,ARGM-LOC/1</t>
  </si>
  <si>
    <t>LOC-&gt;ARG1/5,ARG2/29,ARGM-LOC/137</t>
  </si>
  <si>
    <t>ACT-&gt;ARG0/8,ARG2/3</t>
  </si>
  <si>
    <t>PAT-&gt;ARG1/129,ARG2/1</t>
  </si>
  <si>
    <t>ACT-&gt;ARG0/72,ARG1/2,ARG2/1</t>
  </si>
  <si>
    <t>ADDR-&gt;ARG0/1,ARG1/60,ARG2/5,ARG3/1</t>
  </si>
  <si>
    <t>PAT-&gt;ARG0/2,ARG1/96,ARG2/9,ARG3/2</t>
  </si>
  <si>
    <t>ACT-&gt;ARG3/3</t>
  </si>
  <si>
    <t>PAT-&gt;ARG1/5,ARG2/16</t>
  </si>
  <si>
    <t>ACT-&gt;ARG0/12571,ARG1/38</t>
  </si>
  <si>
    <t>PAT-&gt;ARG0/4,ARG1/11096,ARG2/4,ARG3/29</t>
  </si>
  <si>
    <t>PAT-&gt;ARG1/179,ARG2/156</t>
  </si>
  <si>
    <t>ACT-&gt;ARG0/73,ARG1/64</t>
  </si>
  <si>
    <t>LOC-&gt;ARG1/88,ARG2/2</t>
  </si>
  <si>
    <t>ACT-&gt;ARG0/518,ARG1/4,ARG2/164</t>
  </si>
  <si>
    <t>PAT-&gt;ARG1/966,ARG2/13</t>
  </si>
  <si>
    <t>ACT-&gt;ARG0/18,ARG1/3,ARG2/2</t>
  </si>
  <si>
    <t>LOC-&gt;ARG1/11,ARG2/1</t>
  </si>
  <si>
    <t>ACT-&gt;ARG0/25,ARG1/2</t>
  </si>
  <si>
    <t>ACT-&gt;ARG1/144</t>
  </si>
  <si>
    <t>ACT-&gt;ARG0/13,ARG2/3</t>
  </si>
  <si>
    <t>PAT-&gt;ARG0/2,ARG1/45</t>
  </si>
  <si>
    <t>ACT-&gt;ARG0/267,ARG1/1</t>
  </si>
  <si>
    <t>PAT-&gt;ARG0/1,ARG1/306</t>
  </si>
  <si>
    <t>ACT-&gt;ARG0/723,ARG1/8,ARG2/3</t>
  </si>
  <si>
    <t>PAT-&gt;ARG1/1203,ARG2/4,ARG3/1,ARG4/5</t>
  </si>
  <si>
    <t>ORIG-&gt;ARG1/14,ARG2/41</t>
  </si>
  <si>
    <t>ACT-&gt;ARG0/643</t>
  </si>
  <si>
    <t>PAT-&gt;ARG1/669,ARG2/3</t>
  </si>
  <si>
    <t>PAT-&gt;ARG1/188,ARG2/6</t>
  </si>
  <si>
    <t>PAT-&gt;ARG1/14,ARG2/1</t>
  </si>
  <si>
    <t>PAT-&gt;ARG1/214</t>
  </si>
  <si>
    <t>ACT-&gt;ARG0/215,ARG1/3</t>
  </si>
  <si>
    <t>PAT-&gt;ARG1/14,ARG2/36</t>
  </si>
  <si>
    <t>PAT-&gt;ARG1/113,ARG2/4</t>
  </si>
  <si>
    <t>ACT-&gt;ARG0/406,ARG1/7</t>
  </si>
  <si>
    <t>PAT-&gt;ARG1/438,ARG2/51</t>
  </si>
  <si>
    <t>ACT-&gt;ARG0/17,ARG1/1</t>
  </si>
  <si>
    <t>PAT-&gt;ARG1/5,ARG2/36</t>
  </si>
  <si>
    <t>ACT-&gt;ARG0/324,ARG1/3</t>
  </si>
  <si>
    <t>ACT-&gt;ARG0/820,ARG1/3,ARG2/38</t>
  </si>
  <si>
    <t>PAT-&gt;ARG0/2,ARG1/1116,ARG2/2</t>
  </si>
  <si>
    <t>PAT-&gt;ARG0/1,ARG1/810,ARG2/2</t>
  </si>
  <si>
    <t>ACT-&gt;ARG0/608,ARG1/11,ARG2/8</t>
  </si>
  <si>
    <t>PAT-&gt;ARG1/736,ARG2/2</t>
  </si>
  <si>
    <t>ACT-&gt;ARG0/68,ARG1/2</t>
  </si>
  <si>
    <t>PAT-&gt;ARG1/34,ARG2/2</t>
  </si>
  <si>
    <t>PAT-&gt;ARG1/239,ARG2/1,ARG3/5</t>
  </si>
  <si>
    <t>EFF-&gt;ARG1/190,ARG2/71,ARG3/35</t>
  </si>
  <si>
    <t>ACT-&gt;ARG0/24,ARG2/8</t>
  </si>
  <si>
    <t>ACT-&gt;ARG0/1,ARG1/135,ARG2/2</t>
  </si>
  <si>
    <t>PAT-&gt;ARG1/2,ARG2/35</t>
  </si>
  <si>
    <t>ACT-&gt;ARG0/58,ARG1/325,ARG2/2</t>
  </si>
  <si>
    <t>EXT-&gt;ARG0/3,ARG1/52,ARG2/405,ARG3/22</t>
  </si>
  <si>
    <t>ACT-&gt;ARG0/10,ARG1/1902,ARG2/8</t>
  </si>
  <si>
    <t>ACT-&gt;ARG0/559,ARG1/8</t>
  </si>
  <si>
    <t>PAT-&gt;ARG1/633,ARG2/51</t>
  </si>
  <si>
    <t>ACT-&gt;ARG0/291,ARG1/2</t>
  </si>
  <si>
    <t>PAT-&gt;ARG0/1,ARG1/397</t>
  </si>
  <si>
    <t>ACT-&gt;ARG0/57,ARG1/63,ARG2/1</t>
  </si>
  <si>
    <t>LOC-&gt;ARG1/59</t>
  </si>
  <si>
    <t>ACT-&gt;ARG0/5,ARG2/4</t>
  </si>
  <si>
    <t>EFF-&gt;ARG0/1,ARG1/7,ARG2/1</t>
  </si>
  <si>
    <t>PAT-&gt;ARG0/1,ARG1/7,ARG2/1</t>
  </si>
  <si>
    <t>ACT-&gt;ARG0/158,ARG1/1</t>
  </si>
  <si>
    <t>PAT-&gt;ARG1/18,ARG2/4</t>
  </si>
  <si>
    <t>ADDR-&gt;ARG1/3,ARG2/14,ARG3/1,ARG4/79</t>
  </si>
  <si>
    <t>ACT-&gt;ARG0/280,ARG1/6</t>
  </si>
  <si>
    <t>PAT-&gt;ARG1/504,ARG2/1,ARG4/6</t>
  </si>
  <si>
    <t>ORIG-&gt;ARG3/43</t>
  </si>
  <si>
    <t>EFF-&gt;ARG2/4,ARG4/94</t>
  </si>
  <si>
    <t>BEN-&gt;ARG1/3,ARG2/156</t>
  </si>
  <si>
    <t>MEANS-&gt;ARG1/3,ARG2/156</t>
  </si>
  <si>
    <t>ACT-&gt;ARG0/114,ARG2/21</t>
  </si>
  <si>
    <t>PAT-&gt;ARG1/173,ARG2/1</t>
  </si>
  <si>
    <t>ACT-&gt;ARG0/15,ARG1/20,ARG2/5</t>
  </si>
  <si>
    <t>ACT-&gt;ARG0/21,ARG1/11,ARG2/23</t>
  </si>
  <si>
    <t>PAT-&gt;ARG1/171,ARG2/3</t>
  </si>
  <si>
    <t>CPHR-&gt;ARG0/1,ARG1/397</t>
  </si>
  <si>
    <t>ADDR-&gt;ARG1/5,ARG2/1</t>
  </si>
  <si>
    <t>PAT-&gt;ARG0/9,ARG1/8</t>
  </si>
  <si>
    <t>LOC-&gt;ARG1/30,ARG2/1</t>
  </si>
  <si>
    <t>PAT-&gt;ARG1/75,ARG2/180</t>
  </si>
  <si>
    <t>ACT-&gt;ARG0/161,ARG1/1,ARG2/4</t>
  </si>
  <si>
    <t>PAT-&gt;ARG0/1,ARG1/262,ARG2/4</t>
  </si>
  <si>
    <t>DIR3-&gt;ARG1/4,ARG2/2</t>
  </si>
  <si>
    <t>DIR3-&gt;ARG1/11,ARG2/1</t>
  </si>
  <si>
    <t>ACT-&gt;ARG0/356,ARG1/4,ARG2/3</t>
  </si>
  <si>
    <t>PAT-&gt;ARG1/396,ARG2/22,ARG3/3</t>
  </si>
  <si>
    <t>ACT-&gt;ARG0/144,ARG1/2</t>
  </si>
  <si>
    <t>PAT-&gt;ARG1/152,ARG2/13</t>
  </si>
  <si>
    <t>PAT-&gt;ARG0/1,ARG1/12,ARG2/1</t>
  </si>
  <si>
    <t>EFF-&gt;ARG0/2,ARG2/7</t>
  </si>
  <si>
    <t>ACT-&gt;ARG0/5,ARG1/2,ARG2/5</t>
  </si>
  <si>
    <t>ACT-&gt;ARG0/12,ARG1/20</t>
  </si>
  <si>
    <t>DIR3-&gt;ARG1/14,ARG2/3</t>
  </si>
  <si>
    <t>ACT-&gt;ARG0/626,ARG1/7,ARG3/9</t>
  </si>
  <si>
    <t>PAT-&gt;ARG1/842,ARG2/17</t>
  </si>
  <si>
    <t>ACT-&gt;ARG0/442,ARG1/3</t>
  </si>
  <si>
    <t>ADDR-&gt;ARG1/277,ARG2/59</t>
  </si>
  <si>
    <t>PAT-&gt;ARG0/1,ARG1/361</t>
  </si>
  <si>
    <t>PAT-&gt;ARG1/49,ARG2/5</t>
  </si>
  <si>
    <t>ACT-&gt;ARG0/417,ARG1/1</t>
  </si>
  <si>
    <t>PAT-&gt;ARG0/1,ARG1/460</t>
  </si>
  <si>
    <t>EFF-&gt;ARG0/1,ARG1/460</t>
  </si>
  <si>
    <t>PAT-&gt;ARG1/24,ARG2/8</t>
  </si>
  <si>
    <t>ACT-&gt;ARG0/3,ARG2/64</t>
  </si>
  <si>
    <t>ACT-&gt;ARG0/24,ARG1/10,ARG2/7</t>
  </si>
  <si>
    <t>DIR3-&gt;ARG1/15,ARG2/1</t>
  </si>
  <si>
    <t>ACT-&gt;ARG0/298,ARG1/19,ARG2/1</t>
  </si>
  <si>
    <t>PAT-&gt;ARG0/3,ARG1/412</t>
  </si>
  <si>
    <t>ACT-&gt;ARG0/460,ARG1/3,ARG2/121</t>
  </si>
  <si>
    <t>PAT-&gt;ARG1/777,ARG2/4</t>
  </si>
  <si>
    <t>DPHR-&gt;ARG1/25</t>
  </si>
  <si>
    <t>DIR3-&gt;ARG1/19,ARG2/98</t>
  </si>
  <si>
    <t>DIR3-&gt;ARG1/232</t>
  </si>
  <si>
    <t>ACT-&gt;ARG0/22,ARG1/7,ARG2/2</t>
  </si>
  <si>
    <t>PAT-&gt;ARG1/40,ARG2/11</t>
  </si>
  <si>
    <t>ADDR-&gt;ARG1/13,ARG2/19</t>
  </si>
  <si>
    <t>ACT-&gt;ARG0/11,ARG1/1,ARG2/5</t>
  </si>
  <si>
    <t>PAT-&gt;ARG1/178,ARG2/2</t>
  </si>
  <si>
    <t>PAT-&gt;ARG1/183,ARG2/2</t>
  </si>
  <si>
    <t>DIR3-&gt;ARG1/1,ARG2/17</t>
  </si>
  <si>
    <t>ACT-&gt;ARG0/6,ARG1/28</t>
  </si>
  <si>
    <t>ADDR-&gt;ARG1/3,ARG2/16,ARG3/7</t>
  </si>
  <si>
    <t>PAT-&gt;ARG0/1,ARG1/248,ARG2/1,ARG3/1</t>
  </si>
  <si>
    <t>PAT-&gt;ARG1/81,ARG4/3</t>
  </si>
  <si>
    <t>ACT-&gt;ARG0/632,ARG1/1</t>
  </si>
  <si>
    <t>PAT-&gt;ARG0/1,ARG1/705</t>
  </si>
  <si>
    <t>ADDR-&gt;ARG0/1,ARG2/5</t>
  </si>
  <si>
    <t>EFF-&gt;ARG0/1,ARG1/705</t>
  </si>
  <si>
    <t>ACT-&gt;ARG0/2,ARG1/243</t>
  </si>
  <si>
    <t>PAT-&gt;ARG1/232,ARG2/3</t>
  </si>
  <si>
    <t>EFF-&gt;ARG1/1,ARG2/382,ARG3/10</t>
  </si>
  <si>
    <t>MANN-&gt;ARG1/1,ARG2/382,ARG3/10</t>
  </si>
  <si>
    <t>ACT-&gt;ARG0/55,ARG1/6</t>
  </si>
  <si>
    <t>PAT-&gt;ARG1/116,ARG2/2</t>
  </si>
  <si>
    <t>EFF-&gt;ARG1/2,ARG2/17,ARG3/1</t>
  </si>
  <si>
    <t>ACT-&gt;ARG0/113,ARG1/1</t>
  </si>
  <si>
    <t>PAT-&gt;ARG0/5,ARG1/20</t>
  </si>
  <si>
    <t>PAT-&gt;ARG1/455,ARG2/84</t>
  </si>
  <si>
    <t>EFF-&gt;ARG1/540,ARG2/3</t>
  </si>
  <si>
    <t>ACT-&gt;ARG0/108,ARG1/14</t>
  </si>
  <si>
    <t>PAT-&gt;ARG1/199,ARG2/1</t>
  </si>
  <si>
    <t>ACT-&gt;ARG0/258,ARG1/1,ARG2/21</t>
  </si>
  <si>
    <t>PAT-&gt;ARG0/2,ARG1/120</t>
  </si>
  <si>
    <t>ACT-&gt;ARG1/919,ARG2/2</t>
  </si>
  <si>
    <t>DIR3-&gt;ARG0/6,ARG1/3,ARG2/427</t>
  </si>
  <si>
    <t>ACT-&gt;ARG0/19,ARG1/44</t>
  </si>
  <si>
    <t>DPHR-&gt;ARG1/654</t>
  </si>
  <si>
    <t>ACT-&gt;ARG0/145,ARG1/1</t>
  </si>
  <si>
    <t>PAT-&gt;ARG1/3,ARG2/128</t>
  </si>
  <si>
    <t>ACT-&gt;ARG0/3,ARG1/16</t>
  </si>
  <si>
    <t>ACT-&gt;ARG1/127</t>
  </si>
  <si>
    <t>ACT-&gt;ARG0/6,ARG1/16</t>
  </si>
  <si>
    <t>PAT-&gt;ARG1/3,ARG2/30</t>
  </si>
  <si>
    <t>PAT-&gt;ARG1/70,ARG2/20,ARG3/6</t>
  </si>
  <si>
    <t>ACT-&gt;ARG0/68,ARG1/11</t>
  </si>
  <si>
    <t>ACT-&gt;ARG0/71,ARG1/160</t>
  </si>
  <si>
    <t>ACT-&gt;ARG0/216,ARG1/22,ARG2/80</t>
  </si>
  <si>
    <t>EXT-&gt;ARG0/3,ARG1/52,ARG2/405,ARG3/5</t>
  </si>
  <si>
    <t>PAT-&gt;ARG0/4,ARG1/4</t>
  </si>
  <si>
    <t>ACT-&gt;ARG0/26,ARG2/2</t>
  </si>
  <si>
    <t>ADDR-&gt;ARG1/19,ARG2/98</t>
  </si>
  <si>
    <t>ACT-&gt;ARG0/429,ARG1/6</t>
  </si>
  <si>
    <t>CPHR-&gt;ARG1/591,ARG2/1,ARG3/4</t>
  </si>
  <si>
    <t>ACT-&gt;ARG0/693,ARG1/48</t>
  </si>
  <si>
    <t>ADDR-&gt;ARG1/25,ARG2/37</t>
  </si>
  <si>
    <t>PAT-&gt;ARG1/696,ARG2/8</t>
  </si>
  <si>
    <t>ACT-&gt;ARG0/509,ARG1/21</t>
  </si>
  <si>
    <t>ADDR-&gt;ARG1/17,ARG2/34</t>
  </si>
  <si>
    <t>PAT-&gt;ARG1/27,ARG2/5</t>
  </si>
  <si>
    <t>ACT-&gt;ARG0/114,ARG1/78,ARG2/150</t>
  </si>
  <si>
    <t>PAT-&gt;ARG0/18,ARG1/524,ARG2/123</t>
  </si>
  <si>
    <t>PAT-&gt;ARG1/63,ARG2/6</t>
  </si>
  <si>
    <t>ACT-&gt;ARG0/11,ARG1/2,ARG2/8</t>
  </si>
  <si>
    <t>PAT-&gt;ARG1/34,ARG2/4</t>
  </si>
  <si>
    <t>ACT-&gt;ARG0/663,ARG1/40,ARG2/18,ARG3/1</t>
  </si>
  <si>
    <t>PAT-&gt;ARG0/1,ARG1/785,ARG2/59,ARG3/1</t>
  </si>
  <si>
    <t>PAT-&gt;ARG1/221,ARG2/5</t>
  </si>
  <si>
    <t>ACT-&gt;ARG0/1,ARG1/727,ARG2/4</t>
  </si>
  <si>
    <t>ACT-&gt;ARG0/2,ARG1/813,ARG2/4</t>
  </si>
  <si>
    <t>ACT-&gt;ARG0/336,ARG2/83</t>
  </si>
  <si>
    <t>ACT-&gt;ARG0/9,ARG1/2</t>
  </si>
  <si>
    <t>ACT-&gt;ARG0/232</t>
  </si>
  <si>
    <t>PAT-&gt;ARG0/5,ARG1/454</t>
  </si>
  <si>
    <t>DIR1-&gt;ARG2/11</t>
  </si>
  <si>
    <t>ACT-&gt;ARG0/124,ARG2/3</t>
  </si>
  <si>
    <t>PAT-&gt;ARG1/154,ARG2/2</t>
  </si>
  <si>
    <t>ADDR-&gt;ARG1/11,ARG2/145</t>
  </si>
  <si>
    <t>PAT-&gt;ARG1/135,ARG2/2</t>
  </si>
  <si>
    <t>DIR3-&gt;ARG1/7,ARG2/127</t>
  </si>
  <si>
    <t>ACT-&gt;ARG0/332,ARG1/4</t>
  </si>
  <si>
    <t>PAT-&gt;ARG1/767,ARG2/6</t>
  </si>
  <si>
    <t>ACT-&gt;ARG0/354,ARG2/3</t>
  </si>
  <si>
    <t>PAT-&gt;ARG1/614,ARG2/5,ARG3/1</t>
  </si>
  <si>
    <t>PAT-&gt;ARG0/1,ARG1/176</t>
  </si>
  <si>
    <t>ACT-&gt;ARG0/105,ARG1/5</t>
  </si>
  <si>
    <t>ADDR-&gt;ARG1/4,ARG2/18</t>
  </si>
  <si>
    <t>ORIG-&gt;ARG2/9</t>
  </si>
  <si>
    <t>ACT-&gt;ARG1/223,ARG2/4</t>
  </si>
  <si>
    <t>PAT-&gt;ARG0/128,ARG1/3,ARG2/38</t>
  </si>
  <si>
    <t>PAT-&gt;ARG0/1,ARG1/241</t>
  </si>
  <si>
    <t>PAT-&gt;ARG1/48,ARG2/12</t>
  </si>
  <si>
    <t>PAT-&gt;ARG1/126,ARG2/1</t>
  </si>
  <si>
    <t>ACT-&gt;ARG0/12511,ARG1/38</t>
  </si>
  <si>
    <t>ADDR-&gt;ARG1/6,ARG2/332</t>
  </si>
  <si>
    <t>EFF-&gt;ARG0/4,ARG1/10906,ARG2/55,ARG3/29</t>
  </si>
  <si>
    <t>PAT-&gt;ARG0/4,ARG1/10906,ARG2/55,ARG3/29</t>
  </si>
  <si>
    <t>ACT-&gt;ARG0/555,ARG1/12,ARG2/5</t>
  </si>
  <si>
    <t>PAT-&gt;ARG0/8,ARG1/1170,ARG2/3</t>
  </si>
  <si>
    <t>EFF-&gt;ARG2/74</t>
  </si>
  <si>
    <t>ACT-&gt;ARG0/23,ARG2/3</t>
  </si>
  <si>
    <t>ADDR-&gt;ARG1/51</t>
  </si>
  <si>
    <t>PAT-&gt;ARG2/29</t>
  </si>
  <si>
    <t>ACT-&gt;ARG1/601</t>
  </si>
  <si>
    <t>PAT-&gt;ARG0/168</t>
  </si>
  <si>
    <t>DIR1-&gt;ARG3/24</t>
  </si>
  <si>
    <t>ACT-&gt;ARG1/152,ARG2/1</t>
  </si>
  <si>
    <t>ACT-&gt;ARG0/37,ARG3/2</t>
  </si>
  <si>
    <t>PAT-&gt;ARG1/120,ARG2/1,ARG3/1</t>
  </si>
  <si>
    <t>ACT-&gt;ARG0/491,ARG1/18,ARG2/3</t>
  </si>
  <si>
    <t>PAT-&gt;ARG0/1,ARG1/520,ARG2/7</t>
  </si>
  <si>
    <t>ADDR-&gt;ARG1/27,ARG2/52</t>
  </si>
  <si>
    <t>LOC-&gt;ARGM-EXT/25,ARGM-MNR/21</t>
  </si>
  <si>
    <t>MANN-&gt;ARGM-EXT/25,ARGM-MNR/21</t>
  </si>
  <si>
    <t>ACMP-&gt;ARGM-EXT/25,ARGM-MNR/21</t>
  </si>
  <si>
    <t>ACT-&gt;ARG0/26,ARG1/168</t>
  </si>
  <si>
    <t>DIR1-&gt;ARG1/1,ARG2/12</t>
  </si>
  <si>
    <t>ACT-&gt;ARG0/77,ARG1/1,ARG3/18</t>
  </si>
  <si>
    <t>PAT-&gt;ARG1/194,ARG2/2</t>
  </si>
  <si>
    <t>EFF-&gt;ARG1/1,ARG2/43</t>
  </si>
  <si>
    <t>ACT-&gt;ARG0/98,ARG1/6</t>
  </si>
  <si>
    <t>ACT-&gt;ARG0/12,ARG1/2</t>
  </si>
  <si>
    <t>ACT-&gt;ARG0/20,ARG1/6</t>
  </si>
  <si>
    <t>ACT-&gt;ARG0/171</t>
  </si>
  <si>
    <t>PAT-&gt;ARG0/1,ARG1/329,ARG2/1</t>
  </si>
  <si>
    <t>ACT-&gt;ARG0/805</t>
  </si>
  <si>
    <t>PAT-&gt;ARG1/965,ARG2/5,ARG3/4</t>
  </si>
  <si>
    <t>DIR1-&gt;ARG1/3,ARG2/44</t>
  </si>
  <si>
    <t>ACT-&gt;ARG0/43,ARG1/135,ARG3/1</t>
  </si>
  <si>
    <t>ACT-&gt;ARG0/9,ARG1/18</t>
  </si>
  <si>
    <t>ACT-&gt;ARG0/32,ARG1/48,ARG2/1</t>
  </si>
  <si>
    <t>PAT-&gt;ARG0/30,ARG1/49,ARG2/1</t>
  </si>
  <si>
    <t>PAT-&gt;ARG1/56,ARG2/8</t>
  </si>
  <si>
    <t>ACT-&gt;ARG0/463,ARG1/3</t>
  </si>
  <si>
    <t>PAT-&gt;ARG1/940,ARG2/3,ARG4/4</t>
  </si>
  <si>
    <t>ACT-&gt;ARG0/371,ARG1/3</t>
  </si>
  <si>
    <t>PAT-&gt;ARG1/748,ARG2/3,ARG4/4</t>
  </si>
  <si>
    <t>DIR1-&gt;ARG1/93</t>
  </si>
  <si>
    <t>ACT-&gt;ARG0/812,ARG1/23</t>
  </si>
  <si>
    <t>PAT-&gt;ARG1/1592,ARG2/12,ARG4/17</t>
  </si>
  <si>
    <t>ORIG-&gt;ARG2/5,ARG3/101,ARG4/2</t>
  </si>
  <si>
    <t>EFF-&gt;ARG2/92,ARG3/1,ARG4/172,ARG5/1</t>
  </si>
  <si>
    <t>ADDR-&gt;ARG1/129,ARG2/1</t>
  </si>
  <si>
    <t>ACT-&gt;ARG0/76</t>
  </si>
  <si>
    <t>PAT-&gt;ARG0/1,ARG1/14,ARG2/73</t>
  </si>
  <si>
    <t>EFF-&gt;ARG1/91,ARG2/17</t>
  </si>
  <si>
    <t>ACT-&gt;ARG0/187,ARG1/64</t>
  </si>
  <si>
    <t>PAT-&gt;ARG1/4,ARG2/1,ARG3/45,ARG4/1</t>
  </si>
  <si>
    <t>ACT-&gt;ARG0/68,ARG1/3,ARG3/19</t>
  </si>
  <si>
    <t>PAT-&gt;ARG0/10,ARG1/212,ARG2/2</t>
  </si>
  <si>
    <t>EFF-&gt;ARG1/16,ARG2/71,ARG4/3</t>
  </si>
  <si>
    <t>ACT-&gt;ARG0/12,ARG1/1</t>
  </si>
  <si>
    <t>ACT-&gt;ARG0/187,ARG1/5</t>
  </si>
  <si>
    <t>PAT-&gt;ARG1/390,ARG2/2,ARG3/2</t>
  </si>
  <si>
    <t>ACT-&gt;ARG0/328,ARG1/15</t>
  </si>
  <si>
    <t>PAT-&gt;ARG1/563,ARG2/25</t>
  </si>
  <si>
    <t>ADDR-&gt;ARG1/468,ARG2/96</t>
  </si>
  <si>
    <t>PAT-&gt;ARG1/35,ARG2/12</t>
  </si>
  <si>
    <t>ORIG-&gt;ARG1/11,ARG2/25</t>
  </si>
  <si>
    <t>PAT-&gt;ARG1/120,ARG2/10</t>
  </si>
  <si>
    <t>ACT-&gt;ARG0/158,ARG1/95,ARG2/12</t>
  </si>
  <si>
    <t>PAT-&gt;ARG1/207,ARG2/104</t>
  </si>
  <si>
    <t>ACT-&gt;ARG0/441,ARG1/20</t>
  </si>
  <si>
    <t>PAT-&gt;ARG1/844,ARG2/9,ARG4/13</t>
  </si>
  <si>
    <t>ORIG-&gt;ARG3/56,ARG4/1</t>
  </si>
  <si>
    <t>EFF-&gt;ARG2/46,ARG3/1,ARG4/90,ARG5/1</t>
  </si>
  <si>
    <t>ACT-&gt;ARG0/280,ARG2/83</t>
  </si>
  <si>
    <t>ACT-&gt;ARG0/1,ARG1/86</t>
  </si>
  <si>
    <t>ACT-&gt;ARG0/193,ARG1/1533,ARG2/5</t>
  </si>
  <si>
    <t>PAT-&gt;ARG1/219,ARG2/16,ARG4/890,ARGM-LOC/2</t>
  </si>
  <si>
    <t>ORIG-&gt;ARG3/273,ARG4/5,ARGM-LOC/1</t>
  </si>
  <si>
    <t>ACT-&gt;ARG0/38,ARG1/1,ARG2/1</t>
  </si>
  <si>
    <t>PAT-&gt;ARG0/1,ARG1/57</t>
  </si>
  <si>
    <t>EFF-&gt;ARG1/27,ARG2/5</t>
  </si>
  <si>
    <t>ACT-&gt;ARG0/6,ARG2/1</t>
  </si>
  <si>
    <t>ACT-&gt;ARG0/858,ARG1/186,ARG2/9</t>
  </si>
  <si>
    <t>PAT-&gt;ARG1/1186,ARG2/6</t>
  </si>
  <si>
    <t>ACT-&gt;ARG0/69,ARG2/2</t>
  </si>
  <si>
    <t>ACT-&gt;ARG0/504,ARG1/1,ARG2/6</t>
  </si>
  <si>
    <t>CPHR-&gt;ARG1/854,ARG2/5</t>
  </si>
  <si>
    <t>ADDR-&gt;ARG1/34,ARG2/251,ARG3/63</t>
  </si>
  <si>
    <t>PAT-&gt;ARG1/854,ARG2/5</t>
  </si>
  <si>
    <t>ACT-&gt;ARG0/11,ARG1/1,ARG2/2</t>
  </si>
  <si>
    <t>PAT-&gt;ARG1/132,ARG2/1</t>
  </si>
  <si>
    <t>ACT-&gt;ARG0/73,ARG2/2</t>
  </si>
  <si>
    <t>PAT-&gt;ARG1/98</t>
  </si>
  <si>
    <t>ACT-&gt;ARG0/225,ARG2/83</t>
  </si>
  <si>
    <t>ACT-&gt;ARG0/3,ARG1/8</t>
  </si>
  <si>
    <t>ACT-&gt;ARG0/271,ARG1/2</t>
  </si>
  <si>
    <t>PAT-&gt;ARG1/404,ARG2/3</t>
  </si>
  <si>
    <t>ACT-&gt;ARG0/27116,ARG1/86</t>
  </si>
  <si>
    <t>ADDR-&gt;ARG1/25,ARG2/392</t>
  </si>
  <si>
    <t>EFF-&gt;ARG0/9,ARG1/24302,ARG2/28,ARG3/59</t>
  </si>
  <si>
    <t>LOC-&gt;ARG1/22,ARG2/40</t>
  </si>
  <si>
    <t>EFF-&gt;ARG0/1,ARG1/1,ARG2/125</t>
  </si>
  <si>
    <t>ORIG-&gt;ARG1/2</t>
  </si>
  <si>
    <t>ACT-&gt;ARG0/151,ARG1/87,ARG2/2</t>
  </si>
  <si>
    <t>PAT-&gt;ARG1/162,ARG2/103,ARGM-TMP/2</t>
  </si>
  <si>
    <t>PAT-&gt;ARG0/1,ARG1/7</t>
  </si>
  <si>
    <t>PAT-&gt;ARG1/97,ARG2/18</t>
  </si>
  <si>
    <t>ORIG-&gt;ARG1/14,ARG2/28</t>
  </si>
  <si>
    <t>PAT-&gt;ARG1/73,ARG2/16</t>
  </si>
  <si>
    <t>ORIG-&gt;ARG2/5,ARG3/45,ARG4/1</t>
  </si>
  <si>
    <t>EFF-&gt;ARG2/46,ARG4/82</t>
  </si>
  <si>
    <t>PAT-&gt;ARG1/386,ARG2/7</t>
  </si>
  <si>
    <t>ACT-&gt;ARG0/658,ARG1/197,ARG2/6</t>
  </si>
  <si>
    <t>PAT-&gt;ARG1/847,ARG2/1</t>
  </si>
  <si>
    <t>ACT-&gt;ARG0/29,ARG1/151</t>
  </si>
  <si>
    <t>PAT-&gt;ARG1/114</t>
  </si>
  <si>
    <t>PAT-&gt;ARG1/208</t>
  </si>
  <si>
    <t>ACT-&gt;ARG1/270</t>
  </si>
  <si>
    <t>PAT-&gt;ARG0/293</t>
  </si>
  <si>
    <t>PAT-&gt;ARG1/29,ARG3/1</t>
  </si>
  <si>
    <t>ACT-&gt;ARG0/378,ARG1/4,ARG2/8</t>
  </si>
  <si>
    <t>PAT-&gt;ARG0/1,ARG1/110,ARG2/145,ARG3/4</t>
  </si>
  <si>
    <t>EXT-&gt;ARG1/987,ARG2/42,ARG3/46</t>
  </si>
  <si>
    <t>ACT-&gt;ARG0/341,ARG1/20,ARG3/1</t>
  </si>
  <si>
    <t>PAT-&gt;ARG1/519,ARG2/20</t>
  </si>
  <si>
    <t>EFF-&gt;ARG1/11</t>
  </si>
  <si>
    <t>PAT-&gt;ARG1/16,ARG2/31</t>
  </si>
  <si>
    <t>ADDR-&gt;ARG1/32,ARG2/5</t>
  </si>
  <si>
    <t>ACT-&gt;ARG1/104,ARG2/22</t>
  </si>
  <si>
    <t>PAT-&gt;ARG0/2,ARG1/50,ARG2/84</t>
  </si>
  <si>
    <t>ACT-&gt;ARG0/1,ARG1/57</t>
  </si>
  <si>
    <t>ADDR-&gt;ARG2/24</t>
  </si>
  <si>
    <t>ACT-&gt;ARG0/1041,ARG1/5,ARG2/4</t>
  </si>
  <si>
    <t>CPHR-&gt;ARG1/1372,ARG2/134,ARG3/1</t>
  </si>
  <si>
    <t>ADDR-&gt;ARG1/85,ARG2/356,ARG3/86</t>
  </si>
  <si>
    <t>LOC-&gt;ARG1/85,ARG2/356,ARG3/86</t>
  </si>
  <si>
    <t>ACT-&gt;ARG0/594,ARG1/156</t>
  </si>
  <si>
    <t>PAT-&gt;ARG0/2,ARG1/838,ARG2/144</t>
  </si>
  <si>
    <t>PAT-&gt;ARG1/94,ARG2/8</t>
  </si>
  <si>
    <t>ADDR-&gt;ARG1/4,ARG2/124</t>
  </si>
  <si>
    <t>ACT-&gt;ARG0/187,ARG2/83</t>
  </si>
  <si>
    <t>PAT-&gt;ARG1/10,ARG2/3</t>
  </si>
  <si>
    <t>ACT-&gt;ARG0/314,ARG1/64</t>
  </si>
  <si>
    <t>CPHR-&gt;ARG1/357</t>
  </si>
  <si>
    <t>ACT-&gt;ARG0/270</t>
  </si>
  <si>
    <t>PAT-&gt;ARG1/475</t>
  </si>
  <si>
    <t>ACT-&gt;ARG0/215</t>
  </si>
  <si>
    <t>EFF-&gt;ARG1/245</t>
  </si>
  <si>
    <t>PAT-&gt;ARG1/16,ARG2/13</t>
  </si>
  <si>
    <t>ADDR-&gt;ARG1/10,ARG2/13</t>
  </si>
  <si>
    <t>ACT-&gt;ARG0/315,ARG1/3,ARG2/121</t>
  </si>
  <si>
    <t>PAT-&gt;ARG1/579,ARG2/4</t>
  </si>
  <si>
    <t>ACT-&gt;ARG0/415,ARG1/162</t>
  </si>
  <si>
    <t>PAT-&gt;ARG1/637</t>
  </si>
  <si>
    <t>ACT-&gt;ARG0/135,ARG1/1</t>
  </si>
  <si>
    <t>PAT-&gt;ARG1/147,ARG2/56</t>
  </si>
  <si>
    <t>ADDR-&gt;ARG1/7,ARG2/39</t>
  </si>
  <si>
    <t>ACT-&gt;ARG0/45,ARG1/10</t>
  </si>
  <si>
    <t>PAT-&gt;ARG1/48,ARG2/10</t>
  </si>
  <si>
    <t>ACT-&gt;ARG0/897,ARG1/2</t>
  </si>
  <si>
    <t>CPHR-&gt;ARG1/1133,ARG2/61,ARG3/1</t>
  </si>
  <si>
    <t>ADDR-&gt;ARG1/13,ARG2/216,ARG3/93</t>
  </si>
  <si>
    <t>ACT-&gt;ARG0/1318,ARG1/170,ARG2/19,ARG3/1</t>
  </si>
  <si>
    <t>PAT-&gt;ARG0/2,ARG1/1255,ARG2/391,ARG3/2</t>
  </si>
  <si>
    <t>ACT-&gt;ARG0/14,ARG1/895,ARG2/4</t>
  </si>
  <si>
    <t>PAT-&gt;ARG1/679,ARG2/1</t>
  </si>
  <si>
    <t>LOC-&gt;ARG1/2,ARG2/305,ARG4/163</t>
  </si>
  <si>
    <t>PAT-&gt;ARG1/32,ARG2/5</t>
  </si>
  <si>
    <t>EFF-&gt;ARG1/5,ARG2/3,ARG3/2</t>
  </si>
  <si>
    <t>ACT-&gt;ARG0/4,ARG1/9</t>
  </si>
  <si>
    <t>ACT-&gt;ARG0/762,ARG1/54,ARG2/18,ARG3/1</t>
  </si>
  <si>
    <t>PAT-&gt;ARG0/1,ARG1/975,ARG2/60,ARG3/1</t>
  </si>
  <si>
    <t>PAT-&gt;ARG0/20,ARG2/5</t>
  </si>
  <si>
    <t>ADDR-&gt;ARG0/108,ARG1/1,ARG2/21</t>
  </si>
  <si>
    <t>ACT-&gt;ARG0/213,ARG1/3,ARG2/44</t>
  </si>
  <si>
    <t>PAT-&gt;ARG1/402,ARG2/4</t>
  </si>
  <si>
    <t>ACT-&gt;ARG0/76,ARG2/30</t>
  </si>
  <si>
    <t>ADDR-&gt;ARG1/8,ARG2/3</t>
  </si>
  <si>
    <t>ACT-&gt;ARG0/521,ARG1/6,ARG2/5</t>
  </si>
  <si>
    <t>PAT-&gt;ARG1/670,ARG2/2</t>
  </si>
  <si>
    <t>ACT-&gt;ARG0/73,ARG2/33</t>
  </si>
  <si>
    <t>ACT-&gt;ARG0/523,ARG1/5,ARG2/3</t>
  </si>
  <si>
    <t>PAT-&gt;ARG1/919,ARG3/1,ARG4/5</t>
  </si>
  <si>
    <t>ACT-&gt;ARG0/1517,ARG2/1</t>
  </si>
  <si>
    <t>PAT-&gt;ARG1/2164,ARG2/14</t>
  </si>
  <si>
    <t>ADDR-&gt;ARG1/69,ARG2/1320,ARG4/2</t>
  </si>
  <si>
    <t>ACT-&gt;ARG0/1247,ARG1/3,ARG2/3</t>
  </si>
  <si>
    <t>CPHR-&gt;ARG1/1772,ARG2/61,ARG3/1</t>
  </si>
  <si>
    <t>ADDR-&gt;ARG1/54,ARG2/504,ARG3/120</t>
  </si>
  <si>
    <t>ACT-&gt;ARG0/1515,ARG1/3,ARG2/6</t>
  </si>
  <si>
    <t>CPHR-&gt;ARG1/2245,ARG2/66,ARG3/1</t>
  </si>
  <si>
    <t>ADDR-&gt;ARG1/66,ARG2/678,ARG3/149</t>
  </si>
  <si>
    <t>DIR3-&gt;ARG2/74</t>
  </si>
  <si>
    <t>EFF-&gt;ARG1/117</t>
  </si>
  <si>
    <t>ORIG-&gt;ARG2/15</t>
  </si>
  <si>
    <t>ACT-&gt;ARG0/295,ARG3/2</t>
  </si>
  <si>
    <t>PAT-&gt;ARG1/426,ARG2/37,ARG3/1</t>
  </si>
  <si>
    <t>ACT-&gt;ARG0/55,ARG1/30,ARG2/1</t>
  </si>
  <si>
    <t>DIR3-&gt;ARG1/26,ARG2/3</t>
  </si>
  <si>
    <t>ACT-&gt;ARG0/261,ARG1/4</t>
  </si>
  <si>
    <t>ACT-&gt;ARG0/186,ARG1/3</t>
  </si>
  <si>
    <t>ADDR-&gt;ARG1/7,ARG2/127</t>
  </si>
  <si>
    <t>PAT-&gt;ARG1/56,ARG2/1</t>
  </si>
  <si>
    <t>PAT-&gt;ARG1/591,ARG2/1,ARG3/4</t>
  </si>
  <si>
    <t>ACT-&gt;ARG0/280,ARG1/1,ARG2/1</t>
  </si>
  <si>
    <t>PAT-&gt;ARG1/500</t>
  </si>
  <si>
    <t>ACT-&gt;ARG0/102,ARG1/3</t>
  </si>
  <si>
    <t>ACT-&gt;ARG0/76,ARG1/1644,ARG2/5</t>
  </si>
  <si>
    <t>ACT-&gt;ARG0/16,ARG1/63,ARG2/9</t>
  </si>
  <si>
    <t>PAT-&gt;ARG0/58,ARG1/33</t>
  </si>
  <si>
    <t>ACT-&gt;ARG0/458,ARG1/4,ARG2/4</t>
  </si>
  <si>
    <t>PAT-&gt;ARG1/597,ARG2/2</t>
  </si>
  <si>
    <t>ORIG-&gt;ARG1/3,ARG2/43</t>
  </si>
  <si>
    <t>PAT-&gt;ARG1/56,ARG2/30</t>
  </si>
  <si>
    <t>PAT-&gt;ARG1/215,ARG2/1</t>
  </si>
  <si>
    <t>ACT-&gt;ARG0/137,ARG1/5</t>
  </si>
  <si>
    <t>PAT-&gt;ARG1/291,ARG2/2,ARG3/2</t>
  </si>
  <si>
    <t>EFF-&gt;ARG1/2,ARG2/98,ARG3/2,ARG4/27</t>
  </si>
  <si>
    <t>ADDR-&gt;ARG1/44,ARG2/2</t>
  </si>
  <si>
    <t>ACT-&gt;ARG0/663,ARG1/7,ARG3/9</t>
  </si>
  <si>
    <t>PAT-&gt;ARG1/886,ARG2/19</t>
  </si>
  <si>
    <t>EFF-&gt;ARG1/90</t>
  </si>
  <si>
    <t>PAT-&gt;ARG0/4,ARG1/10918,ARG2/3,ARG3/29</t>
  </si>
  <si>
    <t>ACT-&gt;ARG0/168,ARG1/5</t>
  </si>
  <si>
    <t>PAT-&gt;ARG1/456,ARG2/9,ARG3/2</t>
  </si>
  <si>
    <t>EFF-&gt;ARG1/3,ARG2/185,ARG3/2,ARG4/27</t>
  </si>
  <si>
    <t>ACT-&gt;ARG0/26351,ARG1/85</t>
  </si>
  <si>
    <t>ADDR-&gt;ARG1/24,ARG2/372</t>
  </si>
  <si>
    <t>EFF-&gt;ARG0/9,ARG1/23488,ARG2/28,ARG3/58</t>
  </si>
  <si>
    <t>PAT-&gt;ARG0/9,ARG1/23488,ARG2/28,ARG3/58</t>
  </si>
  <si>
    <t>ACT-&gt;ARG0/161,ARG1/1</t>
  </si>
  <si>
    <t>PAT-&gt;ARG1/261,ARG2/4</t>
  </si>
  <si>
    <t>ACT-&gt;ARG0/321</t>
  </si>
  <si>
    <t>PAT-&gt;ARG1/460,ARG2/1</t>
  </si>
  <si>
    <t>ADDR-&gt;ARG1/4,ARG2/380</t>
  </si>
  <si>
    <t>ADDR-&gt;ARG2/71</t>
  </si>
  <si>
    <t>ACT-&gt;ARG0/427,ARG1/1</t>
  </si>
  <si>
    <t>PAT-&gt;ARG1/583,ARG2/1,ARG3/1</t>
  </si>
  <si>
    <t>ACT-&gt;ARG0/245,ARG1/3,ARG3/3</t>
  </si>
  <si>
    <t>PAT-&gt;ARG0/6,ARG1/457</t>
  </si>
  <si>
    <t>ACT-&gt;ARG0/803,ARG1/74,ARG2/17,ARG3/9</t>
  </si>
  <si>
    <t>PAT-&gt;ARG1/1196,ARG2/17,ARG4/70</t>
  </si>
  <si>
    <t>CPHR-&gt;ARG1/918,ARG3/1,ARG4/5</t>
  </si>
  <si>
    <t>ACT-&gt;ARG0/496,ARG1/1</t>
  </si>
  <si>
    <t>PAT-&gt;ARG1/775</t>
  </si>
  <si>
    <t>BEN-&gt;ARG1/2,ARG2/2,ARGM-MNR/22</t>
  </si>
  <si>
    <t>MEANS-&gt;ARG1/2,ARG2/2,ARGM-MNR/22</t>
  </si>
  <si>
    <t>ACMP-&gt;ARG1/2,ARG2/2,ARGM-MNR/22</t>
  </si>
  <si>
    <t>CRIT-&gt;ARG1/2,ARG2/2,ARGM-MNR/22</t>
  </si>
  <si>
    <t>CPR-&gt;ARG1/2,ARG2/2,ARGM-MNR/22</t>
  </si>
  <si>
    <t>ACT-&gt;ARG0/99,ARG2/3</t>
  </si>
  <si>
    <t>ACT-&gt;ARG0/139,ARG1/3,ARG2/41</t>
  </si>
  <si>
    <t>PAT-&gt;ARG1/239,ARG2/4</t>
  </si>
  <si>
    <t>ACT-&gt;ARG0/1221,ARG1/3,ARG2/4</t>
  </si>
  <si>
    <t>PAT-&gt;ARG1/1411,ARG2/84</t>
  </si>
  <si>
    <t>ORIG-&gt;ARG1/83,ARG2/183</t>
  </si>
  <si>
    <t>ADDR-&gt;ARG1/75,ARG2/180</t>
  </si>
  <si>
    <t>ACT-&gt;ARG0/231,ARG1/1</t>
  </si>
  <si>
    <t>PAT-&gt;ARG1/120,ARG2/37,ARG3/1</t>
  </si>
  <si>
    <t>ACT-&gt;ARG0/427,ARG1/3</t>
  </si>
  <si>
    <t>ACT-&gt;ARG0/1,ARG1/145</t>
  </si>
  <si>
    <t>ACT-&gt;ARG0/3,ARG1/9</t>
  </si>
  <si>
    <t>PAT-&gt;ARG0/1,ARG1/12</t>
  </si>
  <si>
    <t>DIR2-&gt;ARG1/48,ARG2/10</t>
  </si>
  <si>
    <t>ACT-&gt;ARG0/3,ARG1/13</t>
  </si>
  <si>
    <t>DPHR-&gt;ARG1/48,ARG2/10</t>
  </si>
  <si>
    <t>PAT-&gt;ARG1/144,ARG2/4</t>
  </si>
  <si>
    <t>DIR2-&gt;ARG0/1,ARG1/241</t>
  </si>
  <si>
    <t>ACT-&gt;ARG0/719,ARG1/8,ARG2/3</t>
  </si>
  <si>
    <t>PAT-&gt;ARG1/1203,ARG3/1,ARG4/5</t>
  </si>
  <si>
    <t>ACT-&gt;ARG0/23,ARG1/80</t>
  </si>
  <si>
    <t>PAT-&gt;ARG0/66,ARG1/44</t>
  </si>
  <si>
    <t>EFF-&gt;ARG1/95,ARG2/14</t>
  </si>
  <si>
    <t>PAT-&gt;ARG1/179,ARG2/2</t>
  </si>
  <si>
    <t>PAT-&gt;ARG1/103,ARG2/1</t>
  </si>
  <si>
    <t>ACT-&gt;ARG0/5,ARG1/2</t>
  </si>
  <si>
    <t>ACT-&gt;ARG0/573,ARG1/2</t>
  </si>
  <si>
    <t>PAT-&gt;ARG1/565,ARG2/69</t>
  </si>
  <si>
    <t>ADDR-&gt;ARG1/124,ARG2/403</t>
  </si>
  <si>
    <t>DIR2-&gt;ARG1/1</t>
  </si>
  <si>
    <t>ACT-&gt;ARG0/211,ARG1/36</t>
  </si>
  <si>
    <t>BEN-&gt;ARG1/241,ARG2/55,ARG3/10</t>
  </si>
  <si>
    <t>MEANS-&gt;ARG1/241,ARG2/55,ARG3/10</t>
  </si>
  <si>
    <t>ACMP-&gt;ARG1/241,ARG2/55,ARG3/10</t>
  </si>
  <si>
    <t>CRIT-&gt;ARG1/241,ARG2/55,ARG3/10</t>
  </si>
  <si>
    <t>CPR-&gt;ARG1/241,ARG2/55,ARG3/10</t>
  </si>
  <si>
    <t>CRIT-&gt;ARG0/2,ARG1/244,ARG2/65,ARG3/11</t>
  </si>
  <si>
    <t>COMPL-&gt;ARG1/241,ARG2/55,ARG3/10</t>
  </si>
  <si>
    <t>ACT-&gt;ARG0/29,ARG1/136</t>
  </si>
  <si>
    <t>ACT-&gt;ARG0/19,ARG1/10</t>
  </si>
  <si>
    <t>PAT-&gt;ARG1/69,ARG2/31,ARG3/1</t>
  </si>
  <si>
    <t>ACT-&gt;ARG0/274</t>
  </si>
  <si>
    <t>PAT-&gt;ARG0/2,ARG1/504,ARG2/1,ARG3/1</t>
  </si>
  <si>
    <t>DIR3-&gt;ARG2/82</t>
  </si>
  <si>
    <t>DIR3-&gt;ARG1/1,ARG2/1</t>
  </si>
  <si>
    <t>PAT-&gt;ARG1/172,ARG2/4</t>
  </si>
  <si>
    <t>ADDR-&gt;ARG1/98,ARG2/93,ARG3/1</t>
  </si>
  <si>
    <t>ADDR-&gt;ARG1/96,ARG2/82</t>
  </si>
  <si>
    <t>ACT-&gt;ARG0/39,ARG1/422</t>
  </si>
  <si>
    <t>ACT-&gt;ARG0/1002,ARG2/1</t>
  </si>
  <si>
    <t>PAT-&gt;ARG1/1426,ARG2/12</t>
  </si>
  <si>
    <t>ADDR-&gt;ARG1/50,ARG2/922</t>
  </si>
  <si>
    <t>ACT-&gt;ARG0/136,ARG1/3</t>
  </si>
  <si>
    <t>DPHR-&gt;ARG1/147,ARG2/56</t>
  </si>
  <si>
    <t>DIR2-&gt;ARG1/9</t>
  </si>
  <si>
    <t>ACT-&gt;ARG0/22,ARG1/35</t>
  </si>
  <si>
    <t>PAT-&gt;ARG1/23,ARG2/24</t>
  </si>
  <si>
    <t>ACT-&gt;ARG0/46,ARG1/45</t>
  </si>
  <si>
    <t>PAT-&gt;ARG1/42,ARG2/10</t>
  </si>
  <si>
    <t>ACT-&gt;ARG0/5,ARG1/6</t>
  </si>
  <si>
    <t>ACT-&gt;ARG0/744,ARG1/41,ARG2/18,ARG3/1</t>
  </si>
  <si>
    <t>PAT-&gt;ARG0/1,ARG1/901,ARG2/59,ARG3/1</t>
  </si>
  <si>
    <t>ACT-&gt;ARG0/1138,ARG1/43,ARG2/18,ARG3/2</t>
  </si>
  <si>
    <t>PAT-&gt;ARG0/1,ARG1/1565,ARG2/59,ARG3/1</t>
  </si>
  <si>
    <t>ACT-&gt;ARG0/1106,ARG1/40,ARG2/18,ARG3/1</t>
  </si>
  <si>
    <t>CPHR-&gt;ARG0/1,ARG1/1531,ARG2/59,ARG3/1</t>
  </si>
  <si>
    <t>ACT-&gt;ARG0/484,ARG1/3,ARG3/1</t>
  </si>
  <si>
    <t>PAT-&gt;ARG1/789</t>
  </si>
  <si>
    <t>ACT-&gt;ARG0/475</t>
  </si>
  <si>
    <t>CPHR-&gt;ARG1/793</t>
  </si>
  <si>
    <t>PAT-&gt;ARG1/722</t>
  </si>
  <si>
    <t>ACT-&gt;ARG0/209,ARG1/1,ARG2/1</t>
  </si>
  <si>
    <t>PAT-&gt;ARG0/1,ARG1/303</t>
  </si>
  <si>
    <t>CPHR-&gt;ARG1/713,ARG2/1</t>
  </si>
  <si>
    <t>EFF-&gt;ARG1/2,ARG2/11,ARG3/1</t>
  </si>
  <si>
    <t>PAT-&gt;ARG1/16,ARG2/1</t>
  </si>
  <si>
    <t>ACT-&gt;ARG0/18,ARG1/12</t>
  </si>
  <si>
    <t>PAT-&gt;ARG1/2,ARG2/25</t>
  </si>
  <si>
    <t>CPHR-&gt;ARG1/135,ARG2/2</t>
  </si>
  <si>
    <t>ACT-&gt;ARG0/4,ARG1/2</t>
  </si>
  <si>
    <t>PAT-&gt;ARG1/7,ARG2/3</t>
  </si>
  <si>
    <t>ACT-&gt;ARG0/602,ARG1/31</t>
  </si>
  <si>
    <t>PAT-&gt;ARG1/850,ARG2/53,ARG3/1</t>
  </si>
  <si>
    <t>ADDR-&gt;ARG1/11,ARG2/181,ARG3/86</t>
  </si>
  <si>
    <t>LOC-&gt;ARG1/10,ARG2/176,ARG3/86</t>
  </si>
  <si>
    <t>DIR3-&gt;ARG1/3,ARG2/16,ARG3/7</t>
  </si>
  <si>
    <t>ACT-&gt;ARG0/736,ARG1/1</t>
  </si>
  <si>
    <t>PAT-&gt;ARG1/836</t>
  </si>
  <si>
    <t>ACT-&gt;ARG0/148,ARG1/1</t>
  </si>
  <si>
    <t>ACT-&gt;ARG0/18,ARG1/524,ARG2/123</t>
  </si>
  <si>
    <t>PAT-&gt;ARG0/114,ARG1/78,ARG2/150</t>
  </si>
  <si>
    <t>DIR3-&gt;ARG1/17,ARG2/34</t>
  </si>
  <si>
    <t>ACT-&gt;ARG0/330,ARG1/1</t>
  </si>
  <si>
    <t>PAT-&gt;ARG1/448</t>
  </si>
  <si>
    <t>ACT-&gt;ARG0/186,ARG1/1</t>
  </si>
  <si>
    <t>PAT-&gt;ARG1/631</t>
  </si>
  <si>
    <t>ACT-&gt;ARG0/296,ARG1/13</t>
  </si>
  <si>
    <t>PAT-&gt;ARG0/2,ARG1/406,ARG2/14</t>
  </si>
  <si>
    <t>EFF-&gt;ARG1/72,ARG3/4</t>
  </si>
  <si>
    <t>PAT-&gt;ARG1/72,ARG3/4</t>
  </si>
  <si>
    <t>EFF-&gt;ARG1/2,ARG2/99,ARG3/2,ARG4/27</t>
  </si>
  <si>
    <t>ACT-&gt;ARG0/134,ARG1/13</t>
  </si>
  <si>
    <t>PAT-&gt;ARG0/1,ARG1/162,ARG2/13</t>
  </si>
  <si>
    <t>ACT-&gt;ARG0/292,ARG1/13</t>
  </si>
  <si>
    <t>PAT-&gt;ARG0/2,ARG1/403,ARG2/13</t>
  </si>
  <si>
    <t>ACT-&gt;ARG0/63,ARG1/1</t>
  </si>
  <si>
    <t>DIR3-&gt;ARG2/1,ARG3/1</t>
  </si>
  <si>
    <t>PAT-&gt;ARG1/226</t>
  </si>
  <si>
    <t>TFRWH-&gt;ARG3/1</t>
  </si>
  <si>
    <t>TOWH-&gt;ARG2/5,ARG3/2,ARG4/5</t>
  </si>
  <si>
    <t>ACT-&gt;ARG0/153,ARG3/2</t>
  </si>
  <si>
    <t>PAT-&gt;ARG1/105,ARG2/37,ARG3/1</t>
  </si>
  <si>
    <t>ADDR-&gt;ARG2/74</t>
  </si>
  <si>
    <t>PAT-&gt;ARG0/1,ARG1/667,ARG2/2</t>
  </si>
  <si>
    <t>ADDR-&gt;ARG1/8,ARG2/311</t>
  </si>
  <si>
    <t>ACT-&gt;ARG0/305,ARG1/5</t>
  </si>
  <si>
    <t>PAT-&gt;ARG1/610,ARG2/2,ARG3/2</t>
  </si>
  <si>
    <t>ACT-&gt;ARG0/125,ARG1/3,ARG3/3</t>
  </si>
  <si>
    <t>PAT-&gt;ARG0/1,ARG1/229</t>
  </si>
  <si>
    <t>PAT-&gt;ARG0/1,ARG1/340</t>
  </si>
  <si>
    <t>DIR3-&gt;ARG2/75,ARG3/1</t>
  </si>
  <si>
    <t>EFF-&gt;ARG1/6,ARG2/3</t>
  </si>
  <si>
    <t>ACT-&gt;ARG0/18,ARG1/2,ARG2/8</t>
  </si>
  <si>
    <t>PAT-&gt;ARG1/41,ARG2/4</t>
  </si>
  <si>
    <t>ACT-&gt;ARG0/7,ARG1/17,ARG2/4</t>
  </si>
  <si>
    <t>ACT-&gt;ARG0/55,ARG1/269</t>
  </si>
  <si>
    <t>ACT-&gt;ARG0/26,ARG1/3857,ARG2/296,ARG3/1</t>
  </si>
  <si>
    <t>EFF-&gt;ARG0/4,ARG1/10918,ARG2/3,ARG3/29</t>
  </si>
  <si>
    <t>ACT-&gt;ARG0/141,ARG1/13</t>
  </si>
  <si>
    <t>PAT-&gt;ARG0/1,ARG1/169,ARG2/13</t>
  </si>
  <si>
    <t>ACT-&gt;ARG0/81,ARG1/1</t>
  </si>
  <si>
    <t>ACT-&gt;ARG0/78,ARG1/1</t>
  </si>
  <si>
    <t>CPHR-&gt;ARG1/53</t>
  </si>
  <si>
    <t>PAT-&gt;ARG1/1,ARG3/10</t>
  </si>
  <si>
    <t>ACT-&gt;ARG0/21,ARG1/1,ARG2/27</t>
  </si>
  <si>
    <t>PAT-&gt;ARG1/1094,ARG2/2</t>
  </si>
  <si>
    <t>PAT-&gt;ARG1/198,ARG2/1</t>
  </si>
  <si>
    <t>PAT-&gt;ARG1/199,ARG2/2</t>
  </si>
  <si>
    <t>ACT-&gt;ARG0/296,ARG1/1,ARG2/2</t>
  </si>
  <si>
    <t>PAT-&gt;ARG1/568</t>
  </si>
  <si>
    <t>ACT-&gt;ARG0/139,ARG1/375</t>
  </si>
  <si>
    <t>DIR3-&gt;ARG1/135,ARG2/18</t>
  </si>
  <si>
    <t>ACT-&gt;ARG0/107,ARG1/1,ARG2/2</t>
  </si>
  <si>
    <t>CPHR-&gt;ARG1/181</t>
  </si>
  <si>
    <t>ACT-&gt;ARG0/127,ARG1/3,ARG2/53</t>
  </si>
  <si>
    <t>PAT-&gt;ARG1/1399,ARG2/2</t>
  </si>
  <si>
    <t>DIR3-&gt;ARG0/6,ARG1/6,ARG2/503</t>
  </si>
  <si>
    <t>ACT-&gt;ARG0/1001,ARG2/1</t>
  </si>
  <si>
    <t>PAT-&gt;ARG1/1409,ARG2/10</t>
  </si>
  <si>
    <t>ADDR-&gt;ARG1/43,ARG2/866</t>
  </si>
  <si>
    <t>ACT-&gt;ARG1/232</t>
  </si>
  <si>
    <t>PAT-&gt;ARG0/182,ARG1/101,ARG3/6</t>
  </si>
  <si>
    <t>CPHR-&gt;ARG1/354</t>
  </si>
  <si>
    <t>CPHR-&gt;ARG1/30</t>
  </si>
  <si>
    <t>DIR3-&gt;ARG1/842,ARG2/17</t>
  </si>
  <si>
    <t>DIR3-&gt;ARG1/103</t>
  </si>
  <si>
    <t>ACT-&gt;ARG0/18,ARG1/10</t>
  </si>
  <si>
    <t>DPHR-&gt;ARG0/1,ARG1/166,ARG2/7</t>
  </si>
  <si>
    <t>PAT-&gt;ARG1/27,ARG2/50</t>
  </si>
  <si>
    <t>ACT-&gt;ARG0/115,ARG1/2,ARG2/27</t>
  </si>
  <si>
    <t>PAT-&gt;ARG0/26,ARG1/307</t>
  </si>
  <si>
    <t>DIR3-&gt;ARG1/38,ARG2/14</t>
  </si>
  <si>
    <t>ADDR-&gt;ARG2/4,ARG3/1</t>
  </si>
  <si>
    <t>ACT-&gt;ARG0/1,ARG1/36</t>
  </si>
  <si>
    <t>ACT-&gt;ARG0/40,ARG1/6,ARG2/8</t>
  </si>
  <si>
    <t>PAT-&gt;ARG1/178</t>
  </si>
  <si>
    <t>DIR3-&gt;ARG1/5,ARG2/36</t>
  </si>
  <si>
    <t>PAT-&gt;ARG1/55,ARG2/2</t>
  </si>
  <si>
    <t>ADDR-&gt;ARG1/3,ARG2/61</t>
  </si>
  <si>
    <t>ACT-&gt;ARG0/147,ARG1/2,ARG2/26</t>
  </si>
  <si>
    <t>PAT-&gt;ARG1/449,ARG2/4</t>
  </si>
  <si>
    <t>DIR3-&gt;ARG1/96,ARG2/93</t>
  </si>
  <si>
    <t>PAT-&gt;ARG1/156,ARG2/4</t>
  </si>
  <si>
    <t>DIR3-&gt;ARG1/110,ARG2/85</t>
  </si>
  <si>
    <t>ACT-&gt;ARG0/5,ARG1/18</t>
  </si>
  <si>
    <t>ACT-&gt;ARG0/13,ARG1/13</t>
  </si>
  <si>
    <t>PAT-&gt;ARG1/15,ARG2/21</t>
  </si>
  <si>
    <t>ACT-&gt;ARG0/220,ARG1/3</t>
  </si>
  <si>
    <t>ACT-&gt;ARG0/99,ARG2/1</t>
  </si>
  <si>
    <t>PAT-&gt;ARG1/26,ARG2/90</t>
  </si>
  <si>
    <t>ADDR-&gt;ARG0/2,ARG1/28</t>
  </si>
  <si>
    <t>PAT-&gt;ARG1/30,ARG2/2,ARG3/1</t>
  </si>
  <si>
    <t>ADDR-&gt;ARG1/3,ARG2/128</t>
  </si>
  <si>
    <t>ACMP-&gt;ARG2/21,ARG3/1</t>
  </si>
  <si>
    <t>CRIT-&gt;ARG2/21,ARG3/1</t>
  </si>
  <si>
    <t>CPR-&gt;ARG2/21,ARG3/1</t>
  </si>
  <si>
    <t>COMPL-&gt;ARG2/21,ARG3/1</t>
  </si>
  <si>
    <t>PAT-&gt;ARG0/26,ARG1/2</t>
  </si>
  <si>
    <t>DIR3-&gt;ARG1/38,ARG2/3</t>
  </si>
  <si>
    <t>ACT-&gt;ARG0/74,ARG1/98,ARG2/10,ARG3/2</t>
  </si>
  <si>
    <t>CPHR-&gt;ARG0/1,ARG1/60,ARG2/5,ARG3/1</t>
  </si>
  <si>
    <t>ACT-&gt;ARG0/39,ARG1/9</t>
  </si>
  <si>
    <t>PAT-&gt;ARG1/127,ARG2/17,ARG3/3,ARG4/5</t>
  </si>
  <si>
    <t>ADDR-&gt;ARG2/1,ARG4/25</t>
  </si>
  <si>
    <t>ACT-&gt;ARG0/1458</t>
  </si>
  <si>
    <t>PAT-&gt;ARG1/1524,ARG2/3</t>
  </si>
  <si>
    <t>ACT-&gt;ARG0/1214,ARG2/1</t>
  </si>
  <si>
    <t>PAT-&gt;ARG1/1739,ARG2/12</t>
  </si>
  <si>
    <t>ADDR-&gt;ARG1/63,ARG2/965</t>
  </si>
  <si>
    <t>ACT-&gt;ARG0/80,ARG1/64</t>
  </si>
  <si>
    <t>ACT-&gt;ARG0/260,ARG1/1</t>
  </si>
  <si>
    <t>PAT-&gt;ARG1/400</t>
  </si>
  <si>
    <t>PAT-&gt;ARG1/357</t>
  </si>
  <si>
    <t>PAT-&gt;ARG1/103,ARG2/1,ARG3/2</t>
  </si>
  <si>
    <t>ACT-&gt;ARG0/142,ARG1/5</t>
  </si>
  <si>
    <t>PAT-&gt;ARG1/323,ARG2/2,ARG3/2</t>
  </si>
  <si>
    <t>ACT-&gt;ARG0/226</t>
  </si>
  <si>
    <t>PAT-&gt;ARG1/428</t>
  </si>
  <si>
    <t>ACT-&gt;ARG0/123,ARG2/6</t>
  </si>
  <si>
    <t>EFF-&gt;ARG1/179,ARG2/2,ARG3/1</t>
  </si>
  <si>
    <t>ACT-&gt;ARG0/3,ARG1/280</t>
  </si>
  <si>
    <t>ACT-&gt;ARG0/329,ARG1/18</t>
  </si>
  <si>
    <t>PAT-&gt;ARG0/1,ARG1/232,ARG2/14</t>
  </si>
  <si>
    <t>ADDR-&gt;ARG1/50,ARG2/58</t>
  </si>
  <si>
    <t>ACT-&gt;ARG0/16,ARG1/55</t>
  </si>
  <si>
    <t>PAT-&gt;ARG1/15,ARG2/13,ARG3/1</t>
  </si>
  <si>
    <t>ACT-&gt;ARG0/475,ARG1/1</t>
  </si>
  <si>
    <t>PAT-&gt;ARG1/781,ARG2/2</t>
  </si>
  <si>
    <t>ADDR-&gt;ARG1/7,ARG2/465,ARG4/2</t>
  </si>
  <si>
    <t>ACT-&gt;ARG0/39,ARG1/6</t>
  </si>
  <si>
    <t>EFF-&gt;ARG1/4,ARG2/33</t>
  </si>
  <si>
    <t>EFF-&gt;ARG1/2,ARG2/20,ARG3/1</t>
  </si>
  <si>
    <t>PAT-&gt;ARG0/6,ARG1/58</t>
  </si>
  <si>
    <t>ACT-&gt;ARG0/196,ARG2/1</t>
  </si>
  <si>
    <t>EFF-&gt;ARG1/1,ARG3/2</t>
  </si>
  <si>
    <t>PAT-&gt;ARG1/133,ARG3/2</t>
  </si>
  <si>
    <t>ACT-&gt;ARG0/269</t>
  </si>
  <si>
    <t>ACT-&gt;ARG0/39,ARG1/403</t>
  </si>
  <si>
    <t>ACT-&gt;ARG0/181,ARG1/1</t>
  </si>
  <si>
    <t>ACT-&gt;ARG0/594,ARG1/186,ARG2/6</t>
  </si>
  <si>
    <t>PAT-&gt;ARG1/722,ARG2/1</t>
  </si>
  <si>
    <t>ACT-&gt;ARG0/2,ARG1/52</t>
  </si>
  <si>
    <t>PAT-&gt;ARG3/540,ARG4/1</t>
  </si>
  <si>
    <t>EFF-&gt;ARG1/9,ARG2/48,ARG4/1380</t>
  </si>
  <si>
    <t>ACT-&gt;ARG0/95,ARG1/221,ARG2/6</t>
  </si>
  <si>
    <t>ACT-&gt;ARG0/272,ARG2/89</t>
  </si>
  <si>
    <t>PAT-&gt;ARG1/535</t>
  </si>
  <si>
    <t>PAT-&gt;ARG1/20,ARG2/1</t>
  </si>
  <si>
    <t>ACT-&gt;ARG0/145,ARG2/6</t>
  </si>
  <si>
    <t>PAT-&gt;ARG1/308</t>
  </si>
  <si>
    <t>EFF-&gt;ARG1/181,ARG2/20,ARG3/1</t>
  </si>
  <si>
    <t>ACT-&gt;ARG0/14,ARG1/34</t>
  </si>
  <si>
    <t>ADDR-&gt;ARG1/7,ARG2/29,ARG3/1</t>
  </si>
  <si>
    <t>ACT-&gt;ARG0/67,ARG1/374</t>
  </si>
  <si>
    <t>ACT-&gt;ARG0/64,ARG1/1</t>
  </si>
  <si>
    <t>ACT-&gt;ARG0/1275,ARG1/9,ARG2/3</t>
  </si>
  <si>
    <t>PAT-&gt;ARG1/2129,ARG2/2,ARG3/1,ARG4/5</t>
  </si>
  <si>
    <t>ORIG-&gt;ARG1/2,ARG2/56</t>
  </si>
  <si>
    <t>ACT-&gt;ARG0/4,ARG1/294</t>
  </si>
  <si>
    <t>LOC-&gt;ARG1/124,ARG2/3551,ARG3/415</t>
  </si>
  <si>
    <t>MANN-&gt;ARG1/124,ARG2/3551,ARG3/415</t>
  </si>
  <si>
    <t>ACMP-&gt;ARG1/124,ARG2/3551,ARG3/415</t>
  </si>
  <si>
    <t>ACT-&gt;ARG0/156,ARG1/47</t>
  </si>
  <si>
    <t>PAT-&gt;ARG0/2,ARG1/11</t>
  </si>
  <si>
    <t>ACT-&gt;ARG0/531,ARG1/2</t>
  </si>
  <si>
    <t>PAT-&gt;ARG0/1,ARG1/609</t>
  </si>
  <si>
    <t>ADDR-&gt;ARG0/1,ARG2/18</t>
  </si>
  <si>
    <t>LOC-&gt;ARG2/16</t>
  </si>
  <si>
    <t>ACT-&gt;ARG1/421</t>
  </si>
  <si>
    <t>LOC-&gt;ARG1/1,ARG2/22,ARG4/38,ARGM-EXT/392,ARGM-MNR/281</t>
  </si>
  <si>
    <t>MEANS-&gt;ARG1/37,ARG2/113</t>
  </si>
  <si>
    <t>PAT-&gt;ARG1/50,ARG2/4</t>
  </si>
  <si>
    <t>ACT-&gt;ARG0/24,ARG1/3</t>
  </si>
  <si>
    <t>PAT-&gt;ARG1/19,ARG2/65</t>
  </si>
  <si>
    <t>PAT-&gt;ARG1/429,ARG2/72,ARG3/40</t>
  </si>
  <si>
    <t>ORIG-&gt;ARG1/239,ARG2/1,ARG3/5</t>
  </si>
  <si>
    <t>ACT-&gt;ARG0/13,ARG3/2</t>
  </si>
  <si>
    <t>PAT-&gt;ARG1/48,ARG2/1,ARG3/1</t>
  </si>
  <si>
    <t>ACT-&gt;ARG0/783,ARG1/24</t>
  </si>
  <si>
    <t>EFF-&gt;ARG1/849,ARG2/2,ARG4/3</t>
  </si>
  <si>
    <t>PAT-&gt;ARG1/390,ARG2/4,ARG4/3</t>
  </si>
  <si>
    <t>EFF-&gt;ARG1/16,ARG2/71</t>
  </si>
  <si>
    <t>ACT-&gt;ARG0/386,ARG1/1</t>
  </si>
  <si>
    <t>PAT-&gt;ARG1/526,ARG2/1,ARG3/1</t>
  </si>
  <si>
    <t>ACT-&gt;ARG0/125,ARG1/2,ARG2/1</t>
  </si>
  <si>
    <t>PAT-&gt;ARG1/127,ARG2/2</t>
  </si>
  <si>
    <t>ACT-&gt;ARG0/58,ARG1/44,ARG2/12</t>
  </si>
  <si>
    <t>PAT-&gt;ARG1/110,ARG2/42</t>
  </si>
  <si>
    <t>PAT-&gt;ARG1/396</t>
  </si>
  <si>
    <t>ADDR-&gt;ARG0/395,ARG1/1</t>
  </si>
  <si>
    <t>PAT-&gt;ARG1/176,ARG2/6</t>
  </si>
  <si>
    <t>PAT-&gt;ARG1/641,ARG2/1</t>
  </si>
  <si>
    <t>ACT-&gt;ARG0/16,ARG1/448</t>
  </si>
  <si>
    <t>ADDR-&gt;ARG1/20</t>
  </si>
  <si>
    <t>ACT-&gt;ARG0/63,ARG1/96</t>
  </si>
  <si>
    <t>PAT-&gt;ARG1/71,ARG2/96</t>
  </si>
  <si>
    <t>PAT-&gt;ARG0/1,ARG1/210,ARG2/8</t>
  </si>
  <si>
    <t>ACT-&gt;ARG0/7,ARG1/75,ARG4/1</t>
  </si>
  <si>
    <t>ACT-&gt;ARG0/43,ARG1/3817,ARG2/297,ARG3/1</t>
  </si>
  <si>
    <t>LOC-&gt;ARG1/1,ARG2/35</t>
  </si>
  <si>
    <t>ACT-&gt;ARG0/374,ARG1/1</t>
  </si>
  <si>
    <t>PAT-&gt;ARG1/489,ARG2/57</t>
  </si>
  <si>
    <t>ADDR-&gt;ARG1/11,ARG2/348</t>
  </si>
  <si>
    <t>PAT-&gt;ARG1/445</t>
  </si>
  <si>
    <t>ACT-&gt;ARG0/622,ARG1/6</t>
  </si>
  <si>
    <t>PAT-&gt;ARG1/1171,ARG2/9</t>
  </si>
  <si>
    <t>DIR3-&gt;ARG1/27,ARG2/554,ARG3/37</t>
  </si>
  <si>
    <t>ACT-&gt;ARG0/38,ARG1/10</t>
  </si>
  <si>
    <t>PAT-&gt;ARG1/44,ARG2/8</t>
  </si>
  <si>
    <t>ACT-&gt;ARG0/26,ARG1/134,ARG2/1</t>
  </si>
  <si>
    <t>BEN-&gt;ARG1/4,ARG2/66</t>
  </si>
  <si>
    <t>MANN-&gt;ARG1/4,ARG2/66</t>
  </si>
  <si>
    <t>CRIT-&gt;ARG1/4,ARG2/66</t>
  </si>
  <si>
    <t>CPR-&gt;ARG1/4,ARG2/66</t>
  </si>
  <si>
    <t>ACT-&gt;ARG0/13,ARG1/56</t>
  </si>
  <si>
    <t>ACT-&gt;ARG0/152,ARG1/47</t>
  </si>
  <si>
    <t>ACT-&gt;ARG0/58,ARG1/432,ARG2/4</t>
  </si>
  <si>
    <t>EXT-&gt;ARG0/3,ARG1/52,ARG2/541,ARG3/5</t>
  </si>
  <si>
    <t>ACT-&gt;ARG2/626</t>
  </si>
  <si>
    <t>PAT-&gt;ARG1/565,ARG2/6</t>
  </si>
  <si>
    <t>ACT-&gt;ARG0/157,ARG1/47</t>
  </si>
  <si>
    <t>ACT-&gt;ARG0/34,ARG2/77</t>
  </si>
  <si>
    <t>ACT-&gt;ARG0/367</t>
  </si>
  <si>
    <t>PAT-&gt;ARG1/268,ARG2/212</t>
  </si>
  <si>
    <t>ADDR-&gt;ARG1/225,ARG2/129</t>
  </si>
  <si>
    <t>EFF-&gt;ARG1/225,ARG2/129</t>
  </si>
  <si>
    <t>ACT-&gt;ARG0/207,ARG1/2</t>
  </si>
  <si>
    <t>PAT-&gt;ARG1/193,ARG2/28</t>
  </si>
  <si>
    <t>DIR3-&gt;ARG1/45</t>
  </si>
  <si>
    <t>ACT-&gt;ARG0/165,ARG1/1</t>
  </si>
  <si>
    <t>ACT-&gt;ARG0/855,ARG1/3,ARG2/4</t>
  </si>
  <si>
    <t>ADDR-&gt;ARG0/1,ARG1/700,ARG2/193</t>
  </si>
  <si>
    <t>PAT-&gt;ARG1/903,ARG2/372</t>
  </si>
  <si>
    <t>ACT-&gt;ARG0/652</t>
  </si>
  <si>
    <t>PAT-&gt;ARG1/677,ARG2/3</t>
  </si>
  <si>
    <t>ACT-&gt;ARG0/36,ARG1/4</t>
  </si>
  <si>
    <t>ACT-&gt;ARG0/217</t>
  </si>
  <si>
    <t>ACT-&gt;ARG0/55,ARG1/3,ARG2/1</t>
  </si>
  <si>
    <t>ACT-&gt;ARG0/262,ARG1/47</t>
  </si>
  <si>
    <t>DIR1-&gt;ARG0/2,ARG1/50,ARG2/84</t>
  </si>
  <si>
    <t>ACT-&gt;ARG0/9,ARG1/11</t>
  </si>
  <si>
    <t>PAT-&gt;ARG0/9,ARG1/16</t>
  </si>
  <si>
    <t>ACT-&gt;ARG0/105,ARG1/73</t>
  </si>
  <si>
    <t>DIR3-&gt;ARG1/71,ARG2/71</t>
  </si>
  <si>
    <t>ACT-&gt;ARG0/243,ARG2/6</t>
  </si>
  <si>
    <t>PAT-&gt;ARG0/1,ARG1/420</t>
  </si>
  <si>
    <t>MANN-&gt;ARG1/78</t>
  </si>
  <si>
    <t>DPHR-&gt;ARG1/124,ARG2/3551,ARG3/415</t>
  </si>
  <si>
    <t>ACT-&gt;ARG0/737,ARG1/8,ARG2/3</t>
  </si>
  <si>
    <t>PAT-&gt;ARG1/1214,ARG3/1,ARG4/5</t>
  </si>
  <si>
    <t>ORIG-&gt;ARG1/1,ARG2/40</t>
  </si>
  <si>
    <t>ACT-&gt;ARG0/321,ARG1/3,ARG3/1</t>
  </si>
  <si>
    <t>PAT-&gt;ARG1/470</t>
  </si>
  <si>
    <t>CPHR-&gt;ARG1/3,ARG2/156</t>
  </si>
  <si>
    <t>ACT-&gt;ARG0/1357,ARG1/19,ARG2/4</t>
  </si>
  <si>
    <t>CPHR-&gt;ARG0/1,ARG1/1838,ARG2/17</t>
  </si>
  <si>
    <t>ADDR-&gt;ARG1/92,ARG2/922,ARG3/34</t>
  </si>
  <si>
    <t>ACT-&gt;ARG0/1155,ARG1/1,ARG2/4</t>
  </si>
  <si>
    <t>CPHR-&gt;ARG1/1672,ARG2/10</t>
  </si>
  <si>
    <t>ADDR-&gt;ARG1/65,ARG2/872,ARG3/34</t>
  </si>
  <si>
    <t>ACT-&gt;ARG0/19,ARG1/89</t>
  </si>
  <si>
    <t>PAT-&gt;ARG0/52,ARG1/22,ARG2/8</t>
  </si>
  <si>
    <t>ADDR-&gt;ARG1/44</t>
  </si>
  <si>
    <t>ACT-&gt;ARG0/4,ARG1/64,ARG2/2</t>
  </si>
  <si>
    <t>DIR1-&gt;ARG1/1,ARG2/2</t>
  </si>
  <si>
    <t>PAT-&gt;ARG1/737,ARG2/3</t>
  </si>
  <si>
    <t>PAT-&gt;ARG1/921,ARG2/3</t>
  </si>
  <si>
    <t>PAT-&gt;ARG1/995,ARG2/87</t>
  </si>
  <si>
    <t>PAT-&gt;ARG1/62,ARG2/6</t>
  </si>
  <si>
    <t>ACT-&gt;ARG0/6,ARG1/13</t>
  </si>
  <si>
    <t>ACT-&gt;ARG0/7,ARG1/51,ARG4/1</t>
  </si>
  <si>
    <t>ORIG-&gt;ARG2/1,ARG3/24</t>
  </si>
  <si>
    <t>ACT-&gt;ARG0/360,ARG1/736,ARG2/35</t>
  </si>
  <si>
    <t>ACT-&gt;ARG0/812,ARG1/32</t>
  </si>
  <si>
    <t>PAT-&gt;ARG1/1317,ARG2/37</t>
  </si>
  <si>
    <t>ACT-&gt;ARG0/81,ARG1/3</t>
  </si>
  <si>
    <t>PAT-&gt;ARG1/118,ARG2/2</t>
  </si>
  <si>
    <t>ACT-&gt;ARG0/503,ARG1/3,ARG2/4</t>
  </si>
  <si>
    <t>PAT-&gt;ARG1/621,ARG2/112</t>
  </si>
  <si>
    <t>ACT-&gt;ARG0/154,ARG2/69</t>
  </si>
  <si>
    <t>PAT-&gt;ARG0/1,ARG1/331,ARG2/8</t>
  </si>
  <si>
    <t>ACT-&gt;ARG0/344,ARG1/5</t>
  </si>
  <si>
    <t>PAT-&gt;ARG1/742,ARG2/6</t>
  </si>
  <si>
    <t>ACT-&gt;ARG0/385,ARG2/1</t>
  </si>
  <si>
    <t>PAT-&gt;ARG1/607</t>
  </si>
  <si>
    <t>ACT-&gt;ARG0/561</t>
  </si>
  <si>
    <t>PAT-&gt;ARG1/750,ARG2/2</t>
  </si>
  <si>
    <t>ACT-&gt;ARG0/404,ARG1/19</t>
  </si>
  <si>
    <t>PAT-&gt;ARG1/678,ARG4/3</t>
  </si>
  <si>
    <t>ACT-&gt;ARG0/35,ARG3/8</t>
  </si>
  <si>
    <t>ACT-&gt;ARG0/463,ARG1/2</t>
  </si>
  <si>
    <t>PAT-&gt;ARG1/613</t>
  </si>
  <si>
    <t>ACT-&gt;ARG0/25,ARG1/13</t>
  </si>
  <si>
    <t>ACT-&gt;ARG0/54,ARG1/149</t>
  </si>
  <si>
    <t>ACT-&gt;ARG0/40,ARG1/79</t>
  </si>
  <si>
    <t>DIR1-&gt;ARG1/6</t>
  </si>
  <si>
    <t>ACT-&gt;ARG0/215,ARG1/19</t>
  </si>
  <si>
    <t>PAT-&gt;ARG1/291,ARG4/3</t>
  </si>
  <si>
    <t>ACT-&gt;ARG0/182,ARG1/14</t>
  </si>
  <si>
    <t>EXT-&gt;ARG0/1,ARG1/112,ARG2/7,ARG3/143</t>
  </si>
  <si>
    <t>ORIG-&gt;ARG0/66,ARG1/44</t>
  </si>
  <si>
    <t>ORIG-&gt;ARG1/13</t>
  </si>
  <si>
    <t>ACT-&gt;ARG1/22,ARG2/8</t>
  </si>
  <si>
    <t>PAT-&gt;ARG0/19,ARG1/10</t>
  </si>
  <si>
    <t>EFF-&gt;ARG0/1,ARG1/303</t>
  </si>
  <si>
    <t>MANN-&gt;ARG1/8,ARG2/530</t>
  </si>
  <si>
    <t>ACT-&gt;ARG0/1,ARG1/305,ARG2/2</t>
  </si>
  <si>
    <t>LOC-&gt;ARG1/37,ARG2/113,ARG3/92</t>
  </si>
  <si>
    <t>PAT-&gt;ARG0/1,ARG1/284,ARG2/1</t>
  </si>
  <si>
    <t>ACT-&gt;ARG0/8,ARG1/151,ARG2/1</t>
  </si>
  <si>
    <t>LOC-&gt;ARG0/2,ARG1/15,ARG3/92</t>
  </si>
  <si>
    <t>ACT-&gt;ARG0/51,ARG2/1</t>
  </si>
  <si>
    <t>ACT-&gt;ARG0/58,ARG1/18</t>
  </si>
  <si>
    <t>MANN-&gt;ARG1/1,ARG2/22,ARG4/38,ARGM-EXT/392,ARGM-MNR/281</t>
  </si>
  <si>
    <t>ACMP-&gt;ARG1/1,ARG2/22,ARG4/38,ARGM-EXT/392,ARGM-MNR/281</t>
  </si>
  <si>
    <t>ACT-&gt;ARG0/1106,ARG1/13,ARG2/5</t>
  </si>
  <si>
    <t>CPHR-&gt;ARG0/10,ARG1/2185,ARG2/305,ARG3/161,ARG4/7</t>
  </si>
  <si>
    <t>ACT-&gt;ARG0/877,ARG1/2</t>
  </si>
  <si>
    <t>CPHR-&gt;ARG1/1096,ARG2/61,ARG3/1</t>
  </si>
  <si>
    <t>ADDR-&gt;ARG1/13,ARG2/192,ARG3/93</t>
  </si>
  <si>
    <t>ACT-&gt;ARG0/11,ARG1/11,ARG2/5</t>
  </si>
  <si>
    <t>PAT-&gt;ARG1/114,ARG2/61</t>
  </si>
  <si>
    <t>ADDR-&gt;ARG1/53,ARG2/28</t>
  </si>
  <si>
    <t>ACT-&gt;ARG0/162,ARG1/261,ARG2/2</t>
  </si>
  <si>
    <t>DIR3-&gt;ARG1/147,ARG2/1</t>
  </si>
  <si>
    <t>CPHR-&gt;ARG1/697,ARG2/2,ARG4/1</t>
  </si>
  <si>
    <t>ACT-&gt;ARG0/119,ARG1/2,ARG2/26</t>
  </si>
  <si>
    <t>DIR3-&gt;ARG2/11</t>
  </si>
  <si>
    <t>PAT-&gt;ARG1/284,ARG2/3</t>
  </si>
  <si>
    <t>ACT-&gt;ARG0/250,ARG1/1</t>
  </si>
  <si>
    <t>PAT-&gt;ARG1/329,ARG2/3</t>
  </si>
  <si>
    <t>PAT-&gt;ARG0/1,ARG1/60,ARG2/5,ARG3/1</t>
  </si>
  <si>
    <t>DIR3-&gt;ARG0/2,ARG1/96,ARG2/9,ARG3/2</t>
  </si>
  <si>
    <t>PAT-&gt;ARG1/487,ARG2/3</t>
  </si>
  <si>
    <t>DIR3-&gt;ARG1/19,ARG2/24,ARG3/37</t>
  </si>
  <si>
    <t>PAT-&gt;ARG0/1,ARG1/249,ARG2/1</t>
  </si>
  <si>
    <t>ACT-&gt;ARG0/578,ARG1/3,ARG2/4</t>
  </si>
  <si>
    <t>PAT-&gt;ARG1/742,ARG2/81</t>
  </si>
  <si>
    <t>PAT-&gt;ARG1/31,ARG2/8</t>
  </si>
  <si>
    <t>ACT-&gt;ARG0/162,ARG1/1</t>
  </si>
  <si>
    <t>PAT-&gt;ARG1/265,ARG2/3</t>
  </si>
  <si>
    <t>ACT-&gt;ARG0/345,ARG1/5,ARG2/38</t>
  </si>
  <si>
    <t>DIR3-&gt;ARG1/477,ARG2/17</t>
  </si>
  <si>
    <t>PAT-&gt;ARG1/7,ARG2/11</t>
  </si>
  <si>
    <t>PAT-&gt;ARG0/1,ARG1/432,ARG2/3</t>
  </si>
  <si>
    <t>DIR3-&gt;ARG1/1,ARG2/25</t>
  </si>
  <si>
    <t>DPHR-&gt;ARG1/19,ARG2/22,ARG3/37</t>
  </si>
  <si>
    <t>ACT-&gt;ARG0/164,ARG1/259</t>
  </si>
  <si>
    <t>ACT-&gt;ARG0/210,ARG1/281</t>
  </si>
  <si>
    <t>DIR3-&gt;ARG1/213</t>
  </si>
  <si>
    <t>ACT-&gt;ARG0/106,ARG1/2,ARG2/26</t>
  </si>
  <si>
    <t>PAT-&gt;ARG1/305</t>
  </si>
  <si>
    <t>ADDR-&gt;ARG1/1,ARG2/1,ARG3/6</t>
  </si>
  <si>
    <t>ORIG-&gt;ARG1/1,ARG2/1,ARG3/6</t>
  </si>
  <si>
    <t>ACT-&gt;ARG0/270,ARG1/1</t>
  </si>
  <si>
    <t>PAT-&gt;ARG1/478</t>
  </si>
  <si>
    <t>ORIG-&gt;ARG2/206</t>
  </si>
  <si>
    <t>PAT-&gt;ARG0/1,ARG1/625,ARG2/13</t>
  </si>
  <si>
    <t>EFF-&gt;ARG1/298,ARG2/291</t>
  </si>
  <si>
    <t>PAT-&gt;ARG0/3,ARG1/52,ARG2/541,ARG3/5</t>
  </si>
  <si>
    <t>EXT-&gt;ARG2/136</t>
  </si>
  <si>
    <t>DIR1-&gt;ARG1/141,ARG2/1</t>
  </si>
  <si>
    <t>PAT-&gt;ARG1/112,ARG2/2,ARG3/1</t>
  </si>
  <si>
    <t>CPHR-&gt;ARG0/5,ARG1/12570,ARG2/25,ARG3/29</t>
  </si>
  <si>
    <t>ACT-&gt;ARG0/60,ARG1/146</t>
  </si>
  <si>
    <t>PAT-&gt;ARG0/2,ARG1/57,ARG2/144</t>
  </si>
  <si>
    <t>EFF-&gt;ARG1/74,ARG2/14</t>
  </si>
  <si>
    <t>DIR3-&gt;ARG1/9,ARG2/48,ARG4/1380</t>
  </si>
  <si>
    <t>ACT-&gt;ARG0/34,ARG1/15</t>
  </si>
  <si>
    <t>ACT-&gt;ARG0/14,ARG1/224</t>
  </si>
  <si>
    <t>DIR3-&gt;ARG2/4,ARG4/94</t>
  </si>
  <si>
    <t>CPHR-&gt;ARG1/152,ARG2/13</t>
  </si>
  <si>
    <t>ACT-&gt;ARG0/303,ARG1/23</t>
  </si>
  <si>
    <t>CPHR-&gt;ARG0/28,ARG1/313,ARG2/34</t>
  </si>
  <si>
    <t>PAT-&gt;ARG1/277,ARG2/1</t>
  </si>
  <si>
    <t>DIR1-&gt;ARG1/3,ARG2/19</t>
  </si>
  <si>
    <t>ACT-&gt;ARG0/676,ARG1/6,ARG2/1</t>
  </si>
  <si>
    <t>PAT-&gt;ARG1/275,ARG2/4</t>
  </si>
  <si>
    <t>EFF-&gt;ARG1/561,ARG2/158</t>
  </si>
  <si>
    <t>ACT-&gt;ARG0/840,ARG1/40,ARG2/18,ARG3/1</t>
  </si>
  <si>
    <t>PAT-&gt;ARG0/1,ARG1/1133,ARG2/59,ARG3/1</t>
  </si>
  <si>
    <t>ACT-&gt;ARG0/1138,ARG1/46,ARG2/18,ARG3/2</t>
  </si>
  <si>
    <t>CPHR-&gt;ARG0/1,ARG1/1208,ARG2/59,ARG3/1</t>
  </si>
  <si>
    <t>ACT-&gt;ARG0/46,ARG1/1</t>
  </si>
  <si>
    <t>ACT-&gt;ARG0/7,ARG1/55,ARG4/1</t>
  </si>
  <si>
    <t>ACT-&gt;ARG0/203,ARG1/3435,ARG2/13</t>
  </si>
  <si>
    <t>DIR3-&gt;ARG1/228,ARG2/64,ARG4/2270,ARGM-LOC/2</t>
  </si>
  <si>
    <t>PAT-&gt;ARG1/3,ARG2/21</t>
  </si>
  <si>
    <t>ACT-&gt;ARG0/28,ARG1/93</t>
  </si>
  <si>
    <t>DPHR-&gt;ARG1/35</t>
  </si>
  <si>
    <t>ORIG-&gt;ARG1/2,ARG2/32</t>
  </si>
  <si>
    <t>EXT-&gt;ARG1/654</t>
  </si>
  <si>
    <t>ACT-&gt;ARG0/219,ARG2/1</t>
  </si>
  <si>
    <t>PAT-&gt;ARG1/241,ARG2/55,ARG3/10</t>
  </si>
  <si>
    <t>TFHL-&gt;ARG1/241,ARG2/55,ARG3/10</t>
  </si>
  <si>
    <t>ACT-&gt;ARG0/380,ARG1/4,ARG2/8</t>
  </si>
  <si>
    <t>PAT-&gt;ARG0/1,ARG1/117,ARG2/147,ARG3/4</t>
  </si>
  <si>
    <t>PAT-&gt;ARG1/459,ARG2/29,ARG3/20</t>
  </si>
  <si>
    <t>ADDR-&gt;ARG0/1,ARG1/110,ARG2/145,ARG3/4</t>
  </si>
  <si>
    <t>ADDR-&gt;ARG1/4,ARG2/2</t>
  </si>
  <si>
    <t>ACT-&gt;ARG0/22,ARG2/2</t>
  </si>
  <si>
    <t>ACT-&gt;ARG0/268,ARG1/4</t>
  </si>
  <si>
    <t>ACT-&gt;ARG0/13,ARG1/190</t>
  </si>
  <si>
    <t>ACT-&gt;ARG0/50,ARG1/15</t>
  </si>
  <si>
    <t>PAT-&gt;ARG1/138,ARG2/21</t>
  </si>
  <si>
    <t>ACT-&gt;ARG0/63,ARG1/12</t>
  </si>
  <si>
    <t>PAT-&gt;ARG1/217,ARG2/18,ARG3/3,ARG4/5</t>
  </si>
  <si>
    <t>ACT-&gt;ARG0/1224,ARG1/12,ARG3/9</t>
  </si>
  <si>
    <t>CPHR-&gt;ARG1/102,ARG2/4</t>
  </si>
  <si>
    <t>PAT-&gt;ARG0/1,ARG1/21,ARG2/39</t>
  </si>
  <si>
    <t>ADDR-&gt;ARG1/112,ARG2/2,ARG3/1</t>
  </si>
  <si>
    <t>ACT-&gt;ARG0/340,ARG2/3</t>
  </si>
  <si>
    <t>PAT-&gt;ARG1/955,ARG2/5</t>
  </si>
  <si>
    <t>ACT-&gt;ARG0/48,ARG1/7</t>
  </si>
  <si>
    <t>LOC-&gt;ARG1/49</t>
  </si>
  <si>
    <t>DIR1-&gt;ARG2/16</t>
  </si>
  <si>
    <t>ACT-&gt;ARG0/281,ARG1/6</t>
  </si>
  <si>
    <t>PAT-&gt;ARG1/505,ARG2/1,ARG4/6</t>
  </si>
  <si>
    <t>ACT-&gt;ARG0/46,ARG1/47</t>
  </si>
  <si>
    <t>ACT-&gt;ARG0/200,ARG1/3</t>
  </si>
  <si>
    <t>PAT-&gt;ARG1/288,ARG2/1</t>
  </si>
  <si>
    <t>ACT-&gt;ARG0/1013,ARG1/5</t>
  </si>
  <si>
    <t>PAT-&gt;ARG1/1611,ARG2/2</t>
  </si>
  <si>
    <t>ORIG-&gt;ARG1/1,ARG2/24</t>
  </si>
  <si>
    <t>ACT-&gt;ARG0/525,ARG1/5,ARG2/3</t>
  </si>
  <si>
    <t>PAT-&gt;ARG1/921,ARG2/1,ARG3/1,ARG4/5</t>
  </si>
  <si>
    <t>ACT-&gt;ARG0/1535,ARG1/10,ARG2/3</t>
  </si>
  <si>
    <t>PAT-&gt;ARG1/2529,ARG2/2,ARG3/1,ARG4/5</t>
  </si>
  <si>
    <t>ORIG-&gt;ARG1/2,ARG2/62</t>
  </si>
  <si>
    <t>ACT-&gt;ARG0/51,ARG1/1,ARG2/14</t>
  </si>
  <si>
    <t>ACT-&gt;ARG0/127,ARG1/1</t>
  </si>
  <si>
    <t>DPHR-&gt;ARG1/18,ARG2/30,ARG3/46</t>
  </si>
  <si>
    <t>PAT-&gt;ARG0/6,ARG1/188</t>
  </si>
  <si>
    <t>ACT-&gt;ARG0/11,ARG2/69</t>
  </si>
  <si>
    <t>PAT-&gt;ARG0/6,ARG1/59</t>
  </si>
  <si>
    <t>ACT-&gt;ARG0/2,ARG1/50,ARG2/84</t>
  </si>
  <si>
    <t>PAT-&gt;ARG1/104,ARG2/22</t>
  </si>
  <si>
    <t>ORIG-&gt;ARG3/813,ARG4/6,ARGM-LOC/1</t>
  </si>
  <si>
    <t>PAT-&gt;ARG1/228,ARG2/64,ARG4/2270,ARGM-LOC/2</t>
  </si>
  <si>
    <t>ACT-&gt;ARG0/38,ARG1/196</t>
  </si>
  <si>
    <t>PAT-&gt;ARG1/13,ARG2/19</t>
  </si>
  <si>
    <t>ACT-&gt;ARG0/1262,ARG1/9,ARG2/4</t>
  </si>
  <si>
    <t>CPHR-&gt;ARG1/782,ARG2/94</t>
  </si>
  <si>
    <t>ADDR-&gt;ARG0/1,ARG1/499,ARG2/225</t>
  </si>
  <si>
    <t>PAT-&gt;ARG0/1,ARG1/84,ARG3/1</t>
  </si>
  <si>
    <t>DIR1-&gt;ARG0/108,ARG1/3,ARG2/42</t>
  </si>
  <si>
    <t>ACT-&gt;ARG0/7,ARG1/17,ARG2/1</t>
  </si>
  <si>
    <t>PAT-&gt;ARG0/2,ARG1/15</t>
  </si>
  <si>
    <t>EXT-&gt;ARG3/17</t>
  </si>
  <si>
    <t>ACT-&gt;ARG0/194</t>
  </si>
  <si>
    <t>PAT-&gt;ARG0/1,ARG1/307,ARG2/1</t>
  </si>
  <si>
    <t>ACT-&gt;ARG0/262,ARG1/3,ARG2/26</t>
  </si>
  <si>
    <t>PAT-&gt;ARG1/560,ARG2/3</t>
  </si>
  <si>
    <t>PAT-&gt;ARG1/444,ARG2/2</t>
  </si>
  <si>
    <t>ADDR-&gt;ARG1/10,ARG2/373,ARG4/2</t>
  </si>
  <si>
    <t>ACT-&gt;ARG0/91,ARG1/15</t>
  </si>
  <si>
    <t>DPHR-&gt;ARG1/220</t>
  </si>
  <si>
    <t>ACT-&gt;ARG0/470,ARG1/6</t>
  </si>
  <si>
    <t>PAT-&gt;ARG1/648,ARG2/1,ARG3/4</t>
  </si>
  <si>
    <t>ACT-&gt;ARG0/121,ARG1/15</t>
  </si>
  <si>
    <t>ACT-&gt;ARG0/95,ARG1/210</t>
  </si>
  <si>
    <t>PAT-&gt;ARG0/1,ARG1/829,ARG2/354,ARG3/1</t>
  </si>
  <si>
    <t>ACT-&gt;ARG0/542,ARG1/213</t>
  </si>
  <si>
    <t>PAT-&gt;ARG1/811,ARG2/3</t>
  </si>
  <si>
    <t>ACT-&gt;ARG0/81,ARG1/4</t>
  </si>
  <si>
    <t>PAT-&gt;ARG1/115,ARG2/3</t>
  </si>
  <si>
    <t>ACT-&gt;ARG0/461,ARG1/209</t>
  </si>
  <si>
    <t>PAT-&gt;ARG1/696</t>
  </si>
  <si>
    <t>ADDR-&gt;ARG1/16,ARG2/71</t>
  </si>
  <si>
    <t>ACT-&gt;ARG0/33,ARG1/151,ARG2/2</t>
  </si>
  <si>
    <t>PAT-&gt;ARG0/2,ARG1/32,ARG2/141</t>
  </si>
  <si>
    <t>ACT-&gt;ARG0/23,ARG1/3,ARG2/14</t>
  </si>
  <si>
    <t>PAT-&gt;ARG1/65,ARG2/5</t>
  </si>
  <si>
    <t>PAT-&gt;ARG1/205,ARG2/1</t>
  </si>
  <si>
    <t>ACT-&gt;ARG0/195,ARG1/338</t>
  </si>
  <si>
    <t>DIR3-&gt;ARG1/145,ARG2/2</t>
  </si>
  <si>
    <t>ACT-&gt;ARG0/32,ARG1/1,ARG2/28</t>
  </si>
  <si>
    <t>PAT-&gt;ARG0/26,ARG1/1103,ARG2/2</t>
  </si>
  <si>
    <t>LOC-&gt;ARG0/6,ARG1/6,ARG2/492</t>
  </si>
  <si>
    <t>DIR3-&gt;ARG0/6,ARG1/44,ARG2/495</t>
  </si>
  <si>
    <t>ACT-&gt;ARG0/35,ARG1/13</t>
  </si>
  <si>
    <t>EFF-&gt;ARG1/4,ARG2/7</t>
  </si>
  <si>
    <t>ACT-&gt;ARG0/154,ARG1/97,ARG2/13</t>
  </si>
  <si>
    <t>PAT-&gt;ARG1/146,ARG2/100</t>
  </si>
  <si>
    <t>ACT-&gt;ARG0/71,ARG1/23</t>
  </si>
  <si>
    <t>PAT-&gt;ARG1/262,ARG2/3</t>
  </si>
  <si>
    <t>LOC-&gt;ARG1/1,ARG2/27</t>
  </si>
  <si>
    <t>PAT-&gt;ARG1/201,ARG2/9,ARG3/2</t>
  </si>
  <si>
    <t>DIR3-&gt;ARG1/1,ARG2/32</t>
  </si>
  <si>
    <t>ACT-&gt;ARG0/12,ARG1/1,ARG2/6</t>
  </si>
  <si>
    <t>ACT-&gt;ARG0/22,ARG1/3,ARG2/13</t>
  </si>
  <si>
    <t>PAT-&gt;ARG1/64,ARG2/5</t>
  </si>
  <si>
    <t>ACT-&gt;ARG0/9,ARG1/15</t>
  </si>
  <si>
    <t>PAT-&gt;ARG0/6,ARG1/6,ARG2/492</t>
  </si>
  <si>
    <t>ADDR-&gt;ARG1/1094,ARG2/2</t>
  </si>
  <si>
    <t>LOC-&gt;ARG1/14,ARG2/3</t>
  </si>
  <si>
    <t>ACT-&gt;ARG0/85,ARG1/1</t>
  </si>
  <si>
    <t>DIR3-&gt;ARG0/182,ARG1/101,ARG3/6</t>
  </si>
  <si>
    <t>LOC-&gt;ARG0/2,ARG1/32,ARG2/141</t>
  </si>
  <si>
    <t>EFF-&gt;ARG1/1,ARG2/35</t>
  </si>
  <si>
    <t>ACT-&gt;ARG0/80,ARG1/96</t>
  </si>
  <si>
    <t>LOC-&gt;ARG1/82,ARG4/6</t>
  </si>
  <si>
    <t>ACT-&gt;ARG0/20,ARG1/185,ARG2/1</t>
  </si>
  <si>
    <t>ACT-&gt;ARG0/39,ARG1/302,ARG2/1</t>
  </si>
  <si>
    <t>ACT-&gt;ARG0/614,ARG1/52</t>
  </si>
  <si>
    <t>CPHR-&gt;ARG1/158,ARG2/4</t>
  </si>
  <si>
    <t>ACT-&gt;ARG0/34,ARG1/4,ARG2/19</t>
  </si>
  <si>
    <t>PAT-&gt;ARG1/95,ARG2/6</t>
  </si>
  <si>
    <t>ACT-&gt;ARG0/30,ARG1/102</t>
  </si>
  <si>
    <t>ACT-&gt;ARG0/240,ARG1/3500,ARG2/13</t>
  </si>
  <si>
    <t>CPHR-&gt;ARG0/1,ARG1/257,ARG2/64,ARG4/2270,ARGM-LOC/2</t>
  </si>
  <si>
    <t>ACT-&gt;ARG0/31,ARG1/1,ARG2/27</t>
  </si>
  <si>
    <t>PAT-&gt;ARG1/1123,ARG2/2</t>
  </si>
  <si>
    <t>DIR3-&gt;ARG0/6,ARG1/6,ARG2/514</t>
  </si>
  <si>
    <t>ACT-&gt;ARG0/72,ARG1/5</t>
  </si>
  <si>
    <t>EFF-&gt;ARG0/4,ARG1/11732,ARG2/3,ARG3/30</t>
  </si>
  <si>
    <t>ADDR-&gt;ARG1/3,ARG2/352</t>
  </si>
  <si>
    <t>PAT-&gt;ARG1/11,ARG2/25</t>
  </si>
  <si>
    <t>ADDR-&gt;ARG1/35,ARG2/12</t>
  </si>
  <si>
    <t>ACT-&gt;ARG0/85,ARG1/179,ARG2/6</t>
  </si>
  <si>
    <t>ACT-&gt;ARG1/15,ARG3/2</t>
  </si>
  <si>
    <t>PAT-&gt;ARG0/6,ARG1/1,ARG2/1,ARG3/9</t>
  </si>
  <si>
    <t>PAT-&gt;ARG1/1,ARG3/3</t>
  </si>
  <si>
    <t>ACT-&gt;ARG0/119,ARG2/83</t>
  </si>
  <si>
    <t>ORIG-&gt;ARG3/11,ARG4/9</t>
  </si>
  <si>
    <t>EFF-&gt;ARG3/4,ARG4/28</t>
  </si>
  <si>
    <t>ACT-&gt;ARG0/19,ARG1/125</t>
  </si>
  <si>
    <t>PAT-&gt;ARG3/4,ARG4/28</t>
  </si>
  <si>
    <t>ACT-&gt;ARG0/131,ARG1/30</t>
  </si>
  <si>
    <t>ACT-&gt;ARG0/721,ARG1/26</t>
  </si>
  <si>
    <t>PAT-&gt;ARG1/1348,ARG2/10,ARG4/19</t>
  </si>
  <si>
    <t>ORIG-&gt;ARG3/99,ARG4/1</t>
  </si>
  <si>
    <t>EFF-&gt;ARG2/50,ARG3/1,ARG4/184,ARG5/1</t>
  </si>
  <si>
    <t>PAT-&gt;ARG0/1,ARG1/17</t>
  </si>
  <si>
    <t>ACT-&gt;ARG0/1,ARG1/168</t>
  </si>
  <si>
    <t>ACT-&gt;ARG0/524,ARG1/5,ARG2/3</t>
  </si>
  <si>
    <t>PAT-&gt;ARG1/923,ARG3/1,ARG4/5</t>
  </si>
  <si>
    <t>ACT-&gt;ARG0/194,ARG1/8</t>
  </si>
  <si>
    <t>ACT-&gt;ARG0/480,ARG1/1</t>
  </si>
  <si>
    <t>PAT-&gt;ARG1/658,ARG2/2</t>
  </si>
  <si>
    <t>PAT-&gt;ARG1/191,ARG2/3</t>
  </si>
  <si>
    <t>ACT-&gt;ARG0/1,ARG1/553,ARG4/70</t>
  </si>
  <si>
    <t>PAT-&gt;ARG1/354,ARG2/60,ARG4/181</t>
  </si>
  <si>
    <t>ORIG-&gt;ARG2/1,ARG3/29</t>
  </si>
  <si>
    <t>ACT-&gt;ARG0/20,ARG1/1998,ARG2/8</t>
  </si>
  <si>
    <t>ADDR-&gt;ARG1/18,ARG2/6</t>
  </si>
  <si>
    <t>PAT-&gt;ARG1/90,ARG2/11</t>
  </si>
  <si>
    <t>ACT-&gt;ARG0/13433,ARG1/39</t>
  </si>
  <si>
    <t>EFF-&gt;ARG0/4,ARG1/11977,ARG2/3,ARG3/30</t>
  </si>
  <si>
    <t>PAT-&gt;ARG0/4,ARG1/11977,ARG2/3,ARG3/30</t>
  </si>
  <si>
    <t>ADDR-&gt;ARG1/3,ARG2/353</t>
  </si>
  <si>
    <t>PAT-&gt;ARG1/308,ARG2/1</t>
  </si>
  <si>
    <t>ACT-&gt;ARG0/100,ARG2/9</t>
  </si>
  <si>
    <t>ACT-&gt;ARG0/74,ARG1/1,ARG2/2</t>
  </si>
  <si>
    <t>PAT-&gt;ARG0/6,ARG1/118</t>
  </si>
  <si>
    <t>ACT-&gt;ARG0/60,ARG1/1,ARG2/5</t>
  </si>
  <si>
    <t>PAT-&gt;ARG0/6,ARG1/91</t>
  </si>
  <si>
    <t>ACT-&gt;ARG0/6,ARG1/58</t>
  </si>
  <si>
    <t>PAT-&gt;ARG0/40,ARG1/1</t>
  </si>
  <si>
    <t>ACT-&gt;ARG0/87,ARG1/1,ARG2/5</t>
  </si>
  <si>
    <t>PAT-&gt;ARG0/6,ARG1/123</t>
  </si>
  <si>
    <t>PAT-&gt;ARG0/1,ARG1/23,ARG2/2</t>
  </si>
  <si>
    <t>ACT-&gt;ARG0/137,ARG1/11,ARG2/2</t>
  </si>
  <si>
    <t>EFF-&gt;ARG4/8</t>
  </si>
  <si>
    <t>ACT-&gt;ARG0/268,ARG2/3</t>
  </si>
  <si>
    <t>PAT-&gt;ARG1/473,ARG2/5</t>
  </si>
  <si>
    <t>ADDR-&gt;ARG1/12,ARG2/174,ARG3/29</t>
  </si>
  <si>
    <t>ACT-&gt;ARG0/1,ARG1/12</t>
  </si>
  <si>
    <t>ACT-&gt;ARG0/285,ARG1/4</t>
  </si>
  <si>
    <t>PAT-&gt;ARG1/371</t>
  </si>
  <si>
    <t>ACT-&gt;ARG0/46,ARG1/1,ARG2/1</t>
  </si>
  <si>
    <t>ADDR-&gt;ARG0/1,ARG1/14,ARG2/73</t>
  </si>
  <si>
    <t>PAT-&gt;ARG1/91,ARG2/17</t>
  </si>
  <si>
    <t>ACT-&gt;ARG0/433</t>
  </si>
  <si>
    <t>ADDR-&gt;ARG0/1,ARG1/20,ARG2/456,ARG4/2</t>
  </si>
  <si>
    <t>PAT-&gt;ARG1/579,ARG2/25</t>
  </si>
  <si>
    <t>ACT-&gt;ARG0/188,ARG1/1</t>
  </si>
  <si>
    <t>PAT-&gt;ARG1/265,ARG2/2</t>
  </si>
  <si>
    <t>DIR3-&gt;ARG1/179,ARG2/2</t>
  </si>
  <si>
    <t>ACT-&gt;ARG0/2308,ARG1/27</t>
  </si>
  <si>
    <t>PAT-&gt;ARG1/3390,ARG2/4,ARG3/2,ARG4/2</t>
  </si>
  <si>
    <t>ORIG-&gt;ARG1/15,ARG2/360,ARG3/13</t>
  </si>
  <si>
    <t>ACT-&gt;ARG0/295</t>
  </si>
  <si>
    <t>PAT-&gt;ARG1/448,ARG2/2</t>
  </si>
  <si>
    <t>ADDR-&gt;ARG1/2,ARG2/22,ARG3/1</t>
  </si>
  <si>
    <t>DIR3-&gt;ARG1/74,ARG2/36</t>
  </si>
  <si>
    <t>PAT-&gt;ARG0/4,ARG1/11732,ARG2/3,ARG3/30</t>
  </si>
  <si>
    <t>ACT-&gt;ARG0/1112,ARG1/3,ARG2/4</t>
  </si>
  <si>
    <t>PAT-&gt;ARG1/1274,ARG2/84</t>
  </si>
  <si>
    <t>ADDR-&gt;ARG1/83,ARG2/183</t>
  </si>
  <si>
    <t>mapping via CzEngVallex</t>
  </si>
  <si>
    <t>mapping via SynSemClass</t>
  </si>
  <si>
    <t>ID</t>
  </si>
  <si>
    <t>frame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</si>
</sst>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261"/>
  <sheetViews>
    <sheetView tabSelected="1" topLeftCell="A38833" zoomScaleNormal="100" workbookViewId="0">
      <selection activeCell="I38852" sqref="I38852"/>
    </sheetView>
  </sheetViews>
  <sheetFormatPr defaultColWidth="11.5703125" defaultRowHeight="12.75" x14ac:dyDescent="0.2"/>
  <cols>
    <col min="1" max="1" width="22.85546875" customWidth="1"/>
    <col min="2" max="2" width="49.7109375" customWidth="1"/>
    <col min="3" max="3" width="34.42578125" customWidth="1"/>
    <col min="4" max="4" width="25.7109375" customWidth="1"/>
    <col min="6" max="6" width="31.7109375" customWidth="1"/>
    <col min="7" max="7" width="18.140625" customWidth="1"/>
  </cols>
  <sheetData>
    <row r="1" spans="1:4" ht="16.5" thickTop="1" thickBot="1" x14ac:dyDescent="0.3">
      <c r="A1" s="1" t="s">
        <v>24593</v>
      </c>
      <c r="B1" s="1" t="s">
        <v>24594</v>
      </c>
      <c r="C1" s="1" t="s">
        <v>24591</v>
      </c>
      <c r="D1" s="1" t="s">
        <v>24592</v>
      </c>
    </row>
    <row r="2" spans="1:4" ht="13.5" thickTop="1" x14ac:dyDescent="0.2">
      <c r="A2" t="s">
        <v>0</v>
      </c>
      <c r="B2" t="str">
        <f>HYPERLINK("https://lindat.mff.cuni.cz/services/teitok/pdtc10/index.php?action=vallex&amp;frame=v-w1f1", "= (v-w1f1)")</f>
        <v>= (v-w1f1)</v>
      </c>
    </row>
    <row r="3" spans="1:4" x14ac:dyDescent="0.2">
      <c r="B3" t="s">
        <v>1</v>
      </c>
    </row>
    <row r="4" spans="1:4" x14ac:dyDescent="0.2">
      <c r="B4" t="s">
        <v>2</v>
      </c>
    </row>
    <row r="6" spans="1:4" x14ac:dyDescent="0.2">
      <c r="A6" t="s">
        <v>3</v>
      </c>
      <c r="B6" t="str">
        <f>HYPERLINK("https://lindat.mff.cuni.cz/services/teitok/pdtc10/index.php?action=vallex&amp;frame=v-w3f1", "abdikovat (v-w3f1)")</f>
        <v>abdikovat (v-w3f1)</v>
      </c>
    </row>
    <row r="7" spans="1:4" x14ac:dyDescent="0.2">
      <c r="B7" t="s">
        <v>1</v>
      </c>
    </row>
    <row r="9" spans="1:4" x14ac:dyDescent="0.2">
      <c r="A9" t="s">
        <v>4</v>
      </c>
      <c r="B9" t="str">
        <f>HYPERLINK("https://lindat.mff.cuni.cz/services/teitok/pdtc10/index.php?action=vallex&amp;frame=v-w5f1", "absentovat (v-w5f1)")</f>
        <v>absentovat (v-w5f1)</v>
      </c>
    </row>
    <row r="10" spans="1:4" x14ac:dyDescent="0.2">
      <c r="B10" t="s">
        <v>1</v>
      </c>
    </row>
    <row r="11" spans="1:4" x14ac:dyDescent="0.2">
      <c r="B11" t="s">
        <v>5</v>
      </c>
    </row>
    <row r="13" spans="1:4" x14ac:dyDescent="0.2">
      <c r="A13" t="s">
        <v>6</v>
      </c>
      <c r="B13" t="str">
        <f>HYPERLINK("https://lindat.mff.cuni.cz/services/teitok/pdtc10/index.php?action=vallex&amp;frame=v-w5f2", "absentovat (v-w5f2)")</f>
        <v>absentovat (v-w5f2)</v>
      </c>
    </row>
    <row r="14" spans="1:4" x14ac:dyDescent="0.2">
      <c r="B14" t="s">
        <v>1</v>
      </c>
    </row>
    <row r="16" spans="1:4" x14ac:dyDescent="0.2">
      <c r="A16" t="s">
        <v>7</v>
      </c>
      <c r="B16" t="str">
        <f>HYPERLINK("https://lindat.mff.cuni.cz/services/teitok/pdtc10/index.php?action=vallex&amp;frame=v-w9f5_ZU", "absolvovat (v-w9f5_ZU)")</f>
        <v>absolvovat (v-w9f5_ZU)</v>
      </c>
    </row>
    <row r="17" spans="1:4" x14ac:dyDescent="0.2">
      <c r="B17" t="s">
        <v>1</v>
      </c>
    </row>
    <row r="18" spans="1:4" x14ac:dyDescent="0.2">
      <c r="B18" t="s">
        <v>8</v>
      </c>
    </row>
    <row r="20" spans="1:4" x14ac:dyDescent="0.2">
      <c r="A20" t="s">
        <v>7</v>
      </c>
      <c r="B20" t="str">
        <f>HYPERLINK("https://lindat.mff.cuni.cz/services/teitok/pdtc10/index.php?action=vallex&amp;frame=v-w9f1", "absolvovat (v-w9f1) - substituted with v-w9f5_ZU")</f>
        <v>absolvovat (v-w9f1) - substituted with v-w9f5_ZU</v>
      </c>
    </row>
    <row r="21" spans="1:4" x14ac:dyDescent="0.2">
      <c r="B21" t="s">
        <v>1</v>
      </c>
      <c r="C21" t="s">
        <v>10</v>
      </c>
      <c r="D21" t="s">
        <v>715</v>
      </c>
    </row>
    <row r="22" spans="1:4" x14ac:dyDescent="0.2">
      <c r="B22" t="s">
        <v>8</v>
      </c>
      <c r="C22" t="s">
        <v>11</v>
      </c>
      <c r="D22" t="s">
        <v>2691</v>
      </c>
    </row>
    <row r="24" spans="1:4" x14ac:dyDescent="0.2">
      <c r="A24" t="s">
        <v>7</v>
      </c>
      <c r="B24" t="str">
        <f>HYPERLINK("https://lindat.mff.cuni.cz/services/teitok/pdtc10/index.php?action=vallex&amp;frame=v-w9f4_ZU", "absolvovat (v-w9f4_ZU) - substituted with v-w9f5_ZU")</f>
        <v>absolvovat (v-w9f4_ZU) - substituted with v-w9f5_ZU</v>
      </c>
    </row>
    <row r="25" spans="1:4" x14ac:dyDescent="0.2">
      <c r="B25" t="s">
        <v>1</v>
      </c>
    </row>
    <row r="26" spans="1:4" x14ac:dyDescent="0.2">
      <c r="B26" t="s">
        <v>8</v>
      </c>
    </row>
    <row r="28" spans="1:4" x14ac:dyDescent="0.2">
      <c r="A28" t="s">
        <v>14</v>
      </c>
      <c r="B28" t="str">
        <f>HYPERLINK("https://lindat.mff.cuni.cz/services/teitok/pdtc10/index.php?action=vallex&amp;frame=v-w9f3_ZU", "absolvovat (v-w9f3_ZU)")</f>
        <v>absolvovat (v-w9f3_ZU)</v>
      </c>
    </row>
    <row r="29" spans="1:4" x14ac:dyDescent="0.2">
      <c r="B29" t="s">
        <v>1</v>
      </c>
    </row>
    <row r="30" spans="1:4" x14ac:dyDescent="0.2">
      <c r="B30" t="s">
        <v>8</v>
      </c>
    </row>
    <row r="32" spans="1:4" x14ac:dyDescent="0.2">
      <c r="A32" t="s">
        <v>14</v>
      </c>
      <c r="B32" t="str">
        <f>HYPERLINK("https://lindat.mff.cuni.cz/services/teitok/pdtc10/index.php?action=vallex&amp;frame=v-w9f2_ZU", "absolvovat (v-w9f2_ZU) - substituted with v-w9f3_ZU")</f>
        <v>absolvovat (v-w9f2_ZU) - substituted with v-w9f3_ZU</v>
      </c>
    </row>
    <row r="33" spans="1:4" x14ac:dyDescent="0.2">
      <c r="B33" t="s">
        <v>1</v>
      </c>
    </row>
    <row r="34" spans="1:4" x14ac:dyDescent="0.2">
      <c r="B34" t="s">
        <v>8</v>
      </c>
    </row>
    <row r="36" spans="1:4" x14ac:dyDescent="0.2">
      <c r="A36" t="s">
        <v>15</v>
      </c>
      <c r="B36" t="str">
        <f>HYPERLINK("https://lindat.mff.cuni.cz/services/teitok/pdtc10/index.php?action=vallex&amp;frame=v-w10f1", "absorbovat (v-w10f1)")</f>
        <v>absorbovat (v-w10f1)</v>
      </c>
    </row>
    <row r="37" spans="1:4" x14ac:dyDescent="0.2">
      <c r="B37" t="s">
        <v>1</v>
      </c>
      <c r="C37" t="s">
        <v>16</v>
      </c>
      <c r="D37" t="s">
        <v>967</v>
      </c>
    </row>
    <row r="38" spans="1:4" x14ac:dyDescent="0.2">
      <c r="B38" t="s">
        <v>8</v>
      </c>
      <c r="C38" t="s">
        <v>17</v>
      </c>
      <c r="D38" t="s">
        <v>5674</v>
      </c>
    </row>
    <row r="40" spans="1:4" x14ac:dyDescent="0.2">
      <c r="A40" t="s">
        <v>18</v>
      </c>
      <c r="B40" t="str">
        <f>HYPERLINK("https://lindat.mff.cuni.cz/services/teitok/pdtc10/index.php?action=vallex&amp;frame=v-w12f2", "abstrahovat (v-w12f2)")</f>
        <v>abstrahovat (v-w12f2)</v>
      </c>
    </row>
    <row r="41" spans="1:4" x14ac:dyDescent="0.2">
      <c r="B41" t="s">
        <v>1</v>
      </c>
    </row>
    <row r="42" spans="1:4" x14ac:dyDescent="0.2">
      <c r="B42" t="s">
        <v>19</v>
      </c>
    </row>
    <row r="44" spans="1:4" x14ac:dyDescent="0.2">
      <c r="A44" t="s">
        <v>20</v>
      </c>
      <c r="B44" t="str">
        <f>HYPERLINK("https://lindat.mff.cuni.cz/services/teitok/pdtc10/index.php?action=vallex&amp;frame=v-w12f1", "abstrahovat (v-w12f1)")</f>
        <v>abstrahovat (v-w12f1)</v>
      </c>
    </row>
    <row r="45" spans="1:4" x14ac:dyDescent="0.2">
      <c r="B45" t="s">
        <v>1</v>
      </c>
    </row>
    <row r="47" spans="1:4" x14ac:dyDescent="0.2">
      <c r="A47" t="s">
        <v>21</v>
      </c>
      <c r="B47" t="str">
        <f>HYPERLINK("https://lindat.mff.cuni.cz/services/teitok/pdtc10/index.php?action=vallex&amp;frame=v-w15f1", "adaptovat (v-w15f1)")</f>
        <v>adaptovat (v-w15f1)</v>
      </c>
    </row>
    <row r="48" spans="1:4" x14ac:dyDescent="0.2">
      <c r="B48" t="s">
        <v>1</v>
      </c>
      <c r="C48" t="s">
        <v>22</v>
      </c>
      <c r="D48" t="s">
        <v>22944</v>
      </c>
    </row>
    <row r="49" spans="1:4" x14ac:dyDescent="0.2">
      <c r="B49" t="s">
        <v>8</v>
      </c>
      <c r="C49" t="s">
        <v>23</v>
      </c>
      <c r="D49" t="s">
        <v>22945</v>
      </c>
    </row>
    <row r="50" spans="1:4" x14ac:dyDescent="0.2">
      <c r="B50" t="s">
        <v>24</v>
      </c>
      <c r="D50" t="s">
        <v>22946</v>
      </c>
    </row>
    <row r="51" spans="1:4" x14ac:dyDescent="0.2">
      <c r="B51" t="s">
        <v>25</v>
      </c>
      <c r="C51" t="s">
        <v>26</v>
      </c>
      <c r="D51" t="s">
        <v>22947</v>
      </c>
    </row>
    <row r="53" spans="1:4" x14ac:dyDescent="0.2">
      <c r="A53" t="s">
        <v>27</v>
      </c>
      <c r="B53" t="str">
        <f>HYPERLINK("https://lindat.mff.cuni.cz/services/teitok/pdtc10/index.php?action=vallex&amp;frame=v-w16f1", "adaptovat se (v-w16f1)")</f>
        <v>adaptovat se (v-w16f1)</v>
      </c>
    </row>
    <row r="54" spans="1:4" x14ac:dyDescent="0.2">
      <c r="B54" t="s">
        <v>1</v>
      </c>
    </row>
    <row r="55" spans="1:4" x14ac:dyDescent="0.2">
      <c r="B55" t="s">
        <v>28</v>
      </c>
    </row>
    <row r="57" spans="1:4" x14ac:dyDescent="0.2">
      <c r="A57" t="s">
        <v>29</v>
      </c>
      <c r="B57" t="str">
        <f>HYPERLINK("https://lindat.mff.cuni.cz/services/teitok/pdtc10/index.php?action=vallex&amp;frame=v-w20f1", "adoptovat (v-w20f1)")</f>
        <v>adoptovat (v-w20f1)</v>
      </c>
    </row>
    <row r="58" spans="1:4" x14ac:dyDescent="0.2">
      <c r="B58" t="s">
        <v>1</v>
      </c>
      <c r="C58" t="s">
        <v>30</v>
      </c>
    </row>
    <row r="59" spans="1:4" x14ac:dyDescent="0.2">
      <c r="B59" t="s">
        <v>8</v>
      </c>
      <c r="C59" t="s">
        <v>31</v>
      </c>
    </row>
    <row r="61" spans="1:4" x14ac:dyDescent="0.2">
      <c r="A61" t="s">
        <v>32</v>
      </c>
      <c r="B61" t="str">
        <f>HYPERLINK("https://lindat.mff.cuni.cz/services/teitok/pdtc10/index.php?action=vallex&amp;frame=v-w23f1", "adresovat (v-w23f1)")</f>
        <v>adresovat (v-w23f1)</v>
      </c>
    </row>
    <row r="62" spans="1:4" x14ac:dyDescent="0.2">
      <c r="B62" t="s">
        <v>1</v>
      </c>
      <c r="C62" t="s">
        <v>33</v>
      </c>
    </row>
    <row r="63" spans="1:4" x14ac:dyDescent="0.2">
      <c r="B63" t="s">
        <v>8</v>
      </c>
      <c r="C63" t="s">
        <v>34</v>
      </c>
    </row>
    <row r="64" spans="1:4" x14ac:dyDescent="0.2">
      <c r="B64" t="s">
        <v>35</v>
      </c>
      <c r="C64" t="s">
        <v>36</v>
      </c>
    </row>
    <row r="66" spans="1:4" x14ac:dyDescent="0.2">
      <c r="A66" t="s">
        <v>37</v>
      </c>
      <c r="B66" t="str">
        <f>HYPERLINK("https://lindat.mff.cuni.cz/services/teitok/pdtc10/index.php?action=vallex&amp;frame=v-whsa_1919hsa_1920", "agitovat (v-whsa_1919hsa_1920)")</f>
        <v>agitovat (v-whsa_1919hsa_1920)</v>
      </c>
    </row>
    <row r="67" spans="1:4" x14ac:dyDescent="0.2">
      <c r="B67" t="s">
        <v>1</v>
      </c>
    </row>
    <row r="68" spans="1:4" x14ac:dyDescent="0.2">
      <c r="B68" t="s">
        <v>38</v>
      </c>
    </row>
    <row r="70" spans="1:4" x14ac:dyDescent="0.2">
      <c r="A70" t="s">
        <v>39</v>
      </c>
      <c r="B70" t="str">
        <f>HYPERLINK("https://lindat.mff.cuni.cz/services/teitok/pdtc10/index.php?action=vallex&amp;frame=v-w28f1", "akcelerovat (v-w28f1)")</f>
        <v>akcelerovat (v-w28f1)</v>
      </c>
    </row>
    <row r="71" spans="1:4" x14ac:dyDescent="0.2">
      <c r="B71" t="s">
        <v>1</v>
      </c>
    </row>
    <row r="73" spans="1:4" x14ac:dyDescent="0.2">
      <c r="A73" t="s">
        <v>40</v>
      </c>
      <c r="B73" t="str">
        <f>HYPERLINK("https://lindat.mff.cuni.cz/services/teitok/pdtc10/index.php?action=vallex&amp;frame=v-w31f1", "akcentovat (v-w31f1)")</f>
        <v>akcentovat (v-w31f1)</v>
      </c>
    </row>
    <row r="74" spans="1:4" x14ac:dyDescent="0.2">
      <c r="B74" t="s">
        <v>1</v>
      </c>
    </row>
    <row r="75" spans="1:4" x14ac:dyDescent="0.2">
      <c r="B75" t="s">
        <v>41</v>
      </c>
    </row>
    <row r="77" spans="1:4" x14ac:dyDescent="0.2">
      <c r="A77" t="s">
        <v>42</v>
      </c>
      <c r="B77" t="str">
        <f>HYPERLINK("https://lindat.mff.cuni.cz/services/teitok/pdtc10/index.php?action=vallex&amp;frame=v-w34f1", "akceptovat (v-w34f1)")</f>
        <v>akceptovat (v-w34f1)</v>
      </c>
    </row>
    <row r="78" spans="1:4" x14ac:dyDescent="0.2">
      <c r="B78" t="s">
        <v>1</v>
      </c>
      <c r="C78" t="s">
        <v>43</v>
      </c>
      <c r="D78" t="s">
        <v>22948</v>
      </c>
    </row>
    <row r="79" spans="1:4" x14ac:dyDescent="0.2">
      <c r="B79" t="s">
        <v>41</v>
      </c>
      <c r="C79" t="s">
        <v>44</v>
      </c>
      <c r="D79" t="s">
        <v>22949</v>
      </c>
    </row>
    <row r="81" spans="1:2" x14ac:dyDescent="0.2">
      <c r="A81" t="s">
        <v>45</v>
      </c>
      <c r="B81" t="str">
        <f>HYPERLINK("https://lindat.mff.cuni.cz/services/teitok/pdtc10/index.php?action=vallex&amp;frame=v-w11998_ZUf2_ZU", "aklimatizovat se (v-w11998_ZUf2_ZU)")</f>
        <v>aklimatizovat se (v-w11998_ZUf2_ZU)</v>
      </c>
    </row>
    <row r="82" spans="1:2" x14ac:dyDescent="0.2">
      <c r="B82" t="s">
        <v>1</v>
      </c>
    </row>
    <row r="83" spans="1:2" x14ac:dyDescent="0.2">
      <c r="B83" t="s">
        <v>46</v>
      </c>
    </row>
    <row r="85" spans="1:2" x14ac:dyDescent="0.2">
      <c r="A85" t="s">
        <v>45</v>
      </c>
      <c r="B85" t="str">
        <f>HYPERLINK("https://lindat.mff.cuni.cz/services/teitok/pdtc10/index.php?action=vallex&amp;frame=v-w11998_ZUf1_ZU", "aklimatizovat se (v-w11998_ZUf1_ZU) - substituted with v-w11998_ZUf2_ZU")</f>
        <v>aklimatizovat se (v-w11998_ZUf1_ZU) - substituted with v-w11998_ZUf2_ZU</v>
      </c>
    </row>
    <row r="86" spans="1:2" x14ac:dyDescent="0.2">
      <c r="B86" t="s">
        <v>1</v>
      </c>
    </row>
    <row r="87" spans="1:2" x14ac:dyDescent="0.2">
      <c r="B87" t="s">
        <v>46</v>
      </c>
    </row>
    <row r="89" spans="1:2" x14ac:dyDescent="0.2">
      <c r="A89" t="s">
        <v>47</v>
      </c>
      <c r="B89" t="str">
        <f>HYPERLINK("https://lindat.mff.cuni.cz/services/teitok/pdtc10/index.php?action=vallex&amp;frame=v-w36f1", "akreditovat (v-w36f1)")</f>
        <v>akreditovat (v-w36f1)</v>
      </c>
    </row>
    <row r="90" spans="1:2" x14ac:dyDescent="0.2">
      <c r="B90" t="s">
        <v>1</v>
      </c>
    </row>
    <row r="91" spans="1:2" x14ac:dyDescent="0.2">
      <c r="B91" t="s">
        <v>8</v>
      </c>
    </row>
    <row r="93" spans="1:2" x14ac:dyDescent="0.2">
      <c r="A93" t="s">
        <v>48</v>
      </c>
      <c r="B93" t="str">
        <f>HYPERLINK("https://lindat.mff.cuni.cz/services/teitok/pdtc10/index.php?action=vallex&amp;frame=v-w39f1", "aktivizovat (v-w39f1)")</f>
        <v>aktivizovat (v-w39f1)</v>
      </c>
    </row>
    <row r="94" spans="1:2" x14ac:dyDescent="0.2">
      <c r="B94" t="s">
        <v>1</v>
      </c>
    </row>
    <row r="95" spans="1:2" x14ac:dyDescent="0.2">
      <c r="B95" t="s">
        <v>8</v>
      </c>
    </row>
    <row r="97" spans="1:4" x14ac:dyDescent="0.2">
      <c r="A97" t="s">
        <v>49</v>
      </c>
      <c r="B97" t="str">
        <f>HYPERLINK("https://lindat.mff.cuni.cz/services/teitok/pdtc10/index.php?action=vallex&amp;frame=v-w40f1", "aktivizovat se (v-w40f1)")</f>
        <v>aktivizovat se (v-w40f1)</v>
      </c>
    </row>
    <row r="98" spans="1:4" x14ac:dyDescent="0.2">
      <c r="B98" t="s">
        <v>1</v>
      </c>
    </row>
    <row r="100" spans="1:4" x14ac:dyDescent="0.2">
      <c r="A100" t="s">
        <v>50</v>
      </c>
      <c r="B100" t="str">
        <f>HYPERLINK("https://lindat.mff.cuni.cz/services/teitok/pdtc10/index.php?action=vallex&amp;frame=v-w10527f2", "aktivovat (v-w10527f2)")</f>
        <v>aktivovat (v-w10527f2)</v>
      </c>
    </row>
    <row r="101" spans="1:4" x14ac:dyDescent="0.2">
      <c r="B101" t="s">
        <v>1</v>
      </c>
      <c r="C101" t="s">
        <v>51</v>
      </c>
      <c r="D101" t="s">
        <v>22950</v>
      </c>
    </row>
    <row r="102" spans="1:4" x14ac:dyDescent="0.2">
      <c r="B102" t="s">
        <v>8</v>
      </c>
      <c r="C102" t="s">
        <v>52</v>
      </c>
      <c r="D102" t="s">
        <v>22951</v>
      </c>
    </row>
    <row r="104" spans="1:4" x14ac:dyDescent="0.2">
      <c r="A104" t="s">
        <v>53</v>
      </c>
      <c r="B104" t="str">
        <f>HYPERLINK("https://lindat.mff.cuni.cz/services/teitok/pdtc10/index.php?action=vallex&amp;frame=v-w42f1", "aktualizovat (v-w42f1)")</f>
        <v>aktualizovat (v-w42f1)</v>
      </c>
    </row>
    <row r="105" spans="1:4" x14ac:dyDescent="0.2">
      <c r="B105" t="s">
        <v>1</v>
      </c>
      <c r="C105" t="s">
        <v>33</v>
      </c>
      <c r="D105" t="s">
        <v>3742</v>
      </c>
    </row>
    <row r="106" spans="1:4" x14ac:dyDescent="0.2">
      <c r="B106" t="s">
        <v>8</v>
      </c>
      <c r="C106" t="s">
        <v>54</v>
      </c>
      <c r="D106" t="s">
        <v>5571</v>
      </c>
    </row>
    <row r="108" spans="1:4" x14ac:dyDescent="0.2">
      <c r="A108" t="s">
        <v>55</v>
      </c>
      <c r="B108" t="str">
        <f>HYPERLINK("https://lindat.mff.cuni.cz/services/teitok/pdtc10/index.php?action=vallex&amp;frame=v-w44f1", "akumulovat (v-w44f1)")</f>
        <v>akumulovat (v-w44f1)</v>
      </c>
    </row>
    <row r="109" spans="1:4" x14ac:dyDescent="0.2">
      <c r="B109" t="s">
        <v>1</v>
      </c>
      <c r="C109" t="s">
        <v>22</v>
      </c>
      <c r="D109" t="s">
        <v>16226</v>
      </c>
    </row>
    <row r="110" spans="1:4" x14ac:dyDescent="0.2">
      <c r="B110" t="s">
        <v>8</v>
      </c>
      <c r="C110" t="s">
        <v>56</v>
      </c>
      <c r="D110" t="s">
        <v>3270</v>
      </c>
    </row>
    <row r="112" spans="1:4" x14ac:dyDescent="0.2">
      <c r="A112" t="s">
        <v>57</v>
      </c>
      <c r="B112" t="str">
        <f>HYPERLINK("https://lindat.mff.cuni.cz/services/teitok/pdtc10/index.php?action=vallex&amp;frame=v-w46f1", "alarmovat (v-w46f1)")</f>
        <v>alarmovat (v-w46f1)</v>
      </c>
    </row>
    <row r="113" spans="1:4" x14ac:dyDescent="0.2">
      <c r="B113" t="s">
        <v>1</v>
      </c>
    </row>
    <row r="114" spans="1:4" x14ac:dyDescent="0.2">
      <c r="B114" t="s">
        <v>58</v>
      </c>
    </row>
    <row r="115" spans="1:4" x14ac:dyDescent="0.2">
      <c r="B115" t="s">
        <v>59</v>
      </c>
    </row>
    <row r="117" spans="1:4" x14ac:dyDescent="0.2">
      <c r="A117" t="s">
        <v>60</v>
      </c>
      <c r="B117" t="str">
        <f>HYPERLINK("https://lindat.mff.cuni.cz/services/teitok/pdtc10/index.php?action=vallex&amp;frame=v-w10972f3", "alokovat (v-w10972f3)")</f>
        <v>alokovat (v-w10972f3)</v>
      </c>
    </row>
    <row r="118" spans="1:4" x14ac:dyDescent="0.2">
      <c r="B118" t="s">
        <v>1</v>
      </c>
    </row>
    <row r="119" spans="1:4" x14ac:dyDescent="0.2">
      <c r="B119" t="s">
        <v>8</v>
      </c>
    </row>
    <row r="120" spans="1:4" x14ac:dyDescent="0.2">
      <c r="B120" t="s">
        <v>24</v>
      </c>
    </row>
    <row r="121" spans="1:4" x14ac:dyDescent="0.2">
      <c r="B121" t="s">
        <v>61</v>
      </c>
    </row>
    <row r="123" spans="1:4" x14ac:dyDescent="0.2">
      <c r="A123" t="s">
        <v>62</v>
      </c>
      <c r="B123" t="str">
        <f>HYPERLINK("https://lindat.mff.cuni.cz/services/teitok/pdtc10/index.php?action=vallex&amp;frame=v-w54f1", "alternovat (v-w54f1)")</f>
        <v>alternovat (v-w54f1)</v>
      </c>
    </row>
    <row r="124" spans="1:4" x14ac:dyDescent="0.2">
      <c r="B124" t="s">
        <v>1</v>
      </c>
    </row>
    <row r="125" spans="1:4" x14ac:dyDescent="0.2">
      <c r="B125" t="s">
        <v>63</v>
      </c>
    </row>
    <row r="127" spans="1:4" x14ac:dyDescent="0.2">
      <c r="A127" t="s">
        <v>64</v>
      </c>
      <c r="B127" t="str">
        <f>HYPERLINK("https://lindat.mff.cuni.cz/services/teitok/pdtc10/index.php?action=vallex&amp;frame=v-w56f1", "amputovat (v-w56f1)")</f>
        <v>amputovat (v-w56f1)</v>
      </c>
    </row>
    <row r="128" spans="1:4" x14ac:dyDescent="0.2">
      <c r="B128" t="s">
        <v>1</v>
      </c>
      <c r="D128" t="s">
        <v>373</v>
      </c>
    </row>
    <row r="129" spans="1:4" x14ac:dyDescent="0.2">
      <c r="B129" t="s">
        <v>8</v>
      </c>
      <c r="D129" t="s">
        <v>3773</v>
      </c>
    </row>
    <row r="131" spans="1:4" x14ac:dyDescent="0.2">
      <c r="A131" t="s">
        <v>65</v>
      </c>
      <c r="B131" t="str">
        <f>HYPERLINK("https://lindat.mff.cuni.cz/services/teitok/pdtc10/index.php?action=vallex&amp;frame=v-w59f1", "analyzovat (v-w59f1)")</f>
        <v>analyzovat (v-w59f1)</v>
      </c>
    </row>
    <row r="132" spans="1:4" x14ac:dyDescent="0.2">
      <c r="B132" t="s">
        <v>1</v>
      </c>
      <c r="C132" t="s">
        <v>66</v>
      </c>
      <c r="D132" t="s">
        <v>22952</v>
      </c>
    </row>
    <row r="133" spans="1:4" x14ac:dyDescent="0.2">
      <c r="B133" t="s">
        <v>67</v>
      </c>
      <c r="C133" t="s">
        <v>68</v>
      </c>
      <c r="D133" t="s">
        <v>22953</v>
      </c>
    </row>
    <row r="135" spans="1:4" x14ac:dyDescent="0.2">
      <c r="A135" t="s">
        <v>69</v>
      </c>
      <c r="B135" t="str">
        <f>HYPERLINK("https://lindat.mff.cuni.cz/services/teitok/pdtc10/index.php?action=vallex&amp;frame=v-w61f1", "anektovat (v-w61f1)")</f>
        <v>anektovat (v-w61f1)</v>
      </c>
    </row>
    <row r="136" spans="1:4" x14ac:dyDescent="0.2">
      <c r="B136" t="s">
        <v>1</v>
      </c>
    </row>
    <row r="137" spans="1:4" x14ac:dyDescent="0.2">
      <c r="B137" t="s">
        <v>8</v>
      </c>
    </row>
    <row r="139" spans="1:4" x14ac:dyDescent="0.2">
      <c r="A139" t="s">
        <v>70</v>
      </c>
      <c r="B139" t="str">
        <f>HYPERLINK("https://lindat.mff.cuni.cz/services/teitok/pdtc10/index.php?action=vallex&amp;frame=v-w64f1", "angažovat (v-w64f1)")</f>
        <v>angažovat (v-w64f1)</v>
      </c>
    </row>
    <row r="140" spans="1:4" x14ac:dyDescent="0.2">
      <c r="B140" t="s">
        <v>1</v>
      </c>
    </row>
    <row r="141" spans="1:4" x14ac:dyDescent="0.2">
      <c r="B141" t="s">
        <v>8</v>
      </c>
    </row>
    <row r="142" spans="1:4" x14ac:dyDescent="0.2">
      <c r="B142" t="s">
        <v>71</v>
      </c>
    </row>
    <row r="144" spans="1:4" x14ac:dyDescent="0.2">
      <c r="A144" t="s">
        <v>72</v>
      </c>
      <c r="B144" t="str">
        <f>HYPERLINK("https://lindat.mff.cuni.cz/services/teitok/pdtc10/index.php?action=vallex&amp;frame=v-w64f2_ZU", "angažovat (v-w64f2_ZU)")</f>
        <v>angažovat (v-w64f2_ZU)</v>
      </c>
    </row>
    <row r="145" spans="1:4" x14ac:dyDescent="0.2">
      <c r="B145" t="s">
        <v>1</v>
      </c>
      <c r="C145" t="s">
        <v>73</v>
      </c>
    </row>
    <row r="146" spans="1:4" x14ac:dyDescent="0.2">
      <c r="B146" t="s">
        <v>8</v>
      </c>
      <c r="C146" t="s">
        <v>74</v>
      </c>
    </row>
    <row r="148" spans="1:4" x14ac:dyDescent="0.2">
      <c r="A148" t="s">
        <v>75</v>
      </c>
      <c r="B148" t="str">
        <f>HYPERLINK("https://lindat.mff.cuni.cz/services/teitok/pdtc10/index.php?action=vallex&amp;frame=v-w65f1", "angažovat se (v-w65f1)")</f>
        <v>angažovat se (v-w65f1)</v>
      </c>
    </row>
    <row r="149" spans="1:4" x14ac:dyDescent="0.2">
      <c r="B149" t="s">
        <v>1</v>
      </c>
      <c r="C149" t="s">
        <v>76</v>
      </c>
      <c r="D149" t="s">
        <v>22954</v>
      </c>
    </row>
    <row r="151" spans="1:4" x14ac:dyDescent="0.2">
      <c r="A151" t="s">
        <v>77</v>
      </c>
      <c r="B151" t="str">
        <f>HYPERLINK("https://lindat.mff.cuni.cz/services/teitok/pdtc10/index.php?action=vallex&amp;frame=v-w67f1", "anoncovat (v-w67f1)")</f>
        <v>anoncovat (v-w67f1)</v>
      </c>
    </row>
    <row r="152" spans="1:4" x14ac:dyDescent="0.2">
      <c r="B152" t="s">
        <v>1</v>
      </c>
    </row>
    <row r="153" spans="1:4" x14ac:dyDescent="0.2">
      <c r="B153" t="s">
        <v>8</v>
      </c>
    </row>
    <row r="154" spans="1:4" x14ac:dyDescent="0.2">
      <c r="B154" t="s">
        <v>78</v>
      </c>
    </row>
    <row r="156" spans="1:4" x14ac:dyDescent="0.2">
      <c r="A156" t="s">
        <v>79</v>
      </c>
      <c r="B156" t="str">
        <f>HYPERLINK("https://lindat.mff.cuni.cz/services/teitok/pdtc10/index.php?action=vallex&amp;frame=v-w70f1", "anulovat (v-w70f1)")</f>
        <v>anulovat (v-w70f1)</v>
      </c>
    </row>
    <row r="157" spans="1:4" x14ac:dyDescent="0.2">
      <c r="B157" t="s">
        <v>1</v>
      </c>
      <c r="C157" t="s">
        <v>80</v>
      </c>
      <c r="D157" t="s">
        <v>22955</v>
      </c>
    </row>
    <row r="158" spans="1:4" x14ac:dyDescent="0.2">
      <c r="B158" t="s">
        <v>8</v>
      </c>
      <c r="C158" t="s">
        <v>81</v>
      </c>
      <c r="D158" t="s">
        <v>9011</v>
      </c>
    </row>
    <row r="160" spans="1:4" x14ac:dyDescent="0.2">
      <c r="A160" t="s">
        <v>82</v>
      </c>
      <c r="B160" t="str">
        <f>HYPERLINK("https://lindat.mff.cuni.cz/services/teitok/pdtc10/index.php?action=vallex&amp;frame=v-w72f1", "apelovat (v-w72f1)")</f>
        <v>apelovat (v-w72f1)</v>
      </c>
    </row>
    <row r="161" spans="1:4" x14ac:dyDescent="0.2">
      <c r="B161" t="s">
        <v>1</v>
      </c>
      <c r="C161" t="s">
        <v>83</v>
      </c>
      <c r="D161" t="s">
        <v>22956</v>
      </c>
    </row>
    <row r="162" spans="1:4" x14ac:dyDescent="0.2">
      <c r="B162" t="s">
        <v>28</v>
      </c>
      <c r="C162" t="s">
        <v>84</v>
      </c>
      <c r="D162" t="s">
        <v>22957</v>
      </c>
    </row>
    <row r="164" spans="1:4" x14ac:dyDescent="0.2">
      <c r="A164" t="s">
        <v>85</v>
      </c>
      <c r="B164" t="str">
        <f>HYPERLINK("https://lindat.mff.cuni.cz/services/teitok/pdtc10/index.php?action=vallex&amp;frame=v-w73f1", "aplaudovat (v-w73f1)")</f>
        <v>aplaudovat (v-w73f1)</v>
      </c>
    </row>
    <row r="165" spans="1:4" x14ac:dyDescent="0.2">
      <c r="B165" t="s">
        <v>1</v>
      </c>
      <c r="D165" t="s">
        <v>990</v>
      </c>
    </row>
    <row r="166" spans="1:4" x14ac:dyDescent="0.2">
      <c r="B166" t="s">
        <v>86</v>
      </c>
      <c r="D166" t="s">
        <v>1340</v>
      </c>
    </row>
    <row r="168" spans="1:4" x14ac:dyDescent="0.2">
      <c r="A168" t="s">
        <v>87</v>
      </c>
      <c r="B168" t="str">
        <f>HYPERLINK("https://lindat.mff.cuni.cz/services/teitok/pdtc10/index.php?action=vallex&amp;frame=v-w76f3", "aplikovat (v-w76f3)")</f>
        <v>aplikovat (v-w76f3)</v>
      </c>
    </row>
    <row r="169" spans="1:4" x14ac:dyDescent="0.2">
      <c r="B169" t="s">
        <v>1</v>
      </c>
    </row>
    <row r="170" spans="1:4" x14ac:dyDescent="0.2">
      <c r="B170" t="s">
        <v>8</v>
      </c>
    </row>
    <row r="171" spans="1:4" x14ac:dyDescent="0.2">
      <c r="B171" t="s">
        <v>88</v>
      </c>
    </row>
    <row r="173" spans="1:4" x14ac:dyDescent="0.2">
      <c r="A173" t="s">
        <v>89</v>
      </c>
      <c r="B173" t="str">
        <f>HYPERLINK("https://lindat.mff.cuni.cz/services/teitok/pdtc10/index.php?action=vallex&amp;frame=v-w76f2", "aplikovat (v-w76f2)")</f>
        <v>aplikovat (v-w76f2)</v>
      </c>
    </row>
    <row r="174" spans="1:4" x14ac:dyDescent="0.2">
      <c r="B174" t="s">
        <v>1</v>
      </c>
    </row>
    <row r="175" spans="1:4" x14ac:dyDescent="0.2">
      <c r="B175" t="s">
        <v>8</v>
      </c>
    </row>
    <row r="176" spans="1:4" x14ac:dyDescent="0.2">
      <c r="B176" t="s">
        <v>90</v>
      </c>
    </row>
    <row r="178" spans="1:4" x14ac:dyDescent="0.2">
      <c r="A178" t="s">
        <v>91</v>
      </c>
      <c r="B178" t="str">
        <f>HYPERLINK("https://lindat.mff.cuni.cz/services/teitok/pdtc10/index.php?action=vallex&amp;frame=v-w76f1", "aplikovat (v-w76f1)")</f>
        <v>aplikovat (v-w76f1)</v>
      </c>
    </row>
    <row r="179" spans="1:4" x14ac:dyDescent="0.2">
      <c r="B179" t="s">
        <v>1</v>
      </c>
      <c r="C179" t="s">
        <v>92</v>
      </c>
      <c r="D179" t="s">
        <v>22958</v>
      </c>
    </row>
    <row r="180" spans="1:4" x14ac:dyDescent="0.2">
      <c r="B180" t="s">
        <v>8</v>
      </c>
      <c r="C180" t="s">
        <v>93</v>
      </c>
      <c r="D180" t="s">
        <v>22959</v>
      </c>
    </row>
    <row r="182" spans="1:4" x14ac:dyDescent="0.2">
      <c r="A182" t="s">
        <v>94</v>
      </c>
      <c r="B182" t="str">
        <f>HYPERLINK("https://lindat.mff.cuni.cz/services/teitok/pdtc10/index.php?action=vallex&amp;frame=v-w81f1", "archivovat (v-w81f1)")</f>
        <v>archivovat (v-w81f1)</v>
      </c>
    </row>
    <row r="183" spans="1:4" x14ac:dyDescent="0.2">
      <c r="B183" t="s">
        <v>1</v>
      </c>
    </row>
    <row r="184" spans="1:4" x14ac:dyDescent="0.2">
      <c r="B184" t="s">
        <v>8</v>
      </c>
    </row>
    <row r="186" spans="1:4" x14ac:dyDescent="0.2">
      <c r="A186" t="s">
        <v>95</v>
      </c>
      <c r="B186" t="str">
        <f>HYPERLINK("https://lindat.mff.cuni.cz/services/teitok/pdtc10/index.php?action=vallex&amp;frame=v-w79f1", "argumentovat (v-w79f1)")</f>
        <v>argumentovat (v-w79f1)</v>
      </c>
    </row>
    <row r="187" spans="1:4" x14ac:dyDescent="0.2">
      <c r="B187" t="s">
        <v>1</v>
      </c>
      <c r="C187" t="s">
        <v>96</v>
      </c>
      <c r="D187" t="s">
        <v>22960</v>
      </c>
    </row>
    <row r="188" spans="1:4" x14ac:dyDescent="0.2">
      <c r="B188" t="s">
        <v>97</v>
      </c>
      <c r="C188" t="s">
        <v>98</v>
      </c>
      <c r="D188" t="s">
        <v>22961</v>
      </c>
    </row>
    <row r="190" spans="1:4" x14ac:dyDescent="0.2">
      <c r="A190" t="s">
        <v>99</v>
      </c>
      <c r="B190" t="str">
        <f>HYPERLINK("https://lindat.mff.cuni.cz/services/teitok/pdtc10/index.php?action=vallex&amp;frame=v-w10929f2", "asfaltovat (v-w10929f2)")</f>
        <v>asfaltovat (v-w10929f2)</v>
      </c>
    </row>
    <row r="191" spans="1:4" x14ac:dyDescent="0.2">
      <c r="B191" t="s">
        <v>1</v>
      </c>
    </row>
    <row r="192" spans="1:4" x14ac:dyDescent="0.2">
      <c r="B192" t="s">
        <v>8</v>
      </c>
    </row>
    <row r="194" spans="1:4" x14ac:dyDescent="0.2">
      <c r="A194" t="s">
        <v>100</v>
      </c>
      <c r="B194" t="str">
        <f>HYPERLINK("https://lindat.mff.cuni.cz/services/teitok/pdtc10/index.php?action=vallex&amp;frame=v-w12217_ZUf1_ZU", "asimilovat (v-w12217_ZUf1_ZU)")</f>
        <v>asimilovat (v-w12217_ZUf1_ZU)</v>
      </c>
    </row>
    <row r="195" spans="1:4" x14ac:dyDescent="0.2">
      <c r="B195" t="s">
        <v>1</v>
      </c>
    </row>
    <row r="196" spans="1:4" x14ac:dyDescent="0.2">
      <c r="B196" t="s">
        <v>8</v>
      </c>
    </row>
    <row r="198" spans="1:4" x14ac:dyDescent="0.2">
      <c r="A198" t="s">
        <v>101</v>
      </c>
      <c r="B198" t="str">
        <f>HYPERLINK("https://lindat.mff.cuni.cz/services/teitok/pdtc10/index.php?action=vallex&amp;frame=v-w90f1", "asistovat (v-w90f1)")</f>
        <v>asistovat (v-w90f1)</v>
      </c>
    </row>
    <row r="199" spans="1:4" x14ac:dyDescent="0.2">
      <c r="B199" t="s">
        <v>1</v>
      </c>
      <c r="C199" t="s">
        <v>102</v>
      </c>
      <c r="D199" t="s">
        <v>22962</v>
      </c>
    </row>
    <row r="200" spans="1:4" x14ac:dyDescent="0.2">
      <c r="B200" t="s">
        <v>103</v>
      </c>
      <c r="C200" t="s">
        <v>104</v>
      </c>
      <c r="D200" t="s">
        <v>22963</v>
      </c>
    </row>
    <row r="202" spans="1:4" x14ac:dyDescent="0.2">
      <c r="A202" t="s">
        <v>105</v>
      </c>
      <c r="B202" t="str">
        <f>HYPERLINK("https://lindat.mff.cuni.cz/services/teitok/pdtc10/index.php?action=vallex&amp;frame=v-w92f1", "asociovat (v-w92f1)")</f>
        <v>asociovat (v-w92f1)</v>
      </c>
    </row>
    <row r="203" spans="1:4" x14ac:dyDescent="0.2">
      <c r="B203" t="s">
        <v>1</v>
      </c>
    </row>
    <row r="204" spans="1:4" x14ac:dyDescent="0.2">
      <c r="B204" t="s">
        <v>8</v>
      </c>
    </row>
    <row r="206" spans="1:4" x14ac:dyDescent="0.2">
      <c r="A206" t="s">
        <v>106</v>
      </c>
      <c r="B206" t="str">
        <f>HYPERLINK("https://lindat.mff.cuni.cz/services/teitok/pdtc10/index.php?action=vallex&amp;frame=v-w93f2", "aspirovat (v-w93f2)")</f>
        <v>aspirovat (v-w93f2)</v>
      </c>
    </row>
    <row r="207" spans="1:4" x14ac:dyDescent="0.2">
      <c r="B207" t="s">
        <v>1</v>
      </c>
    </row>
    <row r="208" spans="1:4" x14ac:dyDescent="0.2">
      <c r="B208" t="s">
        <v>107</v>
      </c>
    </row>
    <row r="210" spans="1:4" x14ac:dyDescent="0.2">
      <c r="A210" t="s">
        <v>106</v>
      </c>
      <c r="B210" t="str">
        <f>HYPERLINK("https://lindat.mff.cuni.cz/services/teitok/pdtc10/index.php?action=vallex&amp;frame=v-w93f1", "aspirovat (v-w93f1) - substituted with v-w93f2")</f>
        <v>aspirovat (v-w93f1) - substituted with v-w93f2</v>
      </c>
    </row>
    <row r="211" spans="1:4" x14ac:dyDescent="0.2">
      <c r="B211" t="s">
        <v>1</v>
      </c>
    </row>
    <row r="212" spans="1:4" x14ac:dyDescent="0.2">
      <c r="B212" t="s">
        <v>107</v>
      </c>
    </row>
    <row r="214" spans="1:4" x14ac:dyDescent="0.2">
      <c r="A214" t="s">
        <v>108</v>
      </c>
      <c r="B214" t="str">
        <f>HYPERLINK("https://lindat.mff.cuni.cz/services/teitok/pdtc10/index.php?action=vallex&amp;frame=v-w95f1", "atakovat (v-w95f1)")</f>
        <v>atakovat (v-w95f1)</v>
      </c>
    </row>
    <row r="215" spans="1:4" x14ac:dyDescent="0.2">
      <c r="B215" t="s">
        <v>1</v>
      </c>
      <c r="C215" t="s">
        <v>109</v>
      </c>
      <c r="D215" t="s">
        <v>22964</v>
      </c>
    </row>
    <row r="216" spans="1:4" x14ac:dyDescent="0.2">
      <c r="B216" t="s">
        <v>8</v>
      </c>
      <c r="C216" t="s">
        <v>110</v>
      </c>
      <c r="D216" t="s">
        <v>1798</v>
      </c>
    </row>
    <row r="218" spans="1:4" x14ac:dyDescent="0.2">
      <c r="A218" t="s">
        <v>111</v>
      </c>
      <c r="B218" t="str">
        <f>HYPERLINK("https://lindat.mff.cuni.cz/services/teitok/pdtc10/index.php?action=vallex&amp;frame=v-w98f1", "atomizovat (v-w98f1)")</f>
        <v>atomizovat (v-w98f1)</v>
      </c>
    </row>
    <row r="219" spans="1:4" x14ac:dyDescent="0.2">
      <c r="B219" t="s">
        <v>1</v>
      </c>
    </row>
    <row r="220" spans="1:4" x14ac:dyDescent="0.2">
      <c r="B220" t="s">
        <v>8</v>
      </c>
    </row>
    <row r="221" spans="1:4" x14ac:dyDescent="0.2">
      <c r="B221" t="s">
        <v>61</v>
      </c>
    </row>
    <row r="223" spans="1:4" x14ac:dyDescent="0.2">
      <c r="A223" t="s">
        <v>112</v>
      </c>
      <c r="B223" t="str">
        <f>HYPERLINK("https://lindat.mff.cuni.cz/services/teitok/pdtc10/index.php?action=vallex&amp;frame=v-w11166f2", "automatizovat (v-w11166f2)")</f>
        <v>automatizovat (v-w11166f2)</v>
      </c>
    </row>
    <row r="224" spans="1:4" x14ac:dyDescent="0.2">
      <c r="B224" t="s">
        <v>1</v>
      </c>
    </row>
    <row r="225" spans="1:4" x14ac:dyDescent="0.2">
      <c r="B225" t="s">
        <v>8</v>
      </c>
      <c r="C225" t="s">
        <v>113</v>
      </c>
    </row>
    <row r="227" spans="1:4" x14ac:dyDescent="0.2">
      <c r="A227" t="s">
        <v>114</v>
      </c>
      <c r="B227" t="str">
        <f>HYPERLINK("https://lindat.mff.cuni.cz/services/teitok/pdtc10/index.php?action=vallex&amp;frame=v-w11025f2", "autorizovat (v-w11025f2)")</f>
        <v>autorizovat (v-w11025f2)</v>
      </c>
    </row>
    <row r="228" spans="1:4" x14ac:dyDescent="0.2">
      <c r="B228" t="s">
        <v>1</v>
      </c>
      <c r="C228" t="s">
        <v>115</v>
      </c>
      <c r="D228" t="s">
        <v>22965</v>
      </c>
    </row>
    <row r="229" spans="1:4" x14ac:dyDescent="0.2">
      <c r="B229" t="s">
        <v>8</v>
      </c>
      <c r="C229" t="s">
        <v>116</v>
      </c>
      <c r="D229" t="s">
        <v>22966</v>
      </c>
    </row>
    <row r="231" spans="1:4" x14ac:dyDescent="0.2">
      <c r="A231" t="s">
        <v>117</v>
      </c>
      <c r="B231" t="str">
        <f>HYPERLINK("https://lindat.mff.cuni.cz/services/teitok/pdtc10/index.php?action=vallex&amp;frame=v-w12131_ZUf1_ZU", "avansovat (v-w12131_ZUf1_ZU)")</f>
        <v>avansovat (v-w12131_ZUf1_ZU)</v>
      </c>
    </row>
    <row r="232" spans="1:4" x14ac:dyDescent="0.2">
      <c r="B232" t="s">
        <v>1</v>
      </c>
    </row>
    <row r="233" spans="1:4" x14ac:dyDescent="0.2">
      <c r="B233" t="s">
        <v>46</v>
      </c>
    </row>
    <row r="235" spans="1:4" x14ac:dyDescent="0.2">
      <c r="A235" t="s">
        <v>118</v>
      </c>
      <c r="B235" t="str">
        <f>HYPERLINK("https://lindat.mff.cuni.cz/services/teitok/pdtc10/index.php?action=vallex&amp;frame=v-w105f1", "avizovat (v-w105f1)")</f>
        <v>avizovat (v-w105f1)</v>
      </c>
    </row>
    <row r="236" spans="1:4" x14ac:dyDescent="0.2">
      <c r="B236" t="s">
        <v>1</v>
      </c>
      <c r="C236" t="s">
        <v>119</v>
      </c>
      <c r="D236" t="s">
        <v>22967</v>
      </c>
    </row>
    <row r="237" spans="1:4" x14ac:dyDescent="0.2">
      <c r="B237" t="s">
        <v>120</v>
      </c>
      <c r="C237" t="s">
        <v>121</v>
      </c>
      <c r="D237" t="s">
        <v>22968</v>
      </c>
    </row>
    <row r="238" spans="1:4" x14ac:dyDescent="0.2">
      <c r="B238" t="s">
        <v>78</v>
      </c>
      <c r="D238" t="s">
        <v>22969</v>
      </c>
    </row>
    <row r="240" spans="1:4" x14ac:dyDescent="0.2">
      <c r="A240" t="s">
        <v>122</v>
      </c>
      <c r="B240" t="str">
        <f>HYPERLINK("https://lindat.mff.cuni.cz/services/teitok/pdtc10/index.php?action=vallex&amp;frame=v-whsa_1897hsa_1898", "bacit (v-whsa_1897hsa_1898)")</f>
        <v>bacit (v-whsa_1897hsa_1898)</v>
      </c>
    </row>
    <row r="241" spans="1:4" x14ac:dyDescent="0.2">
      <c r="B241" t="s">
        <v>1</v>
      </c>
    </row>
    <row r="242" spans="1:4" x14ac:dyDescent="0.2">
      <c r="B242" t="s">
        <v>8</v>
      </c>
    </row>
    <row r="244" spans="1:4" x14ac:dyDescent="0.2">
      <c r="A244" t="s">
        <v>123</v>
      </c>
      <c r="B244" t="str">
        <f>HYPERLINK("https://lindat.mff.cuni.cz/services/teitok/pdtc10/index.php?action=vallex&amp;frame=v-w108f1", "bagatelizovat (v-w108f1)")</f>
        <v>bagatelizovat (v-w108f1)</v>
      </c>
    </row>
    <row r="245" spans="1:4" x14ac:dyDescent="0.2">
      <c r="B245" t="s">
        <v>1</v>
      </c>
      <c r="C245" t="s">
        <v>22</v>
      </c>
      <c r="D245" t="s">
        <v>5889</v>
      </c>
    </row>
    <row r="246" spans="1:4" x14ac:dyDescent="0.2">
      <c r="B246" t="s">
        <v>124</v>
      </c>
      <c r="C246" t="s">
        <v>125</v>
      </c>
      <c r="D246" t="s">
        <v>17878</v>
      </c>
    </row>
    <row r="248" spans="1:4" x14ac:dyDescent="0.2">
      <c r="A248" t="s">
        <v>126</v>
      </c>
      <c r="B248" t="str">
        <f>HYPERLINK("https://lindat.mff.cuni.cz/services/teitok/pdtc10/index.php?action=vallex&amp;frame=v-w111f1", "balancovat (v-w111f1)")</f>
        <v>balancovat (v-w111f1)</v>
      </c>
    </row>
    <row r="249" spans="1:4" x14ac:dyDescent="0.2">
      <c r="B249" t="s">
        <v>1</v>
      </c>
      <c r="C249" t="s">
        <v>127</v>
      </c>
      <c r="D249" t="s">
        <v>22970</v>
      </c>
    </row>
    <row r="251" spans="1:4" x14ac:dyDescent="0.2">
      <c r="A251" t="s">
        <v>128</v>
      </c>
      <c r="B251" t="str">
        <f>HYPERLINK("https://lindat.mff.cuni.cz/services/teitok/pdtc10/index.php?action=vallex&amp;frame=v-w113f2", "balit (v-w113f2)")</f>
        <v>balit (v-w113f2)</v>
      </c>
    </row>
    <row r="252" spans="1:4" x14ac:dyDescent="0.2">
      <c r="B252" t="s">
        <v>1</v>
      </c>
      <c r="C252" t="s">
        <v>22</v>
      </c>
      <c r="D252" t="s">
        <v>80</v>
      </c>
    </row>
    <row r="253" spans="1:4" x14ac:dyDescent="0.2">
      <c r="B253" t="s">
        <v>8</v>
      </c>
      <c r="C253" t="s">
        <v>129</v>
      </c>
      <c r="D253" t="s">
        <v>22227</v>
      </c>
    </row>
    <row r="254" spans="1:4" x14ac:dyDescent="0.2">
      <c r="B254" t="s">
        <v>130</v>
      </c>
      <c r="C254" t="s">
        <v>131</v>
      </c>
    </row>
    <row r="256" spans="1:4" x14ac:dyDescent="0.2">
      <c r="A256" t="s">
        <v>132</v>
      </c>
      <c r="B256" t="str">
        <f>HYPERLINK("https://lindat.mff.cuni.cz/services/teitok/pdtc10/index.php?action=vallex&amp;frame=v-w113f1", "balit (v-w113f1)")</f>
        <v>balit (v-w113f1)</v>
      </c>
    </row>
    <row r="257" spans="1:4" x14ac:dyDescent="0.2">
      <c r="B257" t="s">
        <v>1</v>
      </c>
      <c r="C257" t="s">
        <v>133</v>
      </c>
      <c r="D257" t="s">
        <v>80</v>
      </c>
    </row>
    <row r="258" spans="1:4" x14ac:dyDescent="0.2">
      <c r="B258" t="s">
        <v>8</v>
      </c>
      <c r="C258" t="s">
        <v>134</v>
      </c>
      <c r="D258" t="s">
        <v>22227</v>
      </c>
    </row>
    <row r="260" spans="1:4" x14ac:dyDescent="0.2">
      <c r="A260" t="s">
        <v>135</v>
      </c>
      <c r="B260" t="str">
        <f>HYPERLINK("https://lindat.mff.cuni.cz/services/teitok/pdtc10/index.php?action=vallex&amp;frame=v-w113f4", "balit (v-w113f4)")</f>
        <v>balit (v-w113f4)</v>
      </c>
    </row>
    <row r="261" spans="1:4" x14ac:dyDescent="0.2">
      <c r="B261" t="s">
        <v>1</v>
      </c>
    </row>
    <row r="262" spans="1:4" x14ac:dyDescent="0.2">
      <c r="B262" t="s">
        <v>8</v>
      </c>
    </row>
    <row r="264" spans="1:4" x14ac:dyDescent="0.2">
      <c r="A264" t="s">
        <v>136</v>
      </c>
      <c r="B264" t="str">
        <f>HYPERLINK("https://lindat.mff.cuni.cz/services/teitok/pdtc10/index.php?action=vallex&amp;frame=v-w113f3", "balit (v-w113f3)")</f>
        <v>balit (v-w113f3)</v>
      </c>
    </row>
    <row r="265" spans="1:4" x14ac:dyDescent="0.2">
      <c r="B265" t="s">
        <v>1</v>
      </c>
    </row>
    <row r="266" spans="1:4" x14ac:dyDescent="0.2">
      <c r="B266" t="s">
        <v>137</v>
      </c>
    </row>
    <row r="268" spans="1:4" x14ac:dyDescent="0.2">
      <c r="A268" t="s">
        <v>138</v>
      </c>
      <c r="B268" t="str">
        <f>HYPERLINK("https://lindat.mff.cuni.cz/services/teitok/pdtc10/index.php?action=vallex&amp;frame=v-w113f5_ZU", "balit (v-w113f5_ZU)")</f>
        <v>balit (v-w113f5_ZU)</v>
      </c>
    </row>
    <row r="269" spans="1:4" x14ac:dyDescent="0.2">
      <c r="B269" t="s">
        <v>1</v>
      </c>
    </row>
    <row r="270" spans="1:4" x14ac:dyDescent="0.2">
      <c r="B270" t="s">
        <v>8</v>
      </c>
    </row>
    <row r="272" spans="1:4" x14ac:dyDescent="0.2">
      <c r="A272" t="s">
        <v>139</v>
      </c>
      <c r="B272" t="str">
        <f>HYPERLINK("https://lindat.mff.cuni.cz/services/teitok/pdtc10/index.php?action=vallex&amp;frame=v-w114f1", "balit se (v-w114f1)")</f>
        <v>balit se (v-w114f1)</v>
      </c>
    </row>
    <row r="273" spans="1:4" x14ac:dyDescent="0.2">
      <c r="B273" t="s">
        <v>1</v>
      </c>
      <c r="C273" t="s">
        <v>140</v>
      </c>
    </row>
    <row r="275" spans="1:4" x14ac:dyDescent="0.2">
      <c r="A275" t="s">
        <v>141</v>
      </c>
      <c r="B275" t="str">
        <f>HYPERLINK("https://lindat.mff.cuni.cz/services/teitok/pdtc10/index.php?action=vallex&amp;frame=v-w118f1", "bankrotovat (v-w118f1)")</f>
        <v>bankrotovat (v-w118f1)</v>
      </c>
    </row>
    <row r="276" spans="1:4" x14ac:dyDescent="0.2">
      <c r="B276" t="s">
        <v>1</v>
      </c>
    </row>
    <row r="278" spans="1:4" x14ac:dyDescent="0.2">
      <c r="A278" t="s">
        <v>142</v>
      </c>
      <c r="B278" t="str">
        <f>HYPERLINK("https://lindat.mff.cuni.cz/services/teitok/pdtc10/index.php?action=vallex&amp;frame=v-w121f1", "barvit (v-w121f1)")</f>
        <v>barvit (v-w121f1)</v>
      </c>
    </row>
    <row r="279" spans="1:4" x14ac:dyDescent="0.2">
      <c r="B279" t="s">
        <v>1</v>
      </c>
      <c r="D279" t="s">
        <v>4110</v>
      </c>
    </row>
    <row r="280" spans="1:4" x14ac:dyDescent="0.2">
      <c r="B280" t="s">
        <v>8</v>
      </c>
      <c r="D280" t="s">
        <v>1264</v>
      </c>
    </row>
    <row r="282" spans="1:4" x14ac:dyDescent="0.2">
      <c r="A282" t="s">
        <v>143</v>
      </c>
      <c r="B282" t="str">
        <f>HYPERLINK("https://lindat.mff.cuni.cz/services/teitok/pdtc10/index.php?action=vallex&amp;frame=v-w126f1", "batolit se (v-w126f1)")</f>
        <v>batolit se (v-w126f1)</v>
      </c>
    </row>
    <row r="283" spans="1:4" x14ac:dyDescent="0.2">
      <c r="B283" t="s">
        <v>1</v>
      </c>
    </row>
    <row r="285" spans="1:4" x14ac:dyDescent="0.2">
      <c r="A285" t="s">
        <v>144</v>
      </c>
      <c r="B285" t="str">
        <f>HYPERLINK("https://lindat.mff.cuni.cz/services/teitok/pdtc10/index.php?action=vallex&amp;frame=v-w128f2", "bavit (v-w128f2)")</f>
        <v>bavit (v-w128f2)</v>
      </c>
    </row>
    <row r="286" spans="1:4" x14ac:dyDescent="0.2">
      <c r="B286" t="s">
        <v>1</v>
      </c>
    </row>
    <row r="287" spans="1:4" x14ac:dyDescent="0.2">
      <c r="B287" t="s">
        <v>8</v>
      </c>
    </row>
    <row r="289" spans="1:4" x14ac:dyDescent="0.2">
      <c r="A289" t="s">
        <v>145</v>
      </c>
      <c r="B289" t="str">
        <f>HYPERLINK("https://lindat.mff.cuni.cz/services/teitok/pdtc10/index.php?action=vallex&amp;frame=v-w128f1", "bavit (v-w128f1)")</f>
        <v>bavit (v-w128f1)</v>
      </c>
    </row>
    <row r="290" spans="1:4" x14ac:dyDescent="0.2">
      <c r="B290" t="s">
        <v>146</v>
      </c>
      <c r="C290" t="s">
        <v>147</v>
      </c>
      <c r="D290" t="s">
        <v>22971</v>
      </c>
    </row>
    <row r="291" spans="1:4" x14ac:dyDescent="0.2">
      <c r="B291" t="s">
        <v>149</v>
      </c>
      <c r="C291" t="s">
        <v>150</v>
      </c>
      <c r="D291" t="s">
        <v>22972</v>
      </c>
    </row>
    <row r="293" spans="1:4" x14ac:dyDescent="0.2">
      <c r="A293" t="s">
        <v>151</v>
      </c>
      <c r="B293" t="str">
        <f>HYPERLINK("https://lindat.mff.cuni.cz/services/teitok/pdtc10/index.php?action=vallex&amp;frame=v-w129f4_ZU", "bavit se (v-w129f4_ZU)")</f>
        <v>bavit se (v-w129f4_ZU)</v>
      </c>
    </row>
    <row r="294" spans="1:4" x14ac:dyDescent="0.2">
      <c r="B294" t="s">
        <v>1</v>
      </c>
    </row>
    <row r="295" spans="1:4" x14ac:dyDescent="0.2">
      <c r="B295" t="s">
        <v>152</v>
      </c>
    </row>
    <row r="296" spans="1:4" x14ac:dyDescent="0.2">
      <c r="B296" t="s">
        <v>153</v>
      </c>
    </row>
    <row r="298" spans="1:4" x14ac:dyDescent="0.2">
      <c r="A298" t="s">
        <v>151</v>
      </c>
      <c r="B298" t="str">
        <f>HYPERLINK("https://lindat.mff.cuni.cz/services/teitok/pdtc10/index.php?action=vallex&amp;frame=v-w129f1", "bavit se (v-w129f1) - substituted with v-w129f4_ZU")</f>
        <v>bavit se (v-w129f1) - substituted with v-w129f4_ZU</v>
      </c>
    </row>
    <row r="299" spans="1:4" x14ac:dyDescent="0.2">
      <c r="B299" t="s">
        <v>1</v>
      </c>
      <c r="C299" t="s">
        <v>154</v>
      </c>
      <c r="D299" t="s">
        <v>22973</v>
      </c>
    </row>
    <row r="300" spans="1:4" x14ac:dyDescent="0.2">
      <c r="B300" t="s">
        <v>152</v>
      </c>
      <c r="C300" t="s">
        <v>155</v>
      </c>
      <c r="D300" t="s">
        <v>22974</v>
      </c>
    </row>
    <row r="301" spans="1:4" x14ac:dyDescent="0.2">
      <c r="B301" t="s">
        <v>153</v>
      </c>
      <c r="C301" t="s">
        <v>156</v>
      </c>
      <c r="D301" t="s">
        <v>22975</v>
      </c>
    </row>
    <row r="303" spans="1:4" x14ac:dyDescent="0.2">
      <c r="A303" t="s">
        <v>157</v>
      </c>
      <c r="B303" t="str">
        <f>HYPERLINK("https://lindat.mff.cuni.cz/services/teitok/pdtc10/index.php?action=vallex&amp;frame=v-w129f3", "bavit se (v-w129f3)")</f>
        <v>bavit se (v-w129f3)</v>
      </c>
    </row>
    <row r="304" spans="1:4" x14ac:dyDescent="0.2">
      <c r="B304" t="s">
        <v>1</v>
      </c>
      <c r="D304" t="s">
        <v>22976</v>
      </c>
    </row>
    <row r="305" spans="1:4" x14ac:dyDescent="0.2">
      <c r="B305" t="s">
        <v>158</v>
      </c>
      <c r="D305" t="s">
        <v>22977</v>
      </c>
    </row>
    <row r="307" spans="1:4" x14ac:dyDescent="0.2">
      <c r="A307" t="s">
        <v>159</v>
      </c>
      <c r="B307" t="str">
        <f>HYPERLINK("https://lindat.mff.cuni.cz/services/teitok/pdtc10/index.php?action=vallex&amp;frame=v-w129f2", "bavit se (v-w129f2)")</f>
        <v>bavit se (v-w129f2)</v>
      </c>
    </row>
    <row r="308" spans="1:4" x14ac:dyDescent="0.2">
      <c r="B308" t="s">
        <v>1</v>
      </c>
    </row>
    <row r="310" spans="1:4" x14ac:dyDescent="0.2">
      <c r="A310" t="s">
        <v>160</v>
      </c>
      <c r="B310" t="str">
        <f>HYPERLINK("https://lindat.mff.cuni.cz/services/teitok/pdtc10/index.php?action=vallex&amp;frame=v-w130f1", "bazírovat (v-w130f1)")</f>
        <v>bazírovat (v-w130f1)</v>
      </c>
    </row>
    <row r="311" spans="1:4" x14ac:dyDescent="0.2">
      <c r="B311" t="s">
        <v>1</v>
      </c>
    </row>
    <row r="312" spans="1:4" x14ac:dyDescent="0.2">
      <c r="B312" t="s">
        <v>161</v>
      </c>
    </row>
    <row r="314" spans="1:4" x14ac:dyDescent="0.2">
      <c r="A314" t="s">
        <v>162</v>
      </c>
      <c r="B314" t="str">
        <f>HYPERLINK("https://lindat.mff.cuni.cz/services/teitok/pdtc10/index.php?action=vallex&amp;frame=v-w12148_ZUf1_ZU", "baštit (v-w12148_ZUf1_ZU)")</f>
        <v>baštit (v-w12148_ZUf1_ZU)</v>
      </c>
    </row>
    <row r="315" spans="1:4" x14ac:dyDescent="0.2">
      <c r="B315" t="s">
        <v>1</v>
      </c>
    </row>
    <row r="316" spans="1:4" x14ac:dyDescent="0.2">
      <c r="B316" t="s">
        <v>8</v>
      </c>
    </row>
    <row r="318" spans="1:4" x14ac:dyDescent="0.2">
      <c r="A318" t="s">
        <v>163</v>
      </c>
      <c r="B318" t="str">
        <f>HYPERLINK("https://lindat.mff.cuni.cz/services/teitok/pdtc10/index.php?action=vallex&amp;frame=v-w131f1", "bdít (v-w131f1)")</f>
        <v>bdít (v-w131f1)</v>
      </c>
    </row>
    <row r="319" spans="1:4" x14ac:dyDescent="0.2">
      <c r="B319" t="s">
        <v>1</v>
      </c>
    </row>
    <row r="320" spans="1:4" x14ac:dyDescent="0.2">
      <c r="B320" t="s">
        <v>164</v>
      </c>
    </row>
    <row r="322" spans="1:2" x14ac:dyDescent="0.2">
      <c r="A322" t="s">
        <v>165</v>
      </c>
      <c r="B322" t="str">
        <f>HYPERLINK("https://lindat.mff.cuni.cz/services/teitok/pdtc10/index.php?action=vallex&amp;frame=v-w131f2", "bdít (v-w131f2)")</f>
        <v>bdít (v-w131f2)</v>
      </c>
    </row>
    <row r="323" spans="1:2" x14ac:dyDescent="0.2">
      <c r="B323" t="s">
        <v>1</v>
      </c>
    </row>
    <row r="325" spans="1:2" x14ac:dyDescent="0.2">
      <c r="A325" t="s">
        <v>166</v>
      </c>
      <c r="B325" t="str">
        <f>HYPERLINK("https://lindat.mff.cuni.cz/services/teitok/pdtc10/index.php?action=vallex&amp;frame=v-w137f1", "belhat se (v-w137f1)")</f>
        <v>belhat se (v-w137f1)</v>
      </c>
    </row>
    <row r="326" spans="1:2" x14ac:dyDescent="0.2">
      <c r="B326" t="s">
        <v>1</v>
      </c>
    </row>
    <row r="328" spans="1:2" x14ac:dyDescent="0.2">
      <c r="A328" t="s">
        <v>167</v>
      </c>
      <c r="B328" t="str">
        <f>HYPERLINK("https://lindat.mff.cuni.cz/services/teitok/pdtc10/index.php?action=vallex&amp;frame=v-w10966f2", "benefitovat (v-w10966f2)")</f>
        <v>benefitovat (v-w10966f2)</v>
      </c>
    </row>
    <row r="329" spans="1:2" x14ac:dyDescent="0.2">
      <c r="B329" t="s">
        <v>1</v>
      </c>
    </row>
    <row r="330" spans="1:2" x14ac:dyDescent="0.2">
      <c r="B330" t="s">
        <v>168</v>
      </c>
    </row>
    <row r="332" spans="1:2" x14ac:dyDescent="0.2">
      <c r="A332" t="s">
        <v>169</v>
      </c>
      <c r="B332" t="str">
        <f>HYPERLINK("https://lindat.mff.cuni.cz/services/teitok/pdtc10/index.php?action=vallex&amp;frame=v-w11950_ZUf2_ZU", "betonovat (v-w11950_ZUf2_ZU)")</f>
        <v>betonovat (v-w11950_ZUf2_ZU)</v>
      </c>
    </row>
    <row r="333" spans="1:2" x14ac:dyDescent="0.2">
      <c r="B333" t="s">
        <v>1</v>
      </c>
    </row>
    <row r="334" spans="1:2" x14ac:dyDescent="0.2">
      <c r="B334" t="s">
        <v>8</v>
      </c>
    </row>
    <row r="336" spans="1:2" x14ac:dyDescent="0.2">
      <c r="A336" t="s">
        <v>169</v>
      </c>
      <c r="B336" t="str">
        <f>HYPERLINK("https://lindat.mff.cuni.cz/services/teitok/pdtc10/index.php?action=vallex&amp;frame=v-w11950_ZUf1_ZU", "betonovat (v-w11950_ZUf1_ZU) - substituted with v-w11950_ZUf2_ZU")</f>
        <v>betonovat (v-w11950_ZUf1_ZU) - substituted with v-w11950_ZUf2_ZU</v>
      </c>
    </row>
    <row r="337" spans="1:4" x14ac:dyDescent="0.2">
      <c r="B337" t="s">
        <v>1</v>
      </c>
    </row>
    <row r="338" spans="1:4" x14ac:dyDescent="0.2">
      <c r="B338" t="s">
        <v>8</v>
      </c>
    </row>
    <row r="340" spans="1:4" x14ac:dyDescent="0.2">
      <c r="A340" t="s">
        <v>170</v>
      </c>
      <c r="B340" t="str">
        <f>HYPERLINK("https://lindat.mff.cuni.cz/services/teitok/pdtc10/index.php?action=vallex&amp;frame=v-w132f1", "bečet (v-w132f1)")</f>
        <v>bečet (v-w132f1)</v>
      </c>
    </row>
    <row r="341" spans="1:4" x14ac:dyDescent="0.2">
      <c r="B341" t="s">
        <v>1</v>
      </c>
    </row>
    <row r="343" spans="1:4" x14ac:dyDescent="0.2">
      <c r="A343" t="s">
        <v>171</v>
      </c>
      <c r="B343" t="str">
        <f>HYPERLINK("https://lindat.mff.cuni.cz/services/teitok/pdtc10/index.php?action=vallex&amp;frame=v-w149f1", "bilancovat (v-w149f1)")</f>
        <v>bilancovat (v-w149f1)</v>
      </c>
    </row>
    <row r="344" spans="1:4" x14ac:dyDescent="0.2">
      <c r="B344" t="s">
        <v>1</v>
      </c>
      <c r="D344" t="s">
        <v>22978</v>
      </c>
    </row>
    <row r="345" spans="1:4" x14ac:dyDescent="0.2">
      <c r="B345" t="s">
        <v>172</v>
      </c>
      <c r="D345" t="s">
        <v>22979</v>
      </c>
    </row>
    <row r="347" spans="1:4" x14ac:dyDescent="0.2">
      <c r="A347" t="s">
        <v>173</v>
      </c>
      <c r="B347" t="str">
        <f>HYPERLINK("https://lindat.mff.cuni.cz/services/teitok/pdtc10/index.php?action=vallex&amp;frame=v-w147f1", "bičovat (v-w147f1)")</f>
        <v>bičovat (v-w147f1)</v>
      </c>
    </row>
    <row r="348" spans="1:4" x14ac:dyDescent="0.2">
      <c r="B348" t="s">
        <v>1</v>
      </c>
    </row>
    <row r="349" spans="1:4" x14ac:dyDescent="0.2">
      <c r="B349" t="s">
        <v>8</v>
      </c>
    </row>
    <row r="351" spans="1:4" x14ac:dyDescent="0.2">
      <c r="A351" t="s">
        <v>174</v>
      </c>
      <c r="B351" t="str">
        <f>HYPERLINK("https://lindat.mff.cuni.cz/services/teitok/pdtc10/index.php?action=vallex&amp;frame=v-w12020_ZUf1_ZU", "biřmovat (v-w12020_ZUf1_ZU)")</f>
        <v>biřmovat (v-w12020_ZUf1_ZU)</v>
      </c>
    </row>
    <row r="352" spans="1:4" x14ac:dyDescent="0.2">
      <c r="B352" t="s">
        <v>1</v>
      </c>
    </row>
    <row r="353" spans="1:2" x14ac:dyDescent="0.2">
      <c r="B353" t="s">
        <v>8</v>
      </c>
    </row>
    <row r="355" spans="1:2" x14ac:dyDescent="0.2">
      <c r="A355" t="s">
        <v>175</v>
      </c>
      <c r="B355" t="str">
        <f>HYPERLINK("https://lindat.mff.cuni.cz/services/teitok/pdtc10/index.php?action=vallex&amp;frame=v-w155f1", "blahopřát (v-w155f1)")</f>
        <v>blahopřát (v-w155f1)</v>
      </c>
    </row>
    <row r="356" spans="1:2" x14ac:dyDescent="0.2">
      <c r="B356" t="s">
        <v>1</v>
      </c>
    </row>
    <row r="357" spans="1:2" x14ac:dyDescent="0.2">
      <c r="B357" t="s">
        <v>176</v>
      </c>
    </row>
    <row r="358" spans="1:2" x14ac:dyDescent="0.2">
      <c r="B358" t="s">
        <v>35</v>
      </c>
    </row>
    <row r="360" spans="1:2" x14ac:dyDescent="0.2">
      <c r="A360" t="s">
        <v>177</v>
      </c>
      <c r="B360" t="str">
        <f>HYPERLINK("https://lindat.mff.cuni.cz/services/teitok/pdtc10/index.php?action=vallex&amp;frame=v-w10196f2", "blahořečit (v-w10196f2)")</f>
        <v>blahořečit (v-w10196f2)</v>
      </c>
    </row>
    <row r="361" spans="1:2" x14ac:dyDescent="0.2">
      <c r="B361" t="s">
        <v>1</v>
      </c>
    </row>
    <row r="362" spans="1:2" x14ac:dyDescent="0.2">
      <c r="B362" t="s">
        <v>35</v>
      </c>
    </row>
    <row r="363" spans="1:2" x14ac:dyDescent="0.2">
      <c r="B363" t="s">
        <v>178</v>
      </c>
    </row>
    <row r="365" spans="1:2" x14ac:dyDescent="0.2">
      <c r="A365" t="s">
        <v>179</v>
      </c>
      <c r="B365" t="str">
        <f>HYPERLINK("https://lindat.mff.cuni.cz/services/teitok/pdtc10/index.php?action=vallex&amp;frame=v-w157f1", "blamovat (v-w157f1)")</f>
        <v>blamovat (v-w157f1)</v>
      </c>
    </row>
    <row r="366" spans="1:2" x14ac:dyDescent="0.2">
      <c r="B366" t="s">
        <v>1</v>
      </c>
    </row>
    <row r="367" spans="1:2" x14ac:dyDescent="0.2">
      <c r="B367" t="s">
        <v>8</v>
      </c>
    </row>
    <row r="369" spans="1:4" x14ac:dyDescent="0.2">
      <c r="A369" t="s">
        <v>180</v>
      </c>
      <c r="B369" t="str">
        <f>HYPERLINK("https://lindat.mff.cuni.cz/services/teitok/pdtc10/index.php?action=vallex&amp;frame=v-whsa_1409f1_ZU", "blbnout (v-whsa_1409f1_ZU)")</f>
        <v>blbnout (v-whsa_1409f1_ZU)</v>
      </c>
    </row>
    <row r="370" spans="1:4" x14ac:dyDescent="0.2">
      <c r="B370" t="s">
        <v>1</v>
      </c>
    </row>
    <row r="372" spans="1:4" x14ac:dyDescent="0.2">
      <c r="A372" t="s">
        <v>180</v>
      </c>
      <c r="B372" t="str">
        <f>HYPERLINK("https://lindat.mff.cuni.cz/services/teitok/pdtc10/index.php?action=vallex&amp;frame=v-whsa_1409hsa_1410", "blbnout (v-whsa_1409hsa_1410) - substituted with v-whsa_1409f1_ZU")</f>
        <v>blbnout (v-whsa_1409hsa_1410) - substituted with v-whsa_1409f1_ZU</v>
      </c>
    </row>
    <row r="373" spans="1:4" x14ac:dyDescent="0.2">
      <c r="B373" t="s">
        <v>1</v>
      </c>
    </row>
    <row r="375" spans="1:4" x14ac:dyDescent="0.2">
      <c r="A375" t="s">
        <v>181</v>
      </c>
      <c r="B375" t="str">
        <f>HYPERLINK("https://lindat.mff.cuni.cz/services/teitok/pdtc10/index.php?action=vallex&amp;frame=v-w158f1", "blednout (v-w158f1)")</f>
        <v>blednout (v-w158f1)</v>
      </c>
    </row>
    <row r="376" spans="1:4" x14ac:dyDescent="0.2">
      <c r="B376" t="s">
        <v>1</v>
      </c>
    </row>
    <row r="378" spans="1:4" x14ac:dyDescent="0.2">
      <c r="A378" t="s">
        <v>182</v>
      </c>
      <c r="B378" t="str">
        <f>HYPERLINK("https://lindat.mff.cuni.cz/services/teitok/pdtc10/index.php?action=vallex&amp;frame=v-w12230_ZUf1_ZU", "blekotat (v-w12230_ZUf1_ZU)")</f>
        <v>blekotat (v-w12230_ZUf1_ZU)</v>
      </c>
    </row>
    <row r="379" spans="1:4" x14ac:dyDescent="0.2">
      <c r="B379" t="s">
        <v>1</v>
      </c>
    </row>
    <row r="380" spans="1:4" x14ac:dyDescent="0.2">
      <c r="B380" t="s">
        <v>183</v>
      </c>
    </row>
    <row r="381" spans="1:4" x14ac:dyDescent="0.2">
      <c r="B381" t="s">
        <v>184</v>
      </c>
    </row>
    <row r="383" spans="1:4" x14ac:dyDescent="0.2">
      <c r="A383" t="s">
        <v>185</v>
      </c>
      <c r="B383" t="str">
        <f>HYPERLINK("https://lindat.mff.cuni.cz/services/teitok/pdtc10/index.php?action=vallex&amp;frame=v-w10399f2", "blikat (v-w10399f2)")</f>
        <v>blikat (v-w10399f2)</v>
      </c>
    </row>
    <row r="384" spans="1:4" x14ac:dyDescent="0.2">
      <c r="B384" t="s">
        <v>1</v>
      </c>
      <c r="C384" t="s">
        <v>186</v>
      </c>
      <c r="D384" t="s">
        <v>2698</v>
      </c>
    </row>
    <row r="386" spans="1:4" x14ac:dyDescent="0.2">
      <c r="A386" t="s">
        <v>187</v>
      </c>
      <c r="B386" t="str">
        <f>HYPERLINK("https://lindat.mff.cuni.cz/services/teitok/pdtc10/index.php?action=vallex&amp;frame=v-w165f1", "blokovat (v-w165f1)")</f>
        <v>blokovat (v-w165f1)</v>
      </c>
    </row>
    <row r="387" spans="1:4" x14ac:dyDescent="0.2">
      <c r="B387" t="s">
        <v>1</v>
      </c>
      <c r="C387" t="s">
        <v>188</v>
      </c>
      <c r="D387" t="s">
        <v>22980</v>
      </c>
    </row>
    <row r="388" spans="1:4" x14ac:dyDescent="0.2">
      <c r="B388" t="s">
        <v>8</v>
      </c>
      <c r="C388" t="s">
        <v>189</v>
      </c>
      <c r="D388" t="s">
        <v>22981</v>
      </c>
    </row>
    <row r="390" spans="1:4" x14ac:dyDescent="0.2">
      <c r="A390" t="s">
        <v>190</v>
      </c>
      <c r="B390" t="str">
        <f>HYPERLINK("https://lindat.mff.cuni.cz/services/teitok/pdtc10/index.php?action=vallex&amp;frame=v-w167f1", "bloudit (v-w167f1)")</f>
        <v>bloudit (v-w167f1)</v>
      </c>
    </row>
    <row r="391" spans="1:4" x14ac:dyDescent="0.2">
      <c r="B391" t="s">
        <v>1</v>
      </c>
    </row>
    <row r="393" spans="1:4" x14ac:dyDescent="0.2">
      <c r="A393" t="s">
        <v>191</v>
      </c>
      <c r="B393" t="str">
        <f>HYPERLINK("https://lindat.mff.cuni.cz/services/teitok/pdtc10/index.php?action=vallex&amp;frame=v-whsa_1026hsa_1027", "bloumat (v-whsa_1026hsa_1027)")</f>
        <v>bloumat (v-whsa_1026hsa_1027)</v>
      </c>
    </row>
    <row r="394" spans="1:4" x14ac:dyDescent="0.2">
      <c r="B394" t="s">
        <v>1</v>
      </c>
      <c r="D394" t="s">
        <v>92</v>
      </c>
    </row>
    <row r="395" spans="1:4" x14ac:dyDescent="0.2">
      <c r="B395" t="s">
        <v>192</v>
      </c>
      <c r="D395" t="s">
        <v>3802</v>
      </c>
    </row>
    <row r="397" spans="1:4" x14ac:dyDescent="0.2">
      <c r="A397" t="s">
        <v>193</v>
      </c>
      <c r="B397" t="str">
        <f>HYPERLINK("https://lindat.mff.cuni.cz/services/teitok/pdtc10/index.php?action=vallex&amp;frame=v-w12201_ZUf1_ZU", "bláznit (v-w12201_ZUf1_ZU)")</f>
        <v>bláznit (v-w12201_ZUf1_ZU)</v>
      </c>
    </row>
    <row r="398" spans="1:4" x14ac:dyDescent="0.2">
      <c r="B398" t="s">
        <v>1</v>
      </c>
    </row>
    <row r="400" spans="1:4" x14ac:dyDescent="0.2">
      <c r="A400" t="s">
        <v>194</v>
      </c>
      <c r="B400" t="str">
        <f>HYPERLINK("https://lindat.mff.cuni.cz/services/teitok/pdtc10/index.php?action=vallex&amp;frame=v-w12201_ZUf2_ZU", "bláznit (v-w12201_ZUf2_ZU)")</f>
        <v>bláznit (v-w12201_ZUf2_ZU)</v>
      </c>
    </row>
    <row r="401" spans="1:4" x14ac:dyDescent="0.2">
      <c r="B401" t="s">
        <v>1</v>
      </c>
    </row>
    <row r="403" spans="1:4" x14ac:dyDescent="0.2">
      <c r="A403" t="s">
        <v>195</v>
      </c>
      <c r="B403" t="str">
        <f>HYPERLINK("https://lindat.mff.cuni.cz/services/teitok/pdtc10/index.php?action=vallex&amp;frame=v-w162f4", "blížit se (v-w162f4)")</f>
        <v>blížit se (v-w162f4)</v>
      </c>
    </row>
    <row r="404" spans="1:4" x14ac:dyDescent="0.2">
      <c r="B404" t="s">
        <v>196</v>
      </c>
      <c r="C404" t="s">
        <v>197</v>
      </c>
      <c r="D404" t="s">
        <v>22982</v>
      </c>
    </row>
    <row r="405" spans="1:4" x14ac:dyDescent="0.2">
      <c r="B405" t="s">
        <v>198</v>
      </c>
      <c r="C405" t="s">
        <v>199</v>
      </c>
      <c r="D405" t="s">
        <v>22983</v>
      </c>
    </row>
    <row r="407" spans="1:4" x14ac:dyDescent="0.2">
      <c r="A407" t="s">
        <v>200</v>
      </c>
      <c r="B407" t="str">
        <f>HYPERLINK("https://lindat.mff.cuni.cz/services/teitok/pdtc10/index.php?action=vallex&amp;frame=v-w162f1", "blížit se (v-w162f1)")</f>
        <v>blížit se (v-w162f1)</v>
      </c>
    </row>
    <row r="408" spans="1:4" x14ac:dyDescent="0.2">
      <c r="B408" t="s">
        <v>1</v>
      </c>
      <c r="C408" t="s">
        <v>201</v>
      </c>
      <c r="D408" t="s">
        <v>22984</v>
      </c>
    </row>
    <row r="409" spans="1:4" x14ac:dyDescent="0.2">
      <c r="B409" t="s">
        <v>103</v>
      </c>
      <c r="C409" t="s">
        <v>202</v>
      </c>
      <c r="D409" t="s">
        <v>22985</v>
      </c>
    </row>
    <row r="411" spans="1:4" x14ac:dyDescent="0.2">
      <c r="A411" t="s">
        <v>203</v>
      </c>
      <c r="B411" t="str">
        <f>HYPERLINK("https://lindat.mff.cuni.cz/services/teitok/pdtc10/index.php?action=vallex&amp;frame=v-w162f5", "blížit se (v-w162f5)")</f>
        <v>blížit se (v-w162f5)</v>
      </c>
    </row>
    <row r="412" spans="1:4" x14ac:dyDescent="0.2">
      <c r="B412" t="s">
        <v>1</v>
      </c>
      <c r="C412" t="s">
        <v>204</v>
      </c>
      <c r="D412" t="s">
        <v>9809</v>
      </c>
    </row>
    <row r="413" spans="1:4" x14ac:dyDescent="0.2">
      <c r="B413" t="s">
        <v>205</v>
      </c>
      <c r="C413" t="s">
        <v>206</v>
      </c>
      <c r="D413" t="s">
        <v>22986</v>
      </c>
    </row>
    <row r="415" spans="1:4" x14ac:dyDescent="0.2">
      <c r="A415" t="s">
        <v>207</v>
      </c>
      <c r="B415" t="str">
        <f>HYPERLINK("https://lindat.mff.cuni.cz/services/teitok/pdtc10/index.php?action=vallex&amp;frame=v-w162f3", "blížit se (v-w162f3)")</f>
        <v>blížit se (v-w162f3)</v>
      </c>
    </row>
    <row r="416" spans="1:4" x14ac:dyDescent="0.2">
      <c r="B416" t="s">
        <v>1</v>
      </c>
      <c r="C416" t="s">
        <v>208</v>
      </c>
      <c r="D416" t="s">
        <v>22987</v>
      </c>
    </row>
    <row r="417" spans="1:4" x14ac:dyDescent="0.2">
      <c r="B417" t="s">
        <v>90</v>
      </c>
      <c r="C417" t="s">
        <v>209</v>
      </c>
      <c r="D417" t="s">
        <v>209</v>
      </c>
    </row>
    <row r="419" spans="1:4" x14ac:dyDescent="0.2">
      <c r="A419" t="s">
        <v>210</v>
      </c>
      <c r="B419" t="str">
        <f>HYPERLINK("https://lindat.mff.cuni.cz/services/teitok/pdtc10/index.php?action=vallex&amp;frame=v-w162f2", "blížit se (v-w162f2)")</f>
        <v>blížit se (v-w162f2)</v>
      </c>
    </row>
    <row r="420" spans="1:4" x14ac:dyDescent="0.2">
      <c r="B420" t="s">
        <v>1</v>
      </c>
      <c r="C420" t="s">
        <v>211</v>
      </c>
      <c r="D420" t="s">
        <v>22988</v>
      </c>
    </row>
    <row r="422" spans="1:4" x14ac:dyDescent="0.2">
      <c r="A422" t="s">
        <v>212</v>
      </c>
      <c r="B422" t="str">
        <f>HYPERLINK("https://lindat.mff.cuni.cz/services/teitok/pdtc10/index.php?action=vallex&amp;frame=v-w168f1", "blýskat se (v-w168f1)")</f>
        <v>blýskat se (v-w168f1)</v>
      </c>
    </row>
    <row r="424" spans="1:4" x14ac:dyDescent="0.2">
      <c r="A424" t="s">
        <v>213</v>
      </c>
      <c r="B424" t="str">
        <f>HYPERLINK("https://lindat.mff.cuni.cz/services/teitok/pdtc10/index.php?action=vallex&amp;frame=v-w168f3_ZU", "blýskat se (v-w168f3_ZU)")</f>
        <v>blýskat se (v-w168f3_ZU)</v>
      </c>
    </row>
    <row r="425" spans="1:4" x14ac:dyDescent="0.2">
      <c r="B425" t="s">
        <v>1</v>
      </c>
    </row>
    <row r="427" spans="1:4" x14ac:dyDescent="0.2">
      <c r="A427" t="s">
        <v>213</v>
      </c>
      <c r="B427" t="str">
        <f>HYPERLINK("https://lindat.mff.cuni.cz/services/teitok/pdtc10/index.php?action=vallex&amp;frame=v-w168f2_ZU", "blýskat se (v-w168f2_ZU) - substituted with v-w168f3_ZU")</f>
        <v>blýskat se (v-w168f2_ZU) - substituted with v-w168f3_ZU</v>
      </c>
    </row>
    <row r="428" spans="1:4" x14ac:dyDescent="0.2">
      <c r="B428" t="s">
        <v>1</v>
      </c>
    </row>
    <row r="430" spans="1:4" x14ac:dyDescent="0.2">
      <c r="A430" t="s">
        <v>214</v>
      </c>
      <c r="B430" t="str">
        <f>HYPERLINK("https://lindat.mff.cuni.cz/services/teitok/pdtc10/index.php?action=vallex&amp;frame=v-w169f1", "blýsknout se (v-w169f1)")</f>
        <v>blýsknout se (v-w169f1)</v>
      </c>
    </row>
    <row r="431" spans="1:4" x14ac:dyDescent="0.2">
      <c r="B431" t="s">
        <v>1</v>
      </c>
    </row>
    <row r="432" spans="1:4" x14ac:dyDescent="0.2">
      <c r="B432" t="s">
        <v>215</v>
      </c>
    </row>
    <row r="433" spans="1:2" x14ac:dyDescent="0.2">
      <c r="B433" t="s">
        <v>216</v>
      </c>
    </row>
    <row r="435" spans="1:2" x14ac:dyDescent="0.2">
      <c r="A435" t="s">
        <v>217</v>
      </c>
      <c r="B435" t="str">
        <f>HYPERLINK("https://lindat.mff.cuni.cz/services/teitok/pdtc10/index.php?action=vallex&amp;frame=v-w170f1", "bodnout (v-w170f1)")</f>
        <v>bodnout (v-w170f1)</v>
      </c>
    </row>
    <row r="436" spans="1:2" x14ac:dyDescent="0.2">
      <c r="B436" t="s">
        <v>1</v>
      </c>
    </row>
    <row r="437" spans="1:2" x14ac:dyDescent="0.2">
      <c r="B437" t="s">
        <v>8</v>
      </c>
    </row>
    <row r="439" spans="1:2" x14ac:dyDescent="0.2">
      <c r="A439" t="s">
        <v>218</v>
      </c>
      <c r="B439" t="str">
        <f>HYPERLINK("https://lindat.mff.cuni.cz/services/teitok/pdtc10/index.php?action=vallex&amp;frame=v-w170f2", "bodnout (v-w170f2)")</f>
        <v>bodnout (v-w170f2)</v>
      </c>
    </row>
    <row r="440" spans="1:2" x14ac:dyDescent="0.2">
      <c r="B440" t="s">
        <v>146</v>
      </c>
    </row>
    <row r="441" spans="1:2" x14ac:dyDescent="0.2">
      <c r="B441" t="s">
        <v>5</v>
      </c>
    </row>
    <row r="443" spans="1:2" x14ac:dyDescent="0.2">
      <c r="A443" t="s">
        <v>219</v>
      </c>
      <c r="B443" t="str">
        <f>HYPERLINK("https://lindat.mff.cuni.cz/services/teitok/pdtc10/index.php?action=vallex&amp;frame=v-w170f3", "bodnout (v-w170f3)")</f>
        <v>bodnout (v-w170f3)</v>
      </c>
    </row>
    <row r="444" spans="1:2" x14ac:dyDescent="0.2">
      <c r="B444" t="s">
        <v>1</v>
      </c>
    </row>
    <row r="445" spans="1:2" x14ac:dyDescent="0.2">
      <c r="B445" t="s">
        <v>90</v>
      </c>
    </row>
    <row r="446" spans="1:2" x14ac:dyDescent="0.2">
      <c r="B446" t="s">
        <v>220</v>
      </c>
    </row>
    <row r="448" spans="1:2" x14ac:dyDescent="0.2">
      <c r="A448" t="s">
        <v>221</v>
      </c>
      <c r="B448" t="str">
        <f>HYPERLINK("https://lindat.mff.cuni.cz/services/teitok/pdtc10/index.php?action=vallex&amp;frame=v-w172f2", "bodovat (v-w172f2)")</f>
        <v>bodovat (v-w172f2)</v>
      </c>
    </row>
    <row r="449" spans="1:4" x14ac:dyDescent="0.2">
      <c r="B449" t="s">
        <v>1</v>
      </c>
    </row>
    <row r="450" spans="1:4" x14ac:dyDescent="0.2">
      <c r="B450" t="s">
        <v>8</v>
      </c>
    </row>
    <row r="452" spans="1:4" x14ac:dyDescent="0.2">
      <c r="A452" t="s">
        <v>222</v>
      </c>
      <c r="B452" t="str">
        <f>HYPERLINK("https://lindat.mff.cuni.cz/services/teitok/pdtc10/index.php?action=vallex&amp;frame=v-w172f1", "bodovat (v-w172f1)")</f>
        <v>bodovat (v-w172f1)</v>
      </c>
    </row>
    <row r="453" spans="1:4" x14ac:dyDescent="0.2">
      <c r="B453" t="s">
        <v>1</v>
      </c>
    </row>
    <row r="454" spans="1:4" x14ac:dyDescent="0.2">
      <c r="B454" t="s">
        <v>223</v>
      </c>
    </row>
    <row r="456" spans="1:4" x14ac:dyDescent="0.2">
      <c r="A456" t="s">
        <v>224</v>
      </c>
      <c r="B456" t="str">
        <f>HYPERLINK("https://lindat.mff.cuni.cz/services/teitok/pdtc10/index.php?action=vallex&amp;frame=v-w173f1", "bohatnout (v-w173f1)")</f>
        <v>bohatnout (v-w173f1)</v>
      </c>
    </row>
    <row r="457" spans="1:4" x14ac:dyDescent="0.2">
      <c r="B457" t="s">
        <v>1</v>
      </c>
    </row>
    <row r="458" spans="1:4" x14ac:dyDescent="0.2">
      <c r="B458" t="s">
        <v>225</v>
      </c>
    </row>
    <row r="459" spans="1:4" x14ac:dyDescent="0.2">
      <c r="B459" t="s">
        <v>226</v>
      </c>
    </row>
    <row r="461" spans="1:4" x14ac:dyDescent="0.2">
      <c r="A461" t="s">
        <v>227</v>
      </c>
      <c r="B461" t="str">
        <f>HYPERLINK("https://lindat.mff.cuni.cz/services/teitok/pdtc10/index.php?action=vallex&amp;frame=v-w177f1", "bojkotovat (v-w177f1)")</f>
        <v>bojkotovat (v-w177f1)</v>
      </c>
    </row>
    <row r="462" spans="1:4" x14ac:dyDescent="0.2">
      <c r="B462" t="s">
        <v>1</v>
      </c>
      <c r="C462" t="s">
        <v>140</v>
      </c>
      <c r="D462" t="s">
        <v>22989</v>
      </c>
    </row>
    <row r="463" spans="1:4" x14ac:dyDescent="0.2">
      <c r="B463" t="s">
        <v>228</v>
      </c>
      <c r="C463" t="s">
        <v>113</v>
      </c>
      <c r="D463" t="s">
        <v>22990</v>
      </c>
    </row>
    <row r="465" spans="1:4" x14ac:dyDescent="0.2">
      <c r="A465" t="s">
        <v>229</v>
      </c>
      <c r="B465" t="str">
        <f>HYPERLINK("https://lindat.mff.cuni.cz/services/teitok/pdtc10/index.php?action=vallex&amp;frame=v-w178f2", "bojovat (v-w178f2)")</f>
        <v>bojovat (v-w178f2)</v>
      </c>
    </row>
    <row r="466" spans="1:4" x14ac:dyDescent="0.2">
      <c r="B466" t="s">
        <v>1</v>
      </c>
      <c r="C466" t="s">
        <v>230</v>
      </c>
      <c r="D466" t="s">
        <v>14818</v>
      </c>
    </row>
    <row r="467" spans="1:4" x14ac:dyDescent="0.2">
      <c r="B467" t="s">
        <v>231</v>
      </c>
      <c r="C467" t="s">
        <v>232</v>
      </c>
      <c r="D467" t="s">
        <v>6043</v>
      </c>
    </row>
    <row r="469" spans="1:4" x14ac:dyDescent="0.2">
      <c r="A469" t="s">
        <v>233</v>
      </c>
      <c r="B469" t="str">
        <f>HYPERLINK("https://lindat.mff.cuni.cz/services/teitok/pdtc10/index.php?action=vallex&amp;frame=v-w178f1", "bojovat (v-w178f1)")</f>
        <v>bojovat (v-w178f1)</v>
      </c>
    </row>
    <row r="470" spans="1:4" x14ac:dyDescent="0.2">
      <c r="B470" t="s">
        <v>1</v>
      </c>
      <c r="C470" t="s">
        <v>234</v>
      </c>
      <c r="D470" t="s">
        <v>1992</v>
      </c>
    </row>
    <row r="471" spans="1:4" x14ac:dyDescent="0.2">
      <c r="B471" t="s">
        <v>235</v>
      </c>
      <c r="C471" t="s">
        <v>236</v>
      </c>
      <c r="D471" t="s">
        <v>22991</v>
      </c>
    </row>
    <row r="472" spans="1:4" x14ac:dyDescent="0.2">
      <c r="B472" t="s">
        <v>237</v>
      </c>
      <c r="C472" t="s">
        <v>238</v>
      </c>
      <c r="D472" t="s">
        <v>22992</v>
      </c>
    </row>
    <row r="474" spans="1:4" x14ac:dyDescent="0.2">
      <c r="A474" t="s">
        <v>239</v>
      </c>
      <c r="B474" t="str">
        <f>HYPERLINK("https://lindat.mff.cuni.cz/services/teitok/pdtc10/index.php?action=vallex&amp;frame=v-w178hsa_269", "bojovat (v-w178hsa_269)")</f>
        <v>bojovat (v-w178hsa_269)</v>
      </c>
    </row>
    <row r="475" spans="1:4" x14ac:dyDescent="0.2">
      <c r="B475" t="s">
        <v>1</v>
      </c>
      <c r="C475" t="s">
        <v>115</v>
      </c>
      <c r="D475" t="s">
        <v>115</v>
      </c>
    </row>
    <row r="476" spans="1:4" x14ac:dyDescent="0.2">
      <c r="B476" t="s">
        <v>8</v>
      </c>
      <c r="C476" t="s">
        <v>240</v>
      </c>
      <c r="D476" t="s">
        <v>240</v>
      </c>
    </row>
    <row r="478" spans="1:4" x14ac:dyDescent="0.2">
      <c r="A478" t="s">
        <v>241</v>
      </c>
      <c r="B478" t="str">
        <f>HYPERLINK("https://lindat.mff.cuni.cz/services/teitok/pdtc10/index.php?action=vallex&amp;frame=v-w183f1", "bolet (v-w183f1)")</f>
        <v>bolet (v-w183f1)</v>
      </c>
    </row>
    <row r="479" spans="1:4" x14ac:dyDescent="0.2">
      <c r="B479" t="s">
        <v>146</v>
      </c>
      <c r="C479" t="s">
        <v>242</v>
      </c>
      <c r="D479" t="s">
        <v>22993</v>
      </c>
    </row>
    <row r="480" spans="1:4" x14ac:dyDescent="0.2">
      <c r="B480" t="s">
        <v>243</v>
      </c>
      <c r="C480" t="s">
        <v>244</v>
      </c>
      <c r="D480" t="s">
        <v>22994</v>
      </c>
    </row>
    <row r="482" spans="1:4" x14ac:dyDescent="0.2">
      <c r="A482" t="s">
        <v>245</v>
      </c>
      <c r="B482" t="str">
        <f>HYPERLINK("https://lindat.mff.cuni.cz/services/teitok/pdtc10/index.php?action=vallex&amp;frame=v-w183f2", "bolet (v-w183f2)")</f>
        <v>bolet (v-w183f2)</v>
      </c>
    </row>
    <row r="483" spans="1:4" x14ac:dyDescent="0.2">
      <c r="B483" t="s">
        <v>146</v>
      </c>
    </row>
    <row r="484" spans="1:4" x14ac:dyDescent="0.2">
      <c r="B484" t="s">
        <v>5</v>
      </c>
    </row>
    <row r="486" spans="1:4" x14ac:dyDescent="0.2">
      <c r="A486" t="s">
        <v>246</v>
      </c>
      <c r="B486" t="str">
        <f>HYPERLINK("https://lindat.mff.cuni.cz/services/teitok/pdtc10/index.php?action=vallex&amp;frame=v-w183f3_ZU", "bolet (v-w183f3_ZU)")</f>
        <v>bolet (v-w183f3_ZU)</v>
      </c>
    </row>
    <row r="487" spans="1:4" x14ac:dyDescent="0.2">
      <c r="B487" t="s">
        <v>1</v>
      </c>
    </row>
    <row r="488" spans="1:4" x14ac:dyDescent="0.2">
      <c r="B488" t="s">
        <v>247</v>
      </c>
    </row>
    <row r="490" spans="1:4" x14ac:dyDescent="0.2">
      <c r="A490" t="s">
        <v>248</v>
      </c>
      <c r="B490" t="str">
        <f>HYPERLINK("https://lindat.mff.cuni.cz/services/teitok/pdtc10/index.php?action=vallex&amp;frame=v-w185f1", "bombardovat (v-w185f1)")</f>
        <v>bombardovat (v-w185f1)</v>
      </c>
    </row>
    <row r="491" spans="1:4" x14ac:dyDescent="0.2">
      <c r="B491" t="s">
        <v>1</v>
      </c>
      <c r="C491" t="s">
        <v>249</v>
      </c>
      <c r="D491" t="s">
        <v>83</v>
      </c>
    </row>
    <row r="492" spans="1:4" x14ac:dyDescent="0.2">
      <c r="B492" t="s">
        <v>8</v>
      </c>
      <c r="C492" t="s">
        <v>54</v>
      </c>
      <c r="D492" t="s">
        <v>54</v>
      </c>
    </row>
    <row r="494" spans="1:4" x14ac:dyDescent="0.2">
      <c r="A494" t="s">
        <v>250</v>
      </c>
      <c r="B494" t="str">
        <f>HYPERLINK("https://lindat.mff.cuni.cz/services/teitok/pdtc10/index.php?action=vallex&amp;frame=v-w186f1", "bortit se (v-w186f1)")</f>
        <v>bortit se (v-w186f1)</v>
      </c>
    </row>
    <row r="495" spans="1:4" x14ac:dyDescent="0.2">
      <c r="B495" t="s">
        <v>1</v>
      </c>
    </row>
    <row r="497" spans="1:2" x14ac:dyDescent="0.2">
      <c r="A497" t="s">
        <v>251</v>
      </c>
      <c r="B497" t="str">
        <f>HYPERLINK("https://lindat.mff.cuni.cz/services/teitok/pdtc10/index.php?action=vallex&amp;frame=v-w11731_ZUf3_ZU", "bouchat (v-w11731_ZUf3_ZU)")</f>
        <v>bouchat (v-w11731_ZUf3_ZU)</v>
      </c>
    </row>
    <row r="498" spans="1:2" x14ac:dyDescent="0.2">
      <c r="B498" t="s">
        <v>1</v>
      </c>
    </row>
    <row r="499" spans="1:2" x14ac:dyDescent="0.2">
      <c r="B499" t="s">
        <v>252</v>
      </c>
    </row>
    <row r="501" spans="1:2" x14ac:dyDescent="0.2">
      <c r="A501" t="s">
        <v>251</v>
      </c>
      <c r="B501" t="str">
        <f>HYPERLINK("https://lindat.mff.cuni.cz/services/teitok/pdtc10/index.php?action=vallex&amp;frame=v-w11731_ZUf1_ZU", "bouchat (v-w11731_ZUf1_ZU) - substituted with v-w11731_ZUf3_ZU")</f>
        <v>bouchat (v-w11731_ZUf1_ZU) - substituted with v-w11731_ZUf3_ZU</v>
      </c>
    </row>
    <row r="502" spans="1:2" x14ac:dyDescent="0.2">
      <c r="B502" t="s">
        <v>1</v>
      </c>
    </row>
    <row r="503" spans="1:2" x14ac:dyDescent="0.2">
      <c r="B503" t="s">
        <v>252</v>
      </c>
    </row>
    <row r="505" spans="1:2" x14ac:dyDescent="0.2">
      <c r="A505" t="s">
        <v>251</v>
      </c>
      <c r="B505" t="str">
        <f>HYPERLINK("https://lindat.mff.cuni.cz/services/teitok/pdtc10/index.php?action=vallex&amp;frame=v-w11731_ZUf2_ZU", "bouchat (v-w11731_ZUf2_ZU) - substituted with v-w11731_ZUf3_ZU")</f>
        <v>bouchat (v-w11731_ZUf2_ZU) - substituted with v-w11731_ZUf3_ZU</v>
      </c>
    </row>
    <row r="506" spans="1:2" x14ac:dyDescent="0.2">
      <c r="B506" t="s">
        <v>1</v>
      </c>
    </row>
    <row r="507" spans="1:2" x14ac:dyDescent="0.2">
      <c r="B507" t="s">
        <v>252</v>
      </c>
    </row>
    <row r="509" spans="1:2" x14ac:dyDescent="0.2">
      <c r="A509" t="s">
        <v>253</v>
      </c>
      <c r="B509" t="str">
        <f>HYPERLINK("https://lindat.mff.cuni.cz/services/teitok/pdtc10/index.php?action=vallex&amp;frame=v-w189f4", "bouchnout (v-w189f4)")</f>
        <v>bouchnout (v-w189f4)</v>
      </c>
    </row>
    <row r="510" spans="1:2" x14ac:dyDescent="0.2">
      <c r="B510" t="s">
        <v>1</v>
      </c>
    </row>
    <row r="511" spans="1:2" x14ac:dyDescent="0.2">
      <c r="B511" t="s">
        <v>8</v>
      </c>
    </row>
    <row r="513" spans="1:4" x14ac:dyDescent="0.2">
      <c r="A513" t="s">
        <v>254</v>
      </c>
      <c r="B513" t="str">
        <f>HYPERLINK("https://lindat.mff.cuni.cz/services/teitok/pdtc10/index.php?action=vallex&amp;frame=v-w189f3", "bouchnout (v-w189f3)")</f>
        <v>bouchnout (v-w189f3)</v>
      </c>
    </row>
    <row r="514" spans="1:4" x14ac:dyDescent="0.2">
      <c r="B514" t="s">
        <v>1</v>
      </c>
      <c r="D514" t="s">
        <v>33</v>
      </c>
    </row>
    <row r="515" spans="1:4" x14ac:dyDescent="0.2">
      <c r="B515" t="s">
        <v>158</v>
      </c>
      <c r="D515" t="s">
        <v>113</v>
      </c>
    </row>
    <row r="517" spans="1:4" x14ac:dyDescent="0.2">
      <c r="A517" t="s">
        <v>255</v>
      </c>
      <c r="B517" t="str">
        <f>HYPERLINK("https://lindat.mff.cuni.cz/services/teitok/pdtc10/index.php?action=vallex&amp;frame=v-w189f1", "bouchnout (v-w189f1)")</f>
        <v>bouchnout (v-w189f1)</v>
      </c>
    </row>
    <row r="518" spans="1:4" x14ac:dyDescent="0.2">
      <c r="B518" t="s">
        <v>1</v>
      </c>
    </row>
    <row r="520" spans="1:4" x14ac:dyDescent="0.2">
      <c r="A520" t="s">
        <v>256</v>
      </c>
      <c r="B520" t="str">
        <f>HYPERLINK("https://lindat.mff.cuni.cz/services/teitok/pdtc10/index.php?action=vallex&amp;frame=v-w189f2", "bouchnout (v-w189f2)")</f>
        <v>bouchnout (v-w189f2)</v>
      </c>
    </row>
    <row r="521" spans="1:4" x14ac:dyDescent="0.2">
      <c r="B521" t="s">
        <v>1</v>
      </c>
    </row>
    <row r="523" spans="1:4" x14ac:dyDescent="0.2">
      <c r="A523" t="s">
        <v>257</v>
      </c>
      <c r="B523" t="str">
        <f>HYPERLINK("https://lindat.mff.cuni.cz/services/teitok/pdtc10/index.php?action=vallex&amp;frame=v-w11938_ZUf1_ZU", "bouchnout se (v-w11938_ZUf1_ZU)")</f>
        <v>bouchnout se (v-w11938_ZUf1_ZU)</v>
      </c>
    </row>
    <row r="524" spans="1:4" x14ac:dyDescent="0.2">
      <c r="B524" t="s">
        <v>1</v>
      </c>
    </row>
    <row r="526" spans="1:4" x14ac:dyDescent="0.2">
      <c r="A526" t="s">
        <v>258</v>
      </c>
      <c r="B526" t="str">
        <f>HYPERLINK("https://lindat.mff.cuni.cz/services/teitok/pdtc10/index.php?action=vallex&amp;frame=v-w191f1", "bourat (v-w191f1)")</f>
        <v>bourat (v-w191f1)</v>
      </c>
    </row>
    <row r="527" spans="1:4" x14ac:dyDescent="0.2">
      <c r="B527" t="s">
        <v>1</v>
      </c>
    </row>
    <row r="528" spans="1:4" x14ac:dyDescent="0.2">
      <c r="B528" t="s">
        <v>172</v>
      </c>
    </row>
    <row r="529" spans="1:4" x14ac:dyDescent="0.2">
      <c r="B529" t="s">
        <v>61</v>
      </c>
    </row>
    <row r="531" spans="1:4" x14ac:dyDescent="0.2">
      <c r="A531" t="s">
        <v>259</v>
      </c>
      <c r="B531" t="str">
        <f>HYPERLINK("https://lindat.mff.cuni.cz/services/teitok/pdtc10/index.php?action=vallex&amp;frame=v-w192f1", "bouřit (v-w192f1)")</f>
        <v>bouřit (v-w192f1)</v>
      </c>
    </row>
    <row r="532" spans="1:4" x14ac:dyDescent="0.2">
      <c r="B532" t="s">
        <v>1</v>
      </c>
      <c r="D532" t="s">
        <v>1709</v>
      </c>
    </row>
    <row r="534" spans="1:4" x14ac:dyDescent="0.2">
      <c r="A534" t="s">
        <v>260</v>
      </c>
      <c r="B534" t="str">
        <f>HYPERLINK("https://lindat.mff.cuni.cz/services/teitok/pdtc10/index.php?action=vallex&amp;frame=v-w192f2", "bouřit (v-w192f2)")</f>
        <v>bouřit (v-w192f2)</v>
      </c>
    </row>
    <row r="535" spans="1:4" x14ac:dyDescent="0.2">
      <c r="B535" t="s">
        <v>1</v>
      </c>
      <c r="D535" t="s">
        <v>1709</v>
      </c>
    </row>
    <row r="537" spans="1:4" x14ac:dyDescent="0.2">
      <c r="A537" t="s">
        <v>261</v>
      </c>
      <c r="B537" t="str">
        <f>HYPERLINK("https://lindat.mff.cuni.cz/services/teitok/pdtc10/index.php?action=vallex&amp;frame=v-w193f1", "bouřit se (v-w193f1)")</f>
        <v>bouřit se (v-w193f1)</v>
      </c>
    </row>
    <row r="538" spans="1:4" x14ac:dyDescent="0.2">
      <c r="B538" t="s">
        <v>1</v>
      </c>
      <c r="C538" t="s">
        <v>33</v>
      </c>
      <c r="D538" t="s">
        <v>9341</v>
      </c>
    </row>
    <row r="540" spans="1:4" x14ac:dyDescent="0.2">
      <c r="A540" t="s">
        <v>262</v>
      </c>
      <c r="B540" t="str">
        <f>HYPERLINK("https://lindat.mff.cuni.cz/services/teitok/pdtc10/index.php?action=vallex&amp;frame=v-w194f1", "boxovat (v-w194f1)")</f>
        <v>boxovat (v-w194f1)</v>
      </c>
    </row>
    <row r="541" spans="1:4" x14ac:dyDescent="0.2">
      <c r="B541" t="s">
        <v>1</v>
      </c>
      <c r="D541" t="s">
        <v>33</v>
      </c>
    </row>
    <row r="543" spans="1:4" x14ac:dyDescent="0.2">
      <c r="A543" t="s">
        <v>263</v>
      </c>
      <c r="B543" t="str">
        <f>HYPERLINK("https://lindat.mff.cuni.cz/services/teitok/pdtc10/index.php?action=vallex&amp;frame=v-w206f2", "brblat (v-w206f2)")</f>
        <v>brblat (v-w206f2)</v>
      </c>
    </row>
    <row r="544" spans="1:4" x14ac:dyDescent="0.2">
      <c r="B544" t="s">
        <v>1</v>
      </c>
      <c r="C544" t="s">
        <v>140</v>
      </c>
      <c r="D544" t="s">
        <v>2533</v>
      </c>
    </row>
    <row r="545" spans="1:4" x14ac:dyDescent="0.2">
      <c r="B545" t="s">
        <v>264</v>
      </c>
      <c r="C545" t="s">
        <v>113</v>
      </c>
      <c r="D545" t="s">
        <v>7921</v>
      </c>
    </row>
    <row r="547" spans="1:4" x14ac:dyDescent="0.2">
      <c r="A547" t="s">
        <v>263</v>
      </c>
      <c r="B547" t="str">
        <f>HYPERLINK("https://lindat.mff.cuni.cz/services/teitok/pdtc10/index.php?action=vallex&amp;frame=v-w206f1", "brblat (v-w206f1) - substituted with v-w206f2")</f>
        <v>brblat (v-w206f1) - substituted with v-w206f2</v>
      </c>
    </row>
    <row r="548" spans="1:4" x14ac:dyDescent="0.2">
      <c r="B548" t="s">
        <v>1</v>
      </c>
    </row>
    <row r="549" spans="1:4" x14ac:dyDescent="0.2">
      <c r="B549" t="s">
        <v>264</v>
      </c>
    </row>
    <row r="551" spans="1:4" x14ac:dyDescent="0.2">
      <c r="A551" t="s">
        <v>265</v>
      </c>
      <c r="B551" t="str">
        <f>HYPERLINK("https://lindat.mff.cuni.cz/services/teitok/pdtc10/index.php?action=vallex&amp;frame=v-w10657f2", "brebentit (v-w10657f2)")</f>
        <v>brebentit (v-w10657f2)</v>
      </c>
    </row>
    <row r="552" spans="1:4" x14ac:dyDescent="0.2">
      <c r="B552" t="s">
        <v>1</v>
      </c>
    </row>
    <row r="553" spans="1:4" x14ac:dyDescent="0.2">
      <c r="B553" t="s">
        <v>8</v>
      </c>
    </row>
    <row r="555" spans="1:4" x14ac:dyDescent="0.2">
      <c r="A555" t="s">
        <v>266</v>
      </c>
      <c r="B555" t="str">
        <f>HYPERLINK("https://lindat.mff.cuni.cz/services/teitok/pdtc10/index.php?action=vallex&amp;frame=v-w10657f4_ZU", "brebentit (v-w10657f4_ZU)")</f>
        <v>brebentit (v-w10657f4_ZU)</v>
      </c>
    </row>
    <row r="556" spans="1:4" x14ac:dyDescent="0.2">
      <c r="B556" t="s">
        <v>1</v>
      </c>
      <c r="C556" t="s">
        <v>140</v>
      </c>
    </row>
    <row r="557" spans="1:4" x14ac:dyDescent="0.2">
      <c r="B557" t="s">
        <v>267</v>
      </c>
      <c r="C557" t="s">
        <v>268</v>
      </c>
    </row>
    <row r="558" spans="1:4" x14ac:dyDescent="0.2">
      <c r="B558" t="s">
        <v>269</v>
      </c>
    </row>
    <row r="560" spans="1:4" x14ac:dyDescent="0.2">
      <c r="A560" t="s">
        <v>266</v>
      </c>
      <c r="B560" t="str">
        <f>HYPERLINK("https://lindat.mff.cuni.cz/services/teitok/pdtc10/index.php?action=vallex&amp;frame=v-w10657f3_ZU", "brebentit (v-w10657f3_ZU) - substituted with v-w10657f4_ZU")</f>
        <v>brebentit (v-w10657f3_ZU) - substituted with v-w10657f4_ZU</v>
      </c>
    </row>
    <row r="561" spans="1:2" x14ac:dyDescent="0.2">
      <c r="B561" t="s">
        <v>1</v>
      </c>
    </row>
    <row r="562" spans="1:2" x14ac:dyDescent="0.2">
      <c r="B562" t="s">
        <v>267</v>
      </c>
    </row>
    <row r="563" spans="1:2" x14ac:dyDescent="0.2">
      <c r="B563" t="s">
        <v>269</v>
      </c>
    </row>
    <row r="565" spans="1:2" x14ac:dyDescent="0.2">
      <c r="A565" t="s">
        <v>270</v>
      </c>
      <c r="B565" t="str">
        <f>HYPERLINK("https://lindat.mff.cuni.cz/services/teitok/pdtc10/index.php?action=vallex&amp;frame=v-w10702f2", "brečet (v-w10702f2)")</f>
        <v>brečet (v-w10702f2)</v>
      </c>
    </row>
    <row r="566" spans="1:2" x14ac:dyDescent="0.2">
      <c r="B566" t="s">
        <v>1</v>
      </c>
    </row>
    <row r="568" spans="1:2" x14ac:dyDescent="0.2">
      <c r="A568" t="s">
        <v>271</v>
      </c>
      <c r="B568" t="str">
        <f>HYPERLINK("https://lindat.mff.cuni.cz/services/teitok/pdtc10/index.php?action=vallex&amp;frame=v-w12339_MMf1_MM", "brnkat (v-w12339_MMf1_MM)")</f>
        <v>brnkat (v-w12339_MMf1_MM)</v>
      </c>
    </row>
    <row r="569" spans="1:2" x14ac:dyDescent="0.2">
      <c r="B569" t="s">
        <v>1</v>
      </c>
    </row>
    <row r="571" spans="1:2" x14ac:dyDescent="0.2">
      <c r="A571" t="s">
        <v>272</v>
      </c>
      <c r="B571" t="str">
        <f>HYPERLINK("https://lindat.mff.cuni.cz/services/teitok/pdtc10/index.php?action=vallex&amp;frame=v-whsa_1115hsa_1116", "brnknout (v-whsa_1115hsa_1116)")</f>
        <v>brnknout (v-whsa_1115hsa_1116)</v>
      </c>
    </row>
    <row r="572" spans="1:2" x14ac:dyDescent="0.2">
      <c r="B572" t="s">
        <v>1</v>
      </c>
    </row>
    <row r="573" spans="1:2" x14ac:dyDescent="0.2">
      <c r="B573" t="s">
        <v>273</v>
      </c>
    </row>
    <row r="574" spans="1:2" x14ac:dyDescent="0.2">
      <c r="B574" t="s">
        <v>35</v>
      </c>
    </row>
    <row r="576" spans="1:2" x14ac:dyDescent="0.2">
      <c r="A576" t="s">
        <v>274</v>
      </c>
      <c r="B576" t="str">
        <f>HYPERLINK("https://lindat.mff.cuni.cz/services/teitok/pdtc10/index.php?action=vallex&amp;frame=v-w208f1", "brodit se (v-w208f1)")</f>
        <v>brodit se (v-w208f1)</v>
      </c>
    </row>
    <row r="577" spans="1:4" x14ac:dyDescent="0.2">
      <c r="B577" t="s">
        <v>1</v>
      </c>
      <c r="C577" t="s">
        <v>33</v>
      </c>
    </row>
    <row r="579" spans="1:4" x14ac:dyDescent="0.2">
      <c r="A579" t="s">
        <v>275</v>
      </c>
      <c r="B579" t="str">
        <f>HYPERLINK("https://lindat.mff.cuni.cz/services/teitok/pdtc10/index.php?action=vallex&amp;frame=v-w208hsa_560", "brodit se (v-w208hsa_560)")</f>
        <v>brodit se (v-w208hsa_560)</v>
      </c>
    </row>
    <row r="580" spans="1:4" x14ac:dyDescent="0.2">
      <c r="B580" t="s">
        <v>1</v>
      </c>
      <c r="D580" t="s">
        <v>14818</v>
      </c>
    </row>
    <row r="581" spans="1:4" x14ac:dyDescent="0.2">
      <c r="B581" t="s">
        <v>158</v>
      </c>
      <c r="D581" t="s">
        <v>6043</v>
      </c>
    </row>
    <row r="583" spans="1:4" x14ac:dyDescent="0.2">
      <c r="A583" t="s">
        <v>276</v>
      </c>
      <c r="B583" t="str">
        <f>HYPERLINK("https://lindat.mff.cuni.cz/services/teitok/pdtc10/index.php?action=vallex&amp;frame=v-w209f1", "brojit (v-w209f1)")</f>
        <v>brojit (v-w209f1)</v>
      </c>
    </row>
    <row r="584" spans="1:4" x14ac:dyDescent="0.2">
      <c r="B584" t="s">
        <v>1</v>
      </c>
    </row>
    <row r="585" spans="1:4" x14ac:dyDescent="0.2">
      <c r="B585" t="s">
        <v>277</v>
      </c>
    </row>
    <row r="587" spans="1:4" x14ac:dyDescent="0.2">
      <c r="A587" t="s">
        <v>278</v>
      </c>
      <c r="B587" t="str">
        <f>HYPERLINK("https://lindat.mff.cuni.cz/services/teitok/pdtc10/index.php?action=vallex&amp;frame=v-w11504_ZUf1_ZU", "broukat (v-w11504_ZUf1_ZU)")</f>
        <v>broukat (v-w11504_ZUf1_ZU)</v>
      </c>
    </row>
    <row r="588" spans="1:4" x14ac:dyDescent="0.2">
      <c r="B588" t="s">
        <v>1</v>
      </c>
      <c r="C588" t="s">
        <v>140</v>
      </c>
      <c r="D588" t="s">
        <v>115</v>
      </c>
    </row>
    <row r="589" spans="1:4" x14ac:dyDescent="0.2">
      <c r="B589" t="s">
        <v>279</v>
      </c>
      <c r="C589" t="s">
        <v>113</v>
      </c>
      <c r="D589" t="s">
        <v>1340</v>
      </c>
    </row>
    <row r="591" spans="1:4" x14ac:dyDescent="0.2">
      <c r="A591" t="s">
        <v>280</v>
      </c>
      <c r="B591" t="str">
        <f>HYPERLINK("https://lindat.mff.cuni.cz/services/teitok/pdtc10/index.php?action=vallex&amp;frame=v-w210f1", "brousit (v-w210f1)")</f>
        <v>brousit (v-w210f1)</v>
      </c>
    </row>
    <row r="592" spans="1:4" x14ac:dyDescent="0.2">
      <c r="B592" t="s">
        <v>1</v>
      </c>
      <c r="D592" t="s">
        <v>133</v>
      </c>
    </row>
    <row r="593" spans="1:4" x14ac:dyDescent="0.2">
      <c r="B593" t="s">
        <v>8</v>
      </c>
      <c r="D593" t="s">
        <v>113</v>
      </c>
    </row>
    <row r="595" spans="1:4" x14ac:dyDescent="0.2">
      <c r="A595" t="s">
        <v>281</v>
      </c>
      <c r="B595" t="str">
        <f>HYPERLINK("https://lindat.mff.cuni.cz/services/teitok/pdtc10/index.php?action=vallex&amp;frame=v-w211f1", "brousit si (v-w211f1)")</f>
        <v>brousit si (v-w211f1)</v>
      </c>
    </row>
    <row r="596" spans="1:4" x14ac:dyDescent="0.2">
      <c r="B596" t="s">
        <v>1</v>
      </c>
      <c r="C596" t="s">
        <v>249</v>
      </c>
      <c r="D596" t="s">
        <v>22995</v>
      </c>
    </row>
    <row r="597" spans="1:4" x14ac:dyDescent="0.2">
      <c r="B597" t="s">
        <v>282</v>
      </c>
      <c r="C597" t="s">
        <v>283</v>
      </c>
    </row>
    <row r="598" spans="1:4" x14ac:dyDescent="0.2">
      <c r="B598" t="s">
        <v>28</v>
      </c>
      <c r="D598" t="s">
        <v>22996</v>
      </c>
    </row>
    <row r="600" spans="1:4" x14ac:dyDescent="0.2">
      <c r="A600" t="s">
        <v>284</v>
      </c>
      <c r="B600" t="str">
        <f>HYPERLINK("https://lindat.mff.cuni.cz/services/teitok/pdtc10/index.php?action=vallex&amp;frame=v-whsa_1232hsa_1233", "brouzdat (v-whsa_1232hsa_1233)")</f>
        <v>brouzdat (v-whsa_1232hsa_1233)</v>
      </c>
    </row>
    <row r="601" spans="1:4" x14ac:dyDescent="0.2">
      <c r="B601" t="s">
        <v>1</v>
      </c>
    </row>
    <row r="602" spans="1:4" x14ac:dyDescent="0.2">
      <c r="B602" t="s">
        <v>8</v>
      </c>
    </row>
    <row r="604" spans="1:4" x14ac:dyDescent="0.2">
      <c r="A604" t="s">
        <v>285</v>
      </c>
      <c r="B604" t="str">
        <f>HYPERLINK("https://lindat.mff.cuni.cz/services/teitok/pdtc10/index.php?action=vallex&amp;frame=v-whsa_1836hsa_1837", "brouzdat se (v-whsa_1836hsa_1837)")</f>
        <v>brouzdat se (v-whsa_1836hsa_1837)</v>
      </c>
    </row>
    <row r="605" spans="1:4" x14ac:dyDescent="0.2">
      <c r="B605" t="s">
        <v>1</v>
      </c>
    </row>
    <row r="607" spans="1:4" x14ac:dyDescent="0.2">
      <c r="A607" t="s">
        <v>286</v>
      </c>
      <c r="B607" t="str">
        <f>HYPERLINK("https://lindat.mff.cuni.cz/services/teitok/pdtc10/index.php?action=vallex&amp;frame=v-w215f1", "brumlat (v-w215f1)")</f>
        <v>brumlat (v-w215f1)</v>
      </c>
    </row>
    <row r="608" spans="1:4" x14ac:dyDescent="0.2">
      <c r="B608" t="s">
        <v>1</v>
      </c>
      <c r="D608" t="s">
        <v>373</v>
      </c>
    </row>
    <row r="609" spans="1:4" x14ac:dyDescent="0.2">
      <c r="B609" t="s">
        <v>287</v>
      </c>
      <c r="D609" t="s">
        <v>1128</v>
      </c>
    </row>
    <row r="611" spans="1:4" x14ac:dyDescent="0.2">
      <c r="A611" t="s">
        <v>288</v>
      </c>
      <c r="B611" t="str">
        <f>HYPERLINK("https://lindat.mff.cuni.cz/services/teitok/pdtc10/index.php?action=vallex&amp;frame=v-w217f1", "bruslit (v-w217f1)")</f>
        <v>bruslit (v-w217f1)</v>
      </c>
    </row>
    <row r="612" spans="1:4" x14ac:dyDescent="0.2">
      <c r="B612" t="s">
        <v>1</v>
      </c>
    </row>
    <row r="614" spans="1:4" x14ac:dyDescent="0.2">
      <c r="A614" t="s">
        <v>289</v>
      </c>
      <c r="B614" t="str">
        <f>HYPERLINK("https://lindat.mff.cuni.cz/services/teitok/pdtc10/index.php?action=vallex&amp;frame=v-w217f2_ZU", "bruslit (v-w217f2_ZU)")</f>
        <v>bruslit (v-w217f2_ZU)</v>
      </c>
    </row>
    <row r="615" spans="1:4" x14ac:dyDescent="0.2">
      <c r="B615" t="s">
        <v>1</v>
      </c>
    </row>
    <row r="616" spans="1:4" x14ac:dyDescent="0.2">
      <c r="B616" t="s">
        <v>290</v>
      </c>
    </row>
    <row r="618" spans="1:4" x14ac:dyDescent="0.2">
      <c r="A618" t="s">
        <v>291</v>
      </c>
      <c r="B618" t="str">
        <f>HYPERLINK("https://lindat.mff.cuni.cz/services/teitok/pdtc10/index.php?action=vallex&amp;frame=v-whsa_376hsa_377", "bruslívat (v-whsa_376hsa_377)")</f>
        <v>bruslívat (v-whsa_376hsa_377)</v>
      </c>
    </row>
    <row r="619" spans="1:4" x14ac:dyDescent="0.2">
      <c r="B619" t="s">
        <v>1</v>
      </c>
    </row>
    <row r="621" spans="1:4" x14ac:dyDescent="0.2">
      <c r="A621" t="s">
        <v>292</v>
      </c>
      <c r="B621" t="str">
        <f>HYPERLINK("https://lindat.mff.cuni.cz/services/teitok/pdtc10/index.php?action=vallex&amp;frame=v-w10673f2", "bručet (v-w10673f2)")</f>
        <v>bručet (v-w10673f2)</v>
      </c>
    </row>
    <row r="622" spans="1:4" x14ac:dyDescent="0.2">
      <c r="B622" t="s">
        <v>1</v>
      </c>
      <c r="D622" t="s">
        <v>373</v>
      </c>
    </row>
    <row r="623" spans="1:4" x14ac:dyDescent="0.2">
      <c r="B623" t="s">
        <v>287</v>
      </c>
      <c r="D623" t="s">
        <v>1128</v>
      </c>
    </row>
    <row r="625" spans="1:4" x14ac:dyDescent="0.2">
      <c r="A625" t="s">
        <v>293</v>
      </c>
      <c r="B625" t="str">
        <f>HYPERLINK("https://lindat.mff.cuni.cz/services/teitok/pdtc10/index.php?action=vallex&amp;frame=v-w220f1", "brzdit (v-w220f1)")</f>
        <v>brzdit (v-w220f1)</v>
      </c>
    </row>
    <row r="626" spans="1:4" x14ac:dyDescent="0.2">
      <c r="B626" t="s">
        <v>1</v>
      </c>
      <c r="C626" t="s">
        <v>294</v>
      </c>
      <c r="D626" t="s">
        <v>9760</v>
      </c>
    </row>
    <row r="627" spans="1:4" x14ac:dyDescent="0.2">
      <c r="B627" t="s">
        <v>8</v>
      </c>
      <c r="C627" t="s">
        <v>295</v>
      </c>
      <c r="D627" t="s">
        <v>22997</v>
      </c>
    </row>
    <row r="629" spans="1:4" x14ac:dyDescent="0.2">
      <c r="A629" t="s">
        <v>296</v>
      </c>
      <c r="B629" t="str">
        <f>HYPERLINK("https://lindat.mff.cuni.cz/services/teitok/pdtc10/index.php?action=vallex&amp;frame=v-w220f2", "brzdit (v-w220f2)")</f>
        <v>brzdit (v-w220f2)</v>
      </c>
    </row>
    <row r="630" spans="1:4" x14ac:dyDescent="0.2">
      <c r="B630" t="s">
        <v>1</v>
      </c>
      <c r="C630" t="s">
        <v>140</v>
      </c>
      <c r="D630" t="s">
        <v>2172</v>
      </c>
    </row>
    <row r="631" spans="1:4" x14ac:dyDescent="0.2">
      <c r="B631" t="s">
        <v>58</v>
      </c>
      <c r="C631" t="s">
        <v>297</v>
      </c>
      <c r="D631" t="s">
        <v>22998</v>
      </c>
    </row>
    <row r="632" spans="1:4" x14ac:dyDescent="0.2">
      <c r="B632" t="s">
        <v>298</v>
      </c>
      <c r="C632" t="s">
        <v>299</v>
      </c>
    </row>
    <row r="634" spans="1:4" x14ac:dyDescent="0.2">
      <c r="A634" t="s">
        <v>300</v>
      </c>
      <c r="B634" t="str">
        <f>HYPERLINK("https://lindat.mff.cuni.cz/services/teitok/pdtc10/index.php?action=vallex&amp;frame=v-w198f2", "bránit (v-w198f2)")</f>
        <v>bránit (v-w198f2)</v>
      </c>
    </row>
    <row r="635" spans="1:4" x14ac:dyDescent="0.2">
      <c r="B635" t="s">
        <v>1</v>
      </c>
      <c r="C635" t="s">
        <v>301</v>
      </c>
      <c r="D635" t="s">
        <v>22999</v>
      </c>
    </row>
    <row r="636" spans="1:4" x14ac:dyDescent="0.2">
      <c r="B636" t="s">
        <v>302</v>
      </c>
      <c r="C636" t="s">
        <v>303</v>
      </c>
      <c r="D636" t="s">
        <v>23000</v>
      </c>
    </row>
    <row r="637" spans="1:4" x14ac:dyDescent="0.2">
      <c r="B637" t="s">
        <v>78</v>
      </c>
      <c r="C637" t="s">
        <v>304</v>
      </c>
      <c r="D637" t="s">
        <v>23001</v>
      </c>
    </row>
    <row r="639" spans="1:4" x14ac:dyDescent="0.2">
      <c r="A639" t="s">
        <v>305</v>
      </c>
      <c r="B639" t="str">
        <f>HYPERLINK("https://lindat.mff.cuni.cz/services/teitok/pdtc10/index.php?action=vallex&amp;frame=v-w198f3", "bránit (v-w198f3)")</f>
        <v>bránit (v-w198f3)</v>
      </c>
    </row>
    <row r="640" spans="1:4" x14ac:dyDescent="0.2">
      <c r="B640" t="s">
        <v>1</v>
      </c>
      <c r="C640" t="s">
        <v>306</v>
      </c>
      <c r="D640" t="s">
        <v>1504</v>
      </c>
    </row>
    <row r="641" spans="1:4" x14ac:dyDescent="0.2">
      <c r="B641" t="s">
        <v>8</v>
      </c>
      <c r="C641" t="s">
        <v>307</v>
      </c>
      <c r="D641" t="s">
        <v>3233</v>
      </c>
    </row>
    <row r="642" spans="1:4" x14ac:dyDescent="0.2">
      <c r="B642" t="s">
        <v>308</v>
      </c>
      <c r="C642" t="s">
        <v>268</v>
      </c>
      <c r="D642" t="s">
        <v>268</v>
      </c>
    </row>
    <row r="644" spans="1:4" x14ac:dyDescent="0.2">
      <c r="A644" t="s">
        <v>309</v>
      </c>
      <c r="B644" t="str">
        <f>HYPERLINK("https://lindat.mff.cuni.cz/services/teitok/pdtc10/index.php?action=vallex&amp;frame=v-w198f1", "bránit (v-w198f1)")</f>
        <v>bránit (v-w198f1)</v>
      </c>
    </row>
    <row r="645" spans="1:4" x14ac:dyDescent="0.2">
      <c r="B645" t="s">
        <v>1</v>
      </c>
      <c r="C645" t="s">
        <v>310</v>
      </c>
      <c r="D645" t="s">
        <v>22980</v>
      </c>
    </row>
    <row r="646" spans="1:4" x14ac:dyDescent="0.2">
      <c r="B646" t="s">
        <v>103</v>
      </c>
      <c r="C646" t="s">
        <v>311</v>
      </c>
      <c r="D646" t="s">
        <v>22981</v>
      </c>
    </row>
    <row r="648" spans="1:4" x14ac:dyDescent="0.2">
      <c r="A648" t="s">
        <v>312</v>
      </c>
      <c r="B648" t="str">
        <f>HYPERLINK("https://lindat.mff.cuni.cz/services/teitok/pdtc10/index.php?action=vallex&amp;frame=v-w199f1", "bránit se (v-w199f1)")</f>
        <v>bránit se (v-w199f1)</v>
      </c>
    </row>
    <row r="649" spans="1:4" x14ac:dyDescent="0.2">
      <c r="B649" t="s">
        <v>1</v>
      </c>
      <c r="C649" t="s">
        <v>313</v>
      </c>
      <c r="D649" t="s">
        <v>23002</v>
      </c>
    </row>
    <row r="650" spans="1:4" x14ac:dyDescent="0.2">
      <c r="B650" t="s">
        <v>314</v>
      </c>
      <c r="C650" t="s">
        <v>315</v>
      </c>
      <c r="D650" t="s">
        <v>23003</v>
      </c>
    </row>
    <row r="652" spans="1:4" x14ac:dyDescent="0.2">
      <c r="A652" t="s">
        <v>316</v>
      </c>
      <c r="B652" t="str">
        <f>HYPERLINK("https://lindat.mff.cuni.cz/services/teitok/pdtc10/index.php?action=vallex&amp;frame=v-w202f8", "brát (v-w202f8)")</f>
        <v>brát (v-w202f8)</v>
      </c>
    </row>
    <row r="653" spans="1:4" x14ac:dyDescent="0.2">
      <c r="B653" t="s">
        <v>1</v>
      </c>
      <c r="C653" t="s">
        <v>317</v>
      </c>
      <c r="D653" t="s">
        <v>6383</v>
      </c>
    </row>
    <row r="654" spans="1:4" x14ac:dyDescent="0.2">
      <c r="B654" t="s">
        <v>8</v>
      </c>
      <c r="C654" t="s">
        <v>318</v>
      </c>
      <c r="D654" t="s">
        <v>14757</v>
      </c>
    </row>
    <row r="655" spans="1:4" x14ac:dyDescent="0.2">
      <c r="B655" t="s">
        <v>35</v>
      </c>
      <c r="C655" t="s">
        <v>319</v>
      </c>
      <c r="D655" t="s">
        <v>23004</v>
      </c>
    </row>
    <row r="657" spans="1:4" x14ac:dyDescent="0.2">
      <c r="A657" t="s">
        <v>320</v>
      </c>
      <c r="B657" t="str">
        <f>HYPERLINK("https://lindat.mff.cuni.cz/services/teitok/pdtc10/index.php?action=vallex&amp;frame=v-w202f42_ZU", "brát (v-w202f42_ZU)")</f>
        <v>brát (v-w202f42_ZU)</v>
      </c>
    </row>
    <row r="658" spans="1:4" x14ac:dyDescent="0.2">
      <c r="B658" t="s">
        <v>1</v>
      </c>
    </row>
    <row r="659" spans="1:4" x14ac:dyDescent="0.2">
      <c r="B659" t="s">
        <v>8</v>
      </c>
    </row>
    <row r="660" spans="1:4" x14ac:dyDescent="0.2">
      <c r="B660" t="s">
        <v>321</v>
      </c>
    </row>
    <row r="662" spans="1:4" x14ac:dyDescent="0.2">
      <c r="A662" t="s">
        <v>320</v>
      </c>
      <c r="B662" t="str">
        <f>HYPERLINK("https://lindat.mff.cuni.cz/services/teitok/pdtc10/index.php?action=vallex&amp;frame=v-w202f4", "brát (v-w202f4) - substituted with v-w202f42_ZU")</f>
        <v>brát (v-w202f4) - substituted with v-w202f42_ZU</v>
      </c>
    </row>
    <row r="663" spans="1:4" x14ac:dyDescent="0.2">
      <c r="B663" t="s">
        <v>1</v>
      </c>
      <c r="C663" t="s">
        <v>322</v>
      </c>
      <c r="D663" t="s">
        <v>23005</v>
      </c>
    </row>
    <row r="664" spans="1:4" x14ac:dyDescent="0.2">
      <c r="B664" t="s">
        <v>8</v>
      </c>
      <c r="C664" t="s">
        <v>323</v>
      </c>
      <c r="D664" t="s">
        <v>23006</v>
      </c>
    </row>
    <row r="665" spans="1:4" x14ac:dyDescent="0.2">
      <c r="B665" t="s">
        <v>321</v>
      </c>
      <c r="D665" t="s">
        <v>23007</v>
      </c>
    </row>
    <row r="667" spans="1:4" x14ac:dyDescent="0.2">
      <c r="A667" t="s">
        <v>324</v>
      </c>
      <c r="B667" t="str">
        <f>HYPERLINK("https://lindat.mff.cuni.cz/services/teitok/pdtc10/index.php?action=vallex&amp;frame=v-w202f6", "brát (v-w202f6)")</f>
        <v>brát (v-w202f6)</v>
      </c>
    </row>
    <row r="668" spans="1:4" x14ac:dyDescent="0.2">
      <c r="B668" t="s">
        <v>1</v>
      </c>
    </row>
    <row r="669" spans="1:4" x14ac:dyDescent="0.2">
      <c r="B669" t="s">
        <v>8</v>
      </c>
    </row>
    <row r="670" spans="1:4" x14ac:dyDescent="0.2">
      <c r="B670" t="s">
        <v>321</v>
      </c>
    </row>
    <row r="672" spans="1:4" x14ac:dyDescent="0.2">
      <c r="A672" t="s">
        <v>325</v>
      </c>
      <c r="B672" t="str">
        <f>HYPERLINK("https://lindat.mff.cuni.cz/services/teitok/pdtc10/index.php?action=vallex&amp;frame=v-w202f43_ZU", "brát (v-w202f43_ZU)")</f>
        <v>brát (v-w202f43_ZU)</v>
      </c>
    </row>
    <row r="673" spans="1:4" x14ac:dyDescent="0.2">
      <c r="B673" t="s">
        <v>1</v>
      </c>
    </row>
    <row r="674" spans="1:4" x14ac:dyDescent="0.2">
      <c r="B674" t="s">
        <v>41</v>
      </c>
    </row>
    <row r="675" spans="1:4" x14ac:dyDescent="0.2">
      <c r="B675" t="s">
        <v>326</v>
      </c>
    </row>
    <row r="677" spans="1:4" x14ac:dyDescent="0.2">
      <c r="A677" t="s">
        <v>325</v>
      </c>
      <c r="B677" t="str">
        <f>HYPERLINK("https://lindat.mff.cuni.cz/services/teitok/pdtc10/index.php?action=vallex&amp;frame=v-w202f1", "brát (v-w202f1) - substituted with v-w202f43_ZU")</f>
        <v>brát (v-w202f1) - substituted with v-w202f43_ZU</v>
      </c>
    </row>
    <row r="678" spans="1:4" x14ac:dyDescent="0.2">
      <c r="B678" t="s">
        <v>1</v>
      </c>
      <c r="C678" t="s">
        <v>327</v>
      </c>
      <c r="D678" t="s">
        <v>23008</v>
      </c>
    </row>
    <row r="679" spans="1:4" x14ac:dyDescent="0.2">
      <c r="B679" t="s">
        <v>41</v>
      </c>
      <c r="C679" t="s">
        <v>328</v>
      </c>
      <c r="D679" t="s">
        <v>17729</v>
      </c>
    </row>
    <row r="680" spans="1:4" x14ac:dyDescent="0.2">
      <c r="B680" t="s">
        <v>326</v>
      </c>
      <c r="C680" t="s">
        <v>329</v>
      </c>
      <c r="D680" t="s">
        <v>23009</v>
      </c>
    </row>
    <row r="682" spans="1:4" x14ac:dyDescent="0.2">
      <c r="A682" t="s">
        <v>325</v>
      </c>
      <c r="B682" t="str">
        <f>HYPERLINK("https://lindat.mff.cuni.cz/services/teitok/pdtc10/index.php?action=vallex&amp;frame=v-w202f31_ZU", "brát (v-w202f31_ZU) - substituted with v-w202f43_ZU")</f>
        <v>brát (v-w202f31_ZU) - substituted with v-w202f43_ZU</v>
      </c>
    </row>
    <row r="683" spans="1:4" x14ac:dyDescent="0.2">
      <c r="B683" t="s">
        <v>1</v>
      </c>
    </row>
    <row r="684" spans="1:4" x14ac:dyDescent="0.2">
      <c r="B684" t="s">
        <v>41</v>
      </c>
    </row>
    <row r="685" spans="1:4" x14ac:dyDescent="0.2">
      <c r="B685" t="s">
        <v>326</v>
      </c>
    </row>
    <row r="687" spans="1:4" x14ac:dyDescent="0.2">
      <c r="A687" t="s">
        <v>325</v>
      </c>
      <c r="B687" t="str">
        <f>HYPERLINK("https://lindat.mff.cuni.cz/services/teitok/pdtc10/index.php?action=vallex&amp;frame=v-w202hsa_1928", "brát (v-w202hsa_1928) - substituted with v-w202f43_ZU")</f>
        <v>brát (v-w202hsa_1928) - substituted with v-w202f43_ZU</v>
      </c>
    </row>
    <row r="688" spans="1:4" x14ac:dyDescent="0.2">
      <c r="B688" t="s">
        <v>1</v>
      </c>
    </row>
    <row r="689" spans="1:3" x14ac:dyDescent="0.2">
      <c r="B689" t="s">
        <v>41</v>
      </c>
    </row>
    <row r="690" spans="1:3" x14ac:dyDescent="0.2">
      <c r="B690" t="s">
        <v>326</v>
      </c>
    </row>
    <row r="692" spans="1:3" x14ac:dyDescent="0.2">
      <c r="A692" t="s">
        <v>330</v>
      </c>
      <c r="B692" t="str">
        <f>HYPERLINK("https://lindat.mff.cuni.cz/services/teitok/pdtc10/index.php?action=vallex&amp;frame=v-w202f15", "brát (v-w202f15)")</f>
        <v>brát (v-w202f15)</v>
      </c>
    </row>
    <row r="693" spans="1:3" x14ac:dyDescent="0.2">
      <c r="B693" t="s">
        <v>331</v>
      </c>
    </row>
    <row r="694" spans="1:3" x14ac:dyDescent="0.2">
      <c r="B694" t="s">
        <v>8</v>
      </c>
    </row>
    <row r="695" spans="1:3" x14ac:dyDescent="0.2">
      <c r="B695" t="s">
        <v>5</v>
      </c>
    </row>
    <row r="697" spans="1:3" x14ac:dyDescent="0.2">
      <c r="A697" t="s">
        <v>332</v>
      </c>
      <c r="B697" t="str">
        <f>HYPERLINK("https://lindat.mff.cuni.cz/services/teitok/pdtc10/index.php?action=vallex&amp;frame=v-w202f39_ZU", "brát (v-w202f39_ZU)")</f>
        <v>brát (v-w202f39_ZU)</v>
      </c>
    </row>
    <row r="698" spans="1:3" x14ac:dyDescent="0.2">
      <c r="B698" t="s">
        <v>1</v>
      </c>
    </row>
    <row r="699" spans="1:3" x14ac:dyDescent="0.2">
      <c r="B699" t="s">
        <v>8</v>
      </c>
    </row>
    <row r="700" spans="1:3" x14ac:dyDescent="0.2">
      <c r="B700" t="s">
        <v>333</v>
      </c>
    </row>
    <row r="702" spans="1:3" x14ac:dyDescent="0.2">
      <c r="A702" t="s">
        <v>332</v>
      </c>
      <c r="B702" t="str">
        <f>HYPERLINK("https://lindat.mff.cuni.cz/services/teitok/pdtc10/index.php?action=vallex&amp;frame=v-w202f25", "brát (v-w202f25) - substituted with v-w202f39_ZU")</f>
        <v>brát (v-w202f25) - substituted with v-w202f39_ZU</v>
      </c>
    </row>
    <row r="703" spans="1:3" x14ac:dyDescent="0.2">
      <c r="B703" t="s">
        <v>1</v>
      </c>
      <c r="C703" t="s">
        <v>334</v>
      </c>
    </row>
    <row r="704" spans="1:3" x14ac:dyDescent="0.2">
      <c r="B704" t="s">
        <v>8</v>
      </c>
      <c r="C704" t="s">
        <v>335</v>
      </c>
    </row>
    <row r="705" spans="1:3" x14ac:dyDescent="0.2">
      <c r="B705" t="s">
        <v>333</v>
      </c>
    </row>
    <row r="707" spans="1:3" x14ac:dyDescent="0.2">
      <c r="A707" t="s">
        <v>336</v>
      </c>
      <c r="B707" t="str">
        <f>HYPERLINK("https://lindat.mff.cuni.cz/services/teitok/pdtc10/index.php?action=vallex&amp;frame=v-w202f35_ZU", "brát (v-w202f35_ZU)")</f>
        <v>brát (v-w202f35_ZU)</v>
      </c>
    </row>
    <row r="708" spans="1:3" x14ac:dyDescent="0.2">
      <c r="B708" t="s">
        <v>1</v>
      </c>
    </row>
    <row r="709" spans="1:3" x14ac:dyDescent="0.2">
      <c r="B709" t="s">
        <v>8</v>
      </c>
    </row>
    <row r="710" spans="1:3" x14ac:dyDescent="0.2">
      <c r="B710" t="s">
        <v>321</v>
      </c>
    </row>
    <row r="712" spans="1:3" x14ac:dyDescent="0.2">
      <c r="A712" t="s">
        <v>336</v>
      </c>
      <c r="B712" t="str">
        <f>HYPERLINK("https://lindat.mff.cuni.cz/services/teitok/pdtc10/index.php?action=vallex&amp;frame=v-w202f3", "brát (v-w202f3) - substituted with v-w202f35_ZU")</f>
        <v>brát (v-w202f3) - substituted with v-w202f35_ZU</v>
      </c>
    </row>
    <row r="713" spans="1:3" x14ac:dyDescent="0.2">
      <c r="B713" t="s">
        <v>1</v>
      </c>
      <c r="C713" t="s">
        <v>337</v>
      </c>
    </row>
    <row r="714" spans="1:3" x14ac:dyDescent="0.2">
      <c r="B714" t="s">
        <v>8</v>
      </c>
      <c r="C714" t="s">
        <v>338</v>
      </c>
    </row>
    <row r="715" spans="1:3" x14ac:dyDescent="0.2">
      <c r="B715" t="s">
        <v>321</v>
      </c>
    </row>
    <row r="717" spans="1:3" x14ac:dyDescent="0.2">
      <c r="A717" t="s">
        <v>339</v>
      </c>
      <c r="B717" t="str">
        <f>HYPERLINK("https://lindat.mff.cuni.cz/services/teitok/pdtc10/index.php?action=vallex&amp;frame=v-w202f5", "brát (v-w202f5)")</f>
        <v>brát (v-w202f5)</v>
      </c>
    </row>
    <row r="718" spans="1:3" x14ac:dyDescent="0.2">
      <c r="B718" t="s">
        <v>1</v>
      </c>
      <c r="C718" t="s">
        <v>340</v>
      </c>
    </row>
    <row r="719" spans="1:3" x14ac:dyDescent="0.2">
      <c r="B719" t="s">
        <v>8</v>
      </c>
      <c r="C719" t="s">
        <v>341</v>
      </c>
    </row>
    <row r="721" spans="1:4" x14ac:dyDescent="0.2">
      <c r="A721" t="s">
        <v>342</v>
      </c>
      <c r="B721" t="str">
        <f>HYPERLINK("https://lindat.mff.cuni.cz/services/teitok/pdtc10/index.php?action=vallex&amp;frame=v-w202f7", "brát (v-w202f7)")</f>
        <v>brát (v-w202f7)</v>
      </c>
    </row>
    <row r="722" spans="1:4" x14ac:dyDescent="0.2">
      <c r="B722" t="s">
        <v>1</v>
      </c>
    </row>
    <row r="723" spans="1:4" x14ac:dyDescent="0.2">
      <c r="B723" t="s">
        <v>8</v>
      </c>
    </row>
    <row r="725" spans="1:4" x14ac:dyDescent="0.2">
      <c r="A725" t="s">
        <v>343</v>
      </c>
      <c r="B725" t="str">
        <f>HYPERLINK("https://lindat.mff.cuni.cz/services/teitok/pdtc10/index.php?action=vallex&amp;frame=v-w202f9", "brát (v-w202f9)")</f>
        <v>brát (v-w202f9)</v>
      </c>
    </row>
    <row r="726" spans="1:4" x14ac:dyDescent="0.2">
      <c r="B726" t="s">
        <v>1</v>
      </c>
      <c r="C726" t="s">
        <v>344</v>
      </c>
      <c r="D726" t="s">
        <v>373</v>
      </c>
    </row>
    <row r="727" spans="1:4" x14ac:dyDescent="0.2">
      <c r="B727" t="s">
        <v>8</v>
      </c>
      <c r="C727" t="s">
        <v>345</v>
      </c>
      <c r="D727" t="s">
        <v>335</v>
      </c>
    </row>
    <row r="728" spans="1:4" x14ac:dyDescent="0.2">
      <c r="B728" t="s">
        <v>346</v>
      </c>
      <c r="C728" t="s">
        <v>347</v>
      </c>
      <c r="D728" t="s">
        <v>416</v>
      </c>
    </row>
    <row r="729" spans="1:4" x14ac:dyDescent="0.2">
      <c r="B729" t="s">
        <v>348</v>
      </c>
      <c r="D729" t="s">
        <v>23010</v>
      </c>
    </row>
    <row r="730" spans="1:4" x14ac:dyDescent="0.2">
      <c r="B730" t="s">
        <v>349</v>
      </c>
      <c r="D730" t="s">
        <v>23011</v>
      </c>
    </row>
    <row r="731" spans="1:4" x14ac:dyDescent="0.2">
      <c r="B731" t="s">
        <v>350</v>
      </c>
      <c r="D731" t="s">
        <v>23012</v>
      </c>
    </row>
    <row r="732" spans="1:4" x14ac:dyDescent="0.2">
      <c r="B732" t="s">
        <v>351</v>
      </c>
      <c r="D732" t="s">
        <v>23013</v>
      </c>
    </row>
    <row r="734" spans="1:4" x14ac:dyDescent="0.2">
      <c r="A734" t="s">
        <v>352</v>
      </c>
      <c r="B734" t="str">
        <f>HYPERLINK("https://lindat.mff.cuni.cz/services/teitok/pdtc10/index.php?action=vallex&amp;frame=v-w202f11", "brát (v-w202f11)")</f>
        <v>brát (v-w202f11)</v>
      </c>
    </row>
    <row r="735" spans="1:4" x14ac:dyDescent="0.2">
      <c r="B735" t="s">
        <v>1</v>
      </c>
    </row>
    <row r="736" spans="1:4" x14ac:dyDescent="0.2">
      <c r="B736" t="s">
        <v>8</v>
      </c>
    </row>
    <row r="738" spans="1:4" x14ac:dyDescent="0.2">
      <c r="A738" t="s">
        <v>353</v>
      </c>
      <c r="B738" t="str">
        <f>HYPERLINK("https://lindat.mff.cuni.cz/services/teitok/pdtc10/index.php?action=vallex&amp;frame=v-w202f41_ZU", "brát (v-w202f41_ZU)")</f>
        <v>brát (v-w202f41_ZU)</v>
      </c>
    </row>
    <row r="739" spans="1:4" x14ac:dyDescent="0.2">
      <c r="B739" t="s">
        <v>1</v>
      </c>
    </row>
    <row r="740" spans="1:4" x14ac:dyDescent="0.2">
      <c r="B740" t="s">
        <v>8</v>
      </c>
    </row>
    <row r="742" spans="1:4" x14ac:dyDescent="0.2">
      <c r="A742" t="s">
        <v>353</v>
      </c>
      <c r="B742" t="str">
        <f>HYPERLINK("https://lindat.mff.cuni.cz/services/teitok/pdtc10/index.php?action=vallex&amp;frame=v-w202f27", "brát (v-w202f27) - substituted with v-w202f41_ZU")</f>
        <v>brát (v-w202f27) - substituted with v-w202f41_ZU</v>
      </c>
    </row>
    <row r="743" spans="1:4" x14ac:dyDescent="0.2">
      <c r="B743" t="s">
        <v>1</v>
      </c>
      <c r="C743" t="s">
        <v>334</v>
      </c>
      <c r="D743" t="s">
        <v>337</v>
      </c>
    </row>
    <row r="744" spans="1:4" x14ac:dyDescent="0.2">
      <c r="B744" t="s">
        <v>8</v>
      </c>
      <c r="C744" t="s">
        <v>354</v>
      </c>
      <c r="D744" t="s">
        <v>1750</v>
      </c>
    </row>
    <row r="746" spans="1:4" x14ac:dyDescent="0.2">
      <c r="A746" t="s">
        <v>355</v>
      </c>
      <c r="B746" t="str">
        <f>HYPERLINK("https://lindat.mff.cuni.cz/services/teitok/pdtc10/index.php?action=vallex&amp;frame=v-w202f18", "brát (v-w202f18)")</f>
        <v>brát (v-w202f18)</v>
      </c>
    </row>
    <row r="747" spans="1:4" x14ac:dyDescent="0.2">
      <c r="B747" t="s">
        <v>1</v>
      </c>
    </row>
    <row r="748" spans="1:4" x14ac:dyDescent="0.2">
      <c r="B748" t="s">
        <v>28</v>
      </c>
    </row>
    <row r="750" spans="1:4" x14ac:dyDescent="0.2">
      <c r="A750" t="s">
        <v>356</v>
      </c>
      <c r="B750" t="str">
        <f>HYPERLINK("https://lindat.mff.cuni.cz/services/teitok/pdtc10/index.php?action=vallex&amp;frame=v-w202f23", "brát (v-w202f23)")</f>
        <v>brát (v-w202f23)</v>
      </c>
    </row>
    <row r="751" spans="1:4" x14ac:dyDescent="0.2">
      <c r="B751" t="s">
        <v>1</v>
      </c>
    </row>
    <row r="752" spans="1:4" x14ac:dyDescent="0.2">
      <c r="B752" t="s">
        <v>357</v>
      </c>
    </row>
    <row r="754" spans="1:3" x14ac:dyDescent="0.2">
      <c r="A754" t="s">
        <v>358</v>
      </c>
      <c r="B754" t="str">
        <f>HYPERLINK("https://lindat.mff.cuni.cz/services/teitok/pdtc10/index.php?action=vallex&amp;frame=v-w202f29_ZU", "brát (v-w202f29_ZU)")</f>
        <v>brát (v-w202f29_ZU)</v>
      </c>
    </row>
    <row r="755" spans="1:3" x14ac:dyDescent="0.2">
      <c r="B755" t="s">
        <v>1</v>
      </c>
      <c r="C755" t="s">
        <v>334</v>
      </c>
    </row>
    <row r="756" spans="1:3" x14ac:dyDescent="0.2">
      <c r="B756" t="s">
        <v>8</v>
      </c>
      <c r="C756" t="s">
        <v>359</v>
      </c>
    </row>
    <row r="758" spans="1:3" x14ac:dyDescent="0.2">
      <c r="A758" t="s">
        <v>360</v>
      </c>
      <c r="B758" t="str">
        <f>HYPERLINK("https://lindat.mff.cuni.cz/services/teitok/pdtc10/index.php?action=vallex&amp;frame=v-w202f26", "brát (v-w202f26)")</f>
        <v>brát (v-w202f26)</v>
      </c>
    </row>
    <row r="759" spans="1:3" x14ac:dyDescent="0.2">
      <c r="B759" t="s">
        <v>1</v>
      </c>
    </row>
    <row r="761" spans="1:3" x14ac:dyDescent="0.2">
      <c r="A761" t="s">
        <v>361</v>
      </c>
      <c r="B761" t="str">
        <f>HYPERLINK("https://lindat.mff.cuni.cz/services/teitok/pdtc10/index.php?action=vallex&amp;frame=v-w202f28", "brát (v-w202f28)")</f>
        <v>brát (v-w202f28)</v>
      </c>
    </row>
    <row r="762" spans="1:3" x14ac:dyDescent="0.2">
      <c r="B762" t="s">
        <v>331</v>
      </c>
    </row>
    <row r="763" spans="1:3" x14ac:dyDescent="0.2">
      <c r="B763" t="s">
        <v>362</v>
      </c>
    </row>
    <row r="764" spans="1:3" x14ac:dyDescent="0.2">
      <c r="B764" t="s">
        <v>35</v>
      </c>
    </row>
    <row r="766" spans="1:3" x14ac:dyDescent="0.2">
      <c r="A766" t="s">
        <v>363</v>
      </c>
      <c r="B766" t="str">
        <f>HYPERLINK("https://lindat.mff.cuni.cz/services/teitok/pdtc10/index.php?action=vallex&amp;frame=v-w202f10", "brát (v-w202f10)")</f>
        <v>brát (v-w202f10)</v>
      </c>
    </row>
    <row r="767" spans="1:3" x14ac:dyDescent="0.2">
      <c r="B767" t="s">
        <v>1</v>
      </c>
      <c r="C767" t="s">
        <v>364</v>
      </c>
    </row>
    <row r="768" spans="1:3" x14ac:dyDescent="0.2">
      <c r="B768" t="s">
        <v>365</v>
      </c>
      <c r="C768" t="s">
        <v>366</v>
      </c>
    </row>
    <row r="770" spans="1:4" x14ac:dyDescent="0.2">
      <c r="A770" t="s">
        <v>367</v>
      </c>
      <c r="B770" t="str">
        <f>HYPERLINK("https://lindat.mff.cuni.cz/services/teitok/pdtc10/index.php?action=vallex&amp;frame=v-w202f20", "brát (v-w202f20)")</f>
        <v>brát (v-w202f20)</v>
      </c>
    </row>
    <row r="771" spans="1:4" x14ac:dyDescent="0.2">
      <c r="B771" t="s">
        <v>1</v>
      </c>
    </row>
    <row r="772" spans="1:4" x14ac:dyDescent="0.2">
      <c r="B772" t="s">
        <v>368</v>
      </c>
    </row>
    <row r="774" spans="1:4" x14ac:dyDescent="0.2">
      <c r="A774" t="s">
        <v>369</v>
      </c>
      <c r="B774" t="str">
        <f>HYPERLINK("https://lindat.mff.cuni.cz/services/teitok/pdtc10/index.php?action=vallex&amp;frame=v-w202f14", "brát (v-w202f14)")</f>
        <v>brát (v-w202f14)</v>
      </c>
    </row>
    <row r="775" spans="1:4" x14ac:dyDescent="0.2">
      <c r="B775" t="s">
        <v>1</v>
      </c>
      <c r="C775" t="s">
        <v>370</v>
      </c>
    </row>
    <row r="776" spans="1:4" x14ac:dyDescent="0.2">
      <c r="B776" t="s">
        <v>371</v>
      </c>
    </row>
    <row r="777" spans="1:4" x14ac:dyDescent="0.2">
      <c r="B777" t="s">
        <v>41</v>
      </c>
      <c r="C777" t="s">
        <v>110</v>
      </c>
    </row>
    <row r="779" spans="1:4" x14ac:dyDescent="0.2">
      <c r="A779" t="s">
        <v>372</v>
      </c>
      <c r="B779" t="str">
        <f>HYPERLINK("https://lindat.mff.cuni.cz/services/teitok/pdtc10/index.php?action=vallex&amp;frame=v-w202f19", "brát (v-w202f19)")</f>
        <v>brát (v-w202f19)</v>
      </c>
    </row>
    <row r="780" spans="1:4" x14ac:dyDescent="0.2">
      <c r="B780" t="s">
        <v>1</v>
      </c>
      <c r="C780" t="s">
        <v>373</v>
      </c>
      <c r="D780" t="s">
        <v>373</v>
      </c>
    </row>
    <row r="781" spans="1:4" x14ac:dyDescent="0.2">
      <c r="B781" t="s">
        <v>374</v>
      </c>
      <c r="C781" t="s">
        <v>375</v>
      </c>
      <c r="D781" t="s">
        <v>375</v>
      </c>
    </row>
    <row r="782" spans="1:4" x14ac:dyDescent="0.2">
      <c r="B782" t="s">
        <v>124</v>
      </c>
      <c r="C782" t="s">
        <v>335</v>
      </c>
      <c r="D782" t="s">
        <v>335</v>
      </c>
    </row>
    <row r="784" spans="1:4" x14ac:dyDescent="0.2">
      <c r="A784" t="s">
        <v>376</v>
      </c>
      <c r="B784" t="str">
        <f>HYPERLINK("https://lindat.mff.cuni.cz/services/teitok/pdtc10/index.php?action=vallex&amp;frame=v-w202f12", "brát (v-w202f12)")</f>
        <v>brát (v-w202f12)</v>
      </c>
    </row>
    <row r="785" spans="1:4" x14ac:dyDescent="0.2">
      <c r="B785" t="s">
        <v>1</v>
      </c>
    </row>
    <row r="786" spans="1:4" x14ac:dyDescent="0.2">
      <c r="B786" t="s">
        <v>377</v>
      </c>
    </row>
    <row r="787" spans="1:4" x14ac:dyDescent="0.2">
      <c r="B787" t="s">
        <v>124</v>
      </c>
    </row>
    <row r="789" spans="1:4" x14ac:dyDescent="0.2">
      <c r="A789" t="s">
        <v>378</v>
      </c>
      <c r="B789" t="str">
        <f>HYPERLINK("https://lindat.mff.cuni.cz/services/teitok/pdtc10/index.php?action=vallex&amp;frame=v-w202f13", "brát (v-w202f13)")</f>
        <v>brát (v-w202f13)</v>
      </c>
    </row>
    <row r="790" spans="1:4" x14ac:dyDescent="0.2">
      <c r="B790" t="s">
        <v>1</v>
      </c>
    </row>
    <row r="791" spans="1:4" x14ac:dyDescent="0.2">
      <c r="B791" t="s">
        <v>379</v>
      </c>
    </row>
    <row r="792" spans="1:4" x14ac:dyDescent="0.2">
      <c r="B792" t="s">
        <v>124</v>
      </c>
    </row>
    <row r="794" spans="1:4" x14ac:dyDescent="0.2">
      <c r="A794" t="s">
        <v>380</v>
      </c>
      <c r="B794" t="str">
        <f>HYPERLINK("https://lindat.mff.cuni.cz/services/teitok/pdtc10/index.php?action=vallex&amp;frame=v-w202f2", "brát (v-w202f2)")</f>
        <v>brát (v-w202f2)</v>
      </c>
    </row>
    <row r="795" spans="1:4" x14ac:dyDescent="0.2">
      <c r="B795" t="s">
        <v>1</v>
      </c>
      <c r="C795" t="s">
        <v>381</v>
      </c>
      <c r="D795" t="s">
        <v>23014</v>
      </c>
    </row>
    <row r="796" spans="1:4" x14ac:dyDescent="0.2">
      <c r="B796" t="s">
        <v>382</v>
      </c>
      <c r="C796" t="s">
        <v>383</v>
      </c>
    </row>
    <row r="797" spans="1:4" x14ac:dyDescent="0.2">
      <c r="B797" t="s">
        <v>124</v>
      </c>
      <c r="C797" t="s">
        <v>384</v>
      </c>
      <c r="D797" t="s">
        <v>23015</v>
      </c>
    </row>
    <row r="799" spans="1:4" x14ac:dyDescent="0.2">
      <c r="A799" t="s">
        <v>385</v>
      </c>
      <c r="B799" t="str">
        <f>HYPERLINK("https://lindat.mff.cuni.cz/services/teitok/pdtc10/index.php?action=vallex&amp;frame=v-w202f24", "brát (v-w202f24)")</f>
        <v>brát (v-w202f24)</v>
      </c>
    </row>
    <row r="800" spans="1:4" x14ac:dyDescent="0.2">
      <c r="B800" t="s">
        <v>1</v>
      </c>
    </row>
    <row r="801" spans="1:2" x14ac:dyDescent="0.2">
      <c r="B801" t="s">
        <v>386</v>
      </c>
    </row>
    <row r="802" spans="1:2" x14ac:dyDescent="0.2">
      <c r="B802" t="s">
        <v>158</v>
      </c>
    </row>
    <row r="804" spans="1:2" x14ac:dyDescent="0.2">
      <c r="A804" t="s">
        <v>387</v>
      </c>
      <c r="B804" t="str">
        <f>HYPERLINK("https://lindat.mff.cuni.cz/services/teitok/pdtc10/index.php?action=vallex&amp;frame=v-w202f22", "brát (v-w202f22)")</f>
        <v>brát (v-w202f22)</v>
      </c>
    </row>
    <row r="805" spans="1:2" x14ac:dyDescent="0.2">
      <c r="B805" t="s">
        <v>1</v>
      </c>
    </row>
    <row r="806" spans="1:2" x14ac:dyDescent="0.2">
      <c r="B806" t="s">
        <v>388</v>
      </c>
    </row>
    <row r="807" spans="1:2" x14ac:dyDescent="0.2">
      <c r="B807" t="s">
        <v>8</v>
      </c>
    </row>
    <row r="809" spans="1:2" x14ac:dyDescent="0.2">
      <c r="A809" t="s">
        <v>389</v>
      </c>
      <c r="B809" t="str">
        <f>HYPERLINK("https://lindat.mff.cuni.cz/services/teitok/pdtc10/index.php?action=vallex&amp;frame=v-w202f34_ZU", "brát (v-w202f34_ZU)")</f>
        <v>brát (v-w202f34_ZU)</v>
      </c>
    </row>
    <row r="810" spans="1:2" x14ac:dyDescent="0.2">
      <c r="B810" t="s">
        <v>1</v>
      </c>
    </row>
    <row r="811" spans="1:2" x14ac:dyDescent="0.2">
      <c r="B811" t="s">
        <v>390</v>
      </c>
    </row>
    <row r="812" spans="1:2" x14ac:dyDescent="0.2">
      <c r="B812" t="s">
        <v>192</v>
      </c>
    </row>
    <row r="814" spans="1:2" x14ac:dyDescent="0.2">
      <c r="A814" t="s">
        <v>389</v>
      </c>
      <c r="B814" t="str">
        <f>HYPERLINK("https://lindat.mff.cuni.cz/services/teitok/pdtc10/index.php?action=vallex&amp;frame=v-w202f21", "brát (v-w202f21) - substituted with v-w202f34_ZU")</f>
        <v>brát (v-w202f21) - substituted with v-w202f34_ZU</v>
      </c>
    </row>
    <row r="815" spans="1:2" x14ac:dyDescent="0.2">
      <c r="B815" t="s">
        <v>1</v>
      </c>
    </row>
    <row r="816" spans="1:2" x14ac:dyDescent="0.2">
      <c r="B816" t="s">
        <v>390</v>
      </c>
    </row>
    <row r="817" spans="1:3" x14ac:dyDescent="0.2">
      <c r="B817" t="s">
        <v>192</v>
      </c>
    </row>
    <row r="819" spans="1:3" x14ac:dyDescent="0.2">
      <c r="A819" t="s">
        <v>391</v>
      </c>
      <c r="B819" t="str">
        <f>HYPERLINK("https://lindat.mff.cuni.cz/services/teitok/pdtc10/index.php?action=vallex&amp;frame=v-w202f17", "brát (v-w202f17)")</f>
        <v>brát (v-w202f17)</v>
      </c>
    </row>
    <row r="820" spans="1:3" x14ac:dyDescent="0.2">
      <c r="B820" t="s">
        <v>1</v>
      </c>
    </row>
    <row r="821" spans="1:3" x14ac:dyDescent="0.2">
      <c r="B821" t="s">
        <v>392</v>
      </c>
    </row>
    <row r="823" spans="1:3" x14ac:dyDescent="0.2">
      <c r="A823" t="s">
        <v>393</v>
      </c>
      <c r="B823" t="str">
        <f>HYPERLINK("https://lindat.mff.cuni.cz/services/teitok/pdtc10/index.php?action=vallex&amp;frame=v-w202f16", "brát (v-w202f16)")</f>
        <v>brát (v-w202f16)</v>
      </c>
    </row>
    <row r="824" spans="1:3" x14ac:dyDescent="0.2">
      <c r="B824" t="s">
        <v>1</v>
      </c>
    </row>
    <row r="825" spans="1:3" x14ac:dyDescent="0.2">
      <c r="B825" t="s">
        <v>394</v>
      </c>
    </row>
    <row r="827" spans="1:3" x14ac:dyDescent="0.2">
      <c r="A827" t="s">
        <v>395</v>
      </c>
      <c r="B827" t="str">
        <f>HYPERLINK("https://lindat.mff.cuni.cz/services/teitok/pdtc10/index.php?action=vallex&amp;frame=v-w202f30_ZU", "brát (v-w202f30_ZU)")</f>
        <v>brát (v-w202f30_ZU)</v>
      </c>
    </row>
    <row r="828" spans="1:3" x14ac:dyDescent="0.2">
      <c r="B828" t="s">
        <v>1</v>
      </c>
      <c r="C828" t="s">
        <v>140</v>
      </c>
    </row>
    <row r="829" spans="1:3" x14ac:dyDescent="0.2">
      <c r="B829" t="s">
        <v>396</v>
      </c>
      <c r="C829" t="s">
        <v>397</v>
      </c>
    </row>
    <row r="830" spans="1:3" x14ac:dyDescent="0.2">
      <c r="B830" t="s">
        <v>103</v>
      </c>
    </row>
    <row r="832" spans="1:3" x14ac:dyDescent="0.2">
      <c r="A832" t="s">
        <v>395</v>
      </c>
      <c r="B832" t="str">
        <f>HYPERLINK("https://lindat.mff.cuni.cz/services/teitok/pdtc10/index.php?action=vallex&amp;frame=v-w202hsa_1078", "brát (v-w202hsa_1078) - substituted with v-w202f30_ZU")</f>
        <v>brát (v-w202hsa_1078) - substituted with v-w202f30_ZU</v>
      </c>
    </row>
    <row r="833" spans="1:2" x14ac:dyDescent="0.2">
      <c r="B833" t="s">
        <v>1</v>
      </c>
    </row>
    <row r="834" spans="1:2" x14ac:dyDescent="0.2">
      <c r="B834" t="s">
        <v>396</v>
      </c>
    </row>
    <row r="835" spans="1:2" x14ac:dyDescent="0.2">
      <c r="B835" t="s">
        <v>103</v>
      </c>
    </row>
    <row r="837" spans="1:2" x14ac:dyDescent="0.2">
      <c r="A837" t="s">
        <v>398</v>
      </c>
      <c r="B837" t="str">
        <f>HYPERLINK("https://lindat.mff.cuni.cz/services/teitok/pdtc10/index.php?action=vallex&amp;frame=v-w202f33_ZU", "brát (v-w202f33_ZU)")</f>
        <v>brát (v-w202f33_ZU)</v>
      </c>
    </row>
    <row r="838" spans="1:2" x14ac:dyDescent="0.2">
      <c r="B838" t="s">
        <v>1</v>
      </c>
    </row>
    <row r="839" spans="1:2" x14ac:dyDescent="0.2">
      <c r="B839" t="s">
        <v>205</v>
      </c>
    </row>
    <row r="841" spans="1:2" x14ac:dyDescent="0.2">
      <c r="A841" t="s">
        <v>399</v>
      </c>
      <c r="B841" t="str">
        <f>HYPERLINK("https://lindat.mff.cuni.cz/services/teitok/pdtc10/index.php?action=vallex&amp;frame=v-w202f36_ZU", "brát (v-w202f36_ZU)")</f>
        <v>brát (v-w202f36_ZU)</v>
      </c>
    </row>
    <row r="842" spans="1:2" x14ac:dyDescent="0.2">
      <c r="B842" t="s">
        <v>1</v>
      </c>
    </row>
    <row r="843" spans="1:2" x14ac:dyDescent="0.2">
      <c r="B843" t="s">
        <v>8</v>
      </c>
    </row>
    <row r="845" spans="1:2" x14ac:dyDescent="0.2">
      <c r="A845" t="s">
        <v>400</v>
      </c>
      <c r="B845" t="str">
        <f>HYPERLINK("https://lindat.mff.cuni.cz/services/teitok/pdtc10/index.php?action=vallex&amp;frame=v-w202f37_ZU", "brát (v-w202f37_ZU)")</f>
        <v>brát (v-w202f37_ZU)</v>
      </c>
    </row>
    <row r="846" spans="1:2" x14ac:dyDescent="0.2">
      <c r="B846" t="s">
        <v>1</v>
      </c>
    </row>
    <row r="847" spans="1:2" x14ac:dyDescent="0.2">
      <c r="B847" t="s">
        <v>8</v>
      </c>
    </row>
    <row r="849" spans="1:2" x14ac:dyDescent="0.2">
      <c r="A849" t="s">
        <v>401</v>
      </c>
      <c r="B849" t="str">
        <f>HYPERLINK("https://lindat.mff.cuni.cz/services/teitok/pdtc10/index.php?action=vallex&amp;frame=v-w202f38_ZU", "brát (v-w202f38_ZU)")</f>
        <v>brát (v-w202f38_ZU)</v>
      </c>
    </row>
    <row r="850" spans="1:2" x14ac:dyDescent="0.2">
      <c r="B850" t="s">
        <v>1</v>
      </c>
    </row>
    <row r="851" spans="1:2" x14ac:dyDescent="0.2">
      <c r="B851" t="s">
        <v>8</v>
      </c>
    </row>
    <row r="853" spans="1:2" x14ac:dyDescent="0.2">
      <c r="A853" t="s">
        <v>401</v>
      </c>
      <c r="B853" t="str">
        <f>HYPERLINK("https://lindat.mff.cuni.cz/services/teitok/pdtc10/index.php?action=vallex&amp;frame=v-w202f32_ZU", "brát (v-w202f32_ZU) - substituted with v-w202f38_ZU")</f>
        <v>brát (v-w202f32_ZU) - substituted with v-w202f38_ZU</v>
      </c>
    </row>
    <row r="854" spans="1:2" x14ac:dyDescent="0.2">
      <c r="B854" t="s">
        <v>1</v>
      </c>
    </row>
    <row r="855" spans="1:2" x14ac:dyDescent="0.2">
      <c r="B855" t="s">
        <v>8</v>
      </c>
    </row>
    <row r="857" spans="1:2" x14ac:dyDescent="0.2">
      <c r="A857" t="s">
        <v>402</v>
      </c>
      <c r="B857" t="str">
        <f>HYPERLINK("https://lindat.mff.cuni.cz/services/teitok/pdtc10/index.php?action=vallex&amp;frame=v-w202f44_ZU", "brát (v-w202f44_ZU)")</f>
        <v>brát (v-w202f44_ZU)</v>
      </c>
    </row>
    <row r="858" spans="1:2" x14ac:dyDescent="0.2">
      <c r="B858" t="s">
        <v>1</v>
      </c>
    </row>
    <row r="859" spans="1:2" x14ac:dyDescent="0.2">
      <c r="B859" t="s">
        <v>403</v>
      </c>
    </row>
    <row r="861" spans="1:2" x14ac:dyDescent="0.2">
      <c r="A861" t="s">
        <v>404</v>
      </c>
      <c r="B861" t="str">
        <f>HYPERLINK("https://lindat.mff.cuni.cz/services/teitok/pdtc10/index.php?action=vallex&amp;frame=v-w202f45_MM", "brát (v-w202f45_MM)")</f>
        <v>brát (v-w202f45_MM)</v>
      </c>
    </row>
    <row r="862" spans="1:2" x14ac:dyDescent="0.2">
      <c r="B862" t="s">
        <v>1</v>
      </c>
    </row>
    <row r="863" spans="1:2" x14ac:dyDescent="0.2">
      <c r="B863" t="s">
        <v>172</v>
      </c>
    </row>
    <row r="865" spans="1:2" x14ac:dyDescent="0.2">
      <c r="A865" t="s">
        <v>404</v>
      </c>
      <c r="B865" t="str">
        <f>HYPERLINK("https://lindat.mff.cuni.cz/services/teitok/pdtc10/index.php?action=vallex&amp;frame=v-w202f40_ZU", "brát (v-w202f40_ZU) - substituted with v-w202f45_MM")</f>
        <v>brát (v-w202f40_ZU) - substituted with v-w202f45_MM</v>
      </c>
    </row>
    <row r="866" spans="1:2" x14ac:dyDescent="0.2">
      <c r="B866" t="s">
        <v>1</v>
      </c>
    </row>
    <row r="867" spans="1:2" x14ac:dyDescent="0.2">
      <c r="B867" t="s">
        <v>172</v>
      </c>
    </row>
    <row r="869" spans="1:2" x14ac:dyDescent="0.2">
      <c r="A869" t="s">
        <v>404</v>
      </c>
      <c r="B869" t="str">
        <f>HYPERLINK("https://lindat.mff.cuni.cz/services/teitok/pdtc10/index.php?action=vallex&amp;frame=v-w202hsa_1926", "brát (v-w202hsa_1926) - substituted with v-w202f45_MM")</f>
        <v>brát (v-w202hsa_1926) - substituted with v-w202f45_MM</v>
      </c>
    </row>
    <row r="870" spans="1:2" x14ac:dyDescent="0.2">
      <c r="B870" t="s">
        <v>1</v>
      </c>
    </row>
    <row r="871" spans="1:2" x14ac:dyDescent="0.2">
      <c r="B871" t="s">
        <v>172</v>
      </c>
    </row>
    <row r="873" spans="1:2" x14ac:dyDescent="0.2">
      <c r="A873" t="s">
        <v>405</v>
      </c>
      <c r="B873" t="str">
        <f>HYPERLINK("https://lindat.mff.cuni.cz/services/teitok/pdtc10/index.php?action=vallex&amp;frame=v-w202hsa_1927", "brát (v-w202hsa_1927)")</f>
        <v>brát (v-w202hsa_1927)</v>
      </c>
    </row>
    <row r="874" spans="1:2" x14ac:dyDescent="0.2">
      <c r="B874" t="s">
        <v>1</v>
      </c>
    </row>
    <row r="875" spans="1:2" x14ac:dyDescent="0.2">
      <c r="B875" t="s">
        <v>8</v>
      </c>
    </row>
    <row r="876" spans="1:2" x14ac:dyDescent="0.2">
      <c r="B876" t="s">
        <v>333</v>
      </c>
    </row>
    <row r="878" spans="1:2" x14ac:dyDescent="0.2">
      <c r="A878" t="s">
        <v>406</v>
      </c>
      <c r="B878" t="str">
        <f>HYPERLINK("https://lindat.mff.cuni.cz/services/teitok/pdtc10/index.php?action=vallex&amp;frame=v-w203f2", "brát se (v-w203f2)")</f>
        <v>brát se (v-w203f2)</v>
      </c>
    </row>
    <row r="879" spans="1:2" x14ac:dyDescent="0.2">
      <c r="B879" t="s">
        <v>1</v>
      </c>
    </row>
    <row r="880" spans="1:2" x14ac:dyDescent="0.2">
      <c r="B880" t="s">
        <v>290</v>
      </c>
    </row>
    <row r="881" spans="1:2" x14ac:dyDescent="0.2">
      <c r="B881" t="s">
        <v>5</v>
      </c>
    </row>
    <row r="883" spans="1:2" x14ac:dyDescent="0.2">
      <c r="A883" t="s">
        <v>407</v>
      </c>
      <c r="B883" t="str">
        <f>HYPERLINK("https://lindat.mff.cuni.cz/services/teitok/pdtc10/index.php?action=vallex&amp;frame=v-w203f1", "brát se (v-w203f1)")</f>
        <v>brát se (v-w203f1)</v>
      </c>
    </row>
    <row r="884" spans="1:2" x14ac:dyDescent="0.2">
      <c r="B884" t="s">
        <v>1</v>
      </c>
    </row>
    <row r="885" spans="1:2" x14ac:dyDescent="0.2">
      <c r="B885" t="s">
        <v>408</v>
      </c>
    </row>
    <row r="887" spans="1:2" x14ac:dyDescent="0.2">
      <c r="A887" t="s">
        <v>409</v>
      </c>
      <c r="B887" t="str">
        <f>HYPERLINK("https://lindat.mff.cuni.cz/services/teitok/pdtc10/index.php?action=vallex&amp;frame=v-w203f3", "brát se (v-w203f3)")</f>
        <v>brát se (v-w203f3)</v>
      </c>
    </row>
    <row r="888" spans="1:2" x14ac:dyDescent="0.2">
      <c r="B888" t="s">
        <v>1</v>
      </c>
    </row>
    <row r="889" spans="1:2" x14ac:dyDescent="0.2">
      <c r="B889" t="s">
        <v>5</v>
      </c>
    </row>
    <row r="891" spans="1:2" x14ac:dyDescent="0.2">
      <c r="A891" t="s">
        <v>410</v>
      </c>
      <c r="B891" t="str">
        <f>HYPERLINK("https://lindat.mff.cuni.cz/services/teitok/pdtc10/index.php?action=vallex&amp;frame=v-w203hsa_1930", "brát se (v-w203hsa_1930)")</f>
        <v>brát se (v-w203hsa_1930)</v>
      </c>
    </row>
    <row r="892" spans="1:2" x14ac:dyDescent="0.2">
      <c r="B892" t="s">
        <v>1</v>
      </c>
    </row>
    <row r="893" spans="1:2" x14ac:dyDescent="0.2">
      <c r="B893" t="s">
        <v>411</v>
      </c>
    </row>
    <row r="895" spans="1:2" x14ac:dyDescent="0.2">
      <c r="A895" t="s">
        <v>412</v>
      </c>
      <c r="B895" t="str">
        <f>HYPERLINK("https://lindat.mff.cuni.cz/services/teitok/pdtc10/index.php?action=vallex&amp;frame=v-w204f1", "brát si (v-w204f1)")</f>
        <v>brát si (v-w204f1)</v>
      </c>
    </row>
    <row r="896" spans="1:2" x14ac:dyDescent="0.2">
      <c r="B896" t="s">
        <v>1</v>
      </c>
    </row>
    <row r="897" spans="1:4" x14ac:dyDescent="0.2">
      <c r="B897" t="s">
        <v>8</v>
      </c>
    </row>
    <row r="898" spans="1:4" x14ac:dyDescent="0.2">
      <c r="B898" t="s">
        <v>413</v>
      </c>
    </row>
    <row r="900" spans="1:4" x14ac:dyDescent="0.2">
      <c r="A900" t="s">
        <v>414</v>
      </c>
      <c r="B900" t="str">
        <f>HYPERLINK("https://lindat.mff.cuni.cz/services/teitok/pdtc10/index.php?action=vallex&amp;frame=v-w204f2", "brát si (v-w204f2)")</f>
        <v>brát si (v-w204f2)</v>
      </c>
    </row>
    <row r="901" spans="1:4" x14ac:dyDescent="0.2">
      <c r="B901" t="s">
        <v>1</v>
      </c>
      <c r="C901" t="s">
        <v>373</v>
      </c>
      <c r="D901" t="s">
        <v>373</v>
      </c>
    </row>
    <row r="902" spans="1:4" x14ac:dyDescent="0.2">
      <c r="B902" t="s">
        <v>8</v>
      </c>
      <c r="C902" t="s">
        <v>335</v>
      </c>
      <c r="D902" t="s">
        <v>335</v>
      </c>
    </row>
    <row r="903" spans="1:4" x14ac:dyDescent="0.2">
      <c r="B903" t="s">
        <v>415</v>
      </c>
      <c r="D903" t="s">
        <v>23016</v>
      </c>
    </row>
    <row r="904" spans="1:4" x14ac:dyDescent="0.2">
      <c r="B904" t="s">
        <v>346</v>
      </c>
      <c r="C904" t="s">
        <v>416</v>
      </c>
      <c r="D904" t="s">
        <v>416</v>
      </c>
    </row>
    <row r="905" spans="1:4" x14ac:dyDescent="0.2">
      <c r="B905" t="s">
        <v>348</v>
      </c>
      <c r="D905" t="s">
        <v>23010</v>
      </c>
    </row>
    <row r="906" spans="1:4" x14ac:dyDescent="0.2">
      <c r="B906" t="s">
        <v>349</v>
      </c>
      <c r="D906" t="s">
        <v>23011</v>
      </c>
    </row>
    <row r="907" spans="1:4" x14ac:dyDescent="0.2">
      <c r="B907" t="s">
        <v>350</v>
      </c>
      <c r="D907" t="s">
        <v>23012</v>
      </c>
    </row>
    <row r="908" spans="1:4" x14ac:dyDescent="0.2">
      <c r="B908" t="s">
        <v>351</v>
      </c>
      <c r="D908" t="s">
        <v>23013</v>
      </c>
    </row>
    <row r="910" spans="1:4" x14ac:dyDescent="0.2">
      <c r="A910" t="s">
        <v>417</v>
      </c>
      <c r="B910" t="str">
        <f>HYPERLINK("https://lindat.mff.cuni.cz/services/teitok/pdtc10/index.php?action=vallex&amp;frame=v-w204f3", "brát si (v-w204f3)")</f>
        <v>brát si (v-w204f3)</v>
      </c>
    </row>
    <row r="911" spans="1:4" x14ac:dyDescent="0.2">
      <c r="B911" t="s">
        <v>1</v>
      </c>
    </row>
    <row r="912" spans="1:4" x14ac:dyDescent="0.2">
      <c r="B912" t="s">
        <v>418</v>
      </c>
    </row>
    <row r="913" spans="1:4" x14ac:dyDescent="0.2">
      <c r="B913" t="s">
        <v>8</v>
      </c>
    </row>
    <row r="915" spans="1:4" x14ac:dyDescent="0.2">
      <c r="A915" t="s">
        <v>419</v>
      </c>
      <c r="B915" t="str">
        <f>HYPERLINK("https://lindat.mff.cuni.cz/services/teitok/pdtc10/index.php?action=vallex&amp;frame=v-w204f6_ZU", "brát si (v-w204f6_ZU)")</f>
        <v>brát si (v-w204f6_ZU)</v>
      </c>
    </row>
    <row r="916" spans="1:4" x14ac:dyDescent="0.2">
      <c r="B916" t="s">
        <v>1</v>
      </c>
      <c r="C916" t="s">
        <v>140</v>
      </c>
    </row>
    <row r="917" spans="1:4" x14ac:dyDescent="0.2">
      <c r="B917" t="s">
        <v>388</v>
      </c>
    </row>
    <row r="918" spans="1:4" x14ac:dyDescent="0.2">
      <c r="B918" t="s">
        <v>172</v>
      </c>
      <c r="C918" t="s">
        <v>84</v>
      </c>
    </row>
    <row r="920" spans="1:4" x14ac:dyDescent="0.2">
      <c r="A920" t="s">
        <v>419</v>
      </c>
      <c r="B920" t="str">
        <f>HYPERLINK("https://lindat.mff.cuni.cz/services/teitok/pdtc10/index.php?action=vallex&amp;frame=v-w204f5_ZU", "brát si (v-w204f5_ZU) - substituted with v-w204f6_ZU")</f>
        <v>brát si (v-w204f5_ZU) - substituted with v-w204f6_ZU</v>
      </c>
    </row>
    <row r="921" spans="1:4" x14ac:dyDescent="0.2">
      <c r="B921" t="s">
        <v>1</v>
      </c>
    </row>
    <row r="922" spans="1:4" x14ac:dyDescent="0.2">
      <c r="B922" t="s">
        <v>388</v>
      </c>
    </row>
    <row r="923" spans="1:4" x14ac:dyDescent="0.2">
      <c r="B923" t="s">
        <v>172</v>
      </c>
    </row>
    <row r="925" spans="1:4" x14ac:dyDescent="0.2">
      <c r="A925" t="s">
        <v>420</v>
      </c>
      <c r="B925" t="str">
        <f>HYPERLINK("https://lindat.mff.cuni.cz/services/teitok/pdtc10/index.php?action=vallex&amp;frame=v-w204f4_ZU", "brát si (v-w204f4_ZU)")</f>
        <v>brát si (v-w204f4_ZU)</v>
      </c>
    </row>
    <row r="926" spans="1:4" x14ac:dyDescent="0.2">
      <c r="B926" t="s">
        <v>1</v>
      </c>
      <c r="D926" t="s">
        <v>3417</v>
      </c>
    </row>
    <row r="927" spans="1:4" x14ac:dyDescent="0.2">
      <c r="B927" t="s">
        <v>421</v>
      </c>
    </row>
    <row r="929" spans="1:2" x14ac:dyDescent="0.2">
      <c r="A929" t="s">
        <v>422</v>
      </c>
      <c r="B929" t="str">
        <f>HYPERLINK("https://lindat.mff.cuni.cz/services/teitok/pdtc10/index.php?action=vallex&amp;frame=v-w204hsa_1475", "brát si (v-w204hsa_1475)")</f>
        <v>brát si (v-w204hsa_1475)</v>
      </c>
    </row>
    <row r="930" spans="1:2" x14ac:dyDescent="0.2">
      <c r="B930" t="s">
        <v>1</v>
      </c>
    </row>
    <row r="931" spans="1:2" x14ac:dyDescent="0.2">
      <c r="B931" t="s">
        <v>8</v>
      </c>
    </row>
    <row r="932" spans="1:2" x14ac:dyDescent="0.2">
      <c r="B932" t="s">
        <v>321</v>
      </c>
    </row>
    <row r="934" spans="1:2" x14ac:dyDescent="0.2">
      <c r="A934" t="s">
        <v>423</v>
      </c>
      <c r="B934" t="str">
        <f>HYPERLINK("https://lindat.mff.cuni.cz/services/teitok/pdtc10/index.php?action=vallex&amp;frame=v-w204hsa_1476", "brát si (v-w204hsa_1476)")</f>
        <v>brát si (v-w204hsa_1476)</v>
      </c>
    </row>
    <row r="935" spans="1:2" x14ac:dyDescent="0.2">
      <c r="B935" t="s">
        <v>1</v>
      </c>
    </row>
    <row r="936" spans="1:2" x14ac:dyDescent="0.2">
      <c r="B936" t="s">
        <v>8</v>
      </c>
    </row>
    <row r="938" spans="1:2" x14ac:dyDescent="0.2">
      <c r="A938" t="s">
        <v>424</v>
      </c>
      <c r="B938" t="str">
        <f>HYPERLINK("https://lindat.mff.cuni.cz/services/teitok/pdtc10/index.php?action=vallex&amp;frame=v-whsa_1346hsa_1347", "brávat (v-whsa_1346hsa_1347)")</f>
        <v>brávat (v-whsa_1346hsa_1347)</v>
      </c>
    </row>
    <row r="939" spans="1:2" x14ac:dyDescent="0.2">
      <c r="B939" t="s">
        <v>1</v>
      </c>
    </row>
    <row r="940" spans="1:2" x14ac:dyDescent="0.2">
      <c r="B940" t="s">
        <v>8</v>
      </c>
    </row>
    <row r="942" spans="1:2" x14ac:dyDescent="0.2">
      <c r="A942" t="s">
        <v>425</v>
      </c>
      <c r="B942" t="str">
        <f>HYPERLINK("https://lindat.mff.cuni.cz/services/teitok/pdtc10/index.php?action=vallex&amp;frame=v-w205f1", "brázdit (v-w205f1)")</f>
        <v>brázdit (v-w205f1)</v>
      </c>
    </row>
    <row r="943" spans="1:2" x14ac:dyDescent="0.2">
      <c r="B943" t="s">
        <v>1</v>
      </c>
    </row>
    <row r="944" spans="1:2" x14ac:dyDescent="0.2">
      <c r="B944" t="s">
        <v>8</v>
      </c>
    </row>
    <row r="946" spans="1:4" x14ac:dyDescent="0.2">
      <c r="A946" t="s">
        <v>426</v>
      </c>
      <c r="B946" t="str">
        <f>HYPERLINK("https://lindat.mff.cuni.cz/services/teitok/pdtc10/index.php?action=vallex&amp;frame=v-w205f2", "brázdit (v-w205f2)")</f>
        <v>brázdit (v-w205f2)</v>
      </c>
    </row>
    <row r="947" spans="1:4" x14ac:dyDescent="0.2">
      <c r="B947" t="s">
        <v>1</v>
      </c>
    </row>
    <row r="948" spans="1:4" x14ac:dyDescent="0.2">
      <c r="B948" t="s">
        <v>8</v>
      </c>
    </row>
    <row r="950" spans="1:4" x14ac:dyDescent="0.2">
      <c r="A950" t="s">
        <v>427</v>
      </c>
      <c r="B950" t="str">
        <f>HYPERLINK("https://lindat.mff.cuni.cz/services/teitok/pdtc10/index.php?action=vallex&amp;frame=v-w222f1", "bubnovat (v-w222f1)")</f>
        <v>bubnovat (v-w222f1)</v>
      </c>
    </row>
    <row r="951" spans="1:4" x14ac:dyDescent="0.2">
      <c r="B951" t="s">
        <v>1</v>
      </c>
    </row>
    <row r="953" spans="1:4" x14ac:dyDescent="0.2">
      <c r="A953" t="s">
        <v>428</v>
      </c>
      <c r="B953" t="str">
        <f>HYPERLINK("https://lindat.mff.cuni.cz/services/teitok/pdtc10/index.php?action=vallex&amp;frame=v-w224f2", "budit (v-w224f2)")</f>
        <v>budit (v-w224f2)</v>
      </c>
    </row>
    <row r="954" spans="1:4" x14ac:dyDescent="0.2">
      <c r="B954" t="s">
        <v>1</v>
      </c>
      <c r="D954" t="s">
        <v>33</v>
      </c>
    </row>
    <row r="955" spans="1:4" x14ac:dyDescent="0.2">
      <c r="B955" t="s">
        <v>8</v>
      </c>
      <c r="D955" t="s">
        <v>991</v>
      </c>
    </row>
    <row r="956" spans="1:4" x14ac:dyDescent="0.2">
      <c r="B956" t="s">
        <v>24</v>
      </c>
    </row>
    <row r="958" spans="1:4" x14ac:dyDescent="0.2">
      <c r="A958" t="s">
        <v>429</v>
      </c>
      <c r="B958" t="str">
        <f>HYPERLINK("https://lindat.mff.cuni.cz/services/teitok/pdtc10/index.php?action=vallex&amp;frame=v-w224hsa_390", "budit (v-w224hsa_390)")</f>
        <v>budit (v-w224hsa_390)</v>
      </c>
    </row>
    <row r="959" spans="1:4" x14ac:dyDescent="0.2">
      <c r="B959" t="s">
        <v>1</v>
      </c>
      <c r="C959" t="s">
        <v>430</v>
      </c>
      <c r="D959" t="s">
        <v>23017</v>
      </c>
    </row>
    <row r="960" spans="1:4" x14ac:dyDescent="0.2">
      <c r="B960" t="s">
        <v>431</v>
      </c>
      <c r="C960" t="s">
        <v>432</v>
      </c>
      <c r="D960" t="s">
        <v>23018</v>
      </c>
    </row>
    <row r="961" spans="1:4" x14ac:dyDescent="0.2">
      <c r="B961" t="s">
        <v>5</v>
      </c>
      <c r="D961" t="s">
        <v>23019</v>
      </c>
    </row>
    <row r="963" spans="1:4" x14ac:dyDescent="0.2">
      <c r="A963" t="s">
        <v>429</v>
      </c>
      <c r="B963" t="str">
        <f>HYPERLINK("https://lindat.mff.cuni.cz/services/teitok/pdtc10/index.php?action=vallex&amp;frame=v-w224f1", "budit (v-w224f1) - substituted with v-w224hsa_390")</f>
        <v>budit (v-w224f1) - substituted with v-w224hsa_390</v>
      </c>
    </row>
    <row r="964" spans="1:4" x14ac:dyDescent="0.2">
      <c r="B964" t="s">
        <v>1</v>
      </c>
      <c r="C964" t="s">
        <v>433</v>
      </c>
    </row>
    <row r="965" spans="1:4" x14ac:dyDescent="0.2">
      <c r="B965" t="s">
        <v>431</v>
      </c>
      <c r="C965" t="s">
        <v>434</v>
      </c>
    </row>
    <row r="966" spans="1:4" x14ac:dyDescent="0.2">
      <c r="B966" t="s">
        <v>5</v>
      </c>
    </row>
    <row r="968" spans="1:4" x14ac:dyDescent="0.2">
      <c r="A968" t="s">
        <v>429</v>
      </c>
      <c r="B968" t="str">
        <f>HYPERLINK("https://lindat.mff.cuni.cz/services/teitok/pdtc10/index.php?action=vallex&amp;frame=v-w224f3_ZU", "budit (v-w224f3_ZU) - substituted with v-w224hsa_390")</f>
        <v>budit (v-w224f3_ZU) - substituted with v-w224hsa_390</v>
      </c>
    </row>
    <row r="969" spans="1:4" x14ac:dyDescent="0.2">
      <c r="B969" t="s">
        <v>1</v>
      </c>
      <c r="C969" t="s">
        <v>435</v>
      </c>
    </row>
    <row r="970" spans="1:4" x14ac:dyDescent="0.2">
      <c r="B970" t="s">
        <v>431</v>
      </c>
      <c r="C970" t="s">
        <v>436</v>
      </c>
    </row>
    <row r="971" spans="1:4" x14ac:dyDescent="0.2">
      <c r="B971" t="s">
        <v>5</v>
      </c>
    </row>
    <row r="973" spans="1:4" x14ac:dyDescent="0.2">
      <c r="A973" t="s">
        <v>437</v>
      </c>
      <c r="B973" t="str">
        <f>HYPERLINK("https://lindat.mff.cuni.cz/services/teitok/pdtc10/index.php?action=vallex&amp;frame=v-w225f1", "budit se (v-w225f1)")</f>
        <v>budit se (v-w225f1)</v>
      </c>
    </row>
    <row r="974" spans="1:4" x14ac:dyDescent="0.2">
      <c r="B974" t="s">
        <v>1</v>
      </c>
      <c r="D974" t="s">
        <v>2008</v>
      </c>
    </row>
    <row r="975" spans="1:4" x14ac:dyDescent="0.2">
      <c r="B975" t="s">
        <v>438</v>
      </c>
    </row>
    <row r="977" spans="1:4" x14ac:dyDescent="0.2">
      <c r="A977" t="s">
        <v>439</v>
      </c>
      <c r="B977" t="str">
        <f>HYPERLINK("https://lindat.mff.cuni.cz/services/teitok/pdtc10/index.php?action=vallex&amp;frame=v-w228f2", "budovat (v-w228f2)")</f>
        <v>budovat (v-w228f2)</v>
      </c>
    </row>
    <row r="978" spans="1:4" x14ac:dyDescent="0.2">
      <c r="B978" t="s">
        <v>1</v>
      </c>
      <c r="C978" t="s">
        <v>440</v>
      </c>
      <c r="D978" t="s">
        <v>334</v>
      </c>
    </row>
    <row r="979" spans="1:4" x14ac:dyDescent="0.2">
      <c r="B979" t="s">
        <v>8</v>
      </c>
      <c r="C979" t="s">
        <v>441</v>
      </c>
      <c r="D979" t="s">
        <v>3328</v>
      </c>
    </row>
    <row r="980" spans="1:4" x14ac:dyDescent="0.2">
      <c r="B980" t="s">
        <v>442</v>
      </c>
      <c r="C980" t="s">
        <v>443</v>
      </c>
      <c r="D980" t="s">
        <v>23020</v>
      </c>
    </row>
    <row r="982" spans="1:4" x14ac:dyDescent="0.2">
      <c r="A982" t="s">
        <v>444</v>
      </c>
      <c r="B982" t="str">
        <f>HYPERLINK("https://lindat.mff.cuni.cz/services/teitok/pdtc10/index.php?action=vallex&amp;frame=v-w228f1", "budovat (v-w228f1)")</f>
        <v>budovat (v-w228f1)</v>
      </c>
    </row>
    <row r="983" spans="1:4" x14ac:dyDescent="0.2">
      <c r="B983" t="s">
        <v>1</v>
      </c>
      <c r="C983" t="s">
        <v>445</v>
      </c>
      <c r="D983" t="s">
        <v>23021</v>
      </c>
    </row>
    <row r="984" spans="1:4" x14ac:dyDescent="0.2">
      <c r="B984" t="s">
        <v>8</v>
      </c>
      <c r="C984" t="s">
        <v>446</v>
      </c>
      <c r="D984" t="s">
        <v>23022</v>
      </c>
    </row>
    <row r="985" spans="1:4" x14ac:dyDescent="0.2">
      <c r="B985" t="s">
        <v>24</v>
      </c>
      <c r="C985" t="s">
        <v>447</v>
      </c>
      <c r="D985" t="s">
        <v>23023</v>
      </c>
    </row>
    <row r="987" spans="1:4" x14ac:dyDescent="0.2">
      <c r="A987" t="s">
        <v>448</v>
      </c>
      <c r="B987" t="str">
        <f>HYPERLINK("https://lindat.mff.cuni.cz/services/teitok/pdtc10/index.php?action=vallex&amp;frame=v-w231f1", "bujet (v-w231f1)")</f>
        <v>bujet (v-w231f1)</v>
      </c>
    </row>
    <row r="988" spans="1:4" x14ac:dyDescent="0.2">
      <c r="B988" t="s">
        <v>1</v>
      </c>
    </row>
    <row r="990" spans="1:4" x14ac:dyDescent="0.2">
      <c r="A990" t="s">
        <v>449</v>
      </c>
      <c r="B990" t="str">
        <f>HYPERLINK("https://lindat.mff.cuni.cz/services/teitok/pdtc10/index.php?action=vallex&amp;frame=v-w234f1", "burcovat (v-w234f1)")</f>
        <v>burcovat (v-w234f1)</v>
      </c>
    </row>
    <row r="991" spans="1:4" x14ac:dyDescent="0.2">
      <c r="B991" t="s">
        <v>1</v>
      </c>
    </row>
    <row r="992" spans="1:4" x14ac:dyDescent="0.2">
      <c r="B992" t="s">
        <v>58</v>
      </c>
    </row>
    <row r="993" spans="1:4" x14ac:dyDescent="0.2">
      <c r="B993" t="s">
        <v>59</v>
      </c>
    </row>
    <row r="995" spans="1:4" x14ac:dyDescent="0.2">
      <c r="A995" t="s">
        <v>450</v>
      </c>
      <c r="B995" t="str">
        <f>HYPERLINK("https://lindat.mff.cuni.cz/services/teitok/pdtc10/index.php?action=vallex&amp;frame=v-w232f1", "burácet (v-w232f1)")</f>
        <v>burácet (v-w232f1)</v>
      </c>
    </row>
    <row r="996" spans="1:4" x14ac:dyDescent="0.2">
      <c r="B996" t="s">
        <v>1</v>
      </c>
      <c r="C996" t="s">
        <v>133</v>
      </c>
      <c r="D996" t="s">
        <v>5889</v>
      </c>
    </row>
    <row r="998" spans="1:4" x14ac:dyDescent="0.2">
      <c r="A998" t="s">
        <v>451</v>
      </c>
      <c r="B998" t="str">
        <f>HYPERLINK("https://lindat.mff.cuni.cz/services/teitok/pdtc10/index.php?action=vallex&amp;frame=v-w10291f2", "bučet (v-w10291f2)")</f>
        <v>bučet (v-w10291f2)</v>
      </c>
    </row>
    <row r="999" spans="1:4" x14ac:dyDescent="0.2">
      <c r="B999" t="s">
        <v>1</v>
      </c>
      <c r="C999" t="s">
        <v>140</v>
      </c>
      <c r="D999" t="s">
        <v>133</v>
      </c>
    </row>
    <row r="1000" spans="1:4" x14ac:dyDescent="0.2">
      <c r="B1000" t="s">
        <v>452</v>
      </c>
      <c r="C1000" t="s">
        <v>113</v>
      </c>
      <c r="D1000" t="s">
        <v>34</v>
      </c>
    </row>
    <row r="1002" spans="1:4" x14ac:dyDescent="0.2">
      <c r="A1002" t="s">
        <v>453</v>
      </c>
      <c r="B1002" t="str">
        <f>HYPERLINK("https://lindat.mff.cuni.cz/services/teitok/pdtc10/index.php?action=vallex&amp;frame=v-w237f4", "bušit (v-w237f4)")</f>
        <v>bušit (v-w237f4)</v>
      </c>
    </row>
    <row r="1003" spans="1:4" x14ac:dyDescent="0.2">
      <c r="B1003" t="s">
        <v>1</v>
      </c>
      <c r="D1003" t="s">
        <v>33</v>
      </c>
    </row>
    <row r="1004" spans="1:4" x14ac:dyDescent="0.2">
      <c r="B1004" t="s">
        <v>8</v>
      </c>
      <c r="D1004" t="s">
        <v>84</v>
      </c>
    </row>
    <row r="1006" spans="1:4" x14ac:dyDescent="0.2">
      <c r="A1006" t="s">
        <v>454</v>
      </c>
      <c r="B1006" t="str">
        <f>HYPERLINK("https://lindat.mff.cuni.cz/services/teitok/pdtc10/index.php?action=vallex&amp;frame=v-w237f2", "bušit (v-w237f2)")</f>
        <v>bušit (v-w237f2)</v>
      </c>
    </row>
    <row r="1007" spans="1:4" x14ac:dyDescent="0.2">
      <c r="B1007" t="s">
        <v>455</v>
      </c>
    </row>
    <row r="1008" spans="1:4" x14ac:dyDescent="0.2">
      <c r="B1008" t="s">
        <v>243</v>
      </c>
    </row>
    <row r="1010" spans="1:3" x14ac:dyDescent="0.2">
      <c r="A1010" t="s">
        <v>456</v>
      </c>
      <c r="B1010" t="str">
        <f>HYPERLINK("https://lindat.mff.cuni.cz/services/teitok/pdtc10/index.php?action=vallex&amp;frame=v-w237f3", "bušit (v-w237f3)")</f>
        <v>bušit (v-w237f3)</v>
      </c>
    </row>
    <row r="1011" spans="1:3" x14ac:dyDescent="0.2">
      <c r="B1011" t="s">
        <v>455</v>
      </c>
    </row>
    <row r="1012" spans="1:3" x14ac:dyDescent="0.2">
      <c r="B1012" t="s">
        <v>5</v>
      </c>
    </row>
    <row r="1014" spans="1:3" x14ac:dyDescent="0.2">
      <c r="A1014" t="s">
        <v>457</v>
      </c>
      <c r="B1014" t="str">
        <f>HYPERLINK("https://lindat.mff.cuni.cz/services/teitok/pdtc10/index.php?action=vallex&amp;frame=v-w237f1", "bušit (v-w237f1)")</f>
        <v>bušit (v-w237f1)</v>
      </c>
    </row>
    <row r="1015" spans="1:3" x14ac:dyDescent="0.2">
      <c r="B1015" t="s">
        <v>1</v>
      </c>
    </row>
    <row r="1016" spans="1:3" x14ac:dyDescent="0.2">
      <c r="B1016" t="s">
        <v>90</v>
      </c>
    </row>
    <row r="1018" spans="1:3" x14ac:dyDescent="0.2">
      <c r="A1018" t="s">
        <v>458</v>
      </c>
      <c r="B1018" t="str">
        <f>HYPERLINK("https://lindat.mff.cuni.cz/services/teitok/pdtc10/index.php?action=vallex&amp;frame=v-w237hsa_479", "bušit (v-w237hsa_479)")</f>
        <v>bušit (v-w237hsa_479)</v>
      </c>
    </row>
    <row r="1019" spans="1:3" x14ac:dyDescent="0.2">
      <c r="B1019" t="s">
        <v>1</v>
      </c>
    </row>
    <row r="1020" spans="1:3" x14ac:dyDescent="0.2">
      <c r="B1020" t="s">
        <v>90</v>
      </c>
    </row>
    <row r="1022" spans="1:3" x14ac:dyDescent="0.2">
      <c r="A1022" t="s">
        <v>459</v>
      </c>
      <c r="B1022" t="str">
        <f>HYPERLINK("https://lindat.mff.cuni.cz/services/teitok/pdtc10/index.php?action=vallex&amp;frame=v-w239f1", "bydlet (v-w239f1)")</f>
        <v>bydlet (v-w239f1)</v>
      </c>
    </row>
    <row r="1023" spans="1:3" x14ac:dyDescent="0.2">
      <c r="B1023" t="s">
        <v>1</v>
      </c>
      <c r="C1023" t="s">
        <v>460</v>
      </c>
    </row>
    <row r="1024" spans="1:3" x14ac:dyDescent="0.2">
      <c r="B1024" t="s">
        <v>5</v>
      </c>
      <c r="C1024" t="s">
        <v>461</v>
      </c>
    </row>
    <row r="1026" spans="1:2" x14ac:dyDescent="0.2">
      <c r="A1026" t="s">
        <v>462</v>
      </c>
      <c r="B1026" t="str">
        <f>HYPERLINK("https://lindat.mff.cuni.cz/services/teitok/pdtc10/index.php?action=vallex&amp;frame=v-w240f1", "bydlívat (v-w240f1)")</f>
        <v>bydlívat (v-w240f1)</v>
      </c>
    </row>
    <row r="1027" spans="1:2" x14ac:dyDescent="0.2">
      <c r="B1027" t="s">
        <v>1</v>
      </c>
    </row>
    <row r="1028" spans="1:2" x14ac:dyDescent="0.2">
      <c r="B1028" t="s">
        <v>5</v>
      </c>
    </row>
    <row r="1030" spans="1:2" x14ac:dyDescent="0.2">
      <c r="A1030" t="s">
        <v>463</v>
      </c>
      <c r="B1030" t="str">
        <f>HYPERLINK("https://lindat.mff.cuni.cz/services/teitok/pdtc10/index.php?action=vallex&amp;frame=v-w107f1", "bádat (v-w107f1)")</f>
        <v>bádat (v-w107f1)</v>
      </c>
    </row>
    <row r="1031" spans="1:2" x14ac:dyDescent="0.2">
      <c r="B1031" t="s">
        <v>1</v>
      </c>
    </row>
    <row r="1032" spans="1:2" x14ac:dyDescent="0.2">
      <c r="B1032" t="s">
        <v>464</v>
      </c>
    </row>
    <row r="1034" spans="1:2" x14ac:dyDescent="0.2">
      <c r="A1034" t="s">
        <v>465</v>
      </c>
      <c r="B1034" t="str">
        <f>HYPERLINK("https://lindat.mff.cuni.cz/services/teitok/pdtc10/index.php?action=vallex&amp;frame=v-w125f1", "básnit (v-w125f1)")</f>
        <v>básnit (v-w125f1)</v>
      </c>
    </row>
    <row r="1035" spans="1:2" x14ac:dyDescent="0.2">
      <c r="B1035" t="s">
        <v>1</v>
      </c>
    </row>
    <row r="1036" spans="1:2" x14ac:dyDescent="0.2">
      <c r="B1036" t="s">
        <v>269</v>
      </c>
    </row>
    <row r="1038" spans="1:2" x14ac:dyDescent="0.2">
      <c r="A1038" t="s">
        <v>466</v>
      </c>
      <c r="B1038" t="str">
        <f>HYPERLINK("https://lindat.mff.cuni.cz/services/teitok/pdtc10/index.php?action=vallex&amp;frame=v-w127f2", "bát se (v-w127f2)")</f>
        <v>bát se (v-w127f2)</v>
      </c>
    </row>
    <row r="1039" spans="1:2" x14ac:dyDescent="0.2">
      <c r="B1039" t="s">
        <v>1</v>
      </c>
    </row>
    <row r="1040" spans="1:2" x14ac:dyDescent="0.2">
      <c r="B1040" t="s">
        <v>467</v>
      </c>
    </row>
    <row r="1042" spans="1:4" x14ac:dyDescent="0.2">
      <c r="A1042" t="s">
        <v>468</v>
      </c>
      <c r="B1042" t="str">
        <f>HYPERLINK("https://lindat.mff.cuni.cz/services/teitok/pdtc10/index.php?action=vallex&amp;frame=v-w127f1", "bát se (v-w127f1)")</f>
        <v>bát se (v-w127f1)</v>
      </c>
    </row>
    <row r="1043" spans="1:4" x14ac:dyDescent="0.2">
      <c r="B1043" t="s">
        <v>1</v>
      </c>
      <c r="C1043" t="s">
        <v>469</v>
      </c>
      <c r="D1043" t="s">
        <v>23024</v>
      </c>
    </row>
    <row r="1044" spans="1:4" x14ac:dyDescent="0.2">
      <c r="B1044" t="s">
        <v>470</v>
      </c>
      <c r="C1044" t="s">
        <v>471</v>
      </c>
      <c r="D1044" t="s">
        <v>23025</v>
      </c>
    </row>
    <row r="1046" spans="1:4" x14ac:dyDescent="0.2">
      <c r="A1046" t="s">
        <v>472</v>
      </c>
      <c r="B1046" t="str">
        <f>HYPERLINK("https://lindat.mff.cuni.cz/services/teitok/pdtc10/index.php?action=vallex&amp;frame=v-w150f1", "bít (v-w150f1)")</f>
        <v>bít (v-w150f1)</v>
      </c>
    </row>
    <row r="1047" spans="1:4" x14ac:dyDescent="0.2">
      <c r="B1047" t="s">
        <v>1</v>
      </c>
      <c r="C1047" t="s">
        <v>33</v>
      </c>
      <c r="D1047" t="s">
        <v>2239</v>
      </c>
    </row>
    <row r="1048" spans="1:4" x14ac:dyDescent="0.2">
      <c r="B1048" t="s">
        <v>8</v>
      </c>
      <c r="C1048" t="s">
        <v>84</v>
      </c>
      <c r="D1048" t="s">
        <v>2240</v>
      </c>
    </row>
    <row r="1050" spans="1:4" x14ac:dyDescent="0.2">
      <c r="A1050" t="s">
        <v>473</v>
      </c>
      <c r="B1050" t="str">
        <f>HYPERLINK("https://lindat.mff.cuni.cz/services/teitok/pdtc10/index.php?action=vallex&amp;frame=v-w150f2", "bít (v-w150f2)")</f>
        <v>bít (v-w150f2)</v>
      </c>
    </row>
    <row r="1051" spans="1:4" x14ac:dyDescent="0.2">
      <c r="B1051" t="s">
        <v>1</v>
      </c>
    </row>
    <row r="1052" spans="1:4" x14ac:dyDescent="0.2">
      <c r="B1052" t="s">
        <v>474</v>
      </c>
    </row>
    <row r="1054" spans="1:4" x14ac:dyDescent="0.2">
      <c r="A1054" t="s">
        <v>475</v>
      </c>
      <c r="B1054" t="str">
        <f>HYPERLINK("https://lindat.mff.cuni.cz/services/teitok/pdtc10/index.php?action=vallex&amp;frame=v-w150f3_ZU", "bít (v-w150f3_ZU)")</f>
        <v>bít (v-w150f3_ZU)</v>
      </c>
    </row>
    <row r="1055" spans="1:4" x14ac:dyDescent="0.2">
      <c r="B1055" t="s">
        <v>1</v>
      </c>
    </row>
    <row r="1056" spans="1:4" x14ac:dyDescent="0.2">
      <c r="B1056" t="s">
        <v>476</v>
      </c>
    </row>
    <row r="1058" spans="1:3" x14ac:dyDescent="0.2">
      <c r="A1058" t="s">
        <v>477</v>
      </c>
      <c r="B1058" t="str">
        <f>HYPERLINK("https://lindat.mff.cuni.cz/services/teitok/pdtc10/index.php?action=vallex&amp;frame=v-w150f4_ZU", "bít (v-w150f4_ZU)")</f>
        <v>bít (v-w150f4_ZU)</v>
      </c>
    </row>
    <row r="1059" spans="1:3" x14ac:dyDescent="0.2">
      <c r="B1059" t="s">
        <v>1</v>
      </c>
    </row>
    <row r="1060" spans="1:3" x14ac:dyDescent="0.2">
      <c r="B1060" t="s">
        <v>8</v>
      </c>
    </row>
    <row r="1062" spans="1:3" x14ac:dyDescent="0.2">
      <c r="A1062" t="s">
        <v>478</v>
      </c>
      <c r="B1062" t="str">
        <f>HYPERLINK("https://lindat.mff.cuni.cz/services/teitok/pdtc10/index.php?action=vallex&amp;frame=v-w243hsa_80", "být (v-w243hsa_80)")</f>
        <v>být (v-w243hsa_80)</v>
      </c>
    </row>
    <row r="1063" spans="1:3" x14ac:dyDescent="0.2">
      <c r="B1063" t="s">
        <v>479</v>
      </c>
      <c r="C1063" t="s">
        <v>364</v>
      </c>
    </row>
    <row r="1064" spans="1:3" x14ac:dyDescent="0.2">
      <c r="B1064" t="s">
        <v>480</v>
      </c>
      <c r="C1064" t="s">
        <v>481</v>
      </c>
    </row>
    <row r="1065" spans="1:3" x14ac:dyDescent="0.2">
      <c r="B1065" t="s">
        <v>482</v>
      </c>
    </row>
    <row r="1067" spans="1:3" x14ac:dyDescent="0.2">
      <c r="A1067" t="s">
        <v>478</v>
      </c>
      <c r="B1067" t="str">
        <f>HYPERLINK("https://lindat.mff.cuni.cz/services/teitok/pdtc10/index.php?action=vallex&amp;frame=v-w243f21", "být (v-w243f21) - substituted with v-w243hsa_80")</f>
        <v>být (v-w243f21) - substituted with v-w243hsa_80</v>
      </c>
    </row>
    <row r="1068" spans="1:3" x14ac:dyDescent="0.2">
      <c r="B1068" t="s">
        <v>479</v>
      </c>
    </row>
    <row r="1069" spans="1:3" x14ac:dyDescent="0.2">
      <c r="B1069" t="s">
        <v>480</v>
      </c>
    </row>
    <row r="1070" spans="1:3" x14ac:dyDescent="0.2">
      <c r="B1070" t="s">
        <v>482</v>
      </c>
    </row>
    <row r="1072" spans="1:3" x14ac:dyDescent="0.2">
      <c r="A1072" t="s">
        <v>483</v>
      </c>
      <c r="B1072" t="str">
        <f>HYPERLINK("https://lindat.mff.cuni.cz/services/teitok/pdtc10/index.php?action=vallex&amp;frame=v-w243f22", "být (v-w243f22)")</f>
        <v>být (v-w243f22)</v>
      </c>
    </row>
    <row r="1073" spans="1:2" x14ac:dyDescent="0.2">
      <c r="B1073" t="s">
        <v>1</v>
      </c>
    </row>
    <row r="1074" spans="1:2" x14ac:dyDescent="0.2">
      <c r="B1074" t="s">
        <v>243</v>
      </c>
    </row>
    <row r="1075" spans="1:2" x14ac:dyDescent="0.2">
      <c r="B1075" t="s">
        <v>484</v>
      </c>
    </row>
    <row r="1077" spans="1:2" x14ac:dyDescent="0.2">
      <c r="A1077" t="s">
        <v>485</v>
      </c>
      <c r="B1077" t="str">
        <f>HYPERLINK("https://lindat.mff.cuni.cz/services/teitok/pdtc10/index.php?action=vallex&amp;frame=v-w243f47", "být (v-w243f47)")</f>
        <v>být (v-w243f47)</v>
      </c>
    </row>
    <row r="1078" spans="1:2" x14ac:dyDescent="0.2">
      <c r="B1078" t="s">
        <v>455</v>
      </c>
    </row>
    <row r="1079" spans="1:2" x14ac:dyDescent="0.2">
      <c r="B1079" t="s">
        <v>243</v>
      </c>
    </row>
    <row r="1080" spans="1:2" x14ac:dyDescent="0.2">
      <c r="B1080" t="s">
        <v>486</v>
      </c>
    </row>
    <row r="1082" spans="1:2" x14ac:dyDescent="0.2">
      <c r="A1082" t="s">
        <v>487</v>
      </c>
      <c r="B1082" t="str">
        <f>HYPERLINK("https://lindat.mff.cuni.cz/services/teitok/pdtc10/index.php?action=vallex&amp;frame=v-w243f137_ZU", "být (v-w243f137_ZU)")</f>
        <v>být (v-w243f137_ZU)</v>
      </c>
    </row>
    <row r="1083" spans="1:2" x14ac:dyDescent="0.2">
      <c r="B1083" t="s">
        <v>488</v>
      </c>
    </row>
    <row r="1084" spans="1:2" x14ac:dyDescent="0.2">
      <c r="B1084" t="s">
        <v>161</v>
      </c>
    </row>
    <row r="1085" spans="1:2" x14ac:dyDescent="0.2">
      <c r="B1085" t="s">
        <v>489</v>
      </c>
    </row>
    <row r="1087" spans="1:2" x14ac:dyDescent="0.2">
      <c r="A1087" t="s">
        <v>487</v>
      </c>
      <c r="B1087" t="str">
        <f>HYPERLINK("https://lindat.mff.cuni.cz/services/teitok/pdtc10/index.php?action=vallex&amp;frame=v-w243f119_ZU", "být (v-w243f119_ZU) - substituted with v-w243f137_ZU")</f>
        <v>být (v-w243f119_ZU) - substituted with v-w243f137_ZU</v>
      </c>
    </row>
    <row r="1088" spans="1:2" x14ac:dyDescent="0.2">
      <c r="B1088" t="s">
        <v>488</v>
      </c>
    </row>
    <row r="1089" spans="1:3" x14ac:dyDescent="0.2">
      <c r="B1089" t="s">
        <v>161</v>
      </c>
    </row>
    <row r="1090" spans="1:3" x14ac:dyDescent="0.2">
      <c r="B1090" t="s">
        <v>489</v>
      </c>
    </row>
    <row r="1092" spans="1:3" x14ac:dyDescent="0.2">
      <c r="A1092" t="s">
        <v>487</v>
      </c>
      <c r="B1092" t="str">
        <f>HYPERLINK("https://lindat.mff.cuni.cz/services/teitok/pdtc10/index.php?action=vallex&amp;frame=v-w243f136_ZU", "být (v-w243f136_ZU) - substituted with v-w243f137_ZU")</f>
        <v>být (v-w243f136_ZU) - substituted with v-w243f137_ZU</v>
      </c>
    </row>
    <row r="1093" spans="1:3" x14ac:dyDescent="0.2">
      <c r="B1093" t="s">
        <v>488</v>
      </c>
    </row>
    <row r="1094" spans="1:3" x14ac:dyDescent="0.2">
      <c r="B1094" t="s">
        <v>161</v>
      </c>
    </row>
    <row r="1095" spans="1:3" x14ac:dyDescent="0.2">
      <c r="B1095" t="s">
        <v>489</v>
      </c>
    </row>
    <row r="1097" spans="1:3" x14ac:dyDescent="0.2">
      <c r="A1097" t="s">
        <v>487</v>
      </c>
      <c r="B1097" t="str">
        <f>HYPERLINK("https://lindat.mff.cuni.cz/services/teitok/pdtc10/index.php?action=vallex&amp;frame=v-w243f78_ZU", "být (v-w243f78_ZU) - substituted with v-w243f137_ZU")</f>
        <v>být (v-w243f78_ZU) - substituted with v-w243f137_ZU</v>
      </c>
    </row>
    <row r="1098" spans="1:3" x14ac:dyDescent="0.2">
      <c r="B1098" t="s">
        <v>488</v>
      </c>
    </row>
    <row r="1099" spans="1:3" x14ac:dyDescent="0.2">
      <c r="B1099" t="s">
        <v>161</v>
      </c>
    </row>
    <row r="1100" spans="1:3" x14ac:dyDescent="0.2">
      <c r="B1100" t="s">
        <v>489</v>
      </c>
    </row>
    <row r="1102" spans="1:3" x14ac:dyDescent="0.2">
      <c r="A1102" t="s">
        <v>487</v>
      </c>
      <c r="B1102" t="str">
        <f>HYPERLINK("https://lindat.mff.cuni.cz/services/teitok/pdtc10/index.php?action=vallex&amp;frame=v-w243f84_ZU", "být (v-w243f84_ZU) - substituted with v-w243f137_ZU")</f>
        <v>být (v-w243f84_ZU) - substituted with v-w243f137_ZU</v>
      </c>
    </row>
    <row r="1103" spans="1:3" x14ac:dyDescent="0.2">
      <c r="B1103" t="s">
        <v>488</v>
      </c>
      <c r="C1103" t="s">
        <v>490</v>
      </c>
    </row>
    <row r="1104" spans="1:3" x14ac:dyDescent="0.2">
      <c r="B1104" t="s">
        <v>161</v>
      </c>
    </row>
    <row r="1105" spans="1:3" x14ac:dyDescent="0.2">
      <c r="B1105" t="s">
        <v>489</v>
      </c>
      <c r="C1105" t="s">
        <v>491</v>
      </c>
    </row>
    <row r="1107" spans="1:3" x14ac:dyDescent="0.2">
      <c r="A1107" t="s">
        <v>492</v>
      </c>
      <c r="B1107" t="str">
        <f>HYPERLINK("https://lindat.mff.cuni.cz/services/teitok/pdtc10/index.php?action=vallex&amp;frame=v-w243f25", "být (v-w243f25)")</f>
        <v>být (v-w243f25)</v>
      </c>
    </row>
    <row r="1108" spans="1:3" x14ac:dyDescent="0.2">
      <c r="B1108" t="s">
        <v>1</v>
      </c>
    </row>
    <row r="1109" spans="1:3" x14ac:dyDescent="0.2">
      <c r="B1109" t="s">
        <v>103</v>
      </c>
    </row>
    <row r="1111" spans="1:3" x14ac:dyDescent="0.2">
      <c r="A1111" t="s">
        <v>493</v>
      </c>
      <c r="B1111" t="str">
        <f>HYPERLINK("https://lindat.mff.cuni.cz/services/teitok/pdtc10/index.php?action=vallex&amp;frame=v-w243f177_ZU", "být (v-w243f177_ZU)")</f>
        <v>být (v-w243f177_ZU)</v>
      </c>
    </row>
    <row r="1112" spans="1:3" x14ac:dyDescent="0.2">
      <c r="B1112" t="s">
        <v>455</v>
      </c>
    </row>
    <row r="1113" spans="1:3" x14ac:dyDescent="0.2">
      <c r="B1113" t="s">
        <v>243</v>
      </c>
    </row>
    <row r="1115" spans="1:3" x14ac:dyDescent="0.2">
      <c r="A1115" t="s">
        <v>493</v>
      </c>
      <c r="B1115" t="str">
        <f>HYPERLINK("https://lindat.mff.cuni.cz/services/teitok/pdtc10/index.php?action=vallex&amp;frame=v-w243f7", "být (v-w243f7) - substituted with v-w243f177_ZU")</f>
        <v>být (v-w243f7) - substituted with v-w243f177_ZU</v>
      </c>
    </row>
    <row r="1116" spans="1:3" x14ac:dyDescent="0.2">
      <c r="B1116" t="s">
        <v>455</v>
      </c>
      <c r="C1116" t="s">
        <v>494</v>
      </c>
    </row>
    <row r="1117" spans="1:3" x14ac:dyDescent="0.2">
      <c r="B1117" t="s">
        <v>243</v>
      </c>
      <c r="C1117" t="s">
        <v>495</v>
      </c>
    </row>
    <row r="1119" spans="1:3" x14ac:dyDescent="0.2">
      <c r="A1119" t="s">
        <v>496</v>
      </c>
      <c r="B1119" t="str">
        <f>HYPERLINK("https://lindat.mff.cuni.cz/services/teitok/pdtc10/index.php?action=vallex&amp;frame=v-w243f187_MM", "být (v-w243f187_MM)")</f>
        <v>být (v-w243f187_MM)</v>
      </c>
    </row>
    <row r="1120" spans="1:3" x14ac:dyDescent="0.2">
      <c r="B1120" t="s">
        <v>497</v>
      </c>
    </row>
    <row r="1121" spans="1:7" x14ac:dyDescent="0.2">
      <c r="B1121" t="s">
        <v>498</v>
      </c>
    </row>
    <row r="1123" spans="1:7" x14ac:dyDescent="0.2">
      <c r="A1123" t="s">
        <v>496</v>
      </c>
      <c r="B1123" t="str">
        <f>HYPERLINK("https://lindat.mff.cuni.cz/services/teitok/pdtc10/index.php?action=vallex&amp;frame=v-w243f1", "být (v-w243f1) - substituted with v-w243f187_MM")</f>
        <v>být (v-w243f1) - substituted with v-w243f187_MM</v>
      </c>
      <c r="F1123" t="str">
        <f>HYPERLINK("https://lindat.mff.cuni.cz/services/CzEngVallex/CzEngVallex.html?vlanguage=cz&amp;first_verb=být&amp;second_verb=line_up#v-w243f1.v-w6_u_nobodyf2_u_nobody", "line_up (v-w6_u_nobodyf2_u_nobody)")</f>
        <v>line_up (v-w6_u_nobodyf2_u_nobody)</v>
      </c>
      <c r="G1123" t="s">
        <v>9</v>
      </c>
    </row>
    <row r="1124" spans="1:7" x14ac:dyDescent="0.2">
      <c r="B1124" t="s">
        <v>497</v>
      </c>
      <c r="C1124" t="s">
        <v>499</v>
      </c>
      <c r="F1124" t="s">
        <v>148</v>
      </c>
      <c r="G1124" t="s">
        <v>500</v>
      </c>
    </row>
    <row r="1125" spans="1:7" x14ac:dyDescent="0.2">
      <c r="B1125" t="s">
        <v>498</v>
      </c>
      <c r="C1125" t="s">
        <v>501</v>
      </c>
      <c r="F1125" t="s">
        <v>12</v>
      </c>
      <c r="G1125" t="s">
        <v>13</v>
      </c>
    </row>
    <row r="1127" spans="1:7" x14ac:dyDescent="0.2">
      <c r="A1127" t="s">
        <v>496</v>
      </c>
      <c r="B1127" t="str">
        <f>HYPERLINK("https://lindat.mff.cuni.cz/services/teitok/pdtc10/index.php?action=vallex&amp;frame=v-w243f179_ZU", "být (v-w243f179_ZU) - substituted with v-w243f187_MM")</f>
        <v>být (v-w243f179_ZU) - substituted with v-w243f187_MM</v>
      </c>
    </row>
    <row r="1128" spans="1:7" x14ac:dyDescent="0.2">
      <c r="B1128" t="s">
        <v>497</v>
      </c>
    </row>
    <row r="1129" spans="1:7" x14ac:dyDescent="0.2">
      <c r="B1129" t="s">
        <v>498</v>
      </c>
    </row>
    <row r="1131" spans="1:7" x14ac:dyDescent="0.2">
      <c r="A1131" t="s">
        <v>496</v>
      </c>
      <c r="B1131" t="str">
        <f>HYPERLINK("https://lindat.mff.cuni.cz/services/teitok/pdtc10/index.php?action=vallex&amp;frame=v-w243f186_MM", "být (v-w243f186_MM) - substituted with v-w243f187_MM")</f>
        <v>být (v-w243f186_MM) - substituted with v-w243f187_MM</v>
      </c>
    </row>
    <row r="1132" spans="1:7" x14ac:dyDescent="0.2">
      <c r="B1132" t="s">
        <v>497</v>
      </c>
    </row>
    <row r="1133" spans="1:7" x14ac:dyDescent="0.2">
      <c r="B1133" t="s">
        <v>498</v>
      </c>
    </row>
    <row r="1135" spans="1:7" x14ac:dyDescent="0.2">
      <c r="A1135" t="s">
        <v>496</v>
      </c>
      <c r="B1135" t="str">
        <f>HYPERLINK("https://lindat.mff.cuni.cz/services/teitok/pdtc10/index.php?action=vallex&amp;frame=v-w243f56_ZU", "být (v-w243f56_ZU) - substituted with v-w243f187_MM")</f>
        <v>být (v-w243f56_ZU) - substituted with v-w243f187_MM</v>
      </c>
    </row>
    <row r="1136" spans="1:7" x14ac:dyDescent="0.2">
      <c r="B1136" t="s">
        <v>497</v>
      </c>
      <c r="C1136" t="s">
        <v>364</v>
      </c>
    </row>
    <row r="1137" spans="1:3" x14ac:dyDescent="0.2">
      <c r="B1137" t="s">
        <v>498</v>
      </c>
      <c r="C1137" t="s">
        <v>481</v>
      </c>
    </row>
    <row r="1139" spans="1:3" x14ac:dyDescent="0.2">
      <c r="A1139" t="s">
        <v>496</v>
      </c>
      <c r="B1139" t="str">
        <f>HYPERLINK("https://lindat.mff.cuni.cz/services/teitok/pdtc10/index.php?action=vallex&amp;frame=v-w243f80_ZU", "být (v-w243f80_ZU) - substituted with v-w243f187_MM")</f>
        <v>být (v-w243f80_ZU) - substituted with v-w243f187_MM</v>
      </c>
    </row>
    <row r="1140" spans="1:3" x14ac:dyDescent="0.2">
      <c r="B1140" t="s">
        <v>497</v>
      </c>
      <c r="C1140" t="s">
        <v>502</v>
      </c>
    </row>
    <row r="1141" spans="1:3" x14ac:dyDescent="0.2">
      <c r="B1141" t="s">
        <v>498</v>
      </c>
      <c r="C1141" t="s">
        <v>503</v>
      </c>
    </row>
    <row r="1143" spans="1:3" x14ac:dyDescent="0.2">
      <c r="A1143" t="s">
        <v>504</v>
      </c>
      <c r="B1143" t="str">
        <f>HYPERLINK("https://lindat.mff.cuni.cz/services/teitok/pdtc10/index.php?action=vallex&amp;frame=v-w243f65_ZU", "být (v-w243f65_ZU)")</f>
        <v>být (v-w243f65_ZU)</v>
      </c>
    </row>
    <row r="1144" spans="1:3" x14ac:dyDescent="0.2">
      <c r="B1144" t="s">
        <v>1</v>
      </c>
      <c r="C1144" t="s">
        <v>364</v>
      </c>
    </row>
    <row r="1145" spans="1:3" x14ac:dyDescent="0.2">
      <c r="B1145" t="s">
        <v>183</v>
      </c>
      <c r="C1145" t="s">
        <v>481</v>
      </c>
    </row>
    <row r="1147" spans="1:3" x14ac:dyDescent="0.2">
      <c r="A1147" t="s">
        <v>505</v>
      </c>
      <c r="B1147" t="str">
        <f>HYPERLINK("https://lindat.mff.cuni.cz/services/teitok/pdtc10/index.php?action=vallex&amp;frame=v-w243f16", "být (v-w243f16)")</f>
        <v>být (v-w243f16)</v>
      </c>
    </row>
    <row r="1148" spans="1:3" x14ac:dyDescent="0.2">
      <c r="B1148" t="s">
        <v>455</v>
      </c>
      <c r="C1148" t="s">
        <v>506</v>
      </c>
    </row>
    <row r="1149" spans="1:3" x14ac:dyDescent="0.2">
      <c r="B1149" t="s">
        <v>507</v>
      </c>
      <c r="C1149" t="s">
        <v>508</v>
      </c>
    </row>
    <row r="1151" spans="1:3" x14ac:dyDescent="0.2">
      <c r="A1151" t="s">
        <v>509</v>
      </c>
      <c r="B1151" t="str">
        <f>HYPERLINK("https://lindat.mff.cuni.cz/services/teitok/pdtc10/index.php?action=vallex&amp;frame=v-w243f26", "být (v-w243f26)")</f>
        <v>být (v-w243f26)</v>
      </c>
    </row>
    <row r="1152" spans="1:3" x14ac:dyDescent="0.2">
      <c r="B1152" t="s">
        <v>510</v>
      </c>
    </row>
    <row r="1153" spans="1:3" x14ac:dyDescent="0.2">
      <c r="B1153" t="s">
        <v>511</v>
      </c>
    </row>
    <row r="1155" spans="1:3" x14ac:dyDescent="0.2">
      <c r="A1155" t="s">
        <v>512</v>
      </c>
      <c r="B1155" t="str">
        <f>HYPERLINK("https://lindat.mff.cuni.cz/services/teitok/pdtc10/index.php?action=vallex&amp;frame=v-w243f181_ZU", "být (v-w243f181_ZU)")</f>
        <v>být (v-w243f181_ZU)</v>
      </c>
    </row>
    <row r="1156" spans="1:3" x14ac:dyDescent="0.2">
      <c r="B1156" t="s">
        <v>513</v>
      </c>
    </row>
    <row r="1158" spans="1:3" x14ac:dyDescent="0.2">
      <c r="A1158" t="s">
        <v>512</v>
      </c>
      <c r="B1158" t="str">
        <f>HYPERLINK("https://lindat.mff.cuni.cz/services/teitok/pdtc10/index.php?action=vallex&amp;frame=v-w243f173_ZU", "být (v-w243f173_ZU) - substituted with v-w243f181_ZU")</f>
        <v>být (v-w243f173_ZU) - substituted with v-w243f181_ZU</v>
      </c>
    </row>
    <row r="1159" spans="1:3" x14ac:dyDescent="0.2">
      <c r="B1159" t="s">
        <v>513</v>
      </c>
    </row>
    <row r="1161" spans="1:3" x14ac:dyDescent="0.2">
      <c r="A1161" t="s">
        <v>512</v>
      </c>
      <c r="B1161" t="str">
        <f>HYPERLINK("https://lindat.mff.cuni.cz/services/teitok/pdtc10/index.php?action=vallex&amp;frame=v-w243f176_ZU", "být (v-w243f176_ZU) - substituted with v-w243f181_ZU")</f>
        <v>být (v-w243f176_ZU) - substituted with v-w243f181_ZU</v>
      </c>
    </row>
    <row r="1162" spans="1:3" x14ac:dyDescent="0.2">
      <c r="B1162" t="s">
        <v>513</v>
      </c>
    </row>
    <row r="1164" spans="1:3" x14ac:dyDescent="0.2">
      <c r="A1164" t="s">
        <v>512</v>
      </c>
      <c r="B1164" t="str">
        <f>HYPERLINK("https://lindat.mff.cuni.cz/services/teitok/pdtc10/index.php?action=vallex&amp;frame=v-w243f178_ZU", "být (v-w243f178_ZU) - substituted with v-w243f181_ZU")</f>
        <v>být (v-w243f178_ZU) - substituted with v-w243f181_ZU</v>
      </c>
    </row>
    <row r="1165" spans="1:3" x14ac:dyDescent="0.2">
      <c r="B1165" t="s">
        <v>513</v>
      </c>
    </row>
    <row r="1167" spans="1:3" x14ac:dyDescent="0.2">
      <c r="A1167" t="s">
        <v>512</v>
      </c>
      <c r="B1167" t="str">
        <f>HYPERLINK("https://lindat.mff.cuni.cz/services/teitok/pdtc10/index.php?action=vallex&amp;frame=v-w243f2", "být (v-w243f2) - substituted with v-w243f181_ZU")</f>
        <v>být (v-w243f2) - substituted with v-w243f181_ZU</v>
      </c>
    </row>
    <row r="1168" spans="1:3" x14ac:dyDescent="0.2">
      <c r="B1168" t="s">
        <v>513</v>
      </c>
      <c r="C1168" t="s">
        <v>514</v>
      </c>
    </row>
    <row r="1170" spans="1:3" x14ac:dyDescent="0.2">
      <c r="A1170" t="s">
        <v>515</v>
      </c>
      <c r="B1170" t="str">
        <f>HYPERLINK("https://lindat.mff.cuni.cz/services/teitok/pdtc10/index.php?action=vallex&amp;frame=v-w243f10", "být (v-w243f10)")</f>
        <v>být (v-w243f10)</v>
      </c>
    </row>
    <row r="1171" spans="1:3" x14ac:dyDescent="0.2">
      <c r="B1171" t="s">
        <v>516</v>
      </c>
      <c r="C1171" t="s">
        <v>517</v>
      </c>
    </row>
    <row r="1173" spans="1:3" x14ac:dyDescent="0.2">
      <c r="A1173" t="s">
        <v>518</v>
      </c>
      <c r="B1173" t="str">
        <f>HYPERLINK("https://lindat.mff.cuni.cz/services/teitok/pdtc10/index.php?action=vallex&amp;frame=v-w243f53", "být (v-w243f53)")</f>
        <v>být (v-w243f53)</v>
      </c>
    </row>
    <row r="1174" spans="1:3" x14ac:dyDescent="0.2">
      <c r="B1174" t="s">
        <v>519</v>
      </c>
      <c r="C1174" t="s">
        <v>364</v>
      </c>
    </row>
    <row r="1176" spans="1:3" x14ac:dyDescent="0.2">
      <c r="A1176" t="s">
        <v>520</v>
      </c>
      <c r="B1176" t="str">
        <f>HYPERLINK("https://lindat.mff.cuni.cz/services/teitok/pdtc10/index.php?action=vallex&amp;frame=v-w243f18", "být (v-w243f18)")</f>
        <v>být (v-w243f18)</v>
      </c>
    </row>
    <row r="1177" spans="1:3" x14ac:dyDescent="0.2">
      <c r="B1177" t="s">
        <v>521</v>
      </c>
      <c r="C1177" t="s">
        <v>522</v>
      </c>
    </row>
    <row r="1179" spans="1:3" x14ac:dyDescent="0.2">
      <c r="A1179" t="s">
        <v>523</v>
      </c>
      <c r="B1179" t="str">
        <f>HYPERLINK("https://lindat.mff.cuni.cz/services/teitok/pdtc10/index.php?action=vallex&amp;frame=v-w243f54", "být (v-w243f54)")</f>
        <v>být (v-w243f54)</v>
      </c>
    </row>
    <row r="1180" spans="1:3" x14ac:dyDescent="0.2">
      <c r="B1180" t="s">
        <v>524</v>
      </c>
    </row>
    <row r="1182" spans="1:3" x14ac:dyDescent="0.2">
      <c r="A1182" t="s">
        <v>525</v>
      </c>
      <c r="B1182" t="str">
        <f>HYPERLINK("https://lindat.mff.cuni.cz/services/teitok/pdtc10/index.php?action=vallex&amp;frame=v-w243f34", "být (v-w243f34)")</f>
        <v>být (v-w243f34)</v>
      </c>
    </row>
    <row r="1183" spans="1:3" x14ac:dyDescent="0.2">
      <c r="B1183" t="s">
        <v>526</v>
      </c>
    </row>
    <row r="1185" spans="1:3" x14ac:dyDescent="0.2">
      <c r="A1185" t="s">
        <v>527</v>
      </c>
      <c r="B1185" t="str">
        <f>HYPERLINK("https://lindat.mff.cuni.cz/services/teitok/pdtc10/index.php?action=vallex&amp;frame=v-w243f6", "být (v-w243f6)")</f>
        <v>být (v-w243f6)</v>
      </c>
    </row>
    <row r="1186" spans="1:3" x14ac:dyDescent="0.2">
      <c r="B1186" t="s">
        <v>415</v>
      </c>
    </row>
    <row r="1187" spans="1:3" x14ac:dyDescent="0.2">
      <c r="B1187" t="s">
        <v>346</v>
      </c>
      <c r="C1187" t="s">
        <v>528</v>
      </c>
    </row>
    <row r="1188" spans="1:3" x14ac:dyDescent="0.2">
      <c r="B1188" t="s">
        <v>348</v>
      </c>
    </row>
    <row r="1189" spans="1:3" x14ac:dyDescent="0.2">
      <c r="B1189" t="s">
        <v>349</v>
      </c>
    </row>
    <row r="1190" spans="1:3" x14ac:dyDescent="0.2">
      <c r="B1190" t="s">
        <v>350</v>
      </c>
    </row>
    <row r="1191" spans="1:3" x14ac:dyDescent="0.2">
      <c r="B1191" t="s">
        <v>351</v>
      </c>
    </row>
    <row r="1193" spans="1:3" x14ac:dyDescent="0.2">
      <c r="A1193" t="s">
        <v>529</v>
      </c>
      <c r="B1193" t="str">
        <f>HYPERLINK("https://lindat.mff.cuni.cz/services/teitok/pdtc10/index.php?action=vallex&amp;frame=v-w243f13", "být (v-w243f13)")</f>
        <v>být (v-w243f13)</v>
      </c>
    </row>
    <row r="1194" spans="1:3" x14ac:dyDescent="0.2">
      <c r="B1194" t="s">
        <v>530</v>
      </c>
      <c r="C1194" t="s">
        <v>531</v>
      </c>
    </row>
    <row r="1195" spans="1:3" x14ac:dyDescent="0.2">
      <c r="B1195" t="s">
        <v>532</v>
      </c>
      <c r="C1195" t="s">
        <v>366</v>
      </c>
    </row>
    <row r="1196" spans="1:3" x14ac:dyDescent="0.2">
      <c r="B1196" t="s">
        <v>35</v>
      </c>
      <c r="C1196" t="s">
        <v>533</v>
      </c>
    </row>
    <row r="1198" spans="1:3" x14ac:dyDescent="0.2">
      <c r="A1198" t="s">
        <v>534</v>
      </c>
      <c r="B1198" t="str">
        <f>HYPERLINK("https://lindat.mff.cuni.cz/services/teitok/pdtc10/index.php?action=vallex&amp;frame=v-w243f17", "být (v-w243f17)")</f>
        <v>být (v-w243f17)</v>
      </c>
    </row>
    <row r="1199" spans="1:3" x14ac:dyDescent="0.2">
      <c r="B1199" t="s">
        <v>535</v>
      </c>
    </row>
    <row r="1200" spans="1:3" x14ac:dyDescent="0.2">
      <c r="B1200" t="s">
        <v>536</v>
      </c>
      <c r="C1200" t="s">
        <v>366</v>
      </c>
    </row>
    <row r="1201" spans="1:3" x14ac:dyDescent="0.2">
      <c r="B1201" t="s">
        <v>35</v>
      </c>
      <c r="C1201" t="s">
        <v>537</v>
      </c>
    </row>
    <row r="1203" spans="1:3" x14ac:dyDescent="0.2">
      <c r="A1203" t="s">
        <v>538</v>
      </c>
      <c r="B1203" t="str">
        <f>HYPERLINK("https://lindat.mff.cuni.cz/services/teitok/pdtc10/index.php?action=vallex&amp;frame=v-w243f185_MM", "být (v-w243f185_MM)")</f>
        <v>být (v-w243f185_MM)</v>
      </c>
    </row>
    <row r="1204" spans="1:3" x14ac:dyDescent="0.2">
      <c r="B1204" t="s">
        <v>539</v>
      </c>
    </row>
    <row r="1205" spans="1:3" x14ac:dyDescent="0.2">
      <c r="B1205" t="s">
        <v>540</v>
      </c>
    </row>
    <row r="1207" spans="1:3" x14ac:dyDescent="0.2">
      <c r="A1207" t="s">
        <v>538</v>
      </c>
      <c r="B1207" t="str">
        <f>HYPERLINK("https://lindat.mff.cuni.cz/services/teitok/pdtc10/index.php?action=vallex&amp;frame=v-w243f124_ZU", "být (v-w243f124_ZU) - substituted with v-w243f185_MM")</f>
        <v>být (v-w243f124_ZU) - substituted with v-w243f185_MM</v>
      </c>
    </row>
    <row r="1208" spans="1:3" x14ac:dyDescent="0.2">
      <c r="B1208" t="s">
        <v>539</v>
      </c>
      <c r="C1208" t="s">
        <v>364</v>
      </c>
    </row>
    <row r="1209" spans="1:3" x14ac:dyDescent="0.2">
      <c r="B1209" t="s">
        <v>540</v>
      </c>
      <c r="C1209" t="s">
        <v>366</v>
      </c>
    </row>
    <row r="1211" spans="1:3" x14ac:dyDescent="0.2">
      <c r="A1211" t="s">
        <v>538</v>
      </c>
      <c r="B1211" t="str">
        <f>HYPERLINK("https://lindat.mff.cuni.cz/services/teitok/pdtc10/index.php?action=vallex&amp;frame=v-w243f3", "být (v-w243f3) - substituted with v-w243f185_MM")</f>
        <v>být (v-w243f3) - substituted with v-w243f185_MM</v>
      </c>
    </row>
    <row r="1212" spans="1:3" x14ac:dyDescent="0.2">
      <c r="B1212" t="s">
        <v>539</v>
      </c>
      <c r="C1212" t="s">
        <v>541</v>
      </c>
    </row>
    <row r="1213" spans="1:3" x14ac:dyDescent="0.2">
      <c r="B1213" t="s">
        <v>540</v>
      </c>
      <c r="C1213" t="s">
        <v>366</v>
      </c>
    </row>
    <row r="1215" spans="1:3" x14ac:dyDescent="0.2">
      <c r="A1215" t="s">
        <v>542</v>
      </c>
      <c r="B1215" t="str">
        <f>HYPERLINK("https://lindat.mff.cuni.cz/services/teitok/pdtc10/index.php?action=vallex&amp;frame=v-w243f125_ZU", "být (v-w243f125_ZU)")</f>
        <v>být (v-w243f125_ZU)</v>
      </c>
    </row>
    <row r="1216" spans="1:3" x14ac:dyDescent="0.2">
      <c r="B1216" t="s">
        <v>543</v>
      </c>
    </row>
    <row r="1217" spans="1:3" x14ac:dyDescent="0.2">
      <c r="B1217" t="s">
        <v>544</v>
      </c>
    </row>
    <row r="1219" spans="1:3" x14ac:dyDescent="0.2">
      <c r="A1219" t="s">
        <v>542</v>
      </c>
      <c r="B1219" t="str">
        <f>HYPERLINK("https://lindat.mff.cuni.cz/services/teitok/pdtc10/index.php?action=vallex&amp;frame=v-w243f4", "být (v-w243f4) - substituted with v-w243f125_ZU")</f>
        <v>být (v-w243f4) - substituted with v-w243f125_ZU</v>
      </c>
    </row>
    <row r="1220" spans="1:3" x14ac:dyDescent="0.2">
      <c r="B1220" t="s">
        <v>543</v>
      </c>
      <c r="C1220" t="s">
        <v>545</v>
      </c>
    </row>
    <row r="1221" spans="1:3" x14ac:dyDescent="0.2">
      <c r="B1221" t="s">
        <v>544</v>
      </c>
      <c r="C1221" t="s">
        <v>546</v>
      </c>
    </row>
    <row r="1223" spans="1:3" x14ac:dyDescent="0.2">
      <c r="A1223" t="s">
        <v>542</v>
      </c>
      <c r="B1223" t="str">
        <f>HYPERLINK("https://lindat.mff.cuni.cz/services/teitok/pdtc10/index.php?action=vallex&amp;frame=v-w243f58_ZU", "být (v-w243f58_ZU) - substituted with v-w243f125_ZU")</f>
        <v>být (v-w243f58_ZU) - substituted with v-w243f125_ZU</v>
      </c>
    </row>
    <row r="1224" spans="1:3" x14ac:dyDescent="0.2">
      <c r="B1224" t="s">
        <v>543</v>
      </c>
      <c r="C1224" t="s">
        <v>547</v>
      </c>
    </row>
    <row r="1225" spans="1:3" x14ac:dyDescent="0.2">
      <c r="B1225" t="s">
        <v>544</v>
      </c>
      <c r="C1225" t="s">
        <v>548</v>
      </c>
    </row>
    <row r="1227" spans="1:3" x14ac:dyDescent="0.2">
      <c r="A1227" t="s">
        <v>542</v>
      </c>
      <c r="B1227" t="str">
        <f>HYPERLINK("https://lindat.mff.cuni.cz/services/teitok/pdtc10/index.php?action=vallex&amp;frame=v-w243hsa_84", "být (v-w243hsa_84) - substituted with v-w243f125_ZU")</f>
        <v>být (v-w243hsa_84) - substituted with v-w243f125_ZU</v>
      </c>
    </row>
    <row r="1228" spans="1:3" x14ac:dyDescent="0.2">
      <c r="B1228" t="s">
        <v>543</v>
      </c>
      <c r="C1228" t="s">
        <v>364</v>
      </c>
    </row>
    <row r="1229" spans="1:3" x14ac:dyDescent="0.2">
      <c r="B1229" t="s">
        <v>544</v>
      </c>
      <c r="C1229" t="s">
        <v>366</v>
      </c>
    </row>
    <row r="1231" spans="1:3" x14ac:dyDescent="0.2">
      <c r="A1231" t="s">
        <v>549</v>
      </c>
      <c r="B1231" t="str">
        <f>HYPERLINK("https://lindat.mff.cuni.cz/services/teitok/pdtc10/index.php?action=vallex&amp;frame=v-w243f118_ZU", "být (v-w243f118_ZU)")</f>
        <v>být (v-w243f118_ZU)</v>
      </c>
    </row>
    <row r="1232" spans="1:3" x14ac:dyDescent="0.2">
      <c r="B1232" t="s">
        <v>1</v>
      </c>
    </row>
    <row r="1233" spans="1:3" x14ac:dyDescent="0.2">
      <c r="B1233" t="s">
        <v>550</v>
      </c>
    </row>
    <row r="1234" spans="1:3" x14ac:dyDescent="0.2">
      <c r="B1234" t="s">
        <v>551</v>
      </c>
    </row>
    <row r="1235" spans="1:3" x14ac:dyDescent="0.2">
      <c r="B1235" t="s">
        <v>153</v>
      </c>
    </row>
    <row r="1237" spans="1:3" x14ac:dyDescent="0.2">
      <c r="A1237" t="s">
        <v>549</v>
      </c>
      <c r="B1237" t="str">
        <f>HYPERLINK("https://lindat.mff.cuni.cz/services/teitok/pdtc10/index.php?action=vallex&amp;frame=v-w243f72_ZU", "být (v-w243f72_ZU) - substituted with v-w243f118_ZU")</f>
        <v>být (v-w243f72_ZU) - substituted with v-w243f118_ZU</v>
      </c>
    </row>
    <row r="1238" spans="1:3" x14ac:dyDescent="0.2">
      <c r="B1238" t="s">
        <v>1</v>
      </c>
      <c r="C1238" t="s">
        <v>364</v>
      </c>
    </row>
    <row r="1239" spans="1:3" x14ac:dyDescent="0.2">
      <c r="B1239" t="s">
        <v>550</v>
      </c>
      <c r="C1239" t="s">
        <v>552</v>
      </c>
    </row>
    <row r="1240" spans="1:3" x14ac:dyDescent="0.2">
      <c r="B1240" t="s">
        <v>551</v>
      </c>
    </row>
    <row r="1241" spans="1:3" x14ac:dyDescent="0.2">
      <c r="B1241" t="s">
        <v>153</v>
      </c>
    </row>
    <row r="1243" spans="1:3" x14ac:dyDescent="0.2">
      <c r="A1243" t="s">
        <v>549</v>
      </c>
      <c r="B1243" t="str">
        <f>HYPERLINK("https://lindat.mff.cuni.cz/services/teitok/pdtc10/index.php?action=vallex&amp;frame=v-w243f75_ZU", "být (v-w243f75_ZU) - substituted with v-w243f118_ZU")</f>
        <v>být (v-w243f75_ZU) - substituted with v-w243f118_ZU</v>
      </c>
    </row>
    <row r="1244" spans="1:3" x14ac:dyDescent="0.2">
      <c r="B1244" t="s">
        <v>1</v>
      </c>
      <c r="C1244" t="s">
        <v>553</v>
      </c>
    </row>
    <row r="1245" spans="1:3" x14ac:dyDescent="0.2">
      <c r="B1245" t="s">
        <v>550</v>
      </c>
    </row>
    <row r="1246" spans="1:3" x14ac:dyDescent="0.2">
      <c r="B1246" t="s">
        <v>551</v>
      </c>
    </row>
    <row r="1247" spans="1:3" x14ac:dyDescent="0.2">
      <c r="B1247" t="s">
        <v>153</v>
      </c>
      <c r="C1247" t="s">
        <v>554</v>
      </c>
    </row>
    <row r="1249" spans="1:4" x14ac:dyDescent="0.2">
      <c r="A1249" t="s">
        <v>555</v>
      </c>
      <c r="B1249" t="str">
        <f>HYPERLINK("https://lindat.mff.cuni.cz/services/teitok/pdtc10/index.php?action=vallex&amp;frame=v-w243f36", "být (v-w243f36)")</f>
        <v>být (v-w243f36)</v>
      </c>
    </row>
    <row r="1250" spans="1:4" x14ac:dyDescent="0.2">
      <c r="B1250" t="s">
        <v>1</v>
      </c>
    </row>
    <row r="1251" spans="1:4" x14ac:dyDescent="0.2">
      <c r="B1251" t="s">
        <v>556</v>
      </c>
    </row>
    <row r="1252" spans="1:4" x14ac:dyDescent="0.2">
      <c r="B1252" t="s">
        <v>557</v>
      </c>
    </row>
    <row r="1254" spans="1:4" x14ac:dyDescent="0.2">
      <c r="A1254" t="s">
        <v>558</v>
      </c>
      <c r="B1254" t="str">
        <f>HYPERLINK("https://lindat.mff.cuni.cz/services/teitok/pdtc10/index.php?action=vallex&amp;frame=v-w243f12", "být (v-w243f12)")</f>
        <v>být (v-w243f12)</v>
      </c>
    </row>
    <row r="1255" spans="1:4" x14ac:dyDescent="0.2">
      <c r="B1255" t="s">
        <v>1</v>
      </c>
      <c r="D1255" t="s">
        <v>23026</v>
      </c>
    </row>
    <row r="1256" spans="1:4" x14ac:dyDescent="0.2">
      <c r="B1256" t="s">
        <v>559</v>
      </c>
    </row>
    <row r="1257" spans="1:4" x14ac:dyDescent="0.2">
      <c r="B1257" t="s">
        <v>557</v>
      </c>
      <c r="D1257" t="s">
        <v>7280</v>
      </c>
    </row>
    <row r="1259" spans="1:4" x14ac:dyDescent="0.2">
      <c r="A1259" t="s">
        <v>560</v>
      </c>
      <c r="B1259" t="str">
        <f>HYPERLINK("https://lindat.mff.cuni.cz/services/teitok/pdtc10/index.php?action=vallex&amp;frame=v-w243f43", "být (v-w243f43)")</f>
        <v>být (v-w243f43)</v>
      </c>
    </row>
    <row r="1260" spans="1:4" x14ac:dyDescent="0.2">
      <c r="B1260" t="s">
        <v>1</v>
      </c>
    </row>
    <row r="1261" spans="1:4" x14ac:dyDescent="0.2">
      <c r="B1261" t="s">
        <v>561</v>
      </c>
    </row>
    <row r="1262" spans="1:4" x14ac:dyDescent="0.2">
      <c r="B1262" t="s">
        <v>411</v>
      </c>
    </row>
    <row r="1264" spans="1:4" x14ac:dyDescent="0.2">
      <c r="A1264" t="s">
        <v>562</v>
      </c>
      <c r="B1264" t="str">
        <f>HYPERLINK("https://lindat.mff.cuni.cz/services/teitok/pdtc10/index.php?action=vallex&amp;frame=v-w243f122_ZU", "být (v-w243f122_ZU)")</f>
        <v>být (v-w243f122_ZU)</v>
      </c>
    </row>
    <row r="1265" spans="1:3" x14ac:dyDescent="0.2">
      <c r="B1265" t="s">
        <v>1</v>
      </c>
    </row>
    <row r="1266" spans="1:3" x14ac:dyDescent="0.2">
      <c r="B1266" t="s">
        <v>563</v>
      </c>
      <c r="C1266" t="s">
        <v>552</v>
      </c>
    </row>
    <row r="1267" spans="1:3" x14ac:dyDescent="0.2">
      <c r="B1267" t="s">
        <v>103</v>
      </c>
      <c r="C1267" t="s">
        <v>564</v>
      </c>
    </row>
    <row r="1269" spans="1:3" x14ac:dyDescent="0.2">
      <c r="A1269" t="s">
        <v>562</v>
      </c>
      <c r="B1269" t="str">
        <f>HYPERLINK("https://lindat.mff.cuni.cz/services/teitok/pdtc10/index.php?action=vallex&amp;frame=v-w243f100_ZU", "být (v-w243f100_ZU) - substituted with v-w243f122_ZU")</f>
        <v>být (v-w243f100_ZU) - substituted with v-w243f122_ZU</v>
      </c>
    </row>
    <row r="1270" spans="1:3" x14ac:dyDescent="0.2">
      <c r="B1270" t="s">
        <v>1</v>
      </c>
      <c r="C1270" t="s">
        <v>364</v>
      </c>
    </row>
    <row r="1271" spans="1:3" x14ac:dyDescent="0.2">
      <c r="B1271" t="s">
        <v>563</v>
      </c>
      <c r="C1271" t="s">
        <v>552</v>
      </c>
    </row>
    <row r="1272" spans="1:3" x14ac:dyDescent="0.2">
      <c r="B1272" t="s">
        <v>103</v>
      </c>
    </row>
    <row r="1274" spans="1:3" x14ac:dyDescent="0.2">
      <c r="A1274" t="s">
        <v>562</v>
      </c>
      <c r="B1274" t="str">
        <f>HYPERLINK("https://lindat.mff.cuni.cz/services/teitok/pdtc10/index.php?action=vallex&amp;frame=v-w243f121_ZU", "být (v-w243f121_ZU) - substituted with v-w243f122_ZU")</f>
        <v>být (v-w243f121_ZU) - substituted with v-w243f122_ZU</v>
      </c>
    </row>
    <row r="1275" spans="1:3" x14ac:dyDescent="0.2">
      <c r="B1275" t="s">
        <v>1</v>
      </c>
    </row>
    <row r="1276" spans="1:3" x14ac:dyDescent="0.2">
      <c r="B1276" t="s">
        <v>563</v>
      </c>
    </row>
    <row r="1277" spans="1:3" x14ac:dyDescent="0.2">
      <c r="B1277" t="s">
        <v>103</v>
      </c>
    </row>
    <row r="1279" spans="1:3" x14ac:dyDescent="0.2">
      <c r="A1279" t="s">
        <v>562</v>
      </c>
      <c r="B1279" t="str">
        <f>HYPERLINK("https://lindat.mff.cuni.cz/services/teitok/pdtc10/index.php?action=vallex&amp;frame=v-w243f62_ZU", "být (v-w243f62_ZU) - substituted with v-w243f122_ZU")</f>
        <v>být (v-w243f62_ZU) - substituted with v-w243f122_ZU</v>
      </c>
    </row>
    <row r="1280" spans="1:3" x14ac:dyDescent="0.2">
      <c r="B1280" t="s">
        <v>1</v>
      </c>
    </row>
    <row r="1281" spans="1:3" x14ac:dyDescent="0.2">
      <c r="B1281" t="s">
        <v>563</v>
      </c>
    </row>
    <row r="1282" spans="1:3" x14ac:dyDescent="0.2">
      <c r="B1282" t="s">
        <v>103</v>
      </c>
    </row>
    <row r="1284" spans="1:3" x14ac:dyDescent="0.2">
      <c r="A1284" t="s">
        <v>562</v>
      </c>
      <c r="B1284" t="str">
        <f>HYPERLINK("https://lindat.mff.cuni.cz/services/teitok/pdtc10/index.php?action=vallex&amp;frame=v-w243f63_ZU", "být (v-w243f63_ZU) - substituted with v-w243f122_ZU")</f>
        <v>být (v-w243f63_ZU) - substituted with v-w243f122_ZU</v>
      </c>
    </row>
    <row r="1285" spans="1:3" x14ac:dyDescent="0.2">
      <c r="B1285" t="s">
        <v>1</v>
      </c>
    </row>
    <row r="1286" spans="1:3" x14ac:dyDescent="0.2">
      <c r="B1286" t="s">
        <v>563</v>
      </c>
    </row>
    <row r="1287" spans="1:3" x14ac:dyDescent="0.2">
      <c r="B1287" t="s">
        <v>103</v>
      </c>
    </row>
    <row r="1289" spans="1:3" x14ac:dyDescent="0.2">
      <c r="A1289" t="s">
        <v>565</v>
      </c>
      <c r="B1289" t="str">
        <f>HYPERLINK("https://lindat.mff.cuni.cz/services/teitok/pdtc10/index.php?action=vallex&amp;frame=v-w243f61_ZU", "být (v-w243f61_ZU)")</f>
        <v>být (v-w243f61_ZU)</v>
      </c>
    </row>
    <row r="1290" spans="1:3" x14ac:dyDescent="0.2">
      <c r="B1290" t="s">
        <v>1</v>
      </c>
      <c r="C1290" t="s">
        <v>566</v>
      </c>
    </row>
    <row r="1291" spans="1:3" x14ac:dyDescent="0.2">
      <c r="B1291" t="s">
        <v>567</v>
      </c>
    </row>
    <row r="1292" spans="1:3" x14ac:dyDescent="0.2">
      <c r="B1292" t="s">
        <v>28</v>
      </c>
      <c r="C1292" t="s">
        <v>568</v>
      </c>
    </row>
    <row r="1294" spans="1:3" x14ac:dyDescent="0.2">
      <c r="A1294" t="s">
        <v>569</v>
      </c>
      <c r="B1294" t="str">
        <f>HYPERLINK("https://lindat.mff.cuni.cz/services/teitok/pdtc10/index.php?action=vallex&amp;frame=v-w243f127_ZU", "být (v-w243f127_ZU)")</f>
        <v>být (v-w243f127_ZU)</v>
      </c>
    </row>
    <row r="1295" spans="1:3" x14ac:dyDescent="0.2">
      <c r="B1295" t="s">
        <v>1</v>
      </c>
      <c r="C1295" t="s">
        <v>570</v>
      </c>
    </row>
    <row r="1296" spans="1:3" x14ac:dyDescent="0.2">
      <c r="B1296" t="s">
        <v>571</v>
      </c>
      <c r="C1296" t="s">
        <v>572</v>
      </c>
    </row>
    <row r="1297" spans="1:3" x14ac:dyDescent="0.2">
      <c r="B1297" t="s">
        <v>573</v>
      </c>
    </row>
    <row r="1299" spans="1:3" x14ac:dyDescent="0.2">
      <c r="A1299" t="s">
        <v>569</v>
      </c>
      <c r="B1299" t="str">
        <f>HYPERLINK("https://lindat.mff.cuni.cz/services/teitok/pdtc10/index.php?action=vallex&amp;frame=v-w243f126_ZU", "být (v-w243f126_ZU) - substituted with v-w243f127_ZU")</f>
        <v>být (v-w243f126_ZU) - substituted with v-w243f127_ZU</v>
      </c>
    </row>
    <row r="1300" spans="1:3" x14ac:dyDescent="0.2">
      <c r="B1300" t="s">
        <v>1</v>
      </c>
      <c r="C1300" t="s">
        <v>570</v>
      </c>
    </row>
    <row r="1301" spans="1:3" x14ac:dyDescent="0.2">
      <c r="B1301" t="s">
        <v>571</v>
      </c>
      <c r="C1301" t="s">
        <v>572</v>
      </c>
    </row>
    <row r="1302" spans="1:3" x14ac:dyDescent="0.2">
      <c r="B1302" t="s">
        <v>573</v>
      </c>
    </row>
    <row r="1304" spans="1:3" x14ac:dyDescent="0.2">
      <c r="A1304" t="s">
        <v>569</v>
      </c>
      <c r="B1304" t="str">
        <f>HYPERLINK("https://lindat.mff.cuni.cz/services/teitok/pdtc10/index.php?action=vallex&amp;frame=v-w243f66_ZU", "být (v-w243f66_ZU) - substituted with v-w243f127_ZU")</f>
        <v>být (v-w243f66_ZU) - substituted with v-w243f127_ZU</v>
      </c>
    </row>
    <row r="1305" spans="1:3" x14ac:dyDescent="0.2">
      <c r="B1305" t="s">
        <v>1</v>
      </c>
    </row>
    <row r="1306" spans="1:3" x14ac:dyDescent="0.2">
      <c r="B1306" t="s">
        <v>571</v>
      </c>
    </row>
    <row r="1307" spans="1:3" x14ac:dyDescent="0.2">
      <c r="B1307" t="s">
        <v>573</v>
      </c>
    </row>
    <row r="1309" spans="1:3" x14ac:dyDescent="0.2">
      <c r="A1309" t="s">
        <v>569</v>
      </c>
      <c r="B1309" t="str">
        <f>HYPERLINK("https://lindat.mff.cuni.cz/services/teitok/pdtc10/index.php?action=vallex&amp;frame=v-w243f67_ZU", "být (v-w243f67_ZU) - substituted with v-w243f127_ZU")</f>
        <v>být (v-w243f67_ZU) - substituted with v-w243f127_ZU</v>
      </c>
    </row>
    <row r="1310" spans="1:3" x14ac:dyDescent="0.2">
      <c r="B1310" t="s">
        <v>1</v>
      </c>
    </row>
    <row r="1311" spans="1:3" x14ac:dyDescent="0.2">
      <c r="B1311" t="s">
        <v>571</v>
      </c>
    </row>
    <row r="1312" spans="1:3" x14ac:dyDescent="0.2">
      <c r="B1312" t="s">
        <v>573</v>
      </c>
    </row>
    <row r="1314" spans="1:3" x14ac:dyDescent="0.2">
      <c r="A1314" t="s">
        <v>569</v>
      </c>
      <c r="B1314" t="str">
        <f>HYPERLINK("https://lindat.mff.cuni.cz/services/teitok/pdtc10/index.php?action=vallex&amp;frame=v-w243f82_ZU", "být (v-w243f82_ZU) - substituted with v-w243f127_ZU")</f>
        <v>být (v-w243f82_ZU) - substituted with v-w243f127_ZU</v>
      </c>
    </row>
    <row r="1315" spans="1:3" x14ac:dyDescent="0.2">
      <c r="B1315" t="s">
        <v>1</v>
      </c>
      <c r="C1315" t="s">
        <v>204</v>
      </c>
    </row>
    <row r="1316" spans="1:3" x14ac:dyDescent="0.2">
      <c r="B1316" t="s">
        <v>571</v>
      </c>
      <c r="C1316" t="s">
        <v>574</v>
      </c>
    </row>
    <row r="1317" spans="1:3" x14ac:dyDescent="0.2">
      <c r="B1317" t="s">
        <v>573</v>
      </c>
    </row>
    <row r="1319" spans="1:3" x14ac:dyDescent="0.2">
      <c r="A1319" t="s">
        <v>575</v>
      </c>
      <c r="B1319" t="str">
        <f>HYPERLINK("https://lindat.mff.cuni.cz/services/teitok/pdtc10/index.php?action=vallex&amp;frame=v-w243f57_ZU", "být (v-w243f57_ZU)")</f>
        <v>být (v-w243f57_ZU)</v>
      </c>
    </row>
    <row r="1320" spans="1:3" x14ac:dyDescent="0.2">
      <c r="B1320" t="s">
        <v>1</v>
      </c>
    </row>
    <row r="1321" spans="1:3" x14ac:dyDescent="0.2">
      <c r="B1321" t="s">
        <v>576</v>
      </c>
    </row>
    <row r="1322" spans="1:3" x14ac:dyDescent="0.2">
      <c r="B1322" t="s">
        <v>411</v>
      </c>
    </row>
    <row r="1324" spans="1:3" x14ac:dyDescent="0.2">
      <c r="A1324" t="s">
        <v>577</v>
      </c>
      <c r="B1324" t="str">
        <f>HYPERLINK("https://lindat.mff.cuni.cz/services/teitok/pdtc10/index.php?action=vallex&amp;frame=v-w243f96_ZU", "být (v-w243f96_ZU)")</f>
        <v>být (v-w243f96_ZU)</v>
      </c>
    </row>
    <row r="1325" spans="1:3" x14ac:dyDescent="0.2">
      <c r="B1325" t="s">
        <v>578</v>
      </c>
      <c r="C1325" t="s">
        <v>579</v>
      </c>
    </row>
    <row r="1326" spans="1:3" x14ac:dyDescent="0.2">
      <c r="B1326" t="s">
        <v>580</v>
      </c>
      <c r="C1326" t="s">
        <v>581</v>
      </c>
    </row>
    <row r="1327" spans="1:3" x14ac:dyDescent="0.2">
      <c r="B1327" t="s">
        <v>582</v>
      </c>
    </row>
    <row r="1329" spans="1:4" x14ac:dyDescent="0.2">
      <c r="A1329" t="s">
        <v>577</v>
      </c>
      <c r="B1329" t="str">
        <f>HYPERLINK("https://lindat.mff.cuni.cz/services/teitok/pdtc10/index.php?action=vallex&amp;frame=v-w243f11", "být (v-w243f11) - substituted with v-w243f96_ZU")</f>
        <v>být (v-w243f11) - substituted with v-w243f96_ZU</v>
      </c>
    </row>
    <row r="1330" spans="1:4" x14ac:dyDescent="0.2">
      <c r="B1330" t="s">
        <v>578</v>
      </c>
      <c r="C1330" t="s">
        <v>583</v>
      </c>
    </row>
    <row r="1331" spans="1:4" x14ac:dyDescent="0.2">
      <c r="B1331" t="s">
        <v>580</v>
      </c>
      <c r="C1331" t="s">
        <v>584</v>
      </c>
    </row>
    <row r="1332" spans="1:4" x14ac:dyDescent="0.2">
      <c r="B1332" t="s">
        <v>582</v>
      </c>
    </row>
    <row r="1334" spans="1:4" x14ac:dyDescent="0.2">
      <c r="A1334" t="s">
        <v>585</v>
      </c>
      <c r="B1334" t="str">
        <f>HYPERLINK("https://lindat.mff.cuni.cz/services/teitok/pdtc10/index.php?action=vallex&amp;frame=v-w243f95_ZU", "být (v-w243f95_ZU)")</f>
        <v>být (v-w243f95_ZU)</v>
      </c>
    </row>
    <row r="1335" spans="1:4" x14ac:dyDescent="0.2">
      <c r="B1335" t="s">
        <v>1</v>
      </c>
      <c r="D1335" t="s">
        <v>23027</v>
      </c>
    </row>
    <row r="1336" spans="1:4" x14ac:dyDescent="0.2">
      <c r="B1336" t="s">
        <v>586</v>
      </c>
    </row>
    <row r="1337" spans="1:4" x14ac:dyDescent="0.2">
      <c r="B1337" t="s">
        <v>587</v>
      </c>
      <c r="D1337" t="s">
        <v>23028</v>
      </c>
    </row>
    <row r="1339" spans="1:4" x14ac:dyDescent="0.2">
      <c r="A1339" t="s">
        <v>585</v>
      </c>
      <c r="B1339" t="str">
        <f>HYPERLINK("https://lindat.mff.cuni.cz/services/teitok/pdtc10/index.php?action=vallex&amp;frame=v-w243f14", "být (v-w243f14) - substituted with v-w243f95_ZU")</f>
        <v>být (v-w243f14) - substituted with v-w243f95_ZU</v>
      </c>
    </row>
    <row r="1340" spans="1:4" x14ac:dyDescent="0.2">
      <c r="B1340" t="s">
        <v>1</v>
      </c>
      <c r="C1340" t="s">
        <v>364</v>
      </c>
    </row>
    <row r="1341" spans="1:4" x14ac:dyDescent="0.2">
      <c r="B1341" t="s">
        <v>586</v>
      </c>
      <c r="C1341" t="s">
        <v>552</v>
      </c>
    </row>
    <row r="1342" spans="1:4" x14ac:dyDescent="0.2">
      <c r="B1342" t="s">
        <v>587</v>
      </c>
    </row>
    <row r="1344" spans="1:4" x14ac:dyDescent="0.2">
      <c r="A1344" t="s">
        <v>588</v>
      </c>
      <c r="B1344" t="str">
        <f>HYPERLINK("https://lindat.mff.cuni.cz/services/teitok/pdtc10/index.php?action=vallex&amp;frame=v-w243f8", "být (v-w243f8)")</f>
        <v>být (v-w243f8)</v>
      </c>
    </row>
    <row r="1345" spans="1:4" x14ac:dyDescent="0.2">
      <c r="B1345" t="s">
        <v>1</v>
      </c>
      <c r="C1345" t="s">
        <v>589</v>
      </c>
      <c r="D1345" t="s">
        <v>23029</v>
      </c>
    </row>
    <row r="1346" spans="1:4" x14ac:dyDescent="0.2">
      <c r="B1346" t="s">
        <v>590</v>
      </c>
    </row>
    <row r="1347" spans="1:4" x14ac:dyDescent="0.2">
      <c r="B1347" t="s">
        <v>507</v>
      </c>
      <c r="C1347" t="s">
        <v>591</v>
      </c>
      <c r="D1347" t="s">
        <v>23030</v>
      </c>
    </row>
    <row r="1349" spans="1:4" x14ac:dyDescent="0.2">
      <c r="A1349" t="s">
        <v>592</v>
      </c>
      <c r="B1349" t="str">
        <f>HYPERLINK("https://lindat.mff.cuni.cz/services/teitok/pdtc10/index.php?action=vallex&amp;frame=v-w243f94_ZU", "být (v-w243f94_ZU)")</f>
        <v>být (v-w243f94_ZU)</v>
      </c>
    </row>
    <row r="1350" spans="1:4" x14ac:dyDescent="0.2">
      <c r="B1350" t="s">
        <v>519</v>
      </c>
    </row>
    <row r="1351" spans="1:4" x14ac:dyDescent="0.2">
      <c r="B1351" t="s">
        <v>593</v>
      </c>
    </row>
    <row r="1352" spans="1:4" x14ac:dyDescent="0.2">
      <c r="B1352" t="s">
        <v>511</v>
      </c>
    </row>
    <row r="1354" spans="1:4" x14ac:dyDescent="0.2">
      <c r="A1354" t="s">
        <v>592</v>
      </c>
      <c r="B1354" t="str">
        <f>HYPERLINK("https://lindat.mff.cuni.cz/services/teitok/pdtc10/index.php?action=vallex&amp;frame=v-w243f93_ZU", "být (v-w243f93_ZU) - substituted with v-w243f94_ZU")</f>
        <v>být (v-w243f93_ZU) - substituted with v-w243f94_ZU</v>
      </c>
    </row>
    <row r="1355" spans="1:4" x14ac:dyDescent="0.2">
      <c r="B1355" t="s">
        <v>519</v>
      </c>
    </row>
    <row r="1356" spans="1:4" x14ac:dyDescent="0.2">
      <c r="B1356" t="s">
        <v>593</v>
      </c>
    </row>
    <row r="1357" spans="1:4" x14ac:dyDescent="0.2">
      <c r="B1357" t="s">
        <v>511</v>
      </c>
    </row>
    <row r="1359" spans="1:4" x14ac:dyDescent="0.2">
      <c r="A1359" t="s">
        <v>594</v>
      </c>
      <c r="B1359" t="str">
        <f>HYPERLINK("https://lindat.mff.cuni.cz/services/teitok/pdtc10/index.php?action=vallex&amp;frame=v-w243f87_ZU", "být (v-w243f87_ZU)")</f>
        <v>být (v-w243f87_ZU)</v>
      </c>
    </row>
    <row r="1360" spans="1:4" x14ac:dyDescent="0.2">
      <c r="B1360" t="s">
        <v>595</v>
      </c>
      <c r="C1360" t="s">
        <v>364</v>
      </c>
    </row>
    <row r="1361" spans="1:3" x14ac:dyDescent="0.2">
      <c r="B1361" t="s">
        <v>596</v>
      </c>
      <c r="C1361" t="s">
        <v>552</v>
      </c>
    </row>
    <row r="1362" spans="1:3" x14ac:dyDescent="0.2">
      <c r="B1362" t="s">
        <v>511</v>
      </c>
    </row>
    <row r="1364" spans="1:3" x14ac:dyDescent="0.2">
      <c r="A1364" t="s">
        <v>594</v>
      </c>
      <c r="B1364" t="str">
        <f>HYPERLINK("https://lindat.mff.cuni.cz/services/teitok/pdtc10/index.php?action=vallex&amp;frame=v-w243f81_ZU", "být (v-w243f81_ZU) - substituted with v-w243f87_ZU")</f>
        <v>být (v-w243f81_ZU) - substituted with v-w243f87_ZU</v>
      </c>
    </row>
    <row r="1365" spans="1:3" x14ac:dyDescent="0.2">
      <c r="B1365" t="s">
        <v>595</v>
      </c>
    </row>
    <row r="1366" spans="1:3" x14ac:dyDescent="0.2">
      <c r="B1366" t="s">
        <v>596</v>
      </c>
    </row>
    <row r="1367" spans="1:3" x14ac:dyDescent="0.2">
      <c r="B1367" t="s">
        <v>511</v>
      </c>
    </row>
    <row r="1369" spans="1:3" x14ac:dyDescent="0.2">
      <c r="A1369" t="s">
        <v>594</v>
      </c>
      <c r="B1369" t="str">
        <f>HYPERLINK("https://lindat.mff.cuni.cz/services/teitok/pdtc10/index.php?action=vallex&amp;frame=v-w243f86_ZU", "být (v-w243f86_ZU) - substituted with v-w243f87_ZU")</f>
        <v>být (v-w243f86_ZU) - substituted with v-w243f87_ZU</v>
      </c>
    </row>
    <row r="1370" spans="1:3" x14ac:dyDescent="0.2">
      <c r="B1370" t="s">
        <v>595</v>
      </c>
    </row>
    <row r="1371" spans="1:3" x14ac:dyDescent="0.2">
      <c r="B1371" t="s">
        <v>596</v>
      </c>
    </row>
    <row r="1372" spans="1:3" x14ac:dyDescent="0.2">
      <c r="B1372" t="s">
        <v>511</v>
      </c>
    </row>
    <row r="1374" spans="1:3" x14ac:dyDescent="0.2">
      <c r="A1374" t="s">
        <v>597</v>
      </c>
      <c r="B1374" t="str">
        <f>HYPERLINK("https://lindat.mff.cuni.cz/services/teitok/pdtc10/index.php?action=vallex&amp;frame=v-w243f92_ZU", "být (v-w243f92_ZU)")</f>
        <v>být (v-w243f92_ZU)</v>
      </c>
    </row>
    <row r="1375" spans="1:3" x14ac:dyDescent="0.2">
      <c r="B1375" t="s">
        <v>598</v>
      </c>
    </row>
    <row r="1376" spans="1:3" x14ac:dyDescent="0.2">
      <c r="B1376" t="s">
        <v>599</v>
      </c>
    </row>
    <row r="1377" spans="1:3" x14ac:dyDescent="0.2">
      <c r="B1377" t="s">
        <v>511</v>
      </c>
    </row>
    <row r="1379" spans="1:3" x14ac:dyDescent="0.2">
      <c r="A1379" t="s">
        <v>600</v>
      </c>
      <c r="B1379" t="str">
        <f>HYPERLINK("https://lindat.mff.cuni.cz/services/teitok/pdtc10/index.php?action=vallex&amp;frame=v-w243f28", "být (v-w243f28)")</f>
        <v>být (v-w243f28)</v>
      </c>
    </row>
    <row r="1380" spans="1:3" x14ac:dyDescent="0.2">
      <c r="B1380" t="s">
        <v>601</v>
      </c>
    </row>
    <row r="1381" spans="1:3" x14ac:dyDescent="0.2">
      <c r="B1381" t="s">
        <v>602</v>
      </c>
    </row>
    <row r="1383" spans="1:3" x14ac:dyDescent="0.2">
      <c r="A1383" t="s">
        <v>603</v>
      </c>
      <c r="B1383" t="str">
        <f>HYPERLINK("https://lindat.mff.cuni.cz/services/teitok/pdtc10/index.php?action=vallex&amp;frame=v-w243f35", "být (v-w243f35)")</f>
        <v>být (v-w243f35)</v>
      </c>
    </row>
    <row r="1384" spans="1:3" x14ac:dyDescent="0.2">
      <c r="B1384" t="s">
        <v>604</v>
      </c>
    </row>
    <row r="1385" spans="1:3" x14ac:dyDescent="0.2">
      <c r="B1385" t="s">
        <v>605</v>
      </c>
    </row>
    <row r="1387" spans="1:3" x14ac:dyDescent="0.2">
      <c r="A1387" t="s">
        <v>606</v>
      </c>
      <c r="B1387" t="str">
        <f>HYPERLINK("https://lindat.mff.cuni.cz/services/teitok/pdtc10/index.php?action=vallex&amp;frame=v-w243f9", "být (v-w243f9)")</f>
        <v>být (v-w243f9)</v>
      </c>
    </row>
    <row r="1388" spans="1:3" x14ac:dyDescent="0.2">
      <c r="B1388" t="s">
        <v>607</v>
      </c>
      <c r="C1388" t="s">
        <v>364</v>
      </c>
    </row>
    <row r="1389" spans="1:3" x14ac:dyDescent="0.2">
      <c r="B1389" t="s">
        <v>608</v>
      </c>
      <c r="C1389" t="s">
        <v>552</v>
      </c>
    </row>
    <row r="1391" spans="1:3" x14ac:dyDescent="0.2">
      <c r="A1391" t="s">
        <v>609</v>
      </c>
      <c r="B1391" t="str">
        <f>HYPERLINK("https://lindat.mff.cuni.cz/services/teitok/pdtc10/index.php?action=vallex&amp;frame=v-w243f29", "být (v-w243f29)")</f>
        <v>být (v-w243f29)</v>
      </c>
    </row>
    <row r="1392" spans="1:3" x14ac:dyDescent="0.2">
      <c r="B1392" t="s">
        <v>488</v>
      </c>
    </row>
    <row r="1393" spans="1:4" x14ac:dyDescent="0.2">
      <c r="B1393" t="s">
        <v>610</v>
      </c>
    </row>
    <row r="1395" spans="1:4" x14ac:dyDescent="0.2">
      <c r="A1395" t="s">
        <v>611</v>
      </c>
      <c r="B1395" t="str">
        <f>HYPERLINK("https://lindat.mff.cuni.cz/services/teitok/pdtc10/index.php?action=vallex&amp;frame=v-w243f51", "být (v-w243f51)")</f>
        <v>být (v-w243f51)</v>
      </c>
    </row>
    <row r="1396" spans="1:4" x14ac:dyDescent="0.2">
      <c r="B1396" t="s">
        <v>1</v>
      </c>
    </row>
    <row r="1397" spans="1:4" x14ac:dyDescent="0.2">
      <c r="B1397" t="s">
        <v>612</v>
      </c>
    </row>
    <row r="1399" spans="1:4" x14ac:dyDescent="0.2">
      <c r="A1399" t="s">
        <v>613</v>
      </c>
      <c r="B1399" t="str">
        <f>HYPERLINK("https://lindat.mff.cuni.cz/services/teitok/pdtc10/index.php?action=vallex&amp;frame=v-w243f5", "být (v-w243f5)")</f>
        <v>být (v-w243f5)</v>
      </c>
    </row>
    <row r="1400" spans="1:4" x14ac:dyDescent="0.2">
      <c r="B1400" t="s">
        <v>1</v>
      </c>
      <c r="C1400" t="s">
        <v>614</v>
      </c>
      <c r="D1400" t="s">
        <v>23031</v>
      </c>
    </row>
    <row r="1401" spans="1:4" x14ac:dyDescent="0.2">
      <c r="B1401" t="s">
        <v>615</v>
      </c>
      <c r="C1401" t="s">
        <v>616</v>
      </c>
    </row>
    <row r="1403" spans="1:4" x14ac:dyDescent="0.2">
      <c r="A1403" t="s">
        <v>617</v>
      </c>
      <c r="B1403" t="str">
        <f>HYPERLINK("https://lindat.mff.cuni.cz/services/teitok/pdtc10/index.php?action=vallex&amp;frame=v-w243f38", "být (v-w243f38)")</f>
        <v>být (v-w243f38)</v>
      </c>
    </row>
    <row r="1404" spans="1:4" x14ac:dyDescent="0.2">
      <c r="B1404" t="s">
        <v>1</v>
      </c>
    </row>
    <row r="1405" spans="1:4" x14ac:dyDescent="0.2">
      <c r="B1405" t="s">
        <v>618</v>
      </c>
    </row>
    <row r="1407" spans="1:4" x14ac:dyDescent="0.2">
      <c r="A1407" t="s">
        <v>619</v>
      </c>
      <c r="B1407" t="str">
        <f>HYPERLINK("https://lindat.mff.cuni.cz/services/teitok/pdtc10/index.php?action=vallex&amp;frame=v-w243f20", "být (v-w243f20)")</f>
        <v>být (v-w243f20)</v>
      </c>
    </row>
    <row r="1408" spans="1:4" x14ac:dyDescent="0.2">
      <c r="B1408" t="s">
        <v>1</v>
      </c>
    </row>
    <row r="1409" spans="1:2" x14ac:dyDescent="0.2">
      <c r="B1409" t="s">
        <v>620</v>
      </c>
    </row>
    <row r="1411" spans="1:2" x14ac:dyDescent="0.2">
      <c r="A1411" t="s">
        <v>621</v>
      </c>
      <c r="B1411" t="str">
        <f>HYPERLINK("https://lindat.mff.cuni.cz/services/teitok/pdtc10/index.php?action=vallex&amp;frame=v-w243f46", "být (v-w243f46)")</f>
        <v>být (v-w243f46)</v>
      </c>
    </row>
    <row r="1412" spans="1:2" x14ac:dyDescent="0.2">
      <c r="B1412" t="s">
        <v>1</v>
      </c>
    </row>
    <row r="1413" spans="1:2" x14ac:dyDescent="0.2">
      <c r="B1413" t="s">
        <v>622</v>
      </c>
    </row>
    <row r="1415" spans="1:2" x14ac:dyDescent="0.2">
      <c r="A1415" t="s">
        <v>623</v>
      </c>
      <c r="B1415" t="str">
        <f>HYPERLINK("https://lindat.mff.cuni.cz/services/teitok/pdtc10/index.php?action=vallex&amp;frame=v-w243f50", "být (v-w243f50)")</f>
        <v>být (v-w243f50)</v>
      </c>
    </row>
    <row r="1416" spans="1:2" x14ac:dyDescent="0.2">
      <c r="B1416" t="s">
        <v>1</v>
      </c>
    </row>
    <row r="1417" spans="1:2" x14ac:dyDescent="0.2">
      <c r="B1417" t="s">
        <v>624</v>
      </c>
    </row>
    <row r="1419" spans="1:2" x14ac:dyDescent="0.2">
      <c r="A1419" t="s">
        <v>625</v>
      </c>
      <c r="B1419" t="str">
        <f>HYPERLINK("https://lindat.mff.cuni.cz/services/teitok/pdtc10/index.php?action=vallex&amp;frame=v-w243f52", "být (v-w243f52)")</f>
        <v>být (v-w243f52)</v>
      </c>
    </row>
    <row r="1420" spans="1:2" x14ac:dyDescent="0.2">
      <c r="B1420" t="s">
        <v>1</v>
      </c>
    </row>
    <row r="1421" spans="1:2" x14ac:dyDescent="0.2">
      <c r="B1421" t="s">
        <v>626</v>
      </c>
    </row>
    <row r="1423" spans="1:2" x14ac:dyDescent="0.2">
      <c r="A1423" t="s">
        <v>627</v>
      </c>
      <c r="B1423" t="str">
        <f>HYPERLINK("https://lindat.mff.cuni.cz/services/teitok/pdtc10/index.php?action=vallex&amp;frame=v-w243f49", "být (v-w243f49)")</f>
        <v>být (v-w243f49)</v>
      </c>
    </row>
    <row r="1424" spans="1:2" x14ac:dyDescent="0.2">
      <c r="B1424" t="s">
        <v>1</v>
      </c>
    </row>
    <row r="1425" spans="1:4" x14ac:dyDescent="0.2">
      <c r="B1425" t="s">
        <v>628</v>
      </c>
    </row>
    <row r="1427" spans="1:4" x14ac:dyDescent="0.2">
      <c r="A1427" t="s">
        <v>629</v>
      </c>
      <c r="B1427" t="str">
        <f>HYPERLINK("https://lindat.mff.cuni.cz/services/teitok/pdtc10/index.php?action=vallex&amp;frame=v-w243f37", "být (v-w243f37)")</f>
        <v>být (v-w243f37)</v>
      </c>
    </row>
    <row r="1428" spans="1:4" x14ac:dyDescent="0.2">
      <c r="B1428" t="s">
        <v>1</v>
      </c>
      <c r="D1428" t="s">
        <v>23026</v>
      </c>
    </row>
    <row r="1429" spans="1:4" x14ac:dyDescent="0.2">
      <c r="B1429" t="s">
        <v>630</v>
      </c>
    </row>
    <row r="1431" spans="1:4" x14ac:dyDescent="0.2">
      <c r="A1431" t="s">
        <v>631</v>
      </c>
      <c r="B1431" t="str">
        <f>HYPERLINK("https://lindat.mff.cuni.cz/services/teitok/pdtc10/index.php?action=vallex&amp;frame=v-w243f24", "být (v-w243f24)")</f>
        <v>být (v-w243f24)</v>
      </c>
    </row>
    <row r="1432" spans="1:4" x14ac:dyDescent="0.2">
      <c r="B1432" t="s">
        <v>1</v>
      </c>
    </row>
    <row r="1433" spans="1:4" x14ac:dyDescent="0.2">
      <c r="B1433" t="s">
        <v>632</v>
      </c>
    </row>
    <row r="1435" spans="1:4" x14ac:dyDescent="0.2">
      <c r="A1435" t="s">
        <v>633</v>
      </c>
      <c r="B1435" t="str">
        <f>HYPERLINK("https://lindat.mff.cuni.cz/services/teitok/pdtc10/index.php?action=vallex&amp;frame=v-w243f40", "být (v-w243f40)")</f>
        <v>být (v-w243f40)</v>
      </c>
    </row>
    <row r="1436" spans="1:4" x14ac:dyDescent="0.2">
      <c r="B1436" t="s">
        <v>1</v>
      </c>
    </row>
    <row r="1437" spans="1:4" x14ac:dyDescent="0.2">
      <c r="B1437" t="s">
        <v>634</v>
      </c>
    </row>
    <row r="1439" spans="1:4" x14ac:dyDescent="0.2">
      <c r="A1439" t="s">
        <v>635</v>
      </c>
      <c r="B1439" t="str">
        <f>HYPERLINK("https://lindat.mff.cuni.cz/services/teitok/pdtc10/index.php?action=vallex&amp;frame=v-w243f42", "být (v-w243f42)")</f>
        <v>být (v-w243f42)</v>
      </c>
    </row>
    <row r="1440" spans="1:4" x14ac:dyDescent="0.2">
      <c r="B1440" t="s">
        <v>1</v>
      </c>
    </row>
    <row r="1441" spans="1:3" x14ac:dyDescent="0.2">
      <c r="B1441" t="s">
        <v>636</v>
      </c>
    </row>
    <row r="1443" spans="1:3" x14ac:dyDescent="0.2">
      <c r="A1443" t="s">
        <v>637</v>
      </c>
      <c r="B1443" t="str">
        <f>HYPERLINK("https://lindat.mff.cuni.cz/services/teitok/pdtc10/index.php?action=vallex&amp;frame=v-w243f32", "být (v-w243f32)")</f>
        <v>být (v-w243f32)</v>
      </c>
    </row>
    <row r="1444" spans="1:3" x14ac:dyDescent="0.2">
      <c r="B1444" t="s">
        <v>1</v>
      </c>
      <c r="C1444" t="s">
        <v>570</v>
      </c>
    </row>
    <row r="1445" spans="1:3" x14ac:dyDescent="0.2">
      <c r="B1445" t="s">
        <v>638</v>
      </c>
      <c r="C1445" t="s">
        <v>572</v>
      </c>
    </row>
    <row r="1447" spans="1:3" x14ac:dyDescent="0.2">
      <c r="A1447" t="s">
        <v>639</v>
      </c>
      <c r="B1447" t="str">
        <f>HYPERLINK("https://lindat.mff.cuni.cz/services/teitok/pdtc10/index.php?action=vallex&amp;frame=v-w243f44", "být (v-w243f44)")</f>
        <v>být (v-w243f44)</v>
      </c>
    </row>
    <row r="1448" spans="1:3" x14ac:dyDescent="0.2">
      <c r="B1448" t="s">
        <v>1</v>
      </c>
    </row>
    <row r="1449" spans="1:3" x14ac:dyDescent="0.2">
      <c r="B1449" t="s">
        <v>640</v>
      </c>
    </row>
    <row r="1451" spans="1:3" x14ac:dyDescent="0.2">
      <c r="A1451" t="s">
        <v>641</v>
      </c>
      <c r="B1451" t="str">
        <f>HYPERLINK("https://lindat.mff.cuni.cz/services/teitok/pdtc10/index.php?action=vallex&amp;frame=v-w243f15", "být (v-w243f15)")</f>
        <v>být (v-w243f15)</v>
      </c>
    </row>
    <row r="1452" spans="1:3" x14ac:dyDescent="0.2">
      <c r="B1452" t="s">
        <v>1</v>
      </c>
      <c r="C1452" t="s">
        <v>570</v>
      </c>
    </row>
    <row r="1453" spans="1:3" x14ac:dyDescent="0.2">
      <c r="B1453" t="s">
        <v>642</v>
      </c>
      <c r="C1453" t="s">
        <v>572</v>
      </c>
    </row>
    <row r="1455" spans="1:3" x14ac:dyDescent="0.2">
      <c r="A1455" t="s">
        <v>643</v>
      </c>
      <c r="B1455" t="str">
        <f>HYPERLINK("https://lindat.mff.cuni.cz/services/teitok/pdtc10/index.php?action=vallex&amp;frame=v-w243f48", "být (v-w243f48)")</f>
        <v>být (v-w243f48)</v>
      </c>
    </row>
    <row r="1456" spans="1:3" x14ac:dyDescent="0.2">
      <c r="B1456" t="s">
        <v>1</v>
      </c>
    </row>
    <row r="1457" spans="1:4" x14ac:dyDescent="0.2">
      <c r="B1457" t="s">
        <v>644</v>
      </c>
    </row>
    <row r="1459" spans="1:4" x14ac:dyDescent="0.2">
      <c r="A1459" t="s">
        <v>645</v>
      </c>
      <c r="B1459" t="str">
        <f>HYPERLINK("https://lindat.mff.cuni.cz/services/teitok/pdtc10/index.php?action=vallex&amp;frame=v-w243f41", "být (v-w243f41)")</f>
        <v>být (v-w243f41)</v>
      </c>
    </row>
    <row r="1460" spans="1:4" x14ac:dyDescent="0.2">
      <c r="B1460" t="s">
        <v>1</v>
      </c>
      <c r="D1460" t="s">
        <v>23032</v>
      </c>
    </row>
    <row r="1461" spans="1:4" x14ac:dyDescent="0.2">
      <c r="B1461" t="s">
        <v>646</v>
      </c>
      <c r="C1461" t="s">
        <v>647</v>
      </c>
    </row>
    <row r="1463" spans="1:4" x14ac:dyDescent="0.2">
      <c r="A1463" t="s">
        <v>648</v>
      </c>
      <c r="B1463" t="str">
        <f>HYPERLINK("https://lindat.mff.cuni.cz/services/teitok/pdtc10/index.php?action=vallex&amp;frame=v-w243f33", "být (v-w243f33)")</f>
        <v>být (v-w243f33)</v>
      </c>
    </row>
    <row r="1464" spans="1:4" x14ac:dyDescent="0.2">
      <c r="B1464" t="s">
        <v>1</v>
      </c>
    </row>
    <row r="1465" spans="1:4" x14ac:dyDescent="0.2">
      <c r="B1465" t="s">
        <v>649</v>
      </c>
    </row>
    <row r="1467" spans="1:4" x14ac:dyDescent="0.2">
      <c r="A1467" t="s">
        <v>650</v>
      </c>
      <c r="B1467" t="str">
        <f>HYPERLINK("https://lindat.mff.cuni.cz/services/teitok/pdtc10/index.php?action=vallex&amp;frame=v-w243f45", "být (v-w243f45)")</f>
        <v>být (v-w243f45)</v>
      </c>
    </row>
    <row r="1468" spans="1:4" x14ac:dyDescent="0.2">
      <c r="B1468" t="s">
        <v>1</v>
      </c>
      <c r="C1468" t="s">
        <v>651</v>
      </c>
    </row>
    <row r="1469" spans="1:4" x14ac:dyDescent="0.2">
      <c r="B1469" t="s">
        <v>652</v>
      </c>
      <c r="C1469" t="s">
        <v>653</v>
      </c>
    </row>
    <row r="1471" spans="1:4" x14ac:dyDescent="0.2">
      <c r="A1471" t="s">
        <v>654</v>
      </c>
      <c r="B1471" t="str">
        <f>HYPERLINK("https://lindat.mff.cuni.cz/services/teitok/pdtc10/index.php?action=vallex&amp;frame=v-w243f30", "být (v-w243f30)")</f>
        <v>být (v-w243f30)</v>
      </c>
    </row>
    <row r="1472" spans="1:4" x14ac:dyDescent="0.2">
      <c r="B1472" t="s">
        <v>1</v>
      </c>
    </row>
    <row r="1473" spans="1:3" x14ac:dyDescent="0.2">
      <c r="B1473" t="s">
        <v>655</v>
      </c>
    </row>
    <row r="1475" spans="1:3" x14ac:dyDescent="0.2">
      <c r="A1475" t="s">
        <v>656</v>
      </c>
      <c r="B1475" t="str">
        <f>HYPERLINK("https://lindat.mff.cuni.cz/services/teitok/pdtc10/index.php?action=vallex&amp;frame=v-w243f27", "být (v-w243f27)")</f>
        <v>být (v-w243f27)</v>
      </c>
    </row>
    <row r="1476" spans="1:3" x14ac:dyDescent="0.2">
      <c r="B1476" t="s">
        <v>1</v>
      </c>
    </row>
    <row r="1477" spans="1:3" x14ac:dyDescent="0.2">
      <c r="B1477" t="s">
        <v>657</v>
      </c>
    </row>
    <row r="1479" spans="1:3" x14ac:dyDescent="0.2">
      <c r="A1479" t="s">
        <v>658</v>
      </c>
      <c r="B1479" t="str">
        <f>HYPERLINK("https://lindat.mff.cuni.cz/services/teitok/pdtc10/index.php?action=vallex&amp;frame=v-w243f19", "být (v-w243f19)")</f>
        <v>být (v-w243f19)</v>
      </c>
    </row>
    <row r="1480" spans="1:3" x14ac:dyDescent="0.2">
      <c r="B1480" t="s">
        <v>659</v>
      </c>
    </row>
    <row r="1481" spans="1:3" x14ac:dyDescent="0.2">
      <c r="B1481" t="s">
        <v>660</v>
      </c>
      <c r="C1481" t="s">
        <v>661</v>
      </c>
    </row>
    <row r="1483" spans="1:3" x14ac:dyDescent="0.2">
      <c r="A1483" t="s">
        <v>662</v>
      </c>
      <c r="B1483" t="str">
        <f>HYPERLINK("https://lindat.mff.cuni.cz/services/teitok/pdtc10/index.php?action=vallex&amp;frame=v-w243f23", "být (v-w243f23)")</f>
        <v>být (v-w243f23)</v>
      </c>
    </row>
    <row r="1484" spans="1:3" x14ac:dyDescent="0.2">
      <c r="B1484" t="s">
        <v>663</v>
      </c>
    </row>
    <row r="1485" spans="1:3" x14ac:dyDescent="0.2">
      <c r="B1485" t="s">
        <v>664</v>
      </c>
      <c r="C1485" t="s">
        <v>552</v>
      </c>
    </row>
    <row r="1487" spans="1:3" x14ac:dyDescent="0.2">
      <c r="A1487" t="s">
        <v>665</v>
      </c>
      <c r="B1487" t="str">
        <f>HYPERLINK("https://lindat.mff.cuni.cz/services/teitok/pdtc10/index.php?action=vallex&amp;frame=v-w243f77_ZU", "být (v-w243f77_ZU)")</f>
        <v>být (v-w243f77_ZU)</v>
      </c>
    </row>
    <row r="1488" spans="1:3" x14ac:dyDescent="0.2">
      <c r="B1488" t="s">
        <v>666</v>
      </c>
    </row>
    <row r="1489" spans="1:3" x14ac:dyDescent="0.2">
      <c r="B1489" t="s">
        <v>667</v>
      </c>
      <c r="C1489" t="s">
        <v>661</v>
      </c>
    </row>
    <row r="1491" spans="1:3" x14ac:dyDescent="0.2">
      <c r="A1491" t="s">
        <v>668</v>
      </c>
      <c r="B1491" t="str">
        <f>HYPERLINK("https://lindat.mff.cuni.cz/services/teitok/pdtc10/index.php?action=vallex&amp;frame=v-w243f59_ZU", "být (v-w243f59_ZU)")</f>
        <v>být (v-w243f59_ZU)</v>
      </c>
    </row>
    <row r="1492" spans="1:3" x14ac:dyDescent="0.2">
      <c r="B1492" t="s">
        <v>479</v>
      </c>
      <c r="C1492" t="s">
        <v>669</v>
      </c>
    </row>
    <row r="1493" spans="1:3" x14ac:dyDescent="0.2">
      <c r="B1493" t="s">
        <v>670</v>
      </c>
    </row>
    <row r="1495" spans="1:3" x14ac:dyDescent="0.2">
      <c r="A1495" t="s">
        <v>668</v>
      </c>
      <c r="B1495" t="str">
        <f>HYPERLINK("https://lindat.mff.cuni.cz/services/teitok/pdtc10/index.php?action=vallex&amp;frame=v-w243f31", "být (v-w243f31) - substituted with v-w243f59_ZU")</f>
        <v>být (v-w243f31) - substituted with v-w243f59_ZU</v>
      </c>
    </row>
    <row r="1496" spans="1:3" x14ac:dyDescent="0.2">
      <c r="B1496" t="s">
        <v>479</v>
      </c>
    </row>
    <row r="1497" spans="1:3" x14ac:dyDescent="0.2">
      <c r="B1497" t="s">
        <v>670</v>
      </c>
    </row>
    <row r="1499" spans="1:3" x14ac:dyDescent="0.2">
      <c r="A1499" t="s">
        <v>671</v>
      </c>
      <c r="B1499" t="str">
        <f>HYPERLINK("https://lindat.mff.cuni.cz/services/teitok/pdtc10/index.php?action=vallex&amp;frame=v-w243f88_ZU", "být (v-w243f88_ZU)")</f>
        <v>být (v-w243f88_ZU)</v>
      </c>
    </row>
    <row r="1500" spans="1:3" x14ac:dyDescent="0.2">
      <c r="B1500" t="s">
        <v>1</v>
      </c>
      <c r="C1500" t="s">
        <v>140</v>
      </c>
    </row>
    <row r="1501" spans="1:3" x14ac:dyDescent="0.2">
      <c r="B1501" t="s">
        <v>672</v>
      </c>
    </row>
    <row r="1503" spans="1:3" x14ac:dyDescent="0.2">
      <c r="A1503" t="s">
        <v>673</v>
      </c>
      <c r="B1503" t="str">
        <f>HYPERLINK("https://lindat.mff.cuni.cz/services/teitok/pdtc10/index.php?action=vallex&amp;frame=v-w243f172_ZU", "být (v-w243f172_ZU)")</f>
        <v>být (v-w243f172_ZU)</v>
      </c>
    </row>
    <row r="1504" spans="1:3" x14ac:dyDescent="0.2">
      <c r="B1504" t="s">
        <v>1</v>
      </c>
    </row>
    <row r="1505" spans="1:3" x14ac:dyDescent="0.2">
      <c r="B1505" t="s">
        <v>674</v>
      </c>
    </row>
    <row r="1507" spans="1:3" x14ac:dyDescent="0.2">
      <c r="A1507" t="s">
        <v>673</v>
      </c>
      <c r="B1507" t="str">
        <f>HYPERLINK("https://lindat.mff.cuni.cz/services/teitok/pdtc10/index.php?action=vallex&amp;frame=v-w243f171_ZU", "být (v-w243f171_ZU) - substituted with v-w243f172_ZU")</f>
        <v>být (v-w243f171_ZU) - substituted with v-w243f172_ZU</v>
      </c>
    </row>
    <row r="1508" spans="1:3" x14ac:dyDescent="0.2">
      <c r="B1508" t="s">
        <v>1</v>
      </c>
    </row>
    <row r="1509" spans="1:3" x14ac:dyDescent="0.2">
      <c r="B1509" t="s">
        <v>674</v>
      </c>
    </row>
    <row r="1511" spans="1:3" x14ac:dyDescent="0.2">
      <c r="A1511" t="s">
        <v>673</v>
      </c>
      <c r="B1511" t="str">
        <f>HYPERLINK("https://lindat.mff.cuni.cz/services/teitok/pdtc10/index.php?action=vallex&amp;frame=v-w243f90_ZU", "být (v-w243f90_ZU) - substituted with v-w243f172_ZU")</f>
        <v>být (v-w243f90_ZU) - substituted with v-w243f172_ZU</v>
      </c>
    </row>
    <row r="1512" spans="1:3" x14ac:dyDescent="0.2">
      <c r="B1512" t="s">
        <v>1</v>
      </c>
    </row>
    <row r="1513" spans="1:3" x14ac:dyDescent="0.2">
      <c r="B1513" t="s">
        <v>674</v>
      </c>
    </row>
    <row r="1515" spans="1:3" x14ac:dyDescent="0.2">
      <c r="A1515" t="s">
        <v>675</v>
      </c>
      <c r="B1515" t="str">
        <f>HYPERLINK("https://lindat.mff.cuni.cz/services/teitok/pdtc10/index.php?action=vallex&amp;frame=v-w243f68_ZU", "být (v-w243f68_ZU)")</f>
        <v>být (v-w243f68_ZU)</v>
      </c>
    </row>
    <row r="1516" spans="1:3" x14ac:dyDescent="0.2">
      <c r="B1516" t="s">
        <v>1</v>
      </c>
      <c r="C1516" t="s">
        <v>676</v>
      </c>
    </row>
    <row r="1517" spans="1:3" x14ac:dyDescent="0.2">
      <c r="B1517" t="s">
        <v>677</v>
      </c>
      <c r="C1517" t="s">
        <v>552</v>
      </c>
    </row>
    <row r="1519" spans="1:3" x14ac:dyDescent="0.2">
      <c r="A1519" t="s">
        <v>678</v>
      </c>
      <c r="B1519" t="str">
        <f>HYPERLINK("https://lindat.mff.cuni.cz/services/teitok/pdtc10/index.php?action=vallex&amp;frame=v-w243f64_ZU", "být (v-w243f64_ZU)")</f>
        <v>být (v-w243f64_ZU)</v>
      </c>
    </row>
    <row r="1520" spans="1:3" x14ac:dyDescent="0.2">
      <c r="B1520" t="s">
        <v>1</v>
      </c>
      <c r="C1520" t="s">
        <v>679</v>
      </c>
    </row>
    <row r="1521" spans="1:4" x14ac:dyDescent="0.2">
      <c r="B1521" t="s">
        <v>680</v>
      </c>
      <c r="C1521" t="s">
        <v>552</v>
      </c>
    </row>
    <row r="1523" spans="1:4" x14ac:dyDescent="0.2">
      <c r="A1523" t="s">
        <v>681</v>
      </c>
      <c r="B1523" t="str">
        <f>HYPERLINK("https://lindat.mff.cuni.cz/services/teitok/pdtc10/index.php?action=vallex&amp;frame=v-w243f74_ZU", "být (v-w243f74_ZU)")</f>
        <v>být (v-w243f74_ZU)</v>
      </c>
    </row>
    <row r="1524" spans="1:4" x14ac:dyDescent="0.2">
      <c r="B1524" t="s">
        <v>1</v>
      </c>
      <c r="C1524" t="s">
        <v>682</v>
      </c>
    </row>
    <row r="1525" spans="1:4" x14ac:dyDescent="0.2">
      <c r="B1525" t="s">
        <v>683</v>
      </c>
      <c r="C1525" t="s">
        <v>684</v>
      </c>
    </row>
    <row r="1527" spans="1:4" x14ac:dyDescent="0.2">
      <c r="A1527" t="s">
        <v>685</v>
      </c>
      <c r="B1527" t="str">
        <f>HYPERLINK("https://lindat.mff.cuni.cz/services/teitok/pdtc10/index.php?action=vallex&amp;frame=v-w243f89_ZU", "být (v-w243f89_ZU)")</f>
        <v>být (v-w243f89_ZU)</v>
      </c>
    </row>
    <row r="1528" spans="1:4" x14ac:dyDescent="0.2">
      <c r="B1528" t="s">
        <v>1</v>
      </c>
    </row>
    <row r="1529" spans="1:4" x14ac:dyDescent="0.2">
      <c r="B1529" t="s">
        <v>686</v>
      </c>
    </row>
    <row r="1531" spans="1:4" x14ac:dyDescent="0.2">
      <c r="A1531" t="s">
        <v>685</v>
      </c>
      <c r="B1531" t="str">
        <f>HYPERLINK("https://lindat.mff.cuni.cz/services/teitok/pdtc10/index.php?action=vallex&amp;frame=v-w243f73_ZU", "být (v-w243f73_ZU) - substituted with v-w243f89_ZU")</f>
        <v>být (v-w243f73_ZU) - substituted with v-w243f89_ZU</v>
      </c>
    </row>
    <row r="1532" spans="1:4" x14ac:dyDescent="0.2">
      <c r="B1532" t="s">
        <v>1</v>
      </c>
    </row>
    <row r="1533" spans="1:4" x14ac:dyDescent="0.2">
      <c r="B1533" t="s">
        <v>686</v>
      </c>
    </row>
    <row r="1535" spans="1:4" x14ac:dyDescent="0.2">
      <c r="A1535" t="s">
        <v>687</v>
      </c>
      <c r="B1535" t="str">
        <f>HYPERLINK("https://lindat.mff.cuni.cz/services/teitok/pdtc10/index.php?action=vallex&amp;frame=v-w243f55_ZU", "být (v-w243f55_ZU)")</f>
        <v>být (v-w243f55_ZU)</v>
      </c>
    </row>
    <row r="1536" spans="1:4" x14ac:dyDescent="0.2">
      <c r="B1536" t="s">
        <v>1</v>
      </c>
      <c r="C1536" t="s">
        <v>204</v>
      </c>
      <c r="D1536" t="s">
        <v>23029</v>
      </c>
    </row>
    <row r="1537" spans="1:4" x14ac:dyDescent="0.2">
      <c r="B1537" t="s">
        <v>688</v>
      </c>
      <c r="C1537" t="s">
        <v>574</v>
      </c>
      <c r="D1537" t="s">
        <v>23033</v>
      </c>
    </row>
    <row r="1539" spans="1:4" x14ac:dyDescent="0.2">
      <c r="A1539" t="s">
        <v>689</v>
      </c>
      <c r="B1539" t="str">
        <f>HYPERLINK("https://lindat.mff.cuni.cz/services/teitok/pdtc10/index.php?action=vallex&amp;frame=v-w243f91_ZU", "být (v-w243f91_ZU)")</f>
        <v>být (v-w243f91_ZU)</v>
      </c>
    </row>
    <row r="1540" spans="1:4" x14ac:dyDescent="0.2">
      <c r="B1540" t="s">
        <v>1</v>
      </c>
      <c r="C1540" t="s">
        <v>204</v>
      </c>
    </row>
    <row r="1541" spans="1:4" x14ac:dyDescent="0.2">
      <c r="B1541" t="s">
        <v>690</v>
      </c>
      <c r="C1541" t="s">
        <v>574</v>
      </c>
    </row>
    <row r="1543" spans="1:4" x14ac:dyDescent="0.2">
      <c r="A1543" t="s">
        <v>691</v>
      </c>
      <c r="B1543" t="str">
        <f>HYPERLINK("https://lindat.mff.cuni.cz/services/teitok/pdtc10/index.php?action=vallex&amp;frame=v-w243f85_ZU", "být (v-w243f85_ZU)")</f>
        <v>být (v-w243f85_ZU)</v>
      </c>
    </row>
    <row r="1544" spans="1:4" x14ac:dyDescent="0.2">
      <c r="B1544" t="s">
        <v>1</v>
      </c>
      <c r="C1544" t="s">
        <v>364</v>
      </c>
    </row>
    <row r="1545" spans="1:4" x14ac:dyDescent="0.2">
      <c r="B1545" t="s">
        <v>692</v>
      </c>
      <c r="C1545" t="s">
        <v>552</v>
      </c>
    </row>
    <row r="1547" spans="1:4" x14ac:dyDescent="0.2">
      <c r="A1547" t="s">
        <v>693</v>
      </c>
      <c r="B1547" t="str">
        <f>HYPERLINK("https://lindat.mff.cuni.cz/services/teitok/pdtc10/index.php?action=vallex&amp;frame=v-w243f60_ZU", "být (v-w243f60_ZU)")</f>
        <v>být (v-w243f60_ZU)</v>
      </c>
    </row>
    <row r="1548" spans="1:4" x14ac:dyDescent="0.2">
      <c r="B1548" t="s">
        <v>1</v>
      </c>
      <c r="C1548" t="s">
        <v>364</v>
      </c>
    </row>
    <row r="1549" spans="1:4" x14ac:dyDescent="0.2">
      <c r="B1549" t="s">
        <v>694</v>
      </c>
      <c r="C1549" t="s">
        <v>552</v>
      </c>
    </row>
    <row r="1551" spans="1:4" x14ac:dyDescent="0.2">
      <c r="A1551" t="s">
        <v>695</v>
      </c>
      <c r="B1551" t="str">
        <f>HYPERLINK("https://lindat.mff.cuni.cz/services/teitok/pdtc10/index.php?action=vallex&amp;frame=v-w243f71_ZU", "být (v-w243f71_ZU)")</f>
        <v>být (v-w243f71_ZU)</v>
      </c>
    </row>
    <row r="1552" spans="1:4" x14ac:dyDescent="0.2">
      <c r="B1552" t="s">
        <v>1</v>
      </c>
    </row>
    <row r="1553" spans="1:4" x14ac:dyDescent="0.2">
      <c r="B1553" t="s">
        <v>696</v>
      </c>
    </row>
    <row r="1555" spans="1:4" x14ac:dyDescent="0.2">
      <c r="A1555" t="s">
        <v>697</v>
      </c>
      <c r="B1555" t="str">
        <f>HYPERLINK("https://lindat.mff.cuni.cz/services/teitok/pdtc10/index.php?action=vallex&amp;frame=v-w243hsa_60", "být (v-w243hsa_60)")</f>
        <v>být (v-w243hsa_60)</v>
      </c>
    </row>
    <row r="1556" spans="1:4" x14ac:dyDescent="0.2">
      <c r="B1556" t="s">
        <v>698</v>
      </c>
    </row>
    <row r="1557" spans="1:4" x14ac:dyDescent="0.2">
      <c r="B1557" t="s">
        <v>699</v>
      </c>
    </row>
    <row r="1559" spans="1:4" x14ac:dyDescent="0.2">
      <c r="A1559" t="s">
        <v>697</v>
      </c>
      <c r="B1559" t="str">
        <f>HYPERLINK("https://lindat.mff.cuni.cz/services/teitok/pdtc10/index.php?action=vallex&amp;frame=v-w243f70_ZU", "být (v-w243f70_ZU) - substituted with v-w243hsa_60")</f>
        <v>být (v-w243f70_ZU) - substituted with v-w243hsa_60</v>
      </c>
    </row>
    <row r="1560" spans="1:4" x14ac:dyDescent="0.2">
      <c r="B1560" t="s">
        <v>698</v>
      </c>
      <c r="C1560" t="s">
        <v>700</v>
      </c>
      <c r="D1560" t="s">
        <v>23029</v>
      </c>
    </row>
    <row r="1561" spans="1:4" x14ac:dyDescent="0.2">
      <c r="B1561" t="s">
        <v>699</v>
      </c>
      <c r="C1561" t="s">
        <v>701</v>
      </c>
      <c r="D1561" t="s">
        <v>23033</v>
      </c>
    </row>
    <row r="1563" spans="1:4" x14ac:dyDescent="0.2">
      <c r="A1563" t="s">
        <v>702</v>
      </c>
      <c r="B1563" t="str">
        <f>HYPERLINK("https://lindat.mff.cuni.cz/services/teitok/pdtc10/index.php?action=vallex&amp;frame=v-w243f69_ZU", "být (v-w243f69_ZU)")</f>
        <v>být (v-w243f69_ZU)</v>
      </c>
    </row>
    <row r="1564" spans="1:4" x14ac:dyDescent="0.2">
      <c r="B1564" t="s">
        <v>1</v>
      </c>
      <c r="C1564" t="s">
        <v>703</v>
      </c>
      <c r="D1564" t="s">
        <v>23034</v>
      </c>
    </row>
    <row r="1565" spans="1:4" x14ac:dyDescent="0.2">
      <c r="B1565" t="s">
        <v>704</v>
      </c>
      <c r="C1565" t="s">
        <v>705</v>
      </c>
    </row>
    <row r="1567" spans="1:4" x14ac:dyDescent="0.2">
      <c r="A1567" t="s">
        <v>706</v>
      </c>
      <c r="B1567" t="str">
        <f>HYPERLINK("https://lindat.mff.cuni.cz/services/teitok/pdtc10/index.php?action=vallex&amp;frame=v-w243f39", "být (v-w243f39)")</f>
        <v>být (v-w243f39)</v>
      </c>
    </row>
    <row r="1568" spans="1:4" x14ac:dyDescent="0.2">
      <c r="B1568" t="s">
        <v>707</v>
      </c>
    </row>
    <row r="1569" spans="1:2" x14ac:dyDescent="0.2">
      <c r="B1569" t="s">
        <v>511</v>
      </c>
    </row>
    <row r="1571" spans="1:2" x14ac:dyDescent="0.2">
      <c r="A1571" t="s">
        <v>708</v>
      </c>
      <c r="B1571" t="str">
        <f>HYPERLINK("https://lindat.mff.cuni.cz/services/teitok/pdtc10/index.php?action=vallex&amp;frame=v-w243hsa_81", "být (v-w243hsa_81)")</f>
        <v>být (v-w243hsa_81)</v>
      </c>
    </row>
    <row r="1572" spans="1:2" x14ac:dyDescent="0.2">
      <c r="B1572" t="s">
        <v>1</v>
      </c>
    </row>
    <row r="1573" spans="1:2" x14ac:dyDescent="0.2">
      <c r="B1573" t="s">
        <v>411</v>
      </c>
    </row>
    <row r="1575" spans="1:2" x14ac:dyDescent="0.2">
      <c r="A1575" t="s">
        <v>709</v>
      </c>
      <c r="B1575" t="str">
        <f>HYPERLINK("https://lindat.mff.cuni.cz/services/teitok/pdtc10/index.php?action=vallex&amp;frame=v-w243f123_ZU", "být (v-w243f123_ZU)")</f>
        <v>být (v-w243f123_ZU)</v>
      </c>
    </row>
    <row r="1576" spans="1:2" x14ac:dyDescent="0.2">
      <c r="B1576" t="s">
        <v>1</v>
      </c>
    </row>
    <row r="1577" spans="1:2" x14ac:dyDescent="0.2">
      <c r="B1577" t="s">
        <v>710</v>
      </c>
    </row>
    <row r="1578" spans="1:2" x14ac:dyDescent="0.2">
      <c r="B1578" t="s">
        <v>153</v>
      </c>
    </row>
    <row r="1580" spans="1:2" x14ac:dyDescent="0.2">
      <c r="A1580" t="s">
        <v>709</v>
      </c>
      <c r="B1580" t="str">
        <f>HYPERLINK("https://lindat.mff.cuni.cz/services/teitok/pdtc10/index.php?action=vallex&amp;frame=v-w243hsa_82", "být (v-w243hsa_82) - substituted with v-w243f123_ZU")</f>
        <v>být (v-w243hsa_82) - substituted with v-w243f123_ZU</v>
      </c>
    </row>
    <row r="1581" spans="1:2" x14ac:dyDescent="0.2">
      <c r="B1581" t="s">
        <v>1</v>
      </c>
    </row>
    <row r="1582" spans="1:2" x14ac:dyDescent="0.2">
      <c r="B1582" t="s">
        <v>710</v>
      </c>
    </row>
    <row r="1583" spans="1:2" x14ac:dyDescent="0.2">
      <c r="B1583" t="s">
        <v>153</v>
      </c>
    </row>
    <row r="1585" spans="1:4" x14ac:dyDescent="0.2">
      <c r="A1585" t="s">
        <v>711</v>
      </c>
      <c r="B1585" t="str">
        <f>HYPERLINK("https://lindat.mff.cuni.cz/services/teitok/pdtc10/index.php?action=vallex&amp;frame=v-w243hsa_83", "být (v-w243hsa_83)")</f>
        <v>být (v-w243hsa_83)</v>
      </c>
    </row>
    <row r="1586" spans="1:4" x14ac:dyDescent="0.2">
      <c r="B1586" t="s">
        <v>666</v>
      </c>
    </row>
    <row r="1587" spans="1:4" x14ac:dyDescent="0.2">
      <c r="B1587" t="s">
        <v>161</v>
      </c>
    </row>
    <row r="1589" spans="1:4" x14ac:dyDescent="0.2">
      <c r="A1589" t="s">
        <v>712</v>
      </c>
      <c r="B1589" t="str">
        <f>HYPERLINK("https://lindat.mff.cuni.cz/services/teitok/pdtc10/index.php?action=vallex&amp;frame=v-w243f101_ZU", "být (v-w243f101_ZU)")</f>
        <v>být (v-w243f101_ZU)</v>
      </c>
    </row>
    <row r="1590" spans="1:4" x14ac:dyDescent="0.2">
      <c r="B1590" t="s">
        <v>1</v>
      </c>
    </row>
    <row r="1591" spans="1:4" x14ac:dyDescent="0.2">
      <c r="B1591" t="s">
        <v>713</v>
      </c>
    </row>
    <row r="1593" spans="1:4" x14ac:dyDescent="0.2">
      <c r="A1593" t="s">
        <v>712</v>
      </c>
      <c r="B1593" t="str">
        <f>HYPERLINK("https://lindat.mff.cuni.cz/services/teitok/pdtc10/index.php?action=vallex&amp;frame=v-w243hsa_86", "být (v-w243hsa_86) - substituted with v-w243f101_ZU")</f>
        <v>být (v-w243hsa_86) - substituted with v-w243f101_ZU</v>
      </c>
    </row>
    <row r="1594" spans="1:4" x14ac:dyDescent="0.2">
      <c r="B1594" t="s">
        <v>1</v>
      </c>
    </row>
    <row r="1595" spans="1:4" x14ac:dyDescent="0.2">
      <c r="B1595" t="s">
        <v>713</v>
      </c>
    </row>
    <row r="1597" spans="1:4" x14ac:dyDescent="0.2">
      <c r="A1597" t="s">
        <v>714</v>
      </c>
      <c r="B1597" t="str">
        <f>HYPERLINK("https://lindat.mff.cuni.cz/services/teitok/pdtc10/index.php?action=vallex&amp;frame=v-w243f102_ZU", "být (v-w243f102_ZU)")</f>
        <v>být (v-w243f102_ZU)</v>
      </c>
    </row>
    <row r="1598" spans="1:4" x14ac:dyDescent="0.2">
      <c r="B1598" t="s">
        <v>1</v>
      </c>
      <c r="C1598" t="s">
        <v>715</v>
      </c>
      <c r="D1598" t="s">
        <v>23035</v>
      </c>
    </row>
    <row r="1599" spans="1:4" x14ac:dyDescent="0.2">
      <c r="B1599" t="s">
        <v>716</v>
      </c>
    </row>
    <row r="1601" spans="1:2" x14ac:dyDescent="0.2">
      <c r="A1601" t="s">
        <v>714</v>
      </c>
      <c r="B1601" t="str">
        <f>HYPERLINK("https://lindat.mff.cuni.cz/services/teitok/pdtc10/index.php?action=vallex&amp;frame=v-w243hsa_89", "být (v-w243hsa_89) - substituted with v-w243f102_ZU")</f>
        <v>být (v-w243hsa_89) - substituted with v-w243f102_ZU</v>
      </c>
    </row>
    <row r="1602" spans="1:2" x14ac:dyDescent="0.2">
      <c r="B1602" t="s">
        <v>1</v>
      </c>
    </row>
    <row r="1603" spans="1:2" x14ac:dyDescent="0.2">
      <c r="B1603" t="s">
        <v>716</v>
      </c>
    </row>
    <row r="1605" spans="1:2" x14ac:dyDescent="0.2">
      <c r="A1605" t="s">
        <v>717</v>
      </c>
      <c r="B1605" t="str">
        <f>HYPERLINK("https://lindat.mff.cuni.cz/services/teitok/pdtc10/index.php?action=vallex&amp;frame=v-w243f103_ZU", "být (v-w243f103_ZU)")</f>
        <v>být (v-w243f103_ZU)</v>
      </c>
    </row>
    <row r="1606" spans="1:2" x14ac:dyDescent="0.2">
      <c r="B1606" t="s">
        <v>1</v>
      </c>
    </row>
    <row r="1607" spans="1:2" x14ac:dyDescent="0.2">
      <c r="B1607" t="s">
        <v>718</v>
      </c>
    </row>
    <row r="1609" spans="1:2" x14ac:dyDescent="0.2">
      <c r="A1609" t="s">
        <v>717</v>
      </c>
      <c r="B1609" t="str">
        <f>HYPERLINK("https://lindat.mff.cuni.cz/services/teitok/pdtc10/index.php?action=vallex&amp;frame=v-w243hsa_90", "být (v-w243hsa_90) - substituted with v-w243f103_ZU")</f>
        <v>být (v-w243hsa_90) - substituted with v-w243f103_ZU</v>
      </c>
    </row>
    <row r="1610" spans="1:2" x14ac:dyDescent="0.2">
      <c r="B1610" t="s">
        <v>1</v>
      </c>
    </row>
    <row r="1611" spans="1:2" x14ac:dyDescent="0.2">
      <c r="B1611" t="s">
        <v>718</v>
      </c>
    </row>
    <row r="1613" spans="1:2" x14ac:dyDescent="0.2">
      <c r="A1613" t="s">
        <v>719</v>
      </c>
      <c r="B1613" t="str">
        <f>HYPERLINK("https://lindat.mff.cuni.cz/services/teitok/pdtc10/index.php?action=vallex&amp;frame=v-w243f99_ZU", "být (v-w243f99_ZU)")</f>
        <v>být (v-w243f99_ZU)</v>
      </c>
    </row>
    <row r="1614" spans="1:2" x14ac:dyDescent="0.2">
      <c r="B1614" t="s">
        <v>1</v>
      </c>
    </row>
    <row r="1615" spans="1:2" x14ac:dyDescent="0.2">
      <c r="B1615" t="s">
        <v>720</v>
      </c>
    </row>
    <row r="1616" spans="1:2" x14ac:dyDescent="0.2">
      <c r="B1616" t="s">
        <v>86</v>
      </c>
    </row>
    <row r="1618" spans="1:4" x14ac:dyDescent="0.2">
      <c r="A1618" t="s">
        <v>719</v>
      </c>
      <c r="B1618" t="str">
        <f>HYPERLINK("https://lindat.mff.cuni.cz/services/teitok/pdtc10/index.php?action=vallex&amp;frame=v-w243hsa_91", "být (v-w243hsa_91) - substituted with v-w243f99_ZU")</f>
        <v>být (v-w243hsa_91) - substituted with v-w243f99_ZU</v>
      </c>
    </row>
    <row r="1619" spans="1:4" x14ac:dyDescent="0.2">
      <c r="B1619" t="s">
        <v>1</v>
      </c>
    </row>
    <row r="1620" spans="1:4" x14ac:dyDescent="0.2">
      <c r="B1620" t="s">
        <v>720</v>
      </c>
    </row>
    <row r="1621" spans="1:4" x14ac:dyDescent="0.2">
      <c r="B1621" t="s">
        <v>86</v>
      </c>
    </row>
    <row r="1623" spans="1:4" x14ac:dyDescent="0.2">
      <c r="A1623" t="s">
        <v>721</v>
      </c>
      <c r="B1623" t="str">
        <f>HYPERLINK("https://lindat.mff.cuni.cz/services/teitok/pdtc10/index.php?action=vallex&amp;frame=v-w243f104_ZU", "být (v-w243f104_ZU)")</f>
        <v>být (v-w243f104_ZU)</v>
      </c>
    </row>
    <row r="1624" spans="1:4" x14ac:dyDescent="0.2">
      <c r="B1624" t="s">
        <v>1</v>
      </c>
    </row>
    <row r="1625" spans="1:4" x14ac:dyDescent="0.2">
      <c r="B1625" t="s">
        <v>722</v>
      </c>
    </row>
    <row r="1627" spans="1:4" x14ac:dyDescent="0.2">
      <c r="A1627" t="s">
        <v>721</v>
      </c>
      <c r="B1627" t="str">
        <f>HYPERLINK("https://lindat.mff.cuni.cz/services/teitok/pdtc10/index.php?action=vallex&amp;frame=v-w243hsa_92", "být (v-w243hsa_92) - substituted with v-w243f104_ZU")</f>
        <v>být (v-w243hsa_92) - substituted with v-w243f104_ZU</v>
      </c>
    </row>
    <row r="1628" spans="1:4" x14ac:dyDescent="0.2">
      <c r="B1628" t="s">
        <v>1</v>
      </c>
    </row>
    <row r="1629" spans="1:4" x14ac:dyDescent="0.2">
      <c r="B1629" t="s">
        <v>722</v>
      </c>
    </row>
    <row r="1631" spans="1:4" x14ac:dyDescent="0.2">
      <c r="A1631" t="s">
        <v>723</v>
      </c>
      <c r="B1631" t="str">
        <f>HYPERLINK("https://lindat.mff.cuni.cz/services/teitok/pdtc10/index.php?action=vallex&amp;frame=v-w243f105_ZU", "být (v-w243f105_ZU)")</f>
        <v>být (v-w243f105_ZU)</v>
      </c>
    </row>
    <row r="1632" spans="1:4" x14ac:dyDescent="0.2">
      <c r="B1632" t="s">
        <v>1</v>
      </c>
      <c r="C1632" t="s">
        <v>517</v>
      </c>
      <c r="D1632" t="s">
        <v>23031</v>
      </c>
    </row>
    <row r="1633" spans="1:4" x14ac:dyDescent="0.2">
      <c r="B1633" t="s">
        <v>724</v>
      </c>
      <c r="C1633" t="s">
        <v>725</v>
      </c>
    </row>
    <row r="1635" spans="1:4" x14ac:dyDescent="0.2">
      <c r="A1635" t="s">
        <v>723</v>
      </c>
      <c r="B1635" t="str">
        <f>HYPERLINK("https://lindat.mff.cuni.cz/services/teitok/pdtc10/index.php?action=vallex&amp;frame=v-w243hsa_93", "být (v-w243hsa_93) - substituted with v-w243f105_ZU")</f>
        <v>být (v-w243hsa_93) - substituted with v-w243f105_ZU</v>
      </c>
    </row>
    <row r="1636" spans="1:4" x14ac:dyDescent="0.2">
      <c r="B1636" t="s">
        <v>1</v>
      </c>
    </row>
    <row r="1637" spans="1:4" x14ac:dyDescent="0.2">
      <c r="B1637" t="s">
        <v>724</v>
      </c>
    </row>
    <row r="1639" spans="1:4" x14ac:dyDescent="0.2">
      <c r="A1639" t="s">
        <v>726</v>
      </c>
      <c r="B1639" t="str">
        <f>HYPERLINK("https://lindat.mff.cuni.cz/services/teitok/pdtc10/index.php?action=vallex&amp;frame=v-w243f106_ZU", "být (v-w243f106_ZU)")</f>
        <v>být (v-w243f106_ZU)</v>
      </c>
    </row>
    <row r="1640" spans="1:4" x14ac:dyDescent="0.2">
      <c r="B1640" t="s">
        <v>1</v>
      </c>
      <c r="C1640" t="s">
        <v>364</v>
      </c>
    </row>
    <row r="1641" spans="1:4" x14ac:dyDescent="0.2">
      <c r="B1641" t="s">
        <v>727</v>
      </c>
      <c r="C1641" t="s">
        <v>552</v>
      </c>
    </row>
    <row r="1643" spans="1:4" x14ac:dyDescent="0.2">
      <c r="A1643" t="s">
        <v>726</v>
      </c>
      <c r="B1643" t="str">
        <f>HYPERLINK("https://lindat.mff.cuni.cz/services/teitok/pdtc10/index.php?action=vallex&amp;frame=v-w243hsa_94", "být (v-w243hsa_94) - substituted with v-w243f106_ZU")</f>
        <v>být (v-w243hsa_94) - substituted with v-w243f106_ZU</v>
      </c>
    </row>
    <row r="1644" spans="1:4" x14ac:dyDescent="0.2">
      <c r="B1644" t="s">
        <v>1</v>
      </c>
    </row>
    <row r="1645" spans="1:4" x14ac:dyDescent="0.2">
      <c r="B1645" t="s">
        <v>727</v>
      </c>
    </row>
    <row r="1647" spans="1:4" x14ac:dyDescent="0.2">
      <c r="A1647" t="s">
        <v>728</v>
      </c>
      <c r="B1647" t="str">
        <f>HYPERLINK("https://lindat.mff.cuni.cz/services/teitok/pdtc10/index.php?action=vallex&amp;frame=v-w243f107_ZU", "být (v-w243f107_ZU)")</f>
        <v>být (v-w243f107_ZU)</v>
      </c>
    </row>
    <row r="1648" spans="1:4" x14ac:dyDescent="0.2">
      <c r="B1648" t="s">
        <v>1</v>
      </c>
      <c r="C1648" t="s">
        <v>204</v>
      </c>
      <c r="D1648" t="s">
        <v>23036</v>
      </c>
    </row>
    <row r="1649" spans="1:4" x14ac:dyDescent="0.2">
      <c r="B1649" t="s">
        <v>729</v>
      </c>
      <c r="C1649" t="s">
        <v>574</v>
      </c>
      <c r="D1649" t="s">
        <v>23037</v>
      </c>
    </row>
    <row r="1651" spans="1:4" x14ac:dyDescent="0.2">
      <c r="A1651" t="s">
        <v>728</v>
      </c>
      <c r="B1651" t="str">
        <f>HYPERLINK("https://lindat.mff.cuni.cz/services/teitok/pdtc10/index.php?action=vallex&amp;frame=v-w243hsa_95", "být (v-w243hsa_95) - substituted with v-w243f107_ZU")</f>
        <v>být (v-w243hsa_95) - substituted with v-w243f107_ZU</v>
      </c>
    </row>
    <row r="1652" spans="1:4" x14ac:dyDescent="0.2">
      <c r="B1652" t="s">
        <v>1</v>
      </c>
    </row>
    <row r="1653" spans="1:4" x14ac:dyDescent="0.2">
      <c r="B1653" t="s">
        <v>729</v>
      </c>
    </row>
    <row r="1655" spans="1:4" x14ac:dyDescent="0.2">
      <c r="A1655" t="s">
        <v>730</v>
      </c>
      <c r="B1655" t="str">
        <f>HYPERLINK("https://lindat.mff.cuni.cz/services/teitok/pdtc10/index.php?action=vallex&amp;frame=v-w243f120_ZU", "být (v-w243f120_ZU)")</f>
        <v>být (v-w243f120_ZU)</v>
      </c>
    </row>
    <row r="1656" spans="1:4" x14ac:dyDescent="0.2">
      <c r="B1656" t="s">
        <v>1</v>
      </c>
      <c r="C1656" t="s">
        <v>370</v>
      </c>
    </row>
    <row r="1657" spans="1:4" x14ac:dyDescent="0.2">
      <c r="B1657" t="s">
        <v>731</v>
      </c>
    </row>
    <row r="1658" spans="1:4" x14ac:dyDescent="0.2">
      <c r="B1658" t="s">
        <v>86</v>
      </c>
      <c r="C1658" t="s">
        <v>732</v>
      </c>
    </row>
    <row r="1660" spans="1:4" x14ac:dyDescent="0.2">
      <c r="A1660" t="s">
        <v>730</v>
      </c>
      <c r="B1660" t="str">
        <f>HYPERLINK("https://lindat.mff.cuni.cz/services/teitok/pdtc10/index.php?action=vallex&amp;frame=v-w243hsa_96", "být (v-w243hsa_96) - substituted with v-w243f120_ZU")</f>
        <v>být (v-w243hsa_96) - substituted with v-w243f120_ZU</v>
      </c>
    </row>
    <row r="1661" spans="1:4" x14ac:dyDescent="0.2">
      <c r="B1661" t="s">
        <v>1</v>
      </c>
    </row>
    <row r="1662" spans="1:4" x14ac:dyDescent="0.2">
      <c r="B1662" t="s">
        <v>731</v>
      </c>
    </row>
    <row r="1663" spans="1:4" x14ac:dyDescent="0.2">
      <c r="B1663" t="s">
        <v>86</v>
      </c>
    </row>
    <row r="1665" spans="1:2" x14ac:dyDescent="0.2">
      <c r="A1665" t="s">
        <v>733</v>
      </c>
      <c r="B1665" t="str">
        <f>HYPERLINK("https://lindat.mff.cuni.cz/services/teitok/pdtc10/index.php?action=vallex&amp;frame=v-w243f109_ZU", "být (v-w243f109_ZU)")</f>
        <v>být (v-w243f109_ZU)</v>
      </c>
    </row>
    <row r="1666" spans="1:2" x14ac:dyDescent="0.2">
      <c r="B1666" t="s">
        <v>1</v>
      </c>
    </row>
    <row r="1667" spans="1:2" x14ac:dyDescent="0.2">
      <c r="B1667" t="s">
        <v>734</v>
      </c>
    </row>
    <row r="1669" spans="1:2" x14ac:dyDescent="0.2">
      <c r="A1669" t="s">
        <v>733</v>
      </c>
      <c r="B1669" t="str">
        <f>HYPERLINK("https://lindat.mff.cuni.cz/services/teitok/pdtc10/index.php?action=vallex&amp;frame=v-w243hsa_97", "být (v-w243hsa_97) - substituted with v-w243f109_ZU")</f>
        <v>být (v-w243hsa_97) - substituted with v-w243f109_ZU</v>
      </c>
    </row>
    <row r="1670" spans="1:2" x14ac:dyDescent="0.2">
      <c r="B1670" t="s">
        <v>1</v>
      </c>
    </row>
    <row r="1671" spans="1:2" x14ac:dyDescent="0.2">
      <c r="B1671" t="s">
        <v>734</v>
      </c>
    </row>
    <row r="1673" spans="1:2" x14ac:dyDescent="0.2">
      <c r="A1673" t="s">
        <v>735</v>
      </c>
      <c r="B1673" t="str">
        <f>HYPERLINK("https://lindat.mff.cuni.cz/services/teitok/pdtc10/index.php?action=vallex&amp;frame=v-w243f111_ZU", "být (v-w243f111_ZU)")</f>
        <v>být (v-w243f111_ZU)</v>
      </c>
    </row>
    <row r="1674" spans="1:2" x14ac:dyDescent="0.2">
      <c r="B1674" t="s">
        <v>1</v>
      </c>
    </row>
    <row r="1675" spans="1:2" x14ac:dyDescent="0.2">
      <c r="B1675" t="s">
        <v>736</v>
      </c>
    </row>
    <row r="1677" spans="1:2" x14ac:dyDescent="0.2">
      <c r="A1677" t="s">
        <v>735</v>
      </c>
      <c r="B1677" t="str">
        <f>HYPERLINK("https://lindat.mff.cuni.cz/services/teitok/pdtc10/index.php?action=vallex&amp;frame=v-w243hsa_98", "být (v-w243hsa_98) - substituted with v-w243f111_ZU")</f>
        <v>být (v-w243hsa_98) - substituted with v-w243f111_ZU</v>
      </c>
    </row>
    <row r="1678" spans="1:2" x14ac:dyDescent="0.2">
      <c r="B1678" t="s">
        <v>1</v>
      </c>
    </row>
    <row r="1679" spans="1:2" x14ac:dyDescent="0.2">
      <c r="B1679" t="s">
        <v>736</v>
      </c>
    </row>
    <row r="1681" spans="1:4" x14ac:dyDescent="0.2">
      <c r="A1681" t="s">
        <v>737</v>
      </c>
      <c r="B1681" t="str">
        <f>HYPERLINK("https://lindat.mff.cuni.cz/services/teitok/pdtc10/index.php?action=vallex&amp;frame=v-w243f98_ZU", "být (v-w243f98_ZU)")</f>
        <v>být (v-w243f98_ZU)</v>
      </c>
    </row>
    <row r="1682" spans="1:4" x14ac:dyDescent="0.2">
      <c r="B1682" t="s">
        <v>738</v>
      </c>
      <c r="C1682" t="s">
        <v>364</v>
      </c>
    </row>
    <row r="1683" spans="1:4" x14ac:dyDescent="0.2">
      <c r="B1683" t="s">
        <v>739</v>
      </c>
      <c r="C1683" t="s">
        <v>552</v>
      </c>
    </row>
    <row r="1685" spans="1:4" x14ac:dyDescent="0.2">
      <c r="A1685" t="s">
        <v>737</v>
      </c>
      <c r="B1685" t="str">
        <f>HYPERLINK("https://lindat.mff.cuni.cz/services/teitok/pdtc10/index.php?action=vallex&amp;frame=v-w243hsa_99", "být (v-w243hsa_99) - substituted with v-w243f98_ZU")</f>
        <v>být (v-w243hsa_99) - substituted with v-w243f98_ZU</v>
      </c>
    </row>
    <row r="1686" spans="1:4" x14ac:dyDescent="0.2">
      <c r="B1686" t="s">
        <v>738</v>
      </c>
    </row>
    <row r="1687" spans="1:4" x14ac:dyDescent="0.2">
      <c r="B1687" t="s">
        <v>739</v>
      </c>
    </row>
    <row r="1689" spans="1:4" x14ac:dyDescent="0.2">
      <c r="A1689" t="s">
        <v>740</v>
      </c>
      <c r="B1689" t="str">
        <f>HYPERLINK("https://lindat.mff.cuni.cz/services/teitok/pdtc10/index.php?action=vallex&amp;frame=v-w243hsa_100", "být (v-w243hsa_100)")</f>
        <v>být (v-w243hsa_100)</v>
      </c>
    </row>
    <row r="1690" spans="1:4" x14ac:dyDescent="0.2">
      <c r="B1690" t="s">
        <v>1</v>
      </c>
      <c r="C1690" t="s">
        <v>570</v>
      </c>
    </row>
    <row r="1691" spans="1:4" x14ac:dyDescent="0.2">
      <c r="B1691" t="s">
        <v>741</v>
      </c>
      <c r="C1691" t="s">
        <v>572</v>
      </c>
    </row>
    <row r="1692" spans="1:4" x14ac:dyDescent="0.2">
      <c r="B1692" t="s">
        <v>168</v>
      </c>
    </row>
    <row r="1694" spans="1:4" x14ac:dyDescent="0.2">
      <c r="A1694" t="s">
        <v>742</v>
      </c>
      <c r="B1694" t="str">
        <f>HYPERLINK("https://lindat.mff.cuni.cz/services/teitok/pdtc10/index.php?action=vallex&amp;frame=v-w243f115_ZU", "být (v-w243f115_ZU)")</f>
        <v>být (v-w243f115_ZU)</v>
      </c>
    </row>
    <row r="1695" spans="1:4" x14ac:dyDescent="0.2">
      <c r="B1695" t="s">
        <v>1</v>
      </c>
      <c r="C1695" t="s">
        <v>204</v>
      </c>
      <c r="D1695" t="s">
        <v>23038</v>
      </c>
    </row>
    <row r="1696" spans="1:4" x14ac:dyDescent="0.2">
      <c r="B1696" t="s">
        <v>743</v>
      </c>
      <c r="C1696" t="s">
        <v>574</v>
      </c>
    </row>
    <row r="1698" spans="1:3" x14ac:dyDescent="0.2">
      <c r="A1698" t="s">
        <v>742</v>
      </c>
      <c r="B1698" t="str">
        <f>HYPERLINK("https://lindat.mff.cuni.cz/services/teitok/pdtc10/index.php?action=vallex&amp;frame=v-w243hsa_101", "být (v-w243hsa_101) - substituted with v-w243f115_ZU")</f>
        <v>být (v-w243hsa_101) - substituted with v-w243f115_ZU</v>
      </c>
    </row>
    <row r="1699" spans="1:3" x14ac:dyDescent="0.2">
      <c r="B1699" t="s">
        <v>1</v>
      </c>
    </row>
    <row r="1700" spans="1:3" x14ac:dyDescent="0.2">
      <c r="B1700" t="s">
        <v>743</v>
      </c>
    </row>
    <row r="1702" spans="1:3" x14ac:dyDescent="0.2">
      <c r="A1702" t="s">
        <v>744</v>
      </c>
      <c r="B1702" t="str">
        <f>HYPERLINK("https://lindat.mff.cuni.cz/services/teitok/pdtc10/index.php?action=vallex&amp;frame=v-w243f116_ZU", "být (v-w243f116_ZU)")</f>
        <v>být (v-w243f116_ZU)</v>
      </c>
    </row>
    <row r="1703" spans="1:3" x14ac:dyDescent="0.2">
      <c r="B1703" t="s">
        <v>1</v>
      </c>
      <c r="C1703" t="s">
        <v>204</v>
      </c>
    </row>
    <row r="1704" spans="1:3" x14ac:dyDescent="0.2">
      <c r="B1704" t="s">
        <v>745</v>
      </c>
      <c r="C1704" t="s">
        <v>574</v>
      </c>
    </row>
    <row r="1706" spans="1:3" x14ac:dyDescent="0.2">
      <c r="A1706" t="s">
        <v>744</v>
      </c>
      <c r="B1706" t="str">
        <f>HYPERLINK("https://lindat.mff.cuni.cz/services/teitok/pdtc10/index.php?action=vallex&amp;frame=v-w243hsa_102", "být (v-w243hsa_102) - substituted with v-w243f116_ZU")</f>
        <v>být (v-w243hsa_102) - substituted with v-w243f116_ZU</v>
      </c>
    </row>
    <row r="1707" spans="1:3" x14ac:dyDescent="0.2">
      <c r="B1707" t="s">
        <v>1</v>
      </c>
    </row>
    <row r="1708" spans="1:3" x14ac:dyDescent="0.2">
      <c r="B1708" t="s">
        <v>745</v>
      </c>
    </row>
    <row r="1710" spans="1:3" x14ac:dyDescent="0.2">
      <c r="A1710" t="s">
        <v>746</v>
      </c>
      <c r="B1710" t="str">
        <f>HYPERLINK("https://lindat.mff.cuni.cz/services/teitok/pdtc10/index.php?action=vallex&amp;frame=v-w243f117_ZU", "být (v-w243f117_ZU)")</f>
        <v>být (v-w243f117_ZU)</v>
      </c>
    </row>
    <row r="1711" spans="1:3" x14ac:dyDescent="0.2">
      <c r="B1711" t="s">
        <v>1</v>
      </c>
    </row>
    <row r="1712" spans="1:3" x14ac:dyDescent="0.2">
      <c r="B1712" t="s">
        <v>747</v>
      </c>
    </row>
    <row r="1714" spans="1:2" x14ac:dyDescent="0.2">
      <c r="A1714" t="s">
        <v>746</v>
      </c>
      <c r="B1714" t="str">
        <f>HYPERLINK("https://lindat.mff.cuni.cz/services/teitok/pdtc10/index.php?action=vallex&amp;frame=v-w243hsa_103", "být (v-w243hsa_103) - substituted with v-w243f117_ZU")</f>
        <v>být (v-w243hsa_103) - substituted with v-w243f117_ZU</v>
      </c>
    </row>
    <row r="1715" spans="1:2" x14ac:dyDescent="0.2">
      <c r="B1715" t="s">
        <v>1</v>
      </c>
    </row>
    <row r="1716" spans="1:2" x14ac:dyDescent="0.2">
      <c r="B1716" t="s">
        <v>747</v>
      </c>
    </row>
    <row r="1718" spans="1:2" x14ac:dyDescent="0.2">
      <c r="A1718" t="s">
        <v>748</v>
      </c>
      <c r="B1718" t="str">
        <f>HYPERLINK("https://lindat.mff.cuni.cz/services/teitok/pdtc10/index.php?action=vallex&amp;frame=v-w243f114_ZU", "být (v-w243f114_ZU)")</f>
        <v>být (v-w243f114_ZU)</v>
      </c>
    </row>
    <row r="1719" spans="1:2" x14ac:dyDescent="0.2">
      <c r="B1719" t="s">
        <v>1</v>
      </c>
    </row>
    <row r="1720" spans="1:2" x14ac:dyDescent="0.2">
      <c r="B1720" t="s">
        <v>749</v>
      </c>
    </row>
    <row r="1721" spans="1:2" x14ac:dyDescent="0.2">
      <c r="B1721" t="s">
        <v>582</v>
      </c>
    </row>
    <row r="1723" spans="1:2" x14ac:dyDescent="0.2">
      <c r="A1723" t="s">
        <v>748</v>
      </c>
      <c r="B1723" t="str">
        <f>HYPERLINK("https://lindat.mff.cuni.cz/services/teitok/pdtc10/index.php?action=vallex&amp;frame=v-w243hsa_104", "být (v-w243hsa_104) - substituted with v-w243f114_ZU")</f>
        <v>být (v-w243hsa_104) - substituted with v-w243f114_ZU</v>
      </c>
    </row>
    <row r="1724" spans="1:2" x14ac:dyDescent="0.2">
      <c r="B1724" t="s">
        <v>1</v>
      </c>
    </row>
    <row r="1725" spans="1:2" x14ac:dyDescent="0.2">
      <c r="B1725" t="s">
        <v>749</v>
      </c>
    </row>
    <row r="1726" spans="1:2" x14ac:dyDescent="0.2">
      <c r="B1726" t="s">
        <v>582</v>
      </c>
    </row>
    <row r="1728" spans="1:2" x14ac:dyDescent="0.2">
      <c r="A1728" t="s">
        <v>750</v>
      </c>
      <c r="B1728" t="str">
        <f>HYPERLINK("https://lindat.mff.cuni.cz/services/teitok/pdtc10/index.php?action=vallex&amp;frame=v-w243f112_ZU", "být (v-w243f112_ZU)")</f>
        <v>být (v-w243f112_ZU)</v>
      </c>
    </row>
    <row r="1729" spans="1:2" x14ac:dyDescent="0.2">
      <c r="B1729" t="s">
        <v>1</v>
      </c>
    </row>
    <row r="1730" spans="1:2" x14ac:dyDescent="0.2">
      <c r="B1730" t="s">
        <v>751</v>
      </c>
    </row>
    <row r="1732" spans="1:2" x14ac:dyDescent="0.2">
      <c r="A1732" t="s">
        <v>750</v>
      </c>
      <c r="B1732" t="str">
        <f>HYPERLINK("https://lindat.mff.cuni.cz/services/teitok/pdtc10/index.php?action=vallex&amp;frame=v-w243hsa_106", "být (v-w243hsa_106) - substituted with v-w243f112_ZU")</f>
        <v>být (v-w243hsa_106) - substituted with v-w243f112_ZU</v>
      </c>
    </row>
    <row r="1733" spans="1:2" x14ac:dyDescent="0.2">
      <c r="B1733" t="s">
        <v>1</v>
      </c>
    </row>
    <row r="1734" spans="1:2" x14ac:dyDescent="0.2">
      <c r="B1734" t="s">
        <v>751</v>
      </c>
    </row>
    <row r="1736" spans="1:2" x14ac:dyDescent="0.2">
      <c r="A1736" t="s">
        <v>752</v>
      </c>
      <c r="B1736" t="str">
        <f>HYPERLINK("https://lindat.mff.cuni.cz/services/teitok/pdtc10/index.php?action=vallex&amp;frame=v-w243f113_ZU", "být (v-w243f113_ZU)")</f>
        <v>být (v-w243f113_ZU)</v>
      </c>
    </row>
    <row r="1737" spans="1:2" x14ac:dyDescent="0.2">
      <c r="B1737" t="s">
        <v>1</v>
      </c>
    </row>
    <row r="1738" spans="1:2" x14ac:dyDescent="0.2">
      <c r="B1738" t="s">
        <v>753</v>
      </c>
    </row>
    <row r="1739" spans="1:2" x14ac:dyDescent="0.2">
      <c r="B1739" t="s">
        <v>164</v>
      </c>
    </row>
    <row r="1741" spans="1:2" x14ac:dyDescent="0.2">
      <c r="A1741" t="s">
        <v>752</v>
      </c>
      <c r="B1741" t="str">
        <f>HYPERLINK("https://lindat.mff.cuni.cz/services/teitok/pdtc10/index.php?action=vallex&amp;frame=v-w243hsa_107", "být (v-w243hsa_107) - substituted with v-w243f113_ZU")</f>
        <v>být (v-w243hsa_107) - substituted with v-w243f113_ZU</v>
      </c>
    </row>
    <row r="1742" spans="1:2" x14ac:dyDescent="0.2">
      <c r="B1742" t="s">
        <v>1</v>
      </c>
    </row>
    <row r="1743" spans="1:2" x14ac:dyDescent="0.2">
      <c r="B1743" t="s">
        <v>753</v>
      </c>
    </row>
    <row r="1744" spans="1:2" x14ac:dyDescent="0.2">
      <c r="B1744" t="s">
        <v>164</v>
      </c>
    </row>
    <row r="1746" spans="1:3" x14ac:dyDescent="0.2">
      <c r="A1746" t="s">
        <v>754</v>
      </c>
      <c r="B1746" t="str">
        <f>HYPERLINK("https://lindat.mff.cuni.cz/services/teitok/pdtc10/index.php?action=vallex&amp;frame=v-w243f97_ZU", "být (v-w243f97_ZU)")</f>
        <v>být (v-w243f97_ZU)</v>
      </c>
    </row>
    <row r="1747" spans="1:3" x14ac:dyDescent="0.2">
      <c r="B1747" t="s">
        <v>1</v>
      </c>
    </row>
    <row r="1748" spans="1:3" x14ac:dyDescent="0.2">
      <c r="B1748" t="s">
        <v>755</v>
      </c>
    </row>
    <row r="1750" spans="1:3" x14ac:dyDescent="0.2">
      <c r="A1750" t="s">
        <v>756</v>
      </c>
      <c r="B1750" t="str">
        <f>HYPERLINK("https://lindat.mff.cuni.cz/services/teitok/pdtc10/index.php?action=vallex&amp;frame=v-w243f108_ZU", "být (v-w243f108_ZU)")</f>
        <v>být (v-w243f108_ZU)</v>
      </c>
    </row>
    <row r="1751" spans="1:3" x14ac:dyDescent="0.2">
      <c r="B1751" t="s">
        <v>1</v>
      </c>
    </row>
    <row r="1752" spans="1:3" x14ac:dyDescent="0.2">
      <c r="B1752" t="s">
        <v>757</v>
      </c>
    </row>
    <row r="1754" spans="1:3" x14ac:dyDescent="0.2">
      <c r="A1754" t="s">
        <v>758</v>
      </c>
      <c r="B1754" t="str">
        <f>HYPERLINK("https://lindat.mff.cuni.cz/services/teitok/pdtc10/index.php?action=vallex&amp;frame=v-w243f110_ZU", "být (v-w243f110_ZU)")</f>
        <v>být (v-w243f110_ZU)</v>
      </c>
    </row>
    <row r="1755" spans="1:3" x14ac:dyDescent="0.2">
      <c r="B1755" t="s">
        <v>1</v>
      </c>
      <c r="C1755" t="s">
        <v>364</v>
      </c>
    </row>
    <row r="1756" spans="1:3" x14ac:dyDescent="0.2">
      <c r="B1756" t="s">
        <v>759</v>
      </c>
      <c r="C1756" t="s">
        <v>552</v>
      </c>
    </row>
    <row r="1758" spans="1:3" x14ac:dyDescent="0.2">
      <c r="A1758" t="s">
        <v>760</v>
      </c>
      <c r="B1758" t="str">
        <f>HYPERLINK("https://lindat.mff.cuni.cz/services/teitok/pdtc10/index.php?action=vallex&amp;frame=v-w243hsa_58", "být (v-w243hsa_58)")</f>
        <v>být (v-w243hsa_58)</v>
      </c>
    </row>
    <row r="1759" spans="1:3" x14ac:dyDescent="0.2">
      <c r="B1759" t="s">
        <v>761</v>
      </c>
    </row>
    <row r="1761" spans="1:2" x14ac:dyDescent="0.2">
      <c r="A1761" t="s">
        <v>762</v>
      </c>
      <c r="B1761" t="str">
        <f>HYPERLINK("https://lindat.mff.cuni.cz/services/teitok/pdtc10/index.php?action=vallex&amp;frame=v-w243hsa_59", "být (v-w243hsa_59)")</f>
        <v>být (v-w243hsa_59)</v>
      </c>
    </row>
    <row r="1762" spans="1:2" x14ac:dyDescent="0.2">
      <c r="B1762" t="s">
        <v>763</v>
      </c>
    </row>
    <row r="1764" spans="1:2" x14ac:dyDescent="0.2">
      <c r="A1764" t="s">
        <v>764</v>
      </c>
      <c r="B1764" t="str">
        <f>HYPERLINK("https://lindat.mff.cuni.cz/services/teitok/pdtc10/index.php?action=vallex&amp;frame=v-w243hsa_61", "být (v-w243hsa_61)")</f>
        <v>být (v-w243hsa_61)</v>
      </c>
    </row>
    <row r="1765" spans="1:2" x14ac:dyDescent="0.2">
      <c r="B1765" t="s">
        <v>1</v>
      </c>
    </row>
    <row r="1767" spans="1:2" x14ac:dyDescent="0.2">
      <c r="A1767" t="s">
        <v>765</v>
      </c>
      <c r="B1767" t="str">
        <f>HYPERLINK("https://lindat.mff.cuni.cz/services/teitok/pdtc10/index.php?action=vallex&amp;frame=v-w243hsa_62", "být (v-w243hsa_62)")</f>
        <v>být (v-w243hsa_62)</v>
      </c>
    </row>
    <row r="1768" spans="1:2" x14ac:dyDescent="0.2">
      <c r="B1768" t="s">
        <v>1</v>
      </c>
    </row>
    <row r="1770" spans="1:2" x14ac:dyDescent="0.2">
      <c r="A1770" t="s">
        <v>766</v>
      </c>
      <c r="B1770" t="str">
        <f>HYPERLINK("https://lindat.mff.cuni.cz/services/teitok/pdtc10/index.php?action=vallex&amp;frame=v-w243hsa_63", "být (v-w243hsa_63)")</f>
        <v>být (v-w243hsa_63)</v>
      </c>
    </row>
    <row r="1771" spans="1:2" x14ac:dyDescent="0.2">
      <c r="B1771" t="s">
        <v>1</v>
      </c>
    </row>
    <row r="1772" spans="1:2" x14ac:dyDescent="0.2">
      <c r="B1772" t="s">
        <v>767</v>
      </c>
    </row>
    <row r="1774" spans="1:2" x14ac:dyDescent="0.2">
      <c r="A1774" t="s">
        <v>768</v>
      </c>
      <c r="B1774" t="str">
        <f>HYPERLINK("https://lindat.mff.cuni.cz/services/teitok/pdtc10/index.php?action=vallex&amp;frame=v-w243hsa_64", "být (v-w243hsa_64)")</f>
        <v>být (v-w243hsa_64)</v>
      </c>
    </row>
    <row r="1775" spans="1:2" x14ac:dyDescent="0.2">
      <c r="B1775" t="s">
        <v>1</v>
      </c>
    </row>
    <row r="1776" spans="1:2" x14ac:dyDescent="0.2">
      <c r="B1776" t="s">
        <v>28</v>
      </c>
    </row>
    <row r="1778" spans="1:2" x14ac:dyDescent="0.2">
      <c r="A1778" t="s">
        <v>769</v>
      </c>
      <c r="B1778" t="str">
        <f>HYPERLINK("https://lindat.mff.cuni.cz/services/teitok/pdtc10/index.php?action=vallex&amp;frame=v-w243f79_ZU", "být (v-w243f79_ZU)")</f>
        <v>být (v-w243f79_ZU)</v>
      </c>
    </row>
    <row r="1779" spans="1:2" x14ac:dyDescent="0.2">
      <c r="B1779" t="s">
        <v>1</v>
      </c>
    </row>
    <row r="1780" spans="1:2" x14ac:dyDescent="0.2">
      <c r="B1780" t="s">
        <v>699</v>
      </c>
    </row>
    <row r="1782" spans="1:2" x14ac:dyDescent="0.2">
      <c r="A1782" t="s">
        <v>770</v>
      </c>
      <c r="B1782" t="str">
        <f>HYPERLINK("https://lindat.mff.cuni.cz/services/teitok/pdtc10/index.php?action=vallex&amp;frame=v-w243f83_ZU", "být (v-w243f83_ZU)")</f>
        <v>být (v-w243f83_ZU)</v>
      </c>
    </row>
    <row r="1783" spans="1:2" x14ac:dyDescent="0.2">
      <c r="B1783" t="s">
        <v>1</v>
      </c>
    </row>
    <row r="1784" spans="1:2" x14ac:dyDescent="0.2">
      <c r="B1784" t="s">
        <v>771</v>
      </c>
    </row>
    <row r="1785" spans="1:2" x14ac:dyDescent="0.2">
      <c r="B1785" t="s">
        <v>772</v>
      </c>
    </row>
    <row r="1787" spans="1:2" x14ac:dyDescent="0.2">
      <c r="A1787" t="s">
        <v>770</v>
      </c>
      <c r="B1787" t="str">
        <f>HYPERLINK("https://lindat.mff.cuni.cz/services/teitok/pdtc10/index.php?action=vallex&amp;frame=v-w243f76_ZU", "být (v-w243f76_ZU) - substituted with v-w243f83_ZU")</f>
        <v>být (v-w243f76_ZU) - substituted with v-w243f83_ZU</v>
      </c>
    </row>
    <row r="1788" spans="1:2" x14ac:dyDescent="0.2">
      <c r="B1788" t="s">
        <v>1</v>
      </c>
    </row>
    <row r="1789" spans="1:2" x14ac:dyDescent="0.2">
      <c r="B1789" t="s">
        <v>771</v>
      </c>
    </row>
    <row r="1790" spans="1:2" x14ac:dyDescent="0.2">
      <c r="B1790" t="s">
        <v>772</v>
      </c>
    </row>
    <row r="1792" spans="1:2" x14ac:dyDescent="0.2">
      <c r="A1792" t="s">
        <v>773</v>
      </c>
      <c r="B1792" t="str">
        <f>HYPERLINK("https://lindat.mff.cuni.cz/services/teitok/pdtc10/index.php?action=vallex&amp;frame=v-w243hsa_85", "být (v-w243hsa_85)")</f>
        <v>být (v-w243hsa_85)</v>
      </c>
    </row>
    <row r="1793" spans="1:2" x14ac:dyDescent="0.2">
      <c r="B1793" t="s">
        <v>1</v>
      </c>
    </row>
    <row r="1794" spans="1:2" x14ac:dyDescent="0.2">
      <c r="B1794" t="s">
        <v>774</v>
      </c>
    </row>
    <row r="1795" spans="1:2" x14ac:dyDescent="0.2">
      <c r="B1795" t="s">
        <v>775</v>
      </c>
    </row>
    <row r="1797" spans="1:2" x14ac:dyDescent="0.2">
      <c r="A1797" t="s">
        <v>776</v>
      </c>
      <c r="B1797" t="str">
        <f>HYPERLINK("https://lindat.mff.cuni.cz/services/teitok/pdtc10/index.php?action=vallex&amp;frame=v-w243hsa_88", "být (v-w243hsa_88)")</f>
        <v>být (v-w243hsa_88)</v>
      </c>
    </row>
    <row r="1798" spans="1:2" x14ac:dyDescent="0.2">
      <c r="B1798" t="s">
        <v>1</v>
      </c>
    </row>
    <row r="1799" spans="1:2" x14ac:dyDescent="0.2">
      <c r="B1799" t="s">
        <v>777</v>
      </c>
    </row>
    <row r="1801" spans="1:2" x14ac:dyDescent="0.2">
      <c r="A1801" t="s">
        <v>778</v>
      </c>
      <c r="B1801" t="str">
        <f>HYPERLINK("https://lindat.mff.cuni.cz/services/teitok/pdtc10/index.php?action=vallex&amp;frame=v-w243f128_ZU", "být (v-w243f128_ZU)")</f>
        <v>být (v-w243f128_ZU)</v>
      </c>
    </row>
    <row r="1802" spans="1:2" x14ac:dyDescent="0.2">
      <c r="B1802" t="s">
        <v>1</v>
      </c>
    </row>
    <row r="1803" spans="1:2" x14ac:dyDescent="0.2">
      <c r="B1803" t="s">
        <v>779</v>
      </c>
    </row>
    <row r="1805" spans="1:2" x14ac:dyDescent="0.2">
      <c r="A1805" t="s">
        <v>778</v>
      </c>
      <c r="B1805" t="str">
        <f>HYPERLINK("https://lindat.mff.cuni.cz/services/teitok/pdtc10/index.php?action=vallex&amp;frame=v-w243hsa_87", "být (v-w243hsa_87) - substituted with v-w243f128_ZU")</f>
        <v>být (v-w243hsa_87) - substituted with v-w243f128_ZU</v>
      </c>
    </row>
    <row r="1806" spans="1:2" x14ac:dyDescent="0.2">
      <c r="B1806" t="s">
        <v>1</v>
      </c>
    </row>
    <row r="1807" spans="1:2" x14ac:dyDescent="0.2">
      <c r="B1807" t="s">
        <v>779</v>
      </c>
    </row>
    <row r="1809" spans="1:2" x14ac:dyDescent="0.2">
      <c r="A1809" t="s">
        <v>780</v>
      </c>
      <c r="B1809" t="str">
        <f>HYPERLINK("https://lindat.mff.cuni.cz/services/teitok/pdtc10/index.php?action=vallex&amp;frame=v-w243f129_ZU", "být (v-w243f129_ZU)")</f>
        <v>být (v-w243f129_ZU)</v>
      </c>
    </row>
    <row r="1810" spans="1:2" x14ac:dyDescent="0.2">
      <c r="B1810" t="s">
        <v>488</v>
      </c>
    </row>
    <row r="1811" spans="1:2" x14ac:dyDescent="0.2">
      <c r="B1811" t="s">
        <v>781</v>
      </c>
    </row>
    <row r="1812" spans="1:2" x14ac:dyDescent="0.2">
      <c r="B1812" t="s">
        <v>269</v>
      </c>
    </row>
    <row r="1814" spans="1:2" x14ac:dyDescent="0.2">
      <c r="A1814" t="s">
        <v>780</v>
      </c>
      <c r="B1814" t="str">
        <f>HYPERLINK("https://lindat.mff.cuni.cz/services/teitok/pdtc10/index.php?action=vallex&amp;frame=v-w243hsa_105", "být (v-w243hsa_105) - substituted with v-w243f129_ZU")</f>
        <v>být (v-w243hsa_105) - substituted with v-w243f129_ZU</v>
      </c>
    </row>
    <row r="1815" spans="1:2" x14ac:dyDescent="0.2">
      <c r="B1815" t="s">
        <v>488</v>
      </c>
    </row>
    <row r="1816" spans="1:2" x14ac:dyDescent="0.2">
      <c r="B1816" t="s">
        <v>781</v>
      </c>
    </row>
    <row r="1817" spans="1:2" x14ac:dyDescent="0.2">
      <c r="B1817" t="s">
        <v>269</v>
      </c>
    </row>
    <row r="1819" spans="1:2" x14ac:dyDescent="0.2">
      <c r="A1819" t="s">
        <v>782</v>
      </c>
      <c r="B1819" t="str">
        <f>HYPERLINK("https://lindat.mff.cuni.cz/services/teitok/pdtc10/index.php?action=vallex&amp;frame=v-w243f130_ZU", "být (v-w243f130_ZU)")</f>
        <v>být (v-w243f130_ZU)</v>
      </c>
    </row>
    <row r="1820" spans="1:2" x14ac:dyDescent="0.2">
      <c r="B1820" t="s">
        <v>516</v>
      </c>
    </row>
    <row r="1821" spans="1:2" x14ac:dyDescent="0.2">
      <c r="B1821" t="s">
        <v>783</v>
      </c>
    </row>
    <row r="1823" spans="1:2" x14ac:dyDescent="0.2">
      <c r="A1823" t="s">
        <v>782</v>
      </c>
      <c r="B1823" t="str">
        <f>HYPERLINK("https://lindat.mff.cuni.cz/services/teitok/pdtc10/index.php?action=vallex&amp;frame=v-w243hsa_65", "být (v-w243hsa_65) - substituted with v-w243f130_ZU")</f>
        <v>být (v-w243hsa_65) - substituted with v-w243f130_ZU</v>
      </c>
    </row>
    <row r="1824" spans="1:2" x14ac:dyDescent="0.2">
      <c r="B1824" t="s">
        <v>516</v>
      </c>
    </row>
    <row r="1825" spans="1:2" x14ac:dyDescent="0.2">
      <c r="B1825" t="s">
        <v>783</v>
      </c>
    </row>
    <row r="1827" spans="1:2" x14ac:dyDescent="0.2">
      <c r="A1827" t="s">
        <v>784</v>
      </c>
      <c r="B1827" t="str">
        <f>HYPERLINK("https://lindat.mff.cuni.cz/services/teitok/pdtc10/index.php?action=vallex&amp;frame=v-w243f131_ZU", "být (v-w243f131_ZU)")</f>
        <v>být (v-w243f131_ZU)</v>
      </c>
    </row>
    <row r="1828" spans="1:2" x14ac:dyDescent="0.2">
      <c r="B1828" t="s">
        <v>1</v>
      </c>
    </row>
    <row r="1829" spans="1:2" x14ac:dyDescent="0.2">
      <c r="B1829" t="s">
        <v>785</v>
      </c>
    </row>
    <row r="1831" spans="1:2" x14ac:dyDescent="0.2">
      <c r="A1831" t="s">
        <v>784</v>
      </c>
      <c r="B1831" t="str">
        <f>HYPERLINK("https://lindat.mff.cuni.cz/services/teitok/pdtc10/index.php?action=vallex&amp;frame=v-w243hsa_66", "být (v-w243hsa_66) - substituted with v-w243f131_ZU")</f>
        <v>být (v-w243hsa_66) - substituted with v-w243f131_ZU</v>
      </c>
    </row>
    <row r="1832" spans="1:2" x14ac:dyDescent="0.2">
      <c r="B1832" t="s">
        <v>1</v>
      </c>
    </row>
    <row r="1833" spans="1:2" x14ac:dyDescent="0.2">
      <c r="B1833" t="s">
        <v>785</v>
      </c>
    </row>
    <row r="1835" spans="1:2" x14ac:dyDescent="0.2">
      <c r="A1835" t="s">
        <v>786</v>
      </c>
      <c r="B1835" t="str">
        <f>HYPERLINK("https://lindat.mff.cuni.cz/services/teitok/pdtc10/index.php?action=vallex&amp;frame=v-w243f132_ZU", "být (v-w243f132_ZU)")</f>
        <v>být (v-w243f132_ZU)</v>
      </c>
    </row>
    <row r="1836" spans="1:2" x14ac:dyDescent="0.2">
      <c r="B1836" t="s">
        <v>1</v>
      </c>
    </row>
    <row r="1837" spans="1:2" x14ac:dyDescent="0.2">
      <c r="B1837" t="s">
        <v>787</v>
      </c>
    </row>
    <row r="1839" spans="1:2" x14ac:dyDescent="0.2">
      <c r="A1839" t="s">
        <v>786</v>
      </c>
      <c r="B1839" t="str">
        <f>HYPERLINK("https://lindat.mff.cuni.cz/services/teitok/pdtc10/index.php?action=vallex&amp;frame=v-w243hsa_68", "být (v-w243hsa_68) - substituted with v-w243f132_ZU")</f>
        <v>být (v-w243hsa_68) - substituted with v-w243f132_ZU</v>
      </c>
    </row>
    <row r="1840" spans="1:2" x14ac:dyDescent="0.2">
      <c r="B1840" t="s">
        <v>1</v>
      </c>
    </row>
    <row r="1841" spans="1:2" x14ac:dyDescent="0.2">
      <c r="B1841" t="s">
        <v>787</v>
      </c>
    </row>
    <row r="1843" spans="1:2" x14ac:dyDescent="0.2">
      <c r="A1843" t="s">
        <v>788</v>
      </c>
      <c r="B1843" t="str">
        <f>HYPERLINK("https://lindat.mff.cuni.cz/services/teitok/pdtc10/index.php?action=vallex&amp;frame=v-w243f133_ZU", "být (v-w243f133_ZU)")</f>
        <v>být (v-w243f133_ZU)</v>
      </c>
    </row>
    <row r="1844" spans="1:2" x14ac:dyDescent="0.2">
      <c r="B1844" t="s">
        <v>1</v>
      </c>
    </row>
    <row r="1845" spans="1:2" x14ac:dyDescent="0.2">
      <c r="B1845" t="s">
        <v>789</v>
      </c>
    </row>
    <row r="1847" spans="1:2" x14ac:dyDescent="0.2">
      <c r="A1847" t="s">
        <v>788</v>
      </c>
      <c r="B1847" t="str">
        <f>HYPERLINK("https://lindat.mff.cuni.cz/services/teitok/pdtc10/index.php?action=vallex&amp;frame=v-w243hsa_69", "být (v-w243hsa_69) - substituted with v-w243f133_ZU")</f>
        <v>být (v-w243hsa_69) - substituted with v-w243f133_ZU</v>
      </c>
    </row>
    <row r="1848" spans="1:2" x14ac:dyDescent="0.2">
      <c r="B1848" t="s">
        <v>1</v>
      </c>
    </row>
    <row r="1849" spans="1:2" x14ac:dyDescent="0.2">
      <c r="B1849" t="s">
        <v>789</v>
      </c>
    </row>
    <row r="1851" spans="1:2" x14ac:dyDescent="0.2">
      <c r="A1851" t="s">
        <v>790</v>
      </c>
      <c r="B1851" t="str">
        <f>HYPERLINK("https://lindat.mff.cuni.cz/services/teitok/pdtc10/index.php?action=vallex&amp;frame=v-w243f134_ZU", "být (v-w243f134_ZU)")</f>
        <v>být (v-w243f134_ZU)</v>
      </c>
    </row>
    <row r="1852" spans="1:2" x14ac:dyDescent="0.2">
      <c r="B1852" t="s">
        <v>1</v>
      </c>
    </row>
    <row r="1853" spans="1:2" x14ac:dyDescent="0.2">
      <c r="B1853" t="s">
        <v>791</v>
      </c>
    </row>
    <row r="1855" spans="1:2" x14ac:dyDescent="0.2">
      <c r="A1855" t="s">
        <v>790</v>
      </c>
      <c r="B1855" t="str">
        <f>HYPERLINK("https://lindat.mff.cuni.cz/services/teitok/pdtc10/index.php?action=vallex&amp;frame=v-w243hsa_70", "být (v-w243hsa_70) - substituted with v-w243f134_ZU")</f>
        <v>být (v-w243hsa_70) - substituted with v-w243f134_ZU</v>
      </c>
    </row>
    <row r="1856" spans="1:2" x14ac:dyDescent="0.2">
      <c r="B1856" t="s">
        <v>1</v>
      </c>
    </row>
    <row r="1857" spans="1:2" x14ac:dyDescent="0.2">
      <c r="B1857" t="s">
        <v>791</v>
      </c>
    </row>
    <row r="1859" spans="1:2" x14ac:dyDescent="0.2">
      <c r="A1859" t="s">
        <v>792</v>
      </c>
      <c r="B1859" t="str">
        <f>HYPERLINK("https://lindat.mff.cuni.cz/services/teitok/pdtc10/index.php?action=vallex&amp;frame=v-w243f135_ZU", "být (v-w243f135_ZU)")</f>
        <v>být (v-w243f135_ZU)</v>
      </c>
    </row>
    <row r="1860" spans="1:2" x14ac:dyDescent="0.2">
      <c r="B1860" t="s">
        <v>1</v>
      </c>
    </row>
    <row r="1861" spans="1:2" x14ac:dyDescent="0.2">
      <c r="B1861" t="s">
        <v>793</v>
      </c>
    </row>
    <row r="1862" spans="1:2" x14ac:dyDescent="0.2">
      <c r="B1862" t="s">
        <v>168</v>
      </c>
    </row>
    <row r="1864" spans="1:2" x14ac:dyDescent="0.2">
      <c r="A1864" t="s">
        <v>792</v>
      </c>
      <c r="B1864" t="str">
        <f>HYPERLINK("https://lindat.mff.cuni.cz/services/teitok/pdtc10/index.php?action=vallex&amp;frame=v-w243hsa_74", "být (v-w243hsa_74) - substituted with v-w243f135_ZU")</f>
        <v>být (v-w243hsa_74) - substituted with v-w243f135_ZU</v>
      </c>
    </row>
    <row r="1865" spans="1:2" x14ac:dyDescent="0.2">
      <c r="B1865" t="s">
        <v>1</v>
      </c>
    </row>
    <row r="1866" spans="1:2" x14ac:dyDescent="0.2">
      <c r="B1866" t="s">
        <v>793</v>
      </c>
    </row>
    <row r="1867" spans="1:2" x14ac:dyDescent="0.2">
      <c r="B1867" t="s">
        <v>168</v>
      </c>
    </row>
    <row r="1869" spans="1:2" x14ac:dyDescent="0.2">
      <c r="A1869" t="s">
        <v>794</v>
      </c>
      <c r="B1869" t="str">
        <f>HYPERLINK("https://lindat.mff.cuni.cz/services/teitok/pdtc10/index.php?action=vallex&amp;frame=v-w243f139_ZU", "být (v-w243f139_ZU)")</f>
        <v>být (v-w243f139_ZU)</v>
      </c>
    </row>
    <row r="1870" spans="1:2" x14ac:dyDescent="0.2">
      <c r="B1870" t="s">
        <v>1</v>
      </c>
    </row>
    <row r="1871" spans="1:2" x14ac:dyDescent="0.2">
      <c r="B1871" t="s">
        <v>795</v>
      </c>
    </row>
    <row r="1873" spans="1:2" x14ac:dyDescent="0.2">
      <c r="A1873" t="s">
        <v>794</v>
      </c>
      <c r="B1873" t="str">
        <f>HYPERLINK("https://lindat.mff.cuni.cz/services/teitok/pdtc10/index.php?action=vallex&amp;frame=v-w243hsa_73", "být (v-w243hsa_73) - substituted with v-w243f139_ZU")</f>
        <v>být (v-w243hsa_73) - substituted with v-w243f139_ZU</v>
      </c>
    </row>
    <row r="1874" spans="1:2" x14ac:dyDescent="0.2">
      <c r="B1874" t="s">
        <v>1</v>
      </c>
    </row>
    <row r="1875" spans="1:2" x14ac:dyDescent="0.2">
      <c r="B1875" t="s">
        <v>795</v>
      </c>
    </row>
    <row r="1877" spans="1:2" x14ac:dyDescent="0.2">
      <c r="A1877" t="s">
        <v>796</v>
      </c>
      <c r="B1877" t="str">
        <f>HYPERLINK("https://lindat.mff.cuni.cz/services/teitok/pdtc10/index.php?action=vallex&amp;frame=v-w243f140_ZU", "být (v-w243f140_ZU)")</f>
        <v>být (v-w243f140_ZU)</v>
      </c>
    </row>
    <row r="1878" spans="1:2" x14ac:dyDescent="0.2">
      <c r="B1878" t="s">
        <v>1</v>
      </c>
    </row>
    <row r="1879" spans="1:2" x14ac:dyDescent="0.2">
      <c r="B1879" t="s">
        <v>797</v>
      </c>
    </row>
    <row r="1881" spans="1:2" x14ac:dyDescent="0.2">
      <c r="A1881" t="s">
        <v>796</v>
      </c>
      <c r="B1881" t="str">
        <f>HYPERLINK("https://lindat.mff.cuni.cz/services/teitok/pdtc10/index.php?action=vallex&amp;frame=v-w243hsa_71", "být (v-w243hsa_71) - substituted with v-w243f140_ZU")</f>
        <v>být (v-w243hsa_71) - substituted with v-w243f140_ZU</v>
      </c>
    </row>
    <row r="1882" spans="1:2" x14ac:dyDescent="0.2">
      <c r="B1882" t="s">
        <v>1</v>
      </c>
    </row>
    <row r="1883" spans="1:2" x14ac:dyDescent="0.2">
      <c r="B1883" t="s">
        <v>797</v>
      </c>
    </row>
    <row r="1885" spans="1:2" x14ac:dyDescent="0.2">
      <c r="A1885" t="s">
        <v>798</v>
      </c>
      <c r="B1885" t="str">
        <f>HYPERLINK("https://lindat.mff.cuni.cz/services/teitok/pdtc10/index.php?action=vallex&amp;frame=v-w243f141_ZU", "být (v-w243f141_ZU)")</f>
        <v>být (v-w243f141_ZU)</v>
      </c>
    </row>
    <row r="1886" spans="1:2" x14ac:dyDescent="0.2">
      <c r="B1886" t="s">
        <v>761</v>
      </c>
    </row>
    <row r="1887" spans="1:2" x14ac:dyDescent="0.2">
      <c r="B1887" t="s">
        <v>799</v>
      </c>
    </row>
    <row r="1889" spans="1:2" x14ac:dyDescent="0.2">
      <c r="A1889" t="s">
        <v>798</v>
      </c>
      <c r="B1889" t="str">
        <f>HYPERLINK("https://lindat.mff.cuni.cz/services/teitok/pdtc10/index.php?action=vallex&amp;frame=v-w243hsa_75", "být (v-w243hsa_75) - substituted with v-w243f141_ZU")</f>
        <v>být (v-w243hsa_75) - substituted with v-w243f141_ZU</v>
      </c>
    </row>
    <row r="1890" spans="1:2" x14ac:dyDescent="0.2">
      <c r="B1890" t="s">
        <v>761</v>
      </c>
    </row>
    <row r="1891" spans="1:2" x14ac:dyDescent="0.2">
      <c r="B1891" t="s">
        <v>799</v>
      </c>
    </row>
    <row r="1893" spans="1:2" x14ac:dyDescent="0.2">
      <c r="A1893" t="s">
        <v>800</v>
      </c>
      <c r="B1893" t="str">
        <f>HYPERLINK("https://lindat.mff.cuni.cz/services/teitok/pdtc10/index.php?action=vallex&amp;frame=v-w243f142_ZU", "být (v-w243f142_ZU)")</f>
        <v>být (v-w243f142_ZU)</v>
      </c>
    </row>
    <row r="1894" spans="1:2" x14ac:dyDescent="0.2">
      <c r="B1894" t="s">
        <v>1</v>
      </c>
    </row>
    <row r="1895" spans="1:2" x14ac:dyDescent="0.2">
      <c r="B1895" t="s">
        <v>801</v>
      </c>
    </row>
    <row r="1897" spans="1:2" x14ac:dyDescent="0.2">
      <c r="A1897" t="s">
        <v>800</v>
      </c>
      <c r="B1897" t="str">
        <f>HYPERLINK("https://lindat.mff.cuni.cz/services/teitok/pdtc10/index.php?action=vallex&amp;frame=v-w243hsa_76", "být (v-w243hsa_76) - substituted with v-w243f142_ZU")</f>
        <v>být (v-w243hsa_76) - substituted with v-w243f142_ZU</v>
      </c>
    </row>
    <row r="1898" spans="1:2" x14ac:dyDescent="0.2">
      <c r="B1898" t="s">
        <v>1</v>
      </c>
    </row>
    <row r="1899" spans="1:2" x14ac:dyDescent="0.2">
      <c r="B1899" t="s">
        <v>801</v>
      </c>
    </row>
    <row r="1901" spans="1:2" x14ac:dyDescent="0.2">
      <c r="A1901" t="s">
        <v>802</v>
      </c>
      <c r="B1901" t="str">
        <f>HYPERLINK("https://lindat.mff.cuni.cz/services/teitok/pdtc10/index.php?action=vallex&amp;frame=v-w243f143_ZU", "být (v-w243f143_ZU)")</f>
        <v>být (v-w243f143_ZU)</v>
      </c>
    </row>
    <row r="1902" spans="1:2" x14ac:dyDescent="0.2">
      <c r="B1902" t="s">
        <v>1</v>
      </c>
    </row>
    <row r="1903" spans="1:2" x14ac:dyDescent="0.2">
      <c r="B1903" t="s">
        <v>803</v>
      </c>
    </row>
    <row r="1905" spans="1:2" x14ac:dyDescent="0.2">
      <c r="A1905" t="s">
        <v>802</v>
      </c>
      <c r="B1905" t="str">
        <f>HYPERLINK("https://lindat.mff.cuni.cz/services/teitok/pdtc10/index.php?action=vallex&amp;frame=v-w243hsa_77", "být (v-w243hsa_77) - substituted with v-w243f143_ZU")</f>
        <v>být (v-w243hsa_77) - substituted with v-w243f143_ZU</v>
      </c>
    </row>
    <row r="1906" spans="1:2" x14ac:dyDescent="0.2">
      <c r="B1906" t="s">
        <v>1</v>
      </c>
    </row>
    <row r="1907" spans="1:2" x14ac:dyDescent="0.2">
      <c r="B1907" t="s">
        <v>803</v>
      </c>
    </row>
    <row r="1909" spans="1:2" x14ac:dyDescent="0.2">
      <c r="A1909" t="s">
        <v>804</v>
      </c>
      <c r="B1909" t="str">
        <f>HYPERLINK("https://lindat.mff.cuni.cz/services/teitok/pdtc10/index.php?action=vallex&amp;frame=v-w243f144_ZU", "být (v-w243f144_ZU)")</f>
        <v>být (v-w243f144_ZU)</v>
      </c>
    </row>
    <row r="1910" spans="1:2" x14ac:dyDescent="0.2">
      <c r="B1910" t="s">
        <v>1</v>
      </c>
    </row>
    <row r="1911" spans="1:2" x14ac:dyDescent="0.2">
      <c r="B1911" t="s">
        <v>805</v>
      </c>
    </row>
    <row r="1912" spans="1:2" x14ac:dyDescent="0.2">
      <c r="B1912" t="s">
        <v>411</v>
      </c>
    </row>
    <row r="1914" spans="1:2" x14ac:dyDescent="0.2">
      <c r="A1914" t="s">
        <v>804</v>
      </c>
      <c r="B1914" t="str">
        <f>HYPERLINK("https://lindat.mff.cuni.cz/services/teitok/pdtc10/index.php?action=vallex&amp;frame=v-w243hsa_78", "být (v-w243hsa_78) - substituted with v-w243f144_ZU")</f>
        <v>být (v-w243hsa_78) - substituted with v-w243f144_ZU</v>
      </c>
    </row>
    <row r="1915" spans="1:2" x14ac:dyDescent="0.2">
      <c r="B1915" t="s">
        <v>1</v>
      </c>
    </row>
    <row r="1916" spans="1:2" x14ac:dyDescent="0.2">
      <c r="B1916" t="s">
        <v>805</v>
      </c>
    </row>
    <row r="1917" spans="1:2" x14ac:dyDescent="0.2">
      <c r="B1917" t="s">
        <v>411</v>
      </c>
    </row>
    <row r="1919" spans="1:2" x14ac:dyDescent="0.2">
      <c r="A1919" t="s">
        <v>806</v>
      </c>
      <c r="B1919" t="str">
        <f>HYPERLINK("https://lindat.mff.cuni.cz/services/teitok/pdtc10/index.php?action=vallex&amp;frame=v-w243f145_ZU", "být (v-w243f145_ZU)")</f>
        <v>být (v-w243f145_ZU)</v>
      </c>
    </row>
    <row r="1920" spans="1:2" x14ac:dyDescent="0.2">
      <c r="B1920" t="s">
        <v>1</v>
      </c>
    </row>
    <row r="1921" spans="1:2" x14ac:dyDescent="0.2">
      <c r="B1921" t="s">
        <v>807</v>
      </c>
    </row>
    <row r="1923" spans="1:2" x14ac:dyDescent="0.2">
      <c r="A1923" t="s">
        <v>806</v>
      </c>
      <c r="B1923" t="str">
        <f>HYPERLINK("https://lindat.mff.cuni.cz/services/teitok/pdtc10/index.php?action=vallex&amp;frame=v-w243hsa_79", "být (v-w243hsa_79) - substituted with v-w243f145_ZU")</f>
        <v>být (v-w243hsa_79) - substituted with v-w243f145_ZU</v>
      </c>
    </row>
    <row r="1924" spans="1:2" x14ac:dyDescent="0.2">
      <c r="B1924" t="s">
        <v>1</v>
      </c>
    </row>
    <row r="1925" spans="1:2" x14ac:dyDescent="0.2">
      <c r="B1925" t="s">
        <v>807</v>
      </c>
    </row>
    <row r="1927" spans="1:2" x14ac:dyDescent="0.2">
      <c r="A1927" t="s">
        <v>808</v>
      </c>
      <c r="B1927" t="str">
        <f>HYPERLINK("https://lindat.mff.cuni.cz/services/teitok/pdtc10/index.php?action=vallex&amp;frame=v-w243f146_ZU", "být (v-w243f146_ZU)")</f>
        <v>být (v-w243f146_ZU)</v>
      </c>
    </row>
    <row r="1928" spans="1:2" x14ac:dyDescent="0.2">
      <c r="B1928" t="s">
        <v>1</v>
      </c>
    </row>
    <row r="1929" spans="1:2" x14ac:dyDescent="0.2">
      <c r="B1929" t="s">
        <v>809</v>
      </c>
    </row>
    <row r="1930" spans="1:2" x14ac:dyDescent="0.2">
      <c r="B1930" t="s">
        <v>411</v>
      </c>
    </row>
    <row r="1932" spans="1:2" x14ac:dyDescent="0.2">
      <c r="A1932" t="s">
        <v>808</v>
      </c>
      <c r="B1932" t="str">
        <f>HYPERLINK("https://lindat.mff.cuni.cz/services/teitok/pdtc10/index.php?action=vallex&amp;frame=v-w243hsb_80", "být (v-w243hsb_80) - substituted with v-w243f146_ZU")</f>
        <v>být (v-w243hsb_80) - substituted with v-w243f146_ZU</v>
      </c>
    </row>
    <row r="1933" spans="1:2" x14ac:dyDescent="0.2">
      <c r="B1933" t="s">
        <v>1</v>
      </c>
    </row>
    <row r="1934" spans="1:2" x14ac:dyDescent="0.2">
      <c r="B1934" t="s">
        <v>809</v>
      </c>
    </row>
    <row r="1935" spans="1:2" x14ac:dyDescent="0.2">
      <c r="B1935" t="s">
        <v>411</v>
      </c>
    </row>
    <row r="1937" spans="1:2" x14ac:dyDescent="0.2">
      <c r="A1937" t="s">
        <v>810</v>
      </c>
      <c r="B1937" t="str">
        <f>HYPERLINK("https://lindat.mff.cuni.cz/services/teitok/pdtc10/index.php?action=vallex&amp;frame=v-w243f147_ZU", "být (v-w243f147_ZU)")</f>
        <v>být (v-w243f147_ZU)</v>
      </c>
    </row>
    <row r="1938" spans="1:2" x14ac:dyDescent="0.2">
      <c r="B1938" t="s">
        <v>811</v>
      </c>
    </row>
    <row r="1939" spans="1:2" x14ac:dyDescent="0.2">
      <c r="B1939" t="s">
        <v>812</v>
      </c>
    </row>
    <row r="1941" spans="1:2" x14ac:dyDescent="0.2">
      <c r="A1941" t="s">
        <v>810</v>
      </c>
      <c r="B1941" t="str">
        <f>HYPERLINK("https://lindat.mff.cuni.cz/services/teitok/pdtc10/index.php?action=vallex&amp;frame=v-w243hsb_81", "být (v-w243hsb_81) - substituted with v-w243f147_ZU")</f>
        <v>být (v-w243hsb_81) - substituted with v-w243f147_ZU</v>
      </c>
    </row>
    <row r="1942" spans="1:2" x14ac:dyDescent="0.2">
      <c r="B1942" t="s">
        <v>811</v>
      </c>
    </row>
    <row r="1943" spans="1:2" x14ac:dyDescent="0.2">
      <c r="B1943" t="s">
        <v>812</v>
      </c>
    </row>
    <row r="1945" spans="1:2" x14ac:dyDescent="0.2">
      <c r="A1945" t="s">
        <v>813</v>
      </c>
      <c r="B1945" t="str">
        <f>HYPERLINK("https://lindat.mff.cuni.cz/services/teitok/pdtc10/index.php?action=vallex&amp;frame=v-w243f148_ZU", "být (v-w243f148_ZU)")</f>
        <v>být (v-w243f148_ZU)</v>
      </c>
    </row>
    <row r="1946" spans="1:2" x14ac:dyDescent="0.2">
      <c r="B1946" t="s">
        <v>814</v>
      </c>
    </row>
    <row r="1948" spans="1:2" x14ac:dyDescent="0.2">
      <c r="A1948" t="s">
        <v>813</v>
      </c>
      <c r="B1948" t="str">
        <f>HYPERLINK("https://lindat.mff.cuni.cz/services/teitok/pdtc10/index.php?action=vallex&amp;frame=v-w243hsb_82", "být (v-w243hsb_82) - substituted with v-w243f148_ZU")</f>
        <v>být (v-w243hsb_82) - substituted with v-w243f148_ZU</v>
      </c>
    </row>
    <row r="1949" spans="1:2" x14ac:dyDescent="0.2">
      <c r="B1949" t="s">
        <v>814</v>
      </c>
    </row>
    <row r="1951" spans="1:2" x14ac:dyDescent="0.2">
      <c r="A1951" t="s">
        <v>815</v>
      </c>
      <c r="B1951" t="str">
        <f>HYPERLINK("https://lindat.mff.cuni.cz/services/teitok/pdtc10/index.php?action=vallex&amp;frame=v-w243f149_ZU", "být (v-w243f149_ZU)")</f>
        <v>být (v-w243f149_ZU)</v>
      </c>
    </row>
    <row r="1952" spans="1:2" x14ac:dyDescent="0.2">
      <c r="B1952" t="s">
        <v>1</v>
      </c>
    </row>
    <row r="1953" spans="1:2" x14ac:dyDescent="0.2">
      <c r="B1953" t="s">
        <v>816</v>
      </c>
    </row>
    <row r="1954" spans="1:2" x14ac:dyDescent="0.2">
      <c r="B1954" t="s">
        <v>817</v>
      </c>
    </row>
    <row r="1956" spans="1:2" x14ac:dyDescent="0.2">
      <c r="A1956" t="s">
        <v>815</v>
      </c>
      <c r="B1956" t="str">
        <f>HYPERLINK("https://lindat.mff.cuni.cz/services/teitok/pdtc10/index.php?action=vallex&amp;frame=v-w243hsb_83", "být (v-w243hsb_83) - substituted with v-w243f149_ZU")</f>
        <v>být (v-w243hsb_83) - substituted with v-w243f149_ZU</v>
      </c>
    </row>
    <row r="1957" spans="1:2" x14ac:dyDescent="0.2">
      <c r="B1957" t="s">
        <v>1</v>
      </c>
    </row>
    <row r="1958" spans="1:2" x14ac:dyDescent="0.2">
      <c r="B1958" t="s">
        <v>816</v>
      </c>
    </row>
    <row r="1959" spans="1:2" x14ac:dyDescent="0.2">
      <c r="B1959" t="s">
        <v>817</v>
      </c>
    </row>
    <row r="1961" spans="1:2" x14ac:dyDescent="0.2">
      <c r="A1961" t="s">
        <v>818</v>
      </c>
      <c r="B1961" t="str">
        <f>HYPERLINK("https://lindat.mff.cuni.cz/services/teitok/pdtc10/index.php?action=vallex&amp;frame=v-w243f151_ZU", "být (v-w243f151_ZU)")</f>
        <v>být (v-w243f151_ZU)</v>
      </c>
    </row>
    <row r="1962" spans="1:2" x14ac:dyDescent="0.2">
      <c r="B1962" t="s">
        <v>1</v>
      </c>
    </row>
    <row r="1963" spans="1:2" x14ac:dyDescent="0.2">
      <c r="B1963" t="s">
        <v>819</v>
      </c>
    </row>
    <row r="1965" spans="1:2" x14ac:dyDescent="0.2">
      <c r="A1965" t="s">
        <v>818</v>
      </c>
      <c r="B1965" t="str">
        <f>HYPERLINK("https://lindat.mff.cuni.cz/services/teitok/pdtc10/index.php?action=vallex&amp;frame=v-w243f150_ZU", "být (v-w243f150_ZU) - substituted with v-w243f151_ZU")</f>
        <v>být (v-w243f150_ZU) - substituted with v-w243f151_ZU</v>
      </c>
    </row>
    <row r="1966" spans="1:2" x14ac:dyDescent="0.2">
      <c r="B1966" t="s">
        <v>1</v>
      </c>
    </row>
    <row r="1967" spans="1:2" x14ac:dyDescent="0.2">
      <c r="B1967" t="s">
        <v>819</v>
      </c>
    </row>
    <row r="1969" spans="1:2" x14ac:dyDescent="0.2">
      <c r="A1969" t="s">
        <v>818</v>
      </c>
      <c r="B1969" t="str">
        <f>HYPERLINK("https://lindat.mff.cuni.cz/services/teitok/pdtc10/index.php?action=vallex&amp;frame=v-w243hsa_67", "být (v-w243hsa_67) - substituted with v-w243f151_ZU")</f>
        <v>být (v-w243hsa_67) - substituted with v-w243f151_ZU</v>
      </c>
    </row>
    <row r="1970" spans="1:2" x14ac:dyDescent="0.2">
      <c r="B1970" t="s">
        <v>1</v>
      </c>
    </row>
    <row r="1971" spans="1:2" x14ac:dyDescent="0.2">
      <c r="B1971" t="s">
        <v>819</v>
      </c>
    </row>
    <row r="1973" spans="1:2" x14ac:dyDescent="0.2">
      <c r="A1973" t="s">
        <v>820</v>
      </c>
      <c r="B1973" t="str">
        <f>HYPERLINK("https://lindat.mff.cuni.cz/services/teitok/pdtc10/index.php?action=vallex&amp;frame=v-w243f153_ZU", "být (v-w243f153_ZU)")</f>
        <v>být (v-w243f153_ZU)</v>
      </c>
    </row>
    <row r="1974" spans="1:2" x14ac:dyDescent="0.2">
      <c r="B1974" t="s">
        <v>196</v>
      </c>
    </row>
    <row r="1975" spans="1:2" x14ac:dyDescent="0.2">
      <c r="B1975" t="s">
        <v>821</v>
      </c>
    </row>
    <row r="1977" spans="1:2" x14ac:dyDescent="0.2">
      <c r="A1977" t="s">
        <v>822</v>
      </c>
      <c r="B1977" t="str">
        <f>HYPERLINK("https://lindat.mff.cuni.cz/services/teitok/pdtc10/index.php?action=vallex&amp;frame=v-w243f154_ZU", "být (v-w243f154_ZU)")</f>
        <v>být (v-w243f154_ZU)</v>
      </c>
    </row>
    <row r="1978" spans="1:2" x14ac:dyDescent="0.2">
      <c r="B1978" t="s">
        <v>1</v>
      </c>
    </row>
    <row r="1979" spans="1:2" x14ac:dyDescent="0.2">
      <c r="B1979" t="s">
        <v>823</v>
      </c>
    </row>
    <row r="1981" spans="1:2" x14ac:dyDescent="0.2">
      <c r="A1981" t="s">
        <v>824</v>
      </c>
      <c r="B1981" t="str">
        <f>HYPERLINK("https://lindat.mff.cuni.cz/services/teitok/pdtc10/index.php?action=vallex&amp;frame=v-w243f155_ZU", "být (v-w243f155_ZU)")</f>
        <v>být (v-w243f155_ZU)</v>
      </c>
    </row>
    <row r="1982" spans="1:2" x14ac:dyDescent="0.2">
      <c r="B1982" t="s">
        <v>1</v>
      </c>
    </row>
    <row r="1983" spans="1:2" x14ac:dyDescent="0.2">
      <c r="B1983" t="s">
        <v>825</v>
      </c>
    </row>
    <row r="1985" spans="1:2" x14ac:dyDescent="0.2">
      <c r="A1985" t="s">
        <v>826</v>
      </c>
      <c r="B1985" t="str">
        <f>HYPERLINK("https://lindat.mff.cuni.cz/services/teitok/pdtc10/index.php?action=vallex&amp;frame=v-w243f156_ZU", "být (v-w243f156_ZU)")</f>
        <v>být (v-w243f156_ZU)</v>
      </c>
    </row>
    <row r="1986" spans="1:2" x14ac:dyDescent="0.2">
      <c r="B1986" t="s">
        <v>196</v>
      </c>
    </row>
    <row r="1987" spans="1:2" x14ac:dyDescent="0.2">
      <c r="B1987" t="s">
        <v>827</v>
      </c>
    </row>
    <row r="1989" spans="1:2" x14ac:dyDescent="0.2">
      <c r="A1989" t="s">
        <v>826</v>
      </c>
      <c r="B1989" t="str">
        <f>HYPERLINK("https://lindat.mff.cuni.cz/services/teitok/pdtc10/index.php?action=vallex&amp;frame=v-w243f152_ZU", "být (v-w243f152_ZU) - substituted with v-w243f156_ZU")</f>
        <v>být (v-w243f152_ZU) - substituted with v-w243f156_ZU</v>
      </c>
    </row>
    <row r="1990" spans="1:2" x14ac:dyDescent="0.2">
      <c r="B1990" t="s">
        <v>196</v>
      </c>
    </row>
    <row r="1991" spans="1:2" x14ac:dyDescent="0.2">
      <c r="B1991" t="s">
        <v>827</v>
      </c>
    </row>
    <row r="1993" spans="1:2" x14ac:dyDescent="0.2">
      <c r="A1993" t="s">
        <v>828</v>
      </c>
      <c r="B1993" t="str">
        <f>HYPERLINK("https://lindat.mff.cuni.cz/services/teitok/pdtc10/index.php?action=vallex&amp;frame=v-w243f159_ZU", "být (v-w243f159_ZU)")</f>
        <v>být (v-w243f159_ZU)</v>
      </c>
    </row>
    <row r="1994" spans="1:2" x14ac:dyDescent="0.2">
      <c r="B1994" t="s">
        <v>1</v>
      </c>
    </row>
    <row r="1995" spans="1:2" x14ac:dyDescent="0.2">
      <c r="B1995" t="s">
        <v>829</v>
      </c>
    </row>
    <row r="1997" spans="1:2" x14ac:dyDescent="0.2">
      <c r="A1997" t="s">
        <v>830</v>
      </c>
      <c r="B1997" t="str">
        <f>HYPERLINK("https://lindat.mff.cuni.cz/services/teitok/pdtc10/index.php?action=vallex&amp;frame=v-w243f160_ZU", "být (v-w243f160_ZU)")</f>
        <v>být (v-w243f160_ZU)</v>
      </c>
    </row>
    <row r="1998" spans="1:2" x14ac:dyDescent="0.2">
      <c r="B1998" t="s">
        <v>1</v>
      </c>
    </row>
    <row r="1999" spans="1:2" x14ac:dyDescent="0.2">
      <c r="B1999" t="s">
        <v>831</v>
      </c>
    </row>
    <row r="2001" spans="1:2" x14ac:dyDescent="0.2">
      <c r="A2001" t="s">
        <v>832</v>
      </c>
      <c r="B2001" t="str">
        <f>HYPERLINK("https://lindat.mff.cuni.cz/services/teitok/pdtc10/index.php?action=vallex&amp;frame=v-w243f161_ZU", "být (v-w243f161_ZU)")</f>
        <v>být (v-w243f161_ZU)</v>
      </c>
    </row>
    <row r="2002" spans="1:2" x14ac:dyDescent="0.2">
      <c r="B2002" t="s">
        <v>516</v>
      </c>
    </row>
    <row r="2003" spans="1:2" x14ac:dyDescent="0.2">
      <c r="B2003" t="s">
        <v>833</v>
      </c>
    </row>
    <row r="2005" spans="1:2" x14ac:dyDescent="0.2">
      <c r="A2005" t="s">
        <v>834</v>
      </c>
      <c r="B2005" t="str">
        <f>HYPERLINK("https://lindat.mff.cuni.cz/services/teitok/pdtc10/index.php?action=vallex&amp;frame=v-w243f162_ZU", "být (v-w243f162_ZU)")</f>
        <v>být (v-w243f162_ZU)</v>
      </c>
    </row>
    <row r="2006" spans="1:2" x14ac:dyDescent="0.2">
      <c r="B2006" t="s">
        <v>1</v>
      </c>
    </row>
    <row r="2007" spans="1:2" x14ac:dyDescent="0.2">
      <c r="B2007" t="s">
        <v>19</v>
      </c>
    </row>
    <row r="2009" spans="1:2" x14ac:dyDescent="0.2">
      <c r="A2009" t="s">
        <v>835</v>
      </c>
      <c r="B2009" t="str">
        <f>HYPERLINK("https://lindat.mff.cuni.cz/services/teitok/pdtc10/index.php?action=vallex&amp;frame=v-w243f163_ZU", "být (v-w243f163_ZU)")</f>
        <v>být (v-w243f163_ZU)</v>
      </c>
    </row>
    <row r="2010" spans="1:2" x14ac:dyDescent="0.2">
      <c r="B2010" t="s">
        <v>836</v>
      </c>
    </row>
    <row r="2011" spans="1:2" x14ac:dyDescent="0.2">
      <c r="B2011" t="s">
        <v>837</v>
      </c>
    </row>
    <row r="2012" spans="1:2" x14ac:dyDescent="0.2">
      <c r="B2012" t="s">
        <v>511</v>
      </c>
    </row>
    <row r="2014" spans="1:2" x14ac:dyDescent="0.2">
      <c r="A2014" t="s">
        <v>838</v>
      </c>
      <c r="B2014" t="str">
        <f>HYPERLINK("https://lindat.mff.cuni.cz/services/teitok/pdtc10/index.php?action=vallex&amp;frame=v-w243f165_ZU", "být (v-w243f165_ZU)")</f>
        <v>být (v-w243f165_ZU)</v>
      </c>
    </row>
    <row r="2015" spans="1:2" x14ac:dyDescent="0.2">
      <c r="B2015" t="s">
        <v>1</v>
      </c>
    </row>
    <row r="2016" spans="1:2" x14ac:dyDescent="0.2">
      <c r="B2016" t="s">
        <v>839</v>
      </c>
    </row>
    <row r="2018" spans="1:2" x14ac:dyDescent="0.2">
      <c r="A2018" t="s">
        <v>838</v>
      </c>
      <c r="B2018" t="str">
        <f>HYPERLINK("https://lindat.mff.cuni.cz/services/teitok/pdtc10/index.php?action=vallex&amp;frame=v-w243f157_ZU", "být (v-w243f157_ZU) - substituted with v-w243f165_ZU")</f>
        <v>být (v-w243f157_ZU) - substituted with v-w243f165_ZU</v>
      </c>
    </row>
    <row r="2019" spans="1:2" x14ac:dyDescent="0.2">
      <c r="B2019" t="s">
        <v>1</v>
      </c>
    </row>
    <row r="2020" spans="1:2" x14ac:dyDescent="0.2">
      <c r="B2020" t="s">
        <v>839</v>
      </c>
    </row>
    <row r="2022" spans="1:2" x14ac:dyDescent="0.2">
      <c r="A2022" t="s">
        <v>838</v>
      </c>
      <c r="B2022" t="str">
        <f>HYPERLINK("https://lindat.mff.cuni.cz/services/teitok/pdtc10/index.php?action=vallex&amp;frame=v-w243f158_ZU", "být (v-w243f158_ZU) - substituted with v-w243f165_ZU")</f>
        <v>být (v-w243f158_ZU) - substituted with v-w243f165_ZU</v>
      </c>
    </row>
    <row r="2023" spans="1:2" x14ac:dyDescent="0.2">
      <c r="B2023" t="s">
        <v>1</v>
      </c>
    </row>
    <row r="2024" spans="1:2" x14ac:dyDescent="0.2">
      <c r="B2024" t="s">
        <v>839</v>
      </c>
    </row>
    <row r="2026" spans="1:2" x14ac:dyDescent="0.2">
      <c r="A2026" t="s">
        <v>838</v>
      </c>
      <c r="B2026" t="str">
        <f>HYPERLINK("https://lindat.mff.cuni.cz/services/teitok/pdtc10/index.php?action=vallex&amp;frame=v-w243f164_ZU", "být (v-w243f164_ZU) - substituted with v-w243f165_ZU")</f>
        <v>být (v-w243f164_ZU) - substituted with v-w243f165_ZU</v>
      </c>
    </row>
    <row r="2027" spans="1:2" x14ac:dyDescent="0.2">
      <c r="B2027" t="s">
        <v>1</v>
      </c>
    </row>
    <row r="2028" spans="1:2" x14ac:dyDescent="0.2">
      <c r="B2028" t="s">
        <v>839</v>
      </c>
    </row>
    <row r="2030" spans="1:2" x14ac:dyDescent="0.2">
      <c r="A2030" t="s">
        <v>840</v>
      </c>
      <c r="B2030" t="str">
        <f>HYPERLINK("https://lindat.mff.cuni.cz/services/teitok/pdtc10/index.php?action=vallex&amp;frame=v-w243f166_ZU", "být (v-w243f166_ZU)")</f>
        <v>být (v-w243f166_ZU)</v>
      </c>
    </row>
    <row r="2031" spans="1:2" x14ac:dyDescent="0.2">
      <c r="B2031" t="s">
        <v>1</v>
      </c>
    </row>
    <row r="2032" spans="1:2" x14ac:dyDescent="0.2">
      <c r="B2032" t="s">
        <v>290</v>
      </c>
    </row>
    <row r="2034" spans="1:2" x14ac:dyDescent="0.2">
      <c r="A2034" t="s">
        <v>841</v>
      </c>
      <c r="B2034" t="str">
        <f>HYPERLINK("https://lindat.mff.cuni.cz/services/teitok/pdtc10/index.php?action=vallex&amp;frame=v-w243f167_ZU", "být (v-w243f167_ZU)")</f>
        <v>být (v-w243f167_ZU)</v>
      </c>
    </row>
    <row r="2035" spans="1:2" x14ac:dyDescent="0.2">
      <c r="B2035" t="s">
        <v>1</v>
      </c>
    </row>
    <row r="2036" spans="1:2" x14ac:dyDescent="0.2">
      <c r="B2036" t="s">
        <v>842</v>
      </c>
    </row>
    <row r="2038" spans="1:2" x14ac:dyDescent="0.2">
      <c r="A2038" t="s">
        <v>843</v>
      </c>
      <c r="B2038" t="str">
        <f>HYPERLINK("https://lindat.mff.cuni.cz/services/teitok/pdtc10/index.php?action=vallex&amp;frame=v-w243f168_ZU", "být (v-w243f168_ZU)")</f>
        <v>být (v-w243f168_ZU)</v>
      </c>
    </row>
    <row r="2039" spans="1:2" x14ac:dyDescent="0.2">
      <c r="B2039" t="s">
        <v>1</v>
      </c>
    </row>
    <row r="2040" spans="1:2" x14ac:dyDescent="0.2">
      <c r="B2040" t="s">
        <v>844</v>
      </c>
    </row>
    <row r="2042" spans="1:2" x14ac:dyDescent="0.2">
      <c r="A2042" t="s">
        <v>845</v>
      </c>
      <c r="B2042" t="str">
        <f>HYPERLINK("https://lindat.mff.cuni.cz/services/teitok/pdtc10/index.php?action=vallex&amp;frame=v-w243f169_ZU", "být (v-w243f169_ZU)")</f>
        <v>být (v-w243f169_ZU)</v>
      </c>
    </row>
    <row r="2043" spans="1:2" x14ac:dyDescent="0.2">
      <c r="B2043" t="s">
        <v>1</v>
      </c>
    </row>
    <row r="2044" spans="1:2" x14ac:dyDescent="0.2">
      <c r="B2044" t="s">
        <v>846</v>
      </c>
    </row>
    <row r="2046" spans="1:2" x14ac:dyDescent="0.2">
      <c r="A2046" t="s">
        <v>845</v>
      </c>
      <c r="B2046" t="str">
        <f>HYPERLINK("https://lindat.mff.cuni.cz/services/teitok/pdtc10/index.php?action=vallex&amp;frame=v-w243f138_ZU", "být (v-w243f138_ZU) - substituted with v-w243f169_ZU")</f>
        <v>být (v-w243f138_ZU) - substituted with v-w243f169_ZU</v>
      </c>
    </row>
    <row r="2047" spans="1:2" x14ac:dyDescent="0.2">
      <c r="B2047" t="s">
        <v>1</v>
      </c>
    </row>
    <row r="2048" spans="1:2" x14ac:dyDescent="0.2">
      <c r="B2048" t="s">
        <v>846</v>
      </c>
    </row>
    <row r="2050" spans="1:2" x14ac:dyDescent="0.2">
      <c r="A2050" t="s">
        <v>845</v>
      </c>
      <c r="B2050" t="str">
        <f>HYPERLINK("https://lindat.mff.cuni.cz/services/teitok/pdtc10/index.php?action=vallex&amp;frame=v-w243hsa_72", "být (v-w243hsa_72) - substituted with v-w243f169_ZU")</f>
        <v>být (v-w243hsa_72) - substituted with v-w243f169_ZU</v>
      </c>
    </row>
    <row r="2051" spans="1:2" x14ac:dyDescent="0.2">
      <c r="B2051" t="s">
        <v>1</v>
      </c>
    </row>
    <row r="2052" spans="1:2" x14ac:dyDescent="0.2">
      <c r="B2052" t="s">
        <v>846</v>
      </c>
    </row>
    <row r="2054" spans="1:2" x14ac:dyDescent="0.2">
      <c r="A2054" t="s">
        <v>847</v>
      </c>
      <c r="B2054" t="str">
        <f>HYPERLINK("https://lindat.mff.cuni.cz/services/teitok/pdtc10/index.php?action=vallex&amp;frame=v-w243f170_ZU", "být (v-w243f170_ZU)")</f>
        <v>být (v-w243f170_ZU)</v>
      </c>
    </row>
    <row r="2055" spans="1:2" x14ac:dyDescent="0.2">
      <c r="B2055" t="s">
        <v>1</v>
      </c>
    </row>
    <row r="2056" spans="1:2" x14ac:dyDescent="0.2">
      <c r="B2056" t="s">
        <v>848</v>
      </c>
    </row>
    <row r="2058" spans="1:2" x14ac:dyDescent="0.2">
      <c r="A2058" t="s">
        <v>849</v>
      </c>
      <c r="B2058" t="str">
        <f>HYPERLINK("https://lindat.mff.cuni.cz/services/teitok/pdtc10/index.php?action=vallex&amp;frame=v-w243f174_ZU", "být (v-w243f174_ZU)")</f>
        <v>být (v-w243f174_ZU)</v>
      </c>
    </row>
    <row r="2059" spans="1:2" x14ac:dyDescent="0.2">
      <c r="B2059" t="s">
        <v>1</v>
      </c>
    </row>
    <row r="2060" spans="1:2" x14ac:dyDescent="0.2">
      <c r="B2060" t="s">
        <v>850</v>
      </c>
    </row>
    <row r="2062" spans="1:2" x14ac:dyDescent="0.2">
      <c r="A2062" t="s">
        <v>851</v>
      </c>
      <c r="B2062" t="str">
        <f>HYPERLINK("https://lindat.mff.cuni.cz/services/teitok/pdtc10/index.php?action=vallex&amp;frame=v-w243f175_ZU", "být (v-w243f175_ZU)")</f>
        <v>být (v-w243f175_ZU)</v>
      </c>
    </row>
    <row r="2063" spans="1:2" x14ac:dyDescent="0.2">
      <c r="B2063" t="s">
        <v>1</v>
      </c>
    </row>
    <row r="2064" spans="1:2" x14ac:dyDescent="0.2">
      <c r="B2064" t="s">
        <v>852</v>
      </c>
    </row>
    <row r="2066" spans="1:2" x14ac:dyDescent="0.2">
      <c r="A2066" t="s">
        <v>853</v>
      </c>
      <c r="B2066" t="str">
        <f>HYPERLINK("https://lindat.mff.cuni.cz/services/teitok/pdtc10/index.php?action=vallex&amp;frame=v-w243f180_ZU", "být (v-w243f180_ZU)")</f>
        <v>být (v-w243f180_ZU)</v>
      </c>
    </row>
    <row r="2067" spans="1:2" x14ac:dyDescent="0.2">
      <c r="B2067" t="s">
        <v>1</v>
      </c>
    </row>
    <row r="2068" spans="1:2" x14ac:dyDescent="0.2">
      <c r="B2068" t="s">
        <v>854</v>
      </c>
    </row>
    <row r="2070" spans="1:2" x14ac:dyDescent="0.2">
      <c r="A2070" t="s">
        <v>855</v>
      </c>
      <c r="B2070" t="str">
        <f>HYPERLINK("https://lindat.mff.cuni.cz/services/teitok/pdtc10/index.php?action=vallex&amp;frame=v-w243f182_ZU", "být (v-w243f182_ZU)")</f>
        <v>být (v-w243f182_ZU)</v>
      </c>
    </row>
    <row r="2071" spans="1:2" x14ac:dyDescent="0.2">
      <c r="B2071" t="s">
        <v>1</v>
      </c>
    </row>
    <row r="2072" spans="1:2" x14ac:dyDescent="0.2">
      <c r="B2072" t="s">
        <v>856</v>
      </c>
    </row>
    <row r="2074" spans="1:2" x14ac:dyDescent="0.2">
      <c r="A2074" t="s">
        <v>857</v>
      </c>
      <c r="B2074" t="str">
        <f>HYPERLINK("https://lindat.mff.cuni.cz/services/teitok/pdtc10/index.php?action=vallex&amp;frame=v-w243f184_ZU", "být (v-w243f184_ZU)")</f>
        <v>být (v-w243f184_ZU)</v>
      </c>
    </row>
    <row r="2075" spans="1:2" x14ac:dyDescent="0.2">
      <c r="B2075" t="s">
        <v>1</v>
      </c>
    </row>
    <row r="2076" spans="1:2" x14ac:dyDescent="0.2">
      <c r="B2076" t="s">
        <v>858</v>
      </c>
    </row>
    <row r="2077" spans="1:2" x14ac:dyDescent="0.2">
      <c r="B2077" t="s">
        <v>859</v>
      </c>
    </row>
    <row r="2079" spans="1:2" x14ac:dyDescent="0.2">
      <c r="A2079" t="s">
        <v>857</v>
      </c>
      <c r="B2079" t="str">
        <f>HYPERLINK("https://lindat.mff.cuni.cz/services/teitok/pdtc10/index.php?action=vallex&amp;frame=v-w243f183_ZU", "být (v-w243f183_ZU) - substituted with v-w243f184_ZU")</f>
        <v>být (v-w243f183_ZU) - substituted with v-w243f184_ZU</v>
      </c>
    </row>
    <row r="2080" spans="1:2" x14ac:dyDescent="0.2">
      <c r="B2080" t="s">
        <v>1</v>
      </c>
    </row>
    <row r="2081" spans="1:2" x14ac:dyDescent="0.2">
      <c r="B2081" t="s">
        <v>858</v>
      </c>
    </row>
    <row r="2082" spans="1:2" x14ac:dyDescent="0.2">
      <c r="B2082" t="s">
        <v>859</v>
      </c>
    </row>
    <row r="2084" spans="1:2" x14ac:dyDescent="0.2">
      <c r="A2084" t="s">
        <v>860</v>
      </c>
      <c r="B2084" t="str">
        <f>HYPERLINK("https://lindat.mff.cuni.cz/services/teitok/pdtc10/index.php?action=vallex&amp;frame=v-w243f188_MM", "být (v-w243f188_MM)")</f>
        <v>být (v-w243f188_MM)</v>
      </c>
    </row>
    <row r="2085" spans="1:2" x14ac:dyDescent="0.2">
      <c r="B2085" t="s">
        <v>1</v>
      </c>
    </row>
    <row r="2086" spans="1:2" x14ac:dyDescent="0.2">
      <c r="B2086" t="s">
        <v>861</v>
      </c>
    </row>
    <row r="2088" spans="1:2" x14ac:dyDescent="0.2">
      <c r="A2088" t="s">
        <v>862</v>
      </c>
      <c r="B2088" t="str">
        <f>HYPERLINK("https://lindat.mff.cuni.cz/services/teitok/pdtc10/index.php?action=vallex&amp;frame=v-w243f189_MM", "být (v-w243f189_MM)")</f>
        <v>být (v-w243f189_MM)</v>
      </c>
    </row>
    <row r="2089" spans="1:2" x14ac:dyDescent="0.2">
      <c r="B2089" t="s">
        <v>1</v>
      </c>
    </row>
    <row r="2090" spans="1:2" x14ac:dyDescent="0.2">
      <c r="B2090" t="s">
        <v>863</v>
      </c>
    </row>
    <row r="2092" spans="1:2" x14ac:dyDescent="0.2">
      <c r="A2092" t="s">
        <v>864</v>
      </c>
      <c r="B2092" t="str">
        <f>HYPERLINK("https://lindat.mff.cuni.cz/services/teitok/pdtc10/index.php?action=vallex&amp;frame=v-w243f190_MM", "být (v-w243f190_MM)")</f>
        <v>být (v-w243f190_MM)</v>
      </c>
    </row>
    <row r="2093" spans="1:2" x14ac:dyDescent="0.2">
      <c r="B2093" t="s">
        <v>1</v>
      </c>
    </row>
    <row r="2094" spans="1:2" x14ac:dyDescent="0.2">
      <c r="B2094" t="s">
        <v>865</v>
      </c>
    </row>
    <row r="2095" spans="1:2" x14ac:dyDescent="0.2">
      <c r="B2095" t="s">
        <v>866</v>
      </c>
    </row>
    <row r="2097" spans="1:2" x14ac:dyDescent="0.2">
      <c r="A2097" t="s">
        <v>867</v>
      </c>
      <c r="B2097" t="str">
        <f>HYPERLINK("https://lindat.mff.cuni.cz/services/teitok/pdtc10/index.php?action=vallex&amp;frame=v-w243f191_MM", "být (v-w243f191_MM)")</f>
        <v>být (v-w243f191_MM)</v>
      </c>
    </row>
    <row r="2098" spans="1:2" x14ac:dyDescent="0.2">
      <c r="B2098" t="s">
        <v>1</v>
      </c>
    </row>
    <row r="2099" spans="1:2" x14ac:dyDescent="0.2">
      <c r="B2099" t="s">
        <v>868</v>
      </c>
    </row>
    <row r="2100" spans="1:2" x14ac:dyDescent="0.2">
      <c r="B2100" t="s">
        <v>247</v>
      </c>
    </row>
    <row r="2102" spans="1:2" x14ac:dyDescent="0.2">
      <c r="A2102" t="s">
        <v>869</v>
      </c>
      <c r="B2102" t="str">
        <f>HYPERLINK("https://lindat.mff.cuni.cz/services/teitok/pdtc10/index.php?action=vallex&amp;frame=v-w243f192_MM", "být (v-w243f192_MM)")</f>
        <v>být (v-w243f192_MM)</v>
      </c>
    </row>
    <row r="2103" spans="1:2" x14ac:dyDescent="0.2">
      <c r="B2103" t="s">
        <v>1</v>
      </c>
    </row>
    <row r="2104" spans="1:2" x14ac:dyDescent="0.2">
      <c r="B2104" t="s">
        <v>870</v>
      </c>
    </row>
    <row r="2106" spans="1:2" x14ac:dyDescent="0.2">
      <c r="A2106" t="s">
        <v>871</v>
      </c>
      <c r="B2106" t="str">
        <f>HYPERLINK("https://lindat.mff.cuni.cz/services/teitok/pdtc10/index.php?action=vallex&amp;frame=v-w243f193_MM", "být (v-w243f193_MM)")</f>
        <v>být (v-w243f193_MM)</v>
      </c>
    </row>
    <row r="2107" spans="1:2" x14ac:dyDescent="0.2">
      <c r="B2107" t="s">
        <v>543</v>
      </c>
    </row>
    <row r="2108" spans="1:2" x14ac:dyDescent="0.2">
      <c r="B2108" t="s">
        <v>872</v>
      </c>
    </row>
    <row r="2110" spans="1:2" x14ac:dyDescent="0.2">
      <c r="A2110" t="s">
        <v>873</v>
      </c>
      <c r="B2110" t="str">
        <f>HYPERLINK("https://lindat.mff.cuni.cz/services/teitok/pdtc10/index.php?action=vallex&amp;frame=v-w243f194_MM", "být (v-w243f194_MM)")</f>
        <v>být (v-w243f194_MM)</v>
      </c>
    </row>
    <row r="2111" spans="1:2" x14ac:dyDescent="0.2">
      <c r="B2111" t="s">
        <v>1</v>
      </c>
    </row>
    <row r="2112" spans="1:2" x14ac:dyDescent="0.2">
      <c r="B2112" t="s">
        <v>874</v>
      </c>
    </row>
    <row r="2114" spans="1:4" x14ac:dyDescent="0.2">
      <c r="A2114" t="s">
        <v>875</v>
      </c>
      <c r="B2114" t="str">
        <f>HYPERLINK("https://lindat.mff.cuni.cz/services/teitok/pdtc10/index.php?action=vallex&amp;frame=v-whsa_1156hsa_1157", "být si (v-whsa_1156hsa_1157)")</f>
        <v>být si (v-whsa_1156hsa_1157)</v>
      </c>
    </row>
    <row r="2115" spans="1:4" x14ac:dyDescent="0.2">
      <c r="B2115" t="s">
        <v>1</v>
      </c>
    </row>
    <row r="2116" spans="1:4" x14ac:dyDescent="0.2">
      <c r="B2116" t="s">
        <v>411</v>
      </c>
    </row>
    <row r="2117" spans="1:4" x14ac:dyDescent="0.2">
      <c r="B2117" t="s">
        <v>507</v>
      </c>
    </row>
    <row r="2119" spans="1:4" x14ac:dyDescent="0.2">
      <c r="A2119" t="s">
        <v>876</v>
      </c>
      <c r="B2119" t="str">
        <f>HYPERLINK("https://lindat.mff.cuni.cz/services/teitok/pdtc10/index.php?action=vallex&amp;frame=v-w245f20", "bývat (v-w245f20)")</f>
        <v>bývat (v-w245f20)</v>
      </c>
    </row>
    <row r="2120" spans="1:4" x14ac:dyDescent="0.2">
      <c r="B2120" t="s">
        <v>1</v>
      </c>
    </row>
    <row r="2121" spans="1:4" x14ac:dyDescent="0.2">
      <c r="B2121" t="s">
        <v>243</v>
      </c>
    </row>
    <row r="2122" spans="1:4" x14ac:dyDescent="0.2">
      <c r="B2122" t="s">
        <v>484</v>
      </c>
    </row>
    <row r="2124" spans="1:4" x14ac:dyDescent="0.2">
      <c r="A2124" t="s">
        <v>877</v>
      </c>
      <c r="B2124" t="str">
        <f>HYPERLINK("https://lindat.mff.cuni.cz/services/teitok/pdtc10/index.php?action=vallex&amp;frame=v-w245f3", "bývat (v-w245f3)")</f>
        <v>bývat (v-w245f3)</v>
      </c>
    </row>
    <row r="2125" spans="1:4" x14ac:dyDescent="0.2">
      <c r="B2125" t="s">
        <v>878</v>
      </c>
      <c r="C2125" t="s">
        <v>879</v>
      </c>
      <c r="D2125" t="s">
        <v>23039</v>
      </c>
    </row>
    <row r="2126" spans="1:4" x14ac:dyDescent="0.2">
      <c r="B2126" t="s">
        <v>880</v>
      </c>
      <c r="C2126" t="s">
        <v>881</v>
      </c>
      <c r="D2126" t="s">
        <v>23040</v>
      </c>
    </row>
    <row r="2128" spans="1:4" x14ac:dyDescent="0.2">
      <c r="A2128" t="s">
        <v>882</v>
      </c>
      <c r="B2128" t="str">
        <f>HYPERLINK("https://lindat.mff.cuni.cz/services/teitok/pdtc10/index.php?action=vallex&amp;frame=v-w245f15", "bývat (v-w245f15)")</f>
        <v>bývat (v-w245f15)</v>
      </c>
    </row>
    <row r="2129" spans="1:2" x14ac:dyDescent="0.2">
      <c r="B2129" t="s">
        <v>1</v>
      </c>
    </row>
    <row r="2130" spans="1:2" x14ac:dyDescent="0.2">
      <c r="B2130" t="s">
        <v>103</v>
      </c>
    </row>
    <row r="2132" spans="1:2" x14ac:dyDescent="0.2">
      <c r="A2132" t="s">
        <v>883</v>
      </c>
      <c r="B2132" t="str">
        <f>HYPERLINK("https://lindat.mff.cuni.cz/services/teitok/pdtc10/index.php?action=vallex&amp;frame=v-w245f24", "bývat (v-w245f24)")</f>
        <v>bývat (v-w245f24)</v>
      </c>
    </row>
    <row r="2133" spans="1:2" x14ac:dyDescent="0.2">
      <c r="B2133" t="s">
        <v>1</v>
      </c>
    </row>
    <row r="2134" spans="1:2" x14ac:dyDescent="0.2">
      <c r="B2134" t="s">
        <v>161</v>
      </c>
    </row>
    <row r="2136" spans="1:2" x14ac:dyDescent="0.2">
      <c r="A2136" t="s">
        <v>884</v>
      </c>
      <c r="B2136" t="str">
        <f>HYPERLINK("https://lindat.mff.cuni.cz/services/teitok/pdtc10/index.php?action=vallex&amp;frame=v-w245f6", "bývat (v-w245f6)")</f>
        <v>bývat (v-w245f6)</v>
      </c>
    </row>
    <row r="2137" spans="1:2" x14ac:dyDescent="0.2">
      <c r="B2137" t="s">
        <v>455</v>
      </c>
    </row>
    <row r="2138" spans="1:2" x14ac:dyDescent="0.2">
      <c r="B2138" t="s">
        <v>243</v>
      </c>
    </row>
    <row r="2140" spans="1:2" x14ac:dyDescent="0.2">
      <c r="A2140" t="s">
        <v>885</v>
      </c>
      <c r="B2140" t="str">
        <f>HYPERLINK("https://lindat.mff.cuni.cz/services/teitok/pdtc10/index.php?action=vallex&amp;frame=v-w245f8", "bývat (v-w245f8)")</f>
        <v>bývat (v-w245f8)</v>
      </c>
    </row>
    <row r="2141" spans="1:2" x14ac:dyDescent="0.2">
      <c r="B2141" t="s">
        <v>1</v>
      </c>
    </row>
    <row r="2142" spans="1:2" x14ac:dyDescent="0.2">
      <c r="B2142" t="s">
        <v>886</v>
      </c>
    </row>
    <row r="2144" spans="1:2" x14ac:dyDescent="0.2">
      <c r="A2144" t="s">
        <v>887</v>
      </c>
      <c r="B2144" t="str">
        <f>HYPERLINK("https://lindat.mff.cuni.cz/services/teitok/pdtc10/index.php?action=vallex&amp;frame=v-w245f9", "bývat (v-w245f9)")</f>
        <v>bývat (v-w245f9)</v>
      </c>
    </row>
    <row r="2145" spans="1:2" x14ac:dyDescent="0.2">
      <c r="B2145" t="s">
        <v>1</v>
      </c>
    </row>
    <row r="2146" spans="1:2" x14ac:dyDescent="0.2">
      <c r="B2146" t="s">
        <v>484</v>
      </c>
    </row>
    <row r="2148" spans="1:2" x14ac:dyDescent="0.2">
      <c r="A2148" t="s">
        <v>888</v>
      </c>
      <c r="B2148" t="str">
        <f>HYPERLINK("https://lindat.mff.cuni.cz/services/teitok/pdtc10/index.php?action=vallex&amp;frame=v-w245f4", "bývat (v-w245f4)")</f>
        <v>bývat (v-w245f4)</v>
      </c>
    </row>
    <row r="2149" spans="1:2" x14ac:dyDescent="0.2">
      <c r="B2149" t="s">
        <v>1</v>
      </c>
    </row>
    <row r="2150" spans="1:2" x14ac:dyDescent="0.2">
      <c r="B2150" t="s">
        <v>889</v>
      </c>
    </row>
    <row r="2152" spans="1:2" x14ac:dyDescent="0.2">
      <c r="A2152" t="s">
        <v>890</v>
      </c>
      <c r="B2152" t="str">
        <f>HYPERLINK("https://lindat.mff.cuni.cz/services/teitok/pdtc10/index.php?action=vallex&amp;frame=v-w245f12", "bývat (v-w245f12)")</f>
        <v>bývat (v-w245f12)</v>
      </c>
    </row>
    <row r="2153" spans="1:2" x14ac:dyDescent="0.2">
      <c r="B2153" t="s">
        <v>1</v>
      </c>
    </row>
    <row r="2154" spans="1:2" x14ac:dyDescent="0.2">
      <c r="B2154" t="s">
        <v>5</v>
      </c>
    </row>
    <row r="2156" spans="1:2" x14ac:dyDescent="0.2">
      <c r="A2156" t="s">
        <v>891</v>
      </c>
      <c r="B2156" t="str">
        <f>HYPERLINK("https://lindat.mff.cuni.cz/services/teitok/pdtc10/index.php?action=vallex&amp;frame=v-w245f13", "bývat (v-w245f13)")</f>
        <v>bývat (v-w245f13)</v>
      </c>
    </row>
    <row r="2157" spans="1:2" x14ac:dyDescent="0.2">
      <c r="B2157" t="s">
        <v>1</v>
      </c>
    </row>
    <row r="2158" spans="1:2" x14ac:dyDescent="0.2">
      <c r="B2158" t="s">
        <v>521</v>
      </c>
    </row>
    <row r="2160" spans="1:2" x14ac:dyDescent="0.2">
      <c r="A2160" t="s">
        <v>892</v>
      </c>
      <c r="B2160" t="str">
        <f>HYPERLINK("https://lindat.mff.cuni.cz/services/teitok/pdtc10/index.php?action=vallex&amp;frame=v-w245f7", "bývat (v-w245f7)")</f>
        <v>bývat (v-w245f7)</v>
      </c>
    </row>
    <row r="2161" spans="1:3" x14ac:dyDescent="0.2">
      <c r="B2161" t="s">
        <v>455</v>
      </c>
    </row>
    <row r="2162" spans="1:3" x14ac:dyDescent="0.2">
      <c r="B2162" t="s">
        <v>507</v>
      </c>
    </row>
    <row r="2164" spans="1:3" x14ac:dyDescent="0.2">
      <c r="A2164" t="s">
        <v>893</v>
      </c>
      <c r="B2164" t="str">
        <f>HYPERLINK("https://lindat.mff.cuni.cz/services/teitok/pdtc10/index.php?action=vallex&amp;frame=v-w245f11", "bývat (v-w245f11)")</f>
        <v>bývat (v-w245f11)</v>
      </c>
    </row>
    <row r="2165" spans="1:3" x14ac:dyDescent="0.2">
      <c r="B2165" t="s">
        <v>1</v>
      </c>
    </row>
    <row r="2166" spans="1:3" x14ac:dyDescent="0.2">
      <c r="B2166" t="s">
        <v>894</v>
      </c>
    </row>
    <row r="2168" spans="1:3" x14ac:dyDescent="0.2">
      <c r="A2168" t="s">
        <v>895</v>
      </c>
      <c r="B2168" t="str">
        <f>HYPERLINK("https://lindat.mff.cuni.cz/services/teitok/pdtc10/index.php?action=vallex&amp;frame=v-w245f22", "bývat (v-w245f22)")</f>
        <v>bývat (v-w245f22)</v>
      </c>
    </row>
    <row r="2169" spans="1:3" x14ac:dyDescent="0.2">
      <c r="B2169" t="s">
        <v>896</v>
      </c>
      <c r="C2169" t="s">
        <v>897</v>
      </c>
    </row>
    <row r="2171" spans="1:3" x14ac:dyDescent="0.2">
      <c r="A2171" t="s">
        <v>898</v>
      </c>
      <c r="B2171" t="str">
        <f>HYPERLINK("https://lindat.mff.cuni.cz/services/teitok/pdtc10/index.php?action=vallex&amp;frame=v-w245f1", "bývat (v-w245f1)")</f>
        <v>bývat (v-w245f1)</v>
      </c>
    </row>
    <row r="2172" spans="1:3" x14ac:dyDescent="0.2">
      <c r="B2172" t="s">
        <v>899</v>
      </c>
    </row>
    <row r="2174" spans="1:3" x14ac:dyDescent="0.2">
      <c r="A2174" t="s">
        <v>900</v>
      </c>
      <c r="B2174" t="str">
        <f>HYPERLINK("https://lindat.mff.cuni.cz/services/teitok/pdtc10/index.php?action=vallex&amp;frame=v-w245f2", "bývat (v-w245f2)")</f>
        <v>bývat (v-w245f2)</v>
      </c>
    </row>
    <row r="2175" spans="1:3" x14ac:dyDescent="0.2">
      <c r="B2175" t="s">
        <v>196</v>
      </c>
    </row>
    <row r="2177" spans="1:2" x14ac:dyDescent="0.2">
      <c r="A2177" t="s">
        <v>901</v>
      </c>
      <c r="B2177" t="str">
        <f>HYPERLINK("https://lindat.mff.cuni.cz/services/teitok/pdtc10/index.php?action=vallex&amp;frame=v-w245f10", "bývat (v-w245f10)")</f>
        <v>bývat (v-w245f10)</v>
      </c>
    </row>
    <row r="2178" spans="1:2" x14ac:dyDescent="0.2">
      <c r="B2178" t="s">
        <v>516</v>
      </c>
    </row>
    <row r="2180" spans="1:2" x14ac:dyDescent="0.2">
      <c r="A2180" t="s">
        <v>902</v>
      </c>
      <c r="B2180" t="str">
        <f>HYPERLINK("https://lindat.mff.cuni.cz/services/teitok/pdtc10/index.php?action=vallex&amp;frame=v-w245f19", "bývat (v-w245f19)")</f>
        <v>bývat (v-w245f19)</v>
      </c>
    </row>
    <row r="2181" spans="1:2" x14ac:dyDescent="0.2">
      <c r="B2181" t="s">
        <v>519</v>
      </c>
    </row>
    <row r="2183" spans="1:2" x14ac:dyDescent="0.2">
      <c r="A2183" t="s">
        <v>903</v>
      </c>
      <c r="B2183" t="str">
        <f>HYPERLINK("https://lindat.mff.cuni.cz/services/teitok/pdtc10/index.php?action=vallex&amp;frame=v-w245f5", "bývat (v-w245f5)")</f>
        <v>bývat (v-w245f5)</v>
      </c>
    </row>
    <row r="2184" spans="1:2" x14ac:dyDescent="0.2">
      <c r="B2184" t="s">
        <v>507</v>
      </c>
    </row>
    <row r="2186" spans="1:2" x14ac:dyDescent="0.2">
      <c r="A2186" t="s">
        <v>904</v>
      </c>
      <c r="B2186" t="str">
        <f>HYPERLINK("https://lindat.mff.cuni.cz/services/teitok/pdtc10/index.php?action=vallex&amp;frame=v-w245f14", "bývat (v-w245f14)")</f>
        <v>bývat (v-w245f14)</v>
      </c>
    </row>
    <row r="2187" spans="1:2" x14ac:dyDescent="0.2">
      <c r="B2187" t="s">
        <v>524</v>
      </c>
    </row>
    <row r="2189" spans="1:2" x14ac:dyDescent="0.2">
      <c r="A2189" t="s">
        <v>905</v>
      </c>
      <c r="B2189" t="str">
        <f>HYPERLINK("https://lindat.mff.cuni.cz/services/teitok/pdtc10/index.php?action=vallex&amp;frame=v-w245f21", "bývat (v-w245f21)")</f>
        <v>bývat (v-w245f21)</v>
      </c>
    </row>
    <row r="2190" spans="1:2" x14ac:dyDescent="0.2">
      <c r="B2190" t="s">
        <v>526</v>
      </c>
    </row>
    <row r="2192" spans="1:2" x14ac:dyDescent="0.2">
      <c r="A2192" t="s">
        <v>906</v>
      </c>
      <c r="B2192" t="str">
        <f>HYPERLINK("https://lindat.mff.cuni.cz/services/teitok/pdtc10/index.php?action=vallex&amp;frame=v-w245f16", "bývat (v-w245f16)")</f>
        <v>bývat (v-w245f16)</v>
      </c>
    </row>
    <row r="2193" spans="1:2" x14ac:dyDescent="0.2">
      <c r="B2193" t="s">
        <v>907</v>
      </c>
    </row>
    <row r="2194" spans="1:2" x14ac:dyDescent="0.2">
      <c r="B2194" t="s">
        <v>908</v>
      </c>
    </row>
    <row r="2195" spans="1:2" x14ac:dyDescent="0.2">
      <c r="B2195" t="s">
        <v>35</v>
      </c>
    </row>
    <row r="2197" spans="1:2" x14ac:dyDescent="0.2">
      <c r="A2197" t="s">
        <v>909</v>
      </c>
      <c r="B2197" t="str">
        <f>HYPERLINK("https://lindat.mff.cuni.cz/services/teitok/pdtc10/index.php?action=vallex&amp;frame=v-w245f17", "bývat (v-w245f17)")</f>
        <v>bývat (v-w245f17)</v>
      </c>
    </row>
    <row r="2198" spans="1:2" x14ac:dyDescent="0.2">
      <c r="B2198" t="s">
        <v>910</v>
      </c>
    </row>
    <row r="2199" spans="1:2" x14ac:dyDescent="0.2">
      <c r="B2199" t="s">
        <v>911</v>
      </c>
    </row>
    <row r="2201" spans="1:2" x14ac:dyDescent="0.2">
      <c r="A2201" t="s">
        <v>912</v>
      </c>
      <c r="B2201" t="str">
        <f>HYPERLINK("https://lindat.mff.cuni.cz/services/teitok/pdtc10/index.php?action=vallex&amp;frame=v-w245f18", "bývat (v-w245f18)")</f>
        <v>bývat (v-w245f18)</v>
      </c>
    </row>
    <row r="2202" spans="1:2" x14ac:dyDescent="0.2">
      <c r="B2202" t="s">
        <v>913</v>
      </c>
    </row>
    <row r="2203" spans="1:2" x14ac:dyDescent="0.2">
      <c r="B2203" t="s">
        <v>914</v>
      </c>
    </row>
    <row r="2205" spans="1:2" x14ac:dyDescent="0.2">
      <c r="A2205" t="s">
        <v>915</v>
      </c>
      <c r="B2205" t="str">
        <f>HYPERLINK("https://lindat.mff.cuni.cz/services/teitok/pdtc10/index.php?action=vallex&amp;frame=v-w245f23", "bývat (v-w245f23)")</f>
        <v>bývat (v-w245f23)</v>
      </c>
    </row>
    <row r="2206" spans="1:2" x14ac:dyDescent="0.2">
      <c r="B2206" t="s">
        <v>455</v>
      </c>
    </row>
    <row r="2207" spans="1:2" x14ac:dyDescent="0.2">
      <c r="B2207" t="s">
        <v>916</v>
      </c>
    </row>
    <row r="2208" spans="1:2" x14ac:dyDescent="0.2">
      <c r="B2208" t="s">
        <v>917</v>
      </c>
    </row>
    <row r="2210" spans="1:4" x14ac:dyDescent="0.2">
      <c r="A2210" t="s">
        <v>918</v>
      </c>
      <c r="B2210" t="str">
        <f>HYPERLINK("https://lindat.mff.cuni.cz/services/teitok/pdtc10/index.php?action=vallex&amp;frame=v-w246f1", "bývávat (v-w246f1)")</f>
        <v>bývávat (v-w246f1)</v>
      </c>
    </row>
    <row r="2211" spans="1:4" x14ac:dyDescent="0.2">
      <c r="B2211" t="s">
        <v>878</v>
      </c>
    </row>
    <row r="2212" spans="1:4" x14ac:dyDescent="0.2">
      <c r="B2212" t="s">
        <v>880</v>
      </c>
    </row>
    <row r="2214" spans="1:4" x14ac:dyDescent="0.2">
      <c r="A2214" t="s">
        <v>919</v>
      </c>
      <c r="B2214" t="str">
        <f>HYPERLINK("https://lindat.mff.cuni.cz/services/teitok/pdtc10/index.php?action=vallex&amp;frame=v-w246f2_ZU", "bývávat (v-w246f2_ZU)")</f>
        <v>bývávat (v-w246f2_ZU)</v>
      </c>
    </row>
    <row r="2215" spans="1:4" x14ac:dyDescent="0.2">
      <c r="B2215" t="s">
        <v>899</v>
      </c>
    </row>
    <row r="2217" spans="1:4" x14ac:dyDescent="0.2">
      <c r="A2217" t="s">
        <v>919</v>
      </c>
      <c r="B2217" t="str">
        <f>HYPERLINK("https://lindat.mff.cuni.cz/services/teitok/pdtc10/index.php?action=vallex&amp;frame=v-w246hsa_1226", "bývávat (v-w246hsa_1226) - substituted with v-w246f2_ZU")</f>
        <v>bývávat (v-w246hsa_1226) - substituted with v-w246f2_ZU</v>
      </c>
    </row>
    <row r="2218" spans="1:4" x14ac:dyDescent="0.2">
      <c r="B2218" t="s">
        <v>899</v>
      </c>
    </row>
    <row r="2220" spans="1:4" x14ac:dyDescent="0.2">
      <c r="A2220" t="s">
        <v>920</v>
      </c>
      <c r="B2220" t="str">
        <f>HYPERLINK("https://lindat.mff.cuni.cz/services/teitok/pdtc10/index.php?action=vallex&amp;frame=v-w133hsa_358", "bědovat (v-w133hsa_358)")</f>
        <v>bědovat (v-w133hsa_358)</v>
      </c>
    </row>
    <row r="2221" spans="1:4" x14ac:dyDescent="0.2">
      <c r="B2221" t="s">
        <v>1</v>
      </c>
      <c r="C2221" t="s">
        <v>33</v>
      </c>
      <c r="D2221" t="s">
        <v>4644</v>
      </c>
    </row>
    <row r="2222" spans="1:4" x14ac:dyDescent="0.2">
      <c r="B2222" t="s">
        <v>921</v>
      </c>
      <c r="C2222" t="s">
        <v>113</v>
      </c>
      <c r="D2222" t="s">
        <v>1351</v>
      </c>
    </row>
    <row r="2224" spans="1:4" x14ac:dyDescent="0.2">
      <c r="A2224" t="s">
        <v>920</v>
      </c>
      <c r="B2224" t="str">
        <f>HYPERLINK("https://lindat.mff.cuni.cz/services/teitok/pdtc10/index.php?action=vallex&amp;frame=v-w133f1", "bědovat (v-w133f1) - substituted with v-w133hsa_358")</f>
        <v>bědovat (v-w133f1) - substituted with v-w133hsa_358</v>
      </c>
    </row>
    <row r="2225" spans="1:4" x14ac:dyDescent="0.2">
      <c r="B2225" t="s">
        <v>1</v>
      </c>
    </row>
    <row r="2226" spans="1:4" x14ac:dyDescent="0.2">
      <c r="B2226" t="s">
        <v>921</v>
      </c>
    </row>
    <row r="2228" spans="1:4" x14ac:dyDescent="0.2">
      <c r="A2228" t="s">
        <v>922</v>
      </c>
      <c r="B2228" t="str">
        <f>HYPERLINK("https://lindat.mff.cuni.cz/services/teitok/pdtc10/index.php?action=vallex&amp;frame=v-w136f4", "běhat (v-w136f4)")</f>
        <v>běhat (v-w136f4)</v>
      </c>
    </row>
    <row r="2229" spans="1:4" x14ac:dyDescent="0.2">
      <c r="B2229" t="s">
        <v>1</v>
      </c>
    </row>
    <row r="2230" spans="1:4" x14ac:dyDescent="0.2">
      <c r="B2230" t="s">
        <v>8</v>
      </c>
    </row>
    <row r="2232" spans="1:4" x14ac:dyDescent="0.2">
      <c r="A2232" t="s">
        <v>923</v>
      </c>
      <c r="B2232" t="str">
        <f>HYPERLINK("https://lindat.mff.cuni.cz/services/teitok/pdtc10/index.php?action=vallex&amp;frame=v-w136f5_ZU", "běhat (v-w136f5_ZU)")</f>
        <v>běhat (v-w136f5_ZU)</v>
      </c>
    </row>
    <row r="2233" spans="1:4" x14ac:dyDescent="0.2">
      <c r="B2233" t="s">
        <v>1</v>
      </c>
    </row>
    <row r="2235" spans="1:4" x14ac:dyDescent="0.2">
      <c r="A2235" t="s">
        <v>923</v>
      </c>
      <c r="B2235" t="str">
        <f>HYPERLINK("https://lindat.mff.cuni.cz/services/teitok/pdtc10/index.php?action=vallex&amp;frame=v-w136f2", "běhat (v-w136f2) - substituted with v-w136f5_ZU")</f>
        <v>běhat (v-w136f2) - substituted with v-w136f5_ZU</v>
      </c>
    </row>
    <row r="2236" spans="1:4" x14ac:dyDescent="0.2">
      <c r="B2236" t="s">
        <v>1</v>
      </c>
      <c r="C2236" t="s">
        <v>33</v>
      </c>
      <c r="D2236" t="s">
        <v>133</v>
      </c>
    </row>
    <row r="2238" spans="1:4" x14ac:dyDescent="0.2">
      <c r="A2238" t="s">
        <v>924</v>
      </c>
      <c r="B2238" t="str">
        <f>HYPERLINK("https://lindat.mff.cuni.cz/services/teitok/pdtc10/index.php?action=vallex&amp;frame=v-w136f3", "běhat (v-w136f3)")</f>
        <v>běhat (v-w136f3)</v>
      </c>
    </row>
    <row r="2239" spans="1:4" x14ac:dyDescent="0.2">
      <c r="B2239" t="s">
        <v>1</v>
      </c>
      <c r="D2239" t="s">
        <v>23034</v>
      </c>
    </row>
    <row r="2241" spans="1:2" x14ac:dyDescent="0.2">
      <c r="A2241" t="s">
        <v>925</v>
      </c>
      <c r="B2241" t="str">
        <f>HYPERLINK("https://lindat.mff.cuni.cz/services/teitok/pdtc10/index.php?action=vallex&amp;frame=v-w136f1", "běhat (v-w136f1)")</f>
        <v>běhat (v-w136f1)</v>
      </c>
    </row>
    <row r="2242" spans="1:2" x14ac:dyDescent="0.2">
      <c r="B2242" t="s">
        <v>455</v>
      </c>
    </row>
    <row r="2243" spans="1:2" x14ac:dyDescent="0.2">
      <c r="B2243" t="s">
        <v>926</v>
      </c>
    </row>
    <row r="2245" spans="1:2" x14ac:dyDescent="0.2">
      <c r="A2245" t="s">
        <v>927</v>
      </c>
      <c r="B2245" t="str">
        <f>HYPERLINK("https://lindat.mff.cuni.cz/services/teitok/pdtc10/index.php?action=vallex&amp;frame=v-w136hsa_274", "běhat (v-w136hsa_274)")</f>
        <v>běhat (v-w136hsa_274)</v>
      </c>
    </row>
    <row r="2246" spans="1:2" x14ac:dyDescent="0.2">
      <c r="B2246" t="s">
        <v>1</v>
      </c>
    </row>
    <row r="2247" spans="1:2" x14ac:dyDescent="0.2">
      <c r="B2247" t="s">
        <v>90</v>
      </c>
    </row>
    <row r="2249" spans="1:2" x14ac:dyDescent="0.2">
      <c r="A2249" t="s">
        <v>928</v>
      </c>
      <c r="B2249" t="str">
        <f>HYPERLINK("https://lindat.mff.cuni.cz/services/teitok/pdtc10/index.php?action=vallex&amp;frame=v-whsa_1946hsa_1947", "bělat se (v-whsa_1946hsa_1947)")</f>
        <v>bělat se (v-whsa_1946hsa_1947)</v>
      </c>
    </row>
    <row r="2250" spans="1:2" x14ac:dyDescent="0.2">
      <c r="B2250" t="s">
        <v>1</v>
      </c>
    </row>
    <row r="2252" spans="1:2" x14ac:dyDescent="0.2">
      <c r="A2252" t="s">
        <v>929</v>
      </c>
      <c r="B2252" t="str">
        <f>HYPERLINK("https://lindat.mff.cuni.cz/services/teitok/pdtc10/index.php?action=vallex&amp;frame=v-w146f2", "běžet (v-w146f2)")</f>
        <v>běžet (v-w146f2)</v>
      </c>
    </row>
    <row r="2253" spans="1:2" x14ac:dyDescent="0.2">
      <c r="B2253" t="s">
        <v>1</v>
      </c>
    </row>
    <row r="2254" spans="1:2" x14ac:dyDescent="0.2">
      <c r="B2254" t="s">
        <v>8</v>
      </c>
    </row>
    <row r="2256" spans="1:2" x14ac:dyDescent="0.2">
      <c r="A2256" t="s">
        <v>930</v>
      </c>
      <c r="B2256" t="str">
        <f>HYPERLINK("https://lindat.mff.cuni.cz/services/teitok/pdtc10/index.php?action=vallex&amp;frame=v-w146f7", "běžet (v-w146f7)")</f>
        <v>běžet (v-w146f7)</v>
      </c>
    </row>
    <row r="2257" spans="1:4" x14ac:dyDescent="0.2">
      <c r="B2257" t="s">
        <v>455</v>
      </c>
    </row>
    <row r="2258" spans="1:4" x14ac:dyDescent="0.2">
      <c r="B2258" t="s">
        <v>467</v>
      </c>
    </row>
    <row r="2260" spans="1:4" x14ac:dyDescent="0.2">
      <c r="A2260" t="s">
        <v>931</v>
      </c>
      <c r="B2260" t="str">
        <f>HYPERLINK("https://lindat.mff.cuni.cz/services/teitok/pdtc10/index.php?action=vallex&amp;frame=v-w146f9_ZU", "běžet (v-w146f9_ZU)")</f>
        <v>běžet (v-w146f9_ZU)</v>
      </c>
    </row>
    <row r="2261" spans="1:4" x14ac:dyDescent="0.2">
      <c r="B2261" t="s">
        <v>1</v>
      </c>
    </row>
    <row r="2262" spans="1:4" x14ac:dyDescent="0.2">
      <c r="B2262" t="s">
        <v>90</v>
      </c>
    </row>
    <row r="2264" spans="1:4" x14ac:dyDescent="0.2">
      <c r="A2264" t="s">
        <v>931</v>
      </c>
      <c r="B2264" t="str">
        <f>HYPERLINK("https://lindat.mff.cuni.cz/services/teitok/pdtc10/index.php?action=vallex&amp;frame=v-w146f4", "běžet (v-w146f4) - substituted with v-w146f9_ZU")</f>
        <v>běžet (v-w146f4) - substituted with v-w146f9_ZU</v>
      </c>
    </row>
    <row r="2265" spans="1:4" x14ac:dyDescent="0.2">
      <c r="B2265" t="s">
        <v>1</v>
      </c>
      <c r="C2265" t="s">
        <v>932</v>
      </c>
      <c r="D2265" t="s">
        <v>3742</v>
      </c>
    </row>
    <row r="2266" spans="1:4" x14ac:dyDescent="0.2">
      <c r="B2266" t="s">
        <v>90</v>
      </c>
      <c r="C2266" t="s">
        <v>933</v>
      </c>
    </row>
    <row r="2268" spans="1:4" x14ac:dyDescent="0.2">
      <c r="A2268" t="s">
        <v>934</v>
      </c>
      <c r="B2268" t="str">
        <f>HYPERLINK("https://lindat.mff.cuni.cz/services/teitok/pdtc10/index.php?action=vallex&amp;frame=v-w146f1", "běžet (v-w146f1)")</f>
        <v>běžet (v-w146f1)</v>
      </c>
    </row>
    <row r="2269" spans="1:4" x14ac:dyDescent="0.2">
      <c r="B2269" t="s">
        <v>1</v>
      </c>
      <c r="C2269" t="s">
        <v>935</v>
      </c>
      <c r="D2269" t="s">
        <v>23041</v>
      </c>
    </row>
    <row r="2271" spans="1:4" x14ac:dyDescent="0.2">
      <c r="A2271" t="s">
        <v>936</v>
      </c>
      <c r="B2271" t="str">
        <f>HYPERLINK("https://lindat.mff.cuni.cz/services/teitok/pdtc10/index.php?action=vallex&amp;frame=v-w146f3", "běžet (v-w146f3)")</f>
        <v>běžet (v-w146f3)</v>
      </c>
    </row>
    <row r="2272" spans="1:4" x14ac:dyDescent="0.2">
      <c r="B2272" t="s">
        <v>1</v>
      </c>
      <c r="C2272" t="s">
        <v>133</v>
      </c>
      <c r="D2272" t="s">
        <v>7065</v>
      </c>
    </row>
    <row r="2274" spans="1:4" x14ac:dyDescent="0.2">
      <c r="A2274" t="s">
        <v>937</v>
      </c>
      <c r="B2274" t="str">
        <f>HYPERLINK("https://lindat.mff.cuni.cz/services/teitok/pdtc10/index.php?action=vallex&amp;frame=v-w146f6", "běžet (v-w146f6)")</f>
        <v>běžet (v-w146f6)</v>
      </c>
    </row>
    <row r="2275" spans="1:4" x14ac:dyDescent="0.2">
      <c r="B2275" t="s">
        <v>1</v>
      </c>
      <c r="C2275" t="s">
        <v>938</v>
      </c>
      <c r="D2275" t="s">
        <v>23034</v>
      </c>
    </row>
    <row r="2277" spans="1:4" x14ac:dyDescent="0.2">
      <c r="A2277" t="s">
        <v>939</v>
      </c>
      <c r="B2277" t="str">
        <f>HYPERLINK("https://lindat.mff.cuni.cz/services/teitok/pdtc10/index.php?action=vallex&amp;frame=v-w146f8_ZU", "běžet (v-w146f8_ZU)")</f>
        <v>běžet (v-w146f8_ZU)</v>
      </c>
    </row>
    <row r="2278" spans="1:4" x14ac:dyDescent="0.2">
      <c r="B2278" t="s">
        <v>1</v>
      </c>
      <c r="C2278" t="s">
        <v>940</v>
      </c>
      <c r="D2278" t="s">
        <v>23041</v>
      </c>
    </row>
    <row r="2280" spans="1:4" x14ac:dyDescent="0.2">
      <c r="A2280" t="s">
        <v>941</v>
      </c>
      <c r="B2280" t="str">
        <f>HYPERLINK("https://lindat.mff.cuni.cz/services/teitok/pdtc10/index.php?action=vallex&amp;frame=v-w146f5", "běžet (v-w146f5)")</f>
        <v>běžet (v-w146f5)</v>
      </c>
    </row>
    <row r="2281" spans="1:4" x14ac:dyDescent="0.2">
      <c r="B2281" t="s">
        <v>1</v>
      </c>
    </row>
    <row r="2282" spans="1:4" x14ac:dyDescent="0.2">
      <c r="B2282" t="s">
        <v>942</v>
      </c>
    </row>
    <row r="2284" spans="1:4" x14ac:dyDescent="0.2">
      <c r="A2284" t="s">
        <v>943</v>
      </c>
      <c r="B2284" t="str">
        <f>HYPERLINK("https://lindat.mff.cuni.cz/services/teitok/pdtc10/index.php?action=vallex&amp;frame=v-w146hsa_413", "běžet (v-w146hsa_413)")</f>
        <v>běžet (v-w146hsa_413)</v>
      </c>
    </row>
    <row r="2285" spans="1:4" x14ac:dyDescent="0.2">
      <c r="B2285" t="s">
        <v>1</v>
      </c>
    </row>
    <row r="2287" spans="1:4" x14ac:dyDescent="0.2">
      <c r="A2287" t="s">
        <v>944</v>
      </c>
      <c r="B2287" t="str">
        <f>HYPERLINK("https://lindat.mff.cuni.cz/services/teitok/pdtc10/index.php?action=vallex&amp;frame=v-w11959_ZUf1_ZU", "běžkařit (v-w11959_ZUf1_ZU)")</f>
        <v>běžkařit (v-w11959_ZUf1_ZU)</v>
      </c>
    </row>
    <row r="2288" spans="1:4" x14ac:dyDescent="0.2">
      <c r="B2288" t="s">
        <v>1</v>
      </c>
    </row>
    <row r="2290" spans="1:2" x14ac:dyDescent="0.2">
      <c r="A2290" t="s">
        <v>945</v>
      </c>
      <c r="B2290" t="str">
        <f>HYPERLINK("https://lindat.mff.cuni.cz/services/teitok/pdtc10/index.php?action=vallex&amp;frame=v-whsa_372hsa_373", "běžkovat (v-whsa_372hsa_373)")</f>
        <v>běžkovat (v-whsa_372hsa_373)</v>
      </c>
    </row>
    <row r="2291" spans="1:2" x14ac:dyDescent="0.2">
      <c r="B2291" t="s">
        <v>1</v>
      </c>
    </row>
    <row r="2293" spans="1:2" x14ac:dyDescent="0.2">
      <c r="A2293" t="s">
        <v>946</v>
      </c>
      <c r="B2293" t="str">
        <f>HYPERLINK("https://lindat.mff.cuni.cz/services/teitok/pdtc10/index.php?action=vallex&amp;frame=v-w11973_ZUf1_ZU", "cachtat se (v-w11973_ZUf1_ZU)")</f>
        <v>cachtat se (v-w11973_ZUf1_ZU)</v>
      </c>
    </row>
    <row r="2294" spans="1:2" x14ac:dyDescent="0.2">
      <c r="B2294" t="s">
        <v>1</v>
      </c>
    </row>
    <row r="2296" spans="1:2" x14ac:dyDescent="0.2">
      <c r="A2296" t="s">
        <v>947</v>
      </c>
      <c r="B2296" t="str">
        <f>HYPERLINK("https://lindat.mff.cuni.cz/services/teitok/pdtc10/index.php?action=vallex&amp;frame=v-w247f1", "cedit (v-w247f1)")</f>
        <v>cedit (v-w247f1)</v>
      </c>
    </row>
    <row r="2297" spans="1:2" x14ac:dyDescent="0.2">
      <c r="B2297" t="s">
        <v>1</v>
      </c>
    </row>
    <row r="2298" spans="1:2" x14ac:dyDescent="0.2">
      <c r="B2298" t="s">
        <v>948</v>
      </c>
    </row>
    <row r="2299" spans="1:2" x14ac:dyDescent="0.2">
      <c r="B2299" t="s">
        <v>949</v>
      </c>
    </row>
    <row r="2301" spans="1:2" x14ac:dyDescent="0.2">
      <c r="A2301" t="s">
        <v>950</v>
      </c>
      <c r="B2301" t="str">
        <f>HYPERLINK("https://lindat.mff.cuni.cz/services/teitok/pdtc10/index.php?action=vallex&amp;frame=v-w247f2_ZU", "cedit (v-w247f2_ZU)")</f>
        <v>cedit (v-w247f2_ZU)</v>
      </c>
    </row>
    <row r="2302" spans="1:2" x14ac:dyDescent="0.2">
      <c r="B2302" t="s">
        <v>1</v>
      </c>
    </row>
    <row r="2303" spans="1:2" x14ac:dyDescent="0.2">
      <c r="B2303" t="s">
        <v>8</v>
      </c>
    </row>
    <row r="2305" spans="1:2" x14ac:dyDescent="0.2">
      <c r="A2305" t="s">
        <v>951</v>
      </c>
      <c r="B2305" t="str">
        <f>HYPERLINK("https://lindat.mff.cuni.cz/services/teitok/pdtc10/index.php?action=vallex&amp;frame=v-w248f2", "cejchovat (v-w248f2)")</f>
        <v>cejchovat (v-w248f2)</v>
      </c>
    </row>
    <row r="2306" spans="1:2" x14ac:dyDescent="0.2">
      <c r="B2306" t="s">
        <v>1</v>
      </c>
    </row>
    <row r="2307" spans="1:2" x14ac:dyDescent="0.2">
      <c r="B2307" t="s">
        <v>8</v>
      </c>
    </row>
    <row r="2308" spans="1:2" x14ac:dyDescent="0.2">
      <c r="B2308" t="s">
        <v>952</v>
      </c>
    </row>
    <row r="2310" spans="1:2" x14ac:dyDescent="0.2">
      <c r="A2310" t="s">
        <v>953</v>
      </c>
      <c r="B2310" t="str">
        <f>HYPERLINK("https://lindat.mff.cuni.cz/services/teitok/pdtc10/index.php?action=vallex&amp;frame=v-w248f1", "cejchovat (v-w248f1)")</f>
        <v>cejchovat (v-w248f1)</v>
      </c>
    </row>
    <row r="2311" spans="1:2" x14ac:dyDescent="0.2">
      <c r="B2311" t="s">
        <v>1</v>
      </c>
    </row>
    <row r="2312" spans="1:2" x14ac:dyDescent="0.2">
      <c r="B2312" t="s">
        <v>8</v>
      </c>
    </row>
    <row r="2314" spans="1:2" x14ac:dyDescent="0.2">
      <c r="A2314" t="s">
        <v>954</v>
      </c>
      <c r="B2314" t="str">
        <f>HYPERLINK("https://lindat.mff.cuni.cz/services/teitok/pdtc10/index.php?action=vallex&amp;frame=v-w249f1", "ceknout (v-w249f1)")</f>
        <v>ceknout (v-w249f1)</v>
      </c>
    </row>
    <row r="2315" spans="1:2" x14ac:dyDescent="0.2">
      <c r="B2315" t="s">
        <v>1</v>
      </c>
    </row>
    <row r="2316" spans="1:2" x14ac:dyDescent="0.2">
      <c r="B2316" t="s">
        <v>955</v>
      </c>
    </row>
    <row r="2317" spans="1:2" x14ac:dyDescent="0.2">
      <c r="B2317" t="s">
        <v>78</v>
      </c>
    </row>
    <row r="2319" spans="1:2" x14ac:dyDescent="0.2">
      <c r="A2319" t="s">
        <v>956</v>
      </c>
      <c r="B2319" t="str">
        <f>HYPERLINK("https://lindat.mff.cuni.cz/services/teitok/pdtc10/index.php?action=vallex&amp;frame=v-w10992f2", "celebrovat (v-w10992f2)")</f>
        <v>celebrovat (v-w10992f2)</v>
      </c>
    </row>
    <row r="2320" spans="1:2" x14ac:dyDescent="0.2">
      <c r="B2320" t="s">
        <v>1</v>
      </c>
    </row>
    <row r="2321" spans="1:4" x14ac:dyDescent="0.2">
      <c r="B2321" t="s">
        <v>8</v>
      </c>
    </row>
    <row r="2323" spans="1:4" x14ac:dyDescent="0.2">
      <c r="A2323" t="s">
        <v>957</v>
      </c>
      <c r="B2323" t="str">
        <f>HYPERLINK("https://lindat.mff.cuni.cz/services/teitok/pdtc10/index.php?action=vallex&amp;frame=v-w250f1", "cementovat (v-w250f1)")</f>
        <v>cementovat (v-w250f1)</v>
      </c>
    </row>
    <row r="2324" spans="1:4" x14ac:dyDescent="0.2">
      <c r="B2324" t="s">
        <v>1</v>
      </c>
    </row>
    <row r="2325" spans="1:4" x14ac:dyDescent="0.2">
      <c r="B2325" t="s">
        <v>8</v>
      </c>
    </row>
    <row r="2327" spans="1:4" x14ac:dyDescent="0.2">
      <c r="A2327" t="s">
        <v>958</v>
      </c>
      <c r="B2327" t="str">
        <f>HYPERLINK("https://lindat.mff.cuni.cz/services/teitok/pdtc10/index.php?action=vallex&amp;frame=v-w252f2", "cenit (v-w252f2)")</f>
        <v>cenit (v-w252f2)</v>
      </c>
    </row>
    <row r="2328" spans="1:4" x14ac:dyDescent="0.2">
      <c r="B2328" t="s">
        <v>1</v>
      </c>
      <c r="C2328" t="s">
        <v>959</v>
      </c>
      <c r="D2328" t="s">
        <v>23042</v>
      </c>
    </row>
    <row r="2329" spans="1:4" x14ac:dyDescent="0.2">
      <c r="B2329" t="s">
        <v>41</v>
      </c>
      <c r="C2329" t="s">
        <v>960</v>
      </c>
      <c r="D2329" t="s">
        <v>23043</v>
      </c>
    </row>
    <row r="2330" spans="1:4" x14ac:dyDescent="0.2">
      <c r="B2330" t="s">
        <v>61</v>
      </c>
      <c r="C2330" t="s">
        <v>961</v>
      </c>
      <c r="D2330" t="s">
        <v>23044</v>
      </c>
    </row>
    <row r="2332" spans="1:4" x14ac:dyDescent="0.2">
      <c r="A2332" t="s">
        <v>962</v>
      </c>
      <c r="B2332" t="str">
        <f>HYPERLINK("https://lindat.mff.cuni.cz/services/teitok/pdtc10/index.php?action=vallex&amp;frame=v-w252f1", "cenit (v-w252f1)")</f>
        <v>cenit (v-w252f1)</v>
      </c>
    </row>
    <row r="2333" spans="1:4" x14ac:dyDescent="0.2">
      <c r="B2333" t="s">
        <v>1</v>
      </c>
      <c r="C2333" t="s">
        <v>33</v>
      </c>
    </row>
    <row r="2334" spans="1:4" x14ac:dyDescent="0.2">
      <c r="B2334" t="s">
        <v>8</v>
      </c>
    </row>
    <row r="2336" spans="1:4" x14ac:dyDescent="0.2">
      <c r="A2336" t="s">
        <v>963</v>
      </c>
      <c r="B2336" t="str">
        <f>HYPERLINK("https://lindat.mff.cuni.cz/services/teitok/pdtc10/index.php?action=vallex&amp;frame=v-w253f1", "cenit si (v-w253f1)")</f>
        <v>cenit si (v-w253f1)</v>
      </c>
    </row>
    <row r="2337" spans="1:4" x14ac:dyDescent="0.2">
      <c r="B2337" t="s">
        <v>1</v>
      </c>
      <c r="C2337" t="s">
        <v>964</v>
      </c>
    </row>
    <row r="2338" spans="1:4" x14ac:dyDescent="0.2">
      <c r="B2338" t="s">
        <v>965</v>
      </c>
      <c r="C2338" t="s">
        <v>116</v>
      </c>
    </row>
    <row r="2340" spans="1:4" x14ac:dyDescent="0.2">
      <c r="A2340" t="s">
        <v>966</v>
      </c>
      <c r="B2340" t="str">
        <f>HYPERLINK("https://lindat.mff.cuni.cz/services/teitok/pdtc10/index.php?action=vallex&amp;frame=v-w253hsa_1304", "cenit si (v-w253hsa_1304)")</f>
        <v>cenit si (v-w253hsa_1304)</v>
      </c>
    </row>
    <row r="2341" spans="1:4" x14ac:dyDescent="0.2">
      <c r="B2341" t="s">
        <v>1</v>
      </c>
      <c r="C2341" t="s">
        <v>967</v>
      </c>
      <c r="D2341" t="s">
        <v>23042</v>
      </c>
    </row>
    <row r="2342" spans="1:4" x14ac:dyDescent="0.2">
      <c r="B2342" t="s">
        <v>968</v>
      </c>
      <c r="C2342" t="s">
        <v>969</v>
      </c>
      <c r="D2342" t="s">
        <v>23043</v>
      </c>
    </row>
    <row r="2343" spans="1:4" x14ac:dyDescent="0.2">
      <c r="B2343" t="s">
        <v>61</v>
      </c>
      <c r="C2343" t="s">
        <v>970</v>
      </c>
      <c r="D2343" t="s">
        <v>23044</v>
      </c>
    </row>
    <row r="2345" spans="1:4" x14ac:dyDescent="0.2">
      <c r="A2345" t="s">
        <v>971</v>
      </c>
      <c r="B2345" t="str">
        <f>HYPERLINK("https://lindat.mff.cuni.cz/services/teitok/pdtc10/index.php?action=vallex&amp;frame=v-w257f1", "centralizovat (v-w257f1)")</f>
        <v>centralizovat (v-w257f1)</v>
      </c>
    </row>
    <row r="2346" spans="1:4" x14ac:dyDescent="0.2">
      <c r="B2346" t="s">
        <v>1</v>
      </c>
    </row>
    <row r="2347" spans="1:4" x14ac:dyDescent="0.2">
      <c r="B2347" t="s">
        <v>8</v>
      </c>
      <c r="C2347" t="s">
        <v>34</v>
      </c>
      <c r="D2347" t="s">
        <v>34</v>
      </c>
    </row>
    <row r="2349" spans="1:4" x14ac:dyDescent="0.2">
      <c r="A2349" t="s">
        <v>972</v>
      </c>
      <c r="B2349" t="str">
        <f>HYPERLINK("https://lindat.mff.cuni.cz/services/teitok/pdtc10/index.php?action=vallex&amp;frame=v-w258f1", "centrovat (v-w258f1)")</f>
        <v>centrovat (v-w258f1)</v>
      </c>
    </row>
    <row r="2350" spans="1:4" x14ac:dyDescent="0.2">
      <c r="B2350" t="s">
        <v>1</v>
      </c>
    </row>
    <row r="2352" spans="1:4" x14ac:dyDescent="0.2">
      <c r="A2352" t="s">
        <v>973</v>
      </c>
      <c r="B2352" t="str">
        <f>HYPERLINK("https://lindat.mff.cuni.cz/services/teitok/pdtc10/index.php?action=vallex&amp;frame=v-w11192f2", "cenzurovat (v-w11192f2)")</f>
        <v>cenzurovat (v-w11192f2)</v>
      </c>
    </row>
    <row r="2353" spans="1:4" x14ac:dyDescent="0.2">
      <c r="B2353" t="s">
        <v>1</v>
      </c>
      <c r="C2353" t="s">
        <v>33</v>
      </c>
      <c r="D2353" t="s">
        <v>33</v>
      </c>
    </row>
    <row r="2354" spans="1:4" x14ac:dyDescent="0.2">
      <c r="B2354" t="s">
        <v>8</v>
      </c>
      <c r="C2354" t="s">
        <v>113</v>
      </c>
      <c r="D2354" t="s">
        <v>113</v>
      </c>
    </row>
    <row r="2356" spans="1:4" x14ac:dyDescent="0.2">
      <c r="A2356" t="s">
        <v>974</v>
      </c>
      <c r="B2356" t="str">
        <f>HYPERLINK("https://lindat.mff.cuni.cz/services/teitok/pdtc10/index.php?action=vallex&amp;frame=v-w263f1", "cestovat (v-w263f1)")</f>
        <v>cestovat (v-w263f1)</v>
      </c>
    </row>
    <row r="2357" spans="1:4" x14ac:dyDescent="0.2">
      <c r="B2357" t="s">
        <v>1</v>
      </c>
      <c r="C2357" t="s">
        <v>967</v>
      </c>
      <c r="D2357" t="s">
        <v>23045</v>
      </c>
    </row>
    <row r="2359" spans="1:4" x14ac:dyDescent="0.2">
      <c r="A2359" t="s">
        <v>975</v>
      </c>
      <c r="B2359" t="str">
        <f>HYPERLINK("https://lindat.mff.cuni.cz/services/teitok/pdtc10/index.php?action=vallex&amp;frame=v-w1167f1", "charakterizovat (v-w1167f1)")</f>
        <v>charakterizovat (v-w1167f1)</v>
      </c>
    </row>
    <row r="2360" spans="1:4" x14ac:dyDescent="0.2">
      <c r="B2360" t="s">
        <v>1</v>
      </c>
      <c r="C2360" t="s">
        <v>976</v>
      </c>
      <c r="D2360" t="s">
        <v>102</v>
      </c>
    </row>
    <row r="2361" spans="1:4" x14ac:dyDescent="0.2">
      <c r="B2361" t="s">
        <v>8</v>
      </c>
      <c r="C2361" t="s">
        <v>977</v>
      </c>
      <c r="D2361" t="s">
        <v>23046</v>
      </c>
    </row>
    <row r="2363" spans="1:4" x14ac:dyDescent="0.2">
      <c r="A2363" t="s">
        <v>978</v>
      </c>
      <c r="B2363" t="str">
        <f>HYPERLINK("https://lindat.mff.cuni.cz/services/teitok/pdtc10/index.php?action=vallex&amp;frame=v-whsa_1601f1_ZU", "chatovat (v-whsa_1601f1_ZU)")</f>
        <v>chatovat (v-whsa_1601f1_ZU)</v>
      </c>
    </row>
    <row r="2364" spans="1:4" x14ac:dyDescent="0.2">
      <c r="B2364" t="s">
        <v>1</v>
      </c>
    </row>
    <row r="2365" spans="1:4" x14ac:dyDescent="0.2">
      <c r="B2365" t="s">
        <v>153</v>
      </c>
    </row>
    <row r="2366" spans="1:4" x14ac:dyDescent="0.2">
      <c r="B2366" t="s">
        <v>269</v>
      </c>
    </row>
    <row r="2368" spans="1:4" x14ac:dyDescent="0.2">
      <c r="A2368" t="s">
        <v>978</v>
      </c>
      <c r="B2368" t="str">
        <f>HYPERLINK("https://lindat.mff.cuni.cz/services/teitok/pdtc10/index.php?action=vallex&amp;frame=v-whsa_1601hsa_1602", "chatovat (v-whsa_1601hsa_1602) - substituted with v-whsa_1601f1_ZU")</f>
        <v>chatovat (v-whsa_1601hsa_1602) - substituted with v-whsa_1601f1_ZU</v>
      </c>
    </row>
    <row r="2369" spans="1:2" x14ac:dyDescent="0.2">
      <c r="B2369" t="s">
        <v>1</v>
      </c>
    </row>
    <row r="2370" spans="1:2" x14ac:dyDescent="0.2">
      <c r="B2370" t="s">
        <v>153</v>
      </c>
    </row>
    <row r="2371" spans="1:2" x14ac:dyDescent="0.2">
      <c r="B2371" t="s">
        <v>269</v>
      </c>
    </row>
    <row r="2373" spans="1:2" x14ac:dyDescent="0.2">
      <c r="A2373" t="s">
        <v>979</v>
      </c>
      <c r="B2373" t="str">
        <f>HYPERLINK("https://lindat.mff.cuni.cz/services/teitok/pdtc10/index.php?action=vallex&amp;frame=v-whsb_913hsa_914", "chcát (v-whsb_913hsa_914)")</f>
        <v>chcát (v-whsb_913hsa_914)</v>
      </c>
    </row>
    <row r="2374" spans="1:2" x14ac:dyDescent="0.2">
      <c r="B2374" t="s">
        <v>1</v>
      </c>
    </row>
    <row r="2376" spans="1:2" x14ac:dyDescent="0.2">
      <c r="A2376" t="s">
        <v>980</v>
      </c>
      <c r="B2376" t="str">
        <f>HYPERLINK("https://lindat.mff.cuni.cz/services/teitok/pdtc10/index.php?action=vallex&amp;frame=v-w1172f1", "chladit (v-w1172f1)")</f>
        <v>chladit (v-w1172f1)</v>
      </c>
    </row>
    <row r="2377" spans="1:2" x14ac:dyDescent="0.2">
      <c r="B2377" t="s">
        <v>1</v>
      </c>
    </row>
    <row r="2378" spans="1:2" x14ac:dyDescent="0.2">
      <c r="B2378" t="s">
        <v>8</v>
      </c>
    </row>
    <row r="2380" spans="1:2" x14ac:dyDescent="0.2">
      <c r="A2380" t="s">
        <v>981</v>
      </c>
      <c r="B2380" t="str">
        <f>HYPERLINK("https://lindat.mff.cuni.cz/services/teitok/pdtc10/index.php?action=vallex&amp;frame=v-w1173f1", "chladnout (v-w1173f1)")</f>
        <v>chladnout (v-w1173f1)</v>
      </c>
    </row>
    <row r="2381" spans="1:2" x14ac:dyDescent="0.2">
      <c r="B2381" t="s">
        <v>1</v>
      </c>
    </row>
    <row r="2383" spans="1:2" x14ac:dyDescent="0.2">
      <c r="A2383" t="s">
        <v>982</v>
      </c>
      <c r="B2383" t="str">
        <f>HYPERLINK("https://lindat.mff.cuni.cz/services/teitok/pdtc10/index.php?action=vallex&amp;frame=v-w1173f2", "chladnout (v-w1173f2)")</f>
        <v>chladnout (v-w1173f2)</v>
      </c>
    </row>
    <row r="2384" spans="1:2" x14ac:dyDescent="0.2">
      <c r="B2384" t="s">
        <v>1</v>
      </c>
    </row>
    <row r="2386" spans="1:4" x14ac:dyDescent="0.2">
      <c r="A2386" t="s">
        <v>983</v>
      </c>
      <c r="B2386" t="str">
        <f>HYPERLINK("https://lindat.mff.cuni.cz/services/teitok/pdtc10/index.php?action=vallex&amp;frame=v-w12095_ZUf1_ZU", "chlastat (v-w12095_ZUf1_ZU)")</f>
        <v>chlastat (v-w12095_ZUf1_ZU)</v>
      </c>
    </row>
    <row r="2387" spans="1:4" x14ac:dyDescent="0.2">
      <c r="B2387" t="s">
        <v>1</v>
      </c>
    </row>
    <row r="2388" spans="1:4" x14ac:dyDescent="0.2">
      <c r="B2388" t="s">
        <v>8</v>
      </c>
    </row>
    <row r="2390" spans="1:4" x14ac:dyDescent="0.2">
      <c r="A2390" t="s">
        <v>984</v>
      </c>
      <c r="B2390" t="str">
        <f>HYPERLINK("https://lindat.mff.cuni.cz/services/teitok/pdtc10/index.php?action=vallex&amp;frame=v-w1177f1", "chlubit se (v-w1177f1)")</f>
        <v>chlubit se (v-w1177f1)</v>
      </c>
    </row>
    <row r="2391" spans="1:4" x14ac:dyDescent="0.2">
      <c r="B2391" t="s">
        <v>1</v>
      </c>
      <c r="C2391" t="s">
        <v>985</v>
      </c>
      <c r="D2391" t="s">
        <v>4110</v>
      </c>
    </row>
    <row r="2392" spans="1:4" x14ac:dyDescent="0.2">
      <c r="B2392" t="s">
        <v>215</v>
      </c>
      <c r="C2392" t="s">
        <v>986</v>
      </c>
      <c r="D2392" t="s">
        <v>17</v>
      </c>
    </row>
    <row r="2393" spans="1:4" x14ac:dyDescent="0.2">
      <c r="B2393" t="s">
        <v>216</v>
      </c>
      <c r="C2393" t="s">
        <v>987</v>
      </c>
      <c r="D2393" t="s">
        <v>987</v>
      </c>
    </row>
    <row r="2395" spans="1:4" x14ac:dyDescent="0.2">
      <c r="A2395" t="s">
        <v>988</v>
      </c>
      <c r="B2395" t="str">
        <f>HYPERLINK("https://lindat.mff.cuni.cz/services/teitok/pdtc10/index.php?action=vallex&amp;frame=v-w1174f1", "chlácholit (v-w1174f1)")</f>
        <v>chlácholit (v-w1174f1)</v>
      </c>
    </row>
    <row r="2396" spans="1:4" x14ac:dyDescent="0.2">
      <c r="B2396" t="s">
        <v>1</v>
      </c>
      <c r="D2396" t="s">
        <v>23047</v>
      </c>
    </row>
    <row r="2397" spans="1:4" x14ac:dyDescent="0.2">
      <c r="B2397" t="s">
        <v>8</v>
      </c>
      <c r="D2397" t="s">
        <v>2747</v>
      </c>
    </row>
    <row r="2399" spans="1:4" x14ac:dyDescent="0.2">
      <c r="A2399" t="s">
        <v>989</v>
      </c>
      <c r="B2399" t="str">
        <f>HYPERLINK("https://lindat.mff.cuni.cz/services/teitok/pdtc10/index.php?action=vallex&amp;frame=v-w1179f6", "chodit (v-w1179f6)")</f>
        <v>chodit (v-w1179f6)</v>
      </c>
    </row>
    <row r="2400" spans="1:4" x14ac:dyDescent="0.2">
      <c r="B2400" t="s">
        <v>1</v>
      </c>
      <c r="C2400" t="s">
        <v>990</v>
      </c>
      <c r="D2400" t="s">
        <v>92</v>
      </c>
    </row>
    <row r="2401" spans="1:4" x14ac:dyDescent="0.2">
      <c r="B2401" t="s">
        <v>8</v>
      </c>
      <c r="C2401" t="s">
        <v>991</v>
      </c>
      <c r="D2401" t="s">
        <v>84</v>
      </c>
    </row>
    <row r="2403" spans="1:4" x14ac:dyDescent="0.2">
      <c r="A2403" t="s">
        <v>992</v>
      </c>
      <c r="B2403" t="str">
        <f>HYPERLINK("https://lindat.mff.cuni.cz/services/teitok/pdtc10/index.php?action=vallex&amp;frame=v-w1179f13_ZU", "chodit (v-w1179f13_ZU)")</f>
        <v>chodit (v-w1179f13_ZU)</v>
      </c>
    </row>
    <row r="2404" spans="1:4" x14ac:dyDescent="0.2">
      <c r="B2404" t="s">
        <v>1</v>
      </c>
    </row>
    <row r="2405" spans="1:4" x14ac:dyDescent="0.2">
      <c r="B2405" t="s">
        <v>993</v>
      </c>
    </row>
    <row r="2407" spans="1:4" x14ac:dyDescent="0.2">
      <c r="A2407" t="s">
        <v>992</v>
      </c>
      <c r="B2407" t="str">
        <f>HYPERLINK("https://lindat.mff.cuni.cz/services/teitok/pdtc10/index.php?action=vallex&amp;frame=v-w1179f8", "chodit (v-w1179f8) - substituted with v-w1179f13_ZU")</f>
        <v>chodit (v-w1179f8) - substituted with v-w1179f13_ZU</v>
      </c>
    </row>
    <row r="2408" spans="1:4" x14ac:dyDescent="0.2">
      <c r="B2408" t="s">
        <v>1</v>
      </c>
    </row>
    <row r="2409" spans="1:4" x14ac:dyDescent="0.2">
      <c r="B2409" t="s">
        <v>993</v>
      </c>
    </row>
    <row r="2411" spans="1:4" x14ac:dyDescent="0.2">
      <c r="A2411" t="s">
        <v>994</v>
      </c>
      <c r="B2411" t="str">
        <f>HYPERLINK("https://lindat.mff.cuni.cz/services/teitok/pdtc10/index.php?action=vallex&amp;frame=v-w1179f4", "chodit (v-w1179f4)")</f>
        <v>chodit (v-w1179f4)</v>
      </c>
    </row>
    <row r="2412" spans="1:4" x14ac:dyDescent="0.2">
      <c r="B2412" t="s">
        <v>1</v>
      </c>
    </row>
    <row r="2413" spans="1:4" x14ac:dyDescent="0.2">
      <c r="B2413" t="s">
        <v>411</v>
      </c>
    </row>
    <row r="2415" spans="1:4" x14ac:dyDescent="0.2">
      <c r="A2415" t="s">
        <v>995</v>
      </c>
      <c r="B2415" t="str">
        <f>HYPERLINK("https://lindat.mff.cuni.cz/services/teitok/pdtc10/index.php?action=vallex&amp;frame=v-w1179f7", "chodit (v-w1179f7)")</f>
        <v>chodit (v-w1179f7)</v>
      </c>
    </row>
    <row r="2416" spans="1:4" x14ac:dyDescent="0.2">
      <c r="B2416" t="s">
        <v>1</v>
      </c>
    </row>
    <row r="2417" spans="1:3" x14ac:dyDescent="0.2">
      <c r="B2417" t="s">
        <v>996</v>
      </c>
    </row>
    <row r="2419" spans="1:3" x14ac:dyDescent="0.2">
      <c r="A2419" t="s">
        <v>997</v>
      </c>
      <c r="B2419" t="str">
        <f>HYPERLINK("https://lindat.mff.cuni.cz/services/teitok/pdtc10/index.php?action=vallex&amp;frame=v-w1179f21_ZU", "chodit (v-w1179f21_ZU)")</f>
        <v>chodit (v-w1179f21_ZU)</v>
      </c>
    </row>
    <row r="2420" spans="1:3" x14ac:dyDescent="0.2">
      <c r="B2420" t="s">
        <v>1</v>
      </c>
    </row>
    <row r="2421" spans="1:3" x14ac:dyDescent="0.2">
      <c r="B2421" t="s">
        <v>192</v>
      </c>
    </row>
    <row r="2423" spans="1:3" x14ac:dyDescent="0.2">
      <c r="A2423" t="s">
        <v>997</v>
      </c>
      <c r="B2423" t="str">
        <f>HYPERLINK("https://lindat.mff.cuni.cz/services/teitok/pdtc10/index.php?action=vallex&amp;frame=v-w1179f19_ZU", "chodit (v-w1179f19_ZU) - substituted with v-w1179f21_ZU")</f>
        <v>chodit (v-w1179f19_ZU) - substituted with v-w1179f21_ZU</v>
      </c>
    </row>
    <row r="2424" spans="1:3" x14ac:dyDescent="0.2">
      <c r="B2424" t="s">
        <v>1</v>
      </c>
    </row>
    <row r="2425" spans="1:3" x14ac:dyDescent="0.2">
      <c r="B2425" t="s">
        <v>192</v>
      </c>
    </row>
    <row r="2427" spans="1:3" x14ac:dyDescent="0.2">
      <c r="A2427" t="s">
        <v>997</v>
      </c>
      <c r="B2427" t="str">
        <f>HYPERLINK("https://lindat.mff.cuni.cz/services/teitok/pdtc10/index.php?action=vallex&amp;frame=v-w1179f5", "chodit (v-w1179f5) - substituted with v-w1179f21_ZU")</f>
        <v>chodit (v-w1179f5) - substituted with v-w1179f21_ZU</v>
      </c>
    </row>
    <row r="2428" spans="1:3" x14ac:dyDescent="0.2">
      <c r="B2428" t="s">
        <v>1</v>
      </c>
      <c r="C2428" t="s">
        <v>127</v>
      </c>
    </row>
    <row r="2429" spans="1:3" x14ac:dyDescent="0.2">
      <c r="B2429" t="s">
        <v>192</v>
      </c>
      <c r="C2429" t="s">
        <v>998</v>
      </c>
    </row>
    <row r="2431" spans="1:3" x14ac:dyDescent="0.2">
      <c r="A2431" t="s">
        <v>999</v>
      </c>
      <c r="B2431" t="str">
        <f>HYPERLINK("https://lindat.mff.cuni.cz/services/teitok/pdtc10/index.php?action=vallex&amp;frame=v-w1179f27_ZU", "chodit (v-w1179f27_ZU)")</f>
        <v>chodit (v-w1179f27_ZU)</v>
      </c>
    </row>
    <row r="2432" spans="1:3" x14ac:dyDescent="0.2">
      <c r="B2432" t="s">
        <v>1</v>
      </c>
    </row>
    <row r="2433" spans="1:4" x14ac:dyDescent="0.2">
      <c r="B2433" t="s">
        <v>90</v>
      </c>
    </row>
    <row r="2435" spans="1:4" x14ac:dyDescent="0.2">
      <c r="A2435" t="s">
        <v>999</v>
      </c>
      <c r="B2435" t="str">
        <f>HYPERLINK("https://lindat.mff.cuni.cz/services/teitok/pdtc10/index.php?action=vallex&amp;frame=v-w1179f1", "chodit (v-w1179f1) - substituted with v-w1179f27_ZU")</f>
        <v>chodit (v-w1179f1) - substituted with v-w1179f27_ZU</v>
      </c>
    </row>
    <row r="2436" spans="1:4" x14ac:dyDescent="0.2">
      <c r="B2436" t="s">
        <v>1</v>
      </c>
      <c r="C2436" t="s">
        <v>1000</v>
      </c>
      <c r="D2436" t="s">
        <v>23048</v>
      </c>
    </row>
    <row r="2437" spans="1:4" x14ac:dyDescent="0.2">
      <c r="B2437" t="s">
        <v>90</v>
      </c>
      <c r="C2437" t="s">
        <v>1001</v>
      </c>
      <c r="D2437" t="s">
        <v>23049</v>
      </c>
    </row>
    <row r="2439" spans="1:4" x14ac:dyDescent="0.2">
      <c r="A2439" t="s">
        <v>999</v>
      </c>
      <c r="B2439" t="str">
        <f>HYPERLINK("https://lindat.mff.cuni.cz/services/teitok/pdtc10/index.php?action=vallex&amp;frame=v-w1179f12_ZU", "chodit (v-w1179f12_ZU) - substituted with v-w1179f27_ZU")</f>
        <v>chodit (v-w1179f12_ZU) - substituted with v-w1179f27_ZU</v>
      </c>
    </row>
    <row r="2440" spans="1:4" x14ac:dyDescent="0.2">
      <c r="B2440" t="s">
        <v>1</v>
      </c>
    </row>
    <row r="2441" spans="1:4" x14ac:dyDescent="0.2">
      <c r="B2441" t="s">
        <v>90</v>
      </c>
    </row>
    <row r="2443" spans="1:4" x14ac:dyDescent="0.2">
      <c r="A2443" t="s">
        <v>999</v>
      </c>
      <c r="B2443" t="str">
        <f>HYPERLINK("https://lindat.mff.cuni.cz/services/teitok/pdtc10/index.php?action=vallex&amp;frame=v-w1179f23_ZU", "chodit (v-w1179f23_ZU) - substituted with v-w1179f27_ZU")</f>
        <v>chodit (v-w1179f23_ZU) - substituted with v-w1179f27_ZU</v>
      </c>
    </row>
    <row r="2444" spans="1:4" x14ac:dyDescent="0.2">
      <c r="B2444" t="s">
        <v>1</v>
      </c>
    </row>
    <row r="2445" spans="1:4" x14ac:dyDescent="0.2">
      <c r="B2445" t="s">
        <v>90</v>
      </c>
    </row>
    <row r="2447" spans="1:4" x14ac:dyDescent="0.2">
      <c r="A2447" t="s">
        <v>1002</v>
      </c>
      <c r="B2447" t="str">
        <f>HYPERLINK("https://lindat.mff.cuni.cz/services/teitok/pdtc10/index.php?action=vallex&amp;frame=v-w1179f16_ZU", "chodit (v-w1179f16_ZU)")</f>
        <v>chodit (v-w1179f16_ZU)</v>
      </c>
    </row>
    <row r="2448" spans="1:4" x14ac:dyDescent="0.2">
      <c r="B2448" t="s">
        <v>1</v>
      </c>
    </row>
    <row r="2450" spans="1:3" x14ac:dyDescent="0.2">
      <c r="A2450" t="s">
        <v>1002</v>
      </c>
      <c r="B2450" t="str">
        <f>HYPERLINK("https://lindat.mff.cuni.cz/services/teitok/pdtc10/index.php?action=vallex&amp;frame=v-w1179f15_ZU", "chodit (v-w1179f15_ZU) - substituted with v-w1179f16_ZU")</f>
        <v>chodit (v-w1179f15_ZU) - substituted with v-w1179f16_ZU</v>
      </c>
    </row>
    <row r="2451" spans="1:3" x14ac:dyDescent="0.2">
      <c r="B2451" t="s">
        <v>1</v>
      </c>
    </row>
    <row r="2453" spans="1:3" x14ac:dyDescent="0.2">
      <c r="A2453" t="s">
        <v>1002</v>
      </c>
      <c r="B2453" t="str">
        <f>HYPERLINK("https://lindat.mff.cuni.cz/services/teitok/pdtc10/index.php?action=vallex&amp;frame=v-w1179f2", "chodit (v-w1179f2) - substituted with v-w1179f16_ZU")</f>
        <v>chodit (v-w1179f2) - substituted with v-w1179f16_ZU</v>
      </c>
    </row>
    <row r="2454" spans="1:3" x14ac:dyDescent="0.2">
      <c r="B2454" t="s">
        <v>1</v>
      </c>
      <c r="C2454" t="s">
        <v>1003</v>
      </c>
    </row>
    <row r="2456" spans="1:3" x14ac:dyDescent="0.2">
      <c r="A2456" t="s">
        <v>1004</v>
      </c>
      <c r="B2456" t="str">
        <f>HYPERLINK("https://lindat.mff.cuni.cz/services/teitok/pdtc10/index.php?action=vallex&amp;frame=v-w1179f18_ZU", "chodit (v-w1179f18_ZU)")</f>
        <v>chodit (v-w1179f18_ZU)</v>
      </c>
    </row>
    <row r="2457" spans="1:3" x14ac:dyDescent="0.2">
      <c r="B2457" t="s">
        <v>1</v>
      </c>
    </row>
    <row r="2459" spans="1:3" x14ac:dyDescent="0.2">
      <c r="A2459" t="s">
        <v>1004</v>
      </c>
      <c r="B2459" t="str">
        <f>HYPERLINK("https://lindat.mff.cuni.cz/services/teitok/pdtc10/index.php?action=vallex&amp;frame=v-w1179f3", "chodit (v-w1179f3) - substituted with v-w1179f18_ZU")</f>
        <v>chodit (v-w1179f3) - substituted with v-w1179f18_ZU</v>
      </c>
    </row>
    <row r="2460" spans="1:3" x14ac:dyDescent="0.2">
      <c r="B2460" t="s">
        <v>1</v>
      </c>
    </row>
    <row r="2462" spans="1:3" x14ac:dyDescent="0.2">
      <c r="A2462" t="s">
        <v>1005</v>
      </c>
      <c r="B2462" t="str">
        <f>HYPERLINK("https://lindat.mff.cuni.cz/services/teitok/pdtc10/index.php?action=vallex&amp;frame=v-w1179f9_ZU", "chodit (v-w1179f9_ZU)")</f>
        <v>chodit (v-w1179f9_ZU)</v>
      </c>
    </row>
    <row r="2463" spans="1:3" x14ac:dyDescent="0.2">
      <c r="B2463" t="s">
        <v>1</v>
      </c>
      <c r="C2463" t="s">
        <v>140</v>
      </c>
    </row>
    <row r="2464" spans="1:3" x14ac:dyDescent="0.2">
      <c r="B2464" t="s">
        <v>1006</v>
      </c>
      <c r="C2464" t="s">
        <v>397</v>
      </c>
    </row>
    <row r="2466" spans="1:2" x14ac:dyDescent="0.2">
      <c r="A2466" t="s">
        <v>1005</v>
      </c>
      <c r="B2466" t="str">
        <f>HYPERLINK("https://lindat.mff.cuni.cz/services/teitok/pdtc10/index.php?action=vallex&amp;frame=v-w1179hsa_1320", "chodit (v-w1179hsa_1320) - substituted with v-w1179f9_ZU")</f>
        <v>chodit (v-w1179hsa_1320) - substituted with v-w1179f9_ZU</v>
      </c>
    </row>
    <row r="2467" spans="1:2" x14ac:dyDescent="0.2">
      <c r="B2467" t="s">
        <v>1</v>
      </c>
    </row>
    <row r="2468" spans="1:2" x14ac:dyDescent="0.2">
      <c r="B2468" t="s">
        <v>1006</v>
      </c>
    </row>
    <row r="2470" spans="1:2" x14ac:dyDescent="0.2">
      <c r="A2470" t="s">
        <v>1007</v>
      </c>
      <c r="B2470" t="str">
        <f>HYPERLINK("https://lindat.mff.cuni.cz/services/teitok/pdtc10/index.php?action=vallex&amp;frame=v-w1179f10_ZU", "chodit (v-w1179f10_ZU)")</f>
        <v>chodit (v-w1179f10_ZU)</v>
      </c>
    </row>
    <row r="2471" spans="1:2" x14ac:dyDescent="0.2">
      <c r="B2471" t="s">
        <v>1</v>
      </c>
    </row>
    <row r="2472" spans="1:2" x14ac:dyDescent="0.2">
      <c r="B2472" t="s">
        <v>1008</v>
      </c>
    </row>
    <row r="2473" spans="1:2" x14ac:dyDescent="0.2">
      <c r="B2473" t="s">
        <v>192</v>
      </c>
    </row>
    <row r="2475" spans="1:2" x14ac:dyDescent="0.2">
      <c r="A2475" t="s">
        <v>1007</v>
      </c>
      <c r="B2475" t="str">
        <f>HYPERLINK("https://lindat.mff.cuni.cz/services/teitok/pdtc10/index.php?action=vallex&amp;frame=v-w1179hsa_1321", "chodit (v-w1179hsa_1321) - substituted with v-w1179f10_ZU")</f>
        <v>chodit (v-w1179hsa_1321) - substituted with v-w1179f10_ZU</v>
      </c>
    </row>
    <row r="2476" spans="1:2" x14ac:dyDescent="0.2">
      <c r="B2476" t="s">
        <v>1</v>
      </c>
    </row>
    <row r="2477" spans="1:2" x14ac:dyDescent="0.2">
      <c r="B2477" t="s">
        <v>1008</v>
      </c>
    </row>
    <row r="2478" spans="1:2" x14ac:dyDescent="0.2">
      <c r="B2478" t="s">
        <v>192</v>
      </c>
    </row>
    <row r="2480" spans="1:2" x14ac:dyDescent="0.2">
      <c r="A2480" t="s">
        <v>1009</v>
      </c>
      <c r="B2480" t="str">
        <f>HYPERLINK("https://lindat.mff.cuni.cz/services/teitok/pdtc10/index.php?action=vallex&amp;frame=v-w1179f11_ZU", "chodit (v-w1179f11_ZU)")</f>
        <v>chodit (v-w1179f11_ZU)</v>
      </c>
    </row>
    <row r="2481" spans="1:2" x14ac:dyDescent="0.2">
      <c r="B2481" t="s">
        <v>455</v>
      </c>
    </row>
    <row r="2482" spans="1:2" x14ac:dyDescent="0.2">
      <c r="B2482" t="s">
        <v>243</v>
      </c>
    </row>
    <row r="2484" spans="1:2" x14ac:dyDescent="0.2">
      <c r="A2484" t="s">
        <v>1010</v>
      </c>
      <c r="B2484" t="str">
        <f>HYPERLINK("https://lindat.mff.cuni.cz/services/teitok/pdtc10/index.php?action=vallex&amp;frame=v-w1179f17_ZU", "chodit (v-w1179f17_ZU)")</f>
        <v>chodit (v-w1179f17_ZU)</v>
      </c>
    </row>
    <row r="2485" spans="1:2" x14ac:dyDescent="0.2">
      <c r="B2485" t="s">
        <v>1</v>
      </c>
    </row>
    <row r="2486" spans="1:2" x14ac:dyDescent="0.2">
      <c r="B2486" t="s">
        <v>103</v>
      </c>
    </row>
    <row r="2488" spans="1:2" x14ac:dyDescent="0.2">
      <c r="A2488" t="s">
        <v>1010</v>
      </c>
      <c r="B2488" t="str">
        <f>HYPERLINK("https://lindat.mff.cuni.cz/services/teitok/pdtc10/index.php?action=vallex&amp;frame=v-w1179hsa_1117", "chodit (v-w1179hsa_1117) - substituted with v-w1179f17_ZU")</f>
        <v>chodit (v-w1179hsa_1117) - substituted with v-w1179f17_ZU</v>
      </c>
    </row>
    <row r="2489" spans="1:2" x14ac:dyDescent="0.2">
      <c r="B2489" t="s">
        <v>1</v>
      </c>
    </row>
    <row r="2490" spans="1:2" x14ac:dyDescent="0.2">
      <c r="B2490" t="s">
        <v>103</v>
      </c>
    </row>
    <row r="2492" spans="1:2" x14ac:dyDescent="0.2">
      <c r="A2492" t="s">
        <v>1011</v>
      </c>
      <c r="B2492" t="str">
        <f>HYPERLINK("https://lindat.mff.cuni.cz/services/teitok/pdtc10/index.php?action=vallex&amp;frame=v-w1179f20_ZU", "chodit (v-w1179f20_ZU)")</f>
        <v>chodit (v-w1179f20_ZU)</v>
      </c>
    </row>
    <row r="2493" spans="1:2" x14ac:dyDescent="0.2">
      <c r="B2493" t="s">
        <v>455</v>
      </c>
    </row>
    <row r="2494" spans="1:2" x14ac:dyDescent="0.2">
      <c r="B2494" t="s">
        <v>1012</v>
      </c>
    </row>
    <row r="2496" spans="1:2" x14ac:dyDescent="0.2">
      <c r="A2496" t="s">
        <v>1013</v>
      </c>
      <c r="B2496" t="str">
        <f>HYPERLINK("https://lindat.mff.cuni.cz/services/teitok/pdtc10/index.php?action=vallex&amp;frame=v-w1179f25_ZU", "chodit (v-w1179f25_ZU)")</f>
        <v>chodit (v-w1179f25_ZU)</v>
      </c>
    </row>
    <row r="2497" spans="1:2" x14ac:dyDescent="0.2">
      <c r="B2497" t="s">
        <v>1</v>
      </c>
    </row>
    <row r="2498" spans="1:2" x14ac:dyDescent="0.2">
      <c r="B2498" t="s">
        <v>205</v>
      </c>
    </row>
    <row r="2500" spans="1:2" x14ac:dyDescent="0.2">
      <c r="A2500" t="s">
        <v>1013</v>
      </c>
      <c r="B2500" t="str">
        <f>HYPERLINK("https://lindat.mff.cuni.cz/services/teitok/pdtc10/index.php?action=vallex&amp;frame=v-w1179f14_ZU", "chodit (v-w1179f14_ZU) - substituted with v-w1179f25_ZU")</f>
        <v>chodit (v-w1179f14_ZU) - substituted with v-w1179f25_ZU</v>
      </c>
    </row>
    <row r="2501" spans="1:2" x14ac:dyDescent="0.2">
      <c r="B2501" t="s">
        <v>1</v>
      </c>
    </row>
    <row r="2502" spans="1:2" x14ac:dyDescent="0.2">
      <c r="B2502" t="s">
        <v>205</v>
      </c>
    </row>
    <row r="2504" spans="1:2" x14ac:dyDescent="0.2">
      <c r="A2504" t="s">
        <v>1013</v>
      </c>
      <c r="B2504" t="str">
        <f>HYPERLINK("https://lindat.mff.cuni.cz/services/teitok/pdtc10/index.php?action=vallex&amp;frame=v-w1179f24_ZU", "chodit (v-w1179f24_ZU) - substituted with v-w1179f25_ZU")</f>
        <v>chodit (v-w1179f24_ZU) - substituted with v-w1179f25_ZU</v>
      </c>
    </row>
    <row r="2505" spans="1:2" x14ac:dyDescent="0.2">
      <c r="B2505" t="s">
        <v>1</v>
      </c>
    </row>
    <row r="2506" spans="1:2" x14ac:dyDescent="0.2">
      <c r="B2506" t="s">
        <v>205</v>
      </c>
    </row>
    <row r="2508" spans="1:2" x14ac:dyDescent="0.2">
      <c r="A2508" t="s">
        <v>1014</v>
      </c>
      <c r="B2508" t="str">
        <f>HYPERLINK("https://lindat.mff.cuni.cz/services/teitok/pdtc10/index.php?action=vallex&amp;frame=v-w1179f26_ZU", "chodit (v-w1179f26_ZU)")</f>
        <v>chodit (v-w1179f26_ZU)</v>
      </c>
    </row>
    <row r="2509" spans="1:2" x14ac:dyDescent="0.2">
      <c r="B2509" t="s">
        <v>1</v>
      </c>
    </row>
    <row r="2510" spans="1:2" x14ac:dyDescent="0.2">
      <c r="B2510" t="s">
        <v>1015</v>
      </c>
    </row>
    <row r="2511" spans="1:2" x14ac:dyDescent="0.2">
      <c r="B2511" t="s">
        <v>511</v>
      </c>
    </row>
    <row r="2513" spans="1:2" x14ac:dyDescent="0.2">
      <c r="A2513" t="s">
        <v>1016</v>
      </c>
      <c r="B2513" t="str">
        <f>HYPERLINK("https://lindat.mff.cuni.cz/services/teitok/pdtc10/index.php?action=vallex&amp;frame=v-w1179f29_ZU", "chodit (v-w1179f29_ZU)")</f>
        <v>chodit (v-w1179f29_ZU)</v>
      </c>
    </row>
    <row r="2514" spans="1:2" x14ac:dyDescent="0.2">
      <c r="B2514" t="s">
        <v>1</v>
      </c>
    </row>
    <row r="2515" spans="1:2" x14ac:dyDescent="0.2">
      <c r="B2515" t="s">
        <v>889</v>
      </c>
    </row>
    <row r="2517" spans="1:2" x14ac:dyDescent="0.2">
      <c r="A2517" t="s">
        <v>1016</v>
      </c>
      <c r="B2517" t="str">
        <f>HYPERLINK("https://lindat.mff.cuni.cz/services/teitok/pdtc10/index.php?action=vallex&amp;frame=v-w1179f22_ZU", "chodit (v-w1179f22_ZU) - substituted with v-w1179f29_ZU")</f>
        <v>chodit (v-w1179f22_ZU) - substituted with v-w1179f29_ZU</v>
      </c>
    </row>
    <row r="2518" spans="1:2" x14ac:dyDescent="0.2">
      <c r="B2518" t="s">
        <v>1</v>
      </c>
    </row>
    <row r="2519" spans="1:2" x14ac:dyDescent="0.2">
      <c r="B2519" t="s">
        <v>889</v>
      </c>
    </row>
    <row r="2521" spans="1:2" x14ac:dyDescent="0.2">
      <c r="A2521" t="s">
        <v>1016</v>
      </c>
      <c r="B2521" t="str">
        <f>HYPERLINK("https://lindat.mff.cuni.cz/services/teitok/pdtc10/index.php?action=vallex&amp;frame=v-w1179f28_ZU", "chodit (v-w1179f28_ZU) - substituted with v-w1179f29_ZU")</f>
        <v>chodit (v-w1179f28_ZU) - substituted with v-w1179f29_ZU</v>
      </c>
    </row>
    <row r="2522" spans="1:2" x14ac:dyDescent="0.2">
      <c r="B2522" t="s">
        <v>1</v>
      </c>
    </row>
    <row r="2523" spans="1:2" x14ac:dyDescent="0.2">
      <c r="B2523" t="s">
        <v>889</v>
      </c>
    </row>
    <row r="2525" spans="1:2" x14ac:dyDescent="0.2">
      <c r="A2525" t="s">
        <v>1017</v>
      </c>
      <c r="B2525" t="str">
        <f>HYPERLINK("https://lindat.mff.cuni.cz/services/teitok/pdtc10/index.php?action=vallex&amp;frame=v-whsa_430hsa_431", "chodívat (v-whsa_430hsa_431)")</f>
        <v>chodívat (v-whsa_430hsa_431)</v>
      </c>
    </row>
    <row r="2526" spans="1:2" x14ac:dyDescent="0.2">
      <c r="B2526" t="s">
        <v>1</v>
      </c>
    </row>
    <row r="2528" spans="1:2" x14ac:dyDescent="0.2">
      <c r="A2528" t="s">
        <v>1018</v>
      </c>
      <c r="B2528" t="str">
        <f>HYPERLINK("https://lindat.mff.cuni.cz/services/teitok/pdtc10/index.php?action=vallex&amp;frame=v-whsa_430hsa_432", "chodívat (v-whsa_430hsa_432)")</f>
        <v>chodívat (v-whsa_430hsa_432)</v>
      </c>
    </row>
    <row r="2529" spans="1:4" x14ac:dyDescent="0.2">
      <c r="B2529" t="s">
        <v>1</v>
      </c>
    </row>
    <row r="2530" spans="1:4" x14ac:dyDescent="0.2">
      <c r="B2530" t="s">
        <v>90</v>
      </c>
    </row>
    <row r="2532" spans="1:4" x14ac:dyDescent="0.2">
      <c r="A2532" t="s">
        <v>1019</v>
      </c>
      <c r="B2532" t="str">
        <f>HYPERLINK("https://lindat.mff.cuni.cz/services/teitok/pdtc10/index.php?action=vallex&amp;frame=v-whsa_319hsa_320", "chodívávat (v-whsa_319hsa_320)")</f>
        <v>chodívávat (v-whsa_319hsa_320)</v>
      </c>
    </row>
    <row r="2533" spans="1:4" x14ac:dyDescent="0.2">
      <c r="B2533" t="s">
        <v>1</v>
      </c>
    </row>
    <row r="2534" spans="1:4" x14ac:dyDescent="0.2">
      <c r="B2534" t="s">
        <v>90</v>
      </c>
    </row>
    <row r="2536" spans="1:4" x14ac:dyDescent="0.2">
      <c r="A2536" t="s">
        <v>1020</v>
      </c>
      <c r="B2536" t="str">
        <f>HYPERLINK("https://lindat.mff.cuni.cz/services/teitok/pdtc10/index.php?action=vallex&amp;frame=v-w1180f1", "chopit se (v-w1180f1)")</f>
        <v>chopit se (v-w1180f1)</v>
      </c>
    </row>
    <row r="2537" spans="1:4" x14ac:dyDescent="0.2">
      <c r="B2537" t="s">
        <v>1</v>
      </c>
      <c r="C2537" t="s">
        <v>1021</v>
      </c>
      <c r="D2537" t="s">
        <v>294</v>
      </c>
    </row>
    <row r="2538" spans="1:4" x14ac:dyDescent="0.2">
      <c r="B2538" t="s">
        <v>917</v>
      </c>
      <c r="C2538" t="s">
        <v>1022</v>
      </c>
      <c r="D2538" t="s">
        <v>6566</v>
      </c>
    </row>
    <row r="2540" spans="1:4" x14ac:dyDescent="0.2">
      <c r="A2540" t="s">
        <v>1023</v>
      </c>
      <c r="B2540" t="str">
        <f>HYPERLINK("https://lindat.mff.cuni.cz/services/teitok/pdtc10/index.php?action=vallex&amp;frame=v-whsa_1215hsa_1216", "choulit se (v-whsa_1215hsa_1216)")</f>
        <v>choulit se (v-whsa_1215hsa_1216)</v>
      </c>
    </row>
    <row r="2541" spans="1:4" x14ac:dyDescent="0.2">
      <c r="B2541" t="s">
        <v>1</v>
      </c>
    </row>
    <row r="2542" spans="1:4" x14ac:dyDescent="0.2">
      <c r="B2542" t="s">
        <v>176</v>
      </c>
    </row>
    <row r="2544" spans="1:4" x14ac:dyDescent="0.2">
      <c r="A2544" t="s">
        <v>1024</v>
      </c>
      <c r="B2544" t="str">
        <f>HYPERLINK("https://lindat.mff.cuni.cz/services/teitok/pdtc10/index.php?action=vallex&amp;frame=v-w1184f1", "chovat (v-w1184f1)")</f>
        <v>chovat (v-w1184f1)</v>
      </c>
    </row>
    <row r="2545" spans="1:4" x14ac:dyDescent="0.2">
      <c r="B2545" t="s">
        <v>1</v>
      </c>
      <c r="C2545" t="s">
        <v>109</v>
      </c>
      <c r="D2545" t="s">
        <v>92</v>
      </c>
    </row>
    <row r="2546" spans="1:4" x14ac:dyDescent="0.2">
      <c r="B2546" t="s">
        <v>8</v>
      </c>
      <c r="C2546" t="s">
        <v>1025</v>
      </c>
      <c r="D2546" t="s">
        <v>2290</v>
      </c>
    </row>
    <row r="2548" spans="1:4" x14ac:dyDescent="0.2">
      <c r="A2548" t="s">
        <v>1026</v>
      </c>
      <c r="B2548" t="str">
        <f>HYPERLINK("https://lindat.mff.cuni.cz/services/teitok/pdtc10/index.php?action=vallex&amp;frame=v-w1184f4", "chovat (v-w1184f4)")</f>
        <v>chovat (v-w1184f4)</v>
      </c>
    </row>
    <row r="2549" spans="1:4" x14ac:dyDescent="0.2">
      <c r="B2549" t="s">
        <v>1</v>
      </c>
    </row>
    <row r="2550" spans="1:4" x14ac:dyDescent="0.2">
      <c r="B2550" t="s">
        <v>8</v>
      </c>
    </row>
    <row r="2552" spans="1:4" x14ac:dyDescent="0.2">
      <c r="A2552" t="s">
        <v>1027</v>
      </c>
      <c r="B2552" t="str">
        <f>HYPERLINK("https://lindat.mff.cuni.cz/services/teitok/pdtc10/index.php?action=vallex&amp;frame=v-w1184f5", "chovat (v-w1184f5)")</f>
        <v>chovat (v-w1184f5)</v>
      </c>
    </row>
    <row r="2553" spans="1:4" x14ac:dyDescent="0.2">
      <c r="B2553" t="s">
        <v>1</v>
      </c>
    </row>
    <row r="2555" spans="1:4" x14ac:dyDescent="0.2">
      <c r="A2555" t="s">
        <v>1028</v>
      </c>
      <c r="B2555" t="str">
        <f>HYPERLINK("https://lindat.mff.cuni.cz/services/teitok/pdtc10/index.php?action=vallex&amp;frame=v-w1184hsa_1046", "chovat (v-w1184hsa_1046)")</f>
        <v>chovat (v-w1184hsa_1046)</v>
      </c>
    </row>
    <row r="2556" spans="1:4" x14ac:dyDescent="0.2">
      <c r="B2556" t="s">
        <v>1</v>
      </c>
    </row>
    <row r="2557" spans="1:4" x14ac:dyDescent="0.2">
      <c r="B2557" t="s">
        <v>1029</v>
      </c>
    </row>
    <row r="2559" spans="1:4" x14ac:dyDescent="0.2">
      <c r="A2559" t="s">
        <v>1028</v>
      </c>
      <c r="B2559" t="str">
        <f>HYPERLINK("https://lindat.mff.cuni.cz/services/teitok/pdtc10/index.php?action=vallex&amp;frame=v-w1184f2", "chovat (v-w1184f2) - substituted with v-w1184hsa_1046")</f>
        <v>chovat (v-w1184f2) - substituted with v-w1184hsa_1046</v>
      </c>
    </row>
    <row r="2560" spans="1:4" x14ac:dyDescent="0.2">
      <c r="B2560" t="s">
        <v>1</v>
      </c>
    </row>
    <row r="2561" spans="1:4" x14ac:dyDescent="0.2">
      <c r="B2561" t="s">
        <v>1029</v>
      </c>
    </row>
    <row r="2563" spans="1:4" x14ac:dyDescent="0.2">
      <c r="A2563" t="s">
        <v>1030</v>
      </c>
      <c r="B2563" t="str">
        <f>HYPERLINK("https://lindat.mff.cuni.cz/services/teitok/pdtc10/index.php?action=vallex&amp;frame=v-w1184f3", "chovat (v-w1184f3)")</f>
        <v>chovat (v-w1184f3)</v>
      </c>
    </row>
    <row r="2564" spans="1:4" x14ac:dyDescent="0.2">
      <c r="B2564" t="s">
        <v>1</v>
      </c>
    </row>
    <row r="2565" spans="1:4" x14ac:dyDescent="0.2">
      <c r="B2565" t="s">
        <v>1031</v>
      </c>
    </row>
    <row r="2566" spans="1:4" x14ac:dyDescent="0.2">
      <c r="B2566" t="s">
        <v>8</v>
      </c>
    </row>
    <row r="2568" spans="1:4" x14ac:dyDescent="0.2">
      <c r="A2568" t="s">
        <v>1032</v>
      </c>
      <c r="B2568" t="str">
        <f>HYPERLINK("https://lindat.mff.cuni.cz/services/teitok/pdtc10/index.php?action=vallex&amp;frame=v-w1186f1", "chovat se (v-w1186f1)")</f>
        <v>chovat se (v-w1186f1)</v>
      </c>
    </row>
    <row r="2569" spans="1:4" x14ac:dyDescent="0.2">
      <c r="B2569" t="s">
        <v>1</v>
      </c>
      <c r="C2569" t="s">
        <v>1033</v>
      </c>
      <c r="D2569" t="s">
        <v>23050</v>
      </c>
    </row>
    <row r="2570" spans="1:4" x14ac:dyDescent="0.2">
      <c r="B2570" t="s">
        <v>415</v>
      </c>
    </row>
    <row r="2571" spans="1:4" x14ac:dyDescent="0.2">
      <c r="B2571" t="s">
        <v>346</v>
      </c>
      <c r="C2571" t="s">
        <v>1034</v>
      </c>
      <c r="D2571" t="s">
        <v>23051</v>
      </c>
    </row>
    <row r="2572" spans="1:4" x14ac:dyDescent="0.2">
      <c r="B2572" t="s">
        <v>349</v>
      </c>
    </row>
    <row r="2573" spans="1:4" x14ac:dyDescent="0.2">
      <c r="B2573" t="s">
        <v>350</v>
      </c>
      <c r="C2573" t="s">
        <v>1035</v>
      </c>
    </row>
    <row r="2574" spans="1:4" x14ac:dyDescent="0.2">
      <c r="B2574" t="s">
        <v>351</v>
      </c>
    </row>
    <row r="2576" spans="1:4" x14ac:dyDescent="0.2">
      <c r="A2576" t="s">
        <v>1036</v>
      </c>
      <c r="B2576" t="str">
        <f>HYPERLINK("https://lindat.mff.cuni.cz/services/teitok/pdtc10/index.php?action=vallex&amp;frame=v-whsa_333hsa_334", "chovávat (v-whsa_333hsa_334)")</f>
        <v>chovávat (v-whsa_333hsa_334)</v>
      </c>
    </row>
    <row r="2577" spans="1:4" x14ac:dyDescent="0.2">
      <c r="B2577" t="s">
        <v>1</v>
      </c>
    </row>
    <row r="2578" spans="1:4" x14ac:dyDescent="0.2">
      <c r="B2578" t="s">
        <v>8</v>
      </c>
    </row>
    <row r="2580" spans="1:4" x14ac:dyDescent="0.2">
      <c r="A2580" t="s">
        <v>1037</v>
      </c>
      <c r="B2580" t="str">
        <f>HYPERLINK("https://lindat.mff.cuni.cz/services/teitok/pdtc10/index.php?action=vallex&amp;frame=v-w1190f1", "christianizovat (v-w1190f1)")</f>
        <v>christianizovat (v-w1190f1)</v>
      </c>
    </row>
    <row r="2581" spans="1:4" x14ac:dyDescent="0.2">
      <c r="B2581" t="s">
        <v>1</v>
      </c>
    </row>
    <row r="2582" spans="1:4" x14ac:dyDescent="0.2">
      <c r="B2582" t="s">
        <v>8</v>
      </c>
    </row>
    <row r="2584" spans="1:4" x14ac:dyDescent="0.2">
      <c r="A2584" t="s">
        <v>1038</v>
      </c>
      <c r="B2584" t="str">
        <f>HYPERLINK("https://lindat.mff.cuni.cz/services/teitok/pdtc10/index.php?action=vallex&amp;frame=v-w1191f1", "chrlit (v-w1191f1)")</f>
        <v>chrlit (v-w1191f1)</v>
      </c>
    </row>
    <row r="2585" spans="1:4" x14ac:dyDescent="0.2">
      <c r="B2585" t="s">
        <v>1</v>
      </c>
      <c r="C2585" t="s">
        <v>83</v>
      </c>
      <c r="D2585" t="s">
        <v>133</v>
      </c>
    </row>
    <row r="2586" spans="1:4" x14ac:dyDescent="0.2">
      <c r="B2586" t="s">
        <v>8</v>
      </c>
      <c r="C2586" t="s">
        <v>54</v>
      </c>
      <c r="D2586" t="s">
        <v>1128</v>
      </c>
    </row>
    <row r="2588" spans="1:4" x14ac:dyDescent="0.2">
      <c r="A2588" t="s">
        <v>1039</v>
      </c>
      <c r="B2588" t="str">
        <f>HYPERLINK("https://lindat.mff.cuni.cz/services/teitok/pdtc10/index.php?action=vallex&amp;frame=v-w1189f3_ZU", "chránit (v-w1189f3_ZU)")</f>
        <v>chránit (v-w1189f3_ZU)</v>
      </c>
    </row>
    <row r="2589" spans="1:4" x14ac:dyDescent="0.2">
      <c r="B2589" t="s">
        <v>1</v>
      </c>
    </row>
    <row r="2590" spans="1:4" x14ac:dyDescent="0.2">
      <c r="B2590" t="s">
        <v>8</v>
      </c>
    </row>
    <row r="2591" spans="1:4" x14ac:dyDescent="0.2">
      <c r="B2591" t="s">
        <v>1040</v>
      </c>
    </row>
    <row r="2593" spans="1:4" x14ac:dyDescent="0.2">
      <c r="A2593" t="s">
        <v>1039</v>
      </c>
      <c r="B2593" t="str">
        <f>HYPERLINK("https://lindat.mff.cuni.cz/services/teitok/pdtc10/index.php?action=vallex&amp;frame=v-w1189f1", "chránit (v-w1189f1) - substituted with v-w1189f3_ZU")</f>
        <v>chránit (v-w1189f1) - substituted with v-w1189f3_ZU</v>
      </c>
    </row>
    <row r="2594" spans="1:4" x14ac:dyDescent="0.2">
      <c r="B2594" t="s">
        <v>1</v>
      </c>
      <c r="C2594" t="s">
        <v>1041</v>
      </c>
    </row>
    <row r="2595" spans="1:4" x14ac:dyDescent="0.2">
      <c r="B2595" t="s">
        <v>8</v>
      </c>
      <c r="C2595" t="s">
        <v>1042</v>
      </c>
    </row>
    <row r="2596" spans="1:4" x14ac:dyDescent="0.2">
      <c r="B2596" t="s">
        <v>1040</v>
      </c>
      <c r="C2596" t="s">
        <v>1043</v>
      </c>
    </row>
    <row r="2598" spans="1:4" x14ac:dyDescent="0.2">
      <c r="A2598" t="s">
        <v>1039</v>
      </c>
      <c r="B2598" t="str">
        <f>HYPERLINK("https://lindat.mff.cuni.cz/services/teitok/pdtc10/index.php?action=vallex&amp;frame=v-w1189hsa_853", "chránit (v-w1189hsa_853) - substituted with v-w1189f3_ZU")</f>
        <v>chránit (v-w1189hsa_853) - substituted with v-w1189f3_ZU</v>
      </c>
    </row>
    <row r="2599" spans="1:4" x14ac:dyDescent="0.2">
      <c r="B2599" t="s">
        <v>1</v>
      </c>
      <c r="C2599" t="s">
        <v>133</v>
      </c>
      <c r="D2599" t="s">
        <v>23052</v>
      </c>
    </row>
    <row r="2600" spans="1:4" x14ac:dyDescent="0.2">
      <c r="B2600" t="s">
        <v>8</v>
      </c>
      <c r="C2600" t="s">
        <v>1044</v>
      </c>
      <c r="D2600" t="s">
        <v>23053</v>
      </c>
    </row>
    <row r="2601" spans="1:4" x14ac:dyDescent="0.2">
      <c r="B2601" t="s">
        <v>1040</v>
      </c>
      <c r="C2601" t="s">
        <v>1045</v>
      </c>
      <c r="D2601" t="s">
        <v>23054</v>
      </c>
    </row>
    <row r="2603" spans="1:4" x14ac:dyDescent="0.2">
      <c r="A2603" t="s">
        <v>1046</v>
      </c>
      <c r="B2603" t="str">
        <f>HYPERLINK("https://lindat.mff.cuni.cz/services/teitok/pdtc10/index.php?action=vallex&amp;frame=v-w1189f2_ZU", "chránit (v-w1189f2_ZU)")</f>
        <v>chránit (v-w1189f2_ZU)</v>
      </c>
    </row>
    <row r="2604" spans="1:4" x14ac:dyDescent="0.2">
      <c r="B2604" t="s">
        <v>1047</v>
      </c>
    </row>
    <row r="2605" spans="1:4" x14ac:dyDescent="0.2">
      <c r="B2605" t="s">
        <v>146</v>
      </c>
    </row>
    <row r="2606" spans="1:4" x14ac:dyDescent="0.2">
      <c r="B2606" t="s">
        <v>308</v>
      </c>
    </row>
    <row r="2608" spans="1:4" x14ac:dyDescent="0.2">
      <c r="A2608" t="s">
        <v>1046</v>
      </c>
      <c r="B2608" t="str">
        <f>HYPERLINK("https://lindat.mff.cuni.cz/services/teitok/pdtc10/index.php?action=vallex&amp;frame=v-w1189hsa_722", "chránit (v-w1189hsa_722) - substituted with v-w1189f2_ZU")</f>
        <v>chránit (v-w1189hsa_722) - substituted with v-w1189f2_ZU</v>
      </c>
    </row>
    <row r="2609" spans="1:4" x14ac:dyDescent="0.2">
      <c r="B2609" t="s">
        <v>1047</v>
      </c>
    </row>
    <row r="2610" spans="1:4" x14ac:dyDescent="0.2">
      <c r="B2610" t="s">
        <v>146</v>
      </c>
    </row>
    <row r="2611" spans="1:4" x14ac:dyDescent="0.2">
      <c r="B2611" t="s">
        <v>308</v>
      </c>
    </row>
    <row r="2613" spans="1:4" x14ac:dyDescent="0.2">
      <c r="A2613" t="s">
        <v>1048</v>
      </c>
      <c r="B2613" t="str">
        <f>HYPERLINK("https://lindat.mff.cuni.cz/services/teitok/pdtc10/index.php?action=vallex&amp;frame=v-w10703f2", "chrápat (v-w10703f2)")</f>
        <v>chrápat (v-w10703f2)</v>
      </c>
    </row>
    <row r="2614" spans="1:4" x14ac:dyDescent="0.2">
      <c r="B2614" t="s">
        <v>1</v>
      </c>
      <c r="C2614" t="s">
        <v>140</v>
      </c>
      <c r="D2614" t="s">
        <v>33</v>
      </c>
    </row>
    <row r="2616" spans="1:4" x14ac:dyDescent="0.2">
      <c r="A2616" t="s">
        <v>1049</v>
      </c>
      <c r="B2616" t="str">
        <f>HYPERLINK("https://lindat.mff.cuni.cz/services/teitok/pdtc10/index.php?action=vallex&amp;frame=v-w1193f3_ZU", "chtít (v-w1193f3_ZU)")</f>
        <v>chtít (v-w1193f3_ZU)</v>
      </c>
    </row>
    <row r="2617" spans="1:4" x14ac:dyDescent="0.2">
      <c r="B2617" t="s">
        <v>1</v>
      </c>
    </row>
    <row r="2618" spans="1:4" x14ac:dyDescent="0.2">
      <c r="B2618" t="s">
        <v>1050</v>
      </c>
    </row>
    <row r="2619" spans="1:4" x14ac:dyDescent="0.2">
      <c r="B2619" t="s">
        <v>1051</v>
      </c>
    </row>
    <row r="2621" spans="1:4" x14ac:dyDescent="0.2">
      <c r="A2621" t="s">
        <v>1049</v>
      </c>
      <c r="B2621" t="str">
        <f>HYPERLINK("https://lindat.mff.cuni.cz/services/teitok/pdtc10/index.php?action=vallex&amp;frame=v-w1193f1", "chtít (v-w1193f1) - substituted with v-w1193f3_ZU")</f>
        <v>chtít (v-w1193f1) - substituted with v-w1193f3_ZU</v>
      </c>
    </row>
    <row r="2622" spans="1:4" x14ac:dyDescent="0.2">
      <c r="B2622" t="s">
        <v>1</v>
      </c>
      <c r="C2622" t="s">
        <v>1052</v>
      </c>
      <c r="D2622" t="s">
        <v>23055</v>
      </c>
    </row>
    <row r="2623" spans="1:4" x14ac:dyDescent="0.2">
      <c r="B2623" t="s">
        <v>1050</v>
      </c>
      <c r="C2623" t="s">
        <v>1053</v>
      </c>
      <c r="D2623" t="s">
        <v>23056</v>
      </c>
    </row>
    <row r="2624" spans="1:4" x14ac:dyDescent="0.2">
      <c r="B2624" t="s">
        <v>1051</v>
      </c>
      <c r="D2624" t="s">
        <v>23057</v>
      </c>
    </row>
    <row r="2626" spans="1:3" x14ac:dyDescent="0.2">
      <c r="A2626" t="s">
        <v>1054</v>
      </c>
      <c r="B2626" t="str">
        <f>HYPERLINK("https://lindat.mff.cuni.cz/services/teitok/pdtc10/index.php?action=vallex&amp;frame=v-w1193hsa_1073", "chtít (v-w1193hsa_1073)")</f>
        <v>chtít (v-w1193hsa_1073)</v>
      </c>
    </row>
    <row r="2627" spans="1:3" x14ac:dyDescent="0.2">
      <c r="B2627" t="s">
        <v>455</v>
      </c>
    </row>
    <row r="2628" spans="1:3" x14ac:dyDescent="0.2">
      <c r="B2628" t="s">
        <v>1055</v>
      </c>
    </row>
    <row r="2629" spans="1:3" x14ac:dyDescent="0.2">
      <c r="B2629" t="s">
        <v>1056</v>
      </c>
    </row>
    <row r="2631" spans="1:3" x14ac:dyDescent="0.2">
      <c r="A2631" t="s">
        <v>1054</v>
      </c>
      <c r="B2631" t="str">
        <f>HYPERLINK("https://lindat.mff.cuni.cz/services/teitok/pdtc10/index.php?action=vallex&amp;frame=v-w1193f2", "chtít (v-w1193f2) - substituted with v-w1193hsa_1073")</f>
        <v>chtít (v-w1193f2) - substituted with v-w1193hsa_1073</v>
      </c>
    </row>
    <row r="2632" spans="1:3" x14ac:dyDescent="0.2">
      <c r="B2632" t="s">
        <v>455</v>
      </c>
      <c r="C2632" t="s">
        <v>1057</v>
      </c>
    </row>
    <row r="2633" spans="1:3" x14ac:dyDescent="0.2">
      <c r="B2633" t="s">
        <v>1055</v>
      </c>
      <c r="C2633" t="s">
        <v>1058</v>
      </c>
    </row>
    <row r="2634" spans="1:3" x14ac:dyDescent="0.2">
      <c r="B2634" t="s">
        <v>1056</v>
      </c>
    </row>
    <row r="2636" spans="1:3" x14ac:dyDescent="0.2">
      <c r="A2636" t="s">
        <v>1059</v>
      </c>
      <c r="B2636" t="str">
        <f>HYPERLINK("https://lindat.mff.cuni.cz/services/teitok/pdtc10/index.php?action=vallex&amp;frame=v-w1194f1", "chudnout (v-w1194f1)")</f>
        <v>chudnout (v-w1194f1)</v>
      </c>
    </row>
    <row r="2637" spans="1:3" x14ac:dyDescent="0.2">
      <c r="B2637" t="s">
        <v>1</v>
      </c>
    </row>
    <row r="2638" spans="1:3" x14ac:dyDescent="0.2">
      <c r="B2638" t="s">
        <v>225</v>
      </c>
    </row>
    <row r="2640" spans="1:3" x14ac:dyDescent="0.2">
      <c r="A2640" t="s">
        <v>1060</v>
      </c>
      <c r="B2640" t="str">
        <f>HYPERLINK("https://lindat.mff.cuni.cz/services/teitok/pdtc10/index.php?action=vallex&amp;frame=v-w1197f1", "chutnat (v-w1197f1)")</f>
        <v>chutnat (v-w1197f1)</v>
      </c>
    </row>
    <row r="2641" spans="1:4" x14ac:dyDescent="0.2">
      <c r="B2641" t="s">
        <v>455</v>
      </c>
    </row>
    <row r="2642" spans="1:4" x14ac:dyDescent="0.2">
      <c r="B2642" t="s">
        <v>243</v>
      </c>
    </row>
    <row r="2644" spans="1:4" x14ac:dyDescent="0.2">
      <c r="A2644" t="s">
        <v>1061</v>
      </c>
      <c r="B2644" t="str">
        <f>HYPERLINK("https://lindat.mff.cuni.cz/services/teitok/pdtc10/index.php?action=vallex&amp;frame=v-w1197f3_ZU", "chutnat (v-w1197f3_ZU)")</f>
        <v>chutnat (v-w1197f3_ZU)</v>
      </c>
    </row>
    <row r="2645" spans="1:4" x14ac:dyDescent="0.2">
      <c r="B2645" t="s">
        <v>1</v>
      </c>
      <c r="C2645" t="s">
        <v>147</v>
      </c>
      <c r="D2645" t="s">
        <v>147</v>
      </c>
    </row>
    <row r="2646" spans="1:4" x14ac:dyDescent="0.2">
      <c r="B2646" t="s">
        <v>1062</v>
      </c>
      <c r="D2646" t="s">
        <v>299</v>
      </c>
    </row>
    <row r="2648" spans="1:4" x14ac:dyDescent="0.2">
      <c r="A2648" t="s">
        <v>1061</v>
      </c>
      <c r="B2648" t="str">
        <f>HYPERLINK("https://lindat.mff.cuni.cz/services/teitok/pdtc10/index.php?action=vallex&amp;frame=v-w1197f2_ZU", "chutnat (v-w1197f2_ZU) - substituted with v-w1197f3_ZU")</f>
        <v>chutnat (v-w1197f2_ZU) - substituted with v-w1197f3_ZU</v>
      </c>
    </row>
    <row r="2649" spans="1:4" x14ac:dyDescent="0.2">
      <c r="B2649" t="s">
        <v>1</v>
      </c>
      <c r="C2649" t="s">
        <v>147</v>
      </c>
    </row>
    <row r="2650" spans="1:4" x14ac:dyDescent="0.2">
      <c r="B2650" t="s">
        <v>1062</v>
      </c>
      <c r="C2650" t="s">
        <v>299</v>
      </c>
    </row>
    <row r="2652" spans="1:4" x14ac:dyDescent="0.2">
      <c r="A2652" t="s">
        <v>1063</v>
      </c>
      <c r="B2652" t="str">
        <f>HYPERLINK("https://lindat.mff.cuni.cz/services/teitok/pdtc10/index.php?action=vallex&amp;frame=v-w1197f4_ZU", "chutnat (v-w1197f4_ZU)")</f>
        <v>chutnat (v-w1197f4_ZU)</v>
      </c>
    </row>
    <row r="2653" spans="1:4" x14ac:dyDescent="0.2">
      <c r="B2653" t="s">
        <v>1</v>
      </c>
    </row>
    <row r="2654" spans="1:4" x14ac:dyDescent="0.2">
      <c r="B2654" t="s">
        <v>8</v>
      </c>
    </row>
    <row r="2656" spans="1:4" x14ac:dyDescent="0.2">
      <c r="A2656" t="s">
        <v>1064</v>
      </c>
      <c r="B2656" t="str">
        <f>HYPERLINK("https://lindat.mff.cuni.cz/services/teitok/pdtc10/index.php?action=vallex&amp;frame=v-w1199f2_ZU", "chválit (v-w1199f2_ZU)")</f>
        <v>chválit (v-w1199f2_ZU)</v>
      </c>
    </row>
    <row r="2657" spans="1:4" x14ac:dyDescent="0.2">
      <c r="B2657" t="s">
        <v>1</v>
      </c>
      <c r="C2657" t="s">
        <v>22</v>
      </c>
      <c r="D2657" t="s">
        <v>1581</v>
      </c>
    </row>
    <row r="2658" spans="1:4" x14ac:dyDescent="0.2">
      <c r="B2658" t="s">
        <v>273</v>
      </c>
      <c r="C2658" t="s">
        <v>54</v>
      </c>
      <c r="D2658" t="s">
        <v>23058</v>
      </c>
    </row>
    <row r="2660" spans="1:4" x14ac:dyDescent="0.2">
      <c r="A2660" t="s">
        <v>1064</v>
      </c>
      <c r="B2660" t="str">
        <f>HYPERLINK("https://lindat.mff.cuni.cz/services/teitok/pdtc10/index.php?action=vallex&amp;frame=v-w1199f1", "chválit (v-w1199f1) - substituted with v-w1199f2_ZU")</f>
        <v>chválit (v-w1199f1) - substituted with v-w1199f2_ZU</v>
      </c>
    </row>
    <row r="2661" spans="1:4" x14ac:dyDescent="0.2">
      <c r="B2661" t="s">
        <v>1</v>
      </c>
      <c r="C2661" t="s">
        <v>1065</v>
      </c>
    </row>
    <row r="2662" spans="1:4" x14ac:dyDescent="0.2">
      <c r="B2662" t="s">
        <v>273</v>
      </c>
      <c r="C2662" t="s">
        <v>1066</v>
      </c>
    </row>
    <row r="2664" spans="1:4" x14ac:dyDescent="0.2">
      <c r="A2664" t="s">
        <v>1067</v>
      </c>
      <c r="B2664" t="str">
        <f>HYPERLINK("https://lindat.mff.cuni.cz/services/teitok/pdtc10/index.php?action=vallex&amp;frame=v-w1200f1", "chvástat se (v-w1200f1)")</f>
        <v>chvástat se (v-w1200f1)</v>
      </c>
    </row>
    <row r="2665" spans="1:4" x14ac:dyDescent="0.2">
      <c r="B2665" t="s">
        <v>1</v>
      </c>
      <c r="C2665" t="s">
        <v>249</v>
      </c>
      <c r="D2665" t="s">
        <v>4110</v>
      </c>
    </row>
    <row r="2666" spans="1:4" x14ac:dyDescent="0.2">
      <c r="B2666" t="s">
        <v>215</v>
      </c>
      <c r="C2666" t="s">
        <v>84</v>
      </c>
      <c r="D2666" t="s">
        <v>17</v>
      </c>
    </row>
    <row r="2667" spans="1:4" x14ac:dyDescent="0.2">
      <c r="B2667" t="s">
        <v>78</v>
      </c>
      <c r="D2667" t="s">
        <v>987</v>
      </c>
    </row>
    <row r="2669" spans="1:4" x14ac:dyDescent="0.2">
      <c r="A2669" t="s">
        <v>1068</v>
      </c>
      <c r="B2669" t="str">
        <f>HYPERLINK("https://lindat.mff.cuni.cz/services/teitok/pdtc10/index.php?action=vallex&amp;frame=v-w10991f3", "chvátat (v-w10991f3)")</f>
        <v>chvátat (v-w10991f3)</v>
      </c>
    </row>
    <row r="2670" spans="1:4" x14ac:dyDescent="0.2">
      <c r="B2670" t="s">
        <v>1</v>
      </c>
    </row>
    <row r="2671" spans="1:4" x14ac:dyDescent="0.2">
      <c r="B2671" t="s">
        <v>411</v>
      </c>
    </row>
    <row r="2673" spans="1:4" x14ac:dyDescent="0.2">
      <c r="A2673" t="s">
        <v>1069</v>
      </c>
      <c r="B2673" t="str">
        <f>HYPERLINK("https://lindat.mff.cuni.cz/services/teitok/pdtc10/index.php?action=vallex&amp;frame=v-w10991f2", "chvátat (v-w10991f2)")</f>
        <v>chvátat (v-w10991f2)</v>
      </c>
    </row>
    <row r="2674" spans="1:4" x14ac:dyDescent="0.2">
      <c r="B2674" t="s">
        <v>1</v>
      </c>
    </row>
    <row r="2676" spans="1:4" x14ac:dyDescent="0.2">
      <c r="A2676" t="s">
        <v>1070</v>
      </c>
      <c r="B2676" t="str">
        <f>HYPERLINK("https://lindat.mff.cuni.cz/services/teitok/pdtc10/index.php?action=vallex&amp;frame=v-w1202f1", "chvět se (v-w1202f1)")</f>
        <v>chvět se (v-w1202f1)</v>
      </c>
    </row>
    <row r="2677" spans="1:4" x14ac:dyDescent="0.2">
      <c r="B2677" t="s">
        <v>1</v>
      </c>
    </row>
    <row r="2679" spans="1:4" x14ac:dyDescent="0.2">
      <c r="A2679" t="s">
        <v>1071</v>
      </c>
      <c r="B2679" t="str">
        <f>HYPERLINK("https://lindat.mff.cuni.cz/services/teitok/pdtc10/index.php?action=vallex&amp;frame=v-w10460f2", "chybit (v-w10460f2)")</f>
        <v>chybit (v-w10460f2)</v>
      </c>
    </row>
    <row r="2680" spans="1:4" x14ac:dyDescent="0.2">
      <c r="B2680" t="s">
        <v>1</v>
      </c>
      <c r="D2680" t="s">
        <v>83</v>
      </c>
    </row>
    <row r="2682" spans="1:4" x14ac:dyDescent="0.2">
      <c r="A2682" t="s">
        <v>1072</v>
      </c>
      <c r="B2682" t="str">
        <f>HYPERLINK("https://lindat.mff.cuni.cz/services/teitok/pdtc10/index.php?action=vallex&amp;frame=v-w1205f1", "chybovat (v-w1205f1)")</f>
        <v>chybovat (v-w1205f1)</v>
      </c>
    </row>
    <row r="2683" spans="1:4" x14ac:dyDescent="0.2">
      <c r="B2683" t="s">
        <v>1</v>
      </c>
      <c r="C2683" t="s">
        <v>83</v>
      </c>
      <c r="D2683" t="s">
        <v>83</v>
      </c>
    </row>
    <row r="2685" spans="1:4" x14ac:dyDescent="0.2">
      <c r="A2685" t="s">
        <v>1073</v>
      </c>
      <c r="B2685" t="str">
        <f>HYPERLINK("https://lindat.mff.cuni.cz/services/teitok/pdtc10/index.php?action=vallex&amp;frame=v-w1204f1", "chybět (v-w1204f1)")</f>
        <v>chybět (v-w1204f1)</v>
      </c>
    </row>
    <row r="2686" spans="1:4" x14ac:dyDescent="0.2">
      <c r="B2686" t="s">
        <v>488</v>
      </c>
      <c r="C2686" t="s">
        <v>1074</v>
      </c>
      <c r="D2686" t="s">
        <v>23059</v>
      </c>
    </row>
    <row r="2687" spans="1:4" x14ac:dyDescent="0.2">
      <c r="B2687" t="s">
        <v>103</v>
      </c>
      <c r="C2687" t="s">
        <v>1075</v>
      </c>
      <c r="D2687" t="s">
        <v>23060</v>
      </c>
    </row>
    <row r="2689" spans="1:4" x14ac:dyDescent="0.2">
      <c r="A2689" t="s">
        <v>1076</v>
      </c>
      <c r="B2689" t="str">
        <f>HYPERLINK("https://lindat.mff.cuni.cz/services/teitok/pdtc10/index.php?action=vallex&amp;frame=v-w1204f4", "chybět (v-w1204f4)")</f>
        <v>chybět (v-w1204f4)</v>
      </c>
    </row>
    <row r="2690" spans="1:4" x14ac:dyDescent="0.2">
      <c r="B2690" t="s">
        <v>455</v>
      </c>
      <c r="C2690" t="s">
        <v>1077</v>
      </c>
      <c r="D2690" t="s">
        <v>1077</v>
      </c>
    </row>
    <row r="2691" spans="1:4" x14ac:dyDescent="0.2">
      <c r="B2691" t="s">
        <v>243</v>
      </c>
      <c r="C2691" t="s">
        <v>1078</v>
      </c>
      <c r="D2691" t="s">
        <v>5666</v>
      </c>
    </row>
    <row r="2693" spans="1:4" x14ac:dyDescent="0.2">
      <c r="A2693" t="s">
        <v>1079</v>
      </c>
      <c r="B2693" t="str">
        <f>HYPERLINK("https://lindat.mff.cuni.cz/services/teitok/pdtc10/index.php?action=vallex&amp;frame=v-w1204f2", "chybět (v-w1204f2)")</f>
        <v>chybět (v-w1204f2)</v>
      </c>
    </row>
    <row r="2694" spans="1:4" x14ac:dyDescent="0.2">
      <c r="B2694" t="s">
        <v>1</v>
      </c>
      <c r="C2694" t="s">
        <v>1080</v>
      </c>
    </row>
    <row r="2695" spans="1:4" x14ac:dyDescent="0.2">
      <c r="B2695" t="s">
        <v>5</v>
      </c>
      <c r="C2695" t="s">
        <v>1081</v>
      </c>
    </row>
    <row r="2697" spans="1:4" x14ac:dyDescent="0.2">
      <c r="A2697" t="s">
        <v>1082</v>
      </c>
      <c r="B2697" t="str">
        <f>HYPERLINK("https://lindat.mff.cuni.cz/services/teitok/pdtc10/index.php?action=vallex&amp;frame=v-w1204f3", "chybět (v-w1204f3)")</f>
        <v>chybět (v-w1204f3)</v>
      </c>
    </row>
    <row r="2698" spans="1:4" x14ac:dyDescent="0.2">
      <c r="B2698" t="s">
        <v>479</v>
      </c>
    </row>
    <row r="2700" spans="1:4" x14ac:dyDescent="0.2">
      <c r="A2700" t="s">
        <v>1083</v>
      </c>
      <c r="B2700" t="str">
        <f>HYPERLINK("https://lindat.mff.cuni.cz/services/teitok/pdtc10/index.php?action=vallex&amp;frame=v-w1204f5_ZU", "chybět (v-w1204f5_ZU)")</f>
        <v>chybět (v-w1204f5_ZU)</v>
      </c>
    </row>
    <row r="2701" spans="1:4" x14ac:dyDescent="0.2">
      <c r="B2701" t="s">
        <v>1</v>
      </c>
    </row>
    <row r="2702" spans="1:4" x14ac:dyDescent="0.2">
      <c r="B2702" t="s">
        <v>103</v>
      </c>
    </row>
    <row r="2703" spans="1:4" x14ac:dyDescent="0.2">
      <c r="B2703" t="s">
        <v>1084</v>
      </c>
    </row>
    <row r="2705" spans="1:4" x14ac:dyDescent="0.2">
      <c r="A2705" t="s">
        <v>1085</v>
      </c>
      <c r="B2705" t="str">
        <f>HYPERLINK("https://lindat.mff.cuni.cz/services/teitok/pdtc10/index.php?action=vallex&amp;frame=v-w1208f1", "chystat (v-w1208f1)")</f>
        <v>chystat (v-w1208f1)</v>
      </c>
    </row>
    <row r="2706" spans="1:4" x14ac:dyDescent="0.2">
      <c r="B2706" t="s">
        <v>1</v>
      </c>
      <c r="C2706" t="s">
        <v>1086</v>
      </c>
    </row>
    <row r="2707" spans="1:4" x14ac:dyDescent="0.2">
      <c r="B2707" t="s">
        <v>8</v>
      </c>
      <c r="C2707" t="s">
        <v>1087</v>
      </c>
    </row>
    <row r="2708" spans="1:4" x14ac:dyDescent="0.2">
      <c r="B2708" t="s">
        <v>24</v>
      </c>
    </row>
    <row r="2710" spans="1:4" x14ac:dyDescent="0.2">
      <c r="A2710" t="s">
        <v>1088</v>
      </c>
      <c r="B2710" t="str">
        <f>HYPERLINK("https://lindat.mff.cuni.cz/services/teitok/pdtc10/index.php?action=vallex&amp;frame=v-w1208f2", "chystat (v-w1208f2)")</f>
        <v>chystat (v-w1208f2)</v>
      </c>
    </row>
    <row r="2711" spans="1:4" x14ac:dyDescent="0.2">
      <c r="B2711" t="s">
        <v>1</v>
      </c>
      <c r="C2711" t="s">
        <v>1089</v>
      </c>
      <c r="D2711" t="s">
        <v>23061</v>
      </c>
    </row>
    <row r="2712" spans="1:4" x14ac:dyDescent="0.2">
      <c r="B2712" t="s">
        <v>8</v>
      </c>
      <c r="C2712" t="s">
        <v>1090</v>
      </c>
      <c r="D2712" t="s">
        <v>2374</v>
      </c>
    </row>
    <row r="2714" spans="1:4" x14ac:dyDescent="0.2">
      <c r="A2714" t="s">
        <v>1091</v>
      </c>
      <c r="B2714" t="str">
        <f>HYPERLINK("https://lindat.mff.cuni.cz/services/teitok/pdtc10/index.php?action=vallex&amp;frame=v-w1209f2_ZU", "chystat se (v-w1209f2_ZU)")</f>
        <v>chystat se (v-w1209f2_ZU)</v>
      </c>
    </row>
    <row r="2715" spans="1:4" x14ac:dyDescent="0.2">
      <c r="B2715" t="s">
        <v>1</v>
      </c>
    </row>
    <row r="2716" spans="1:4" x14ac:dyDescent="0.2">
      <c r="B2716" t="s">
        <v>1092</v>
      </c>
    </row>
    <row r="2718" spans="1:4" x14ac:dyDescent="0.2">
      <c r="A2718" t="s">
        <v>1091</v>
      </c>
      <c r="B2718" t="str">
        <f>HYPERLINK("https://lindat.mff.cuni.cz/services/teitok/pdtc10/index.php?action=vallex&amp;frame=v-w1209f1", "chystat se (v-w1209f1) - substituted with v-w1209f2_ZU")</f>
        <v>chystat se (v-w1209f1) - substituted with v-w1209f2_ZU</v>
      </c>
    </row>
    <row r="2719" spans="1:4" x14ac:dyDescent="0.2">
      <c r="B2719" t="s">
        <v>1</v>
      </c>
      <c r="C2719" t="s">
        <v>1093</v>
      </c>
      <c r="D2719" t="s">
        <v>964</v>
      </c>
    </row>
    <row r="2720" spans="1:4" x14ac:dyDescent="0.2">
      <c r="B2720" t="s">
        <v>1092</v>
      </c>
      <c r="C2720" t="s">
        <v>1094</v>
      </c>
      <c r="D2720" t="s">
        <v>8875</v>
      </c>
    </row>
    <row r="2722" spans="1:4" x14ac:dyDescent="0.2">
      <c r="A2722" t="s">
        <v>1095</v>
      </c>
      <c r="B2722" t="str">
        <f>HYPERLINK("https://lindat.mff.cuni.cz/services/teitok/pdtc10/index.php?action=vallex&amp;frame=v-w1211f1", "chytat (v-w1211f1)")</f>
        <v>chytat (v-w1211f1)</v>
      </c>
    </row>
    <row r="2723" spans="1:4" x14ac:dyDescent="0.2">
      <c r="B2723" t="s">
        <v>1</v>
      </c>
      <c r="C2723" t="s">
        <v>140</v>
      </c>
      <c r="D2723" t="s">
        <v>133</v>
      </c>
    </row>
    <row r="2724" spans="1:4" x14ac:dyDescent="0.2">
      <c r="B2724" t="s">
        <v>8</v>
      </c>
      <c r="C2724" t="s">
        <v>56</v>
      </c>
      <c r="D2724" t="s">
        <v>991</v>
      </c>
    </row>
    <row r="2726" spans="1:4" x14ac:dyDescent="0.2">
      <c r="A2726" t="s">
        <v>1096</v>
      </c>
      <c r="B2726" t="str">
        <f>HYPERLINK("https://lindat.mff.cuni.cz/services/teitok/pdtc10/index.php?action=vallex&amp;frame=v-w1211f6_ZU", "chytat (v-w1211f6_ZU)")</f>
        <v>chytat (v-w1211f6_ZU)</v>
      </c>
    </row>
    <row r="2727" spans="1:4" x14ac:dyDescent="0.2">
      <c r="B2727" t="s">
        <v>1</v>
      </c>
    </row>
    <row r="2728" spans="1:4" x14ac:dyDescent="0.2">
      <c r="B2728" t="s">
        <v>8</v>
      </c>
    </row>
    <row r="2730" spans="1:4" x14ac:dyDescent="0.2">
      <c r="A2730" t="s">
        <v>1096</v>
      </c>
      <c r="B2730" t="str">
        <f>HYPERLINK("https://lindat.mff.cuni.cz/services/teitok/pdtc10/index.php?action=vallex&amp;frame=v-w1211f3", "chytat (v-w1211f3) - substituted with v-w1211f6_ZU")</f>
        <v>chytat (v-w1211f3) - substituted with v-w1211f6_ZU</v>
      </c>
    </row>
    <row r="2731" spans="1:4" x14ac:dyDescent="0.2">
      <c r="B2731" t="s">
        <v>1</v>
      </c>
      <c r="D2731" t="s">
        <v>33</v>
      </c>
    </row>
    <row r="2732" spans="1:4" x14ac:dyDescent="0.2">
      <c r="B2732" t="s">
        <v>8</v>
      </c>
      <c r="D2732" t="s">
        <v>56</v>
      </c>
    </row>
    <row r="2734" spans="1:4" x14ac:dyDescent="0.2">
      <c r="A2734" t="s">
        <v>1097</v>
      </c>
      <c r="B2734" t="str">
        <f>HYPERLINK("https://lindat.mff.cuni.cz/services/teitok/pdtc10/index.php?action=vallex&amp;frame=v-w1211f2", "chytat (v-w1211f2)")</f>
        <v>chytat (v-w1211f2)</v>
      </c>
    </row>
    <row r="2735" spans="1:4" x14ac:dyDescent="0.2">
      <c r="B2735" t="s">
        <v>1</v>
      </c>
    </row>
    <row r="2736" spans="1:4" x14ac:dyDescent="0.2">
      <c r="B2736" t="s">
        <v>8</v>
      </c>
    </row>
    <row r="2738" spans="1:2" x14ac:dyDescent="0.2">
      <c r="A2738" t="s">
        <v>1098</v>
      </c>
      <c r="B2738" t="str">
        <f>HYPERLINK("https://lindat.mff.cuni.cz/services/teitok/pdtc10/index.php?action=vallex&amp;frame=v-w1211f4_ZU", "chytat (v-w1211f4_ZU)")</f>
        <v>chytat (v-w1211f4_ZU)</v>
      </c>
    </row>
    <row r="2739" spans="1:2" x14ac:dyDescent="0.2">
      <c r="B2739" t="s">
        <v>1</v>
      </c>
    </row>
    <row r="2741" spans="1:2" x14ac:dyDescent="0.2">
      <c r="A2741" t="s">
        <v>1098</v>
      </c>
      <c r="B2741" t="str">
        <f>HYPERLINK("https://lindat.mff.cuni.cz/services/teitok/pdtc10/index.php?action=vallex&amp;frame=v-w1211hsa_1222", "chytat (v-w1211hsa_1222) - substituted with v-w1211f4_ZU")</f>
        <v>chytat (v-w1211hsa_1222) - substituted with v-w1211f4_ZU</v>
      </c>
    </row>
    <row r="2742" spans="1:2" x14ac:dyDescent="0.2">
      <c r="B2742" t="s">
        <v>1</v>
      </c>
    </row>
    <row r="2744" spans="1:2" x14ac:dyDescent="0.2">
      <c r="A2744" t="s">
        <v>1099</v>
      </c>
      <c r="B2744" t="str">
        <f>HYPERLINK("https://lindat.mff.cuni.cz/services/teitok/pdtc10/index.php?action=vallex&amp;frame=v-w1211f5_ZU", "chytat (v-w1211f5_ZU)")</f>
        <v>chytat (v-w1211f5_ZU)</v>
      </c>
    </row>
    <row r="2745" spans="1:2" x14ac:dyDescent="0.2">
      <c r="B2745" t="s">
        <v>1</v>
      </c>
    </row>
    <row r="2746" spans="1:2" x14ac:dyDescent="0.2">
      <c r="B2746" t="s">
        <v>8</v>
      </c>
    </row>
    <row r="2748" spans="1:2" x14ac:dyDescent="0.2">
      <c r="A2748" t="s">
        <v>1100</v>
      </c>
      <c r="B2748" t="str">
        <f>HYPERLINK("https://lindat.mff.cuni.cz/services/teitok/pdtc10/index.php?action=vallex&amp;frame=v-w1211hsa_1038", "chytat (v-w1211hsa_1038)")</f>
        <v>chytat (v-w1211hsa_1038)</v>
      </c>
    </row>
    <row r="2749" spans="1:2" x14ac:dyDescent="0.2">
      <c r="B2749" t="s">
        <v>1</v>
      </c>
    </row>
    <row r="2750" spans="1:2" x14ac:dyDescent="0.2">
      <c r="B2750" t="s">
        <v>8</v>
      </c>
    </row>
    <row r="2752" spans="1:2" x14ac:dyDescent="0.2">
      <c r="A2752" t="s">
        <v>1101</v>
      </c>
      <c r="B2752" t="str">
        <f>HYPERLINK("https://lindat.mff.cuni.cz/services/teitok/pdtc10/index.php?action=vallex&amp;frame=v-w11256f1", "chytat se (v-w11256f1)")</f>
        <v>chytat se (v-w11256f1)</v>
      </c>
    </row>
    <row r="2753" spans="1:2" x14ac:dyDescent="0.2">
      <c r="B2753" t="s">
        <v>1</v>
      </c>
    </row>
    <row r="2754" spans="1:2" x14ac:dyDescent="0.2">
      <c r="B2754" t="s">
        <v>917</v>
      </c>
    </row>
    <row r="2756" spans="1:2" x14ac:dyDescent="0.2">
      <c r="A2756" t="s">
        <v>1102</v>
      </c>
      <c r="B2756" t="str">
        <f>HYPERLINK("https://lindat.mff.cuni.cz/services/teitok/pdtc10/index.php?action=vallex&amp;frame=v-w11256f2_ZU", "chytat se (v-w11256f2_ZU)")</f>
        <v>chytat se (v-w11256f2_ZU)</v>
      </c>
    </row>
    <row r="2757" spans="1:2" x14ac:dyDescent="0.2">
      <c r="B2757" t="s">
        <v>1</v>
      </c>
    </row>
    <row r="2758" spans="1:2" x14ac:dyDescent="0.2">
      <c r="B2758" t="s">
        <v>1103</v>
      </c>
    </row>
    <row r="2760" spans="1:2" x14ac:dyDescent="0.2">
      <c r="A2760" t="s">
        <v>1102</v>
      </c>
      <c r="B2760" t="str">
        <f>HYPERLINK("https://lindat.mff.cuni.cz/services/teitok/pdtc10/index.php?action=vallex&amp;frame=v-w11256hsa_1825", "chytat se (v-w11256hsa_1825) - substituted with v-w11256f2_ZU")</f>
        <v>chytat se (v-w11256hsa_1825) - substituted with v-w11256f2_ZU</v>
      </c>
    </row>
    <row r="2761" spans="1:2" x14ac:dyDescent="0.2">
      <c r="B2761" t="s">
        <v>1</v>
      </c>
    </row>
    <row r="2762" spans="1:2" x14ac:dyDescent="0.2">
      <c r="B2762" t="s">
        <v>1103</v>
      </c>
    </row>
    <row r="2764" spans="1:2" x14ac:dyDescent="0.2">
      <c r="A2764" t="s">
        <v>1104</v>
      </c>
      <c r="B2764" t="str">
        <f>HYPERLINK("https://lindat.mff.cuni.cz/services/teitok/pdtc10/index.php?action=vallex&amp;frame=v-w11256f4_ZU", "chytat se (v-w11256f4_ZU)")</f>
        <v>chytat se (v-w11256f4_ZU)</v>
      </c>
    </row>
    <row r="2765" spans="1:2" x14ac:dyDescent="0.2">
      <c r="B2765" t="s">
        <v>1</v>
      </c>
    </row>
    <row r="2766" spans="1:2" x14ac:dyDescent="0.2">
      <c r="B2766" t="s">
        <v>917</v>
      </c>
    </row>
    <row r="2768" spans="1:2" x14ac:dyDescent="0.2">
      <c r="A2768" t="s">
        <v>1104</v>
      </c>
      <c r="B2768" t="str">
        <f>HYPERLINK("https://lindat.mff.cuni.cz/services/teitok/pdtc10/index.php?action=vallex&amp;frame=v-w11256f3_ZU", "chytat se (v-w11256f3_ZU) - substituted with v-w11256f4_ZU")</f>
        <v>chytat se (v-w11256f3_ZU) - substituted with v-w11256f4_ZU</v>
      </c>
    </row>
    <row r="2769" spans="1:4" x14ac:dyDescent="0.2">
      <c r="B2769" t="s">
        <v>1</v>
      </c>
    </row>
    <row r="2770" spans="1:4" x14ac:dyDescent="0.2">
      <c r="B2770" t="s">
        <v>917</v>
      </c>
    </row>
    <row r="2772" spans="1:4" x14ac:dyDescent="0.2">
      <c r="A2772" t="s">
        <v>1105</v>
      </c>
      <c r="B2772" t="str">
        <f>HYPERLINK("https://lindat.mff.cuni.cz/services/teitok/pdtc10/index.php?action=vallex&amp;frame=v-w1212f1", "chytit (v-w1212f1)")</f>
        <v>chytit (v-w1212f1)</v>
      </c>
    </row>
    <row r="2773" spans="1:4" x14ac:dyDescent="0.2">
      <c r="B2773" t="s">
        <v>1</v>
      </c>
      <c r="C2773" t="s">
        <v>1106</v>
      </c>
      <c r="D2773" t="s">
        <v>133</v>
      </c>
    </row>
    <row r="2774" spans="1:4" x14ac:dyDescent="0.2">
      <c r="B2774" t="s">
        <v>8</v>
      </c>
      <c r="C2774" t="s">
        <v>1107</v>
      </c>
      <c r="D2774" t="s">
        <v>991</v>
      </c>
    </row>
    <row r="2776" spans="1:4" x14ac:dyDescent="0.2">
      <c r="A2776" t="s">
        <v>1108</v>
      </c>
      <c r="B2776" t="str">
        <f>HYPERLINK("https://lindat.mff.cuni.cz/services/teitok/pdtc10/index.php?action=vallex&amp;frame=v-w1212f10_ZU", "chytit (v-w1212f10_ZU)")</f>
        <v>chytit (v-w1212f10_ZU)</v>
      </c>
    </row>
    <row r="2777" spans="1:4" x14ac:dyDescent="0.2">
      <c r="B2777" t="s">
        <v>1</v>
      </c>
    </row>
    <row r="2778" spans="1:4" x14ac:dyDescent="0.2">
      <c r="B2778" t="s">
        <v>8</v>
      </c>
    </row>
    <row r="2780" spans="1:4" x14ac:dyDescent="0.2">
      <c r="A2780" t="s">
        <v>1108</v>
      </c>
      <c r="B2780" t="str">
        <f>HYPERLINK("https://lindat.mff.cuni.cz/services/teitok/pdtc10/index.php?action=vallex&amp;frame=v-w1212f3", "chytit (v-w1212f3) - substituted with v-w1212f10_ZU")</f>
        <v>chytit (v-w1212f3) - substituted with v-w1212f10_ZU</v>
      </c>
    </row>
    <row r="2781" spans="1:4" x14ac:dyDescent="0.2">
      <c r="B2781" t="s">
        <v>1</v>
      </c>
      <c r="C2781" t="s">
        <v>133</v>
      </c>
      <c r="D2781" t="s">
        <v>33</v>
      </c>
    </row>
    <row r="2782" spans="1:4" x14ac:dyDescent="0.2">
      <c r="B2782" t="s">
        <v>8</v>
      </c>
      <c r="C2782" t="s">
        <v>1109</v>
      </c>
      <c r="D2782" t="s">
        <v>56</v>
      </c>
    </row>
    <row r="2784" spans="1:4" x14ac:dyDescent="0.2">
      <c r="A2784" t="s">
        <v>1110</v>
      </c>
      <c r="B2784" t="str">
        <f>HYPERLINK("https://lindat.mff.cuni.cz/services/teitok/pdtc10/index.php?action=vallex&amp;frame=v-w1212f4", "chytit (v-w1212f4)")</f>
        <v>chytit (v-w1212f4)</v>
      </c>
    </row>
    <row r="2785" spans="1:4" x14ac:dyDescent="0.2">
      <c r="B2785" t="s">
        <v>1</v>
      </c>
    </row>
    <row r="2786" spans="1:4" x14ac:dyDescent="0.2">
      <c r="B2786" t="s">
        <v>8</v>
      </c>
    </row>
    <row r="2788" spans="1:4" x14ac:dyDescent="0.2">
      <c r="A2788" t="s">
        <v>1111</v>
      </c>
      <c r="B2788" t="str">
        <f>HYPERLINK("https://lindat.mff.cuni.cz/services/teitok/pdtc10/index.php?action=vallex&amp;frame=v-w1212f2", "chytit (v-w1212f2)")</f>
        <v>chytit (v-w1212f2)</v>
      </c>
    </row>
    <row r="2789" spans="1:4" x14ac:dyDescent="0.2">
      <c r="B2789" t="s">
        <v>1</v>
      </c>
    </row>
    <row r="2790" spans="1:4" x14ac:dyDescent="0.2">
      <c r="B2790" t="s">
        <v>438</v>
      </c>
    </row>
    <row r="2792" spans="1:4" x14ac:dyDescent="0.2">
      <c r="A2792" t="s">
        <v>1112</v>
      </c>
      <c r="B2792" t="str">
        <f>HYPERLINK("https://lindat.mff.cuni.cz/services/teitok/pdtc10/index.php?action=vallex&amp;frame=v-w1212hsa_417", "chytit (v-w1212hsa_417)")</f>
        <v>chytit (v-w1212hsa_417)</v>
      </c>
    </row>
    <row r="2793" spans="1:4" x14ac:dyDescent="0.2">
      <c r="B2793" t="s">
        <v>1</v>
      </c>
      <c r="C2793" t="s">
        <v>249</v>
      </c>
      <c r="D2793" t="s">
        <v>23062</v>
      </c>
    </row>
    <row r="2794" spans="1:4" x14ac:dyDescent="0.2">
      <c r="B2794" t="s">
        <v>1113</v>
      </c>
      <c r="C2794" t="s">
        <v>1114</v>
      </c>
    </row>
    <row r="2796" spans="1:4" x14ac:dyDescent="0.2">
      <c r="A2796" t="s">
        <v>1112</v>
      </c>
      <c r="B2796" t="str">
        <f>HYPERLINK("https://lindat.mff.cuni.cz/services/teitok/pdtc10/index.php?action=vallex&amp;frame=v-w1212f5_ZU", "chytit (v-w1212f5_ZU) - substituted with v-w1212hsa_417")</f>
        <v>chytit (v-w1212f5_ZU) - substituted with v-w1212hsa_417</v>
      </c>
    </row>
    <row r="2797" spans="1:4" x14ac:dyDescent="0.2">
      <c r="B2797" t="s">
        <v>1</v>
      </c>
    </row>
    <row r="2798" spans="1:4" x14ac:dyDescent="0.2">
      <c r="B2798" t="s">
        <v>1113</v>
      </c>
    </row>
    <row r="2800" spans="1:4" x14ac:dyDescent="0.2">
      <c r="A2800" t="s">
        <v>1112</v>
      </c>
      <c r="B2800" t="str">
        <f>HYPERLINK("https://lindat.mff.cuni.cz/services/teitok/pdtc10/index.php?action=vallex&amp;frame=v-w1212f6_ZU", "chytit (v-w1212f6_ZU) - substituted with v-w1212hsa_417")</f>
        <v>chytit (v-w1212f6_ZU) - substituted with v-w1212hsa_417</v>
      </c>
    </row>
    <row r="2801" spans="1:3" x14ac:dyDescent="0.2">
      <c r="B2801" t="s">
        <v>1</v>
      </c>
    </row>
    <row r="2802" spans="1:3" x14ac:dyDescent="0.2">
      <c r="B2802" t="s">
        <v>1113</v>
      </c>
    </row>
    <row r="2804" spans="1:3" x14ac:dyDescent="0.2">
      <c r="A2804" t="s">
        <v>1115</v>
      </c>
      <c r="B2804" t="str">
        <f>HYPERLINK("https://lindat.mff.cuni.cz/services/teitok/pdtc10/index.php?action=vallex&amp;frame=v-w1212f8_ZU", "chytit (v-w1212f8_ZU)")</f>
        <v>chytit (v-w1212f8_ZU)</v>
      </c>
    </row>
    <row r="2805" spans="1:3" x14ac:dyDescent="0.2">
      <c r="B2805" t="s">
        <v>1</v>
      </c>
      <c r="C2805" t="s">
        <v>133</v>
      </c>
    </row>
    <row r="2806" spans="1:3" x14ac:dyDescent="0.2">
      <c r="B2806" t="s">
        <v>1116</v>
      </c>
    </row>
    <row r="2807" spans="1:3" x14ac:dyDescent="0.2">
      <c r="B2807" t="s">
        <v>8</v>
      </c>
      <c r="C2807" t="s">
        <v>84</v>
      </c>
    </row>
    <row r="2809" spans="1:3" x14ac:dyDescent="0.2">
      <c r="A2809" t="s">
        <v>1115</v>
      </c>
      <c r="B2809" t="str">
        <f>HYPERLINK("https://lindat.mff.cuni.cz/services/teitok/pdtc10/index.php?action=vallex&amp;frame=v-w1212hsa_418", "chytit (v-w1212hsa_418) - substituted with v-w1212f8_ZU")</f>
        <v>chytit (v-w1212hsa_418) - substituted with v-w1212f8_ZU</v>
      </c>
    </row>
    <row r="2810" spans="1:3" x14ac:dyDescent="0.2">
      <c r="B2810" t="s">
        <v>1</v>
      </c>
    </row>
    <row r="2811" spans="1:3" x14ac:dyDescent="0.2">
      <c r="B2811" t="s">
        <v>1116</v>
      </c>
    </row>
    <row r="2812" spans="1:3" x14ac:dyDescent="0.2">
      <c r="B2812" t="s">
        <v>8</v>
      </c>
    </row>
    <row r="2814" spans="1:3" x14ac:dyDescent="0.2">
      <c r="A2814" t="s">
        <v>1117</v>
      </c>
      <c r="B2814" t="str">
        <f>HYPERLINK("https://lindat.mff.cuni.cz/services/teitok/pdtc10/index.php?action=vallex&amp;frame=v-w1212f7_ZU", "chytit (v-w1212f7_ZU)")</f>
        <v>chytit (v-w1212f7_ZU)</v>
      </c>
    </row>
    <row r="2815" spans="1:3" x14ac:dyDescent="0.2">
      <c r="B2815" t="s">
        <v>1</v>
      </c>
      <c r="C2815" t="s">
        <v>140</v>
      </c>
    </row>
    <row r="2816" spans="1:3" x14ac:dyDescent="0.2">
      <c r="B2816" t="s">
        <v>1118</v>
      </c>
      <c r="C2816" t="s">
        <v>1119</v>
      </c>
    </row>
    <row r="2818" spans="1:2" x14ac:dyDescent="0.2">
      <c r="A2818" t="s">
        <v>1120</v>
      </c>
      <c r="B2818" t="str">
        <f>HYPERLINK("https://lindat.mff.cuni.cz/services/teitok/pdtc10/index.php?action=vallex&amp;frame=v-w1212f9_ZU", "chytit (v-w1212f9_ZU)")</f>
        <v>chytit (v-w1212f9_ZU)</v>
      </c>
    </row>
    <row r="2819" spans="1:2" x14ac:dyDescent="0.2">
      <c r="B2819" t="s">
        <v>1</v>
      </c>
    </row>
    <row r="2820" spans="1:2" x14ac:dyDescent="0.2">
      <c r="B2820" t="s">
        <v>8</v>
      </c>
    </row>
    <row r="2822" spans="1:2" x14ac:dyDescent="0.2">
      <c r="A2822" t="s">
        <v>1121</v>
      </c>
      <c r="B2822" t="str">
        <f>HYPERLINK("https://lindat.mff.cuni.cz/services/teitok/pdtc10/index.php?action=vallex&amp;frame=v-w1212hsa_1421", "chytit (v-w1212hsa_1421)")</f>
        <v>chytit (v-w1212hsa_1421)</v>
      </c>
    </row>
    <row r="2823" spans="1:2" x14ac:dyDescent="0.2">
      <c r="B2823" t="s">
        <v>1</v>
      </c>
    </row>
    <row r="2824" spans="1:2" x14ac:dyDescent="0.2">
      <c r="B2824" t="s">
        <v>8</v>
      </c>
    </row>
    <row r="2826" spans="1:2" x14ac:dyDescent="0.2">
      <c r="A2826" t="s">
        <v>1122</v>
      </c>
      <c r="B2826" t="str">
        <f>HYPERLINK("https://lindat.mff.cuni.cz/services/teitok/pdtc10/index.php?action=vallex&amp;frame=v-w1212hsa_1422", "chytit (v-w1212hsa_1422)")</f>
        <v>chytit (v-w1212hsa_1422)</v>
      </c>
    </row>
    <row r="2827" spans="1:2" x14ac:dyDescent="0.2">
      <c r="B2827" t="s">
        <v>1</v>
      </c>
    </row>
    <row r="2828" spans="1:2" x14ac:dyDescent="0.2">
      <c r="B2828" t="s">
        <v>8</v>
      </c>
    </row>
    <row r="2830" spans="1:2" x14ac:dyDescent="0.2">
      <c r="A2830" t="s">
        <v>1123</v>
      </c>
      <c r="B2830" t="str">
        <f>HYPERLINK("https://lindat.mff.cuni.cz/services/teitok/pdtc10/index.php?action=vallex&amp;frame=v-w1212hsa_1423", "chytit (v-w1212hsa_1423)")</f>
        <v>chytit (v-w1212hsa_1423)</v>
      </c>
    </row>
    <row r="2831" spans="1:2" x14ac:dyDescent="0.2">
      <c r="B2831" t="s">
        <v>1</v>
      </c>
    </row>
    <row r="2832" spans="1:2" x14ac:dyDescent="0.2">
      <c r="B2832" t="s">
        <v>8</v>
      </c>
    </row>
    <row r="2833" spans="1:4" x14ac:dyDescent="0.2">
      <c r="B2833" t="s">
        <v>321</v>
      </c>
    </row>
    <row r="2835" spans="1:4" x14ac:dyDescent="0.2">
      <c r="A2835" t="s">
        <v>1124</v>
      </c>
      <c r="B2835" t="str">
        <f>HYPERLINK("https://lindat.mff.cuni.cz/services/teitok/pdtc10/index.php?action=vallex&amp;frame=v-w1213f3", "chytit se (v-w1213f3)")</f>
        <v>chytit se (v-w1213f3)</v>
      </c>
    </row>
    <row r="2836" spans="1:4" x14ac:dyDescent="0.2">
      <c r="B2836" t="s">
        <v>1</v>
      </c>
      <c r="C2836" t="s">
        <v>1125</v>
      </c>
      <c r="D2836" t="s">
        <v>133</v>
      </c>
    </row>
    <row r="2837" spans="1:4" x14ac:dyDescent="0.2">
      <c r="B2837" t="s">
        <v>917</v>
      </c>
      <c r="C2837" t="s">
        <v>1126</v>
      </c>
      <c r="D2837" t="s">
        <v>84</v>
      </c>
    </row>
    <row r="2839" spans="1:4" x14ac:dyDescent="0.2">
      <c r="A2839" t="s">
        <v>1127</v>
      </c>
      <c r="B2839" t="str">
        <f>HYPERLINK("https://lindat.mff.cuni.cz/services/teitok/pdtc10/index.php?action=vallex&amp;frame=v-w1213f4", "chytit se (v-w1213f4)")</f>
        <v>chytit se (v-w1213f4)</v>
      </c>
    </row>
    <row r="2840" spans="1:4" x14ac:dyDescent="0.2">
      <c r="B2840" t="s">
        <v>1</v>
      </c>
      <c r="C2840" t="s">
        <v>430</v>
      </c>
    </row>
    <row r="2841" spans="1:4" x14ac:dyDescent="0.2">
      <c r="B2841" t="s">
        <v>917</v>
      </c>
      <c r="C2841" t="s">
        <v>1128</v>
      </c>
    </row>
    <row r="2843" spans="1:4" x14ac:dyDescent="0.2">
      <c r="A2843" t="s">
        <v>1129</v>
      </c>
      <c r="B2843" t="str">
        <f>HYPERLINK("https://lindat.mff.cuni.cz/services/teitok/pdtc10/index.php?action=vallex&amp;frame=v-w1213f5_ZU", "chytit se (v-w1213f5_ZU)")</f>
        <v>chytit se (v-w1213f5_ZU)</v>
      </c>
    </row>
    <row r="2844" spans="1:4" x14ac:dyDescent="0.2">
      <c r="B2844" t="s">
        <v>1</v>
      </c>
      <c r="C2844" t="s">
        <v>1130</v>
      </c>
      <c r="D2844" t="s">
        <v>201</v>
      </c>
    </row>
    <row r="2845" spans="1:4" x14ac:dyDescent="0.2">
      <c r="B2845" t="s">
        <v>252</v>
      </c>
      <c r="D2845" t="s">
        <v>6117</v>
      </c>
    </row>
    <row r="2847" spans="1:4" x14ac:dyDescent="0.2">
      <c r="A2847" t="s">
        <v>1131</v>
      </c>
      <c r="B2847" t="str">
        <f>HYPERLINK("https://lindat.mff.cuni.cz/services/teitok/pdtc10/index.php?action=vallex&amp;frame=v-w1213f1", "chytit se (v-w1213f1)")</f>
        <v>chytit se (v-w1213f1)</v>
      </c>
    </row>
    <row r="2848" spans="1:4" x14ac:dyDescent="0.2">
      <c r="B2848" t="s">
        <v>1</v>
      </c>
    </row>
    <row r="2850" spans="1:2" x14ac:dyDescent="0.2">
      <c r="A2850" t="s">
        <v>1132</v>
      </c>
      <c r="B2850" t="str">
        <f>HYPERLINK("https://lindat.mff.cuni.cz/services/teitok/pdtc10/index.php?action=vallex&amp;frame=v-w1213f8_ZU", "chytit se (v-w1213f8_ZU)")</f>
        <v>chytit se (v-w1213f8_ZU)</v>
      </c>
    </row>
    <row r="2851" spans="1:2" x14ac:dyDescent="0.2">
      <c r="B2851" t="s">
        <v>1</v>
      </c>
    </row>
    <row r="2853" spans="1:2" x14ac:dyDescent="0.2">
      <c r="A2853" t="s">
        <v>1132</v>
      </c>
      <c r="B2853" t="str">
        <f>HYPERLINK("https://lindat.mff.cuni.cz/services/teitok/pdtc10/index.php?action=vallex&amp;frame=v-w1213f2", "chytit se (v-w1213f2) - substituted with v-w1213f8_ZU")</f>
        <v>chytit se (v-w1213f2) - substituted with v-w1213f8_ZU</v>
      </c>
    </row>
    <row r="2854" spans="1:2" x14ac:dyDescent="0.2">
      <c r="B2854" t="s">
        <v>1</v>
      </c>
    </row>
    <row r="2856" spans="1:2" x14ac:dyDescent="0.2">
      <c r="A2856" t="s">
        <v>1133</v>
      </c>
      <c r="B2856" t="str">
        <f>HYPERLINK("https://lindat.mff.cuni.cz/services/teitok/pdtc10/index.php?action=vallex&amp;frame=v-w1213f6_ZU", "chytit se (v-w1213f6_ZU)")</f>
        <v>chytit se (v-w1213f6_ZU)</v>
      </c>
    </row>
    <row r="2857" spans="1:2" x14ac:dyDescent="0.2">
      <c r="B2857" t="s">
        <v>1</v>
      </c>
    </row>
    <row r="2858" spans="1:2" x14ac:dyDescent="0.2">
      <c r="B2858" t="s">
        <v>467</v>
      </c>
    </row>
    <row r="2860" spans="1:2" x14ac:dyDescent="0.2">
      <c r="A2860" t="s">
        <v>1133</v>
      </c>
      <c r="B2860" t="str">
        <f>HYPERLINK("https://lindat.mff.cuni.cz/services/teitok/pdtc10/index.php?action=vallex&amp;frame=v-w1213hsa_791", "chytit se (v-w1213hsa_791) - substituted with v-w1213f6_ZU")</f>
        <v>chytit se (v-w1213hsa_791) - substituted with v-w1213f6_ZU</v>
      </c>
    </row>
    <row r="2861" spans="1:2" x14ac:dyDescent="0.2">
      <c r="B2861" t="s">
        <v>1</v>
      </c>
    </row>
    <row r="2862" spans="1:2" x14ac:dyDescent="0.2">
      <c r="B2862" t="s">
        <v>467</v>
      </c>
    </row>
    <row r="2864" spans="1:2" x14ac:dyDescent="0.2">
      <c r="A2864" t="s">
        <v>1134</v>
      </c>
      <c r="B2864" t="str">
        <f>HYPERLINK("https://lindat.mff.cuni.cz/services/teitok/pdtc10/index.php?action=vallex&amp;frame=v-w1213f7_ZU", "chytit se (v-w1213f7_ZU)")</f>
        <v>chytit se (v-w1213f7_ZU)</v>
      </c>
    </row>
    <row r="2865" spans="1:2" x14ac:dyDescent="0.2">
      <c r="B2865" t="s">
        <v>1</v>
      </c>
    </row>
    <row r="2866" spans="1:2" x14ac:dyDescent="0.2">
      <c r="B2866" t="s">
        <v>411</v>
      </c>
    </row>
    <row r="2868" spans="1:2" x14ac:dyDescent="0.2">
      <c r="A2868" t="s">
        <v>1135</v>
      </c>
      <c r="B2868" t="str">
        <f>HYPERLINK("https://lindat.mff.cuni.cz/services/teitok/pdtc10/index.php?action=vallex&amp;frame=v-whsa_1015f1_ZU", "chytnout (v-whsa_1015f1_ZU)")</f>
        <v>chytnout (v-whsa_1015f1_ZU)</v>
      </c>
    </row>
    <row r="2869" spans="1:2" x14ac:dyDescent="0.2">
      <c r="B2869" t="s">
        <v>1</v>
      </c>
    </row>
    <row r="2871" spans="1:2" x14ac:dyDescent="0.2">
      <c r="A2871" t="s">
        <v>1135</v>
      </c>
      <c r="B2871" t="str">
        <f>HYPERLINK("https://lindat.mff.cuni.cz/services/teitok/pdtc10/index.php?action=vallex&amp;frame=v-whsa_1015hsa_1016", "chytnout (v-whsa_1015hsa_1016) - substituted with v-whsa_1015f1_ZU")</f>
        <v>chytnout (v-whsa_1015hsa_1016) - substituted with v-whsa_1015f1_ZU</v>
      </c>
    </row>
    <row r="2872" spans="1:2" x14ac:dyDescent="0.2">
      <c r="B2872" t="s">
        <v>1</v>
      </c>
    </row>
    <row r="2874" spans="1:2" x14ac:dyDescent="0.2">
      <c r="A2874" t="s">
        <v>1136</v>
      </c>
      <c r="B2874" t="str">
        <f>HYPERLINK("https://lindat.mff.cuni.cz/services/teitok/pdtc10/index.php?action=vallex&amp;frame=v-whsa_1015f2_ZU", "chytnout (v-whsa_1015f2_ZU)")</f>
        <v>chytnout (v-whsa_1015f2_ZU)</v>
      </c>
    </row>
    <row r="2875" spans="1:2" x14ac:dyDescent="0.2">
      <c r="B2875" t="s">
        <v>1</v>
      </c>
    </row>
    <row r="2876" spans="1:2" x14ac:dyDescent="0.2">
      <c r="B2876" t="s">
        <v>8</v>
      </c>
    </row>
    <row r="2878" spans="1:2" x14ac:dyDescent="0.2">
      <c r="A2878" t="s">
        <v>1137</v>
      </c>
      <c r="B2878" t="str">
        <f>HYPERLINK("https://lindat.mff.cuni.cz/services/teitok/pdtc10/index.php?action=vallex&amp;frame=v-whsa_1015f3_ZU", "chytnout (v-whsa_1015f3_ZU)")</f>
        <v>chytnout (v-whsa_1015f3_ZU)</v>
      </c>
    </row>
    <row r="2879" spans="1:2" x14ac:dyDescent="0.2">
      <c r="B2879" t="s">
        <v>1</v>
      </c>
    </row>
    <row r="2880" spans="1:2" x14ac:dyDescent="0.2">
      <c r="B2880" t="s">
        <v>8</v>
      </c>
    </row>
    <row r="2882" spans="1:2" x14ac:dyDescent="0.2">
      <c r="A2882" t="s">
        <v>1138</v>
      </c>
      <c r="B2882" t="str">
        <f>HYPERLINK("https://lindat.mff.cuni.cz/services/teitok/pdtc10/index.php?action=vallex&amp;frame=v-whsa_1015f4_ZU", "chytnout (v-whsa_1015f4_ZU)")</f>
        <v>chytnout (v-whsa_1015f4_ZU)</v>
      </c>
    </row>
    <row r="2883" spans="1:2" x14ac:dyDescent="0.2">
      <c r="B2883" t="s">
        <v>1</v>
      </c>
    </row>
    <row r="2884" spans="1:2" x14ac:dyDescent="0.2">
      <c r="B2884" t="s">
        <v>8</v>
      </c>
    </row>
    <row r="2885" spans="1:2" x14ac:dyDescent="0.2">
      <c r="B2885" t="s">
        <v>321</v>
      </c>
    </row>
    <row r="2887" spans="1:2" x14ac:dyDescent="0.2">
      <c r="A2887" t="s">
        <v>1139</v>
      </c>
      <c r="B2887" t="str">
        <f>HYPERLINK("https://lindat.mff.cuni.cz/services/teitok/pdtc10/index.php?action=vallex&amp;frame=v-whsa_1015f5_ZU", "chytnout (v-whsa_1015f5_ZU)")</f>
        <v>chytnout (v-whsa_1015f5_ZU)</v>
      </c>
    </row>
    <row r="2888" spans="1:2" x14ac:dyDescent="0.2">
      <c r="B2888" t="s">
        <v>1</v>
      </c>
    </row>
    <row r="2889" spans="1:2" x14ac:dyDescent="0.2">
      <c r="B2889" t="s">
        <v>8</v>
      </c>
    </row>
    <row r="2891" spans="1:2" x14ac:dyDescent="0.2">
      <c r="A2891" t="s">
        <v>1139</v>
      </c>
      <c r="B2891" t="str">
        <f>HYPERLINK("https://lindat.mff.cuni.cz/services/teitok/pdtc10/index.php?action=vallex&amp;frame=v-whsa_1015hsa_1017", "chytnout (v-whsa_1015hsa_1017) - substituted with v-whsa_1015f5_ZU")</f>
        <v>chytnout (v-whsa_1015hsa_1017) - substituted with v-whsa_1015f5_ZU</v>
      </c>
    </row>
    <row r="2892" spans="1:2" x14ac:dyDescent="0.2">
      <c r="B2892" t="s">
        <v>1</v>
      </c>
    </row>
    <row r="2893" spans="1:2" x14ac:dyDescent="0.2">
      <c r="B2893" t="s">
        <v>8</v>
      </c>
    </row>
    <row r="2895" spans="1:2" x14ac:dyDescent="0.2">
      <c r="A2895" t="s">
        <v>1140</v>
      </c>
      <c r="B2895" t="str">
        <f>HYPERLINK("https://lindat.mff.cuni.cz/services/teitok/pdtc10/index.php?action=vallex&amp;frame=v-whsa_1015f6_ZU", "chytnout (v-whsa_1015f6_ZU)")</f>
        <v>chytnout (v-whsa_1015f6_ZU)</v>
      </c>
    </row>
    <row r="2896" spans="1:2" x14ac:dyDescent="0.2">
      <c r="B2896" t="s">
        <v>1</v>
      </c>
    </row>
    <row r="2897" spans="1:2" x14ac:dyDescent="0.2">
      <c r="B2897" t="s">
        <v>8</v>
      </c>
    </row>
    <row r="2899" spans="1:2" x14ac:dyDescent="0.2">
      <c r="A2899" t="s">
        <v>1141</v>
      </c>
      <c r="B2899" t="str">
        <f>HYPERLINK("https://lindat.mff.cuni.cz/services/teitok/pdtc10/index.php?action=vallex&amp;frame=v-whsa_1015f7_ZU", "chytnout (v-whsa_1015f7_ZU)")</f>
        <v>chytnout (v-whsa_1015f7_ZU)</v>
      </c>
    </row>
    <row r="2900" spans="1:2" x14ac:dyDescent="0.2">
      <c r="B2900" t="s">
        <v>1</v>
      </c>
    </row>
    <row r="2901" spans="1:2" x14ac:dyDescent="0.2">
      <c r="B2901" t="s">
        <v>8</v>
      </c>
    </row>
    <row r="2902" spans="1:2" x14ac:dyDescent="0.2">
      <c r="B2902" t="s">
        <v>1142</v>
      </c>
    </row>
    <row r="2904" spans="1:2" x14ac:dyDescent="0.2">
      <c r="A2904" t="s">
        <v>1141</v>
      </c>
      <c r="B2904" t="str">
        <f>HYPERLINK("https://lindat.mff.cuni.cz/services/teitok/pdtc10/index.php?action=vallex&amp;frame=v-whsa_1015hsa_1020", "chytnout (v-whsa_1015hsa_1020) - substituted with v-whsa_1015f7_ZU")</f>
        <v>chytnout (v-whsa_1015hsa_1020) - substituted with v-whsa_1015f7_ZU</v>
      </c>
    </row>
    <row r="2905" spans="1:2" x14ac:dyDescent="0.2">
      <c r="B2905" t="s">
        <v>1</v>
      </c>
    </row>
    <row r="2906" spans="1:2" x14ac:dyDescent="0.2">
      <c r="B2906" t="s">
        <v>8</v>
      </c>
    </row>
    <row r="2907" spans="1:2" x14ac:dyDescent="0.2">
      <c r="B2907" t="s">
        <v>1142</v>
      </c>
    </row>
    <row r="2909" spans="1:2" x14ac:dyDescent="0.2">
      <c r="A2909" t="s">
        <v>1143</v>
      </c>
      <c r="B2909" t="str">
        <f>HYPERLINK("https://lindat.mff.cuni.cz/services/teitok/pdtc10/index.php?action=vallex&amp;frame=v-whsa_1015hsa_1018", "chytnout (v-whsa_1015hsa_1018)")</f>
        <v>chytnout (v-whsa_1015hsa_1018)</v>
      </c>
    </row>
    <row r="2910" spans="1:2" x14ac:dyDescent="0.2">
      <c r="B2910" t="s">
        <v>1</v>
      </c>
    </row>
    <row r="2911" spans="1:2" x14ac:dyDescent="0.2">
      <c r="B2911" t="s">
        <v>8</v>
      </c>
    </row>
    <row r="2913" spans="1:2" x14ac:dyDescent="0.2">
      <c r="A2913" t="s">
        <v>1144</v>
      </c>
      <c r="B2913" t="str">
        <f>HYPERLINK("https://lindat.mff.cuni.cz/services/teitok/pdtc10/index.php?action=vallex&amp;frame=v-whsa_1015hsa_1019", "chytnout (v-whsa_1015hsa_1019)")</f>
        <v>chytnout (v-whsa_1015hsa_1019)</v>
      </c>
    </row>
    <row r="2914" spans="1:2" x14ac:dyDescent="0.2">
      <c r="B2914" t="s">
        <v>1</v>
      </c>
    </row>
    <row r="2915" spans="1:2" x14ac:dyDescent="0.2">
      <c r="B2915" t="s">
        <v>8</v>
      </c>
    </row>
    <row r="2917" spans="1:2" x14ac:dyDescent="0.2">
      <c r="A2917" t="s">
        <v>1145</v>
      </c>
      <c r="B2917" t="str">
        <f>HYPERLINK("https://lindat.mff.cuni.cz/services/teitok/pdtc10/index.php?action=vallex&amp;frame=v-w1214f1", "chytnout se (v-w1214f1)")</f>
        <v>chytnout se (v-w1214f1)</v>
      </c>
    </row>
    <row r="2918" spans="1:2" x14ac:dyDescent="0.2">
      <c r="B2918" t="s">
        <v>1</v>
      </c>
    </row>
    <row r="2920" spans="1:2" x14ac:dyDescent="0.2">
      <c r="A2920" t="s">
        <v>1146</v>
      </c>
      <c r="B2920" t="str">
        <f>HYPERLINK("https://lindat.mff.cuni.cz/services/teitok/pdtc10/index.php?action=vallex&amp;frame=v-w1214f2_ZU", "chytnout se (v-w1214f2_ZU)")</f>
        <v>chytnout se (v-w1214f2_ZU)</v>
      </c>
    </row>
    <row r="2921" spans="1:2" x14ac:dyDescent="0.2">
      <c r="B2921" t="s">
        <v>1</v>
      </c>
    </row>
    <row r="2922" spans="1:2" x14ac:dyDescent="0.2">
      <c r="B2922" t="s">
        <v>917</v>
      </c>
    </row>
    <row r="2924" spans="1:2" x14ac:dyDescent="0.2">
      <c r="A2924" t="s">
        <v>1147</v>
      </c>
      <c r="B2924" t="str">
        <f>HYPERLINK("https://lindat.mff.cuni.cz/services/teitok/pdtc10/index.php?action=vallex&amp;frame=v-w1214f3_ZU", "chytnout se (v-w1214f3_ZU)")</f>
        <v>chytnout se (v-w1214f3_ZU)</v>
      </c>
    </row>
    <row r="2925" spans="1:2" x14ac:dyDescent="0.2">
      <c r="B2925" t="s">
        <v>1</v>
      </c>
    </row>
    <row r="2926" spans="1:2" x14ac:dyDescent="0.2">
      <c r="B2926" t="s">
        <v>917</v>
      </c>
    </row>
    <row r="2928" spans="1:2" x14ac:dyDescent="0.2">
      <c r="A2928" t="s">
        <v>1148</v>
      </c>
      <c r="B2928" t="str">
        <f>HYPERLINK("https://lindat.mff.cuni.cz/services/teitok/pdtc10/index.php?action=vallex&amp;frame=v-w1162f1", "chápat (v-w1162f1)")</f>
        <v>chápat (v-w1162f1)</v>
      </c>
    </row>
    <row r="2929" spans="1:4" x14ac:dyDescent="0.2">
      <c r="B2929" t="s">
        <v>1</v>
      </c>
      <c r="C2929" t="s">
        <v>1149</v>
      </c>
      <c r="D2929" t="s">
        <v>23008</v>
      </c>
    </row>
    <row r="2930" spans="1:4" x14ac:dyDescent="0.2">
      <c r="B2930" t="s">
        <v>8</v>
      </c>
      <c r="C2930" t="s">
        <v>1150</v>
      </c>
      <c r="D2930" t="s">
        <v>17729</v>
      </c>
    </row>
    <row r="2931" spans="1:4" x14ac:dyDescent="0.2">
      <c r="B2931" t="s">
        <v>1151</v>
      </c>
      <c r="C2931" t="s">
        <v>1152</v>
      </c>
      <c r="D2931" t="s">
        <v>23009</v>
      </c>
    </row>
    <row r="2933" spans="1:4" x14ac:dyDescent="0.2">
      <c r="A2933" t="s">
        <v>1153</v>
      </c>
      <c r="B2933" t="str">
        <f>HYPERLINK("https://lindat.mff.cuni.cz/services/teitok/pdtc10/index.php?action=vallex&amp;frame=v-w1162f4", "chápat (v-w1162f4)")</f>
        <v>chápat (v-w1162f4)</v>
      </c>
    </row>
    <row r="2934" spans="1:4" x14ac:dyDescent="0.2">
      <c r="B2934" t="s">
        <v>1</v>
      </c>
    </row>
    <row r="2935" spans="1:4" x14ac:dyDescent="0.2">
      <c r="B2935" t="s">
        <v>1154</v>
      </c>
    </row>
    <row r="2936" spans="1:4" x14ac:dyDescent="0.2">
      <c r="B2936" t="s">
        <v>184</v>
      </c>
    </row>
    <row r="2938" spans="1:4" x14ac:dyDescent="0.2">
      <c r="A2938" t="s">
        <v>1155</v>
      </c>
      <c r="B2938" t="str">
        <f>HYPERLINK("https://lindat.mff.cuni.cz/services/teitok/pdtc10/index.php?action=vallex&amp;frame=v-w1162f2", "chápat (v-w1162f2)")</f>
        <v>chápat (v-w1162f2)</v>
      </c>
    </row>
    <row r="2939" spans="1:4" x14ac:dyDescent="0.2">
      <c r="B2939" t="s">
        <v>1</v>
      </c>
      <c r="C2939" t="s">
        <v>1156</v>
      </c>
      <c r="D2939" t="s">
        <v>8090</v>
      </c>
    </row>
    <row r="2940" spans="1:4" x14ac:dyDescent="0.2">
      <c r="B2940" t="s">
        <v>1157</v>
      </c>
      <c r="C2940" t="s">
        <v>1158</v>
      </c>
      <c r="D2940" t="s">
        <v>5497</v>
      </c>
    </row>
    <row r="2942" spans="1:4" x14ac:dyDescent="0.2">
      <c r="A2942" t="s">
        <v>1159</v>
      </c>
      <c r="B2942" t="str">
        <f>HYPERLINK("https://lindat.mff.cuni.cz/services/teitok/pdtc10/index.php?action=vallex&amp;frame=v-w1162f3", "chápat (v-w1162f3)")</f>
        <v>chápat (v-w1162f3)</v>
      </c>
    </row>
    <row r="2943" spans="1:4" x14ac:dyDescent="0.2">
      <c r="B2943" t="s">
        <v>1</v>
      </c>
      <c r="C2943" t="s">
        <v>133</v>
      </c>
    </row>
    <row r="2944" spans="1:4" x14ac:dyDescent="0.2">
      <c r="B2944" t="s">
        <v>8</v>
      </c>
      <c r="C2944" t="s">
        <v>991</v>
      </c>
    </row>
    <row r="2945" spans="1:4" x14ac:dyDescent="0.2">
      <c r="B2945" t="s">
        <v>346</v>
      </c>
    </row>
    <row r="2946" spans="1:4" x14ac:dyDescent="0.2">
      <c r="B2946" t="s">
        <v>349</v>
      </c>
    </row>
    <row r="2947" spans="1:4" x14ac:dyDescent="0.2">
      <c r="B2947" t="s">
        <v>350</v>
      </c>
    </row>
    <row r="2948" spans="1:4" x14ac:dyDescent="0.2">
      <c r="B2948" t="s">
        <v>351</v>
      </c>
    </row>
    <row r="2950" spans="1:4" x14ac:dyDescent="0.2">
      <c r="A2950" t="s">
        <v>1160</v>
      </c>
      <c r="B2950" t="str">
        <f>HYPERLINK("https://lindat.mff.cuni.cz/services/teitok/pdtc10/index.php?action=vallex&amp;frame=v-w1163f1", "chápat se (v-w1163f1)")</f>
        <v>chápat se (v-w1163f1)</v>
      </c>
    </row>
    <row r="2951" spans="1:4" x14ac:dyDescent="0.2">
      <c r="B2951" t="s">
        <v>1</v>
      </c>
      <c r="D2951" t="s">
        <v>294</v>
      </c>
    </row>
    <row r="2952" spans="1:4" x14ac:dyDescent="0.2">
      <c r="B2952" t="s">
        <v>917</v>
      </c>
      <c r="D2952" t="s">
        <v>6566</v>
      </c>
    </row>
    <row r="2954" spans="1:4" x14ac:dyDescent="0.2">
      <c r="A2954" t="s">
        <v>1161</v>
      </c>
      <c r="B2954" t="str">
        <f>HYPERLINK("https://lindat.mff.cuni.cz/services/teitok/pdtc10/index.php?action=vallex&amp;frame=v-w1171f1", "chátrat (v-w1171f1)")</f>
        <v>chátrat (v-w1171f1)</v>
      </c>
    </row>
    <row r="2955" spans="1:4" x14ac:dyDescent="0.2">
      <c r="B2955" t="s">
        <v>1</v>
      </c>
      <c r="C2955" t="s">
        <v>1162</v>
      </c>
    </row>
    <row r="2957" spans="1:4" x14ac:dyDescent="0.2">
      <c r="A2957" t="s">
        <v>1163</v>
      </c>
      <c r="B2957" t="str">
        <f>HYPERLINK("https://lindat.mff.cuni.cz/services/teitok/pdtc10/index.php?action=vallex&amp;frame=v-w1206f1", "chýlit se (v-w1206f1)")</f>
        <v>chýlit se (v-w1206f1)</v>
      </c>
    </row>
    <row r="2958" spans="1:4" x14ac:dyDescent="0.2">
      <c r="B2958" t="s">
        <v>1</v>
      </c>
      <c r="D2958" t="s">
        <v>9809</v>
      </c>
    </row>
    <row r="2959" spans="1:4" x14ac:dyDescent="0.2">
      <c r="B2959" t="s">
        <v>176</v>
      </c>
      <c r="D2959" t="s">
        <v>23063</v>
      </c>
    </row>
    <row r="2961" spans="1:4" x14ac:dyDescent="0.2">
      <c r="A2961" t="s">
        <v>1164</v>
      </c>
      <c r="B2961" t="str">
        <f>HYPERLINK("https://lindat.mff.cuni.cz/services/teitok/pdtc10/index.php?action=vallex&amp;frame=v-whsa_1771hsa_1772", "chňapat (v-whsa_1771hsa_1772)")</f>
        <v>chňapat (v-whsa_1771hsa_1772)</v>
      </c>
    </row>
    <row r="2962" spans="1:4" x14ac:dyDescent="0.2">
      <c r="B2962" t="s">
        <v>1</v>
      </c>
    </row>
    <row r="2963" spans="1:4" x14ac:dyDescent="0.2">
      <c r="B2963" t="s">
        <v>1165</v>
      </c>
    </row>
    <row r="2965" spans="1:4" x14ac:dyDescent="0.2">
      <c r="A2965" t="s">
        <v>1166</v>
      </c>
      <c r="B2965" t="str">
        <f>HYPERLINK("https://lindat.mff.cuni.cz/services/teitok/pdtc10/index.php?action=vallex&amp;frame=v-w11110f2", "chňapnout (v-w11110f2)")</f>
        <v>chňapnout (v-w11110f2)</v>
      </c>
    </row>
    <row r="2966" spans="1:4" x14ac:dyDescent="0.2">
      <c r="B2966" t="s">
        <v>1</v>
      </c>
    </row>
    <row r="2967" spans="1:4" x14ac:dyDescent="0.2">
      <c r="B2967" t="s">
        <v>1165</v>
      </c>
    </row>
    <row r="2969" spans="1:4" x14ac:dyDescent="0.2">
      <c r="A2969" t="s">
        <v>1167</v>
      </c>
      <c r="B2969" t="str">
        <f>HYPERLINK("https://lindat.mff.cuni.cz/services/teitok/pdtc10/index.php?action=vallex&amp;frame=v-w10193f2", "chřadnout (v-w10193f2)")</f>
        <v>chřadnout (v-w10193f2)</v>
      </c>
    </row>
    <row r="2970" spans="1:4" x14ac:dyDescent="0.2">
      <c r="B2970" t="s">
        <v>1</v>
      </c>
      <c r="C2970" t="s">
        <v>1168</v>
      </c>
    </row>
    <row r="2972" spans="1:4" x14ac:dyDescent="0.2">
      <c r="A2972" t="s">
        <v>1169</v>
      </c>
      <c r="B2972" t="str">
        <f>HYPERLINK("https://lindat.mff.cuni.cz/services/teitok/pdtc10/index.php?action=vallex&amp;frame=v-w267f2", "cinkat (v-w267f2)")</f>
        <v>cinkat (v-w267f2)</v>
      </c>
    </row>
    <row r="2973" spans="1:4" x14ac:dyDescent="0.2">
      <c r="B2973" t="s">
        <v>1</v>
      </c>
      <c r="C2973" t="s">
        <v>140</v>
      </c>
      <c r="D2973" t="s">
        <v>5817</v>
      </c>
    </row>
    <row r="2974" spans="1:4" x14ac:dyDescent="0.2">
      <c r="B2974" t="s">
        <v>158</v>
      </c>
      <c r="C2974" t="s">
        <v>113</v>
      </c>
      <c r="D2974" t="s">
        <v>84</v>
      </c>
    </row>
    <row r="2976" spans="1:4" x14ac:dyDescent="0.2">
      <c r="A2976" t="s">
        <v>1170</v>
      </c>
      <c r="B2976" t="str">
        <f>HYPERLINK("https://lindat.mff.cuni.cz/services/teitok/pdtc10/index.php?action=vallex&amp;frame=v-w267f1", "cinkat (v-w267f1)")</f>
        <v>cinkat (v-w267f1)</v>
      </c>
    </row>
    <row r="2977" spans="1:4" x14ac:dyDescent="0.2">
      <c r="B2977" t="s">
        <v>1</v>
      </c>
    </row>
    <row r="2979" spans="1:4" x14ac:dyDescent="0.2">
      <c r="A2979" t="s">
        <v>1171</v>
      </c>
      <c r="B2979" t="str">
        <f>HYPERLINK("https://lindat.mff.cuni.cz/services/teitok/pdtc10/index.php?action=vallex&amp;frame=v-whsa_347hsa_348", "cinknout (v-whsa_347hsa_348)")</f>
        <v>cinknout (v-whsa_347hsa_348)</v>
      </c>
    </row>
    <row r="2980" spans="1:4" x14ac:dyDescent="0.2">
      <c r="B2980" t="s">
        <v>1</v>
      </c>
    </row>
    <row r="2981" spans="1:4" x14ac:dyDescent="0.2">
      <c r="B2981" t="s">
        <v>273</v>
      </c>
    </row>
    <row r="2982" spans="1:4" x14ac:dyDescent="0.2">
      <c r="B2982" t="s">
        <v>35</v>
      </c>
    </row>
    <row r="2984" spans="1:4" x14ac:dyDescent="0.2">
      <c r="A2984" t="s">
        <v>1172</v>
      </c>
      <c r="B2984" t="str">
        <f>HYPERLINK("https://lindat.mff.cuni.cz/services/teitok/pdtc10/index.php?action=vallex&amp;frame=v-w269f1", "cirkulovat (v-w269f1)")</f>
        <v>cirkulovat (v-w269f1)</v>
      </c>
    </row>
    <row r="2985" spans="1:4" x14ac:dyDescent="0.2">
      <c r="B2985" t="s">
        <v>1</v>
      </c>
    </row>
    <row r="2987" spans="1:4" x14ac:dyDescent="0.2">
      <c r="A2987" t="s">
        <v>1173</v>
      </c>
      <c r="B2987" t="str">
        <f>HYPERLINK("https://lindat.mff.cuni.cz/services/teitok/pdtc10/index.php?action=vallex&amp;frame=v-w279f1", "citovat (v-w279f1)")</f>
        <v>citovat (v-w279f1)</v>
      </c>
    </row>
    <row r="2988" spans="1:4" x14ac:dyDescent="0.2">
      <c r="B2988" t="s">
        <v>1</v>
      </c>
      <c r="C2988" t="s">
        <v>1174</v>
      </c>
      <c r="D2988" t="s">
        <v>2530</v>
      </c>
    </row>
    <row r="2989" spans="1:4" x14ac:dyDescent="0.2">
      <c r="B2989" t="s">
        <v>273</v>
      </c>
      <c r="C2989" t="s">
        <v>1175</v>
      </c>
      <c r="D2989" t="s">
        <v>12772</v>
      </c>
    </row>
    <row r="2991" spans="1:4" x14ac:dyDescent="0.2">
      <c r="A2991" t="s">
        <v>1176</v>
      </c>
      <c r="B2991" t="str">
        <f>HYPERLINK("https://lindat.mff.cuni.cz/services/teitok/pdtc10/index.php?action=vallex&amp;frame=v-w281f1", "civilizovat (v-w281f1)")</f>
        <v>civilizovat (v-w281f1)</v>
      </c>
    </row>
    <row r="2992" spans="1:4" x14ac:dyDescent="0.2">
      <c r="B2992" t="s">
        <v>1</v>
      </c>
    </row>
    <row r="2993" spans="1:4" x14ac:dyDescent="0.2">
      <c r="B2993" t="s">
        <v>8</v>
      </c>
    </row>
    <row r="2995" spans="1:4" x14ac:dyDescent="0.2">
      <c r="A2995" t="s">
        <v>1177</v>
      </c>
      <c r="B2995" t="str">
        <f>HYPERLINK("https://lindat.mff.cuni.cz/services/teitok/pdtc10/index.php?action=vallex&amp;frame=v-w10922f2", "civět (v-w10922f2)")</f>
        <v>civět (v-w10922f2)</v>
      </c>
    </row>
    <row r="2996" spans="1:4" x14ac:dyDescent="0.2">
      <c r="B2996" t="s">
        <v>1</v>
      </c>
    </row>
    <row r="2997" spans="1:4" x14ac:dyDescent="0.2">
      <c r="B2997" t="s">
        <v>1178</v>
      </c>
    </row>
    <row r="2999" spans="1:4" x14ac:dyDescent="0.2">
      <c r="A2999" t="s">
        <v>1179</v>
      </c>
      <c r="B2999" t="str">
        <f>HYPERLINK("https://lindat.mff.cuni.cz/services/teitok/pdtc10/index.php?action=vallex&amp;frame=v-w282f1", "cizelovat (v-w282f1)")</f>
        <v>cizelovat (v-w282f1)</v>
      </c>
    </row>
    <row r="3000" spans="1:4" x14ac:dyDescent="0.2">
      <c r="B3000" t="s">
        <v>1</v>
      </c>
      <c r="D3000" t="s">
        <v>133</v>
      </c>
    </row>
    <row r="3001" spans="1:4" x14ac:dyDescent="0.2">
      <c r="B3001" t="s">
        <v>8</v>
      </c>
      <c r="D3001" t="s">
        <v>113</v>
      </c>
    </row>
    <row r="3003" spans="1:4" x14ac:dyDescent="0.2">
      <c r="A3003" t="s">
        <v>1180</v>
      </c>
      <c r="B3003" t="str">
        <f>HYPERLINK("https://lindat.mff.cuni.cz/services/teitok/pdtc10/index.php?action=vallex&amp;frame=v-w284f1", "claimovat (v-w284f1)")</f>
        <v>claimovat (v-w284f1)</v>
      </c>
    </row>
    <row r="3004" spans="1:4" x14ac:dyDescent="0.2">
      <c r="B3004" t="s">
        <v>1</v>
      </c>
    </row>
    <row r="3005" spans="1:4" x14ac:dyDescent="0.2">
      <c r="B3005" t="s">
        <v>1181</v>
      </c>
    </row>
    <row r="3006" spans="1:4" x14ac:dyDescent="0.2">
      <c r="B3006" t="s">
        <v>1182</v>
      </c>
    </row>
    <row r="3008" spans="1:4" x14ac:dyDescent="0.2">
      <c r="A3008" t="s">
        <v>1183</v>
      </c>
      <c r="B3008" t="str">
        <f>HYPERLINK("https://lindat.mff.cuni.cz/services/teitok/pdtc10/index.php?action=vallex&amp;frame=v-w285f1", "clít (v-w285f1)")</f>
        <v>clít (v-w285f1)</v>
      </c>
    </row>
    <row r="3009" spans="1:4" x14ac:dyDescent="0.2">
      <c r="B3009" t="s">
        <v>1</v>
      </c>
    </row>
    <row r="3010" spans="1:4" x14ac:dyDescent="0.2">
      <c r="B3010" t="s">
        <v>8</v>
      </c>
    </row>
    <row r="3012" spans="1:4" x14ac:dyDescent="0.2">
      <c r="A3012" t="s">
        <v>1184</v>
      </c>
      <c r="B3012" t="str">
        <f>HYPERLINK("https://lindat.mff.cuni.cz/services/teitok/pdtc10/index.php?action=vallex&amp;frame=v-w288f1", "couvat (v-w288f1)")</f>
        <v>couvat (v-w288f1)</v>
      </c>
    </row>
    <row r="3013" spans="1:4" x14ac:dyDescent="0.2">
      <c r="B3013" t="s">
        <v>1</v>
      </c>
      <c r="C3013" t="s">
        <v>1185</v>
      </c>
      <c r="D3013" t="s">
        <v>23064</v>
      </c>
    </row>
    <row r="3014" spans="1:4" x14ac:dyDescent="0.2">
      <c r="B3014" t="s">
        <v>1186</v>
      </c>
      <c r="D3014" t="s">
        <v>23065</v>
      </c>
    </row>
    <row r="3016" spans="1:4" x14ac:dyDescent="0.2">
      <c r="A3016" t="s">
        <v>1187</v>
      </c>
      <c r="B3016" t="str">
        <f>HYPERLINK("https://lindat.mff.cuni.cz/services/teitok/pdtc10/index.php?action=vallex&amp;frame=v-w10667hsa_259", "couvnout (v-w10667hsa_259)")</f>
        <v>couvnout (v-w10667hsa_259)</v>
      </c>
    </row>
    <row r="3017" spans="1:4" x14ac:dyDescent="0.2">
      <c r="B3017" t="s">
        <v>1</v>
      </c>
      <c r="C3017" t="s">
        <v>1188</v>
      </c>
      <c r="D3017" t="s">
        <v>23064</v>
      </c>
    </row>
    <row r="3018" spans="1:4" x14ac:dyDescent="0.2">
      <c r="B3018" t="s">
        <v>1189</v>
      </c>
      <c r="D3018" t="s">
        <v>23065</v>
      </c>
    </row>
    <row r="3020" spans="1:4" x14ac:dyDescent="0.2">
      <c r="A3020" t="s">
        <v>1187</v>
      </c>
      <c r="B3020" t="str">
        <f>HYPERLINK("https://lindat.mff.cuni.cz/services/teitok/pdtc10/index.php?action=vallex&amp;frame=v-w10667f2", "couvnout (v-w10667f2) - substituted with v-w10667hsa_259")</f>
        <v>couvnout (v-w10667f2) - substituted with v-w10667hsa_259</v>
      </c>
    </row>
    <row r="3021" spans="1:4" x14ac:dyDescent="0.2">
      <c r="B3021" t="s">
        <v>1</v>
      </c>
      <c r="C3021" t="s">
        <v>370</v>
      </c>
    </row>
    <row r="3022" spans="1:4" x14ac:dyDescent="0.2">
      <c r="B3022" t="s">
        <v>1189</v>
      </c>
      <c r="C3022" t="s">
        <v>1190</v>
      </c>
    </row>
    <row r="3024" spans="1:4" x14ac:dyDescent="0.2">
      <c r="A3024" t="s">
        <v>1191</v>
      </c>
      <c r="B3024" t="str">
        <f>HYPERLINK("https://lindat.mff.cuni.cz/services/teitok/pdtc10/index.php?action=vallex&amp;frame=v-w10667hsa_221", "couvnout (v-w10667hsa_221)")</f>
        <v>couvnout (v-w10667hsa_221)</v>
      </c>
    </row>
    <row r="3025" spans="1:4" x14ac:dyDescent="0.2">
      <c r="B3025" t="s">
        <v>1</v>
      </c>
    </row>
    <row r="3027" spans="1:4" x14ac:dyDescent="0.2">
      <c r="A3027" t="s">
        <v>1192</v>
      </c>
      <c r="B3027" t="str">
        <f>HYPERLINK("https://lindat.mff.cuni.cz/services/teitok/pdtc10/index.php?action=vallex&amp;frame=v-w289f1", "cpát (v-w289f1)")</f>
        <v>cpát (v-w289f1)</v>
      </c>
    </row>
    <row r="3028" spans="1:4" x14ac:dyDescent="0.2">
      <c r="B3028" t="s">
        <v>1</v>
      </c>
    </row>
    <row r="3029" spans="1:4" x14ac:dyDescent="0.2">
      <c r="B3029" t="s">
        <v>8</v>
      </c>
    </row>
    <row r="3030" spans="1:4" x14ac:dyDescent="0.2">
      <c r="B3030" t="s">
        <v>1193</v>
      </c>
    </row>
    <row r="3032" spans="1:4" x14ac:dyDescent="0.2">
      <c r="A3032" t="s">
        <v>1194</v>
      </c>
      <c r="B3032" t="str">
        <f>HYPERLINK("https://lindat.mff.cuni.cz/services/teitok/pdtc10/index.php?action=vallex&amp;frame=v-w289f3_ZU", "cpát (v-w289f3_ZU)")</f>
        <v>cpát (v-w289f3_ZU)</v>
      </c>
    </row>
    <row r="3033" spans="1:4" x14ac:dyDescent="0.2">
      <c r="B3033" t="s">
        <v>1</v>
      </c>
      <c r="D3033" t="s">
        <v>23066</v>
      </c>
    </row>
    <row r="3034" spans="1:4" x14ac:dyDescent="0.2">
      <c r="B3034" t="s">
        <v>8</v>
      </c>
      <c r="C3034" t="s">
        <v>113</v>
      </c>
      <c r="D3034" t="s">
        <v>23067</v>
      </c>
    </row>
    <row r="3035" spans="1:4" x14ac:dyDescent="0.2">
      <c r="B3035" t="s">
        <v>90</v>
      </c>
      <c r="D3035" t="s">
        <v>23068</v>
      </c>
    </row>
    <row r="3037" spans="1:4" x14ac:dyDescent="0.2">
      <c r="A3037" t="s">
        <v>1195</v>
      </c>
      <c r="B3037" t="str">
        <f>HYPERLINK("https://lindat.mff.cuni.cz/services/teitok/pdtc10/index.php?action=vallex&amp;frame=v-w289f2_ZU", "cpát (v-w289f2_ZU)")</f>
        <v>cpát (v-w289f2_ZU)</v>
      </c>
    </row>
    <row r="3038" spans="1:4" x14ac:dyDescent="0.2">
      <c r="B3038" t="s">
        <v>1</v>
      </c>
    </row>
    <row r="3039" spans="1:4" x14ac:dyDescent="0.2">
      <c r="B3039" t="s">
        <v>8</v>
      </c>
    </row>
    <row r="3040" spans="1:4" x14ac:dyDescent="0.2">
      <c r="B3040" t="s">
        <v>90</v>
      </c>
    </row>
    <row r="3042" spans="1:2" x14ac:dyDescent="0.2">
      <c r="A3042" t="s">
        <v>1196</v>
      </c>
      <c r="B3042" t="str">
        <f>HYPERLINK("https://lindat.mff.cuni.cz/services/teitok/pdtc10/index.php?action=vallex&amp;frame=v-w289f4_MM", "cpát (v-w289f4_MM)")</f>
        <v>cpát (v-w289f4_MM)</v>
      </c>
    </row>
    <row r="3043" spans="1:2" x14ac:dyDescent="0.2">
      <c r="B3043" t="s">
        <v>1</v>
      </c>
    </row>
    <row r="3044" spans="1:2" x14ac:dyDescent="0.2">
      <c r="B3044" t="s">
        <v>8</v>
      </c>
    </row>
    <row r="3045" spans="1:2" x14ac:dyDescent="0.2">
      <c r="B3045" t="s">
        <v>35</v>
      </c>
    </row>
    <row r="3047" spans="1:2" x14ac:dyDescent="0.2">
      <c r="A3047" t="s">
        <v>1197</v>
      </c>
      <c r="B3047" t="str">
        <f>HYPERLINK("https://lindat.mff.cuni.cz/services/teitok/pdtc10/index.php?action=vallex&amp;frame=v-w290f2", "cpát se (v-w290f2)")</f>
        <v>cpát se (v-w290f2)</v>
      </c>
    </row>
    <row r="3048" spans="1:2" x14ac:dyDescent="0.2">
      <c r="B3048" t="s">
        <v>1</v>
      </c>
    </row>
    <row r="3049" spans="1:2" x14ac:dyDescent="0.2">
      <c r="B3049" t="s">
        <v>90</v>
      </c>
    </row>
    <row r="3051" spans="1:2" x14ac:dyDescent="0.2">
      <c r="A3051" t="s">
        <v>1198</v>
      </c>
      <c r="B3051" t="str">
        <f>HYPERLINK("https://lindat.mff.cuni.cz/services/teitok/pdtc10/index.php?action=vallex&amp;frame=v-w290f1", "cpát se (v-w290f1)")</f>
        <v>cpát se (v-w290f1)</v>
      </c>
    </row>
    <row r="3052" spans="1:2" x14ac:dyDescent="0.2">
      <c r="B3052" t="s">
        <v>1</v>
      </c>
    </row>
    <row r="3054" spans="1:2" x14ac:dyDescent="0.2">
      <c r="A3054" t="s">
        <v>1199</v>
      </c>
      <c r="B3054" t="str">
        <f>HYPERLINK("https://lindat.mff.cuni.cz/services/teitok/pdtc10/index.php?action=vallex&amp;frame=v-w291f1", "crčet (v-w291f1)")</f>
        <v>crčet (v-w291f1)</v>
      </c>
    </row>
    <row r="3055" spans="1:2" x14ac:dyDescent="0.2">
      <c r="B3055" t="s">
        <v>1</v>
      </c>
    </row>
    <row r="3057" spans="1:2" x14ac:dyDescent="0.2">
      <c r="A3057" t="s">
        <v>1200</v>
      </c>
      <c r="B3057" t="str">
        <f>HYPERLINK("https://lindat.mff.cuni.cz/services/teitok/pdtc10/index.php?action=vallex&amp;frame=v-w292f1", "ctít (v-w292f1)")</f>
        <v>ctít (v-w292f1)</v>
      </c>
    </row>
    <row r="3058" spans="1:2" x14ac:dyDescent="0.2">
      <c r="B3058" t="s">
        <v>1</v>
      </c>
    </row>
    <row r="3059" spans="1:2" x14ac:dyDescent="0.2">
      <c r="B3059" t="s">
        <v>124</v>
      </c>
    </row>
    <row r="3061" spans="1:2" x14ac:dyDescent="0.2">
      <c r="A3061" t="s">
        <v>1201</v>
      </c>
      <c r="B3061" t="str">
        <f>HYPERLINK("https://lindat.mff.cuni.cz/services/teitok/pdtc10/index.php?action=vallex&amp;frame=v-w294f3", "cukat (v-w294f3)")</f>
        <v>cukat (v-w294f3)</v>
      </c>
    </row>
    <row r="3062" spans="1:2" x14ac:dyDescent="0.2">
      <c r="B3062" t="s">
        <v>1</v>
      </c>
    </row>
    <row r="3063" spans="1:2" x14ac:dyDescent="0.2">
      <c r="B3063" t="s">
        <v>158</v>
      </c>
    </row>
    <row r="3065" spans="1:2" x14ac:dyDescent="0.2">
      <c r="A3065" t="s">
        <v>1202</v>
      </c>
      <c r="B3065" t="str">
        <f>HYPERLINK("https://lindat.mff.cuni.cz/services/teitok/pdtc10/index.php?action=vallex&amp;frame=v-w294f2", "cukat (v-w294f2)")</f>
        <v>cukat (v-w294f2)</v>
      </c>
    </row>
    <row r="3066" spans="1:2" x14ac:dyDescent="0.2">
      <c r="B3066" t="s">
        <v>455</v>
      </c>
    </row>
    <row r="3067" spans="1:2" x14ac:dyDescent="0.2">
      <c r="B3067" t="s">
        <v>243</v>
      </c>
    </row>
    <row r="3069" spans="1:2" x14ac:dyDescent="0.2">
      <c r="A3069" t="s">
        <v>1203</v>
      </c>
      <c r="B3069" t="str">
        <f>HYPERLINK("https://lindat.mff.cuni.cz/services/teitok/pdtc10/index.php?action=vallex&amp;frame=v-w294f1", "cukat (v-w294f1)")</f>
        <v>cukat (v-w294f1)</v>
      </c>
    </row>
    <row r="3070" spans="1:2" x14ac:dyDescent="0.2">
      <c r="B3070" t="s">
        <v>455</v>
      </c>
    </row>
    <row r="3071" spans="1:2" x14ac:dyDescent="0.2">
      <c r="B3071" t="s">
        <v>5</v>
      </c>
    </row>
    <row r="3073" spans="1:2" x14ac:dyDescent="0.2">
      <c r="A3073" t="s">
        <v>1204</v>
      </c>
      <c r="B3073" t="str">
        <f>HYPERLINK("https://lindat.mff.cuni.cz/services/teitok/pdtc10/index.php?action=vallex&amp;frame=v-w12268_ZUf1_ZU", "cukat se (v-w12268_ZUf1_ZU)")</f>
        <v>cukat se (v-w12268_ZUf1_ZU)</v>
      </c>
    </row>
    <row r="3074" spans="1:2" x14ac:dyDescent="0.2">
      <c r="B3074" t="s">
        <v>1</v>
      </c>
    </row>
    <row r="3076" spans="1:2" x14ac:dyDescent="0.2">
      <c r="A3076" t="s">
        <v>1205</v>
      </c>
      <c r="B3076" t="str">
        <f>HYPERLINK("https://lindat.mff.cuni.cz/services/teitok/pdtc10/index.php?action=vallex&amp;frame=v-w12285_MMf2_MM", "cuknout (v-w12285_MMf2_MM)")</f>
        <v>cuknout (v-w12285_MMf2_MM)</v>
      </c>
    </row>
    <row r="3077" spans="1:2" x14ac:dyDescent="0.2">
      <c r="B3077" t="s">
        <v>1</v>
      </c>
    </row>
    <row r="3079" spans="1:2" x14ac:dyDescent="0.2">
      <c r="A3079" t="s">
        <v>1205</v>
      </c>
      <c r="B3079" t="str">
        <f>HYPERLINK("https://lindat.mff.cuni.cz/services/teitok/pdtc10/index.php?action=vallex&amp;frame=v-w12285_MMf1_MM", "cuknout (v-w12285_MMf1_MM) - substituted with v-w12285_MMf2_MM")</f>
        <v>cuknout (v-w12285_MMf1_MM) - substituted with v-w12285_MMf2_MM</v>
      </c>
    </row>
    <row r="3080" spans="1:2" x14ac:dyDescent="0.2">
      <c r="B3080" t="s">
        <v>1</v>
      </c>
    </row>
    <row r="3082" spans="1:2" x14ac:dyDescent="0.2">
      <c r="A3082" t="s">
        <v>1206</v>
      </c>
      <c r="B3082" t="str">
        <f>HYPERLINK("https://lindat.mff.cuni.cz/services/teitok/pdtc10/index.php?action=vallex&amp;frame=v-whsa_1556hsa_1557", "cupkat (v-whsa_1556hsa_1557)")</f>
        <v>cupkat (v-whsa_1556hsa_1557)</v>
      </c>
    </row>
    <row r="3083" spans="1:2" x14ac:dyDescent="0.2">
      <c r="B3083" t="s">
        <v>1</v>
      </c>
    </row>
    <row r="3085" spans="1:2" x14ac:dyDescent="0.2">
      <c r="A3085" t="s">
        <v>1207</v>
      </c>
      <c r="B3085" t="str">
        <f>HYPERLINK("https://lindat.mff.cuni.cz/services/teitok/pdtc10/index.php?action=vallex&amp;frame=v-w295f1", "cupovat (v-w295f1)")</f>
        <v>cupovat (v-w295f1)</v>
      </c>
    </row>
    <row r="3086" spans="1:2" x14ac:dyDescent="0.2">
      <c r="B3086" t="s">
        <v>1</v>
      </c>
    </row>
    <row r="3087" spans="1:2" x14ac:dyDescent="0.2">
      <c r="B3087" t="s">
        <v>8</v>
      </c>
    </row>
    <row r="3088" spans="1:2" x14ac:dyDescent="0.2">
      <c r="B3088" t="s">
        <v>61</v>
      </c>
    </row>
    <row r="3090" spans="1:4" x14ac:dyDescent="0.2">
      <c r="A3090" t="s">
        <v>1208</v>
      </c>
      <c r="B3090" t="str">
        <f>HYPERLINK("https://lindat.mff.cuni.cz/services/teitok/pdtc10/index.php?action=vallex&amp;frame=v-w12205_ZUf1_ZU", "cvaknout se (v-w12205_ZUf1_ZU)")</f>
        <v>cvaknout se (v-w12205_ZUf1_ZU)</v>
      </c>
    </row>
    <row r="3091" spans="1:4" x14ac:dyDescent="0.2">
      <c r="B3091" t="s">
        <v>1</v>
      </c>
    </row>
    <row r="3093" spans="1:4" x14ac:dyDescent="0.2">
      <c r="A3093" t="s">
        <v>1209</v>
      </c>
      <c r="B3093" t="str">
        <f>HYPERLINK("https://lindat.mff.cuni.cz/services/teitok/pdtc10/index.php?action=vallex&amp;frame=v-w298f2", "cvičit (v-w298f2)")</f>
        <v>cvičit (v-w298f2)</v>
      </c>
    </row>
    <row r="3094" spans="1:4" x14ac:dyDescent="0.2">
      <c r="B3094" t="s">
        <v>1</v>
      </c>
    </row>
    <row r="3095" spans="1:4" x14ac:dyDescent="0.2">
      <c r="B3095" t="s">
        <v>8</v>
      </c>
    </row>
    <row r="3097" spans="1:4" x14ac:dyDescent="0.2">
      <c r="A3097" t="s">
        <v>1210</v>
      </c>
      <c r="B3097" t="str">
        <f>HYPERLINK("https://lindat.mff.cuni.cz/services/teitok/pdtc10/index.php?action=vallex&amp;frame=v-w298f1", "cvičit (v-w298f1)")</f>
        <v>cvičit (v-w298f1)</v>
      </c>
    </row>
    <row r="3098" spans="1:4" x14ac:dyDescent="0.2">
      <c r="B3098" t="s">
        <v>1</v>
      </c>
      <c r="C3098" t="s">
        <v>1211</v>
      </c>
      <c r="D3098" t="s">
        <v>83</v>
      </c>
    </row>
    <row r="3099" spans="1:4" x14ac:dyDescent="0.2">
      <c r="B3099" t="s">
        <v>220</v>
      </c>
      <c r="C3099" t="s">
        <v>1212</v>
      </c>
      <c r="D3099" t="s">
        <v>113</v>
      </c>
    </row>
    <row r="3101" spans="1:4" x14ac:dyDescent="0.2">
      <c r="A3101" t="s">
        <v>1213</v>
      </c>
      <c r="B3101" t="str">
        <f>HYPERLINK("https://lindat.mff.cuni.cz/services/teitok/pdtc10/index.php?action=vallex&amp;frame=v-w298hsa_814", "cvičit (v-w298hsa_814)")</f>
        <v>cvičit (v-w298hsa_814)</v>
      </c>
    </row>
    <row r="3102" spans="1:4" x14ac:dyDescent="0.2">
      <c r="B3102" t="s">
        <v>1</v>
      </c>
    </row>
    <row r="3103" spans="1:4" x14ac:dyDescent="0.2">
      <c r="B3103" t="s">
        <v>58</v>
      </c>
    </row>
    <row r="3104" spans="1:4" x14ac:dyDescent="0.2">
      <c r="B3104" t="s">
        <v>8</v>
      </c>
    </row>
    <row r="3106" spans="1:4" x14ac:dyDescent="0.2">
      <c r="A3106" t="s">
        <v>1214</v>
      </c>
      <c r="B3106" t="str">
        <f>HYPERLINK("https://lindat.mff.cuni.cz/services/teitok/pdtc10/index.php?action=vallex&amp;frame=v-w265f6", "cílit (v-w265f6)")</f>
        <v>cílit (v-w265f6)</v>
      </c>
    </row>
    <row r="3107" spans="1:4" x14ac:dyDescent="0.2">
      <c r="B3107" t="s">
        <v>1</v>
      </c>
      <c r="C3107" t="s">
        <v>33</v>
      </c>
      <c r="D3107" t="s">
        <v>23069</v>
      </c>
    </row>
    <row r="3108" spans="1:4" x14ac:dyDescent="0.2">
      <c r="B3108" t="s">
        <v>8</v>
      </c>
      <c r="C3108" t="s">
        <v>1215</v>
      </c>
      <c r="D3108" t="s">
        <v>23070</v>
      </c>
    </row>
    <row r="3109" spans="1:4" x14ac:dyDescent="0.2">
      <c r="B3109" t="s">
        <v>1216</v>
      </c>
      <c r="C3109" t="s">
        <v>1217</v>
      </c>
      <c r="D3109" t="s">
        <v>23071</v>
      </c>
    </row>
    <row r="3111" spans="1:4" x14ac:dyDescent="0.2">
      <c r="A3111" t="s">
        <v>1218</v>
      </c>
      <c r="B3111" t="str">
        <f>HYPERLINK("https://lindat.mff.cuni.cz/services/teitok/pdtc10/index.php?action=vallex&amp;frame=v-w265f4", "cílit (v-w265f4)")</f>
        <v>cílit (v-w265f4)</v>
      </c>
    </row>
    <row r="3112" spans="1:4" x14ac:dyDescent="0.2">
      <c r="B3112" t="s">
        <v>1</v>
      </c>
    </row>
    <row r="3113" spans="1:4" x14ac:dyDescent="0.2">
      <c r="B3113" t="s">
        <v>8</v>
      </c>
    </row>
    <row r="3114" spans="1:4" x14ac:dyDescent="0.2">
      <c r="B3114" t="s">
        <v>90</v>
      </c>
    </row>
    <row r="3116" spans="1:4" x14ac:dyDescent="0.2">
      <c r="A3116" t="s">
        <v>1219</v>
      </c>
      <c r="B3116" t="str">
        <f>HYPERLINK("https://lindat.mff.cuni.cz/services/teitok/pdtc10/index.php?action=vallex&amp;frame=v-w265f1", "cílit (v-w265f1)")</f>
        <v>cílit (v-w265f1)</v>
      </c>
    </row>
    <row r="3117" spans="1:4" x14ac:dyDescent="0.2">
      <c r="B3117" t="s">
        <v>1</v>
      </c>
    </row>
    <row r="3118" spans="1:4" x14ac:dyDescent="0.2">
      <c r="B3118" t="s">
        <v>176</v>
      </c>
    </row>
    <row r="3120" spans="1:4" x14ac:dyDescent="0.2">
      <c r="A3120" t="s">
        <v>1220</v>
      </c>
      <c r="B3120" t="str">
        <f>HYPERLINK("https://lindat.mff.cuni.cz/services/teitok/pdtc10/index.php?action=vallex&amp;frame=v-w274f3", "cítit (v-w274f3)")</f>
        <v>cítit (v-w274f3)</v>
      </c>
    </row>
    <row r="3121" spans="1:4" x14ac:dyDescent="0.2">
      <c r="B3121" t="s">
        <v>1</v>
      </c>
    </row>
    <row r="3122" spans="1:4" x14ac:dyDescent="0.2">
      <c r="B3122" t="s">
        <v>1221</v>
      </c>
    </row>
    <row r="3123" spans="1:4" x14ac:dyDescent="0.2">
      <c r="B3123" t="s">
        <v>1151</v>
      </c>
    </row>
    <row r="3125" spans="1:4" x14ac:dyDescent="0.2">
      <c r="A3125" t="s">
        <v>1222</v>
      </c>
      <c r="B3125" t="str">
        <f>HYPERLINK("https://lindat.mff.cuni.cz/services/teitok/pdtc10/index.php?action=vallex&amp;frame=v-w274f4", "cítit (v-w274f4)")</f>
        <v>cítit (v-w274f4)</v>
      </c>
    </row>
    <row r="3126" spans="1:4" x14ac:dyDescent="0.2">
      <c r="B3126" t="s">
        <v>1</v>
      </c>
    </row>
    <row r="3127" spans="1:4" x14ac:dyDescent="0.2">
      <c r="B3127" t="s">
        <v>8</v>
      </c>
    </row>
    <row r="3128" spans="1:4" x14ac:dyDescent="0.2">
      <c r="B3128" t="s">
        <v>1084</v>
      </c>
    </row>
    <row r="3130" spans="1:4" x14ac:dyDescent="0.2">
      <c r="A3130" t="s">
        <v>1223</v>
      </c>
      <c r="B3130" t="str">
        <f>HYPERLINK("https://lindat.mff.cuni.cz/services/teitok/pdtc10/index.php?action=vallex&amp;frame=v-w274f6", "cítit (v-w274f6)")</f>
        <v>cítit (v-w274f6)</v>
      </c>
    </row>
    <row r="3131" spans="1:4" x14ac:dyDescent="0.2">
      <c r="B3131" t="s">
        <v>1</v>
      </c>
      <c r="C3131" t="s">
        <v>1224</v>
      </c>
      <c r="D3131" t="s">
        <v>8689</v>
      </c>
    </row>
    <row r="3132" spans="1:4" x14ac:dyDescent="0.2">
      <c r="B3132" t="s">
        <v>124</v>
      </c>
      <c r="C3132" t="s">
        <v>1225</v>
      </c>
      <c r="D3132" t="s">
        <v>3324</v>
      </c>
    </row>
    <row r="3134" spans="1:4" x14ac:dyDescent="0.2">
      <c r="A3134" t="s">
        <v>1226</v>
      </c>
      <c r="B3134" t="str">
        <f>HYPERLINK("https://lindat.mff.cuni.cz/services/teitok/pdtc10/index.php?action=vallex&amp;frame=v-w274f1", "cítit (v-w274f1)")</f>
        <v>cítit (v-w274f1)</v>
      </c>
    </row>
    <row r="3135" spans="1:4" x14ac:dyDescent="0.2">
      <c r="B3135" t="s">
        <v>1</v>
      </c>
      <c r="C3135" t="s">
        <v>985</v>
      </c>
      <c r="D3135" t="s">
        <v>249</v>
      </c>
    </row>
    <row r="3136" spans="1:4" x14ac:dyDescent="0.2">
      <c r="B3136" t="s">
        <v>1227</v>
      </c>
      <c r="C3136" t="s">
        <v>1228</v>
      </c>
      <c r="D3136" t="s">
        <v>991</v>
      </c>
    </row>
    <row r="3138" spans="1:3" x14ac:dyDescent="0.2">
      <c r="A3138" t="s">
        <v>1229</v>
      </c>
      <c r="B3138" t="str">
        <f>HYPERLINK("https://lindat.mff.cuni.cz/services/teitok/pdtc10/index.php?action=vallex&amp;frame=v-w274f5", "cítit (v-w274f5)")</f>
        <v>cítit (v-w274f5)</v>
      </c>
    </row>
    <row r="3139" spans="1:3" x14ac:dyDescent="0.2">
      <c r="B3139" t="s">
        <v>1</v>
      </c>
    </row>
    <row r="3140" spans="1:3" x14ac:dyDescent="0.2">
      <c r="B3140" t="s">
        <v>411</v>
      </c>
    </row>
    <row r="3142" spans="1:3" x14ac:dyDescent="0.2">
      <c r="A3142" t="s">
        <v>1230</v>
      </c>
      <c r="B3142" t="str">
        <f>HYPERLINK("https://lindat.mff.cuni.cz/services/teitok/pdtc10/index.php?action=vallex&amp;frame=v-w274f9_MM", "cítit (v-w274f9_MM)")</f>
        <v>cítit (v-w274f9_MM)</v>
      </c>
    </row>
    <row r="3143" spans="1:3" x14ac:dyDescent="0.2">
      <c r="B3143" t="s">
        <v>1</v>
      </c>
    </row>
    <row r="3144" spans="1:3" x14ac:dyDescent="0.2">
      <c r="B3144" t="s">
        <v>1231</v>
      </c>
    </row>
    <row r="3146" spans="1:3" x14ac:dyDescent="0.2">
      <c r="A3146" t="s">
        <v>1230</v>
      </c>
      <c r="B3146" t="str">
        <f>HYPERLINK("https://lindat.mff.cuni.cz/services/teitok/pdtc10/index.php?action=vallex&amp;frame=v-w274f2", "cítit (v-w274f2) - substituted with v-w274f9_MM")</f>
        <v>cítit (v-w274f2) - substituted with v-w274f9_MM</v>
      </c>
    </row>
    <row r="3147" spans="1:3" x14ac:dyDescent="0.2">
      <c r="B3147" t="s">
        <v>1</v>
      </c>
      <c r="C3147" t="s">
        <v>1232</v>
      </c>
    </row>
    <row r="3148" spans="1:3" x14ac:dyDescent="0.2">
      <c r="B3148" t="s">
        <v>1231</v>
      </c>
      <c r="C3148" t="s">
        <v>1233</v>
      </c>
    </row>
    <row r="3150" spans="1:3" x14ac:dyDescent="0.2">
      <c r="A3150" t="s">
        <v>1230</v>
      </c>
      <c r="B3150" t="str">
        <f>HYPERLINK("https://lindat.mff.cuni.cz/services/teitok/pdtc10/index.php?action=vallex&amp;frame=v-w274f7_ZU", "cítit (v-w274f7_ZU) - substituted with v-w274f9_MM")</f>
        <v>cítit (v-w274f7_ZU) - substituted with v-w274f9_MM</v>
      </c>
    </row>
    <row r="3151" spans="1:3" x14ac:dyDescent="0.2">
      <c r="B3151" t="s">
        <v>1</v>
      </c>
      <c r="C3151" t="s">
        <v>1234</v>
      </c>
    </row>
    <row r="3152" spans="1:3" x14ac:dyDescent="0.2">
      <c r="B3152" t="s">
        <v>1231</v>
      </c>
      <c r="C3152" t="s">
        <v>1235</v>
      </c>
    </row>
    <row r="3154" spans="1:4" x14ac:dyDescent="0.2">
      <c r="A3154" t="s">
        <v>1230</v>
      </c>
      <c r="B3154" t="str">
        <f>HYPERLINK("https://lindat.mff.cuni.cz/services/teitok/pdtc10/index.php?action=vallex&amp;frame=v-w274f8_ZU", "cítit (v-w274f8_ZU) - substituted with v-w274f9_MM")</f>
        <v>cítit (v-w274f8_ZU) - substituted with v-w274f9_MM</v>
      </c>
    </row>
    <row r="3155" spans="1:4" x14ac:dyDescent="0.2">
      <c r="B3155" t="s">
        <v>1</v>
      </c>
      <c r="C3155" t="s">
        <v>1236</v>
      </c>
      <c r="D3155" t="s">
        <v>8689</v>
      </c>
    </row>
    <row r="3156" spans="1:4" x14ac:dyDescent="0.2">
      <c r="B3156" t="s">
        <v>1231</v>
      </c>
      <c r="C3156" t="s">
        <v>1237</v>
      </c>
      <c r="D3156" t="s">
        <v>2572</v>
      </c>
    </row>
    <row r="3158" spans="1:4" x14ac:dyDescent="0.2">
      <c r="A3158" t="s">
        <v>1230</v>
      </c>
      <c r="B3158" t="str">
        <f>HYPERLINK("https://lindat.mff.cuni.cz/services/teitok/pdtc10/index.php?action=vallex&amp;frame=v-w274hsa_585", "cítit (v-w274hsa_585) - substituted with v-w274f9_MM")</f>
        <v>cítit (v-w274hsa_585) - substituted with v-w274f9_MM</v>
      </c>
    </row>
    <row r="3159" spans="1:4" x14ac:dyDescent="0.2">
      <c r="B3159" t="s">
        <v>1</v>
      </c>
    </row>
    <row r="3160" spans="1:4" x14ac:dyDescent="0.2">
      <c r="B3160" t="s">
        <v>1231</v>
      </c>
    </row>
    <row r="3162" spans="1:4" x14ac:dyDescent="0.2">
      <c r="A3162" t="s">
        <v>1238</v>
      </c>
      <c r="B3162" t="str">
        <f>HYPERLINK("https://lindat.mff.cuni.cz/services/teitok/pdtc10/index.php?action=vallex&amp;frame=v-w275f1", "cítit se (v-w275f1)")</f>
        <v>cítit se (v-w275f1)</v>
      </c>
    </row>
    <row r="3163" spans="1:4" x14ac:dyDescent="0.2">
      <c r="B3163" t="s">
        <v>1</v>
      </c>
      <c r="C3163" t="s">
        <v>1239</v>
      </c>
      <c r="D3163" t="s">
        <v>23072</v>
      </c>
    </row>
    <row r="3164" spans="1:4" x14ac:dyDescent="0.2">
      <c r="B3164" t="s">
        <v>1240</v>
      </c>
      <c r="C3164" t="s">
        <v>1241</v>
      </c>
      <c r="D3164" t="s">
        <v>110</v>
      </c>
    </row>
    <row r="3166" spans="1:4" x14ac:dyDescent="0.2">
      <c r="A3166" t="s">
        <v>1242</v>
      </c>
      <c r="B3166" t="str">
        <f>HYPERLINK("https://lindat.mff.cuni.cz/services/teitok/pdtc10/index.php?action=vallex&amp;frame=v-w275f3", "cítit se (v-w275f3)")</f>
        <v>cítit se (v-w275f3)</v>
      </c>
    </row>
    <row r="3167" spans="1:4" x14ac:dyDescent="0.2">
      <c r="B3167" t="s">
        <v>1</v>
      </c>
    </row>
    <row r="3168" spans="1:4" x14ac:dyDescent="0.2">
      <c r="B3168" t="s">
        <v>28</v>
      </c>
    </row>
    <row r="3170" spans="1:3" x14ac:dyDescent="0.2">
      <c r="A3170" t="s">
        <v>1243</v>
      </c>
      <c r="B3170" t="str">
        <f>HYPERLINK("https://lindat.mff.cuni.cz/services/teitok/pdtc10/index.php?action=vallex&amp;frame=v-w275f4", "cítit se (v-w275f4)")</f>
        <v>cítit se (v-w275f4)</v>
      </c>
    </row>
    <row r="3171" spans="1:3" x14ac:dyDescent="0.2">
      <c r="B3171" t="s">
        <v>1</v>
      </c>
    </row>
    <row r="3172" spans="1:3" x14ac:dyDescent="0.2">
      <c r="B3172" t="s">
        <v>28</v>
      </c>
    </row>
    <row r="3174" spans="1:3" x14ac:dyDescent="0.2">
      <c r="A3174" t="s">
        <v>1244</v>
      </c>
      <c r="B3174" t="str">
        <f>HYPERLINK("https://lindat.mff.cuni.cz/services/teitok/pdtc10/index.php?action=vallex&amp;frame=v-w275f8_ZU", "cítit se (v-w275f8_ZU)")</f>
        <v>cítit se (v-w275f8_ZU)</v>
      </c>
    </row>
    <row r="3175" spans="1:3" x14ac:dyDescent="0.2">
      <c r="B3175" t="s">
        <v>1</v>
      </c>
    </row>
    <row r="3176" spans="1:3" x14ac:dyDescent="0.2">
      <c r="B3176" t="s">
        <v>1245</v>
      </c>
    </row>
    <row r="3177" spans="1:3" x14ac:dyDescent="0.2">
      <c r="B3177" t="s">
        <v>346</v>
      </c>
    </row>
    <row r="3178" spans="1:3" x14ac:dyDescent="0.2">
      <c r="B3178" t="s">
        <v>351</v>
      </c>
    </row>
    <row r="3180" spans="1:3" x14ac:dyDescent="0.2">
      <c r="A3180" t="s">
        <v>1244</v>
      </c>
      <c r="B3180" t="str">
        <f>HYPERLINK("https://lindat.mff.cuni.cz/services/teitok/pdtc10/index.php?action=vallex&amp;frame=v-w275f2", "cítit se (v-w275f2) - substituted with v-w275f8_ZU")</f>
        <v>cítit se (v-w275f2) - substituted with v-w275f8_ZU</v>
      </c>
    </row>
    <row r="3181" spans="1:3" x14ac:dyDescent="0.2">
      <c r="B3181" t="s">
        <v>1</v>
      </c>
      <c r="C3181" t="s">
        <v>1246</v>
      </c>
    </row>
    <row r="3182" spans="1:3" x14ac:dyDescent="0.2">
      <c r="B3182" t="s">
        <v>1245</v>
      </c>
      <c r="C3182" t="s">
        <v>1247</v>
      </c>
    </row>
    <row r="3183" spans="1:3" x14ac:dyDescent="0.2">
      <c r="B3183" t="s">
        <v>346</v>
      </c>
      <c r="C3183" t="s">
        <v>1248</v>
      </c>
    </row>
    <row r="3184" spans="1:3" x14ac:dyDescent="0.2">
      <c r="B3184" t="s">
        <v>351</v>
      </c>
    </row>
    <row r="3186" spans="1:4" x14ac:dyDescent="0.2">
      <c r="A3186" t="s">
        <v>1244</v>
      </c>
      <c r="B3186" t="str">
        <f>HYPERLINK("https://lindat.mff.cuni.cz/services/teitok/pdtc10/index.php?action=vallex&amp;frame=v-w275f5_ZU", "cítit se (v-w275f5_ZU) - substituted with v-w275f8_ZU")</f>
        <v>cítit se (v-w275f5_ZU) - substituted with v-w275f8_ZU</v>
      </c>
    </row>
    <row r="3187" spans="1:4" x14ac:dyDescent="0.2">
      <c r="B3187" t="s">
        <v>1</v>
      </c>
    </row>
    <row r="3188" spans="1:4" x14ac:dyDescent="0.2">
      <c r="B3188" t="s">
        <v>1245</v>
      </c>
    </row>
    <row r="3189" spans="1:4" x14ac:dyDescent="0.2">
      <c r="B3189" t="s">
        <v>346</v>
      </c>
    </row>
    <row r="3190" spans="1:4" x14ac:dyDescent="0.2">
      <c r="B3190" t="s">
        <v>351</v>
      </c>
    </row>
    <row r="3192" spans="1:4" x14ac:dyDescent="0.2">
      <c r="A3192" t="s">
        <v>1244</v>
      </c>
      <c r="B3192" t="str">
        <f>HYPERLINK("https://lindat.mff.cuni.cz/services/teitok/pdtc10/index.php?action=vallex&amp;frame=v-w275f6_ZU", "cítit se (v-w275f6_ZU) - substituted with v-w275f8_ZU")</f>
        <v>cítit se (v-w275f6_ZU) - substituted with v-w275f8_ZU</v>
      </c>
    </row>
    <row r="3193" spans="1:4" x14ac:dyDescent="0.2">
      <c r="B3193" t="s">
        <v>1</v>
      </c>
    </row>
    <row r="3194" spans="1:4" x14ac:dyDescent="0.2">
      <c r="B3194" t="s">
        <v>1245</v>
      </c>
    </row>
    <row r="3195" spans="1:4" x14ac:dyDescent="0.2">
      <c r="B3195" t="s">
        <v>346</v>
      </c>
    </row>
    <row r="3196" spans="1:4" x14ac:dyDescent="0.2">
      <c r="B3196" t="s">
        <v>351</v>
      </c>
    </row>
    <row r="3198" spans="1:4" x14ac:dyDescent="0.2">
      <c r="A3198" t="s">
        <v>1244</v>
      </c>
      <c r="B3198" t="str">
        <f>HYPERLINK("https://lindat.mff.cuni.cz/services/teitok/pdtc10/index.php?action=vallex&amp;frame=v-w275f7_ZU", "cítit se (v-w275f7_ZU) - substituted with v-w275f8_ZU")</f>
        <v>cítit se (v-w275f7_ZU) - substituted with v-w275f8_ZU</v>
      </c>
    </row>
    <row r="3199" spans="1:4" x14ac:dyDescent="0.2">
      <c r="B3199" t="s">
        <v>1</v>
      </c>
      <c r="C3199" t="s">
        <v>1249</v>
      </c>
      <c r="D3199" t="s">
        <v>23072</v>
      </c>
    </row>
    <row r="3200" spans="1:4" x14ac:dyDescent="0.2">
      <c r="B3200" t="s">
        <v>1245</v>
      </c>
      <c r="C3200" t="s">
        <v>1250</v>
      </c>
      <c r="D3200" t="s">
        <v>23073</v>
      </c>
    </row>
    <row r="3201" spans="1:4" x14ac:dyDescent="0.2">
      <c r="B3201" t="s">
        <v>346</v>
      </c>
      <c r="C3201" t="s">
        <v>1251</v>
      </c>
      <c r="D3201" t="s">
        <v>23074</v>
      </c>
    </row>
    <row r="3202" spans="1:4" x14ac:dyDescent="0.2">
      <c r="B3202" t="s">
        <v>351</v>
      </c>
      <c r="D3202" t="s">
        <v>23075</v>
      </c>
    </row>
    <row r="3204" spans="1:4" x14ac:dyDescent="0.2">
      <c r="A3204" t="s">
        <v>1252</v>
      </c>
      <c r="B3204" t="str">
        <f>HYPERLINK("https://lindat.mff.cuni.cz/services/teitok/pdtc10/index.php?action=vallex&amp;frame=v-w360f1", "dabovat (v-w360f1)")</f>
        <v>dabovat (v-w360f1)</v>
      </c>
    </row>
    <row r="3205" spans="1:4" x14ac:dyDescent="0.2">
      <c r="B3205" t="s">
        <v>1</v>
      </c>
    </row>
    <row r="3206" spans="1:4" x14ac:dyDescent="0.2">
      <c r="B3206" t="s">
        <v>8</v>
      </c>
    </row>
    <row r="3208" spans="1:4" x14ac:dyDescent="0.2">
      <c r="A3208" t="s">
        <v>1253</v>
      </c>
      <c r="B3208" t="str">
        <f>HYPERLINK("https://lindat.mff.cuni.cz/services/teitok/pdtc10/index.php?action=vallex&amp;frame=v-w362f1", "danit (v-w362f1)")</f>
        <v>danit (v-w362f1)</v>
      </c>
    </row>
    <row r="3209" spans="1:4" x14ac:dyDescent="0.2">
      <c r="B3209" t="s">
        <v>1</v>
      </c>
    </row>
    <row r="3210" spans="1:4" x14ac:dyDescent="0.2">
      <c r="B3210" t="s">
        <v>8</v>
      </c>
    </row>
    <row r="3212" spans="1:4" x14ac:dyDescent="0.2">
      <c r="A3212" t="s">
        <v>1254</v>
      </c>
      <c r="B3212" t="str">
        <f>HYPERLINK("https://lindat.mff.cuni.cz/services/teitok/pdtc10/index.php?action=vallex&amp;frame=v-w367f1", "darovat (v-w367f1)")</f>
        <v>darovat (v-w367f1)</v>
      </c>
    </row>
    <row r="3213" spans="1:4" x14ac:dyDescent="0.2">
      <c r="B3213" t="s">
        <v>1</v>
      </c>
      <c r="C3213" t="s">
        <v>115</v>
      </c>
      <c r="D3213" t="s">
        <v>23076</v>
      </c>
    </row>
    <row r="3214" spans="1:4" x14ac:dyDescent="0.2">
      <c r="B3214" t="s">
        <v>8</v>
      </c>
      <c r="C3214" t="s">
        <v>1190</v>
      </c>
      <c r="D3214" t="s">
        <v>23077</v>
      </c>
    </row>
    <row r="3215" spans="1:4" x14ac:dyDescent="0.2">
      <c r="B3215" t="s">
        <v>35</v>
      </c>
      <c r="C3215" t="s">
        <v>1255</v>
      </c>
      <c r="D3215" t="s">
        <v>23078</v>
      </c>
    </row>
    <row r="3217" spans="1:4" x14ac:dyDescent="0.2">
      <c r="A3217" t="s">
        <v>1256</v>
      </c>
      <c r="B3217" t="str">
        <f>HYPERLINK("https://lindat.mff.cuni.cz/services/teitok/pdtc10/index.php?action=vallex&amp;frame=v-w10072f2", "datovat (v-w10072f2)")</f>
        <v>datovat (v-w10072f2)</v>
      </c>
    </row>
    <row r="3218" spans="1:4" x14ac:dyDescent="0.2">
      <c r="B3218" t="s">
        <v>1</v>
      </c>
    </row>
    <row r="3219" spans="1:4" x14ac:dyDescent="0.2">
      <c r="B3219" t="s">
        <v>8</v>
      </c>
      <c r="C3219" t="s">
        <v>354</v>
      </c>
      <c r="D3219" t="s">
        <v>56</v>
      </c>
    </row>
    <row r="3221" spans="1:4" x14ac:dyDescent="0.2">
      <c r="A3221" t="s">
        <v>1257</v>
      </c>
      <c r="B3221" t="str">
        <f>HYPERLINK("https://lindat.mff.cuni.cz/services/teitok/pdtc10/index.php?action=vallex&amp;frame=v-w11235f1", "datovat se (v-w11235f1)")</f>
        <v>datovat se (v-w11235f1)</v>
      </c>
    </row>
    <row r="3222" spans="1:4" x14ac:dyDescent="0.2">
      <c r="B3222" t="s">
        <v>1</v>
      </c>
    </row>
    <row r="3223" spans="1:4" x14ac:dyDescent="0.2">
      <c r="B3223" t="s">
        <v>1258</v>
      </c>
    </row>
    <row r="3225" spans="1:4" x14ac:dyDescent="0.2">
      <c r="A3225" t="s">
        <v>1259</v>
      </c>
      <c r="B3225" t="str">
        <f>HYPERLINK("https://lindat.mff.cuni.cz/services/teitok/pdtc10/index.php?action=vallex&amp;frame=v-w11235hsa_989", "datovat se (v-w11235hsa_989)")</f>
        <v>datovat se (v-w11235hsa_989)</v>
      </c>
    </row>
    <row r="3226" spans="1:4" x14ac:dyDescent="0.2">
      <c r="B3226" t="s">
        <v>1</v>
      </c>
      <c r="C3226" t="s">
        <v>715</v>
      </c>
      <c r="D3226" t="s">
        <v>715</v>
      </c>
    </row>
    <row r="3227" spans="1:4" x14ac:dyDescent="0.2">
      <c r="B3227" t="s">
        <v>1260</v>
      </c>
      <c r="C3227" t="s">
        <v>1261</v>
      </c>
      <c r="D3227" t="s">
        <v>1261</v>
      </c>
    </row>
    <row r="3229" spans="1:4" x14ac:dyDescent="0.2">
      <c r="A3229" t="s">
        <v>1262</v>
      </c>
      <c r="B3229" t="str">
        <f>HYPERLINK("https://lindat.mff.cuni.cz/services/teitok/pdtc10/index.php?action=vallex&amp;frame=v-w368f1", "dařit se (v-w368f1)")</f>
        <v>dařit se (v-w368f1)</v>
      </c>
    </row>
    <row r="3230" spans="1:4" x14ac:dyDescent="0.2">
      <c r="B3230" t="s">
        <v>455</v>
      </c>
      <c r="C3230" t="s">
        <v>1077</v>
      </c>
      <c r="D3230" t="s">
        <v>23079</v>
      </c>
    </row>
    <row r="3231" spans="1:4" x14ac:dyDescent="0.2">
      <c r="B3231" t="s">
        <v>1263</v>
      </c>
      <c r="C3231" t="s">
        <v>1264</v>
      </c>
      <c r="D3231" t="s">
        <v>23080</v>
      </c>
    </row>
    <row r="3233" spans="1:4" x14ac:dyDescent="0.2">
      <c r="A3233" t="s">
        <v>1265</v>
      </c>
      <c r="B3233" t="str">
        <f>HYPERLINK("https://lindat.mff.cuni.cz/services/teitok/pdtc10/index.php?action=vallex&amp;frame=v-w368f3", "dařit se (v-w368f3)")</f>
        <v>dařit se (v-w368f3)</v>
      </c>
    </row>
    <row r="3234" spans="1:4" x14ac:dyDescent="0.2">
      <c r="B3234" t="s">
        <v>1</v>
      </c>
    </row>
    <row r="3236" spans="1:4" x14ac:dyDescent="0.2">
      <c r="A3236" t="s">
        <v>1266</v>
      </c>
      <c r="B3236" t="str">
        <f>HYPERLINK("https://lindat.mff.cuni.cz/services/teitok/pdtc10/index.php?action=vallex&amp;frame=v-w368f2", "dařit se (v-w368f2)")</f>
        <v>dařit se (v-w368f2)</v>
      </c>
    </row>
    <row r="3237" spans="1:4" x14ac:dyDescent="0.2">
      <c r="B3237" t="s">
        <v>455</v>
      </c>
      <c r="C3237" t="s">
        <v>1267</v>
      </c>
      <c r="D3237" t="s">
        <v>23029</v>
      </c>
    </row>
    <row r="3238" spans="1:4" x14ac:dyDescent="0.2">
      <c r="B3238" t="s">
        <v>346</v>
      </c>
      <c r="C3238" t="s">
        <v>1268</v>
      </c>
      <c r="D3238" t="s">
        <v>23030</v>
      </c>
    </row>
    <row r="3239" spans="1:4" x14ac:dyDescent="0.2">
      <c r="B3239" t="s">
        <v>1269</v>
      </c>
      <c r="D3239" t="s">
        <v>23081</v>
      </c>
    </row>
    <row r="3241" spans="1:4" x14ac:dyDescent="0.2">
      <c r="A3241" t="s">
        <v>1270</v>
      </c>
      <c r="B3241" t="str">
        <f>HYPERLINK("https://lindat.mff.cuni.cz/services/teitok/pdtc10/index.php?action=vallex&amp;frame=v-w381f1", "dbát (v-w381f1)")</f>
        <v>dbát (v-w381f1)</v>
      </c>
    </row>
    <row r="3242" spans="1:4" x14ac:dyDescent="0.2">
      <c r="B3242" t="s">
        <v>1</v>
      </c>
      <c r="C3242" t="s">
        <v>1271</v>
      </c>
      <c r="D3242" t="s">
        <v>23082</v>
      </c>
    </row>
    <row r="3243" spans="1:4" x14ac:dyDescent="0.2">
      <c r="B3243" t="s">
        <v>1272</v>
      </c>
      <c r="C3243" t="s">
        <v>1273</v>
      </c>
      <c r="D3243" t="s">
        <v>1478</v>
      </c>
    </row>
    <row r="3245" spans="1:4" x14ac:dyDescent="0.2">
      <c r="A3245" t="s">
        <v>1274</v>
      </c>
      <c r="B3245" t="str">
        <f>HYPERLINK("https://lindat.mff.cuni.cz/services/teitok/pdtc10/index.php?action=vallex&amp;frame=v-w385f1", "debatovat (v-w385f1)")</f>
        <v>debatovat (v-w385f1)</v>
      </c>
    </row>
    <row r="3246" spans="1:4" x14ac:dyDescent="0.2">
      <c r="B3246" t="s">
        <v>1</v>
      </c>
      <c r="C3246" t="s">
        <v>1275</v>
      </c>
      <c r="D3246" t="s">
        <v>22973</v>
      </c>
    </row>
    <row r="3247" spans="1:4" x14ac:dyDescent="0.2">
      <c r="B3247" t="s">
        <v>1276</v>
      </c>
      <c r="C3247" t="s">
        <v>1277</v>
      </c>
      <c r="D3247" t="s">
        <v>22974</v>
      </c>
    </row>
    <row r="3248" spans="1:4" x14ac:dyDescent="0.2">
      <c r="B3248" t="s">
        <v>153</v>
      </c>
      <c r="C3248" t="s">
        <v>1278</v>
      </c>
      <c r="D3248" t="s">
        <v>22975</v>
      </c>
    </row>
    <row r="3250" spans="1:4" x14ac:dyDescent="0.2">
      <c r="A3250" t="s">
        <v>1279</v>
      </c>
      <c r="B3250" t="str">
        <f>HYPERLINK("https://lindat.mff.cuni.cz/services/teitok/pdtc10/index.php?action=vallex&amp;frame=v-w387f1", "debutovat (v-w387f1)")</f>
        <v>debutovat (v-w387f1)</v>
      </c>
    </row>
    <row r="3251" spans="1:4" x14ac:dyDescent="0.2">
      <c r="B3251" t="s">
        <v>1</v>
      </c>
      <c r="C3251" t="s">
        <v>186</v>
      </c>
      <c r="D3251" t="s">
        <v>23083</v>
      </c>
    </row>
    <row r="3253" spans="1:4" x14ac:dyDescent="0.2">
      <c r="A3253" t="s">
        <v>1280</v>
      </c>
      <c r="B3253" t="str">
        <f>HYPERLINK("https://lindat.mff.cuni.cz/services/teitok/pdtc10/index.php?action=vallex&amp;frame=v-w389f1", "decentralizovat (v-w389f1)")</f>
        <v>decentralizovat (v-w389f1)</v>
      </c>
    </row>
    <row r="3254" spans="1:4" x14ac:dyDescent="0.2">
      <c r="B3254" t="s">
        <v>1</v>
      </c>
    </row>
    <row r="3255" spans="1:4" x14ac:dyDescent="0.2">
      <c r="B3255" t="s">
        <v>8</v>
      </c>
    </row>
    <row r="3257" spans="1:4" x14ac:dyDescent="0.2">
      <c r="A3257" t="s">
        <v>1281</v>
      </c>
      <c r="B3257" t="str">
        <f>HYPERLINK("https://lindat.mff.cuni.cz/services/teitok/pdtc10/index.php?action=vallex&amp;frame=v-w392f1", "defilovat (v-w392f1)")</f>
        <v>defilovat (v-w392f1)</v>
      </c>
    </row>
    <row r="3258" spans="1:4" x14ac:dyDescent="0.2">
      <c r="B3258" t="s">
        <v>1</v>
      </c>
    </row>
    <row r="3260" spans="1:4" x14ac:dyDescent="0.2">
      <c r="A3260" t="s">
        <v>1282</v>
      </c>
      <c r="B3260" t="str">
        <f>HYPERLINK("https://lindat.mff.cuni.cz/services/teitok/pdtc10/index.php?action=vallex&amp;frame=v-w394f1", "definovat (v-w394f1)")</f>
        <v>definovat (v-w394f1)</v>
      </c>
    </row>
    <row r="3261" spans="1:4" x14ac:dyDescent="0.2">
      <c r="B3261" t="s">
        <v>1</v>
      </c>
      <c r="C3261" t="s">
        <v>1283</v>
      </c>
      <c r="D3261" t="s">
        <v>23084</v>
      </c>
    </row>
    <row r="3262" spans="1:4" x14ac:dyDescent="0.2">
      <c r="B3262" t="s">
        <v>1284</v>
      </c>
      <c r="C3262" t="s">
        <v>1285</v>
      </c>
      <c r="D3262" t="s">
        <v>12145</v>
      </c>
    </row>
    <row r="3264" spans="1:4" x14ac:dyDescent="0.2">
      <c r="A3264" t="s">
        <v>1286</v>
      </c>
      <c r="B3264" t="str">
        <f>HYPERLINK("https://lindat.mff.cuni.cz/services/teitok/pdtc10/index.php?action=vallex&amp;frame=v-w396f1", "deformovat (v-w396f1)")</f>
        <v>deformovat (v-w396f1)</v>
      </c>
    </row>
    <row r="3265" spans="1:4" x14ac:dyDescent="0.2">
      <c r="B3265" t="s">
        <v>1</v>
      </c>
    </row>
    <row r="3266" spans="1:4" x14ac:dyDescent="0.2">
      <c r="B3266" t="s">
        <v>8</v>
      </c>
    </row>
    <row r="3268" spans="1:4" x14ac:dyDescent="0.2">
      <c r="A3268" t="s">
        <v>1287</v>
      </c>
      <c r="B3268" t="str">
        <f>HYPERLINK("https://lindat.mff.cuni.cz/services/teitok/pdtc10/index.php?action=vallex&amp;frame=v-w11830_ZUf1_ZU", "degenerovat (v-w11830_ZUf1_ZU)")</f>
        <v>degenerovat (v-w11830_ZUf1_ZU)</v>
      </c>
    </row>
    <row r="3269" spans="1:4" x14ac:dyDescent="0.2">
      <c r="B3269" t="s">
        <v>1</v>
      </c>
    </row>
    <row r="3271" spans="1:4" x14ac:dyDescent="0.2">
      <c r="A3271" t="s">
        <v>1288</v>
      </c>
      <c r="B3271" t="str">
        <f>HYPERLINK("https://lindat.mff.cuni.cz/services/teitok/pdtc10/index.php?action=vallex&amp;frame=v-w398f1", "degradovat (v-w398f1)")</f>
        <v>degradovat (v-w398f1)</v>
      </c>
    </row>
    <row r="3272" spans="1:4" x14ac:dyDescent="0.2">
      <c r="B3272" t="s">
        <v>1</v>
      </c>
      <c r="C3272" t="s">
        <v>140</v>
      </c>
      <c r="D3272" t="s">
        <v>249</v>
      </c>
    </row>
    <row r="3273" spans="1:4" x14ac:dyDescent="0.2">
      <c r="B3273" t="s">
        <v>8</v>
      </c>
      <c r="C3273" t="s">
        <v>84</v>
      </c>
      <c r="D3273" t="s">
        <v>1128</v>
      </c>
    </row>
    <row r="3274" spans="1:4" x14ac:dyDescent="0.2">
      <c r="B3274" t="s">
        <v>24</v>
      </c>
      <c r="C3274" t="s">
        <v>1289</v>
      </c>
      <c r="D3274" t="s">
        <v>1289</v>
      </c>
    </row>
    <row r="3275" spans="1:4" x14ac:dyDescent="0.2">
      <c r="B3275" t="s">
        <v>61</v>
      </c>
      <c r="C3275" t="s">
        <v>1290</v>
      </c>
      <c r="D3275" t="s">
        <v>1290</v>
      </c>
    </row>
    <row r="3277" spans="1:4" x14ac:dyDescent="0.2">
      <c r="A3277" t="s">
        <v>1291</v>
      </c>
      <c r="B3277" t="str">
        <f>HYPERLINK("https://lindat.mff.cuni.cz/services/teitok/pdtc10/index.php?action=vallex&amp;frame=v-w403f2", "deklarovat (v-w403f2)")</f>
        <v>deklarovat (v-w403f2)</v>
      </c>
    </row>
    <row r="3278" spans="1:4" x14ac:dyDescent="0.2">
      <c r="B3278" t="s">
        <v>1</v>
      </c>
    </row>
    <row r="3279" spans="1:4" x14ac:dyDescent="0.2">
      <c r="B3279" t="s">
        <v>8</v>
      </c>
    </row>
    <row r="3280" spans="1:4" x14ac:dyDescent="0.2">
      <c r="B3280" t="s">
        <v>1292</v>
      </c>
    </row>
    <row r="3282" spans="1:4" x14ac:dyDescent="0.2">
      <c r="A3282" t="s">
        <v>1293</v>
      </c>
      <c r="B3282" t="str">
        <f>HYPERLINK("https://lindat.mff.cuni.cz/services/teitok/pdtc10/index.php?action=vallex&amp;frame=v-w403f1", "deklarovat (v-w403f1)")</f>
        <v>deklarovat (v-w403f1)</v>
      </c>
    </row>
    <row r="3283" spans="1:4" x14ac:dyDescent="0.2">
      <c r="B3283" t="s">
        <v>1</v>
      </c>
      <c r="C3283" t="s">
        <v>1294</v>
      </c>
      <c r="D3283" t="s">
        <v>22967</v>
      </c>
    </row>
    <row r="3284" spans="1:4" x14ac:dyDescent="0.2">
      <c r="B3284" t="s">
        <v>41</v>
      </c>
      <c r="C3284" t="s">
        <v>1295</v>
      </c>
      <c r="D3284" t="s">
        <v>22968</v>
      </c>
    </row>
    <row r="3286" spans="1:4" x14ac:dyDescent="0.2">
      <c r="A3286" t="s">
        <v>1296</v>
      </c>
      <c r="B3286" t="str">
        <f>HYPERLINK("https://lindat.mff.cuni.cz/services/teitok/pdtc10/index.php?action=vallex&amp;frame=v-w10115f2", "dekontaminovat (v-w10115f2)")</f>
        <v>dekontaminovat (v-w10115f2)</v>
      </c>
    </row>
    <row r="3287" spans="1:4" x14ac:dyDescent="0.2">
      <c r="B3287" t="s">
        <v>1</v>
      </c>
      <c r="D3287" t="s">
        <v>83</v>
      </c>
    </row>
    <row r="3288" spans="1:4" x14ac:dyDescent="0.2">
      <c r="B3288" t="s">
        <v>8</v>
      </c>
      <c r="C3288" t="s">
        <v>113</v>
      </c>
      <c r="D3288" t="s">
        <v>1128</v>
      </c>
    </row>
    <row r="3289" spans="1:4" x14ac:dyDescent="0.2">
      <c r="B3289" t="s">
        <v>321</v>
      </c>
    </row>
    <row r="3291" spans="1:4" x14ac:dyDescent="0.2">
      <c r="A3291" t="s">
        <v>1297</v>
      </c>
      <c r="B3291" t="str">
        <f>HYPERLINK("https://lindat.mff.cuni.cz/services/teitok/pdtc10/index.php?action=vallex&amp;frame=v-w414f1", "delegovat (v-w414f1)")</f>
        <v>delegovat (v-w414f1)</v>
      </c>
    </row>
    <row r="3292" spans="1:4" x14ac:dyDescent="0.2">
      <c r="B3292" t="s">
        <v>1</v>
      </c>
      <c r="C3292" t="s">
        <v>140</v>
      </c>
      <c r="D3292" t="s">
        <v>23085</v>
      </c>
    </row>
    <row r="3293" spans="1:4" x14ac:dyDescent="0.2">
      <c r="B3293" t="s">
        <v>8</v>
      </c>
      <c r="C3293" t="s">
        <v>113</v>
      </c>
      <c r="D3293" t="s">
        <v>23086</v>
      </c>
    </row>
    <row r="3294" spans="1:4" x14ac:dyDescent="0.2">
      <c r="B3294" t="s">
        <v>88</v>
      </c>
      <c r="C3294" t="s">
        <v>987</v>
      </c>
      <c r="D3294" t="s">
        <v>23087</v>
      </c>
    </row>
    <row r="3296" spans="1:4" x14ac:dyDescent="0.2">
      <c r="A3296" t="s">
        <v>1298</v>
      </c>
      <c r="B3296" t="str">
        <f>HYPERLINK("https://lindat.mff.cuni.cz/services/teitok/pdtc10/index.php?action=vallex&amp;frame=v-w414f2", "delegovat (v-w414f2)")</f>
        <v>delegovat (v-w414f2)</v>
      </c>
    </row>
    <row r="3297" spans="1:3" x14ac:dyDescent="0.2">
      <c r="B3297" t="s">
        <v>1</v>
      </c>
    </row>
    <row r="3298" spans="1:3" x14ac:dyDescent="0.2">
      <c r="B3298" t="s">
        <v>8</v>
      </c>
    </row>
    <row r="3299" spans="1:3" x14ac:dyDescent="0.2">
      <c r="B3299" t="s">
        <v>90</v>
      </c>
    </row>
    <row r="3301" spans="1:3" x14ac:dyDescent="0.2">
      <c r="A3301" t="s">
        <v>1299</v>
      </c>
      <c r="B3301" t="str">
        <f>HYPERLINK("https://lindat.mff.cuni.cz/services/teitok/pdtc10/index.php?action=vallex&amp;frame=v-w423f1", "dementovat (v-w423f1)")</f>
        <v>dementovat (v-w423f1)</v>
      </c>
    </row>
    <row r="3302" spans="1:3" x14ac:dyDescent="0.2">
      <c r="B3302" t="s">
        <v>1</v>
      </c>
    </row>
    <row r="3303" spans="1:3" x14ac:dyDescent="0.2">
      <c r="B3303" t="s">
        <v>124</v>
      </c>
    </row>
    <row r="3305" spans="1:3" x14ac:dyDescent="0.2">
      <c r="A3305" t="s">
        <v>1300</v>
      </c>
      <c r="B3305" t="str">
        <f>HYPERLINK("https://lindat.mff.cuni.cz/services/teitok/pdtc10/index.php?action=vallex&amp;frame=v-w10822f2", "demilitarizovat (v-w10822f2)")</f>
        <v>demilitarizovat (v-w10822f2)</v>
      </c>
    </row>
    <row r="3306" spans="1:3" x14ac:dyDescent="0.2">
      <c r="B3306" t="s">
        <v>1</v>
      </c>
      <c r="C3306" t="s">
        <v>140</v>
      </c>
    </row>
    <row r="3307" spans="1:3" x14ac:dyDescent="0.2">
      <c r="B3307" t="s">
        <v>8</v>
      </c>
      <c r="C3307" t="s">
        <v>1301</v>
      </c>
    </row>
    <row r="3309" spans="1:3" x14ac:dyDescent="0.2">
      <c r="A3309" t="s">
        <v>1302</v>
      </c>
      <c r="B3309" t="str">
        <f>HYPERLINK("https://lindat.mff.cuni.cz/services/teitok/pdtc10/index.php?action=vallex&amp;frame=v-w10280f2", "demobilizovat (v-w10280f2)")</f>
        <v>demobilizovat (v-w10280f2)</v>
      </c>
    </row>
    <row r="3310" spans="1:3" x14ac:dyDescent="0.2">
      <c r="B3310" t="s">
        <v>1</v>
      </c>
    </row>
    <row r="3311" spans="1:3" x14ac:dyDescent="0.2">
      <c r="B3311" t="s">
        <v>8</v>
      </c>
      <c r="C3311" t="s">
        <v>34</v>
      </c>
    </row>
    <row r="3313" spans="1:4" x14ac:dyDescent="0.2">
      <c r="A3313" t="s">
        <v>1303</v>
      </c>
      <c r="B3313" t="str">
        <f>HYPERLINK("https://lindat.mff.cuni.cz/services/teitok/pdtc10/index.php?action=vallex&amp;frame=v-w10280f3_ZU", "demobilizovat (v-w10280f3_ZU)")</f>
        <v>demobilizovat (v-w10280f3_ZU)</v>
      </c>
    </row>
    <row r="3314" spans="1:4" x14ac:dyDescent="0.2">
      <c r="B3314" t="s">
        <v>1</v>
      </c>
    </row>
    <row r="3316" spans="1:4" x14ac:dyDescent="0.2">
      <c r="A3316" t="s">
        <v>1304</v>
      </c>
      <c r="B3316" t="str">
        <f>HYPERLINK("https://lindat.mff.cuni.cz/services/teitok/pdtc10/index.php?action=vallex&amp;frame=v-w10642f2", "demokratizovat (v-w10642f2)")</f>
        <v>demokratizovat (v-w10642f2)</v>
      </c>
    </row>
    <row r="3317" spans="1:4" x14ac:dyDescent="0.2">
      <c r="B3317" t="s">
        <v>1</v>
      </c>
    </row>
    <row r="3318" spans="1:4" x14ac:dyDescent="0.2">
      <c r="B3318" t="s">
        <v>8</v>
      </c>
    </row>
    <row r="3320" spans="1:4" x14ac:dyDescent="0.2">
      <c r="A3320" t="s">
        <v>1305</v>
      </c>
      <c r="B3320" t="str">
        <f>HYPERLINK("https://lindat.mff.cuni.cz/services/teitok/pdtc10/index.php?action=vallex&amp;frame=v-w427f1", "demolovat (v-w427f1)")</f>
        <v>demolovat (v-w427f1)</v>
      </c>
    </row>
    <row r="3321" spans="1:4" x14ac:dyDescent="0.2">
      <c r="B3321" t="s">
        <v>1</v>
      </c>
      <c r="C3321" t="s">
        <v>33</v>
      </c>
      <c r="D3321" t="s">
        <v>23088</v>
      </c>
    </row>
    <row r="3322" spans="1:4" x14ac:dyDescent="0.2">
      <c r="B3322" t="s">
        <v>172</v>
      </c>
      <c r="C3322" t="s">
        <v>1126</v>
      </c>
      <c r="D3322" t="s">
        <v>986</v>
      </c>
    </row>
    <row r="3323" spans="1:4" x14ac:dyDescent="0.2">
      <c r="B3323" t="s">
        <v>61</v>
      </c>
    </row>
    <row r="3325" spans="1:4" x14ac:dyDescent="0.2">
      <c r="A3325" t="s">
        <v>1306</v>
      </c>
      <c r="B3325" t="str">
        <f>HYPERLINK("https://lindat.mff.cuni.cz/services/teitok/pdtc10/index.php?action=vallex&amp;frame=v-w431f1", "demonstrovat (v-w431f1)")</f>
        <v>demonstrovat (v-w431f1)</v>
      </c>
    </row>
    <row r="3326" spans="1:4" x14ac:dyDescent="0.2">
      <c r="B3326" t="s">
        <v>1</v>
      </c>
      <c r="C3326" t="s">
        <v>115</v>
      </c>
      <c r="D3326" t="s">
        <v>23089</v>
      </c>
    </row>
    <row r="3327" spans="1:4" x14ac:dyDescent="0.2">
      <c r="B3327" t="s">
        <v>1307</v>
      </c>
      <c r="C3327" t="s">
        <v>116</v>
      </c>
      <c r="D3327" t="s">
        <v>8880</v>
      </c>
    </row>
    <row r="3328" spans="1:4" x14ac:dyDescent="0.2">
      <c r="B3328" t="s">
        <v>35</v>
      </c>
      <c r="D3328" t="s">
        <v>11069</v>
      </c>
    </row>
    <row r="3330" spans="1:4" x14ac:dyDescent="0.2">
      <c r="A3330" t="s">
        <v>1308</v>
      </c>
      <c r="B3330" t="str">
        <f>HYPERLINK("https://lindat.mff.cuni.cz/services/teitok/pdtc10/index.php?action=vallex&amp;frame=v-w431f2", "demonstrovat (v-w431f2)")</f>
        <v>demonstrovat (v-w431f2)</v>
      </c>
    </row>
    <row r="3331" spans="1:4" x14ac:dyDescent="0.2">
      <c r="B3331" t="s">
        <v>1</v>
      </c>
      <c r="C3331" t="s">
        <v>1309</v>
      </c>
      <c r="D3331" t="s">
        <v>20771</v>
      </c>
    </row>
    <row r="3332" spans="1:4" x14ac:dyDescent="0.2">
      <c r="B3332" t="s">
        <v>1310</v>
      </c>
      <c r="D3332" t="s">
        <v>1301</v>
      </c>
    </row>
    <row r="3334" spans="1:4" x14ac:dyDescent="0.2">
      <c r="A3334" t="s">
        <v>1311</v>
      </c>
      <c r="B3334" t="str">
        <f>HYPERLINK("https://lindat.mff.cuni.cz/services/teitok/pdtc10/index.php?action=vallex&amp;frame=v-w433f1", "demontovat (v-w433f1)")</f>
        <v>demontovat (v-w433f1)</v>
      </c>
    </row>
    <row r="3335" spans="1:4" x14ac:dyDescent="0.2">
      <c r="B3335" t="s">
        <v>1</v>
      </c>
    </row>
    <row r="3336" spans="1:4" x14ac:dyDescent="0.2">
      <c r="B3336" t="s">
        <v>8</v>
      </c>
    </row>
    <row r="3337" spans="1:4" x14ac:dyDescent="0.2">
      <c r="B3337" t="s">
        <v>61</v>
      </c>
    </row>
    <row r="3339" spans="1:4" x14ac:dyDescent="0.2">
      <c r="A3339" t="s">
        <v>1312</v>
      </c>
      <c r="B3339" t="str">
        <f>HYPERLINK("https://lindat.mff.cuni.cz/services/teitok/pdtc10/index.php?action=vallex&amp;frame=v-w435f1", "demoralizovat (v-w435f1)")</f>
        <v>demoralizovat (v-w435f1)</v>
      </c>
    </row>
    <row r="3340" spans="1:4" x14ac:dyDescent="0.2">
      <c r="B3340" t="s">
        <v>1</v>
      </c>
    </row>
    <row r="3341" spans="1:4" x14ac:dyDescent="0.2">
      <c r="B3341" t="s">
        <v>8</v>
      </c>
    </row>
    <row r="3343" spans="1:4" x14ac:dyDescent="0.2">
      <c r="A3343" t="s">
        <v>1313</v>
      </c>
      <c r="B3343" t="str">
        <f>HYPERLINK("https://lindat.mff.cuni.cz/services/teitok/pdtc10/index.php?action=vallex&amp;frame=v-w10388f2", "denominovat (v-w10388f2)")</f>
        <v>denominovat (v-w10388f2)</v>
      </c>
    </row>
    <row r="3344" spans="1:4" x14ac:dyDescent="0.2">
      <c r="B3344" t="s">
        <v>1</v>
      </c>
    </row>
    <row r="3345" spans="1:4" x14ac:dyDescent="0.2">
      <c r="B3345" t="s">
        <v>8</v>
      </c>
    </row>
    <row r="3347" spans="1:4" x14ac:dyDescent="0.2">
      <c r="A3347" t="s">
        <v>1314</v>
      </c>
      <c r="B3347" t="str">
        <f>HYPERLINK("https://lindat.mff.cuni.cz/services/teitok/pdtc10/index.php?action=vallex&amp;frame=v-w10327f3", "deponovat (v-w10327f3)")</f>
        <v>deponovat (v-w10327f3)</v>
      </c>
    </row>
    <row r="3348" spans="1:4" x14ac:dyDescent="0.2">
      <c r="B3348" t="s">
        <v>1</v>
      </c>
    </row>
    <row r="3349" spans="1:4" x14ac:dyDescent="0.2">
      <c r="B3349" t="s">
        <v>8</v>
      </c>
    </row>
    <row r="3350" spans="1:4" x14ac:dyDescent="0.2">
      <c r="B3350" t="s">
        <v>5</v>
      </c>
    </row>
    <row r="3352" spans="1:4" x14ac:dyDescent="0.2">
      <c r="A3352" t="s">
        <v>1315</v>
      </c>
      <c r="B3352" t="str">
        <f>HYPERLINK("https://lindat.mff.cuni.cz/services/teitok/pdtc10/index.php?action=vallex&amp;frame=v-w10327f2", "deponovat (v-w10327f2)")</f>
        <v>deponovat (v-w10327f2)</v>
      </c>
    </row>
    <row r="3353" spans="1:4" x14ac:dyDescent="0.2">
      <c r="B3353" t="s">
        <v>1</v>
      </c>
    </row>
    <row r="3354" spans="1:4" x14ac:dyDescent="0.2">
      <c r="B3354" t="s">
        <v>8</v>
      </c>
    </row>
    <row r="3355" spans="1:4" x14ac:dyDescent="0.2">
      <c r="B3355" t="s">
        <v>90</v>
      </c>
    </row>
    <row r="3357" spans="1:4" x14ac:dyDescent="0.2">
      <c r="A3357" t="s">
        <v>1316</v>
      </c>
      <c r="B3357" t="str">
        <f>HYPERLINK("https://lindat.mff.cuni.cz/services/teitok/pdtc10/index.php?action=vallex&amp;frame=v-w440f1", "deportovat (v-w440f1)")</f>
        <v>deportovat (v-w440f1)</v>
      </c>
    </row>
    <row r="3358" spans="1:4" x14ac:dyDescent="0.2">
      <c r="B3358" t="s">
        <v>1</v>
      </c>
      <c r="C3358" t="s">
        <v>140</v>
      </c>
      <c r="D3358" t="s">
        <v>6131</v>
      </c>
    </row>
    <row r="3359" spans="1:4" x14ac:dyDescent="0.2">
      <c r="B3359" t="s">
        <v>8</v>
      </c>
      <c r="C3359" t="s">
        <v>113</v>
      </c>
      <c r="D3359" t="s">
        <v>18247</v>
      </c>
    </row>
    <row r="3360" spans="1:4" x14ac:dyDescent="0.2">
      <c r="B3360" t="s">
        <v>333</v>
      </c>
      <c r="D3360" t="s">
        <v>23090</v>
      </c>
    </row>
    <row r="3362" spans="1:4" x14ac:dyDescent="0.2">
      <c r="A3362" t="s">
        <v>1317</v>
      </c>
      <c r="B3362" t="str">
        <f>HYPERLINK("https://lindat.mff.cuni.cz/services/teitok/pdtc10/index.php?action=vallex&amp;frame=v-w442f1", "deprimovat (v-w442f1)")</f>
        <v>deprimovat (v-w442f1)</v>
      </c>
    </row>
    <row r="3363" spans="1:4" x14ac:dyDescent="0.2">
      <c r="B3363" t="s">
        <v>1</v>
      </c>
      <c r="C3363" t="s">
        <v>334</v>
      </c>
      <c r="D3363" t="s">
        <v>337</v>
      </c>
    </row>
    <row r="3364" spans="1:4" x14ac:dyDescent="0.2">
      <c r="B3364" t="s">
        <v>8</v>
      </c>
      <c r="C3364" t="s">
        <v>354</v>
      </c>
      <c r="D3364" t="s">
        <v>3433</v>
      </c>
    </row>
    <row r="3366" spans="1:4" x14ac:dyDescent="0.2">
      <c r="A3366" t="s">
        <v>1318</v>
      </c>
      <c r="B3366" t="str">
        <f>HYPERLINK("https://lindat.mff.cuni.cz/services/teitok/pdtc10/index.php?action=vallex&amp;frame=v-w11122f2", "deptat (v-w11122f2)")</f>
        <v>deptat (v-w11122f2)</v>
      </c>
    </row>
    <row r="3367" spans="1:4" x14ac:dyDescent="0.2">
      <c r="B3367" t="s">
        <v>1</v>
      </c>
      <c r="C3367" t="s">
        <v>33</v>
      </c>
      <c r="D3367" t="s">
        <v>337</v>
      </c>
    </row>
    <row r="3368" spans="1:4" x14ac:dyDescent="0.2">
      <c r="B3368" t="s">
        <v>8</v>
      </c>
      <c r="C3368" t="s">
        <v>34</v>
      </c>
      <c r="D3368" t="s">
        <v>3433</v>
      </c>
    </row>
    <row r="3370" spans="1:4" x14ac:dyDescent="0.2">
      <c r="A3370" t="s">
        <v>1319</v>
      </c>
      <c r="B3370" t="str">
        <f>HYPERLINK("https://lindat.mff.cuni.cz/services/teitok/pdtc10/index.php?action=vallex&amp;frame=v-whsb_1184hsa_1185", "desinfikovat (v-whsb_1184hsa_1185)")</f>
        <v>desinfikovat (v-whsb_1184hsa_1185)</v>
      </c>
    </row>
    <row r="3371" spans="1:4" x14ac:dyDescent="0.2">
      <c r="B3371" t="s">
        <v>1</v>
      </c>
    </row>
    <row r="3372" spans="1:4" x14ac:dyDescent="0.2">
      <c r="B3372" t="s">
        <v>8</v>
      </c>
    </row>
    <row r="3373" spans="1:4" x14ac:dyDescent="0.2">
      <c r="B3373" t="s">
        <v>321</v>
      </c>
    </row>
    <row r="3375" spans="1:4" x14ac:dyDescent="0.2">
      <c r="A3375" t="s">
        <v>1320</v>
      </c>
      <c r="B3375" t="str">
        <f>HYPERLINK("https://lindat.mff.cuni.cz/services/teitok/pdtc10/index.php?action=vallex&amp;frame=v-w10248f2", "destabilizovat (v-w10248f2)")</f>
        <v>destabilizovat (v-w10248f2)</v>
      </c>
    </row>
    <row r="3376" spans="1:4" x14ac:dyDescent="0.2">
      <c r="B3376" t="s">
        <v>1</v>
      </c>
      <c r="C3376" t="s">
        <v>33</v>
      </c>
      <c r="D3376" t="s">
        <v>33</v>
      </c>
    </row>
    <row r="3377" spans="1:4" x14ac:dyDescent="0.2">
      <c r="B3377" t="s">
        <v>8</v>
      </c>
      <c r="C3377" t="s">
        <v>991</v>
      </c>
      <c r="D3377" t="s">
        <v>991</v>
      </c>
    </row>
    <row r="3379" spans="1:4" x14ac:dyDescent="0.2">
      <c r="A3379" t="s">
        <v>1321</v>
      </c>
      <c r="B3379" t="str">
        <f>HYPERLINK("https://lindat.mff.cuni.cz/services/teitok/pdtc10/index.php?action=vallex&amp;frame=v-w10476f2", "detekovat (v-w10476f2)")</f>
        <v>detekovat (v-w10476f2)</v>
      </c>
    </row>
    <row r="3380" spans="1:4" x14ac:dyDescent="0.2">
      <c r="B3380" t="s">
        <v>1</v>
      </c>
    </row>
    <row r="3381" spans="1:4" x14ac:dyDescent="0.2">
      <c r="B3381" t="s">
        <v>8</v>
      </c>
    </row>
    <row r="3383" spans="1:4" x14ac:dyDescent="0.2">
      <c r="A3383" t="s">
        <v>1322</v>
      </c>
      <c r="B3383" t="str">
        <f>HYPERLINK("https://lindat.mff.cuni.cz/services/teitok/pdtc10/index.php?action=vallex&amp;frame=v-w452f1", "determinovat (v-w452f1)")</f>
        <v>determinovat (v-w452f1)</v>
      </c>
    </row>
    <row r="3384" spans="1:4" x14ac:dyDescent="0.2">
      <c r="B3384" t="s">
        <v>1</v>
      </c>
    </row>
    <row r="3385" spans="1:4" x14ac:dyDescent="0.2">
      <c r="B3385" t="s">
        <v>172</v>
      </c>
    </row>
    <row r="3387" spans="1:4" x14ac:dyDescent="0.2">
      <c r="A3387" t="s">
        <v>1323</v>
      </c>
      <c r="B3387" t="str">
        <f>HYPERLINK("https://lindat.mff.cuni.cz/services/teitok/pdtc10/index.php?action=vallex&amp;frame=v-w454f1", "devalvovat (v-w454f1)")</f>
        <v>devalvovat (v-w454f1)</v>
      </c>
    </row>
    <row r="3388" spans="1:4" x14ac:dyDescent="0.2">
      <c r="B3388" t="s">
        <v>1</v>
      </c>
      <c r="C3388" t="s">
        <v>140</v>
      </c>
      <c r="D3388" t="s">
        <v>249</v>
      </c>
    </row>
    <row r="3389" spans="1:4" x14ac:dyDescent="0.2">
      <c r="B3389" t="s">
        <v>8</v>
      </c>
      <c r="C3389" t="s">
        <v>991</v>
      </c>
      <c r="D3389" t="s">
        <v>23</v>
      </c>
    </row>
    <row r="3391" spans="1:4" x14ac:dyDescent="0.2">
      <c r="A3391" t="s">
        <v>1324</v>
      </c>
      <c r="B3391" t="str">
        <f>HYPERLINK("https://lindat.mff.cuni.cz/services/teitok/pdtc10/index.php?action=vallex&amp;frame=v-w454f2", "devalvovat (v-w454f2)")</f>
        <v>devalvovat (v-w454f2)</v>
      </c>
    </row>
    <row r="3392" spans="1:4" x14ac:dyDescent="0.2">
      <c r="B3392" t="s">
        <v>1</v>
      </c>
    </row>
    <row r="3394" spans="1:4" x14ac:dyDescent="0.2">
      <c r="A3394" t="s">
        <v>1325</v>
      </c>
      <c r="B3394" t="str">
        <f>HYPERLINK("https://lindat.mff.cuni.cz/services/teitok/pdtc10/index.php?action=vallex&amp;frame=v-w456f1", "devastovat (v-w456f1)")</f>
        <v>devastovat (v-w456f1)</v>
      </c>
    </row>
    <row r="3395" spans="1:4" x14ac:dyDescent="0.2">
      <c r="B3395" t="s">
        <v>1</v>
      </c>
      <c r="C3395" t="s">
        <v>1326</v>
      </c>
      <c r="D3395" t="s">
        <v>23088</v>
      </c>
    </row>
    <row r="3396" spans="1:4" x14ac:dyDescent="0.2">
      <c r="B3396" t="s">
        <v>172</v>
      </c>
      <c r="C3396" t="s">
        <v>1128</v>
      </c>
      <c r="D3396" t="s">
        <v>986</v>
      </c>
    </row>
    <row r="3398" spans="1:4" x14ac:dyDescent="0.2">
      <c r="A3398" t="s">
        <v>1327</v>
      </c>
      <c r="B3398" t="str">
        <f>HYPERLINK("https://lindat.mff.cuni.cz/services/teitok/pdtc10/index.php?action=vallex&amp;frame=v-w10087f2", "dezertovat (v-w10087f2)")</f>
        <v>dezertovat (v-w10087f2)</v>
      </c>
    </row>
    <row r="3399" spans="1:4" x14ac:dyDescent="0.2">
      <c r="B3399" t="s">
        <v>1</v>
      </c>
      <c r="C3399" t="s">
        <v>140</v>
      </c>
      <c r="D3399" t="s">
        <v>23091</v>
      </c>
    </row>
    <row r="3400" spans="1:4" x14ac:dyDescent="0.2">
      <c r="B3400" t="s">
        <v>333</v>
      </c>
      <c r="D3400" t="s">
        <v>7666</v>
      </c>
    </row>
    <row r="3402" spans="1:4" x14ac:dyDescent="0.2">
      <c r="A3402" t="s">
        <v>1328</v>
      </c>
      <c r="B3402" t="str">
        <f>HYPERLINK("https://lindat.mff.cuni.cz/services/teitok/pdtc10/index.php?action=vallex&amp;frame=v-whsa_1189hsa_1190", "dezinterpretovat (v-whsa_1189hsa_1190)")</f>
        <v>dezinterpretovat (v-whsa_1189hsa_1190)</v>
      </c>
    </row>
    <row r="3403" spans="1:4" x14ac:dyDescent="0.2">
      <c r="B3403" t="s">
        <v>1</v>
      </c>
      <c r="C3403" t="s">
        <v>83</v>
      </c>
    </row>
    <row r="3404" spans="1:4" x14ac:dyDescent="0.2">
      <c r="B3404" t="s">
        <v>8</v>
      </c>
      <c r="C3404" t="s">
        <v>84</v>
      </c>
    </row>
    <row r="3406" spans="1:4" x14ac:dyDescent="0.2">
      <c r="A3406" t="s">
        <v>1329</v>
      </c>
      <c r="B3406" t="str">
        <f>HYPERLINK("https://lindat.mff.cuni.cz/services/teitok/pdtc10/index.php?action=vallex&amp;frame=v-w11912_ZUf1_ZU", "dešifrovat (v-w11912_ZUf1_ZU)")</f>
        <v>dešifrovat (v-w11912_ZUf1_ZU)</v>
      </c>
    </row>
    <row r="3407" spans="1:4" x14ac:dyDescent="0.2">
      <c r="B3407" t="s">
        <v>1</v>
      </c>
    </row>
    <row r="3408" spans="1:4" x14ac:dyDescent="0.2">
      <c r="B3408" t="s">
        <v>8</v>
      </c>
    </row>
    <row r="3410" spans="1:4" x14ac:dyDescent="0.2">
      <c r="A3410" t="s">
        <v>1330</v>
      </c>
      <c r="B3410" t="str">
        <f>HYPERLINK("https://lindat.mff.cuni.cz/services/teitok/pdtc10/index.php?action=vallex&amp;frame=v-w10508f2", "diagnostikovat (v-w10508f2)")</f>
        <v>diagnostikovat (v-w10508f2)</v>
      </c>
    </row>
    <row r="3411" spans="1:4" x14ac:dyDescent="0.2">
      <c r="B3411" t="s">
        <v>1</v>
      </c>
      <c r="C3411" t="s">
        <v>140</v>
      </c>
      <c r="D3411" t="s">
        <v>23092</v>
      </c>
    </row>
    <row r="3412" spans="1:4" x14ac:dyDescent="0.2">
      <c r="B3412" t="s">
        <v>8</v>
      </c>
      <c r="C3412" t="s">
        <v>1331</v>
      </c>
      <c r="D3412" t="s">
        <v>23093</v>
      </c>
    </row>
    <row r="3414" spans="1:4" x14ac:dyDescent="0.2">
      <c r="A3414" t="s">
        <v>1332</v>
      </c>
      <c r="B3414" t="str">
        <f>HYPERLINK("https://lindat.mff.cuni.cz/services/teitok/pdtc10/index.php?action=vallex&amp;frame=v-w461f1", "diferencovat (v-w461f1)")</f>
        <v>diferencovat (v-w461f1)</v>
      </c>
    </row>
    <row r="3415" spans="1:4" x14ac:dyDescent="0.2">
      <c r="B3415" t="s">
        <v>1</v>
      </c>
    </row>
    <row r="3416" spans="1:4" x14ac:dyDescent="0.2">
      <c r="B3416" t="s">
        <v>1333</v>
      </c>
    </row>
    <row r="3417" spans="1:4" x14ac:dyDescent="0.2">
      <c r="B3417" t="s">
        <v>1334</v>
      </c>
    </row>
    <row r="3419" spans="1:4" x14ac:dyDescent="0.2">
      <c r="A3419" t="s">
        <v>1335</v>
      </c>
      <c r="B3419" t="str">
        <f>HYPERLINK("https://lindat.mff.cuni.cz/services/teitok/pdtc10/index.php?action=vallex&amp;frame=v-w462f3", "diferencovat se (v-w462f3)")</f>
        <v>diferencovat se (v-w462f3)</v>
      </c>
    </row>
    <row r="3420" spans="1:4" x14ac:dyDescent="0.2">
      <c r="B3420" t="s">
        <v>1</v>
      </c>
    </row>
    <row r="3421" spans="1:4" x14ac:dyDescent="0.2">
      <c r="B3421" t="s">
        <v>19</v>
      </c>
    </row>
    <row r="3423" spans="1:4" x14ac:dyDescent="0.2">
      <c r="A3423" t="s">
        <v>1336</v>
      </c>
      <c r="B3423" t="str">
        <f>HYPERLINK("https://lindat.mff.cuni.cz/services/teitok/pdtc10/index.php?action=vallex&amp;frame=v-w462f2", "diferencovat se (v-w462f2)")</f>
        <v>diferencovat se (v-w462f2)</v>
      </c>
    </row>
    <row r="3424" spans="1:4" x14ac:dyDescent="0.2">
      <c r="B3424" t="s">
        <v>1</v>
      </c>
      <c r="D3424" t="s">
        <v>23094</v>
      </c>
    </row>
    <row r="3425" spans="1:4" x14ac:dyDescent="0.2">
      <c r="B3425" t="s">
        <v>19</v>
      </c>
      <c r="D3425" t="s">
        <v>23095</v>
      </c>
    </row>
    <row r="3427" spans="1:4" x14ac:dyDescent="0.2">
      <c r="A3427" t="s">
        <v>1337</v>
      </c>
      <c r="B3427" t="str">
        <f>HYPERLINK("https://lindat.mff.cuni.cz/services/teitok/pdtc10/index.php?action=vallex&amp;frame=v-w462f1", "diferencovat se (v-w462f1)")</f>
        <v>diferencovat se (v-w462f1)</v>
      </c>
    </row>
    <row r="3428" spans="1:4" x14ac:dyDescent="0.2">
      <c r="B3428" t="s">
        <v>1</v>
      </c>
    </row>
    <row r="3430" spans="1:4" x14ac:dyDescent="0.2">
      <c r="A3430" t="s">
        <v>1338</v>
      </c>
      <c r="B3430" t="str">
        <f>HYPERLINK("https://lindat.mff.cuni.cz/services/teitok/pdtc10/index.php?action=vallex&amp;frame=v-w466f1", "diktovat (v-w466f1)")</f>
        <v>diktovat (v-w466f1)</v>
      </c>
    </row>
    <row r="3431" spans="1:4" x14ac:dyDescent="0.2">
      <c r="B3431" t="s">
        <v>1</v>
      </c>
      <c r="C3431" t="s">
        <v>334</v>
      </c>
      <c r="D3431" t="s">
        <v>1992</v>
      </c>
    </row>
    <row r="3432" spans="1:4" x14ac:dyDescent="0.2">
      <c r="B3432" t="s">
        <v>1339</v>
      </c>
      <c r="C3432" t="s">
        <v>1340</v>
      </c>
      <c r="D3432" t="s">
        <v>23096</v>
      </c>
    </row>
    <row r="3433" spans="1:4" x14ac:dyDescent="0.2">
      <c r="B3433" t="s">
        <v>35</v>
      </c>
      <c r="D3433" t="s">
        <v>23097</v>
      </c>
    </row>
    <row r="3435" spans="1:4" x14ac:dyDescent="0.2">
      <c r="A3435" t="s">
        <v>1341</v>
      </c>
      <c r="B3435" t="str">
        <f>HYPERLINK("https://lindat.mff.cuni.cz/services/teitok/pdtc10/index.php?action=vallex&amp;frame=v-w466hsa_1740", "diktovat (v-w466hsa_1740)")</f>
        <v>diktovat (v-w466hsa_1740)</v>
      </c>
    </row>
    <row r="3436" spans="1:4" x14ac:dyDescent="0.2">
      <c r="B3436" t="s">
        <v>1</v>
      </c>
    </row>
    <row r="3437" spans="1:4" x14ac:dyDescent="0.2">
      <c r="B3437" t="s">
        <v>8</v>
      </c>
    </row>
    <row r="3438" spans="1:4" x14ac:dyDescent="0.2">
      <c r="B3438" t="s">
        <v>35</v>
      </c>
    </row>
    <row r="3440" spans="1:4" x14ac:dyDescent="0.2">
      <c r="A3440" t="s">
        <v>1342</v>
      </c>
      <c r="B3440" t="str">
        <f>HYPERLINK("https://lindat.mff.cuni.cz/services/teitok/pdtc10/index.php?action=vallex&amp;frame=v-w472f1", "dirigovat (v-w472f1)")</f>
        <v>dirigovat (v-w472f1)</v>
      </c>
    </row>
    <row r="3441" spans="1:4" x14ac:dyDescent="0.2">
      <c r="B3441" t="s">
        <v>1</v>
      </c>
      <c r="C3441" t="s">
        <v>1106</v>
      </c>
      <c r="D3441" t="s">
        <v>23098</v>
      </c>
    </row>
    <row r="3442" spans="1:4" x14ac:dyDescent="0.2">
      <c r="B3442" t="s">
        <v>8</v>
      </c>
      <c r="C3442" t="s">
        <v>1343</v>
      </c>
      <c r="D3442" t="s">
        <v>16830</v>
      </c>
    </row>
    <row r="3444" spans="1:4" x14ac:dyDescent="0.2">
      <c r="A3444" t="s">
        <v>1344</v>
      </c>
      <c r="B3444" t="str">
        <f>HYPERLINK("https://lindat.mff.cuni.cz/services/teitok/pdtc10/index.php?action=vallex&amp;frame=v-w472f2", "dirigovat (v-w472f2)")</f>
        <v>dirigovat (v-w472f2)</v>
      </c>
    </row>
    <row r="3445" spans="1:4" x14ac:dyDescent="0.2">
      <c r="B3445" t="s">
        <v>1</v>
      </c>
    </row>
    <row r="3446" spans="1:4" x14ac:dyDescent="0.2">
      <c r="B3446" t="s">
        <v>8</v>
      </c>
    </row>
    <row r="3448" spans="1:4" x14ac:dyDescent="0.2">
      <c r="A3448" t="s">
        <v>1345</v>
      </c>
      <c r="B3448" t="str">
        <f>HYPERLINK("https://lindat.mff.cuni.cz/services/teitok/pdtc10/index.php?action=vallex&amp;frame=v-w473f1", "diskontovat (v-w473f1)")</f>
        <v>diskontovat (v-w473f1)</v>
      </c>
    </row>
    <row r="3449" spans="1:4" x14ac:dyDescent="0.2">
      <c r="B3449" t="s">
        <v>1</v>
      </c>
    </row>
    <row r="3450" spans="1:4" x14ac:dyDescent="0.2">
      <c r="B3450" t="s">
        <v>8</v>
      </c>
    </row>
    <row r="3451" spans="1:4" x14ac:dyDescent="0.2">
      <c r="B3451" t="s">
        <v>24</v>
      </c>
    </row>
    <row r="3452" spans="1:4" x14ac:dyDescent="0.2">
      <c r="B3452" t="s">
        <v>61</v>
      </c>
    </row>
    <row r="3454" spans="1:4" x14ac:dyDescent="0.2">
      <c r="A3454" t="s">
        <v>1346</v>
      </c>
      <c r="B3454" t="str">
        <f>HYPERLINK("https://lindat.mff.cuni.cz/services/teitok/pdtc10/index.php?action=vallex&amp;frame=v-w475f1", "diskreditovat (v-w475f1)")</f>
        <v>diskreditovat (v-w475f1)</v>
      </c>
    </row>
    <row r="3455" spans="1:4" x14ac:dyDescent="0.2">
      <c r="B3455" t="s">
        <v>1</v>
      </c>
      <c r="C3455" t="s">
        <v>33</v>
      </c>
      <c r="D3455" t="s">
        <v>133</v>
      </c>
    </row>
    <row r="3456" spans="1:4" x14ac:dyDescent="0.2">
      <c r="B3456" t="s">
        <v>8</v>
      </c>
      <c r="C3456" t="s">
        <v>23</v>
      </c>
      <c r="D3456" t="s">
        <v>23099</v>
      </c>
    </row>
    <row r="3458" spans="1:4" x14ac:dyDescent="0.2">
      <c r="A3458" t="s">
        <v>1347</v>
      </c>
      <c r="B3458" t="str">
        <f>HYPERLINK("https://lindat.mff.cuni.cz/services/teitok/pdtc10/index.php?action=vallex&amp;frame=v-w477f1", "diskriminovat (v-w477f1)")</f>
        <v>diskriminovat (v-w477f1)</v>
      </c>
    </row>
    <row r="3459" spans="1:4" x14ac:dyDescent="0.2">
      <c r="B3459" t="s">
        <v>1</v>
      </c>
      <c r="C3459" t="s">
        <v>133</v>
      </c>
      <c r="D3459" t="s">
        <v>133</v>
      </c>
    </row>
    <row r="3460" spans="1:4" x14ac:dyDescent="0.2">
      <c r="B3460" t="s">
        <v>8</v>
      </c>
      <c r="C3460" t="s">
        <v>34</v>
      </c>
      <c r="D3460" t="s">
        <v>34</v>
      </c>
    </row>
    <row r="3462" spans="1:4" x14ac:dyDescent="0.2">
      <c r="A3462" t="s">
        <v>1348</v>
      </c>
      <c r="B3462" t="str">
        <f>HYPERLINK("https://lindat.mff.cuni.cz/services/teitok/pdtc10/index.php?action=vallex&amp;frame=v-w479f1", "diskutovat (v-w479f1)")</f>
        <v>diskutovat (v-w479f1)</v>
      </c>
    </row>
    <row r="3463" spans="1:4" x14ac:dyDescent="0.2">
      <c r="B3463" t="s">
        <v>1</v>
      </c>
      <c r="C3463" t="s">
        <v>1349</v>
      </c>
      <c r="D3463" t="s">
        <v>22973</v>
      </c>
    </row>
    <row r="3464" spans="1:4" x14ac:dyDescent="0.2">
      <c r="B3464" t="s">
        <v>1350</v>
      </c>
      <c r="C3464" t="s">
        <v>1351</v>
      </c>
      <c r="D3464" t="s">
        <v>22974</v>
      </c>
    </row>
    <row r="3465" spans="1:4" x14ac:dyDescent="0.2">
      <c r="B3465" t="s">
        <v>153</v>
      </c>
      <c r="C3465" t="s">
        <v>1278</v>
      </c>
      <c r="D3465" t="s">
        <v>22975</v>
      </c>
    </row>
    <row r="3467" spans="1:4" x14ac:dyDescent="0.2">
      <c r="A3467" t="s">
        <v>1352</v>
      </c>
      <c r="B3467" t="str">
        <f>HYPERLINK("https://lindat.mff.cuni.cz/services/teitok/pdtc10/index.php?action=vallex&amp;frame=v-w481f1", "diskvalifikovat (v-w481f1)")</f>
        <v>diskvalifikovat (v-w481f1)</v>
      </c>
    </row>
    <row r="3468" spans="1:4" x14ac:dyDescent="0.2">
      <c r="B3468" t="s">
        <v>1</v>
      </c>
      <c r="C3468" t="s">
        <v>140</v>
      </c>
      <c r="D3468" t="s">
        <v>6131</v>
      </c>
    </row>
    <row r="3469" spans="1:4" x14ac:dyDescent="0.2">
      <c r="B3469" t="s">
        <v>8</v>
      </c>
      <c r="C3469" t="s">
        <v>34</v>
      </c>
      <c r="D3469" t="s">
        <v>18247</v>
      </c>
    </row>
    <row r="3470" spans="1:4" x14ac:dyDescent="0.2">
      <c r="B3470" t="s">
        <v>333</v>
      </c>
      <c r="D3470" t="s">
        <v>23090</v>
      </c>
    </row>
    <row r="3472" spans="1:4" x14ac:dyDescent="0.2">
      <c r="A3472" t="s">
        <v>1353</v>
      </c>
      <c r="B3472" t="str">
        <f>HYPERLINK("https://lindat.mff.cuni.cz/services/teitok/pdtc10/index.php?action=vallex&amp;frame=v-w482f1", "dislokovat (v-w482f1)")</f>
        <v>dislokovat (v-w482f1)</v>
      </c>
    </row>
    <row r="3473" spans="1:4" x14ac:dyDescent="0.2">
      <c r="B3473" t="s">
        <v>1</v>
      </c>
    </row>
    <row r="3474" spans="1:4" x14ac:dyDescent="0.2">
      <c r="B3474" t="s">
        <v>8</v>
      </c>
    </row>
    <row r="3475" spans="1:4" x14ac:dyDescent="0.2">
      <c r="B3475" t="s">
        <v>5</v>
      </c>
    </row>
    <row r="3477" spans="1:4" x14ac:dyDescent="0.2">
      <c r="A3477" t="s">
        <v>1354</v>
      </c>
      <c r="B3477" t="str">
        <f>HYPERLINK("https://lindat.mff.cuni.cz/services/teitok/pdtc10/index.php?action=vallex&amp;frame=v-w482f2", "dislokovat (v-w482f2)")</f>
        <v>dislokovat (v-w482f2)</v>
      </c>
    </row>
    <row r="3478" spans="1:4" x14ac:dyDescent="0.2">
      <c r="B3478" t="s">
        <v>1</v>
      </c>
    </row>
    <row r="3479" spans="1:4" x14ac:dyDescent="0.2">
      <c r="B3479" t="s">
        <v>8</v>
      </c>
    </row>
    <row r="3480" spans="1:4" x14ac:dyDescent="0.2">
      <c r="B3480" t="s">
        <v>90</v>
      </c>
    </row>
    <row r="3482" spans="1:4" x14ac:dyDescent="0.2">
      <c r="A3482" t="s">
        <v>1355</v>
      </c>
      <c r="B3482" t="str">
        <f>HYPERLINK("https://lindat.mff.cuni.cz/services/teitok/pdtc10/index.php?action=vallex&amp;frame=v-whsa_628hsa_629", "disociovat (v-whsa_628hsa_629)")</f>
        <v>disociovat (v-whsa_628hsa_629)</v>
      </c>
    </row>
    <row r="3483" spans="1:4" x14ac:dyDescent="0.2">
      <c r="B3483" t="s">
        <v>1</v>
      </c>
      <c r="D3483" t="s">
        <v>23100</v>
      </c>
    </row>
    <row r="3484" spans="1:4" x14ac:dyDescent="0.2">
      <c r="B3484" t="s">
        <v>46</v>
      </c>
      <c r="D3484" t="s">
        <v>21785</v>
      </c>
    </row>
    <row r="3486" spans="1:4" x14ac:dyDescent="0.2">
      <c r="A3486" t="s">
        <v>1356</v>
      </c>
      <c r="B3486" t="str">
        <f>HYPERLINK("https://lindat.mff.cuni.cz/services/teitok/pdtc10/index.php?action=vallex&amp;frame=v-w484f1", "disponovat (v-w484f1)")</f>
        <v>disponovat (v-w484f1)</v>
      </c>
    </row>
    <row r="3487" spans="1:4" x14ac:dyDescent="0.2">
      <c r="B3487" t="s">
        <v>1</v>
      </c>
      <c r="C3487" t="s">
        <v>1086</v>
      </c>
    </row>
    <row r="3488" spans="1:4" x14ac:dyDescent="0.2">
      <c r="B3488" t="s">
        <v>158</v>
      </c>
      <c r="C3488" t="s">
        <v>1087</v>
      </c>
    </row>
    <row r="3490" spans="1:4" x14ac:dyDescent="0.2">
      <c r="A3490" t="s">
        <v>1357</v>
      </c>
      <c r="B3490" t="str">
        <f>HYPERLINK("https://lindat.mff.cuni.cz/services/teitok/pdtc10/index.php?action=vallex&amp;frame=v-w484f3_ZU", "disponovat (v-w484f3_ZU)")</f>
        <v>disponovat (v-w484f3_ZU)</v>
      </c>
    </row>
    <row r="3491" spans="1:4" x14ac:dyDescent="0.2">
      <c r="B3491" t="s">
        <v>1</v>
      </c>
    </row>
    <row r="3492" spans="1:4" x14ac:dyDescent="0.2">
      <c r="B3492" t="s">
        <v>1358</v>
      </c>
    </row>
    <row r="3493" spans="1:4" x14ac:dyDescent="0.2">
      <c r="B3493" t="s">
        <v>346</v>
      </c>
    </row>
    <row r="3494" spans="1:4" x14ac:dyDescent="0.2">
      <c r="B3494" t="s">
        <v>349</v>
      </c>
    </row>
    <row r="3495" spans="1:4" x14ac:dyDescent="0.2">
      <c r="B3495" t="s">
        <v>350</v>
      </c>
    </row>
    <row r="3496" spans="1:4" x14ac:dyDescent="0.2">
      <c r="B3496" t="s">
        <v>351</v>
      </c>
    </row>
    <row r="3498" spans="1:4" x14ac:dyDescent="0.2">
      <c r="A3498" t="s">
        <v>1357</v>
      </c>
      <c r="B3498" t="str">
        <f>HYPERLINK("https://lindat.mff.cuni.cz/services/teitok/pdtc10/index.php?action=vallex&amp;frame=v-w484f2", "disponovat (v-w484f2) - substituted with v-w484f3_ZU")</f>
        <v>disponovat (v-w484f2) - substituted with v-w484f3_ZU</v>
      </c>
    </row>
    <row r="3499" spans="1:4" x14ac:dyDescent="0.2">
      <c r="B3499" t="s">
        <v>1</v>
      </c>
      <c r="C3499" t="s">
        <v>976</v>
      </c>
      <c r="D3499" t="s">
        <v>23101</v>
      </c>
    </row>
    <row r="3500" spans="1:4" x14ac:dyDescent="0.2">
      <c r="B3500" t="s">
        <v>1358</v>
      </c>
      <c r="C3500" t="s">
        <v>307</v>
      </c>
      <c r="D3500" t="s">
        <v>5714</v>
      </c>
    </row>
    <row r="3501" spans="1:4" x14ac:dyDescent="0.2">
      <c r="B3501" t="s">
        <v>346</v>
      </c>
    </row>
    <row r="3502" spans="1:4" x14ac:dyDescent="0.2">
      <c r="B3502" t="s">
        <v>349</v>
      </c>
    </row>
    <row r="3503" spans="1:4" x14ac:dyDescent="0.2">
      <c r="B3503" t="s">
        <v>350</v>
      </c>
    </row>
    <row r="3504" spans="1:4" x14ac:dyDescent="0.2">
      <c r="B3504" t="s">
        <v>351</v>
      </c>
    </row>
    <row r="3506" spans="1:4" x14ac:dyDescent="0.2">
      <c r="A3506" t="s">
        <v>1359</v>
      </c>
      <c r="B3506" t="str">
        <f>HYPERLINK("https://lindat.mff.cuni.cz/services/teitok/pdtc10/index.php?action=vallex&amp;frame=v-w487f1", "distancovat se (v-w487f1)")</f>
        <v>distancovat se (v-w487f1)</v>
      </c>
    </row>
    <row r="3507" spans="1:4" x14ac:dyDescent="0.2">
      <c r="B3507" t="s">
        <v>1</v>
      </c>
      <c r="C3507" t="s">
        <v>140</v>
      </c>
      <c r="D3507" t="s">
        <v>20743</v>
      </c>
    </row>
    <row r="3508" spans="1:4" x14ac:dyDescent="0.2">
      <c r="B3508" t="s">
        <v>19</v>
      </c>
      <c r="C3508" t="s">
        <v>1360</v>
      </c>
      <c r="D3508" t="s">
        <v>1360</v>
      </c>
    </row>
    <row r="3510" spans="1:4" x14ac:dyDescent="0.2">
      <c r="A3510" t="s">
        <v>1361</v>
      </c>
      <c r="B3510" t="str">
        <f>HYPERLINK("https://lindat.mff.cuni.cz/services/teitok/pdtc10/index.php?action=vallex&amp;frame=v-w489f1", "distribuovat (v-w489f1)")</f>
        <v>distribuovat (v-w489f1)</v>
      </c>
    </row>
    <row r="3511" spans="1:4" x14ac:dyDescent="0.2">
      <c r="B3511" t="s">
        <v>1</v>
      </c>
      <c r="C3511" t="s">
        <v>306</v>
      </c>
      <c r="D3511" t="s">
        <v>8003</v>
      </c>
    </row>
    <row r="3512" spans="1:4" x14ac:dyDescent="0.2">
      <c r="B3512" t="s">
        <v>8</v>
      </c>
      <c r="C3512" t="s">
        <v>1362</v>
      </c>
      <c r="D3512" t="s">
        <v>23102</v>
      </c>
    </row>
    <row r="3513" spans="1:4" x14ac:dyDescent="0.2">
      <c r="B3513" t="s">
        <v>1363</v>
      </c>
      <c r="C3513" t="s">
        <v>1364</v>
      </c>
      <c r="D3513" t="s">
        <v>23103</v>
      </c>
    </row>
    <row r="3515" spans="1:4" x14ac:dyDescent="0.2">
      <c r="A3515" t="s">
        <v>1365</v>
      </c>
      <c r="B3515" t="str">
        <f>HYPERLINK("https://lindat.mff.cuni.cz/services/teitok/pdtc10/index.php?action=vallex&amp;frame=v-w489f2", "distribuovat (v-w489f2)")</f>
        <v>distribuovat (v-w489f2)</v>
      </c>
    </row>
    <row r="3516" spans="1:4" x14ac:dyDescent="0.2">
      <c r="B3516" t="s">
        <v>1</v>
      </c>
      <c r="C3516" t="s">
        <v>1366</v>
      </c>
      <c r="D3516" t="s">
        <v>8003</v>
      </c>
    </row>
    <row r="3517" spans="1:4" x14ac:dyDescent="0.2">
      <c r="B3517" t="s">
        <v>8</v>
      </c>
      <c r="C3517" t="s">
        <v>1367</v>
      </c>
      <c r="D3517" t="s">
        <v>23102</v>
      </c>
    </row>
    <row r="3519" spans="1:4" x14ac:dyDescent="0.2">
      <c r="A3519" t="s">
        <v>1368</v>
      </c>
      <c r="B3519" t="str">
        <f>HYPERLINK("https://lindat.mff.cuni.cz/services/teitok/pdtc10/index.php?action=vallex&amp;frame=v-w496f1", "diverzifikovat (v-w496f1)")</f>
        <v>diverzifikovat (v-w496f1)</v>
      </c>
    </row>
    <row r="3520" spans="1:4" x14ac:dyDescent="0.2">
      <c r="B3520" t="s">
        <v>1</v>
      </c>
    </row>
    <row r="3521" spans="1:3" x14ac:dyDescent="0.2">
      <c r="B3521" t="s">
        <v>8</v>
      </c>
      <c r="C3521" t="s">
        <v>1369</v>
      </c>
    </row>
    <row r="3523" spans="1:3" x14ac:dyDescent="0.2">
      <c r="A3523" t="s">
        <v>1370</v>
      </c>
      <c r="B3523" t="str">
        <f>HYPERLINK("https://lindat.mff.cuni.cz/services/teitok/pdtc10/index.php?action=vallex&amp;frame=v-w497f2_ZU", "divit se (v-w497f2_ZU)")</f>
        <v>divit se (v-w497f2_ZU)</v>
      </c>
    </row>
    <row r="3524" spans="1:3" x14ac:dyDescent="0.2">
      <c r="B3524" t="s">
        <v>1</v>
      </c>
    </row>
    <row r="3525" spans="1:3" x14ac:dyDescent="0.2">
      <c r="B3525" t="s">
        <v>1371</v>
      </c>
    </row>
    <row r="3527" spans="1:3" x14ac:dyDescent="0.2">
      <c r="A3527" t="s">
        <v>1370</v>
      </c>
      <c r="B3527" t="str">
        <f>HYPERLINK("https://lindat.mff.cuni.cz/services/teitok/pdtc10/index.php?action=vallex&amp;frame=v-w497f1", "divit se (v-w497f1) - substituted with v-w497f2_ZU")</f>
        <v>divit se (v-w497f1) - substituted with v-w497f2_ZU</v>
      </c>
    </row>
    <row r="3528" spans="1:3" x14ac:dyDescent="0.2">
      <c r="B3528" t="s">
        <v>1</v>
      </c>
      <c r="C3528" t="s">
        <v>1372</v>
      </c>
    </row>
    <row r="3529" spans="1:3" x14ac:dyDescent="0.2">
      <c r="B3529" t="s">
        <v>1371</v>
      </c>
      <c r="C3529" t="s">
        <v>384</v>
      </c>
    </row>
    <row r="3531" spans="1:3" x14ac:dyDescent="0.2">
      <c r="A3531" t="s">
        <v>1370</v>
      </c>
      <c r="B3531" t="str">
        <f>HYPERLINK("https://lindat.mff.cuni.cz/services/teitok/pdtc10/index.php?action=vallex&amp;frame=v-w497hsa_622", "divit se (v-w497hsa_622) - substituted with v-w497f2_ZU")</f>
        <v>divit se (v-w497hsa_622) - substituted with v-w497f2_ZU</v>
      </c>
    </row>
    <row r="3532" spans="1:3" x14ac:dyDescent="0.2">
      <c r="B3532" t="s">
        <v>1</v>
      </c>
    </row>
    <row r="3533" spans="1:3" x14ac:dyDescent="0.2">
      <c r="B3533" t="s">
        <v>1371</v>
      </c>
    </row>
    <row r="3535" spans="1:3" x14ac:dyDescent="0.2">
      <c r="A3535" t="s">
        <v>1373</v>
      </c>
      <c r="B3535" t="str">
        <f>HYPERLINK("https://lindat.mff.cuni.cz/services/teitok/pdtc10/index.php?action=vallex&amp;frame=v-w12200_ZUf1_ZU", "divočet (v-w12200_ZUf1_ZU)")</f>
        <v>divočet (v-w12200_ZUf1_ZU)</v>
      </c>
    </row>
    <row r="3536" spans="1:3" x14ac:dyDescent="0.2">
      <c r="B3536" t="s">
        <v>1</v>
      </c>
    </row>
    <row r="3538" spans="1:4" x14ac:dyDescent="0.2">
      <c r="A3538" t="s">
        <v>1374</v>
      </c>
      <c r="B3538" t="str">
        <f>HYPERLINK("https://lindat.mff.cuni.cz/services/teitok/pdtc10/index.php?action=vallex&amp;frame=v-w12200_ZUf2_ZU", "divočet (v-w12200_ZUf2_ZU)")</f>
        <v>divočet (v-w12200_ZUf2_ZU)</v>
      </c>
    </row>
    <row r="3539" spans="1:4" x14ac:dyDescent="0.2">
      <c r="B3539" t="s">
        <v>1</v>
      </c>
    </row>
    <row r="3541" spans="1:4" x14ac:dyDescent="0.2">
      <c r="A3541" t="s">
        <v>1375</v>
      </c>
      <c r="B3541" t="str">
        <f>HYPERLINK("https://lindat.mff.cuni.cz/services/teitok/pdtc10/index.php?action=vallex&amp;frame=v-w500f1", "dloubat (v-w500f1)")</f>
        <v>dloubat (v-w500f1)</v>
      </c>
    </row>
    <row r="3542" spans="1:4" x14ac:dyDescent="0.2">
      <c r="B3542" t="s">
        <v>1</v>
      </c>
    </row>
    <row r="3543" spans="1:4" x14ac:dyDescent="0.2">
      <c r="B3543" t="s">
        <v>8</v>
      </c>
    </row>
    <row r="3545" spans="1:4" x14ac:dyDescent="0.2">
      <c r="A3545" t="s">
        <v>1376</v>
      </c>
      <c r="B3545" t="str">
        <f>HYPERLINK("https://lindat.mff.cuni.cz/services/teitok/pdtc10/index.php?action=vallex&amp;frame=v-w502f2", "dlužit (v-w502f2)")</f>
        <v>dlužit (v-w502f2)</v>
      </c>
    </row>
    <row r="3546" spans="1:4" x14ac:dyDescent="0.2">
      <c r="B3546" t="s">
        <v>1</v>
      </c>
      <c r="C3546" t="s">
        <v>1377</v>
      </c>
      <c r="D3546" t="s">
        <v>337</v>
      </c>
    </row>
    <row r="3547" spans="1:4" x14ac:dyDescent="0.2">
      <c r="B3547" t="s">
        <v>8</v>
      </c>
      <c r="C3547" t="s">
        <v>1378</v>
      </c>
      <c r="D3547" t="s">
        <v>1384</v>
      </c>
    </row>
    <row r="3548" spans="1:4" x14ac:dyDescent="0.2">
      <c r="B3548" t="s">
        <v>78</v>
      </c>
      <c r="C3548" t="s">
        <v>1379</v>
      </c>
      <c r="D3548" t="s">
        <v>1379</v>
      </c>
    </row>
    <row r="3549" spans="1:4" x14ac:dyDescent="0.2">
      <c r="B3549" t="s">
        <v>413</v>
      </c>
    </row>
    <row r="3551" spans="1:4" x14ac:dyDescent="0.2">
      <c r="A3551" t="s">
        <v>1380</v>
      </c>
      <c r="B3551" t="str">
        <f>HYPERLINK("https://lindat.mff.cuni.cz/services/teitok/pdtc10/index.php?action=vallex&amp;frame=v-w502f1", "dlužit (v-w502f1)")</f>
        <v>dlužit (v-w502f1)</v>
      </c>
    </row>
    <row r="3552" spans="1:4" x14ac:dyDescent="0.2">
      <c r="B3552" t="s">
        <v>1</v>
      </c>
      <c r="C3552" t="s">
        <v>337</v>
      </c>
      <c r="D3552" t="s">
        <v>337</v>
      </c>
    </row>
    <row r="3553" spans="1:4" x14ac:dyDescent="0.2">
      <c r="B3553" t="s">
        <v>524</v>
      </c>
      <c r="C3553" t="s">
        <v>1381</v>
      </c>
      <c r="D3553" t="s">
        <v>1381</v>
      </c>
    </row>
    <row r="3554" spans="1:4" x14ac:dyDescent="0.2">
      <c r="B3554" t="s">
        <v>1382</v>
      </c>
    </row>
    <row r="3555" spans="1:4" x14ac:dyDescent="0.2">
      <c r="B3555" t="s">
        <v>78</v>
      </c>
      <c r="C3555" t="s">
        <v>1379</v>
      </c>
      <c r="D3555" t="s">
        <v>1379</v>
      </c>
    </row>
    <row r="3557" spans="1:4" x14ac:dyDescent="0.2">
      <c r="A3557" t="s">
        <v>1383</v>
      </c>
      <c r="B3557" t="str">
        <f>HYPERLINK("https://lindat.mff.cuni.cz/services/teitok/pdtc10/index.php?action=vallex&amp;frame=v-w502hsa_1237", "dlužit (v-w502hsa_1237)")</f>
        <v>dlužit (v-w502hsa_1237)</v>
      </c>
    </row>
    <row r="3558" spans="1:4" x14ac:dyDescent="0.2">
      <c r="B3558" t="s">
        <v>1</v>
      </c>
      <c r="C3558" t="s">
        <v>337</v>
      </c>
    </row>
    <row r="3559" spans="1:4" x14ac:dyDescent="0.2">
      <c r="B3559" t="s">
        <v>8</v>
      </c>
      <c r="C3559" t="s">
        <v>1384</v>
      </c>
    </row>
    <row r="3560" spans="1:4" x14ac:dyDescent="0.2">
      <c r="B3560" t="s">
        <v>78</v>
      </c>
      <c r="C3560" t="s">
        <v>1379</v>
      </c>
    </row>
    <row r="3561" spans="1:4" x14ac:dyDescent="0.2">
      <c r="B3561" t="s">
        <v>413</v>
      </c>
      <c r="C3561" t="s">
        <v>1385</v>
      </c>
    </row>
    <row r="3563" spans="1:4" x14ac:dyDescent="0.2">
      <c r="A3563" t="s">
        <v>1386</v>
      </c>
      <c r="B3563" t="str">
        <f>HYPERLINK("https://lindat.mff.cuni.cz/services/teitok/pdtc10/index.php?action=vallex&amp;frame=v-w498f1", "dláždit (v-w498f1)")</f>
        <v>dláždit (v-w498f1)</v>
      </c>
    </row>
    <row r="3564" spans="1:4" x14ac:dyDescent="0.2">
      <c r="B3564" t="s">
        <v>1</v>
      </c>
    </row>
    <row r="3565" spans="1:4" x14ac:dyDescent="0.2">
      <c r="B3565" t="s">
        <v>8</v>
      </c>
    </row>
    <row r="3566" spans="1:4" x14ac:dyDescent="0.2">
      <c r="B3566" t="s">
        <v>24</v>
      </c>
    </row>
    <row r="3568" spans="1:4" x14ac:dyDescent="0.2">
      <c r="A3568" t="s">
        <v>1387</v>
      </c>
      <c r="B3568" t="str">
        <f>HYPERLINK("https://lindat.mff.cuni.cz/services/teitok/pdtc10/index.php?action=vallex&amp;frame=v-w498f2", "dláždit (v-w498f2)")</f>
        <v>dláždit (v-w498f2)</v>
      </c>
    </row>
    <row r="3569" spans="1:4" x14ac:dyDescent="0.2">
      <c r="B3569" t="s">
        <v>1</v>
      </c>
      <c r="C3569" t="s">
        <v>33</v>
      </c>
      <c r="D3569" t="s">
        <v>2239</v>
      </c>
    </row>
    <row r="3570" spans="1:4" x14ac:dyDescent="0.2">
      <c r="B3570" t="s">
        <v>1388</v>
      </c>
      <c r="C3570" t="s">
        <v>283</v>
      </c>
      <c r="D3570" t="s">
        <v>23104</v>
      </c>
    </row>
    <row r="3571" spans="1:4" x14ac:dyDescent="0.2">
      <c r="B3571" t="s">
        <v>86</v>
      </c>
      <c r="D3571" t="s">
        <v>1331</v>
      </c>
    </row>
    <row r="3573" spans="1:4" x14ac:dyDescent="0.2">
      <c r="A3573" t="s">
        <v>1389</v>
      </c>
      <c r="B3573" t="str">
        <f>HYPERLINK("https://lindat.mff.cuni.cz/services/teitok/pdtc10/index.php?action=vallex&amp;frame=v-w499f1", "dlít (v-w499f1)")</f>
        <v>dlít (v-w499f1)</v>
      </c>
    </row>
    <row r="3574" spans="1:4" x14ac:dyDescent="0.2">
      <c r="B3574" t="s">
        <v>1</v>
      </c>
    </row>
    <row r="3575" spans="1:4" x14ac:dyDescent="0.2">
      <c r="B3575" t="s">
        <v>5</v>
      </c>
    </row>
    <row r="3577" spans="1:4" x14ac:dyDescent="0.2">
      <c r="A3577" t="s">
        <v>1390</v>
      </c>
      <c r="B3577" t="str">
        <f>HYPERLINK("https://lindat.mff.cuni.cz/services/teitok/pdtc10/index.php?action=vallex&amp;frame=v-whsa_229hsa_230", "dmout se (v-whsa_229hsa_230)")</f>
        <v>dmout se (v-whsa_229hsa_230)</v>
      </c>
    </row>
    <row r="3578" spans="1:4" x14ac:dyDescent="0.2">
      <c r="B3578" t="s">
        <v>1</v>
      </c>
      <c r="C3578" t="s">
        <v>201</v>
      </c>
      <c r="D3578" t="s">
        <v>553</v>
      </c>
    </row>
    <row r="3580" spans="1:4" x14ac:dyDescent="0.2">
      <c r="A3580" t="s">
        <v>1391</v>
      </c>
      <c r="B3580" t="str">
        <f>HYPERLINK("https://lindat.mff.cuni.cz/services/teitok/pdtc10/index.php?action=vallex&amp;frame=v-w12326_MMf1_MM", "dobelhat (v-w12326_MMf1_MM)")</f>
        <v>dobelhat (v-w12326_MMf1_MM)</v>
      </c>
    </row>
    <row r="3581" spans="1:4" x14ac:dyDescent="0.2">
      <c r="B3581" t="s">
        <v>1</v>
      </c>
    </row>
    <row r="3582" spans="1:4" x14ac:dyDescent="0.2">
      <c r="B3582" t="s">
        <v>90</v>
      </c>
    </row>
    <row r="3584" spans="1:4" x14ac:dyDescent="0.2">
      <c r="A3584" t="s">
        <v>1392</v>
      </c>
      <c r="B3584" t="str">
        <f>HYPERLINK("https://lindat.mff.cuni.cz/services/teitok/pdtc10/index.php?action=vallex&amp;frame=v-w11655_ZUf1_ZU", "doblekotat se (v-w11655_ZUf1_ZU)")</f>
        <v>doblekotat se (v-w11655_ZUf1_ZU)</v>
      </c>
    </row>
    <row r="3585" spans="1:3" x14ac:dyDescent="0.2">
      <c r="B3585" t="s">
        <v>1</v>
      </c>
      <c r="C3585" t="s">
        <v>33</v>
      </c>
    </row>
    <row r="3586" spans="1:3" x14ac:dyDescent="0.2">
      <c r="B3586" t="s">
        <v>176</v>
      </c>
    </row>
    <row r="3588" spans="1:3" x14ac:dyDescent="0.2">
      <c r="A3588" t="s">
        <v>1393</v>
      </c>
      <c r="B3588" t="str">
        <f>HYPERLINK("https://lindat.mff.cuni.cz/services/teitok/pdtc10/index.php?action=vallex&amp;frame=v-w11829_ZUf1_ZU", "dobrat (v-w11829_ZUf1_ZU)")</f>
        <v>dobrat (v-w11829_ZUf1_ZU)</v>
      </c>
    </row>
    <row r="3589" spans="1:3" x14ac:dyDescent="0.2">
      <c r="B3589" t="s">
        <v>1</v>
      </c>
    </row>
    <row r="3590" spans="1:3" x14ac:dyDescent="0.2">
      <c r="B3590" t="s">
        <v>8</v>
      </c>
    </row>
    <row r="3592" spans="1:3" x14ac:dyDescent="0.2">
      <c r="A3592" t="s">
        <v>1394</v>
      </c>
      <c r="B3592" t="str">
        <f>HYPERLINK("https://lindat.mff.cuni.cz/services/teitok/pdtc10/index.php?action=vallex&amp;frame=v-w510f1", "dobrat se (v-w510f1)")</f>
        <v>dobrat se (v-w510f1)</v>
      </c>
    </row>
    <row r="3593" spans="1:3" x14ac:dyDescent="0.2">
      <c r="B3593" t="s">
        <v>1</v>
      </c>
    </row>
    <row r="3594" spans="1:3" x14ac:dyDescent="0.2">
      <c r="B3594" t="s">
        <v>1395</v>
      </c>
    </row>
    <row r="3595" spans="1:3" x14ac:dyDescent="0.2">
      <c r="B3595" t="s">
        <v>1396</v>
      </c>
    </row>
    <row r="3597" spans="1:3" x14ac:dyDescent="0.2">
      <c r="A3597" t="s">
        <v>1397</v>
      </c>
      <c r="B3597" t="str">
        <f>HYPERLINK("https://lindat.mff.cuni.cz/services/teitok/pdtc10/index.php?action=vallex&amp;frame=v-w510f2", "dobrat se (v-w510f2)")</f>
        <v>dobrat se (v-w510f2)</v>
      </c>
    </row>
    <row r="3598" spans="1:3" x14ac:dyDescent="0.2">
      <c r="B3598" t="s">
        <v>1</v>
      </c>
    </row>
    <row r="3599" spans="1:3" x14ac:dyDescent="0.2">
      <c r="B3599" t="s">
        <v>1398</v>
      </c>
    </row>
    <row r="3601" spans="1:2" x14ac:dyDescent="0.2">
      <c r="A3601" t="s">
        <v>1399</v>
      </c>
      <c r="B3601" t="str">
        <f>HYPERLINK("https://lindat.mff.cuni.cz/services/teitok/pdtc10/index.php?action=vallex&amp;frame=v-w513f1", "dobudovat (v-w513f1)")</f>
        <v>dobudovat (v-w513f1)</v>
      </c>
    </row>
    <row r="3602" spans="1:2" x14ac:dyDescent="0.2">
      <c r="B3602" t="s">
        <v>1</v>
      </c>
    </row>
    <row r="3603" spans="1:2" x14ac:dyDescent="0.2">
      <c r="B3603" t="s">
        <v>8</v>
      </c>
    </row>
    <row r="3604" spans="1:2" x14ac:dyDescent="0.2">
      <c r="B3604" t="s">
        <v>24</v>
      </c>
    </row>
    <row r="3606" spans="1:2" x14ac:dyDescent="0.2">
      <c r="A3606" t="s">
        <v>1400</v>
      </c>
      <c r="B3606" t="str">
        <f>HYPERLINK("https://lindat.mff.cuni.cz/services/teitok/pdtc10/index.php?action=vallex&amp;frame=v-whsa_1962hsa_1963", "dobíjet (v-whsa_1962hsa_1963)")</f>
        <v>dobíjet (v-whsa_1962hsa_1963)</v>
      </c>
    </row>
    <row r="3607" spans="1:2" x14ac:dyDescent="0.2">
      <c r="B3607" t="s">
        <v>1</v>
      </c>
    </row>
    <row r="3608" spans="1:2" x14ac:dyDescent="0.2">
      <c r="B3608" t="s">
        <v>1401</v>
      </c>
    </row>
    <row r="3610" spans="1:2" x14ac:dyDescent="0.2">
      <c r="A3610" t="s">
        <v>1402</v>
      </c>
      <c r="B3610" t="str">
        <f>HYPERLINK("https://lindat.mff.cuni.cz/services/teitok/pdtc10/index.php?action=vallex&amp;frame=v-w508f1", "dobírat si (v-w508f1)")</f>
        <v>dobírat si (v-w508f1)</v>
      </c>
    </row>
    <row r="3611" spans="1:2" x14ac:dyDescent="0.2">
      <c r="B3611" t="s">
        <v>1</v>
      </c>
    </row>
    <row r="3612" spans="1:2" x14ac:dyDescent="0.2">
      <c r="B3612" t="s">
        <v>8</v>
      </c>
    </row>
    <row r="3614" spans="1:2" x14ac:dyDescent="0.2">
      <c r="A3614" t="s">
        <v>1403</v>
      </c>
      <c r="B3614" t="str">
        <f>HYPERLINK("https://lindat.mff.cuni.cz/services/teitok/pdtc10/index.php?action=vallex&amp;frame=v-whsa_1253hsa_1254", "dobít (v-whsa_1253hsa_1254)")</f>
        <v>dobít (v-whsa_1253hsa_1254)</v>
      </c>
    </row>
    <row r="3615" spans="1:2" x14ac:dyDescent="0.2">
      <c r="B3615" t="s">
        <v>1</v>
      </c>
    </row>
    <row r="3616" spans="1:2" x14ac:dyDescent="0.2">
      <c r="B3616" t="s">
        <v>8</v>
      </c>
    </row>
    <row r="3618" spans="1:4" x14ac:dyDescent="0.2">
      <c r="A3618" t="s">
        <v>1404</v>
      </c>
      <c r="B3618" t="str">
        <f>HYPERLINK("https://lindat.mff.cuni.cz/services/teitok/pdtc10/index.php?action=vallex&amp;frame=v-w514f2_ZU", "dobýt (v-w514f2_ZU)")</f>
        <v>dobýt (v-w514f2_ZU)</v>
      </c>
    </row>
    <row r="3619" spans="1:4" x14ac:dyDescent="0.2">
      <c r="B3619" t="s">
        <v>1</v>
      </c>
    </row>
    <row r="3620" spans="1:4" x14ac:dyDescent="0.2">
      <c r="B3620" t="s">
        <v>8</v>
      </c>
    </row>
    <row r="3621" spans="1:4" x14ac:dyDescent="0.2">
      <c r="B3621" t="s">
        <v>321</v>
      </c>
    </row>
    <row r="3623" spans="1:4" x14ac:dyDescent="0.2">
      <c r="A3623" t="s">
        <v>1404</v>
      </c>
      <c r="B3623" t="str">
        <f>HYPERLINK("https://lindat.mff.cuni.cz/services/teitok/pdtc10/index.php?action=vallex&amp;frame=v-w514f1", "dobýt (v-w514f1) - substituted with v-w514f2_ZU")</f>
        <v>dobýt (v-w514f1) - substituted with v-w514f2_ZU</v>
      </c>
    </row>
    <row r="3624" spans="1:4" x14ac:dyDescent="0.2">
      <c r="B3624" t="s">
        <v>1</v>
      </c>
      <c r="C3624" t="s">
        <v>1405</v>
      </c>
      <c r="D3624" t="s">
        <v>4644</v>
      </c>
    </row>
    <row r="3625" spans="1:4" x14ac:dyDescent="0.2">
      <c r="B3625" t="s">
        <v>8</v>
      </c>
      <c r="C3625" t="s">
        <v>98</v>
      </c>
      <c r="D3625" t="s">
        <v>23105</v>
      </c>
    </row>
    <row r="3626" spans="1:4" x14ac:dyDescent="0.2">
      <c r="B3626" t="s">
        <v>321</v>
      </c>
    </row>
    <row r="3628" spans="1:4" x14ac:dyDescent="0.2">
      <c r="A3628" t="s">
        <v>1406</v>
      </c>
      <c r="B3628" t="str">
        <f>HYPERLINK("https://lindat.mff.cuni.cz/services/teitok/pdtc10/index.php?action=vallex&amp;frame=v-w518f1", "dobývat (v-w518f1)")</f>
        <v>dobývat (v-w518f1)</v>
      </c>
    </row>
    <row r="3629" spans="1:4" x14ac:dyDescent="0.2">
      <c r="B3629" t="s">
        <v>1</v>
      </c>
      <c r="C3629" t="s">
        <v>249</v>
      </c>
      <c r="D3629" t="s">
        <v>8690</v>
      </c>
    </row>
    <row r="3630" spans="1:4" x14ac:dyDescent="0.2">
      <c r="B3630" t="s">
        <v>8</v>
      </c>
      <c r="C3630" t="s">
        <v>354</v>
      </c>
      <c r="D3630" t="s">
        <v>4631</v>
      </c>
    </row>
    <row r="3632" spans="1:4" x14ac:dyDescent="0.2">
      <c r="A3632" t="s">
        <v>1407</v>
      </c>
      <c r="B3632" t="str">
        <f>HYPERLINK("https://lindat.mff.cuni.cz/services/teitok/pdtc10/index.php?action=vallex&amp;frame=v-w519f1", "dobývat se (v-w519f1)")</f>
        <v>dobývat se (v-w519f1)</v>
      </c>
    </row>
    <row r="3633" spans="1:3" x14ac:dyDescent="0.2">
      <c r="B3633" t="s">
        <v>1</v>
      </c>
    </row>
    <row r="3634" spans="1:3" x14ac:dyDescent="0.2">
      <c r="B3634" t="s">
        <v>90</v>
      </c>
    </row>
    <row r="3636" spans="1:3" x14ac:dyDescent="0.2">
      <c r="A3636" t="s">
        <v>1408</v>
      </c>
      <c r="B3636" t="str">
        <f>HYPERLINK("https://lindat.mff.cuni.cz/services/teitok/pdtc10/index.php?action=vallex&amp;frame=v-w506f2", "doběhnout (v-w506f2)")</f>
        <v>doběhnout (v-w506f2)</v>
      </c>
    </row>
    <row r="3637" spans="1:3" x14ac:dyDescent="0.2">
      <c r="B3637" t="s">
        <v>1</v>
      </c>
    </row>
    <row r="3638" spans="1:3" x14ac:dyDescent="0.2">
      <c r="B3638" t="s">
        <v>8</v>
      </c>
    </row>
    <row r="3640" spans="1:3" x14ac:dyDescent="0.2">
      <c r="A3640" t="s">
        <v>1409</v>
      </c>
      <c r="B3640" t="str">
        <f>HYPERLINK("https://lindat.mff.cuni.cz/services/teitok/pdtc10/index.php?action=vallex&amp;frame=v-w506f4", "doběhnout (v-w506f4)")</f>
        <v>doběhnout (v-w506f4)</v>
      </c>
    </row>
    <row r="3641" spans="1:3" x14ac:dyDescent="0.2">
      <c r="B3641" t="s">
        <v>1</v>
      </c>
      <c r="C3641" t="s">
        <v>140</v>
      </c>
    </row>
    <row r="3642" spans="1:3" x14ac:dyDescent="0.2">
      <c r="B3642" t="s">
        <v>1410</v>
      </c>
    </row>
    <row r="3644" spans="1:3" x14ac:dyDescent="0.2">
      <c r="A3644" t="s">
        <v>1411</v>
      </c>
      <c r="B3644" t="str">
        <f>HYPERLINK("https://lindat.mff.cuni.cz/services/teitok/pdtc10/index.php?action=vallex&amp;frame=v-w506f3", "doběhnout (v-w506f3)")</f>
        <v>doběhnout (v-w506f3)</v>
      </c>
    </row>
    <row r="3645" spans="1:3" x14ac:dyDescent="0.2">
      <c r="B3645" t="s">
        <v>1</v>
      </c>
    </row>
    <row r="3646" spans="1:3" x14ac:dyDescent="0.2">
      <c r="B3646" t="s">
        <v>90</v>
      </c>
    </row>
    <row r="3648" spans="1:3" x14ac:dyDescent="0.2">
      <c r="A3648" t="s">
        <v>1411</v>
      </c>
      <c r="B3648" t="str">
        <f>HYPERLINK("https://lindat.mff.cuni.cz/services/teitok/pdtc10/index.php?action=vallex&amp;frame=v-w506f1", "doběhnout (v-w506f1) - substituted with v-w506f3")</f>
        <v>doběhnout (v-w506f1) - substituted with v-w506f3</v>
      </c>
    </row>
    <row r="3649" spans="1:4" x14ac:dyDescent="0.2">
      <c r="B3649" t="s">
        <v>1</v>
      </c>
    </row>
    <row r="3650" spans="1:4" x14ac:dyDescent="0.2">
      <c r="B3650" t="s">
        <v>90</v>
      </c>
    </row>
    <row r="3652" spans="1:4" x14ac:dyDescent="0.2">
      <c r="A3652" t="s">
        <v>1412</v>
      </c>
      <c r="B3652" t="str">
        <f>HYPERLINK("https://lindat.mff.cuni.cz/services/teitok/pdtc10/index.php?action=vallex&amp;frame=v-w506f5", "doběhnout (v-w506f5)")</f>
        <v>doběhnout (v-w506f5)</v>
      </c>
    </row>
    <row r="3653" spans="1:4" x14ac:dyDescent="0.2">
      <c r="B3653" t="s">
        <v>1</v>
      </c>
      <c r="C3653" t="s">
        <v>1413</v>
      </c>
      <c r="D3653" t="s">
        <v>23106</v>
      </c>
    </row>
    <row r="3655" spans="1:4" x14ac:dyDescent="0.2">
      <c r="A3655" t="s">
        <v>1414</v>
      </c>
      <c r="B3655" t="str">
        <f>HYPERLINK("https://lindat.mff.cuni.cz/services/teitok/pdtc10/index.php?action=vallex&amp;frame=v-w521f2_ZU", "docenit (v-w521f2_ZU)")</f>
        <v>docenit (v-w521f2_ZU)</v>
      </c>
    </row>
    <row r="3656" spans="1:4" x14ac:dyDescent="0.2">
      <c r="B3656" t="s">
        <v>1</v>
      </c>
    </row>
    <row r="3657" spans="1:4" x14ac:dyDescent="0.2">
      <c r="B3657" t="s">
        <v>1415</v>
      </c>
    </row>
    <row r="3659" spans="1:4" x14ac:dyDescent="0.2">
      <c r="A3659" t="s">
        <v>1414</v>
      </c>
      <c r="B3659" t="str">
        <f>HYPERLINK("https://lindat.mff.cuni.cz/services/teitok/pdtc10/index.php?action=vallex&amp;frame=v-w521f1", "docenit (v-w521f1) - substituted with v-w521f2_ZU")</f>
        <v>docenit (v-w521f1) - substituted with v-w521f2_ZU</v>
      </c>
    </row>
    <row r="3660" spans="1:4" x14ac:dyDescent="0.2">
      <c r="B3660" t="s">
        <v>1</v>
      </c>
    </row>
    <row r="3661" spans="1:4" x14ac:dyDescent="0.2">
      <c r="B3661" t="s">
        <v>1415</v>
      </c>
    </row>
    <row r="3663" spans="1:4" x14ac:dyDescent="0.2">
      <c r="A3663" t="s">
        <v>1414</v>
      </c>
      <c r="B3663" t="str">
        <f>HYPERLINK("https://lindat.mff.cuni.cz/services/teitok/pdtc10/index.php?action=vallex&amp;frame=v-w521hsa_187", "docenit (v-w521hsa_187) - substituted with v-w521f2_ZU")</f>
        <v>docenit (v-w521hsa_187) - substituted with v-w521f2_ZU</v>
      </c>
    </row>
    <row r="3664" spans="1:4" x14ac:dyDescent="0.2">
      <c r="B3664" t="s">
        <v>1</v>
      </c>
    </row>
    <row r="3665" spans="1:2" x14ac:dyDescent="0.2">
      <c r="B3665" t="s">
        <v>1415</v>
      </c>
    </row>
    <row r="3667" spans="1:2" x14ac:dyDescent="0.2">
      <c r="A3667" t="s">
        <v>1416</v>
      </c>
      <c r="B3667" t="str">
        <f>HYPERLINK("https://lindat.mff.cuni.cz/services/teitok/pdtc10/index.php?action=vallex&amp;frame=v-w522f1", "doceňovat (v-w522f1)")</f>
        <v>doceňovat (v-w522f1)</v>
      </c>
    </row>
    <row r="3668" spans="1:2" x14ac:dyDescent="0.2">
      <c r="B3668" t="s">
        <v>1</v>
      </c>
    </row>
    <row r="3669" spans="1:2" x14ac:dyDescent="0.2">
      <c r="B3669" t="s">
        <v>1417</v>
      </c>
    </row>
    <row r="3671" spans="1:2" x14ac:dyDescent="0.2">
      <c r="A3671" t="s">
        <v>1418</v>
      </c>
      <c r="B3671" t="str">
        <f>HYPERLINK("https://lindat.mff.cuni.cz/services/teitok/pdtc10/index.php?action=vallex&amp;frame=v-whsb_396hsa_397", "dochodit (v-whsb_396hsa_397)")</f>
        <v>dochodit (v-whsb_396hsa_397)</v>
      </c>
    </row>
    <row r="3672" spans="1:2" x14ac:dyDescent="0.2">
      <c r="B3672" t="s">
        <v>1</v>
      </c>
    </row>
    <row r="3673" spans="1:2" x14ac:dyDescent="0.2">
      <c r="B3673" t="s">
        <v>8</v>
      </c>
    </row>
    <row r="3675" spans="1:2" x14ac:dyDescent="0.2">
      <c r="A3675" t="s">
        <v>1419</v>
      </c>
      <c r="B3675" t="str">
        <f>HYPERLINK("https://lindat.mff.cuni.cz/services/teitok/pdtc10/index.php?action=vallex&amp;frame=v-w11816_ZUf1_ZU", "dochovat (v-w11816_ZUf1_ZU)")</f>
        <v>dochovat (v-w11816_ZUf1_ZU)</v>
      </c>
    </row>
    <row r="3676" spans="1:2" x14ac:dyDescent="0.2">
      <c r="B3676" t="s">
        <v>1</v>
      </c>
    </row>
    <row r="3677" spans="1:2" x14ac:dyDescent="0.2">
      <c r="B3677" t="s">
        <v>8</v>
      </c>
    </row>
    <row r="3679" spans="1:2" x14ac:dyDescent="0.2">
      <c r="A3679" t="s">
        <v>1420</v>
      </c>
      <c r="B3679" t="str">
        <f>HYPERLINK("https://lindat.mff.cuni.cz/services/teitok/pdtc10/index.php?action=vallex&amp;frame=v-w570f1", "dochovat se (v-w570f1)")</f>
        <v>dochovat se (v-w570f1)</v>
      </c>
    </row>
    <row r="3680" spans="1:2" x14ac:dyDescent="0.2">
      <c r="B3680" t="s">
        <v>1</v>
      </c>
    </row>
    <row r="3682" spans="1:2" x14ac:dyDescent="0.2">
      <c r="A3682" t="s">
        <v>1421</v>
      </c>
      <c r="B3682" t="str">
        <f>HYPERLINK("https://lindat.mff.cuni.cz/services/teitok/pdtc10/index.php?action=vallex&amp;frame=v-w571f1", "dochytat (v-w571f1)")</f>
        <v>dochytat (v-w571f1)</v>
      </c>
    </row>
    <row r="3683" spans="1:2" x14ac:dyDescent="0.2">
      <c r="B3683" t="s">
        <v>1</v>
      </c>
    </row>
    <row r="3684" spans="1:2" x14ac:dyDescent="0.2">
      <c r="B3684" t="s">
        <v>8</v>
      </c>
    </row>
    <row r="3686" spans="1:2" x14ac:dyDescent="0.2">
      <c r="A3686" t="s">
        <v>1422</v>
      </c>
      <c r="B3686" t="str">
        <f>HYPERLINK("https://lindat.mff.cuni.cz/services/teitok/pdtc10/index.php?action=vallex&amp;frame=v-w568f11_ZU", "docházet (v-w568f11_ZU)")</f>
        <v>docházet (v-w568f11_ZU)</v>
      </c>
    </row>
    <row r="3687" spans="1:2" x14ac:dyDescent="0.2">
      <c r="B3687" t="s">
        <v>1</v>
      </c>
    </row>
    <row r="3688" spans="1:2" x14ac:dyDescent="0.2">
      <c r="B3688" t="s">
        <v>103</v>
      </c>
    </row>
    <row r="3690" spans="1:2" x14ac:dyDescent="0.2">
      <c r="A3690" t="s">
        <v>1422</v>
      </c>
      <c r="B3690" t="str">
        <f>HYPERLINK("https://lindat.mff.cuni.cz/services/teitok/pdtc10/index.php?action=vallex&amp;frame=v-w568f10_ZU", "docházet (v-w568f10_ZU) - substituted with v-w568f11_ZU")</f>
        <v>docházet (v-w568f10_ZU) - substituted with v-w568f11_ZU</v>
      </c>
    </row>
    <row r="3691" spans="1:2" x14ac:dyDescent="0.2">
      <c r="B3691" t="s">
        <v>1</v>
      </c>
    </row>
    <row r="3692" spans="1:2" x14ac:dyDescent="0.2">
      <c r="B3692" t="s">
        <v>103</v>
      </c>
    </row>
    <row r="3694" spans="1:2" x14ac:dyDescent="0.2">
      <c r="A3694" t="s">
        <v>1422</v>
      </c>
      <c r="B3694" t="str">
        <f>HYPERLINK("https://lindat.mff.cuni.cz/services/teitok/pdtc10/index.php?action=vallex&amp;frame=v-w568f4", "docházet (v-w568f4) - substituted with v-w568f11_ZU")</f>
        <v>docházet (v-w568f4) - substituted with v-w568f11_ZU</v>
      </c>
    </row>
    <row r="3695" spans="1:2" x14ac:dyDescent="0.2">
      <c r="B3695" t="s">
        <v>1</v>
      </c>
    </row>
    <row r="3696" spans="1:2" x14ac:dyDescent="0.2">
      <c r="B3696" t="s">
        <v>103</v>
      </c>
    </row>
    <row r="3698" spans="1:4" x14ac:dyDescent="0.2">
      <c r="A3698" t="s">
        <v>1423</v>
      </c>
      <c r="B3698" t="str">
        <f>HYPERLINK("https://lindat.mff.cuni.cz/services/teitok/pdtc10/index.php?action=vallex&amp;frame=v-w568f3", "docházet (v-w568f3)")</f>
        <v>docházet (v-w568f3)</v>
      </c>
    </row>
    <row r="3699" spans="1:4" x14ac:dyDescent="0.2">
      <c r="B3699" t="s">
        <v>1</v>
      </c>
      <c r="C3699" t="s">
        <v>201</v>
      </c>
      <c r="D3699" t="s">
        <v>15195</v>
      </c>
    </row>
    <row r="3700" spans="1:4" x14ac:dyDescent="0.2">
      <c r="B3700" t="s">
        <v>176</v>
      </c>
      <c r="D3700" t="s">
        <v>986</v>
      </c>
    </row>
    <row r="3702" spans="1:4" x14ac:dyDescent="0.2">
      <c r="A3702" t="s">
        <v>1424</v>
      </c>
      <c r="B3702" t="str">
        <f>HYPERLINK("https://lindat.mff.cuni.cz/services/teitok/pdtc10/index.php?action=vallex&amp;frame=v-w568f6", "docházet (v-w568f6)")</f>
        <v>docházet (v-w568f6)</v>
      </c>
    </row>
    <row r="3703" spans="1:4" x14ac:dyDescent="0.2">
      <c r="B3703" t="s">
        <v>455</v>
      </c>
      <c r="C3703" t="s">
        <v>1425</v>
      </c>
    </row>
    <row r="3704" spans="1:4" x14ac:dyDescent="0.2">
      <c r="B3704" t="s">
        <v>1426</v>
      </c>
      <c r="C3704" t="s">
        <v>34</v>
      </c>
    </row>
    <row r="3706" spans="1:4" x14ac:dyDescent="0.2">
      <c r="A3706" t="s">
        <v>1427</v>
      </c>
      <c r="B3706" t="str">
        <f>HYPERLINK("https://lindat.mff.cuni.cz/services/teitok/pdtc10/index.php?action=vallex&amp;frame=v-w568f2", "docházet (v-w568f2)")</f>
        <v>docházet (v-w568f2)</v>
      </c>
    </row>
    <row r="3707" spans="1:4" x14ac:dyDescent="0.2">
      <c r="B3707" t="s">
        <v>1</v>
      </c>
      <c r="D3707" t="s">
        <v>23107</v>
      </c>
    </row>
    <row r="3708" spans="1:4" x14ac:dyDescent="0.2">
      <c r="B3708" t="s">
        <v>90</v>
      </c>
      <c r="D3708" t="s">
        <v>23108</v>
      </c>
    </row>
    <row r="3710" spans="1:4" x14ac:dyDescent="0.2">
      <c r="A3710" t="s">
        <v>1428</v>
      </c>
      <c r="B3710" t="str">
        <f>HYPERLINK("https://lindat.mff.cuni.cz/services/teitok/pdtc10/index.php?action=vallex&amp;frame=v-w568f12_ZU", "docházet (v-w568f12_ZU)")</f>
        <v>docházet (v-w568f12_ZU)</v>
      </c>
    </row>
    <row r="3711" spans="1:4" x14ac:dyDescent="0.2">
      <c r="B3711" t="s">
        <v>1</v>
      </c>
    </row>
    <row r="3712" spans="1:4" x14ac:dyDescent="0.2">
      <c r="B3712" t="s">
        <v>90</v>
      </c>
    </row>
    <row r="3714" spans="1:4" x14ac:dyDescent="0.2">
      <c r="A3714" t="s">
        <v>1428</v>
      </c>
      <c r="B3714" t="str">
        <f>HYPERLINK("https://lindat.mff.cuni.cz/services/teitok/pdtc10/index.php?action=vallex&amp;frame=v-w568f5", "docházet (v-w568f5) - substituted with v-w568f12_ZU")</f>
        <v>docházet (v-w568f5) - substituted with v-w568f12_ZU</v>
      </c>
    </row>
    <row r="3715" spans="1:4" x14ac:dyDescent="0.2">
      <c r="B3715" t="s">
        <v>1</v>
      </c>
      <c r="D3715" t="s">
        <v>23107</v>
      </c>
    </row>
    <row r="3716" spans="1:4" x14ac:dyDescent="0.2">
      <c r="B3716" t="s">
        <v>90</v>
      </c>
      <c r="D3716" t="s">
        <v>23108</v>
      </c>
    </row>
    <row r="3718" spans="1:4" x14ac:dyDescent="0.2">
      <c r="A3718" t="s">
        <v>1429</v>
      </c>
      <c r="B3718" t="str">
        <f>HYPERLINK("https://lindat.mff.cuni.cz/services/teitok/pdtc10/index.php?action=vallex&amp;frame=v-w568f7", "docházet (v-w568f7)")</f>
        <v>docházet (v-w568f7)</v>
      </c>
    </row>
    <row r="3719" spans="1:4" x14ac:dyDescent="0.2">
      <c r="B3719" t="s">
        <v>1</v>
      </c>
      <c r="C3719" t="s">
        <v>1430</v>
      </c>
      <c r="D3719" t="s">
        <v>553</v>
      </c>
    </row>
    <row r="3721" spans="1:4" x14ac:dyDescent="0.2">
      <c r="A3721" t="s">
        <v>1431</v>
      </c>
      <c r="B3721" t="str">
        <f>HYPERLINK("https://lindat.mff.cuni.cz/services/teitok/pdtc10/index.php?action=vallex&amp;frame=v-w568f9", "docházet (v-w568f9)")</f>
        <v>docházet (v-w568f9)</v>
      </c>
    </row>
    <row r="3722" spans="1:4" x14ac:dyDescent="0.2">
      <c r="B3722" t="s">
        <v>1</v>
      </c>
    </row>
    <row r="3724" spans="1:4" x14ac:dyDescent="0.2">
      <c r="A3724" t="s">
        <v>1432</v>
      </c>
      <c r="B3724" t="str">
        <f>HYPERLINK("https://lindat.mff.cuni.cz/services/teitok/pdtc10/index.php?action=vallex&amp;frame=v-w568f1", "docházet (v-w568f1)")</f>
        <v>docházet (v-w568f1)</v>
      </c>
    </row>
    <row r="3725" spans="1:4" x14ac:dyDescent="0.2">
      <c r="B3725" t="s">
        <v>1433</v>
      </c>
      <c r="C3725" t="s">
        <v>1434</v>
      </c>
      <c r="D3725" t="s">
        <v>7870</v>
      </c>
    </row>
    <row r="3727" spans="1:4" x14ac:dyDescent="0.2">
      <c r="A3727" t="s">
        <v>1435</v>
      </c>
      <c r="B3727" t="str">
        <f>HYPERLINK("https://lindat.mff.cuni.cz/services/teitok/pdtc10/index.php?action=vallex&amp;frame=v-w568f8", "docházet (v-w568f8)")</f>
        <v>docházet (v-w568f8)</v>
      </c>
    </row>
    <row r="3728" spans="1:4" x14ac:dyDescent="0.2">
      <c r="B3728" t="s">
        <v>761</v>
      </c>
      <c r="D3728" t="s">
        <v>22988</v>
      </c>
    </row>
    <row r="3730" spans="1:4" x14ac:dyDescent="0.2">
      <c r="A3730" t="s">
        <v>1436</v>
      </c>
      <c r="B3730" t="str">
        <f>HYPERLINK("https://lindat.mff.cuni.cz/services/teitok/pdtc10/index.php?action=vallex&amp;frame=v-w524f1", "docilovat (v-w524f1)")</f>
        <v>docilovat (v-w524f1)</v>
      </c>
    </row>
    <row r="3731" spans="1:4" x14ac:dyDescent="0.2">
      <c r="B3731" t="s">
        <v>1</v>
      </c>
      <c r="D3731" t="s">
        <v>23109</v>
      </c>
    </row>
    <row r="3732" spans="1:4" x14ac:dyDescent="0.2">
      <c r="B3732" t="s">
        <v>968</v>
      </c>
      <c r="C3732" t="s">
        <v>1437</v>
      </c>
      <c r="D3732" t="s">
        <v>23110</v>
      </c>
    </row>
    <row r="3734" spans="1:4" x14ac:dyDescent="0.2">
      <c r="A3734" t="s">
        <v>1438</v>
      </c>
      <c r="B3734" t="str">
        <f>HYPERLINK("https://lindat.mff.cuni.cz/services/teitok/pdtc10/index.php?action=vallex&amp;frame=v-whsb_936hsa_937", "docvičit (v-whsb_936hsa_937)")</f>
        <v>docvičit (v-whsb_936hsa_937)</v>
      </c>
    </row>
    <row r="3735" spans="1:4" x14ac:dyDescent="0.2">
      <c r="B3735" t="s">
        <v>1</v>
      </c>
    </row>
    <row r="3736" spans="1:4" x14ac:dyDescent="0.2">
      <c r="B3736" t="s">
        <v>220</v>
      </c>
    </row>
    <row r="3738" spans="1:4" x14ac:dyDescent="0.2">
      <c r="A3738" t="s">
        <v>1439</v>
      </c>
      <c r="B3738" t="str">
        <f>HYPERLINK("https://lindat.mff.cuni.cz/services/teitok/pdtc10/index.php?action=vallex&amp;frame=v-w523f1", "docílit (v-w523f1)")</f>
        <v>docílit (v-w523f1)</v>
      </c>
    </row>
    <row r="3739" spans="1:4" x14ac:dyDescent="0.2">
      <c r="B3739" t="s">
        <v>1</v>
      </c>
      <c r="C3739" t="s">
        <v>1440</v>
      </c>
      <c r="D3739" t="s">
        <v>23111</v>
      </c>
    </row>
    <row r="3740" spans="1:4" x14ac:dyDescent="0.2">
      <c r="B3740" t="s">
        <v>1441</v>
      </c>
      <c r="C3740" t="s">
        <v>1442</v>
      </c>
      <c r="D3740" t="s">
        <v>23112</v>
      </c>
    </row>
    <row r="3741" spans="1:4" x14ac:dyDescent="0.2">
      <c r="B3741" t="s">
        <v>1396</v>
      </c>
      <c r="C3741" t="s">
        <v>1443</v>
      </c>
      <c r="D3741" t="s">
        <v>23113</v>
      </c>
    </row>
    <row r="3743" spans="1:4" x14ac:dyDescent="0.2">
      <c r="A3743" t="s">
        <v>1444</v>
      </c>
      <c r="B3743" t="str">
        <f>HYPERLINK("https://lindat.mff.cuni.cz/services/teitok/pdtc10/index.php?action=vallex&amp;frame=v-w523f2", "docílit (v-w523f2)")</f>
        <v>docílit (v-w523f2)</v>
      </c>
    </row>
    <row r="3744" spans="1:4" x14ac:dyDescent="0.2">
      <c r="B3744" t="s">
        <v>1</v>
      </c>
      <c r="C3744" t="s">
        <v>1445</v>
      </c>
      <c r="D3744" t="s">
        <v>23109</v>
      </c>
    </row>
    <row r="3745" spans="1:4" x14ac:dyDescent="0.2">
      <c r="B3745" t="s">
        <v>917</v>
      </c>
      <c r="C3745" t="s">
        <v>1446</v>
      </c>
      <c r="D3745" t="s">
        <v>23110</v>
      </c>
    </row>
    <row r="3747" spans="1:4" x14ac:dyDescent="0.2">
      <c r="A3747" t="s">
        <v>1447</v>
      </c>
      <c r="B3747" t="str">
        <f>HYPERLINK("https://lindat.mff.cuni.cz/services/teitok/pdtc10/index.php?action=vallex&amp;frame=v-w523f3", "docílit (v-w523f3)")</f>
        <v>docílit (v-w523f3)</v>
      </c>
    </row>
    <row r="3748" spans="1:4" x14ac:dyDescent="0.2">
      <c r="B3748" t="s">
        <v>1</v>
      </c>
      <c r="D3748" t="s">
        <v>23109</v>
      </c>
    </row>
    <row r="3749" spans="1:4" x14ac:dyDescent="0.2">
      <c r="B3749" t="s">
        <v>1448</v>
      </c>
      <c r="D3749" t="s">
        <v>23114</v>
      </c>
    </row>
    <row r="3751" spans="1:4" x14ac:dyDescent="0.2">
      <c r="A3751" t="s">
        <v>1449</v>
      </c>
      <c r="B3751" t="str">
        <f>HYPERLINK("https://lindat.mff.cuni.cz/services/teitok/pdtc10/index.php?action=vallex&amp;frame=v-w529f1", "dodanit (v-w529f1)")</f>
        <v>dodanit (v-w529f1)</v>
      </c>
    </row>
    <row r="3752" spans="1:4" x14ac:dyDescent="0.2">
      <c r="B3752" t="s">
        <v>1</v>
      </c>
    </row>
    <row r="3753" spans="1:4" x14ac:dyDescent="0.2">
      <c r="B3753" t="s">
        <v>8</v>
      </c>
    </row>
    <row r="3755" spans="1:4" x14ac:dyDescent="0.2">
      <c r="A3755" t="s">
        <v>1450</v>
      </c>
      <c r="B3755" t="str">
        <f>HYPERLINK("https://lindat.mff.cuni.cz/services/teitok/pdtc10/index.php?action=vallex&amp;frame=v-w531f4", "dodat (v-w531f4)")</f>
        <v>dodat (v-w531f4)</v>
      </c>
    </row>
    <row r="3756" spans="1:4" x14ac:dyDescent="0.2">
      <c r="B3756" t="s">
        <v>1</v>
      </c>
      <c r="C3756" t="s">
        <v>1451</v>
      </c>
      <c r="D3756" t="s">
        <v>23115</v>
      </c>
    </row>
    <row r="3757" spans="1:4" x14ac:dyDescent="0.2">
      <c r="B3757" t="s">
        <v>1452</v>
      </c>
      <c r="C3757" t="s">
        <v>1453</v>
      </c>
      <c r="D3757" t="s">
        <v>5754</v>
      </c>
    </row>
    <row r="3758" spans="1:4" x14ac:dyDescent="0.2">
      <c r="B3758" t="s">
        <v>35</v>
      </c>
      <c r="C3758" t="s">
        <v>1454</v>
      </c>
    </row>
    <row r="3760" spans="1:4" x14ac:dyDescent="0.2">
      <c r="A3760" t="s">
        <v>1455</v>
      </c>
      <c r="B3760" t="str">
        <f>HYPERLINK("https://lindat.mff.cuni.cz/services/teitok/pdtc10/index.php?action=vallex&amp;frame=v-w531f3", "dodat (v-w531f3)")</f>
        <v>dodat (v-w531f3)</v>
      </c>
    </row>
    <row r="3761" spans="1:4" x14ac:dyDescent="0.2">
      <c r="B3761" t="s">
        <v>1</v>
      </c>
      <c r="C3761" t="s">
        <v>1456</v>
      </c>
      <c r="D3761" t="s">
        <v>23116</v>
      </c>
    </row>
    <row r="3762" spans="1:4" x14ac:dyDescent="0.2">
      <c r="B3762" t="s">
        <v>8</v>
      </c>
      <c r="C3762" t="s">
        <v>1457</v>
      </c>
      <c r="D3762" t="s">
        <v>23117</v>
      </c>
    </row>
    <row r="3763" spans="1:4" x14ac:dyDescent="0.2">
      <c r="B3763" t="s">
        <v>35</v>
      </c>
      <c r="C3763" t="s">
        <v>1458</v>
      </c>
      <c r="D3763" t="s">
        <v>23118</v>
      </c>
    </row>
    <row r="3765" spans="1:4" x14ac:dyDescent="0.2">
      <c r="A3765" t="s">
        <v>1459</v>
      </c>
      <c r="B3765" t="str">
        <f>HYPERLINK("https://lindat.mff.cuni.cz/services/teitok/pdtc10/index.php?action=vallex&amp;frame=v-w531f5_ZU", "dodat (v-w531f5_ZU)")</f>
        <v>dodat (v-w531f5_ZU)</v>
      </c>
    </row>
    <row r="3766" spans="1:4" x14ac:dyDescent="0.2">
      <c r="B3766" t="s">
        <v>1</v>
      </c>
      <c r="C3766" t="s">
        <v>1460</v>
      </c>
    </row>
    <row r="3767" spans="1:4" x14ac:dyDescent="0.2">
      <c r="B3767" t="s">
        <v>8</v>
      </c>
      <c r="C3767" t="s">
        <v>1461</v>
      </c>
    </row>
    <row r="3768" spans="1:4" x14ac:dyDescent="0.2">
      <c r="B3768" t="s">
        <v>1462</v>
      </c>
      <c r="C3768" t="s">
        <v>1463</v>
      </c>
    </row>
    <row r="3770" spans="1:4" x14ac:dyDescent="0.2">
      <c r="A3770" t="s">
        <v>1464</v>
      </c>
      <c r="B3770" t="str">
        <f>HYPERLINK("https://lindat.mff.cuni.cz/services/teitok/pdtc10/index.php?action=vallex&amp;frame=v-w531f2", "dodat (v-w531f2)")</f>
        <v>dodat (v-w531f2)</v>
      </c>
    </row>
    <row r="3771" spans="1:4" x14ac:dyDescent="0.2">
      <c r="B3771" t="s">
        <v>1</v>
      </c>
      <c r="C3771" t="s">
        <v>1224</v>
      </c>
      <c r="D3771" t="s">
        <v>7915</v>
      </c>
    </row>
    <row r="3772" spans="1:4" x14ac:dyDescent="0.2">
      <c r="B3772" t="s">
        <v>8</v>
      </c>
      <c r="C3772" t="s">
        <v>1465</v>
      </c>
      <c r="D3772" t="s">
        <v>23119</v>
      </c>
    </row>
    <row r="3773" spans="1:4" x14ac:dyDescent="0.2">
      <c r="B3773" t="s">
        <v>90</v>
      </c>
      <c r="C3773" t="s">
        <v>1466</v>
      </c>
      <c r="D3773" t="s">
        <v>1466</v>
      </c>
    </row>
    <row r="3775" spans="1:4" x14ac:dyDescent="0.2">
      <c r="A3775" t="s">
        <v>1467</v>
      </c>
      <c r="B3775" t="str">
        <f>HYPERLINK("https://lindat.mff.cuni.cz/services/teitok/pdtc10/index.php?action=vallex&amp;frame=v-w531f1", "dodat (v-w531f1)")</f>
        <v>dodat (v-w531f1)</v>
      </c>
    </row>
    <row r="3776" spans="1:4" x14ac:dyDescent="0.2">
      <c r="B3776" t="s">
        <v>1</v>
      </c>
      <c r="C3776" t="s">
        <v>1468</v>
      </c>
      <c r="D3776" t="s">
        <v>22967</v>
      </c>
    </row>
    <row r="3777" spans="1:4" x14ac:dyDescent="0.2">
      <c r="B3777" t="s">
        <v>1469</v>
      </c>
      <c r="C3777" t="s">
        <v>1470</v>
      </c>
      <c r="D3777" t="s">
        <v>23120</v>
      </c>
    </row>
    <row r="3778" spans="1:4" x14ac:dyDescent="0.2">
      <c r="B3778" t="s">
        <v>1471</v>
      </c>
      <c r="C3778" t="s">
        <v>1472</v>
      </c>
      <c r="D3778" t="s">
        <v>22968</v>
      </c>
    </row>
    <row r="3780" spans="1:4" x14ac:dyDescent="0.2">
      <c r="A3780" t="s">
        <v>1473</v>
      </c>
      <c r="B3780" t="str">
        <f>HYPERLINK("https://lindat.mff.cuni.cz/services/teitok/pdtc10/index.php?action=vallex&amp;frame=v-w541f1", "dodržet (v-w541f1)")</f>
        <v>dodržet (v-w541f1)</v>
      </c>
    </row>
    <row r="3781" spans="1:4" x14ac:dyDescent="0.2">
      <c r="B3781" t="s">
        <v>1</v>
      </c>
      <c r="C3781" t="s">
        <v>1474</v>
      </c>
      <c r="D3781" t="s">
        <v>23121</v>
      </c>
    </row>
    <row r="3782" spans="1:4" x14ac:dyDescent="0.2">
      <c r="B3782" t="s">
        <v>172</v>
      </c>
      <c r="C3782" t="s">
        <v>1475</v>
      </c>
      <c r="D3782" t="s">
        <v>23122</v>
      </c>
    </row>
    <row r="3784" spans="1:4" x14ac:dyDescent="0.2">
      <c r="A3784" t="s">
        <v>1476</v>
      </c>
      <c r="B3784" t="str">
        <f>HYPERLINK("https://lindat.mff.cuni.cz/services/teitok/pdtc10/index.php?action=vallex&amp;frame=v-w544f2", "dodržovat (v-w544f2)")</f>
        <v>dodržovat (v-w544f2)</v>
      </c>
    </row>
    <row r="3785" spans="1:4" x14ac:dyDescent="0.2">
      <c r="B3785" t="s">
        <v>1</v>
      </c>
      <c r="C3785" t="s">
        <v>1477</v>
      </c>
      <c r="D3785" t="s">
        <v>23121</v>
      </c>
    </row>
    <row r="3786" spans="1:4" x14ac:dyDescent="0.2">
      <c r="B3786" t="s">
        <v>172</v>
      </c>
      <c r="C3786" t="s">
        <v>1478</v>
      </c>
      <c r="D3786" t="s">
        <v>23122</v>
      </c>
    </row>
    <row r="3788" spans="1:4" x14ac:dyDescent="0.2">
      <c r="A3788" t="s">
        <v>1479</v>
      </c>
      <c r="B3788" t="str">
        <f>HYPERLINK("https://lindat.mff.cuni.cz/services/teitok/pdtc10/index.php?action=vallex&amp;frame=v-w544f3_ZU", "dodržovat (v-w544f3_ZU)")</f>
        <v>dodržovat (v-w544f3_ZU)</v>
      </c>
    </row>
    <row r="3789" spans="1:4" x14ac:dyDescent="0.2">
      <c r="B3789" t="s">
        <v>1</v>
      </c>
    </row>
    <row r="3790" spans="1:4" x14ac:dyDescent="0.2">
      <c r="B3790" t="s">
        <v>8</v>
      </c>
    </row>
    <row r="3792" spans="1:4" x14ac:dyDescent="0.2">
      <c r="A3792" t="s">
        <v>1479</v>
      </c>
      <c r="B3792" t="str">
        <f>HYPERLINK("https://lindat.mff.cuni.cz/services/teitok/pdtc10/index.php?action=vallex&amp;frame=v-w544f1", "dodržovat (v-w544f1) - substituted with v-w544f3_ZU")</f>
        <v>dodržovat (v-w544f1) - substituted with v-w544f3_ZU</v>
      </c>
    </row>
    <row r="3793" spans="1:4" x14ac:dyDescent="0.2">
      <c r="B3793" t="s">
        <v>1</v>
      </c>
      <c r="C3793" t="s">
        <v>1480</v>
      </c>
      <c r="D3793" t="s">
        <v>23121</v>
      </c>
    </row>
    <row r="3794" spans="1:4" x14ac:dyDescent="0.2">
      <c r="B3794" t="s">
        <v>8</v>
      </c>
      <c r="C3794" t="s">
        <v>1481</v>
      </c>
      <c r="D3794" t="s">
        <v>23122</v>
      </c>
    </row>
    <row r="3796" spans="1:4" x14ac:dyDescent="0.2">
      <c r="A3796" t="s">
        <v>1482</v>
      </c>
      <c r="B3796" t="str">
        <f>HYPERLINK("https://lindat.mff.cuni.cz/services/teitok/pdtc10/index.php?action=vallex&amp;frame=v-whsa_1653hsa_1654", "dodržovávat (v-whsa_1653hsa_1654)")</f>
        <v>dodržovávat (v-whsa_1653hsa_1654)</v>
      </c>
    </row>
    <row r="3797" spans="1:4" x14ac:dyDescent="0.2">
      <c r="B3797" t="s">
        <v>1</v>
      </c>
    </row>
    <row r="3798" spans="1:4" x14ac:dyDescent="0.2">
      <c r="B3798" t="s">
        <v>8</v>
      </c>
    </row>
    <row r="3800" spans="1:4" x14ac:dyDescent="0.2">
      <c r="A3800" t="s">
        <v>1483</v>
      </c>
      <c r="B3800" t="str">
        <f>HYPERLINK("https://lindat.mff.cuni.cz/services/teitok/pdtc10/index.php?action=vallex&amp;frame=v-w536f4", "dodávat (v-w536f4)")</f>
        <v>dodávat (v-w536f4)</v>
      </c>
    </row>
    <row r="3801" spans="1:4" x14ac:dyDescent="0.2">
      <c r="B3801" t="s">
        <v>1</v>
      </c>
      <c r="C3801" t="s">
        <v>1484</v>
      </c>
      <c r="D3801" t="s">
        <v>23115</v>
      </c>
    </row>
    <row r="3802" spans="1:4" x14ac:dyDescent="0.2">
      <c r="B3802" t="s">
        <v>1452</v>
      </c>
      <c r="C3802" t="s">
        <v>1485</v>
      </c>
      <c r="D3802" t="s">
        <v>5754</v>
      </c>
    </row>
    <row r="3803" spans="1:4" x14ac:dyDescent="0.2">
      <c r="B3803" t="s">
        <v>35</v>
      </c>
      <c r="C3803" t="s">
        <v>1486</v>
      </c>
    </row>
    <row r="3805" spans="1:4" x14ac:dyDescent="0.2">
      <c r="A3805" t="s">
        <v>1487</v>
      </c>
      <c r="B3805" t="str">
        <f>HYPERLINK("https://lindat.mff.cuni.cz/services/teitok/pdtc10/index.php?action=vallex&amp;frame=v-w536f3", "dodávat (v-w536f3)")</f>
        <v>dodávat (v-w536f3)</v>
      </c>
    </row>
    <row r="3806" spans="1:4" x14ac:dyDescent="0.2">
      <c r="B3806" t="s">
        <v>1</v>
      </c>
      <c r="C3806" t="s">
        <v>1488</v>
      </c>
      <c r="D3806" t="s">
        <v>23116</v>
      </c>
    </row>
    <row r="3807" spans="1:4" x14ac:dyDescent="0.2">
      <c r="B3807" t="s">
        <v>8</v>
      </c>
      <c r="C3807" t="s">
        <v>1489</v>
      </c>
      <c r="D3807" t="s">
        <v>23117</v>
      </c>
    </row>
    <row r="3808" spans="1:4" x14ac:dyDescent="0.2">
      <c r="B3808" t="s">
        <v>35</v>
      </c>
      <c r="C3808" t="s">
        <v>1490</v>
      </c>
      <c r="D3808" t="s">
        <v>23118</v>
      </c>
    </row>
    <row r="3810" spans="1:4" x14ac:dyDescent="0.2">
      <c r="A3810" t="s">
        <v>1491</v>
      </c>
      <c r="B3810" t="str">
        <f>HYPERLINK("https://lindat.mff.cuni.cz/services/teitok/pdtc10/index.php?action=vallex&amp;frame=v-w536f2", "dodávat (v-w536f2)")</f>
        <v>dodávat (v-w536f2)</v>
      </c>
    </row>
    <row r="3811" spans="1:4" x14ac:dyDescent="0.2">
      <c r="B3811" t="s">
        <v>1</v>
      </c>
      <c r="C3811" t="s">
        <v>1492</v>
      </c>
      <c r="D3811" t="s">
        <v>7915</v>
      </c>
    </row>
    <row r="3812" spans="1:4" x14ac:dyDescent="0.2">
      <c r="B3812" t="s">
        <v>8</v>
      </c>
      <c r="C3812" t="s">
        <v>1493</v>
      </c>
      <c r="D3812" t="s">
        <v>23119</v>
      </c>
    </row>
    <row r="3813" spans="1:4" x14ac:dyDescent="0.2">
      <c r="B3813" t="s">
        <v>90</v>
      </c>
      <c r="C3813" t="s">
        <v>1494</v>
      </c>
      <c r="D3813" t="s">
        <v>1466</v>
      </c>
    </row>
    <row r="3815" spans="1:4" x14ac:dyDescent="0.2">
      <c r="A3815" t="s">
        <v>1495</v>
      </c>
      <c r="B3815" t="str">
        <f>HYPERLINK("https://lindat.mff.cuni.cz/services/teitok/pdtc10/index.php?action=vallex&amp;frame=v-w536f1", "dodávat (v-w536f1)")</f>
        <v>dodávat (v-w536f1)</v>
      </c>
    </row>
    <row r="3816" spans="1:4" x14ac:dyDescent="0.2">
      <c r="B3816" t="s">
        <v>1</v>
      </c>
      <c r="C3816" t="s">
        <v>1496</v>
      </c>
      <c r="D3816" t="s">
        <v>22967</v>
      </c>
    </row>
    <row r="3817" spans="1:4" x14ac:dyDescent="0.2">
      <c r="B3817" t="s">
        <v>1469</v>
      </c>
      <c r="C3817" t="s">
        <v>1497</v>
      </c>
      <c r="D3817" t="s">
        <v>23120</v>
      </c>
    </row>
    <row r="3818" spans="1:4" x14ac:dyDescent="0.2">
      <c r="B3818" t="s">
        <v>1471</v>
      </c>
      <c r="C3818" t="s">
        <v>1472</v>
      </c>
      <c r="D3818" t="s">
        <v>22968</v>
      </c>
    </row>
    <row r="3820" spans="1:4" x14ac:dyDescent="0.2">
      <c r="A3820" t="s">
        <v>1498</v>
      </c>
      <c r="B3820" t="str">
        <f>HYPERLINK("https://lindat.mff.cuni.cz/services/teitok/pdtc10/index.php?action=vallex&amp;frame=v-whsa_143f2_ZU", "dodělat (v-whsa_143f2_ZU)")</f>
        <v>dodělat (v-whsa_143f2_ZU)</v>
      </c>
    </row>
    <row r="3821" spans="1:4" x14ac:dyDescent="0.2">
      <c r="B3821" t="s">
        <v>1</v>
      </c>
    </row>
    <row r="3822" spans="1:4" x14ac:dyDescent="0.2">
      <c r="B3822" t="s">
        <v>8</v>
      </c>
    </row>
    <row r="3824" spans="1:4" x14ac:dyDescent="0.2">
      <c r="A3824" t="s">
        <v>1498</v>
      </c>
      <c r="B3824" t="str">
        <f>HYPERLINK("https://lindat.mff.cuni.cz/services/teitok/pdtc10/index.php?action=vallex&amp;frame=v-whsa_143f1_ZU", "dodělat (v-whsa_143f1_ZU) - substituted with v-whsa_143f2_ZU")</f>
        <v>dodělat (v-whsa_143f1_ZU) - substituted with v-whsa_143f2_ZU</v>
      </c>
    </row>
    <row r="3825" spans="1:2" x14ac:dyDescent="0.2">
      <c r="B3825" t="s">
        <v>1</v>
      </c>
    </row>
    <row r="3826" spans="1:2" x14ac:dyDescent="0.2">
      <c r="B3826" t="s">
        <v>8</v>
      </c>
    </row>
    <row r="3828" spans="1:2" x14ac:dyDescent="0.2">
      <c r="A3828" t="s">
        <v>1498</v>
      </c>
      <c r="B3828" t="str">
        <f>HYPERLINK("https://lindat.mff.cuni.cz/services/teitok/pdtc10/index.php?action=vallex&amp;frame=v-whsa_143hsa_144", "dodělat (v-whsa_143hsa_144) - substituted with v-whsa_143f2_ZU")</f>
        <v>dodělat (v-whsa_143hsa_144) - substituted with v-whsa_143f2_ZU</v>
      </c>
    </row>
    <row r="3829" spans="1:2" x14ac:dyDescent="0.2">
      <c r="B3829" t="s">
        <v>1</v>
      </c>
    </row>
    <row r="3830" spans="1:2" x14ac:dyDescent="0.2">
      <c r="B3830" t="s">
        <v>8</v>
      </c>
    </row>
    <row r="3832" spans="1:2" x14ac:dyDescent="0.2">
      <c r="A3832" t="s">
        <v>1499</v>
      </c>
      <c r="B3832" t="str">
        <f>HYPERLINK("https://lindat.mff.cuni.cz/services/teitok/pdtc10/index.php?action=vallex&amp;frame=v-w12181_ZUf1_ZU", "dodělat se (v-w12181_ZUf1_ZU)")</f>
        <v>dodělat se (v-w12181_ZUf1_ZU)</v>
      </c>
    </row>
    <row r="3833" spans="1:2" x14ac:dyDescent="0.2">
      <c r="B3833" t="s">
        <v>1</v>
      </c>
    </row>
    <row r="3835" spans="1:2" x14ac:dyDescent="0.2">
      <c r="A3835" t="s">
        <v>1500</v>
      </c>
      <c r="B3835" t="str">
        <f>HYPERLINK("https://lindat.mff.cuni.cz/services/teitok/pdtc10/index.php?action=vallex&amp;frame=v-w539f1", "dodělávat (v-w539f1)")</f>
        <v>dodělávat (v-w539f1)</v>
      </c>
    </row>
    <row r="3836" spans="1:2" x14ac:dyDescent="0.2">
      <c r="B3836" t="s">
        <v>1</v>
      </c>
    </row>
    <row r="3837" spans="1:2" x14ac:dyDescent="0.2">
      <c r="B3837" t="s">
        <v>8</v>
      </c>
    </row>
    <row r="3838" spans="1:2" x14ac:dyDescent="0.2">
      <c r="B3838" t="s">
        <v>24</v>
      </c>
    </row>
    <row r="3840" spans="1:2" x14ac:dyDescent="0.2">
      <c r="A3840" t="s">
        <v>1501</v>
      </c>
      <c r="B3840" t="str">
        <f>HYPERLINK("https://lindat.mff.cuni.cz/services/teitok/pdtc10/index.php?action=vallex&amp;frame=v-w539f2", "dodělávat (v-w539f2)")</f>
        <v>dodělávat (v-w539f2)</v>
      </c>
    </row>
    <row r="3841" spans="1:4" x14ac:dyDescent="0.2">
      <c r="B3841" t="s">
        <v>1</v>
      </c>
    </row>
    <row r="3842" spans="1:4" x14ac:dyDescent="0.2">
      <c r="B3842" t="s">
        <v>8</v>
      </c>
    </row>
    <row r="3844" spans="1:4" x14ac:dyDescent="0.2">
      <c r="A3844" t="s">
        <v>1502</v>
      </c>
      <c r="B3844" t="str">
        <f>HYPERLINK("https://lindat.mff.cuni.cz/services/teitok/pdtc10/index.php?action=vallex&amp;frame=v-w545f1", "dofinišovat (v-w545f1)")</f>
        <v>dofinišovat (v-w545f1)</v>
      </c>
    </row>
    <row r="3845" spans="1:4" x14ac:dyDescent="0.2">
      <c r="B3845" t="s">
        <v>1</v>
      </c>
    </row>
    <row r="3846" spans="1:4" x14ac:dyDescent="0.2">
      <c r="B3846" t="s">
        <v>90</v>
      </c>
    </row>
    <row r="3848" spans="1:4" x14ac:dyDescent="0.2">
      <c r="A3848" t="s">
        <v>1503</v>
      </c>
      <c r="B3848" t="str">
        <f>HYPERLINK("https://lindat.mff.cuni.cz/services/teitok/pdtc10/index.php?action=vallex&amp;frame=v-w549f1", "dohadovat (v-w549f1)")</f>
        <v>dohadovat (v-w549f1)</v>
      </c>
    </row>
    <row r="3849" spans="1:4" x14ac:dyDescent="0.2">
      <c r="B3849" t="s">
        <v>1</v>
      </c>
      <c r="C3849" t="s">
        <v>1504</v>
      </c>
      <c r="D3849" t="s">
        <v>6039</v>
      </c>
    </row>
    <row r="3850" spans="1:4" x14ac:dyDescent="0.2">
      <c r="B3850" t="s">
        <v>1505</v>
      </c>
      <c r="C3850" t="s">
        <v>1506</v>
      </c>
      <c r="D3850" t="s">
        <v>23123</v>
      </c>
    </row>
    <row r="3851" spans="1:4" x14ac:dyDescent="0.2">
      <c r="B3851" t="s">
        <v>153</v>
      </c>
      <c r="C3851" t="s">
        <v>1507</v>
      </c>
      <c r="D3851" t="s">
        <v>23124</v>
      </c>
    </row>
    <row r="3853" spans="1:4" x14ac:dyDescent="0.2">
      <c r="A3853" t="s">
        <v>1508</v>
      </c>
      <c r="B3853" t="str">
        <f>HYPERLINK("https://lindat.mff.cuni.cz/services/teitok/pdtc10/index.php?action=vallex&amp;frame=v-w550f1", "dohadovat se (v-w550f1)")</f>
        <v>dohadovat se (v-w550f1)</v>
      </c>
    </row>
    <row r="3854" spans="1:4" x14ac:dyDescent="0.2">
      <c r="B3854" t="s">
        <v>1</v>
      </c>
      <c r="C3854" t="s">
        <v>1065</v>
      </c>
      <c r="D3854" t="s">
        <v>80</v>
      </c>
    </row>
    <row r="3855" spans="1:4" x14ac:dyDescent="0.2">
      <c r="B3855" t="s">
        <v>1509</v>
      </c>
      <c r="C3855" t="s">
        <v>1510</v>
      </c>
      <c r="D3855" t="s">
        <v>6439</v>
      </c>
    </row>
    <row r="3856" spans="1:4" x14ac:dyDescent="0.2">
      <c r="B3856" t="s">
        <v>153</v>
      </c>
    </row>
    <row r="3858" spans="1:4" x14ac:dyDescent="0.2">
      <c r="A3858" t="s">
        <v>1511</v>
      </c>
      <c r="B3858" t="str">
        <f>HYPERLINK("https://lindat.mff.cuni.cz/services/teitok/pdtc10/index.php?action=vallex&amp;frame=v-whsa_1510f1_ZU", "dohasit (v-whsa_1510f1_ZU)")</f>
        <v>dohasit (v-whsa_1510f1_ZU)</v>
      </c>
    </row>
    <row r="3859" spans="1:4" x14ac:dyDescent="0.2">
      <c r="B3859" t="s">
        <v>1</v>
      </c>
    </row>
    <row r="3860" spans="1:4" x14ac:dyDescent="0.2">
      <c r="B3860" t="s">
        <v>8</v>
      </c>
    </row>
    <row r="3862" spans="1:4" x14ac:dyDescent="0.2">
      <c r="A3862" t="s">
        <v>1511</v>
      </c>
      <c r="B3862" t="str">
        <f>HYPERLINK("https://lindat.mff.cuni.cz/services/teitok/pdtc10/index.php?action=vallex&amp;frame=v-whsa_1510hsa_1511", "dohasit (v-whsa_1510hsa_1511) - substituted with v-whsa_1510f1_ZU")</f>
        <v>dohasit (v-whsa_1510hsa_1511) - substituted with v-whsa_1510f1_ZU</v>
      </c>
    </row>
    <row r="3863" spans="1:4" x14ac:dyDescent="0.2">
      <c r="B3863" t="s">
        <v>1</v>
      </c>
    </row>
    <row r="3864" spans="1:4" x14ac:dyDescent="0.2">
      <c r="B3864" t="s">
        <v>8</v>
      </c>
    </row>
    <row r="3866" spans="1:4" x14ac:dyDescent="0.2">
      <c r="A3866" t="s">
        <v>1512</v>
      </c>
      <c r="B3866" t="str">
        <f>HYPERLINK("https://lindat.mff.cuni.cz/services/teitok/pdtc10/index.php?action=vallex&amp;frame=v-w552f1", "dohasnout (v-w552f1)")</f>
        <v>dohasnout (v-w552f1)</v>
      </c>
    </row>
    <row r="3867" spans="1:4" x14ac:dyDescent="0.2">
      <c r="B3867" t="s">
        <v>1</v>
      </c>
    </row>
    <row r="3869" spans="1:4" x14ac:dyDescent="0.2">
      <c r="A3869" t="s">
        <v>1513</v>
      </c>
      <c r="B3869" t="str">
        <f>HYPERLINK("https://lindat.mff.cuni.cz/services/teitok/pdtc10/index.php?action=vallex&amp;frame=v-w554f1", "dohledávat (v-w554f1)")</f>
        <v>dohledávat (v-w554f1)</v>
      </c>
    </row>
    <row r="3870" spans="1:4" x14ac:dyDescent="0.2">
      <c r="B3870" t="s">
        <v>1</v>
      </c>
      <c r="D3870" t="s">
        <v>23125</v>
      </c>
    </row>
    <row r="3871" spans="1:4" x14ac:dyDescent="0.2">
      <c r="B3871" t="s">
        <v>1514</v>
      </c>
      <c r="D3871" t="s">
        <v>23126</v>
      </c>
    </row>
    <row r="3873" spans="1:4" x14ac:dyDescent="0.2">
      <c r="A3873" t="s">
        <v>1515</v>
      </c>
      <c r="B3873" t="str">
        <f>HYPERLINK("https://lindat.mff.cuni.cz/services/teitok/pdtc10/index.php?action=vallex&amp;frame=v-w555f1", "dohlédnout (v-w555f1)")</f>
        <v>dohlédnout (v-w555f1)</v>
      </c>
    </row>
    <row r="3874" spans="1:4" x14ac:dyDescent="0.2">
      <c r="B3874" t="s">
        <v>1</v>
      </c>
      <c r="C3874" t="s">
        <v>140</v>
      </c>
      <c r="D3874" t="s">
        <v>234</v>
      </c>
    </row>
    <row r="3875" spans="1:4" x14ac:dyDescent="0.2">
      <c r="B3875" t="s">
        <v>1516</v>
      </c>
      <c r="C3875" t="s">
        <v>1301</v>
      </c>
      <c r="D3875" t="s">
        <v>23127</v>
      </c>
    </row>
    <row r="3877" spans="1:4" x14ac:dyDescent="0.2">
      <c r="A3877" t="s">
        <v>1517</v>
      </c>
      <c r="B3877" t="str">
        <f>HYPERLINK("https://lindat.mff.cuni.cz/services/teitok/pdtc10/index.php?action=vallex&amp;frame=v-w555f2", "dohlédnout (v-w555f2)")</f>
        <v>dohlédnout (v-w555f2)</v>
      </c>
    </row>
    <row r="3878" spans="1:4" x14ac:dyDescent="0.2">
      <c r="B3878" t="s">
        <v>1</v>
      </c>
      <c r="C3878" t="s">
        <v>682</v>
      </c>
    </row>
    <row r="3879" spans="1:4" x14ac:dyDescent="0.2">
      <c r="B3879" t="s">
        <v>90</v>
      </c>
    </row>
    <row r="3881" spans="1:4" x14ac:dyDescent="0.2">
      <c r="A3881" t="s">
        <v>1518</v>
      </c>
      <c r="B3881" t="str">
        <f>HYPERLINK("https://lindat.mff.cuni.cz/services/teitok/pdtc10/index.php?action=vallex&amp;frame=v-whsa_1109hsa_1110", "dohlídnout (v-whsa_1109hsa_1110)")</f>
        <v>dohlídnout (v-whsa_1109hsa_1110)</v>
      </c>
    </row>
    <row r="3882" spans="1:4" x14ac:dyDescent="0.2">
      <c r="B3882" t="s">
        <v>1</v>
      </c>
    </row>
    <row r="3883" spans="1:4" x14ac:dyDescent="0.2">
      <c r="B3883" t="s">
        <v>1516</v>
      </c>
    </row>
    <row r="3885" spans="1:4" x14ac:dyDescent="0.2">
      <c r="A3885" t="s">
        <v>1519</v>
      </c>
      <c r="B3885" t="str">
        <f>HYPERLINK("https://lindat.mff.cuni.cz/services/teitok/pdtc10/index.php?action=vallex&amp;frame=v-w557f1", "dohlížet (v-w557f1)")</f>
        <v>dohlížet (v-w557f1)</v>
      </c>
    </row>
    <row r="3886" spans="1:4" x14ac:dyDescent="0.2">
      <c r="B3886" t="s">
        <v>1</v>
      </c>
      <c r="C3886" t="s">
        <v>1520</v>
      </c>
      <c r="D3886" t="s">
        <v>234</v>
      </c>
    </row>
    <row r="3887" spans="1:4" x14ac:dyDescent="0.2">
      <c r="B3887" t="s">
        <v>1521</v>
      </c>
      <c r="C3887" t="s">
        <v>1522</v>
      </c>
      <c r="D3887" t="s">
        <v>23127</v>
      </c>
    </row>
    <row r="3889" spans="1:4" x14ac:dyDescent="0.2">
      <c r="A3889" t="s">
        <v>1523</v>
      </c>
      <c r="B3889" t="str">
        <f>HYPERLINK("https://lindat.mff.cuni.cz/services/teitok/pdtc10/index.php?action=vallex&amp;frame=v-w558f2", "dohnat (v-w558f2)")</f>
        <v>dohnat (v-w558f2)</v>
      </c>
    </row>
    <row r="3890" spans="1:4" x14ac:dyDescent="0.2">
      <c r="B3890" t="s">
        <v>1</v>
      </c>
      <c r="C3890" t="s">
        <v>1524</v>
      </c>
      <c r="D3890" t="s">
        <v>154</v>
      </c>
    </row>
    <row r="3891" spans="1:4" x14ac:dyDescent="0.2">
      <c r="B3891" t="s">
        <v>176</v>
      </c>
      <c r="D3891" t="s">
        <v>23128</v>
      </c>
    </row>
    <row r="3892" spans="1:4" x14ac:dyDescent="0.2">
      <c r="B3892" t="s">
        <v>58</v>
      </c>
      <c r="C3892" t="s">
        <v>1525</v>
      </c>
      <c r="D3892" t="s">
        <v>23129</v>
      </c>
    </row>
    <row r="3894" spans="1:4" x14ac:dyDescent="0.2">
      <c r="A3894" t="s">
        <v>1526</v>
      </c>
      <c r="B3894" t="str">
        <f>HYPERLINK("https://lindat.mff.cuni.cz/services/teitok/pdtc10/index.php?action=vallex&amp;frame=v-w558f1", "dohnat (v-w558f1)")</f>
        <v>dohnat (v-w558f1)</v>
      </c>
    </row>
    <row r="3895" spans="1:4" x14ac:dyDescent="0.2">
      <c r="B3895" t="s">
        <v>1</v>
      </c>
      <c r="C3895" t="s">
        <v>715</v>
      </c>
      <c r="D3895" t="s">
        <v>715</v>
      </c>
    </row>
    <row r="3896" spans="1:4" x14ac:dyDescent="0.2">
      <c r="B3896" t="s">
        <v>8</v>
      </c>
      <c r="C3896" t="s">
        <v>202</v>
      </c>
      <c r="D3896" t="s">
        <v>202</v>
      </c>
    </row>
    <row r="3898" spans="1:4" x14ac:dyDescent="0.2">
      <c r="A3898" t="s">
        <v>1527</v>
      </c>
      <c r="B3898" t="str">
        <f>HYPERLINK("https://lindat.mff.cuni.cz/services/teitok/pdtc10/index.php?action=vallex&amp;frame=v-w558f3", "dohnat (v-w558f3)")</f>
        <v>dohnat (v-w558f3)</v>
      </c>
    </row>
    <row r="3899" spans="1:4" x14ac:dyDescent="0.2">
      <c r="B3899" t="s">
        <v>1</v>
      </c>
      <c r="D3899" t="s">
        <v>715</v>
      </c>
    </row>
    <row r="3900" spans="1:4" x14ac:dyDescent="0.2">
      <c r="B3900" t="s">
        <v>8</v>
      </c>
      <c r="D3900" t="s">
        <v>202</v>
      </c>
    </row>
    <row r="3902" spans="1:4" x14ac:dyDescent="0.2">
      <c r="A3902" t="s">
        <v>1528</v>
      </c>
      <c r="B3902" t="str">
        <f>HYPERLINK("https://lindat.mff.cuni.cz/services/teitok/pdtc10/index.php?action=vallex&amp;frame=v-w558f4", "dohnat (v-w558f4)")</f>
        <v>dohnat (v-w558f4)</v>
      </c>
    </row>
    <row r="3903" spans="1:4" x14ac:dyDescent="0.2">
      <c r="B3903" t="s">
        <v>1</v>
      </c>
      <c r="C3903" t="s">
        <v>1065</v>
      </c>
    </row>
    <row r="3904" spans="1:4" x14ac:dyDescent="0.2">
      <c r="B3904" t="s">
        <v>8</v>
      </c>
      <c r="C3904" t="s">
        <v>1529</v>
      </c>
    </row>
    <row r="3906" spans="1:2" x14ac:dyDescent="0.2">
      <c r="A3906" t="s">
        <v>1530</v>
      </c>
      <c r="B3906" t="str">
        <f>HYPERLINK("https://lindat.mff.cuni.cz/services/teitok/pdtc10/index.php?action=vallex&amp;frame=v-w558hsa_1047", "dohnat (v-w558hsa_1047)")</f>
        <v>dohnat (v-w558hsa_1047)</v>
      </c>
    </row>
    <row r="3907" spans="1:2" x14ac:dyDescent="0.2">
      <c r="B3907" t="s">
        <v>1</v>
      </c>
    </row>
    <row r="3908" spans="1:2" x14ac:dyDescent="0.2">
      <c r="B3908" t="s">
        <v>8</v>
      </c>
    </row>
    <row r="3909" spans="1:2" x14ac:dyDescent="0.2">
      <c r="B3909" t="s">
        <v>90</v>
      </c>
    </row>
    <row r="3911" spans="1:2" x14ac:dyDescent="0.2">
      <c r="A3911" t="s">
        <v>1531</v>
      </c>
      <c r="B3911" t="str">
        <f>HYPERLINK("https://lindat.mff.cuni.cz/services/teitok/pdtc10/index.php?action=vallex&amp;frame=v-w10107f2", "dohodit (v-w10107f2)")</f>
        <v>dohodit (v-w10107f2)</v>
      </c>
    </row>
    <row r="3912" spans="1:2" x14ac:dyDescent="0.2">
      <c r="B3912" t="s">
        <v>1</v>
      </c>
    </row>
    <row r="3913" spans="1:2" x14ac:dyDescent="0.2">
      <c r="B3913" t="s">
        <v>1532</v>
      </c>
    </row>
    <row r="3915" spans="1:2" x14ac:dyDescent="0.2">
      <c r="A3915" t="s">
        <v>1533</v>
      </c>
      <c r="B3915" t="str">
        <f>HYPERLINK("https://lindat.mff.cuni.cz/services/teitok/pdtc10/index.php?action=vallex&amp;frame=v-w10107f3_ZU", "dohodit (v-w10107f3_ZU)")</f>
        <v>dohodit (v-w10107f3_ZU)</v>
      </c>
    </row>
    <row r="3916" spans="1:2" x14ac:dyDescent="0.2">
      <c r="B3916" t="s">
        <v>1</v>
      </c>
    </row>
    <row r="3917" spans="1:2" x14ac:dyDescent="0.2">
      <c r="B3917" t="s">
        <v>1534</v>
      </c>
    </row>
    <row r="3919" spans="1:2" x14ac:dyDescent="0.2">
      <c r="A3919" t="s">
        <v>1533</v>
      </c>
      <c r="B3919" t="str">
        <f>HYPERLINK("https://lindat.mff.cuni.cz/services/teitok/pdtc10/index.php?action=vallex&amp;frame=v-w10107hsa_843", "dohodit (v-w10107hsa_843) - substituted with v-w10107f3_ZU")</f>
        <v>dohodit (v-w10107hsa_843) - substituted with v-w10107f3_ZU</v>
      </c>
    </row>
    <row r="3920" spans="1:2" x14ac:dyDescent="0.2">
      <c r="B3920" t="s">
        <v>1</v>
      </c>
    </row>
    <row r="3921" spans="1:4" x14ac:dyDescent="0.2">
      <c r="B3921" t="s">
        <v>1534</v>
      </c>
    </row>
    <row r="3923" spans="1:4" x14ac:dyDescent="0.2">
      <c r="A3923" t="s">
        <v>1535</v>
      </c>
      <c r="B3923" t="str">
        <f>HYPERLINK("https://lindat.mff.cuni.cz/services/teitok/pdtc10/index.php?action=vallex&amp;frame=v-w10107f4_ZU", "dohodit (v-w10107f4_ZU)")</f>
        <v>dohodit (v-w10107f4_ZU)</v>
      </c>
    </row>
    <row r="3924" spans="1:4" x14ac:dyDescent="0.2">
      <c r="B3924" t="s">
        <v>1</v>
      </c>
    </row>
    <row r="3925" spans="1:4" x14ac:dyDescent="0.2">
      <c r="B3925" t="s">
        <v>8</v>
      </c>
    </row>
    <row r="3926" spans="1:4" x14ac:dyDescent="0.2">
      <c r="B3926" t="s">
        <v>35</v>
      </c>
    </row>
    <row r="3928" spans="1:4" x14ac:dyDescent="0.2">
      <c r="A3928" t="s">
        <v>1536</v>
      </c>
      <c r="B3928" t="str">
        <f>HYPERLINK("https://lindat.mff.cuni.cz/services/teitok/pdtc10/index.php?action=vallex&amp;frame=v-w560f1", "dohodnout (v-w560f1)")</f>
        <v>dohodnout (v-w560f1)</v>
      </c>
    </row>
    <row r="3929" spans="1:4" x14ac:dyDescent="0.2">
      <c r="B3929" t="s">
        <v>1</v>
      </c>
      <c r="C3929" t="s">
        <v>1537</v>
      </c>
      <c r="D3929" t="s">
        <v>22965</v>
      </c>
    </row>
    <row r="3930" spans="1:4" x14ac:dyDescent="0.2">
      <c r="B3930" t="s">
        <v>120</v>
      </c>
      <c r="C3930" t="s">
        <v>1538</v>
      </c>
      <c r="D3930" t="s">
        <v>22966</v>
      </c>
    </row>
    <row r="3931" spans="1:4" x14ac:dyDescent="0.2">
      <c r="B3931" t="s">
        <v>153</v>
      </c>
      <c r="C3931" t="s">
        <v>987</v>
      </c>
      <c r="D3931" t="s">
        <v>4440</v>
      </c>
    </row>
    <row r="3933" spans="1:4" x14ac:dyDescent="0.2">
      <c r="A3933" t="s">
        <v>1539</v>
      </c>
      <c r="B3933" t="str">
        <f>HYPERLINK("https://lindat.mff.cuni.cz/services/teitok/pdtc10/index.php?action=vallex&amp;frame=v-w561f1", "dohodnout se (v-w561f1)")</f>
        <v>dohodnout se (v-w561f1)</v>
      </c>
    </row>
    <row r="3934" spans="1:4" x14ac:dyDescent="0.2">
      <c r="B3934" t="s">
        <v>1</v>
      </c>
      <c r="C3934" t="s">
        <v>1540</v>
      </c>
      <c r="D3934" t="s">
        <v>16793</v>
      </c>
    </row>
    <row r="3935" spans="1:4" x14ac:dyDescent="0.2">
      <c r="B3935" t="s">
        <v>1541</v>
      </c>
      <c r="C3935" t="s">
        <v>1542</v>
      </c>
      <c r="D3935" t="s">
        <v>23130</v>
      </c>
    </row>
    <row r="3936" spans="1:4" x14ac:dyDescent="0.2">
      <c r="B3936" t="s">
        <v>1543</v>
      </c>
      <c r="C3936" t="s">
        <v>1544</v>
      </c>
      <c r="D3936" t="s">
        <v>23131</v>
      </c>
    </row>
    <row r="3938" spans="1:3" x14ac:dyDescent="0.2">
      <c r="A3938" t="s">
        <v>1545</v>
      </c>
      <c r="B3938" t="str">
        <f>HYPERLINK("https://lindat.mff.cuni.cz/services/teitok/pdtc10/index.php?action=vallex&amp;frame=v-w563f1", "dohonit (v-w563f1)")</f>
        <v>dohonit (v-w563f1)</v>
      </c>
    </row>
    <row r="3939" spans="1:3" x14ac:dyDescent="0.2">
      <c r="B3939" t="s">
        <v>1</v>
      </c>
    </row>
    <row r="3940" spans="1:3" x14ac:dyDescent="0.2">
      <c r="B3940" t="s">
        <v>8</v>
      </c>
    </row>
    <row r="3942" spans="1:3" x14ac:dyDescent="0.2">
      <c r="A3942" t="s">
        <v>1546</v>
      </c>
      <c r="B3942" t="str">
        <f>HYPERLINK("https://lindat.mff.cuni.cz/services/teitok/pdtc10/index.php?action=vallex&amp;frame=v-w563hsa_1210", "dohonit (v-w563hsa_1210)")</f>
        <v>dohonit (v-w563hsa_1210)</v>
      </c>
    </row>
    <row r="3943" spans="1:3" x14ac:dyDescent="0.2">
      <c r="B3943" t="s">
        <v>1</v>
      </c>
    </row>
    <row r="3944" spans="1:3" x14ac:dyDescent="0.2">
      <c r="B3944" t="s">
        <v>8</v>
      </c>
    </row>
    <row r="3946" spans="1:3" x14ac:dyDescent="0.2">
      <c r="A3946" t="s">
        <v>1547</v>
      </c>
      <c r="B3946" t="str">
        <f>HYPERLINK("https://lindat.mff.cuni.cz/services/teitok/pdtc10/index.php?action=vallex&amp;frame=v-w563f2_ZU", "dohonit (v-w563f2_ZU)")</f>
        <v>dohonit (v-w563f2_ZU)</v>
      </c>
    </row>
    <row r="3947" spans="1:3" x14ac:dyDescent="0.2">
      <c r="B3947" t="s">
        <v>1</v>
      </c>
    </row>
    <row r="3948" spans="1:3" x14ac:dyDescent="0.2">
      <c r="B3948" t="s">
        <v>8</v>
      </c>
    </row>
    <row r="3950" spans="1:3" x14ac:dyDescent="0.2">
      <c r="A3950" t="s">
        <v>1548</v>
      </c>
      <c r="B3950" t="str">
        <f>HYPERLINK("https://lindat.mff.cuni.cz/services/teitok/pdtc10/index.php?action=vallex&amp;frame=v-w565f1", "dohrát (v-w565f1)")</f>
        <v>dohrát (v-w565f1)</v>
      </c>
    </row>
    <row r="3951" spans="1:3" x14ac:dyDescent="0.2">
      <c r="B3951" t="s">
        <v>1</v>
      </c>
      <c r="C3951" t="s">
        <v>1549</v>
      </c>
    </row>
    <row r="3952" spans="1:3" x14ac:dyDescent="0.2">
      <c r="B3952" t="s">
        <v>8</v>
      </c>
      <c r="C3952" t="s">
        <v>338</v>
      </c>
    </row>
    <row r="3954" spans="1:4" x14ac:dyDescent="0.2">
      <c r="A3954" t="s">
        <v>1550</v>
      </c>
      <c r="B3954" t="str">
        <f>HYPERLINK("https://lindat.mff.cuni.cz/services/teitok/pdtc10/index.php?action=vallex&amp;frame=v-w566f1", "dohrávat (v-w566f1)")</f>
        <v>dohrávat (v-w566f1)</v>
      </c>
    </row>
    <row r="3955" spans="1:4" x14ac:dyDescent="0.2">
      <c r="B3955" t="s">
        <v>1</v>
      </c>
    </row>
    <row r="3956" spans="1:4" x14ac:dyDescent="0.2">
      <c r="B3956" t="s">
        <v>8</v>
      </c>
    </row>
    <row r="3958" spans="1:4" x14ac:dyDescent="0.2">
      <c r="A3958" t="s">
        <v>1551</v>
      </c>
      <c r="B3958" t="str">
        <f>HYPERLINK("https://lindat.mff.cuni.cz/services/teitok/pdtc10/index.php?action=vallex&amp;frame=v-w551f2_ZU", "dohánět (v-w551f2_ZU)")</f>
        <v>dohánět (v-w551f2_ZU)</v>
      </c>
    </row>
    <row r="3959" spans="1:4" x14ac:dyDescent="0.2">
      <c r="B3959" t="s">
        <v>1</v>
      </c>
      <c r="C3959" t="s">
        <v>83</v>
      </c>
      <c r="D3959" t="s">
        <v>154</v>
      </c>
    </row>
    <row r="3960" spans="1:4" x14ac:dyDescent="0.2">
      <c r="B3960" t="s">
        <v>176</v>
      </c>
      <c r="C3960" t="s">
        <v>1552</v>
      </c>
      <c r="D3960" t="s">
        <v>23128</v>
      </c>
    </row>
    <row r="3961" spans="1:4" x14ac:dyDescent="0.2">
      <c r="B3961" t="s">
        <v>58</v>
      </c>
      <c r="C3961" t="s">
        <v>1553</v>
      </c>
      <c r="D3961" t="s">
        <v>23129</v>
      </c>
    </row>
    <row r="3963" spans="1:4" x14ac:dyDescent="0.2">
      <c r="A3963" t="s">
        <v>1554</v>
      </c>
      <c r="B3963" t="str">
        <f>HYPERLINK("https://lindat.mff.cuni.cz/services/teitok/pdtc10/index.php?action=vallex&amp;frame=v-w551f1", "dohánět (v-w551f1)")</f>
        <v>dohánět (v-w551f1)</v>
      </c>
    </row>
    <row r="3964" spans="1:4" x14ac:dyDescent="0.2">
      <c r="B3964" t="s">
        <v>1</v>
      </c>
      <c r="C3964" t="s">
        <v>715</v>
      </c>
      <c r="D3964" t="s">
        <v>715</v>
      </c>
    </row>
    <row r="3965" spans="1:4" x14ac:dyDescent="0.2">
      <c r="B3965" t="s">
        <v>8</v>
      </c>
      <c r="C3965" t="s">
        <v>202</v>
      </c>
      <c r="D3965" t="s">
        <v>202</v>
      </c>
    </row>
    <row r="3967" spans="1:4" x14ac:dyDescent="0.2">
      <c r="A3967" t="s">
        <v>1555</v>
      </c>
      <c r="B3967" t="str">
        <f>HYPERLINK("https://lindat.mff.cuni.cz/services/teitok/pdtc10/index.php?action=vallex&amp;frame=v-w573f1", "dojednat (v-w573f1)")</f>
        <v>dojednat (v-w573f1)</v>
      </c>
    </row>
    <row r="3968" spans="1:4" x14ac:dyDescent="0.2">
      <c r="B3968" t="s">
        <v>1</v>
      </c>
      <c r="C3968" t="s">
        <v>1556</v>
      </c>
      <c r="D3968" t="s">
        <v>6039</v>
      </c>
    </row>
    <row r="3969" spans="1:4" x14ac:dyDescent="0.2">
      <c r="B3969" t="s">
        <v>1557</v>
      </c>
      <c r="C3969" t="s">
        <v>1558</v>
      </c>
      <c r="D3969" t="s">
        <v>23123</v>
      </c>
    </row>
    <row r="3970" spans="1:4" x14ac:dyDescent="0.2">
      <c r="B3970" t="s">
        <v>153</v>
      </c>
      <c r="C3970" t="s">
        <v>1559</v>
      </c>
      <c r="D3970" t="s">
        <v>23124</v>
      </c>
    </row>
    <row r="3972" spans="1:4" x14ac:dyDescent="0.2">
      <c r="A3972" t="s">
        <v>1560</v>
      </c>
      <c r="B3972" t="str">
        <f>HYPERLINK("https://lindat.mff.cuni.cz/services/teitok/pdtc10/index.php?action=vallex&amp;frame=v-w10384f2", "dojednávat (v-w10384f2)")</f>
        <v>dojednávat (v-w10384f2)</v>
      </c>
    </row>
    <row r="3973" spans="1:4" x14ac:dyDescent="0.2">
      <c r="B3973" t="s">
        <v>1</v>
      </c>
      <c r="C3973" t="s">
        <v>1561</v>
      </c>
      <c r="D3973" t="s">
        <v>6039</v>
      </c>
    </row>
    <row r="3974" spans="1:4" x14ac:dyDescent="0.2">
      <c r="B3974" t="s">
        <v>1557</v>
      </c>
      <c r="C3974" t="s">
        <v>1562</v>
      </c>
      <c r="D3974" t="s">
        <v>23123</v>
      </c>
    </row>
    <row r="3975" spans="1:4" x14ac:dyDescent="0.2">
      <c r="B3975" t="s">
        <v>153</v>
      </c>
      <c r="C3975" t="s">
        <v>1563</v>
      </c>
      <c r="D3975" t="s">
        <v>23124</v>
      </c>
    </row>
    <row r="3977" spans="1:4" x14ac:dyDescent="0.2">
      <c r="A3977" t="s">
        <v>1564</v>
      </c>
      <c r="B3977" t="str">
        <f>HYPERLINK("https://lindat.mff.cuni.cz/services/teitok/pdtc10/index.php?action=vallex&amp;frame=v-w576f2", "dojet (v-w576f2)")</f>
        <v>dojet (v-w576f2)</v>
      </c>
    </row>
    <row r="3978" spans="1:4" x14ac:dyDescent="0.2">
      <c r="B3978" t="s">
        <v>1</v>
      </c>
    </row>
    <row r="3979" spans="1:4" x14ac:dyDescent="0.2">
      <c r="B3979" t="s">
        <v>8</v>
      </c>
    </row>
    <row r="3981" spans="1:4" x14ac:dyDescent="0.2">
      <c r="A3981" t="s">
        <v>1565</v>
      </c>
      <c r="B3981" t="str">
        <f>HYPERLINK("https://lindat.mff.cuni.cz/services/teitok/pdtc10/index.php?action=vallex&amp;frame=v-w576f1", "dojet (v-w576f1)")</f>
        <v>dojet (v-w576f1)</v>
      </c>
    </row>
    <row r="3982" spans="1:4" x14ac:dyDescent="0.2">
      <c r="B3982" t="s">
        <v>1</v>
      </c>
      <c r="C3982" t="s">
        <v>1566</v>
      </c>
    </row>
    <row r="3983" spans="1:4" x14ac:dyDescent="0.2">
      <c r="B3983" t="s">
        <v>90</v>
      </c>
    </row>
    <row r="3985" spans="1:4" x14ac:dyDescent="0.2">
      <c r="A3985" t="s">
        <v>1567</v>
      </c>
      <c r="B3985" t="str">
        <f>HYPERLINK("https://lindat.mff.cuni.cz/services/teitok/pdtc10/index.php?action=vallex&amp;frame=v-w576f3_ZU", "dojet (v-w576f3_ZU)")</f>
        <v>dojet (v-w576f3_ZU)</v>
      </c>
    </row>
    <row r="3986" spans="1:4" x14ac:dyDescent="0.2">
      <c r="B3986" t="s">
        <v>1</v>
      </c>
    </row>
    <row r="3987" spans="1:4" x14ac:dyDescent="0.2">
      <c r="B3987" t="s">
        <v>8</v>
      </c>
    </row>
    <row r="3989" spans="1:4" x14ac:dyDescent="0.2">
      <c r="A3989" t="s">
        <v>1568</v>
      </c>
      <c r="B3989" t="str">
        <f>HYPERLINK("https://lindat.mff.cuni.cz/services/teitok/pdtc10/index.php?action=vallex&amp;frame=v-w581f1", "dojit (v-w581f1)")</f>
        <v>dojit (v-w581f1)</v>
      </c>
    </row>
    <row r="3990" spans="1:4" x14ac:dyDescent="0.2">
      <c r="B3990" t="s">
        <v>1</v>
      </c>
      <c r="C3990" t="s">
        <v>140</v>
      </c>
    </row>
    <row r="3991" spans="1:4" x14ac:dyDescent="0.2">
      <c r="B3991" t="s">
        <v>8</v>
      </c>
      <c r="C3991" t="s">
        <v>1301</v>
      </c>
    </row>
    <row r="3993" spans="1:4" x14ac:dyDescent="0.2">
      <c r="A3993" t="s">
        <v>1569</v>
      </c>
      <c r="B3993" t="str">
        <f>HYPERLINK("https://lindat.mff.cuni.cz/services/teitok/pdtc10/index.php?action=vallex&amp;frame=v-w581f2", "dojit (v-w581f2)")</f>
        <v>dojit (v-w581f2)</v>
      </c>
    </row>
    <row r="3994" spans="1:4" x14ac:dyDescent="0.2">
      <c r="B3994" t="s">
        <v>1</v>
      </c>
    </row>
    <row r="3995" spans="1:4" x14ac:dyDescent="0.2">
      <c r="B3995" t="s">
        <v>220</v>
      </c>
    </row>
    <row r="3997" spans="1:4" x14ac:dyDescent="0.2">
      <c r="A3997" t="s">
        <v>1570</v>
      </c>
      <c r="B3997" t="str">
        <f>HYPERLINK("https://lindat.mff.cuni.cz/services/teitok/pdtc10/index.php?action=vallex&amp;frame=v-w585f1", "dojmout (v-w585f1)")</f>
        <v>dojmout (v-w585f1)</v>
      </c>
    </row>
    <row r="3998" spans="1:4" x14ac:dyDescent="0.2">
      <c r="B3998" t="s">
        <v>1</v>
      </c>
      <c r="C3998" t="s">
        <v>140</v>
      </c>
      <c r="D3998" t="s">
        <v>13402</v>
      </c>
    </row>
    <row r="3999" spans="1:4" x14ac:dyDescent="0.2">
      <c r="B3999" t="s">
        <v>8</v>
      </c>
      <c r="D3999" t="s">
        <v>54</v>
      </c>
    </row>
    <row r="4001" spans="1:4" x14ac:dyDescent="0.2">
      <c r="A4001" t="s">
        <v>1571</v>
      </c>
      <c r="B4001" t="str">
        <f>HYPERLINK("https://lindat.mff.cuni.cz/services/teitok/pdtc10/index.php?action=vallex&amp;frame=v-w580f1", "dojímat (v-w580f1)")</f>
        <v>dojímat (v-w580f1)</v>
      </c>
    </row>
    <row r="4002" spans="1:4" x14ac:dyDescent="0.2">
      <c r="B4002" t="s">
        <v>1</v>
      </c>
    </row>
    <row r="4003" spans="1:4" x14ac:dyDescent="0.2">
      <c r="B4003" t="s">
        <v>8</v>
      </c>
    </row>
    <row r="4005" spans="1:4" x14ac:dyDescent="0.2">
      <c r="A4005" t="s">
        <v>1572</v>
      </c>
      <c r="B4005" t="str">
        <f>HYPERLINK("https://lindat.mff.cuni.cz/services/teitok/pdtc10/index.php?action=vallex&amp;frame=v-w11883_ZUf1_ZU", "dojíst (v-w11883_ZUf1_ZU)")</f>
        <v>dojíst (v-w11883_ZUf1_ZU)</v>
      </c>
    </row>
    <row r="4006" spans="1:4" x14ac:dyDescent="0.2">
      <c r="B4006" t="s">
        <v>1</v>
      </c>
    </row>
    <row r="4007" spans="1:4" x14ac:dyDescent="0.2">
      <c r="B4007" t="s">
        <v>8</v>
      </c>
    </row>
    <row r="4009" spans="1:4" x14ac:dyDescent="0.2">
      <c r="A4009" t="s">
        <v>1573</v>
      </c>
      <c r="B4009" t="str">
        <f>HYPERLINK("https://lindat.mff.cuni.cz/services/teitok/pdtc10/index.php?action=vallex&amp;frame=v-w582f15_ZU", "dojít (v-w582f15_ZU)")</f>
        <v>dojít (v-w582f15_ZU)</v>
      </c>
    </row>
    <row r="4010" spans="1:4" x14ac:dyDescent="0.2">
      <c r="B4010" t="s">
        <v>1</v>
      </c>
    </row>
    <row r="4011" spans="1:4" x14ac:dyDescent="0.2">
      <c r="B4011" t="s">
        <v>1574</v>
      </c>
    </row>
    <row r="4013" spans="1:4" x14ac:dyDescent="0.2">
      <c r="A4013" t="s">
        <v>1573</v>
      </c>
      <c r="B4013" t="str">
        <f>HYPERLINK("https://lindat.mff.cuni.cz/services/teitok/pdtc10/index.php?action=vallex&amp;frame=v-w582f7", "dojít (v-w582f7) - substituted with v-w582f15_ZU")</f>
        <v>dojít (v-w582f7) - substituted with v-w582f15_ZU</v>
      </c>
    </row>
    <row r="4014" spans="1:4" x14ac:dyDescent="0.2">
      <c r="B4014" t="s">
        <v>1</v>
      </c>
      <c r="D4014" t="s">
        <v>23109</v>
      </c>
    </row>
    <row r="4015" spans="1:4" x14ac:dyDescent="0.2">
      <c r="B4015" t="s">
        <v>1574</v>
      </c>
      <c r="D4015" t="s">
        <v>23110</v>
      </c>
    </row>
    <row r="4017" spans="1:4" x14ac:dyDescent="0.2">
      <c r="A4017" t="s">
        <v>1575</v>
      </c>
      <c r="B4017" t="str">
        <f>HYPERLINK("https://lindat.mff.cuni.cz/services/teitok/pdtc10/index.php?action=vallex&amp;frame=v-w582f11", "dojít (v-w582f11)")</f>
        <v>dojít (v-w582f11)</v>
      </c>
    </row>
    <row r="4018" spans="1:4" x14ac:dyDescent="0.2">
      <c r="B4018" t="s">
        <v>1</v>
      </c>
    </row>
    <row r="4019" spans="1:4" x14ac:dyDescent="0.2">
      <c r="B4019" t="s">
        <v>8</v>
      </c>
    </row>
    <row r="4021" spans="1:4" x14ac:dyDescent="0.2">
      <c r="A4021" t="s">
        <v>1576</v>
      </c>
      <c r="B4021" t="str">
        <f>HYPERLINK("https://lindat.mff.cuni.cz/services/teitok/pdtc10/index.php?action=vallex&amp;frame=v-w582f17_ZU", "dojít (v-w582f17_ZU)")</f>
        <v>dojít (v-w582f17_ZU)</v>
      </c>
    </row>
    <row r="4022" spans="1:4" x14ac:dyDescent="0.2">
      <c r="B4022" t="s">
        <v>1</v>
      </c>
    </row>
    <row r="4023" spans="1:4" x14ac:dyDescent="0.2">
      <c r="B4023" t="s">
        <v>176</v>
      </c>
    </row>
    <row r="4025" spans="1:4" x14ac:dyDescent="0.2">
      <c r="A4025" t="s">
        <v>1576</v>
      </c>
      <c r="B4025" t="str">
        <f>HYPERLINK("https://lindat.mff.cuni.cz/services/teitok/pdtc10/index.php?action=vallex&amp;frame=v-w582f2", "dojít (v-w582f2) - substituted with v-w582f17_ZU")</f>
        <v>dojít (v-w582f2) - substituted with v-w582f17_ZU</v>
      </c>
    </row>
    <row r="4026" spans="1:4" x14ac:dyDescent="0.2">
      <c r="B4026" t="s">
        <v>1</v>
      </c>
      <c r="C4026" t="s">
        <v>1577</v>
      </c>
      <c r="D4026" t="s">
        <v>15195</v>
      </c>
    </row>
    <row r="4027" spans="1:4" x14ac:dyDescent="0.2">
      <c r="B4027" t="s">
        <v>176</v>
      </c>
      <c r="C4027" t="s">
        <v>1578</v>
      </c>
      <c r="D4027" t="s">
        <v>986</v>
      </c>
    </row>
    <row r="4029" spans="1:4" x14ac:dyDescent="0.2">
      <c r="A4029" t="s">
        <v>1579</v>
      </c>
      <c r="B4029" t="str">
        <f>HYPERLINK("https://lindat.mff.cuni.cz/services/teitok/pdtc10/index.php?action=vallex&amp;frame=v-w582f20_ZU", "dojít (v-w582f20_ZU)")</f>
        <v>dojít (v-w582f20_ZU)</v>
      </c>
    </row>
    <row r="4030" spans="1:4" x14ac:dyDescent="0.2">
      <c r="B4030" t="s">
        <v>455</v>
      </c>
    </row>
    <row r="4031" spans="1:4" x14ac:dyDescent="0.2">
      <c r="B4031" t="s">
        <v>1580</v>
      </c>
    </row>
    <row r="4033" spans="1:4" x14ac:dyDescent="0.2">
      <c r="A4033" t="s">
        <v>1579</v>
      </c>
      <c r="B4033" t="str">
        <f>HYPERLINK("https://lindat.mff.cuni.cz/services/teitok/pdtc10/index.php?action=vallex&amp;frame=v-w582f6", "dojít (v-w582f6) - substituted with v-w582f20_ZU")</f>
        <v>dojít (v-w582f6) - substituted with v-w582f20_ZU</v>
      </c>
    </row>
    <row r="4034" spans="1:4" x14ac:dyDescent="0.2">
      <c r="B4034" t="s">
        <v>455</v>
      </c>
      <c r="C4034" t="s">
        <v>1581</v>
      </c>
    </row>
    <row r="4035" spans="1:4" x14ac:dyDescent="0.2">
      <c r="B4035" t="s">
        <v>1580</v>
      </c>
      <c r="C4035" t="s">
        <v>977</v>
      </c>
    </row>
    <row r="4037" spans="1:4" x14ac:dyDescent="0.2">
      <c r="A4037" t="s">
        <v>1582</v>
      </c>
      <c r="B4037" t="str">
        <f>HYPERLINK("https://lindat.mff.cuni.cz/services/teitok/pdtc10/index.php?action=vallex&amp;frame=v-w582f19_ZU", "dojít (v-w582f19_ZU)")</f>
        <v>dojít (v-w582f19_ZU)</v>
      </c>
    </row>
    <row r="4038" spans="1:4" x14ac:dyDescent="0.2">
      <c r="B4038" t="s">
        <v>1</v>
      </c>
    </row>
    <row r="4039" spans="1:4" x14ac:dyDescent="0.2">
      <c r="B4039" t="s">
        <v>90</v>
      </c>
    </row>
    <row r="4041" spans="1:4" x14ac:dyDescent="0.2">
      <c r="A4041" t="s">
        <v>1582</v>
      </c>
      <c r="B4041" t="str">
        <f>HYPERLINK("https://lindat.mff.cuni.cz/services/teitok/pdtc10/index.php?action=vallex&amp;frame=v-w582f18_ZU", "dojít (v-w582f18_ZU) - substituted with v-w582f19_ZU")</f>
        <v>dojít (v-w582f18_ZU) - substituted with v-w582f19_ZU</v>
      </c>
    </row>
    <row r="4042" spans="1:4" x14ac:dyDescent="0.2">
      <c r="B4042" t="s">
        <v>1</v>
      </c>
    </row>
    <row r="4043" spans="1:4" x14ac:dyDescent="0.2">
      <c r="B4043" t="s">
        <v>90</v>
      </c>
    </row>
    <row r="4045" spans="1:4" x14ac:dyDescent="0.2">
      <c r="A4045" t="s">
        <v>1582</v>
      </c>
      <c r="B4045" t="str">
        <f>HYPERLINK("https://lindat.mff.cuni.cz/services/teitok/pdtc10/index.php?action=vallex&amp;frame=v-w582f3", "dojít (v-w582f3) - substituted with v-w582f19_ZU")</f>
        <v>dojít (v-w582f3) - substituted with v-w582f19_ZU</v>
      </c>
    </row>
    <row r="4046" spans="1:4" x14ac:dyDescent="0.2">
      <c r="B4046" t="s">
        <v>1</v>
      </c>
      <c r="C4046" t="s">
        <v>1583</v>
      </c>
      <c r="D4046" t="s">
        <v>23107</v>
      </c>
    </row>
    <row r="4047" spans="1:4" x14ac:dyDescent="0.2">
      <c r="B4047" t="s">
        <v>90</v>
      </c>
      <c r="C4047" t="s">
        <v>1584</v>
      </c>
      <c r="D4047" t="s">
        <v>23108</v>
      </c>
    </row>
    <row r="4049" spans="1:4" x14ac:dyDescent="0.2">
      <c r="A4049" t="s">
        <v>1585</v>
      </c>
      <c r="B4049" t="str">
        <f>HYPERLINK("https://lindat.mff.cuni.cz/services/teitok/pdtc10/index.php?action=vallex&amp;frame=v-w582f9", "dojít (v-w582f9)")</f>
        <v>dojít (v-w582f9)</v>
      </c>
    </row>
    <row r="4050" spans="1:4" x14ac:dyDescent="0.2">
      <c r="B4050" t="s">
        <v>1</v>
      </c>
      <c r="C4050" t="s">
        <v>1586</v>
      </c>
      <c r="D4050" t="s">
        <v>23107</v>
      </c>
    </row>
    <row r="4051" spans="1:4" x14ac:dyDescent="0.2">
      <c r="B4051" t="s">
        <v>90</v>
      </c>
      <c r="D4051" t="s">
        <v>23108</v>
      </c>
    </row>
    <row r="4053" spans="1:4" x14ac:dyDescent="0.2">
      <c r="A4053" t="s">
        <v>1587</v>
      </c>
      <c r="B4053" t="str">
        <f>HYPERLINK("https://lindat.mff.cuni.cz/services/teitok/pdtc10/index.php?action=vallex&amp;frame=v-w582f13_ZU", "dojít (v-w582f13_ZU)")</f>
        <v>dojít (v-w582f13_ZU)</v>
      </c>
    </row>
    <row r="4054" spans="1:4" x14ac:dyDescent="0.2">
      <c r="B4054" t="s">
        <v>1</v>
      </c>
      <c r="C4054" t="s">
        <v>201</v>
      </c>
      <c r="D4054" t="s">
        <v>553</v>
      </c>
    </row>
    <row r="4056" spans="1:4" x14ac:dyDescent="0.2">
      <c r="A4056" t="s">
        <v>1587</v>
      </c>
      <c r="B4056" t="str">
        <f>HYPERLINK("https://lindat.mff.cuni.cz/services/teitok/pdtc10/index.php?action=vallex&amp;frame=v-w582f4", "dojít (v-w582f4) - substituted with v-w582f13_ZU")</f>
        <v>dojít (v-w582f4) - substituted with v-w582f13_ZU</v>
      </c>
    </row>
    <row r="4057" spans="1:4" x14ac:dyDescent="0.2">
      <c r="B4057" t="s">
        <v>1</v>
      </c>
      <c r="C4057" t="s">
        <v>1588</v>
      </c>
    </row>
    <row r="4059" spans="1:4" x14ac:dyDescent="0.2">
      <c r="A4059" t="s">
        <v>1589</v>
      </c>
      <c r="B4059" t="str">
        <f>HYPERLINK("https://lindat.mff.cuni.cz/services/teitok/pdtc10/index.php?action=vallex&amp;frame=v-w582f10", "dojít (v-w582f10)")</f>
        <v>dojít (v-w582f10)</v>
      </c>
    </row>
    <row r="4060" spans="1:4" x14ac:dyDescent="0.2">
      <c r="B4060" t="s">
        <v>1</v>
      </c>
    </row>
    <row r="4062" spans="1:4" x14ac:dyDescent="0.2">
      <c r="A4062" t="s">
        <v>1590</v>
      </c>
      <c r="B4062" t="str">
        <f>HYPERLINK("https://lindat.mff.cuni.cz/services/teitok/pdtc10/index.php?action=vallex&amp;frame=v-w582f14_ZU", "dojít (v-w582f14_ZU)")</f>
        <v>dojít (v-w582f14_ZU)</v>
      </c>
    </row>
    <row r="4063" spans="1:4" x14ac:dyDescent="0.2">
      <c r="B4063" t="s">
        <v>1433</v>
      </c>
      <c r="D4063" t="s">
        <v>22988</v>
      </c>
    </row>
    <row r="4065" spans="1:4" x14ac:dyDescent="0.2">
      <c r="A4065" t="s">
        <v>1590</v>
      </c>
      <c r="B4065" t="str">
        <f>HYPERLINK("https://lindat.mff.cuni.cz/services/teitok/pdtc10/index.php?action=vallex&amp;frame=v-w582f1", "dojít (v-w582f1) - substituted with v-w582f14_ZU")</f>
        <v>dojít (v-w582f1) - substituted with v-w582f14_ZU</v>
      </c>
    </row>
    <row r="4066" spans="1:4" x14ac:dyDescent="0.2">
      <c r="B4066" t="s">
        <v>1433</v>
      </c>
      <c r="C4066" t="s">
        <v>1591</v>
      </c>
    </row>
    <row r="4068" spans="1:4" x14ac:dyDescent="0.2">
      <c r="A4068" t="s">
        <v>1592</v>
      </c>
      <c r="B4068" t="str">
        <f>HYPERLINK("https://lindat.mff.cuni.cz/services/teitok/pdtc10/index.php?action=vallex&amp;frame=v-w582f5", "dojít (v-w582f5)")</f>
        <v>dojít (v-w582f5)</v>
      </c>
    </row>
    <row r="4069" spans="1:4" x14ac:dyDescent="0.2">
      <c r="B4069" t="s">
        <v>761</v>
      </c>
      <c r="C4069" t="s">
        <v>1593</v>
      </c>
      <c r="D4069" t="s">
        <v>22988</v>
      </c>
    </row>
    <row r="4071" spans="1:4" x14ac:dyDescent="0.2">
      <c r="A4071" t="s">
        <v>1594</v>
      </c>
      <c r="B4071" t="str">
        <f>HYPERLINK("https://lindat.mff.cuni.cz/services/teitok/pdtc10/index.php?action=vallex&amp;frame=v-w582f8", "dojít (v-w582f8)")</f>
        <v>dojít (v-w582f8)</v>
      </c>
    </row>
    <row r="4072" spans="1:4" x14ac:dyDescent="0.2">
      <c r="B4072" t="s">
        <v>761</v>
      </c>
      <c r="C4072" t="s">
        <v>1593</v>
      </c>
    </row>
    <row r="4074" spans="1:4" x14ac:dyDescent="0.2">
      <c r="A4074" t="s">
        <v>1595</v>
      </c>
      <c r="B4074" t="str">
        <f>HYPERLINK("https://lindat.mff.cuni.cz/services/teitok/pdtc10/index.php?action=vallex&amp;frame=v-w582f12_ZU", "dojít (v-w582f12_ZU)")</f>
        <v>dojít (v-w582f12_ZU)</v>
      </c>
    </row>
    <row r="4075" spans="1:4" x14ac:dyDescent="0.2">
      <c r="B4075" t="s">
        <v>1</v>
      </c>
      <c r="C4075" t="s">
        <v>1596</v>
      </c>
    </row>
    <row r="4076" spans="1:4" x14ac:dyDescent="0.2">
      <c r="B4076" t="s">
        <v>1597</v>
      </c>
    </row>
    <row r="4078" spans="1:4" x14ac:dyDescent="0.2">
      <c r="A4078" t="s">
        <v>1598</v>
      </c>
      <c r="B4078" t="str">
        <f>HYPERLINK("https://lindat.mff.cuni.cz/services/teitok/pdtc10/index.php?action=vallex&amp;frame=v-w582f16_ZU", "dojít (v-w582f16_ZU)")</f>
        <v>dojít (v-w582f16_ZU)</v>
      </c>
    </row>
    <row r="4079" spans="1:4" x14ac:dyDescent="0.2">
      <c r="B4079" t="s">
        <v>1</v>
      </c>
    </row>
    <row r="4080" spans="1:4" x14ac:dyDescent="0.2">
      <c r="B4080" t="s">
        <v>8</v>
      </c>
    </row>
    <row r="4082" spans="1:2" x14ac:dyDescent="0.2">
      <c r="A4082" t="s">
        <v>1598</v>
      </c>
      <c r="B4082" t="str">
        <f>HYPERLINK("https://lindat.mff.cuni.cz/services/teitok/pdtc10/index.php?action=vallex&amp;frame=v-w582hsa_243", "dojít (v-w582hsa_243) - substituted with v-w582f16_ZU")</f>
        <v>dojít (v-w582hsa_243) - substituted with v-w582f16_ZU</v>
      </c>
    </row>
    <row r="4083" spans="1:2" x14ac:dyDescent="0.2">
      <c r="B4083" t="s">
        <v>1</v>
      </c>
    </row>
    <row r="4084" spans="1:2" x14ac:dyDescent="0.2">
      <c r="B4084" t="s">
        <v>8</v>
      </c>
    </row>
    <row r="4086" spans="1:2" x14ac:dyDescent="0.2">
      <c r="A4086" t="s">
        <v>1599</v>
      </c>
      <c r="B4086" t="str">
        <f>HYPERLINK("https://lindat.mff.cuni.cz/services/teitok/pdtc10/index.php?action=vallex&amp;frame=v-w582f21_ZU", "dojít (v-w582f21_ZU)")</f>
        <v>dojít (v-w582f21_ZU)</v>
      </c>
    </row>
    <row r="4087" spans="1:2" x14ac:dyDescent="0.2">
      <c r="B4087" t="s">
        <v>1</v>
      </c>
    </row>
    <row r="4088" spans="1:2" x14ac:dyDescent="0.2">
      <c r="B4088" t="s">
        <v>103</v>
      </c>
    </row>
    <row r="4090" spans="1:2" x14ac:dyDescent="0.2">
      <c r="A4090" t="s">
        <v>1600</v>
      </c>
      <c r="B4090" t="str">
        <f>HYPERLINK("https://lindat.mff.cuni.cz/services/teitok/pdtc10/index.php?action=vallex&amp;frame=v-w582hsa_310", "dojít (v-w582hsa_310)")</f>
        <v>dojít (v-w582hsa_310)</v>
      </c>
    </row>
    <row r="4091" spans="1:2" x14ac:dyDescent="0.2">
      <c r="B4091" t="s">
        <v>1</v>
      </c>
    </row>
    <row r="4092" spans="1:2" x14ac:dyDescent="0.2">
      <c r="B4092" t="s">
        <v>8</v>
      </c>
    </row>
    <row r="4094" spans="1:2" x14ac:dyDescent="0.2">
      <c r="A4094" t="s">
        <v>1601</v>
      </c>
      <c r="B4094" t="str">
        <f>HYPERLINK("https://lindat.mff.cuni.cz/services/teitok/pdtc10/index.php?action=vallex&amp;frame=v-w584f2", "dojíždět (v-w584f2)")</f>
        <v>dojíždět (v-w584f2)</v>
      </c>
    </row>
    <row r="4095" spans="1:2" x14ac:dyDescent="0.2">
      <c r="B4095" t="s">
        <v>1</v>
      </c>
    </row>
    <row r="4096" spans="1:2" x14ac:dyDescent="0.2">
      <c r="B4096" t="s">
        <v>8</v>
      </c>
    </row>
    <row r="4098" spans="1:4" x14ac:dyDescent="0.2">
      <c r="A4098" t="s">
        <v>1602</v>
      </c>
      <c r="B4098" t="str">
        <f>HYPERLINK("https://lindat.mff.cuni.cz/services/teitok/pdtc10/index.php?action=vallex&amp;frame=v-w584f1", "dojíždět (v-w584f1)")</f>
        <v>dojíždět (v-w584f1)</v>
      </c>
    </row>
    <row r="4099" spans="1:4" x14ac:dyDescent="0.2">
      <c r="B4099" t="s">
        <v>1</v>
      </c>
      <c r="C4099" t="s">
        <v>140</v>
      </c>
      <c r="D4099" t="s">
        <v>23132</v>
      </c>
    </row>
    <row r="4100" spans="1:4" x14ac:dyDescent="0.2">
      <c r="B4100" t="s">
        <v>90</v>
      </c>
      <c r="D4100" t="s">
        <v>23133</v>
      </c>
    </row>
    <row r="4102" spans="1:4" x14ac:dyDescent="0.2">
      <c r="A4102" t="s">
        <v>1603</v>
      </c>
      <c r="B4102" t="str">
        <f>HYPERLINK("https://lindat.mff.cuni.cz/services/teitok/pdtc10/index.php?action=vallex&amp;frame=v-w588f1", "dokazovat (v-w588f1)")</f>
        <v>dokazovat (v-w588f1)</v>
      </c>
    </row>
    <row r="4103" spans="1:4" x14ac:dyDescent="0.2">
      <c r="B4103" t="s">
        <v>1</v>
      </c>
      <c r="C4103" t="s">
        <v>249</v>
      </c>
      <c r="D4103" t="s">
        <v>23134</v>
      </c>
    </row>
    <row r="4104" spans="1:4" x14ac:dyDescent="0.2">
      <c r="B4104" t="s">
        <v>124</v>
      </c>
      <c r="C4104" t="s">
        <v>1604</v>
      </c>
      <c r="D4104" t="s">
        <v>10414</v>
      </c>
    </row>
    <row r="4105" spans="1:4" x14ac:dyDescent="0.2">
      <c r="B4105" t="s">
        <v>35</v>
      </c>
      <c r="D4105" t="s">
        <v>23135</v>
      </c>
    </row>
    <row r="4107" spans="1:4" x14ac:dyDescent="0.2">
      <c r="A4107" t="s">
        <v>1605</v>
      </c>
      <c r="B4107" t="str">
        <f>HYPERLINK("https://lindat.mff.cuni.cz/services/teitok/pdtc10/index.php?action=vallex&amp;frame=v-w588f2", "dokazovat (v-w588f2)")</f>
        <v>dokazovat (v-w588f2)</v>
      </c>
    </row>
    <row r="4108" spans="1:4" x14ac:dyDescent="0.2">
      <c r="B4108" t="s">
        <v>1</v>
      </c>
      <c r="C4108" t="s">
        <v>1606</v>
      </c>
      <c r="D4108" t="s">
        <v>23136</v>
      </c>
    </row>
    <row r="4109" spans="1:4" x14ac:dyDescent="0.2">
      <c r="B4109" t="s">
        <v>41</v>
      </c>
      <c r="C4109" t="s">
        <v>1607</v>
      </c>
      <c r="D4109" t="s">
        <v>732</v>
      </c>
    </row>
    <row r="4111" spans="1:4" x14ac:dyDescent="0.2">
      <c r="A4111" t="s">
        <v>1608</v>
      </c>
      <c r="B4111" t="str">
        <f>HYPERLINK("https://lindat.mff.cuni.cz/services/teitok/pdtc10/index.php?action=vallex&amp;frame=v-w588f3", "dokazovat (v-w588f3)")</f>
        <v>dokazovat (v-w588f3)</v>
      </c>
    </row>
    <row r="4112" spans="1:4" x14ac:dyDescent="0.2">
      <c r="B4112" t="s">
        <v>1</v>
      </c>
    </row>
    <row r="4113" spans="1:4" x14ac:dyDescent="0.2">
      <c r="B4113" t="s">
        <v>1609</v>
      </c>
    </row>
    <row r="4114" spans="1:4" x14ac:dyDescent="0.2">
      <c r="B4114" t="s">
        <v>269</v>
      </c>
    </row>
    <row r="4116" spans="1:4" x14ac:dyDescent="0.2">
      <c r="A4116" t="s">
        <v>1610</v>
      </c>
      <c r="B4116" t="str">
        <f>HYPERLINK("https://lindat.mff.cuni.cz/services/teitok/pdtc10/index.php?action=vallex&amp;frame=v-w593f1", "dokladovat (v-w593f1)")</f>
        <v>dokladovat (v-w593f1)</v>
      </c>
    </row>
    <row r="4117" spans="1:4" x14ac:dyDescent="0.2">
      <c r="B4117" t="s">
        <v>1</v>
      </c>
      <c r="D4117" t="s">
        <v>23136</v>
      </c>
    </row>
    <row r="4118" spans="1:4" x14ac:dyDescent="0.2">
      <c r="B4118" t="s">
        <v>1227</v>
      </c>
      <c r="D4118" t="s">
        <v>732</v>
      </c>
    </row>
    <row r="4119" spans="1:4" x14ac:dyDescent="0.2">
      <c r="B4119" t="s">
        <v>35</v>
      </c>
      <c r="D4119" t="s">
        <v>10545</v>
      </c>
    </row>
    <row r="4121" spans="1:4" x14ac:dyDescent="0.2">
      <c r="A4121" t="s">
        <v>1611</v>
      </c>
      <c r="B4121" t="str">
        <f>HYPERLINK("https://lindat.mff.cuni.cz/services/teitok/pdtc10/index.php?action=vallex&amp;frame=v-w594f1", "doklepnout (v-w594f1)")</f>
        <v>doklepnout (v-w594f1)</v>
      </c>
    </row>
    <row r="4122" spans="1:4" x14ac:dyDescent="0.2">
      <c r="B4122" t="s">
        <v>1</v>
      </c>
    </row>
    <row r="4123" spans="1:4" x14ac:dyDescent="0.2">
      <c r="B4123" t="s">
        <v>8</v>
      </c>
    </row>
    <row r="4124" spans="1:4" x14ac:dyDescent="0.2">
      <c r="B4124" t="s">
        <v>90</v>
      </c>
    </row>
    <row r="4126" spans="1:4" x14ac:dyDescent="0.2">
      <c r="A4126" t="s">
        <v>1612</v>
      </c>
      <c r="B4126" t="str">
        <f>HYPERLINK("https://lindat.mff.cuni.cz/services/teitok/pdtc10/index.php?action=vallex&amp;frame=v-w595f1", "doklopýtat (v-w595f1)")</f>
        <v>doklopýtat (v-w595f1)</v>
      </c>
    </row>
    <row r="4127" spans="1:4" x14ac:dyDescent="0.2">
      <c r="B4127" t="s">
        <v>1</v>
      </c>
    </row>
    <row r="4128" spans="1:4" x14ac:dyDescent="0.2">
      <c r="B4128" t="s">
        <v>90</v>
      </c>
    </row>
    <row r="4130" spans="1:4" x14ac:dyDescent="0.2">
      <c r="A4130" t="s">
        <v>1613</v>
      </c>
      <c r="B4130" t="str">
        <f>HYPERLINK("https://lindat.mff.cuni.cz/services/teitok/pdtc10/index.php?action=vallex&amp;frame=v-w592f1", "dokládat (v-w592f1)")</f>
        <v>dokládat (v-w592f1)</v>
      </c>
    </row>
    <row r="4131" spans="1:4" x14ac:dyDescent="0.2">
      <c r="B4131" t="s">
        <v>1</v>
      </c>
      <c r="C4131" t="s">
        <v>1614</v>
      </c>
      <c r="D4131" t="s">
        <v>23136</v>
      </c>
    </row>
    <row r="4132" spans="1:4" x14ac:dyDescent="0.2">
      <c r="B4132" t="s">
        <v>1227</v>
      </c>
      <c r="C4132" t="s">
        <v>1615</v>
      </c>
      <c r="D4132" t="s">
        <v>732</v>
      </c>
    </row>
    <row r="4133" spans="1:4" x14ac:dyDescent="0.2">
      <c r="B4133" t="s">
        <v>78</v>
      </c>
      <c r="D4133" t="s">
        <v>10545</v>
      </c>
    </row>
    <row r="4135" spans="1:4" x14ac:dyDescent="0.2">
      <c r="A4135" t="s">
        <v>1616</v>
      </c>
      <c r="B4135" t="str">
        <f>HYPERLINK("https://lindat.mff.cuni.cz/services/teitok/pdtc10/index.php?action=vallex&amp;frame=v-w596f1", "dokonat (v-w596f1)")</f>
        <v>dokonat (v-w596f1)</v>
      </c>
    </row>
    <row r="4136" spans="1:4" x14ac:dyDescent="0.2">
      <c r="B4136" t="s">
        <v>1</v>
      </c>
    </row>
    <row r="4137" spans="1:4" x14ac:dyDescent="0.2">
      <c r="B4137" t="s">
        <v>8</v>
      </c>
    </row>
    <row r="4139" spans="1:4" x14ac:dyDescent="0.2">
      <c r="A4139" t="s">
        <v>1617</v>
      </c>
      <c r="B4139" t="str">
        <f>HYPERLINK("https://lindat.mff.cuni.cz/services/teitok/pdtc10/index.php?action=vallex&amp;frame=v-w596f2_ZU", "dokonat (v-w596f2_ZU)")</f>
        <v>dokonat (v-w596f2_ZU)</v>
      </c>
    </row>
    <row r="4140" spans="1:4" x14ac:dyDescent="0.2">
      <c r="B4140" t="s">
        <v>1</v>
      </c>
    </row>
    <row r="4142" spans="1:4" x14ac:dyDescent="0.2">
      <c r="A4142" t="s">
        <v>1618</v>
      </c>
      <c r="B4142" t="str">
        <f>HYPERLINK("https://lindat.mff.cuni.cz/services/teitok/pdtc10/index.php?action=vallex&amp;frame=v-w598f1", "dokončit (v-w598f1)")</f>
        <v>dokončit (v-w598f1)</v>
      </c>
    </row>
    <row r="4143" spans="1:4" x14ac:dyDescent="0.2">
      <c r="B4143" t="s">
        <v>1</v>
      </c>
      <c r="C4143" t="s">
        <v>1619</v>
      </c>
      <c r="D4143" t="s">
        <v>23137</v>
      </c>
    </row>
    <row r="4144" spans="1:4" x14ac:dyDescent="0.2">
      <c r="B4144" t="s">
        <v>8</v>
      </c>
      <c r="C4144" t="s">
        <v>1620</v>
      </c>
      <c r="D4144" t="s">
        <v>23138</v>
      </c>
    </row>
    <row r="4145" spans="1:4" x14ac:dyDescent="0.2">
      <c r="B4145" t="s">
        <v>24</v>
      </c>
      <c r="D4145" t="s">
        <v>23139</v>
      </c>
    </row>
    <row r="4147" spans="1:4" x14ac:dyDescent="0.2">
      <c r="A4147" t="s">
        <v>1621</v>
      </c>
      <c r="B4147" t="str">
        <f>HYPERLINK("https://lindat.mff.cuni.cz/services/teitok/pdtc10/index.php?action=vallex&amp;frame=v-w598f2", "dokončit (v-w598f2)")</f>
        <v>dokončit (v-w598f2)</v>
      </c>
    </row>
    <row r="4148" spans="1:4" x14ac:dyDescent="0.2">
      <c r="B4148" t="s">
        <v>1</v>
      </c>
      <c r="C4148" t="s">
        <v>1622</v>
      </c>
      <c r="D4148" t="s">
        <v>23140</v>
      </c>
    </row>
    <row r="4149" spans="1:4" x14ac:dyDescent="0.2">
      <c r="B4149" t="s">
        <v>8</v>
      </c>
      <c r="C4149" t="s">
        <v>1623</v>
      </c>
      <c r="D4149" t="s">
        <v>23141</v>
      </c>
    </row>
    <row r="4151" spans="1:4" x14ac:dyDescent="0.2">
      <c r="A4151" t="s">
        <v>1624</v>
      </c>
      <c r="B4151" t="str">
        <f>HYPERLINK("https://lindat.mff.cuni.cz/services/teitok/pdtc10/index.php?action=vallex&amp;frame=v-w600f1", "dokončovat (v-w600f1)")</f>
        <v>dokončovat (v-w600f1)</v>
      </c>
    </row>
    <row r="4152" spans="1:4" x14ac:dyDescent="0.2">
      <c r="B4152" t="s">
        <v>1</v>
      </c>
      <c r="D4152" t="s">
        <v>23137</v>
      </c>
    </row>
    <row r="4153" spans="1:4" x14ac:dyDescent="0.2">
      <c r="B4153" t="s">
        <v>8</v>
      </c>
      <c r="D4153" t="s">
        <v>23138</v>
      </c>
    </row>
    <row r="4154" spans="1:4" x14ac:dyDescent="0.2">
      <c r="B4154" t="s">
        <v>24</v>
      </c>
      <c r="D4154" t="s">
        <v>23139</v>
      </c>
    </row>
    <row r="4156" spans="1:4" x14ac:dyDescent="0.2">
      <c r="A4156" t="s">
        <v>1625</v>
      </c>
      <c r="B4156" t="str">
        <f>HYPERLINK("https://lindat.mff.cuni.cz/services/teitok/pdtc10/index.php?action=vallex&amp;frame=v-w600f2", "dokončovat (v-w600f2)")</f>
        <v>dokončovat (v-w600f2)</v>
      </c>
    </row>
    <row r="4157" spans="1:4" x14ac:dyDescent="0.2">
      <c r="B4157" t="s">
        <v>1</v>
      </c>
      <c r="D4157" t="s">
        <v>23140</v>
      </c>
    </row>
    <row r="4158" spans="1:4" x14ac:dyDescent="0.2">
      <c r="B4158" t="s">
        <v>8</v>
      </c>
      <c r="D4158" t="s">
        <v>23141</v>
      </c>
    </row>
    <row r="4160" spans="1:4" x14ac:dyDescent="0.2">
      <c r="A4160" t="s">
        <v>1626</v>
      </c>
      <c r="B4160" t="str">
        <f>HYPERLINK("https://lindat.mff.cuni.cz/services/teitok/pdtc10/index.php?action=vallex&amp;frame=v-w11845_ZUf1_ZU", "dokopat (v-w11845_ZUf1_ZU)")</f>
        <v>dokopat (v-w11845_ZUf1_ZU)</v>
      </c>
    </row>
    <row r="4161" spans="1:2" x14ac:dyDescent="0.2">
      <c r="B4161" t="s">
        <v>1</v>
      </c>
    </row>
    <row r="4162" spans="1:2" x14ac:dyDescent="0.2">
      <c r="B4162" t="s">
        <v>8</v>
      </c>
    </row>
    <row r="4164" spans="1:2" x14ac:dyDescent="0.2">
      <c r="A4164" t="s">
        <v>1627</v>
      </c>
      <c r="B4164" t="str">
        <f>HYPERLINK("https://lindat.mff.cuni.cz/services/teitok/pdtc10/index.php?action=vallex&amp;frame=v-w11845_ZUf2_ZU", "dokopat (v-w11845_ZUf2_ZU)")</f>
        <v>dokopat (v-w11845_ZUf2_ZU)</v>
      </c>
    </row>
    <row r="4165" spans="1:2" x14ac:dyDescent="0.2">
      <c r="B4165" t="s">
        <v>1</v>
      </c>
    </row>
    <row r="4166" spans="1:2" x14ac:dyDescent="0.2">
      <c r="B4166" t="s">
        <v>58</v>
      </c>
    </row>
    <row r="4167" spans="1:2" x14ac:dyDescent="0.2">
      <c r="B4167" t="s">
        <v>176</v>
      </c>
    </row>
    <row r="4169" spans="1:2" x14ac:dyDescent="0.2">
      <c r="A4169" t="s">
        <v>1628</v>
      </c>
      <c r="B4169" t="str">
        <f>HYPERLINK("https://lindat.mff.cuni.cz/services/teitok/pdtc10/index.php?action=vallex&amp;frame=v-w601f1", "dokoupit (v-w601f1)")</f>
        <v>dokoupit (v-w601f1)</v>
      </c>
    </row>
    <row r="4170" spans="1:2" x14ac:dyDescent="0.2">
      <c r="B4170" t="s">
        <v>1</v>
      </c>
    </row>
    <row r="4171" spans="1:2" x14ac:dyDescent="0.2">
      <c r="B4171" t="s">
        <v>8</v>
      </c>
    </row>
    <row r="4172" spans="1:2" x14ac:dyDescent="0.2">
      <c r="B4172" t="s">
        <v>1629</v>
      </c>
    </row>
    <row r="4173" spans="1:2" x14ac:dyDescent="0.2">
      <c r="B4173" t="s">
        <v>321</v>
      </c>
    </row>
    <row r="4175" spans="1:2" x14ac:dyDescent="0.2">
      <c r="A4175" t="s">
        <v>1630</v>
      </c>
      <c r="B4175" t="str">
        <f>HYPERLINK("https://lindat.mff.cuni.cz/services/teitok/pdtc10/index.php?action=vallex&amp;frame=v-w602f1", "dokralovat (v-w602f1)")</f>
        <v>dokralovat (v-w602f1)</v>
      </c>
    </row>
    <row r="4176" spans="1:2" x14ac:dyDescent="0.2">
      <c r="B4176" t="s">
        <v>1</v>
      </c>
    </row>
    <row r="4178" spans="1:4" x14ac:dyDescent="0.2">
      <c r="A4178" t="s">
        <v>1631</v>
      </c>
      <c r="B4178" t="str">
        <f>HYPERLINK("https://lindat.mff.cuni.cz/services/teitok/pdtc10/index.php?action=vallex&amp;frame=v-w604f1", "dokreslit (v-w604f1)")</f>
        <v>dokreslit (v-w604f1)</v>
      </c>
    </row>
    <row r="4179" spans="1:4" x14ac:dyDescent="0.2">
      <c r="B4179" t="s">
        <v>1</v>
      </c>
      <c r="D4179" t="s">
        <v>23137</v>
      </c>
    </row>
    <row r="4180" spans="1:4" x14ac:dyDescent="0.2">
      <c r="B4180" t="s">
        <v>8</v>
      </c>
      <c r="D4180" t="s">
        <v>23138</v>
      </c>
    </row>
    <row r="4181" spans="1:4" x14ac:dyDescent="0.2">
      <c r="B4181" t="s">
        <v>1632</v>
      </c>
      <c r="D4181" t="s">
        <v>268</v>
      </c>
    </row>
    <row r="4183" spans="1:4" x14ac:dyDescent="0.2">
      <c r="A4183" t="s">
        <v>1633</v>
      </c>
      <c r="B4183" t="str">
        <f>HYPERLINK("https://lindat.mff.cuni.cz/services/teitok/pdtc10/index.php?action=vallex&amp;frame=v-w605f1", "dokreslovat (v-w605f1)")</f>
        <v>dokreslovat (v-w605f1)</v>
      </c>
    </row>
    <row r="4184" spans="1:4" x14ac:dyDescent="0.2">
      <c r="B4184" t="s">
        <v>1</v>
      </c>
    </row>
    <row r="4185" spans="1:4" x14ac:dyDescent="0.2">
      <c r="B4185" t="s">
        <v>8</v>
      </c>
    </row>
    <row r="4186" spans="1:4" x14ac:dyDescent="0.2">
      <c r="B4186" t="s">
        <v>1632</v>
      </c>
    </row>
    <row r="4188" spans="1:4" x14ac:dyDescent="0.2">
      <c r="A4188" t="s">
        <v>1634</v>
      </c>
      <c r="B4188" t="str">
        <f>HYPERLINK("https://lindat.mff.cuni.cz/services/teitok/pdtc10/index.php?action=vallex&amp;frame=v-whsa_1589hsa_1590", "dokrvovat se (v-whsa_1589hsa_1590)")</f>
        <v>dokrvovat se (v-whsa_1589hsa_1590)</v>
      </c>
    </row>
    <row r="4189" spans="1:4" x14ac:dyDescent="0.2">
      <c r="B4189" t="s">
        <v>1</v>
      </c>
    </row>
    <row r="4191" spans="1:4" x14ac:dyDescent="0.2">
      <c r="A4191" t="s">
        <v>1635</v>
      </c>
      <c r="B4191" t="str">
        <f>HYPERLINK("https://lindat.mff.cuni.cz/services/teitok/pdtc10/index.php?action=vallex&amp;frame=v-w611f1", "dokumentovat (v-w611f1)")</f>
        <v>dokumentovat (v-w611f1)</v>
      </c>
    </row>
    <row r="4192" spans="1:4" x14ac:dyDescent="0.2">
      <c r="B4192" t="s">
        <v>1</v>
      </c>
      <c r="C4192" t="s">
        <v>133</v>
      </c>
      <c r="D4192" t="s">
        <v>23142</v>
      </c>
    </row>
    <row r="4193" spans="1:4" x14ac:dyDescent="0.2">
      <c r="B4193" t="s">
        <v>1636</v>
      </c>
      <c r="C4193" t="s">
        <v>23</v>
      </c>
      <c r="D4193" t="s">
        <v>23143</v>
      </c>
    </row>
    <row r="4194" spans="1:4" x14ac:dyDescent="0.2">
      <c r="B4194" t="s">
        <v>78</v>
      </c>
    </row>
    <row r="4195" spans="1:4" x14ac:dyDescent="0.2">
      <c r="B4195" t="s">
        <v>442</v>
      </c>
    </row>
    <row r="4197" spans="1:4" x14ac:dyDescent="0.2">
      <c r="A4197" t="s">
        <v>1637</v>
      </c>
      <c r="B4197" t="str">
        <f>HYPERLINK("https://lindat.mff.cuni.cz/services/teitok/pdtc10/index.php?action=vallex&amp;frame=v-w611f2_ZU", "dokumentovat (v-w611f2_ZU)")</f>
        <v>dokumentovat (v-w611f2_ZU)</v>
      </c>
    </row>
    <row r="4198" spans="1:4" x14ac:dyDescent="0.2">
      <c r="B4198" t="s">
        <v>1</v>
      </c>
    </row>
    <row r="4199" spans="1:4" x14ac:dyDescent="0.2">
      <c r="B4199" t="s">
        <v>8</v>
      </c>
    </row>
    <row r="4201" spans="1:4" x14ac:dyDescent="0.2">
      <c r="A4201" t="s">
        <v>1638</v>
      </c>
      <c r="B4201" t="str">
        <f>HYPERLINK("https://lindat.mff.cuni.cz/services/teitok/pdtc10/index.php?action=vallex&amp;frame=v-w611f4_ZU", "dokumentovat (v-w611f4_ZU)")</f>
        <v>dokumentovat (v-w611f4_ZU)</v>
      </c>
    </row>
    <row r="4202" spans="1:4" x14ac:dyDescent="0.2">
      <c r="B4202" t="s">
        <v>1</v>
      </c>
    </row>
    <row r="4203" spans="1:4" x14ac:dyDescent="0.2">
      <c r="B4203" t="s">
        <v>8</v>
      </c>
    </row>
    <row r="4205" spans="1:4" x14ac:dyDescent="0.2">
      <c r="A4205" t="s">
        <v>1638</v>
      </c>
      <c r="B4205" t="str">
        <f>HYPERLINK("https://lindat.mff.cuni.cz/services/teitok/pdtc10/index.php?action=vallex&amp;frame=v-w611f3_ZU", "dokumentovat (v-w611f3_ZU) - substituted with v-w611f4_ZU")</f>
        <v>dokumentovat (v-w611f3_ZU) - substituted with v-w611f4_ZU</v>
      </c>
    </row>
    <row r="4206" spans="1:4" x14ac:dyDescent="0.2">
      <c r="B4206" t="s">
        <v>1</v>
      </c>
    </row>
    <row r="4207" spans="1:4" x14ac:dyDescent="0.2">
      <c r="B4207" t="s">
        <v>8</v>
      </c>
    </row>
    <row r="4209" spans="1:2" x14ac:dyDescent="0.2">
      <c r="A4209" t="s">
        <v>1639</v>
      </c>
      <c r="B4209" t="str">
        <f>HYPERLINK("https://lindat.mff.cuni.cz/services/teitok/pdtc10/index.php?action=vallex&amp;frame=v-whsa_749f1_ZU", "dokupovat (v-whsa_749f1_ZU)")</f>
        <v>dokupovat (v-whsa_749f1_ZU)</v>
      </c>
    </row>
    <row r="4210" spans="1:2" x14ac:dyDescent="0.2">
      <c r="B4210" t="s">
        <v>1</v>
      </c>
    </row>
    <row r="4211" spans="1:2" x14ac:dyDescent="0.2">
      <c r="B4211" t="s">
        <v>8</v>
      </c>
    </row>
    <row r="4212" spans="1:2" x14ac:dyDescent="0.2">
      <c r="B4212" t="s">
        <v>1629</v>
      </c>
    </row>
    <row r="4213" spans="1:2" x14ac:dyDescent="0.2">
      <c r="B4213" t="s">
        <v>321</v>
      </c>
    </row>
    <row r="4215" spans="1:2" x14ac:dyDescent="0.2">
      <c r="A4215" t="s">
        <v>1639</v>
      </c>
      <c r="B4215" t="str">
        <f>HYPERLINK("https://lindat.mff.cuni.cz/services/teitok/pdtc10/index.php?action=vallex&amp;frame=v-whsa_749hsa_750", "dokupovat (v-whsa_749hsa_750) - substituted with v-whsa_749f1_ZU")</f>
        <v>dokupovat (v-whsa_749hsa_750) - substituted with v-whsa_749f1_ZU</v>
      </c>
    </row>
    <row r="4216" spans="1:2" x14ac:dyDescent="0.2">
      <c r="B4216" t="s">
        <v>1</v>
      </c>
    </row>
    <row r="4217" spans="1:2" x14ac:dyDescent="0.2">
      <c r="B4217" t="s">
        <v>8</v>
      </c>
    </row>
    <row r="4218" spans="1:2" x14ac:dyDescent="0.2">
      <c r="B4218" t="s">
        <v>1629</v>
      </c>
    </row>
    <row r="4219" spans="1:2" x14ac:dyDescent="0.2">
      <c r="B4219" t="s">
        <v>321</v>
      </c>
    </row>
    <row r="4221" spans="1:2" x14ac:dyDescent="0.2">
      <c r="A4221" t="s">
        <v>1640</v>
      </c>
      <c r="B4221" t="str">
        <f>HYPERLINK("https://lindat.mff.cuni.cz/services/teitok/pdtc10/index.php?action=vallex&amp;frame=v-whsb_631hsa_632", "dokvétat (v-whsb_631hsa_632)")</f>
        <v>dokvétat (v-whsb_631hsa_632)</v>
      </c>
    </row>
    <row r="4222" spans="1:2" x14ac:dyDescent="0.2">
      <c r="B4222" t="s">
        <v>1</v>
      </c>
    </row>
    <row r="4224" spans="1:2" x14ac:dyDescent="0.2">
      <c r="A4224" t="s">
        <v>1641</v>
      </c>
      <c r="B4224" t="str">
        <f>HYPERLINK("https://lindat.mff.cuni.cz/services/teitok/pdtc10/index.php?action=vallex&amp;frame=v-w586f2", "dokázat (v-w586f2)")</f>
        <v>dokázat (v-w586f2)</v>
      </c>
    </row>
    <row r="4225" spans="1:4" x14ac:dyDescent="0.2">
      <c r="B4225" t="s">
        <v>1</v>
      </c>
      <c r="C4225" t="s">
        <v>1642</v>
      </c>
    </row>
    <row r="4226" spans="1:4" x14ac:dyDescent="0.2">
      <c r="B4226" t="s">
        <v>124</v>
      </c>
      <c r="C4226" t="s">
        <v>1643</v>
      </c>
    </row>
    <row r="4227" spans="1:4" x14ac:dyDescent="0.2">
      <c r="B4227" t="s">
        <v>35</v>
      </c>
      <c r="C4227" t="s">
        <v>1644</v>
      </c>
    </row>
    <row r="4229" spans="1:4" x14ac:dyDescent="0.2">
      <c r="A4229" t="s">
        <v>1645</v>
      </c>
      <c r="B4229" t="str">
        <f>HYPERLINK("https://lindat.mff.cuni.cz/services/teitok/pdtc10/index.php?action=vallex&amp;frame=v-w586f1", "dokázat (v-w586f1)")</f>
        <v>dokázat (v-w586f1)</v>
      </c>
    </row>
    <row r="4230" spans="1:4" x14ac:dyDescent="0.2">
      <c r="B4230" t="s">
        <v>1</v>
      </c>
      <c r="C4230" t="s">
        <v>1646</v>
      </c>
      <c r="D4230" t="s">
        <v>23144</v>
      </c>
    </row>
    <row r="4231" spans="1:4" x14ac:dyDescent="0.2">
      <c r="B4231" t="s">
        <v>228</v>
      </c>
      <c r="C4231" t="s">
        <v>1647</v>
      </c>
      <c r="D4231" t="s">
        <v>23145</v>
      </c>
    </row>
    <row r="4233" spans="1:4" x14ac:dyDescent="0.2">
      <c r="A4233" t="s">
        <v>1648</v>
      </c>
      <c r="B4233" t="str">
        <f>HYPERLINK("https://lindat.mff.cuni.cz/services/teitok/pdtc10/index.php?action=vallex&amp;frame=v-w586f3", "dokázat (v-w586f3)")</f>
        <v>dokázat (v-w586f3)</v>
      </c>
    </row>
    <row r="4234" spans="1:4" x14ac:dyDescent="0.2">
      <c r="B4234" t="s">
        <v>1</v>
      </c>
      <c r="C4234" t="s">
        <v>1649</v>
      </c>
      <c r="D4234" t="s">
        <v>23136</v>
      </c>
    </row>
    <row r="4235" spans="1:4" x14ac:dyDescent="0.2">
      <c r="B4235" t="s">
        <v>41</v>
      </c>
      <c r="C4235" t="s">
        <v>1650</v>
      </c>
      <c r="D4235" t="s">
        <v>732</v>
      </c>
    </row>
    <row r="4237" spans="1:4" x14ac:dyDescent="0.2">
      <c r="A4237" t="s">
        <v>1651</v>
      </c>
      <c r="B4237" t="str">
        <f>HYPERLINK("https://lindat.mff.cuni.cz/services/teitok/pdtc10/index.php?action=vallex&amp;frame=v-w586f4", "dokázat (v-w586f4)")</f>
        <v>dokázat (v-w586f4)</v>
      </c>
    </row>
    <row r="4238" spans="1:4" x14ac:dyDescent="0.2">
      <c r="B4238" t="s">
        <v>1</v>
      </c>
    </row>
    <row r="4239" spans="1:4" x14ac:dyDescent="0.2">
      <c r="B4239" t="s">
        <v>1609</v>
      </c>
    </row>
    <row r="4240" spans="1:4" x14ac:dyDescent="0.2">
      <c r="B4240" t="s">
        <v>269</v>
      </c>
    </row>
    <row r="4242" spans="1:4" x14ac:dyDescent="0.2">
      <c r="A4242" t="s">
        <v>1652</v>
      </c>
      <c r="B4242" t="str">
        <f>HYPERLINK("https://lindat.mff.cuni.cz/services/teitok/pdtc10/index.php?action=vallex&amp;frame=v-w586f5", "dokázat (v-w586f5)")</f>
        <v>dokázat (v-w586f5)</v>
      </c>
    </row>
    <row r="4243" spans="1:4" x14ac:dyDescent="0.2">
      <c r="B4243" t="s">
        <v>1</v>
      </c>
    </row>
    <row r="4245" spans="1:4" x14ac:dyDescent="0.2">
      <c r="A4245" t="s">
        <v>1653</v>
      </c>
      <c r="B4245" t="str">
        <f>HYPERLINK("https://lindat.mff.cuni.cz/services/teitok/pdtc10/index.php?action=vallex&amp;frame=v-w612f1", "doladit (v-w612f1)")</f>
        <v>doladit (v-w612f1)</v>
      </c>
    </row>
    <row r="4246" spans="1:4" x14ac:dyDescent="0.2">
      <c r="B4246" t="s">
        <v>1</v>
      </c>
      <c r="D4246" t="s">
        <v>33</v>
      </c>
    </row>
    <row r="4247" spans="1:4" x14ac:dyDescent="0.2">
      <c r="B4247" t="s">
        <v>8</v>
      </c>
      <c r="D4247" t="s">
        <v>23</v>
      </c>
    </row>
    <row r="4249" spans="1:4" x14ac:dyDescent="0.2">
      <c r="A4249" t="s">
        <v>1654</v>
      </c>
      <c r="B4249" t="str">
        <f>HYPERLINK("https://lindat.mff.cuni.cz/services/teitok/pdtc10/index.php?action=vallex&amp;frame=v-w614f1", "dolaďovat (v-w614f1)")</f>
        <v>dolaďovat (v-w614f1)</v>
      </c>
    </row>
    <row r="4250" spans="1:4" x14ac:dyDescent="0.2">
      <c r="B4250" t="s">
        <v>1</v>
      </c>
      <c r="D4250" t="s">
        <v>33</v>
      </c>
    </row>
    <row r="4251" spans="1:4" x14ac:dyDescent="0.2">
      <c r="B4251" t="s">
        <v>8</v>
      </c>
      <c r="D4251" t="s">
        <v>23</v>
      </c>
    </row>
    <row r="4253" spans="1:4" x14ac:dyDescent="0.2">
      <c r="A4253" t="s">
        <v>1655</v>
      </c>
      <c r="B4253" t="str">
        <f>HYPERLINK("https://lindat.mff.cuni.cz/services/teitok/pdtc10/index.php?action=vallex&amp;frame=v-w618f1", "dolehnout (v-w618f1)")</f>
        <v>dolehnout (v-w618f1)</v>
      </c>
    </row>
    <row r="4254" spans="1:4" x14ac:dyDescent="0.2">
      <c r="B4254" t="s">
        <v>1</v>
      </c>
    </row>
    <row r="4255" spans="1:4" x14ac:dyDescent="0.2">
      <c r="B4255" t="s">
        <v>28</v>
      </c>
    </row>
    <row r="4257" spans="1:4" x14ac:dyDescent="0.2">
      <c r="A4257" t="s">
        <v>1656</v>
      </c>
      <c r="B4257" t="str">
        <f>HYPERLINK("https://lindat.mff.cuni.cz/services/teitok/pdtc10/index.php?action=vallex&amp;frame=v-w618f2", "dolehnout (v-w618f2)")</f>
        <v>dolehnout (v-w618f2)</v>
      </c>
    </row>
    <row r="4258" spans="1:4" x14ac:dyDescent="0.2">
      <c r="B4258" t="s">
        <v>1</v>
      </c>
    </row>
    <row r="4259" spans="1:4" x14ac:dyDescent="0.2">
      <c r="B4259" t="s">
        <v>90</v>
      </c>
    </row>
    <row r="4261" spans="1:4" x14ac:dyDescent="0.2">
      <c r="A4261" t="s">
        <v>1657</v>
      </c>
      <c r="B4261" t="str">
        <f>HYPERLINK("https://lindat.mff.cuni.cz/services/teitok/pdtc10/index.php?action=vallex&amp;frame=v-w619f1", "doletět (v-w619f1)")</f>
        <v>doletět (v-w619f1)</v>
      </c>
    </row>
    <row r="4262" spans="1:4" x14ac:dyDescent="0.2">
      <c r="B4262" t="s">
        <v>1</v>
      </c>
      <c r="D4262" t="s">
        <v>23146</v>
      </c>
    </row>
    <row r="4263" spans="1:4" x14ac:dyDescent="0.2">
      <c r="B4263" t="s">
        <v>90</v>
      </c>
      <c r="D4263" t="s">
        <v>23147</v>
      </c>
    </row>
    <row r="4265" spans="1:4" x14ac:dyDescent="0.2">
      <c r="A4265" t="s">
        <v>1658</v>
      </c>
      <c r="B4265" t="str">
        <f>HYPERLINK("https://lindat.mff.cuni.cz/services/teitok/pdtc10/index.php?action=vallex&amp;frame=v-w623f1", "doložit (v-w623f1)")</f>
        <v>doložit (v-w623f1)</v>
      </c>
    </row>
    <row r="4266" spans="1:4" x14ac:dyDescent="0.2">
      <c r="B4266" t="s">
        <v>1</v>
      </c>
      <c r="D4266" t="s">
        <v>23136</v>
      </c>
    </row>
    <row r="4267" spans="1:4" x14ac:dyDescent="0.2">
      <c r="B4267" t="s">
        <v>1227</v>
      </c>
      <c r="D4267" t="s">
        <v>732</v>
      </c>
    </row>
    <row r="4268" spans="1:4" x14ac:dyDescent="0.2">
      <c r="B4268" t="s">
        <v>78</v>
      </c>
      <c r="D4268" t="s">
        <v>10545</v>
      </c>
    </row>
    <row r="4270" spans="1:4" x14ac:dyDescent="0.2">
      <c r="A4270" t="s">
        <v>1659</v>
      </c>
      <c r="B4270" t="str">
        <f>HYPERLINK("https://lindat.mff.cuni.cz/services/teitok/pdtc10/index.php?action=vallex&amp;frame=v-w623f2", "doložit (v-w623f2)")</f>
        <v>doložit (v-w623f2)</v>
      </c>
    </row>
    <row r="4271" spans="1:4" x14ac:dyDescent="0.2">
      <c r="B4271" t="s">
        <v>1</v>
      </c>
    </row>
    <row r="4272" spans="1:4" x14ac:dyDescent="0.2">
      <c r="B4272" t="s">
        <v>8</v>
      </c>
    </row>
    <row r="4274" spans="1:2" x14ac:dyDescent="0.2">
      <c r="A4274" t="s">
        <v>1660</v>
      </c>
      <c r="B4274" t="str">
        <f>HYPERLINK("https://lindat.mff.cuni.cz/services/teitok/pdtc10/index.php?action=vallex&amp;frame=v-w617f1", "doléhat (v-w617f1)")</f>
        <v>doléhat (v-w617f1)</v>
      </c>
    </row>
    <row r="4275" spans="1:2" x14ac:dyDescent="0.2">
      <c r="B4275" t="s">
        <v>1</v>
      </c>
    </row>
    <row r="4276" spans="1:2" x14ac:dyDescent="0.2">
      <c r="B4276" t="s">
        <v>28</v>
      </c>
    </row>
    <row r="4278" spans="1:2" x14ac:dyDescent="0.2">
      <c r="A4278" t="s">
        <v>1661</v>
      </c>
      <c r="B4278" t="str">
        <f>HYPERLINK("https://lindat.mff.cuni.cz/services/teitok/pdtc10/index.php?action=vallex&amp;frame=v-w617f2", "doléhat (v-w617f2)")</f>
        <v>doléhat (v-w617f2)</v>
      </c>
    </row>
    <row r="4279" spans="1:2" x14ac:dyDescent="0.2">
      <c r="B4279" t="s">
        <v>1</v>
      </c>
    </row>
    <row r="4280" spans="1:2" x14ac:dyDescent="0.2">
      <c r="B4280" t="s">
        <v>90</v>
      </c>
    </row>
    <row r="4282" spans="1:2" x14ac:dyDescent="0.2">
      <c r="A4282" t="s">
        <v>1662</v>
      </c>
      <c r="B4282" t="str">
        <f>HYPERLINK("https://lindat.mff.cuni.cz/services/teitok/pdtc10/index.php?action=vallex&amp;frame=v-w620f1", "dolétnout (v-w620f1)")</f>
        <v>dolétnout (v-w620f1)</v>
      </c>
    </row>
    <row r="4283" spans="1:2" x14ac:dyDescent="0.2">
      <c r="B4283" t="s">
        <v>1</v>
      </c>
    </row>
    <row r="4284" spans="1:2" x14ac:dyDescent="0.2">
      <c r="B4284" t="s">
        <v>90</v>
      </c>
    </row>
    <row r="4286" spans="1:2" x14ac:dyDescent="0.2">
      <c r="A4286" t="s">
        <v>1663</v>
      </c>
      <c r="B4286" t="str">
        <f>HYPERLINK("https://lindat.mff.cuni.cz/services/teitok/pdtc10/index.php?action=vallex&amp;frame=v-w616f1", "doléčit (v-w616f1)")</f>
        <v>doléčit (v-w616f1)</v>
      </c>
    </row>
    <row r="4287" spans="1:2" x14ac:dyDescent="0.2">
      <c r="B4287" t="s">
        <v>1</v>
      </c>
    </row>
    <row r="4288" spans="1:2" x14ac:dyDescent="0.2">
      <c r="B4288" t="s">
        <v>8</v>
      </c>
    </row>
    <row r="4290" spans="1:4" x14ac:dyDescent="0.2">
      <c r="A4290" t="s">
        <v>1664</v>
      </c>
      <c r="B4290" t="str">
        <f>HYPERLINK("https://lindat.mff.cuni.cz/services/teitok/pdtc10/index.php?action=vallex&amp;frame=v-w12390_MMf1_MM", "dolít (v-w12390_MMf1_MM)")</f>
        <v>dolít (v-w12390_MMf1_MM)</v>
      </c>
    </row>
    <row r="4291" spans="1:4" x14ac:dyDescent="0.2">
      <c r="B4291" t="s">
        <v>1</v>
      </c>
    </row>
    <row r="4292" spans="1:4" x14ac:dyDescent="0.2">
      <c r="B4292" t="s">
        <v>8</v>
      </c>
    </row>
    <row r="4293" spans="1:4" x14ac:dyDescent="0.2">
      <c r="B4293" t="s">
        <v>90</v>
      </c>
    </row>
    <row r="4295" spans="1:4" x14ac:dyDescent="0.2">
      <c r="A4295" t="s">
        <v>1665</v>
      </c>
      <c r="B4295" t="str">
        <f>HYPERLINK("https://lindat.mff.cuni.cz/services/teitok/pdtc10/index.php?action=vallex&amp;frame=v-w626f1", "domazat (v-w626f1)")</f>
        <v>domazat (v-w626f1)</v>
      </c>
    </row>
    <row r="4296" spans="1:4" x14ac:dyDescent="0.2">
      <c r="B4296" t="s">
        <v>1</v>
      </c>
    </row>
    <row r="4297" spans="1:4" x14ac:dyDescent="0.2">
      <c r="B4297" t="s">
        <v>8</v>
      </c>
    </row>
    <row r="4299" spans="1:4" x14ac:dyDescent="0.2">
      <c r="A4299" t="s">
        <v>1666</v>
      </c>
      <c r="B4299" t="str">
        <f>HYPERLINK("https://lindat.mff.cuni.cz/services/teitok/pdtc10/index.php?action=vallex&amp;frame=v-w628f2", "dominovat (v-w628f2)")</f>
        <v>dominovat (v-w628f2)</v>
      </c>
    </row>
    <row r="4300" spans="1:4" x14ac:dyDescent="0.2">
      <c r="B4300" t="s">
        <v>1</v>
      </c>
      <c r="C4300" t="s">
        <v>1667</v>
      </c>
      <c r="D4300" t="s">
        <v>1774</v>
      </c>
    </row>
    <row r="4301" spans="1:4" x14ac:dyDescent="0.2">
      <c r="B4301" t="s">
        <v>1668</v>
      </c>
      <c r="C4301" t="s">
        <v>1277</v>
      </c>
      <c r="D4301" t="s">
        <v>5666</v>
      </c>
    </row>
    <row r="4303" spans="1:4" x14ac:dyDescent="0.2">
      <c r="A4303" t="s">
        <v>1669</v>
      </c>
      <c r="B4303" t="str">
        <f>HYPERLINK("https://lindat.mff.cuni.cz/services/teitok/pdtc10/index.php?action=vallex&amp;frame=v-w628f1", "dominovat (v-w628f1)")</f>
        <v>dominovat (v-w628f1)</v>
      </c>
    </row>
    <row r="4304" spans="1:4" x14ac:dyDescent="0.2">
      <c r="B4304" t="s">
        <v>1</v>
      </c>
      <c r="C4304" t="s">
        <v>976</v>
      </c>
    </row>
    <row r="4306" spans="1:3" x14ac:dyDescent="0.2">
      <c r="A4306" t="s">
        <v>1670</v>
      </c>
      <c r="B4306" t="str">
        <f>HYPERLINK("https://lindat.mff.cuni.cz/services/teitok/pdtc10/index.php?action=vallex&amp;frame=v-whsa_916hsa_917", "domlouvat (v-whsa_916hsa_917)")</f>
        <v>domlouvat (v-whsa_916hsa_917)</v>
      </c>
    </row>
    <row r="4307" spans="1:3" x14ac:dyDescent="0.2">
      <c r="B4307" t="s">
        <v>1</v>
      </c>
      <c r="C4307" t="s">
        <v>133</v>
      </c>
    </row>
    <row r="4308" spans="1:3" x14ac:dyDescent="0.2">
      <c r="B4308" t="s">
        <v>1671</v>
      </c>
      <c r="C4308" t="s">
        <v>1360</v>
      </c>
    </row>
    <row r="4309" spans="1:3" x14ac:dyDescent="0.2">
      <c r="B4309" t="s">
        <v>35</v>
      </c>
      <c r="C4309" t="s">
        <v>1672</v>
      </c>
    </row>
    <row r="4311" spans="1:3" x14ac:dyDescent="0.2">
      <c r="A4311" t="s">
        <v>1673</v>
      </c>
      <c r="B4311" t="str">
        <f>HYPERLINK("https://lindat.mff.cuni.cz/services/teitok/pdtc10/index.php?action=vallex&amp;frame=v-w629f1", "domlouvat se (v-w629f1)")</f>
        <v>domlouvat se (v-w629f1)</v>
      </c>
    </row>
    <row r="4312" spans="1:3" x14ac:dyDescent="0.2">
      <c r="B4312" t="s">
        <v>1</v>
      </c>
    </row>
    <row r="4313" spans="1:3" x14ac:dyDescent="0.2">
      <c r="B4313" t="s">
        <v>1509</v>
      </c>
    </row>
    <row r="4314" spans="1:3" x14ac:dyDescent="0.2">
      <c r="B4314" t="s">
        <v>153</v>
      </c>
    </row>
    <row r="4316" spans="1:3" x14ac:dyDescent="0.2">
      <c r="A4316" t="s">
        <v>1674</v>
      </c>
      <c r="B4316" t="str">
        <f>HYPERLINK("https://lindat.mff.cuni.cz/services/teitok/pdtc10/index.php?action=vallex&amp;frame=v-w629hsa_884", "domlouvat se (v-w629hsa_884)")</f>
        <v>domlouvat se (v-w629hsa_884)</v>
      </c>
    </row>
    <row r="4317" spans="1:3" x14ac:dyDescent="0.2">
      <c r="B4317" t="s">
        <v>1</v>
      </c>
    </row>
    <row r="4318" spans="1:3" x14ac:dyDescent="0.2">
      <c r="B4318" t="s">
        <v>411</v>
      </c>
    </row>
    <row r="4320" spans="1:3" x14ac:dyDescent="0.2">
      <c r="A4320" t="s">
        <v>1675</v>
      </c>
      <c r="B4320" t="str">
        <f>HYPERLINK("https://lindat.mff.cuni.cz/services/teitok/pdtc10/index.php?action=vallex&amp;frame=v-w631f1", "domluvit (v-w631f1)")</f>
        <v>domluvit (v-w631f1)</v>
      </c>
    </row>
    <row r="4321" spans="1:2" x14ac:dyDescent="0.2">
      <c r="B4321" t="s">
        <v>1</v>
      </c>
    </row>
    <row r="4322" spans="1:2" x14ac:dyDescent="0.2">
      <c r="B4322" t="s">
        <v>1557</v>
      </c>
    </row>
    <row r="4323" spans="1:2" x14ac:dyDescent="0.2">
      <c r="B4323" t="s">
        <v>153</v>
      </c>
    </row>
    <row r="4325" spans="1:2" x14ac:dyDescent="0.2">
      <c r="A4325" t="s">
        <v>1676</v>
      </c>
      <c r="B4325" t="str">
        <f>HYPERLINK("https://lindat.mff.cuni.cz/services/teitok/pdtc10/index.php?action=vallex&amp;frame=v-w631f3", "domluvit (v-w631f3)")</f>
        <v>domluvit (v-w631f3)</v>
      </c>
    </row>
    <row r="4326" spans="1:2" x14ac:dyDescent="0.2">
      <c r="B4326" t="s">
        <v>1</v>
      </c>
    </row>
    <row r="4327" spans="1:2" x14ac:dyDescent="0.2">
      <c r="B4327" t="s">
        <v>1671</v>
      </c>
    </row>
    <row r="4328" spans="1:2" x14ac:dyDescent="0.2">
      <c r="B4328" t="s">
        <v>35</v>
      </c>
    </row>
    <row r="4330" spans="1:2" x14ac:dyDescent="0.2">
      <c r="A4330" t="s">
        <v>1677</v>
      </c>
      <c r="B4330" t="str">
        <f>HYPERLINK("https://lindat.mff.cuni.cz/services/teitok/pdtc10/index.php?action=vallex&amp;frame=v-w631f4_ZU", "domluvit (v-w631f4_ZU)")</f>
        <v>domluvit (v-w631f4_ZU)</v>
      </c>
    </row>
    <row r="4331" spans="1:2" x14ac:dyDescent="0.2">
      <c r="B4331" t="s">
        <v>1</v>
      </c>
    </row>
    <row r="4332" spans="1:2" x14ac:dyDescent="0.2">
      <c r="B4332" t="s">
        <v>220</v>
      </c>
    </row>
    <row r="4334" spans="1:2" x14ac:dyDescent="0.2">
      <c r="A4334" t="s">
        <v>1677</v>
      </c>
      <c r="B4334" t="str">
        <f>HYPERLINK("https://lindat.mff.cuni.cz/services/teitok/pdtc10/index.php?action=vallex&amp;frame=v-w631f2", "domluvit (v-w631f2) - substituted with v-w631f4_ZU")</f>
        <v>domluvit (v-w631f2) - substituted with v-w631f4_ZU</v>
      </c>
    </row>
    <row r="4335" spans="1:2" x14ac:dyDescent="0.2">
      <c r="B4335" t="s">
        <v>1</v>
      </c>
    </row>
    <row r="4336" spans="1:2" x14ac:dyDescent="0.2">
      <c r="B4336" t="s">
        <v>220</v>
      </c>
    </row>
    <row r="4338" spans="1:4" x14ac:dyDescent="0.2">
      <c r="A4338" t="s">
        <v>1678</v>
      </c>
      <c r="B4338" t="str">
        <f>HYPERLINK("https://lindat.mff.cuni.cz/services/teitok/pdtc10/index.php?action=vallex&amp;frame=v-w632f1", "domluvit se (v-w632f1)")</f>
        <v>domluvit se (v-w632f1)</v>
      </c>
    </row>
    <row r="4339" spans="1:4" x14ac:dyDescent="0.2">
      <c r="B4339" t="s">
        <v>1</v>
      </c>
    </row>
    <row r="4340" spans="1:4" x14ac:dyDescent="0.2">
      <c r="B4340" t="s">
        <v>1509</v>
      </c>
    </row>
    <row r="4341" spans="1:4" x14ac:dyDescent="0.2">
      <c r="B4341" t="s">
        <v>1543</v>
      </c>
    </row>
    <row r="4343" spans="1:4" x14ac:dyDescent="0.2">
      <c r="A4343" t="s">
        <v>1679</v>
      </c>
      <c r="B4343" t="str">
        <f>HYPERLINK("https://lindat.mff.cuni.cz/services/teitok/pdtc10/index.php?action=vallex&amp;frame=v-w632f2", "domluvit se (v-w632f2)")</f>
        <v>domluvit se (v-w632f2)</v>
      </c>
    </row>
    <row r="4344" spans="1:4" x14ac:dyDescent="0.2">
      <c r="B4344" t="s">
        <v>1</v>
      </c>
      <c r="C4344" t="s">
        <v>1680</v>
      </c>
    </row>
    <row r="4345" spans="1:4" x14ac:dyDescent="0.2">
      <c r="B4345" t="s">
        <v>411</v>
      </c>
      <c r="C4345" t="s">
        <v>1681</v>
      </c>
    </row>
    <row r="4347" spans="1:4" x14ac:dyDescent="0.2">
      <c r="A4347" t="s">
        <v>1682</v>
      </c>
      <c r="B4347" t="str">
        <f>HYPERLINK("https://lindat.mff.cuni.cz/services/teitok/pdtc10/index.php?action=vallex&amp;frame=v-w634f1", "domnívat se (v-w634f1)")</f>
        <v>domnívat se (v-w634f1)</v>
      </c>
    </row>
    <row r="4348" spans="1:4" x14ac:dyDescent="0.2">
      <c r="B4348" t="s">
        <v>1</v>
      </c>
      <c r="C4348" t="s">
        <v>1683</v>
      </c>
      <c r="D4348" t="s">
        <v>7821</v>
      </c>
    </row>
    <row r="4349" spans="1:4" x14ac:dyDescent="0.2">
      <c r="B4349" t="s">
        <v>1684</v>
      </c>
      <c r="C4349" t="s">
        <v>1685</v>
      </c>
      <c r="D4349" t="s">
        <v>23148</v>
      </c>
    </row>
    <row r="4351" spans="1:4" x14ac:dyDescent="0.2">
      <c r="A4351" t="s">
        <v>1686</v>
      </c>
      <c r="B4351" t="str">
        <f>HYPERLINK("https://lindat.mff.cuni.cz/services/teitok/pdtc10/index.php?action=vallex&amp;frame=v-w634f2", "domnívat se (v-w634f2)")</f>
        <v>domnívat se (v-w634f2)</v>
      </c>
    </row>
    <row r="4352" spans="1:4" x14ac:dyDescent="0.2">
      <c r="B4352" t="s">
        <v>1</v>
      </c>
      <c r="C4352" t="s">
        <v>1687</v>
      </c>
      <c r="D4352" t="s">
        <v>23149</v>
      </c>
    </row>
    <row r="4353" spans="1:4" x14ac:dyDescent="0.2">
      <c r="B4353" t="s">
        <v>1688</v>
      </c>
      <c r="C4353" t="s">
        <v>1689</v>
      </c>
      <c r="D4353" t="s">
        <v>23150</v>
      </c>
    </row>
    <row r="4354" spans="1:4" x14ac:dyDescent="0.2">
      <c r="B4354" t="s">
        <v>269</v>
      </c>
      <c r="C4354" t="s">
        <v>1690</v>
      </c>
      <c r="D4354" t="s">
        <v>23151</v>
      </c>
    </row>
    <row r="4356" spans="1:4" x14ac:dyDescent="0.2">
      <c r="A4356" t="s">
        <v>1691</v>
      </c>
      <c r="B4356" t="str">
        <f>HYPERLINK("https://lindat.mff.cuni.cz/services/teitok/pdtc10/index.php?action=vallex&amp;frame=v-w635f1", "domoci se (v-w635f1)")</f>
        <v>domoci se (v-w635f1)</v>
      </c>
    </row>
    <row r="4357" spans="1:4" x14ac:dyDescent="0.2">
      <c r="B4357" t="s">
        <v>1</v>
      </c>
    </row>
    <row r="4358" spans="1:4" x14ac:dyDescent="0.2">
      <c r="B4358" t="s">
        <v>1395</v>
      </c>
    </row>
    <row r="4359" spans="1:4" x14ac:dyDescent="0.2">
      <c r="B4359" t="s">
        <v>1396</v>
      </c>
    </row>
    <row r="4361" spans="1:4" x14ac:dyDescent="0.2">
      <c r="A4361" t="s">
        <v>1692</v>
      </c>
      <c r="B4361" t="str">
        <f>HYPERLINK("https://lindat.mff.cuni.cz/services/teitok/pdtc10/index.php?action=vallex&amp;frame=v-w636f1", "domyslet (v-w636f1)")</f>
        <v>domyslet (v-w636f1)</v>
      </c>
    </row>
    <row r="4362" spans="1:4" x14ac:dyDescent="0.2">
      <c r="B4362" t="s">
        <v>1</v>
      </c>
    </row>
    <row r="4363" spans="1:4" x14ac:dyDescent="0.2">
      <c r="B4363" t="s">
        <v>1693</v>
      </c>
    </row>
    <row r="4365" spans="1:4" x14ac:dyDescent="0.2">
      <c r="A4365" t="s">
        <v>1694</v>
      </c>
      <c r="B4365" t="str">
        <f>HYPERLINK("https://lindat.mff.cuni.cz/services/teitok/pdtc10/index.php?action=vallex&amp;frame=v-w625f1", "domáhat se (v-w625f1)")</f>
        <v>domáhat se (v-w625f1)</v>
      </c>
    </row>
    <row r="4366" spans="1:4" x14ac:dyDescent="0.2">
      <c r="B4366" t="s">
        <v>1</v>
      </c>
      <c r="C4366" t="s">
        <v>1695</v>
      </c>
      <c r="D4366" t="s">
        <v>23055</v>
      </c>
    </row>
    <row r="4367" spans="1:4" x14ac:dyDescent="0.2">
      <c r="B4367" t="s">
        <v>1395</v>
      </c>
      <c r="C4367" t="s">
        <v>1696</v>
      </c>
      <c r="D4367" t="s">
        <v>23056</v>
      </c>
    </row>
    <row r="4368" spans="1:4" x14ac:dyDescent="0.2">
      <c r="B4368" t="s">
        <v>1396</v>
      </c>
      <c r="C4368" t="s">
        <v>1697</v>
      </c>
      <c r="D4368" t="s">
        <v>23057</v>
      </c>
    </row>
    <row r="4370" spans="1:4" x14ac:dyDescent="0.2">
      <c r="A4370" t="s">
        <v>1698</v>
      </c>
      <c r="B4370" t="str">
        <f>HYPERLINK("https://lindat.mff.cuni.cz/services/teitok/pdtc10/index.php?action=vallex&amp;frame=v-w637f1", "domýšlet se (v-w637f1)")</f>
        <v>domýšlet se (v-w637f1)</v>
      </c>
    </row>
    <row r="4371" spans="1:4" x14ac:dyDescent="0.2">
      <c r="B4371" t="s">
        <v>1</v>
      </c>
    </row>
    <row r="4372" spans="1:4" x14ac:dyDescent="0.2">
      <c r="B4372" t="s">
        <v>1699</v>
      </c>
    </row>
    <row r="4374" spans="1:4" x14ac:dyDescent="0.2">
      <c r="A4374" t="s">
        <v>1700</v>
      </c>
      <c r="B4374" t="str">
        <f>HYPERLINK("https://lindat.mff.cuni.cz/services/teitok/pdtc10/index.php?action=vallex&amp;frame=v-w641f1", "donosit (v-w641f1)")</f>
        <v>donosit (v-w641f1)</v>
      </c>
    </row>
    <row r="4375" spans="1:4" x14ac:dyDescent="0.2">
      <c r="B4375" t="s">
        <v>1</v>
      </c>
    </row>
    <row r="4376" spans="1:4" x14ac:dyDescent="0.2">
      <c r="B4376" t="s">
        <v>8</v>
      </c>
    </row>
    <row r="4378" spans="1:4" x14ac:dyDescent="0.2">
      <c r="A4378" t="s">
        <v>1701</v>
      </c>
      <c r="B4378" t="str">
        <f>HYPERLINK("https://lindat.mff.cuni.cz/services/teitok/pdtc10/index.php?action=vallex&amp;frame=v-w643f3_ZU", "donutit (v-w643f3_ZU)")</f>
        <v>donutit (v-w643f3_ZU)</v>
      </c>
    </row>
    <row r="4379" spans="1:4" x14ac:dyDescent="0.2">
      <c r="B4379" t="s">
        <v>1</v>
      </c>
    </row>
    <row r="4380" spans="1:4" x14ac:dyDescent="0.2">
      <c r="B4380" t="s">
        <v>1702</v>
      </c>
    </row>
    <row r="4381" spans="1:4" x14ac:dyDescent="0.2">
      <c r="B4381" t="s">
        <v>58</v>
      </c>
    </row>
    <row r="4383" spans="1:4" x14ac:dyDescent="0.2">
      <c r="A4383" t="s">
        <v>1701</v>
      </c>
      <c r="B4383" t="str">
        <f>HYPERLINK("https://lindat.mff.cuni.cz/services/teitok/pdtc10/index.php?action=vallex&amp;frame=v-w643f1", "donutit (v-w643f1) - substituted with v-w643f3_ZU")</f>
        <v>donutit (v-w643f1) - substituted with v-w643f3_ZU</v>
      </c>
    </row>
    <row r="4384" spans="1:4" x14ac:dyDescent="0.2">
      <c r="B4384" t="s">
        <v>1</v>
      </c>
      <c r="C4384" t="s">
        <v>1703</v>
      </c>
      <c r="D4384" t="s">
        <v>23152</v>
      </c>
    </row>
    <row r="4385" spans="1:4" x14ac:dyDescent="0.2">
      <c r="B4385" t="s">
        <v>1702</v>
      </c>
      <c r="C4385" t="s">
        <v>1704</v>
      </c>
      <c r="D4385" t="s">
        <v>23153</v>
      </c>
    </row>
    <row r="4386" spans="1:4" x14ac:dyDescent="0.2">
      <c r="B4386" t="s">
        <v>58</v>
      </c>
      <c r="C4386" t="s">
        <v>1705</v>
      </c>
      <c r="D4386" t="s">
        <v>23154</v>
      </c>
    </row>
    <row r="4388" spans="1:4" x14ac:dyDescent="0.2">
      <c r="A4388" t="s">
        <v>1701</v>
      </c>
      <c r="B4388" t="str">
        <f>HYPERLINK("https://lindat.mff.cuni.cz/services/teitok/pdtc10/index.php?action=vallex&amp;frame=v-w643f2_ZU", "donutit (v-w643f2_ZU) - substituted with v-w643f3_ZU")</f>
        <v>donutit (v-w643f2_ZU) - substituted with v-w643f3_ZU</v>
      </c>
    </row>
    <row r="4389" spans="1:4" x14ac:dyDescent="0.2">
      <c r="B4389" t="s">
        <v>1</v>
      </c>
    </row>
    <row r="4390" spans="1:4" x14ac:dyDescent="0.2">
      <c r="B4390" t="s">
        <v>1702</v>
      </c>
    </row>
    <row r="4391" spans="1:4" x14ac:dyDescent="0.2">
      <c r="B4391" t="s">
        <v>58</v>
      </c>
    </row>
    <row r="4393" spans="1:4" x14ac:dyDescent="0.2">
      <c r="A4393" t="s">
        <v>1706</v>
      </c>
      <c r="B4393" t="str">
        <f>HYPERLINK("https://lindat.mff.cuni.cz/services/teitok/pdtc10/index.php?action=vallex&amp;frame=v-w638f2", "donášet (v-w638f2)")</f>
        <v>donášet (v-w638f2)</v>
      </c>
    </row>
    <row r="4394" spans="1:4" x14ac:dyDescent="0.2">
      <c r="B4394" t="s">
        <v>1</v>
      </c>
    </row>
    <row r="4395" spans="1:4" x14ac:dyDescent="0.2">
      <c r="B4395" t="s">
        <v>8</v>
      </c>
    </row>
    <row r="4396" spans="1:4" x14ac:dyDescent="0.2">
      <c r="B4396" t="s">
        <v>35</v>
      </c>
    </row>
    <row r="4398" spans="1:4" x14ac:dyDescent="0.2">
      <c r="A4398" t="s">
        <v>1707</v>
      </c>
      <c r="B4398" t="str">
        <f>HYPERLINK("https://lindat.mff.cuni.cz/services/teitok/pdtc10/index.php?action=vallex&amp;frame=v-w638f1", "donášet (v-w638f1)")</f>
        <v>donášet (v-w638f1)</v>
      </c>
    </row>
    <row r="4399" spans="1:4" x14ac:dyDescent="0.2">
      <c r="B4399" t="s">
        <v>1</v>
      </c>
    </row>
    <row r="4400" spans="1:4" x14ac:dyDescent="0.2">
      <c r="B4400" t="s">
        <v>8</v>
      </c>
    </row>
    <row r="4401" spans="1:4" x14ac:dyDescent="0.2">
      <c r="B4401" t="s">
        <v>90</v>
      </c>
    </row>
    <row r="4403" spans="1:4" x14ac:dyDescent="0.2">
      <c r="A4403" t="s">
        <v>1708</v>
      </c>
      <c r="B4403" t="str">
        <f>HYPERLINK("https://lindat.mff.cuni.cz/services/teitok/pdtc10/index.php?action=vallex&amp;frame=v-w638hsa_1275", "donášet (v-w638hsa_1275)")</f>
        <v>donášet (v-w638hsa_1275)</v>
      </c>
    </row>
    <row r="4404" spans="1:4" x14ac:dyDescent="0.2">
      <c r="B4404" t="s">
        <v>1</v>
      </c>
      <c r="C4404" t="s">
        <v>1709</v>
      </c>
    </row>
    <row r="4405" spans="1:4" x14ac:dyDescent="0.2">
      <c r="B4405" t="s">
        <v>35</v>
      </c>
    </row>
    <row r="4406" spans="1:4" x14ac:dyDescent="0.2">
      <c r="B4406" t="s">
        <v>1609</v>
      </c>
    </row>
    <row r="4407" spans="1:4" x14ac:dyDescent="0.2">
      <c r="B4407" t="s">
        <v>46</v>
      </c>
      <c r="C4407" t="s">
        <v>1128</v>
      </c>
    </row>
    <row r="4409" spans="1:4" x14ac:dyDescent="0.2">
      <c r="A4409" t="s">
        <v>1710</v>
      </c>
      <c r="B4409" t="str">
        <f>HYPERLINK("https://lindat.mff.cuni.cz/services/teitok/pdtc10/index.php?action=vallex&amp;frame=v-w639f1", "donést (v-w639f1)")</f>
        <v>donést (v-w639f1)</v>
      </c>
    </row>
    <row r="4410" spans="1:4" x14ac:dyDescent="0.2">
      <c r="B4410" t="s">
        <v>1</v>
      </c>
      <c r="D4410" t="s">
        <v>7915</v>
      </c>
    </row>
    <row r="4411" spans="1:4" x14ac:dyDescent="0.2">
      <c r="B4411" t="s">
        <v>8</v>
      </c>
      <c r="D4411" t="s">
        <v>23119</v>
      </c>
    </row>
    <row r="4412" spans="1:4" x14ac:dyDescent="0.2">
      <c r="B4412" t="s">
        <v>35</v>
      </c>
      <c r="D4412" t="s">
        <v>1544</v>
      </c>
    </row>
    <row r="4414" spans="1:4" x14ac:dyDescent="0.2">
      <c r="A4414" t="s">
        <v>1711</v>
      </c>
      <c r="B4414" t="str">
        <f>HYPERLINK("https://lindat.mff.cuni.cz/services/teitok/pdtc10/index.php?action=vallex&amp;frame=v-w639f2", "donést (v-w639f2)")</f>
        <v>donést (v-w639f2)</v>
      </c>
    </row>
    <row r="4415" spans="1:4" x14ac:dyDescent="0.2">
      <c r="B4415" t="s">
        <v>1</v>
      </c>
      <c r="D4415" t="s">
        <v>9447</v>
      </c>
    </row>
    <row r="4416" spans="1:4" x14ac:dyDescent="0.2">
      <c r="B4416" t="s">
        <v>8</v>
      </c>
      <c r="C4416" t="s">
        <v>1712</v>
      </c>
      <c r="D4416" t="s">
        <v>23155</v>
      </c>
    </row>
    <row r="4417" spans="1:4" x14ac:dyDescent="0.2">
      <c r="B4417" t="s">
        <v>90</v>
      </c>
      <c r="C4417" t="s">
        <v>1713</v>
      </c>
      <c r="D4417" t="s">
        <v>1466</v>
      </c>
    </row>
    <row r="4419" spans="1:4" x14ac:dyDescent="0.2">
      <c r="A4419" t="s">
        <v>1714</v>
      </c>
      <c r="B4419" t="str">
        <f>HYPERLINK("https://lindat.mff.cuni.cz/services/teitok/pdtc10/index.php?action=vallex&amp;frame=v-w640f1", "donést se (v-w640f1)")</f>
        <v>donést se (v-w640f1)</v>
      </c>
    </row>
    <row r="4420" spans="1:4" x14ac:dyDescent="0.2">
      <c r="B4420" t="s">
        <v>1</v>
      </c>
    </row>
    <row r="4421" spans="1:4" x14ac:dyDescent="0.2">
      <c r="B4421" t="s">
        <v>103</v>
      </c>
    </row>
    <row r="4423" spans="1:4" x14ac:dyDescent="0.2">
      <c r="A4423" t="s">
        <v>1715</v>
      </c>
      <c r="B4423" t="str">
        <f>HYPERLINK("https://lindat.mff.cuni.cz/services/teitok/pdtc10/index.php?action=vallex&amp;frame=v-w640f2", "donést se (v-w640f2)")</f>
        <v>donést se (v-w640f2)</v>
      </c>
    </row>
    <row r="4424" spans="1:4" x14ac:dyDescent="0.2">
      <c r="B4424" t="s">
        <v>1</v>
      </c>
    </row>
    <row r="4425" spans="1:4" x14ac:dyDescent="0.2">
      <c r="B4425" t="s">
        <v>90</v>
      </c>
    </row>
    <row r="4427" spans="1:4" x14ac:dyDescent="0.2">
      <c r="A4427" t="s">
        <v>1716</v>
      </c>
      <c r="B4427" t="str">
        <f>HYPERLINK("https://lindat.mff.cuni.cz/services/teitok/pdtc10/index.php?action=vallex&amp;frame=v-w12248_ZUf1_ZU", "dooblíknout (v-w12248_ZUf1_ZU)")</f>
        <v>dooblíknout (v-w12248_ZUf1_ZU)</v>
      </c>
    </row>
    <row r="4428" spans="1:4" x14ac:dyDescent="0.2">
      <c r="B4428" t="s">
        <v>1</v>
      </c>
    </row>
    <row r="4429" spans="1:4" x14ac:dyDescent="0.2">
      <c r="B4429" t="s">
        <v>8</v>
      </c>
    </row>
    <row r="4430" spans="1:4" x14ac:dyDescent="0.2">
      <c r="B4430" t="s">
        <v>130</v>
      </c>
    </row>
    <row r="4432" spans="1:4" x14ac:dyDescent="0.2">
      <c r="A4432" t="s">
        <v>1717</v>
      </c>
      <c r="B4432" t="str">
        <f>HYPERLINK("https://lindat.mff.cuni.cz/services/teitok/pdtc10/index.php?action=vallex&amp;frame=v-w11035f2", "doobědvat (v-w11035f2)")</f>
        <v>doobědvat (v-w11035f2)</v>
      </c>
    </row>
    <row r="4433" spans="1:4" x14ac:dyDescent="0.2">
      <c r="B4433" t="s">
        <v>1</v>
      </c>
    </row>
    <row r="4435" spans="1:4" x14ac:dyDescent="0.2">
      <c r="A4435" t="s">
        <v>1718</v>
      </c>
      <c r="B4435" t="str">
        <f>HYPERLINK("https://lindat.mff.cuni.cz/services/teitok/pdtc10/index.php?action=vallex&amp;frame=v-w11818_ZUf1_ZU", "doopravit (v-w11818_ZUf1_ZU)")</f>
        <v>doopravit (v-w11818_ZUf1_ZU)</v>
      </c>
    </row>
    <row r="4436" spans="1:4" x14ac:dyDescent="0.2">
      <c r="B4436" t="s">
        <v>1</v>
      </c>
    </row>
    <row r="4437" spans="1:4" x14ac:dyDescent="0.2">
      <c r="B4437" t="s">
        <v>8</v>
      </c>
    </row>
    <row r="4439" spans="1:4" x14ac:dyDescent="0.2">
      <c r="A4439" t="s">
        <v>1719</v>
      </c>
      <c r="B4439" t="str">
        <f>HYPERLINK("https://lindat.mff.cuni.cz/services/teitok/pdtc10/index.php?action=vallex&amp;frame=v-w645f3", "dopadat (v-w645f3)")</f>
        <v>dopadat (v-w645f3)</v>
      </c>
    </row>
    <row r="4440" spans="1:4" x14ac:dyDescent="0.2">
      <c r="B4440" t="s">
        <v>1</v>
      </c>
      <c r="C4440" t="s">
        <v>1720</v>
      </c>
      <c r="D4440" t="s">
        <v>23156</v>
      </c>
    </row>
    <row r="4441" spans="1:4" x14ac:dyDescent="0.2">
      <c r="B4441" t="s">
        <v>28</v>
      </c>
      <c r="C4441" t="s">
        <v>1721</v>
      </c>
      <c r="D4441" t="s">
        <v>23157</v>
      </c>
    </row>
    <row r="4443" spans="1:4" x14ac:dyDescent="0.2">
      <c r="A4443" t="s">
        <v>1722</v>
      </c>
      <c r="B4443" t="str">
        <f>HYPERLINK("https://lindat.mff.cuni.cz/services/teitok/pdtc10/index.php?action=vallex&amp;frame=v-w645f2", "dopadat (v-w645f2)")</f>
        <v>dopadat (v-w645f2)</v>
      </c>
    </row>
    <row r="4444" spans="1:4" x14ac:dyDescent="0.2">
      <c r="B4444" t="s">
        <v>1</v>
      </c>
    </row>
    <row r="4445" spans="1:4" x14ac:dyDescent="0.2">
      <c r="B4445" t="s">
        <v>90</v>
      </c>
    </row>
    <row r="4447" spans="1:4" x14ac:dyDescent="0.2">
      <c r="A4447" t="s">
        <v>1723</v>
      </c>
      <c r="B4447" t="str">
        <f>HYPERLINK("https://lindat.mff.cuni.cz/services/teitok/pdtc10/index.php?action=vallex&amp;frame=v-w645f1", "dopadat (v-w645f1)")</f>
        <v>dopadat (v-w645f1)</v>
      </c>
    </row>
    <row r="4448" spans="1:4" x14ac:dyDescent="0.2">
      <c r="B4448" t="s">
        <v>1</v>
      </c>
    </row>
    <row r="4449" spans="1:4" x14ac:dyDescent="0.2">
      <c r="B4449" t="s">
        <v>415</v>
      </c>
    </row>
    <row r="4450" spans="1:4" x14ac:dyDescent="0.2">
      <c r="B4450" t="s">
        <v>346</v>
      </c>
    </row>
    <row r="4451" spans="1:4" x14ac:dyDescent="0.2">
      <c r="B4451" t="s">
        <v>349</v>
      </c>
    </row>
    <row r="4453" spans="1:4" x14ac:dyDescent="0.2">
      <c r="A4453" t="s">
        <v>1724</v>
      </c>
      <c r="B4453" t="str">
        <f>HYPERLINK("https://lindat.mff.cuni.cz/services/teitok/pdtc10/index.php?action=vallex&amp;frame=v-w647f3", "dopadnout (v-w647f3)")</f>
        <v>dopadnout (v-w647f3)</v>
      </c>
    </row>
    <row r="4454" spans="1:4" x14ac:dyDescent="0.2">
      <c r="B4454" t="s">
        <v>1</v>
      </c>
      <c r="C4454" t="s">
        <v>140</v>
      </c>
    </row>
    <row r="4455" spans="1:4" x14ac:dyDescent="0.2">
      <c r="B4455" t="s">
        <v>8</v>
      </c>
      <c r="C4455" t="s">
        <v>56</v>
      </c>
    </row>
    <row r="4457" spans="1:4" x14ac:dyDescent="0.2">
      <c r="A4457" t="s">
        <v>1725</v>
      </c>
      <c r="B4457" t="str">
        <f>HYPERLINK("https://lindat.mff.cuni.cz/services/teitok/pdtc10/index.php?action=vallex&amp;frame=v-w647f5", "dopadnout (v-w647f5)")</f>
        <v>dopadnout (v-w647f5)</v>
      </c>
    </row>
    <row r="4458" spans="1:4" x14ac:dyDescent="0.2">
      <c r="B4458" t="s">
        <v>1</v>
      </c>
      <c r="C4458" t="s">
        <v>1726</v>
      </c>
      <c r="D4458" t="s">
        <v>23156</v>
      </c>
    </row>
    <row r="4459" spans="1:4" x14ac:dyDescent="0.2">
      <c r="B4459" t="s">
        <v>28</v>
      </c>
      <c r="C4459" t="s">
        <v>1044</v>
      </c>
      <c r="D4459" t="s">
        <v>23157</v>
      </c>
    </row>
    <row r="4461" spans="1:4" x14ac:dyDescent="0.2">
      <c r="A4461" t="s">
        <v>1727</v>
      </c>
      <c r="B4461" t="str">
        <f>HYPERLINK("https://lindat.mff.cuni.cz/services/teitok/pdtc10/index.php?action=vallex&amp;frame=v-w647f4", "dopadnout (v-w647f4)")</f>
        <v>dopadnout (v-w647f4)</v>
      </c>
    </row>
    <row r="4462" spans="1:4" x14ac:dyDescent="0.2">
      <c r="B4462" t="s">
        <v>1</v>
      </c>
    </row>
    <row r="4463" spans="1:4" x14ac:dyDescent="0.2">
      <c r="B4463" t="s">
        <v>411</v>
      </c>
    </row>
    <row r="4464" spans="1:4" x14ac:dyDescent="0.2">
      <c r="B4464" t="s">
        <v>346</v>
      </c>
    </row>
    <row r="4465" spans="1:4" x14ac:dyDescent="0.2">
      <c r="B4465" t="s">
        <v>349</v>
      </c>
    </row>
    <row r="4466" spans="1:4" x14ac:dyDescent="0.2">
      <c r="B4466" t="s">
        <v>350</v>
      </c>
    </row>
    <row r="4468" spans="1:4" x14ac:dyDescent="0.2">
      <c r="A4468" t="s">
        <v>1728</v>
      </c>
      <c r="B4468" t="str">
        <f>HYPERLINK("https://lindat.mff.cuni.cz/services/teitok/pdtc10/index.php?action=vallex&amp;frame=v-w647f2", "dopadnout (v-w647f2)")</f>
        <v>dopadnout (v-w647f2)</v>
      </c>
    </row>
    <row r="4469" spans="1:4" x14ac:dyDescent="0.2">
      <c r="B4469" t="s">
        <v>1</v>
      </c>
      <c r="C4469" t="s">
        <v>566</v>
      </c>
      <c r="D4469" t="s">
        <v>3043</v>
      </c>
    </row>
    <row r="4470" spans="1:4" x14ac:dyDescent="0.2">
      <c r="B4470" t="s">
        <v>90</v>
      </c>
    </row>
    <row r="4472" spans="1:4" x14ac:dyDescent="0.2">
      <c r="A4472" t="s">
        <v>1729</v>
      </c>
      <c r="B4472" t="str">
        <f>HYPERLINK("https://lindat.mff.cuni.cz/services/teitok/pdtc10/index.php?action=vallex&amp;frame=v-w647f6_ZU", "dopadnout (v-w647f6_ZU)")</f>
        <v>dopadnout (v-w647f6_ZU)</v>
      </c>
    </row>
    <row r="4473" spans="1:4" x14ac:dyDescent="0.2">
      <c r="B4473" t="s">
        <v>1</v>
      </c>
    </row>
    <row r="4474" spans="1:4" x14ac:dyDescent="0.2">
      <c r="B4474" t="s">
        <v>415</v>
      </c>
    </row>
    <row r="4475" spans="1:4" x14ac:dyDescent="0.2">
      <c r="B4475" t="s">
        <v>346</v>
      </c>
    </row>
    <row r="4476" spans="1:4" x14ac:dyDescent="0.2">
      <c r="B4476" t="s">
        <v>349</v>
      </c>
    </row>
    <row r="4477" spans="1:4" x14ac:dyDescent="0.2">
      <c r="B4477" t="s">
        <v>350</v>
      </c>
    </row>
    <row r="4478" spans="1:4" x14ac:dyDescent="0.2">
      <c r="B4478" t="s">
        <v>1730</v>
      </c>
    </row>
    <row r="4480" spans="1:4" x14ac:dyDescent="0.2">
      <c r="A4480" t="s">
        <v>1729</v>
      </c>
      <c r="B4480" t="str">
        <f>HYPERLINK("https://lindat.mff.cuni.cz/services/teitok/pdtc10/index.php?action=vallex&amp;frame=v-w647f1", "dopadnout (v-w647f1) - substituted with v-w647f6_ZU")</f>
        <v>dopadnout (v-w647f1) - substituted with v-w647f6_ZU</v>
      </c>
    </row>
    <row r="4481" spans="1:4" x14ac:dyDescent="0.2">
      <c r="B4481" t="s">
        <v>1</v>
      </c>
      <c r="C4481" t="s">
        <v>1731</v>
      </c>
      <c r="D4481" t="s">
        <v>23158</v>
      </c>
    </row>
    <row r="4482" spans="1:4" x14ac:dyDescent="0.2">
      <c r="B4482" t="s">
        <v>415</v>
      </c>
      <c r="D4482" t="s">
        <v>23159</v>
      </c>
    </row>
    <row r="4483" spans="1:4" x14ac:dyDescent="0.2">
      <c r="B4483" t="s">
        <v>346</v>
      </c>
      <c r="C4483" t="s">
        <v>1732</v>
      </c>
      <c r="D4483" t="s">
        <v>23160</v>
      </c>
    </row>
    <row r="4484" spans="1:4" x14ac:dyDescent="0.2">
      <c r="B4484" t="s">
        <v>349</v>
      </c>
      <c r="C4484" t="s">
        <v>1733</v>
      </c>
      <c r="D4484" t="s">
        <v>23161</v>
      </c>
    </row>
    <row r="4485" spans="1:4" x14ac:dyDescent="0.2">
      <c r="B4485" t="s">
        <v>350</v>
      </c>
      <c r="D4485" t="s">
        <v>23162</v>
      </c>
    </row>
    <row r="4486" spans="1:4" x14ac:dyDescent="0.2">
      <c r="B4486" t="s">
        <v>1730</v>
      </c>
      <c r="D4486" t="s">
        <v>23163</v>
      </c>
    </row>
    <row r="4488" spans="1:4" x14ac:dyDescent="0.2">
      <c r="A4488" t="s">
        <v>1734</v>
      </c>
      <c r="B4488" t="str">
        <f>HYPERLINK("https://lindat.mff.cuni.cz/services/teitok/pdtc10/index.php?action=vallex&amp;frame=v-w651f1", "dopisovat si (v-w651f1)")</f>
        <v>dopisovat si (v-w651f1)</v>
      </c>
    </row>
    <row r="4489" spans="1:4" x14ac:dyDescent="0.2">
      <c r="B4489" t="s">
        <v>1</v>
      </c>
    </row>
    <row r="4490" spans="1:4" x14ac:dyDescent="0.2">
      <c r="B4490" t="s">
        <v>153</v>
      </c>
    </row>
    <row r="4491" spans="1:4" x14ac:dyDescent="0.2">
      <c r="B4491" t="s">
        <v>269</v>
      </c>
    </row>
    <row r="4493" spans="1:4" x14ac:dyDescent="0.2">
      <c r="A4493" t="s">
        <v>1735</v>
      </c>
      <c r="B4493" t="str">
        <f>HYPERLINK("https://lindat.mff.cuni.cz/services/teitok/pdtc10/index.php?action=vallex&amp;frame=v-w656f2", "doplatit (v-w656f2)")</f>
        <v>doplatit (v-w656f2)</v>
      </c>
    </row>
    <row r="4494" spans="1:4" x14ac:dyDescent="0.2">
      <c r="B4494" t="s">
        <v>1</v>
      </c>
      <c r="C4494" t="s">
        <v>337</v>
      </c>
      <c r="D4494" t="s">
        <v>23164</v>
      </c>
    </row>
    <row r="4495" spans="1:4" x14ac:dyDescent="0.2">
      <c r="B4495" t="s">
        <v>8</v>
      </c>
      <c r="C4495" t="s">
        <v>1384</v>
      </c>
      <c r="D4495" t="s">
        <v>23165</v>
      </c>
    </row>
    <row r="4496" spans="1:4" x14ac:dyDescent="0.2">
      <c r="B4496" t="s">
        <v>78</v>
      </c>
      <c r="C4496" t="s">
        <v>1379</v>
      </c>
      <c r="D4496" t="s">
        <v>23166</v>
      </c>
    </row>
    <row r="4497" spans="1:4" x14ac:dyDescent="0.2">
      <c r="B4497" t="s">
        <v>413</v>
      </c>
    </row>
    <row r="4499" spans="1:4" x14ac:dyDescent="0.2">
      <c r="A4499" t="s">
        <v>1736</v>
      </c>
      <c r="B4499" t="str">
        <f>HYPERLINK("https://lindat.mff.cuni.cz/services/teitok/pdtc10/index.php?action=vallex&amp;frame=v-w656f1", "doplatit (v-w656f1)")</f>
        <v>doplatit (v-w656f1)</v>
      </c>
    </row>
    <row r="4500" spans="1:4" x14ac:dyDescent="0.2">
      <c r="B4500" t="s">
        <v>1</v>
      </c>
      <c r="C4500" t="s">
        <v>1606</v>
      </c>
      <c r="D4500" t="s">
        <v>23167</v>
      </c>
    </row>
    <row r="4501" spans="1:4" x14ac:dyDescent="0.2">
      <c r="B4501" t="s">
        <v>28</v>
      </c>
      <c r="C4501" t="s">
        <v>1737</v>
      </c>
      <c r="D4501" t="s">
        <v>23168</v>
      </c>
    </row>
    <row r="4503" spans="1:4" x14ac:dyDescent="0.2">
      <c r="A4503" t="s">
        <v>1738</v>
      </c>
      <c r="B4503" t="str">
        <f>HYPERLINK("https://lindat.mff.cuni.cz/services/teitok/pdtc10/index.php?action=vallex&amp;frame=v-w656f3", "doplatit (v-w656f3)")</f>
        <v>doplatit (v-w656f3)</v>
      </c>
    </row>
    <row r="4504" spans="1:4" x14ac:dyDescent="0.2">
      <c r="B4504" t="s">
        <v>1</v>
      </c>
      <c r="D4504" t="s">
        <v>23164</v>
      </c>
    </row>
    <row r="4505" spans="1:4" x14ac:dyDescent="0.2">
      <c r="B4505" t="s">
        <v>524</v>
      </c>
      <c r="D4505" t="s">
        <v>23169</v>
      </c>
    </row>
    <row r="4506" spans="1:4" x14ac:dyDescent="0.2">
      <c r="B4506" t="s">
        <v>1382</v>
      </c>
    </row>
    <row r="4507" spans="1:4" x14ac:dyDescent="0.2">
      <c r="B4507" t="s">
        <v>78</v>
      </c>
      <c r="D4507" t="s">
        <v>23166</v>
      </c>
    </row>
    <row r="4509" spans="1:4" x14ac:dyDescent="0.2">
      <c r="A4509" t="s">
        <v>1739</v>
      </c>
      <c r="B4509" t="str">
        <f>HYPERLINK("https://lindat.mff.cuni.cz/services/teitok/pdtc10/index.php?action=vallex&amp;frame=v-whsb_728hsa_729", "doplavat (v-whsb_728hsa_729)")</f>
        <v>doplavat (v-whsb_728hsa_729)</v>
      </c>
    </row>
    <row r="4510" spans="1:4" x14ac:dyDescent="0.2">
      <c r="B4510" t="s">
        <v>1</v>
      </c>
    </row>
    <row r="4511" spans="1:4" x14ac:dyDescent="0.2">
      <c r="B4511" t="s">
        <v>90</v>
      </c>
    </row>
    <row r="4513" spans="1:4" x14ac:dyDescent="0.2">
      <c r="A4513" t="s">
        <v>1740</v>
      </c>
      <c r="B4513" t="str">
        <f>HYPERLINK("https://lindat.mff.cuni.cz/services/teitok/pdtc10/index.php?action=vallex&amp;frame=v-w657f1", "doplazit se (v-w657f1)")</f>
        <v>doplazit se (v-w657f1)</v>
      </c>
    </row>
    <row r="4514" spans="1:4" x14ac:dyDescent="0.2">
      <c r="B4514" t="s">
        <v>1</v>
      </c>
    </row>
    <row r="4515" spans="1:4" x14ac:dyDescent="0.2">
      <c r="B4515" t="s">
        <v>90</v>
      </c>
    </row>
    <row r="4517" spans="1:4" x14ac:dyDescent="0.2">
      <c r="A4517" t="s">
        <v>1741</v>
      </c>
      <c r="B4517" t="str">
        <f>HYPERLINK("https://lindat.mff.cuni.cz/services/teitok/pdtc10/index.php?action=vallex&amp;frame=v-w661f1", "doplnit (v-w661f1)")</f>
        <v>doplnit (v-w661f1)</v>
      </c>
    </row>
    <row r="4518" spans="1:4" x14ac:dyDescent="0.2">
      <c r="B4518" t="s">
        <v>1</v>
      </c>
      <c r="C4518" t="s">
        <v>1742</v>
      </c>
      <c r="D4518" t="s">
        <v>14079</v>
      </c>
    </row>
    <row r="4519" spans="1:4" x14ac:dyDescent="0.2">
      <c r="B4519" t="s">
        <v>8</v>
      </c>
      <c r="C4519" t="s">
        <v>1743</v>
      </c>
      <c r="D4519" t="s">
        <v>23170</v>
      </c>
    </row>
    <row r="4520" spans="1:4" x14ac:dyDescent="0.2">
      <c r="B4520" t="s">
        <v>1744</v>
      </c>
      <c r="C4520" t="s">
        <v>1745</v>
      </c>
      <c r="D4520" t="s">
        <v>23171</v>
      </c>
    </row>
    <row r="4522" spans="1:4" x14ac:dyDescent="0.2">
      <c r="A4522" t="s">
        <v>1746</v>
      </c>
      <c r="B4522" t="str">
        <f>HYPERLINK("https://lindat.mff.cuni.cz/services/teitok/pdtc10/index.php?action=vallex&amp;frame=v-w661f2", "doplnit (v-w661f2)")</f>
        <v>doplnit (v-w661f2)</v>
      </c>
    </row>
    <row r="4523" spans="1:4" x14ac:dyDescent="0.2">
      <c r="B4523" t="s">
        <v>1</v>
      </c>
      <c r="C4523" t="s">
        <v>1747</v>
      </c>
    </row>
    <row r="4524" spans="1:4" x14ac:dyDescent="0.2">
      <c r="B4524" t="s">
        <v>1469</v>
      </c>
      <c r="C4524" t="s">
        <v>1748</v>
      </c>
    </row>
    <row r="4525" spans="1:4" x14ac:dyDescent="0.2">
      <c r="B4525" t="s">
        <v>1471</v>
      </c>
    </row>
    <row r="4527" spans="1:4" x14ac:dyDescent="0.2">
      <c r="A4527" t="s">
        <v>1749</v>
      </c>
      <c r="B4527" t="str">
        <f>HYPERLINK("https://lindat.mff.cuni.cz/services/teitok/pdtc10/index.php?action=vallex&amp;frame=v-w661hsa_399", "doplnit (v-w661hsa_399)")</f>
        <v>doplnit (v-w661hsa_399)</v>
      </c>
    </row>
    <row r="4528" spans="1:4" x14ac:dyDescent="0.2">
      <c r="B4528" t="s">
        <v>1</v>
      </c>
      <c r="C4528" t="s">
        <v>337</v>
      </c>
      <c r="D4528" t="s">
        <v>23115</v>
      </c>
    </row>
    <row r="4529" spans="1:4" x14ac:dyDescent="0.2">
      <c r="B4529" t="s">
        <v>8</v>
      </c>
      <c r="C4529" t="s">
        <v>1750</v>
      </c>
    </row>
    <row r="4530" spans="1:4" x14ac:dyDescent="0.2">
      <c r="B4530" t="s">
        <v>61</v>
      </c>
      <c r="C4530" t="s">
        <v>1751</v>
      </c>
      <c r="D4530" t="s">
        <v>21999</v>
      </c>
    </row>
    <row r="4532" spans="1:4" x14ac:dyDescent="0.2">
      <c r="A4532" t="s">
        <v>1752</v>
      </c>
      <c r="B4532" t="str">
        <f>HYPERLINK("https://lindat.mff.cuni.cz/services/teitok/pdtc10/index.php?action=vallex&amp;frame=v-w661f3_ZU", "doplnit (v-w661f3_ZU)")</f>
        <v>doplnit (v-w661f3_ZU)</v>
      </c>
    </row>
    <row r="4533" spans="1:4" x14ac:dyDescent="0.2">
      <c r="B4533" t="s">
        <v>1</v>
      </c>
    </row>
    <row r="4534" spans="1:4" x14ac:dyDescent="0.2">
      <c r="B4534" t="s">
        <v>8</v>
      </c>
    </row>
    <row r="4535" spans="1:4" x14ac:dyDescent="0.2">
      <c r="B4535" t="s">
        <v>1753</v>
      </c>
    </row>
    <row r="4537" spans="1:4" x14ac:dyDescent="0.2">
      <c r="A4537" t="s">
        <v>1754</v>
      </c>
      <c r="B4537" t="str">
        <f>HYPERLINK("https://lindat.mff.cuni.cz/services/teitok/pdtc10/index.php?action=vallex&amp;frame=v-w12219_ZUf2_ZU", "doplout (v-w12219_ZUf2_ZU)")</f>
        <v>doplout (v-w12219_ZUf2_ZU)</v>
      </c>
    </row>
    <row r="4538" spans="1:4" x14ac:dyDescent="0.2">
      <c r="B4538" t="s">
        <v>1</v>
      </c>
    </row>
    <row r="4539" spans="1:4" x14ac:dyDescent="0.2">
      <c r="B4539" t="s">
        <v>252</v>
      </c>
    </row>
    <row r="4541" spans="1:4" x14ac:dyDescent="0.2">
      <c r="A4541" t="s">
        <v>1754</v>
      </c>
      <c r="B4541" t="str">
        <f>HYPERLINK("https://lindat.mff.cuni.cz/services/teitok/pdtc10/index.php?action=vallex&amp;frame=v-w12219_ZUf1_ZU", "doplout (v-w12219_ZUf1_ZU) - substituted with v-w12219_ZUf2_ZU")</f>
        <v>doplout (v-w12219_ZUf1_ZU) - substituted with v-w12219_ZUf2_ZU</v>
      </c>
    </row>
    <row r="4542" spans="1:4" x14ac:dyDescent="0.2">
      <c r="B4542" t="s">
        <v>1</v>
      </c>
    </row>
    <row r="4543" spans="1:4" x14ac:dyDescent="0.2">
      <c r="B4543" t="s">
        <v>252</v>
      </c>
    </row>
    <row r="4545" spans="1:4" x14ac:dyDescent="0.2">
      <c r="A4545" t="s">
        <v>1755</v>
      </c>
      <c r="B4545" t="str">
        <f>HYPERLINK("https://lindat.mff.cuni.cz/services/teitok/pdtc10/index.php?action=vallex&amp;frame=v-w654f1", "doplácet (v-w654f1)")</f>
        <v>doplácet (v-w654f1)</v>
      </c>
    </row>
    <row r="4546" spans="1:4" x14ac:dyDescent="0.2">
      <c r="B4546" t="s">
        <v>1</v>
      </c>
      <c r="D4546" t="s">
        <v>23164</v>
      </c>
    </row>
    <row r="4547" spans="1:4" x14ac:dyDescent="0.2">
      <c r="B4547" t="s">
        <v>8</v>
      </c>
      <c r="D4547" t="s">
        <v>23165</v>
      </c>
    </row>
    <row r="4548" spans="1:4" x14ac:dyDescent="0.2">
      <c r="B4548" t="s">
        <v>78</v>
      </c>
      <c r="D4548" t="s">
        <v>23166</v>
      </c>
    </row>
    <row r="4549" spans="1:4" x14ac:dyDescent="0.2">
      <c r="B4549" t="s">
        <v>413</v>
      </c>
    </row>
    <row r="4551" spans="1:4" x14ac:dyDescent="0.2">
      <c r="A4551" t="s">
        <v>1756</v>
      </c>
      <c r="B4551" t="str">
        <f>HYPERLINK("https://lindat.mff.cuni.cz/services/teitok/pdtc10/index.php?action=vallex&amp;frame=v-w654f3", "doplácet (v-w654f3)")</f>
        <v>doplácet (v-w654f3)</v>
      </c>
    </row>
    <row r="4552" spans="1:4" x14ac:dyDescent="0.2">
      <c r="B4552" t="s">
        <v>1</v>
      </c>
      <c r="C4552" t="s">
        <v>83</v>
      </c>
      <c r="D4552" t="s">
        <v>23167</v>
      </c>
    </row>
    <row r="4553" spans="1:4" x14ac:dyDescent="0.2">
      <c r="B4553" t="s">
        <v>28</v>
      </c>
      <c r="D4553" t="s">
        <v>23168</v>
      </c>
    </row>
    <row r="4555" spans="1:4" x14ac:dyDescent="0.2">
      <c r="A4555" t="s">
        <v>1757</v>
      </c>
      <c r="B4555" t="str">
        <f>HYPERLINK("https://lindat.mff.cuni.cz/services/teitok/pdtc10/index.php?action=vallex&amp;frame=v-w654f2", "doplácet (v-w654f2)")</f>
        <v>doplácet (v-w654f2)</v>
      </c>
    </row>
    <row r="4556" spans="1:4" x14ac:dyDescent="0.2">
      <c r="B4556" t="s">
        <v>1</v>
      </c>
    </row>
    <row r="4557" spans="1:4" x14ac:dyDescent="0.2">
      <c r="B4557" t="s">
        <v>524</v>
      </c>
    </row>
    <row r="4558" spans="1:4" x14ac:dyDescent="0.2">
      <c r="B4558" t="s">
        <v>1382</v>
      </c>
    </row>
    <row r="4559" spans="1:4" x14ac:dyDescent="0.2">
      <c r="B4559" t="s">
        <v>78</v>
      </c>
    </row>
    <row r="4561" spans="1:4" x14ac:dyDescent="0.2">
      <c r="A4561" t="s">
        <v>1758</v>
      </c>
      <c r="B4561" t="str">
        <f>HYPERLINK("https://lindat.mff.cuni.cz/services/teitok/pdtc10/index.php?action=vallex&amp;frame=v-w663f1", "doplňovat (v-w663f1)")</f>
        <v>doplňovat (v-w663f1)</v>
      </c>
    </row>
    <row r="4562" spans="1:4" x14ac:dyDescent="0.2">
      <c r="B4562" t="s">
        <v>1</v>
      </c>
      <c r="C4562" t="s">
        <v>1759</v>
      </c>
      <c r="D4562" t="s">
        <v>14079</v>
      </c>
    </row>
    <row r="4563" spans="1:4" x14ac:dyDescent="0.2">
      <c r="B4563" t="s">
        <v>8</v>
      </c>
      <c r="C4563" t="s">
        <v>1760</v>
      </c>
      <c r="D4563" t="s">
        <v>23170</v>
      </c>
    </row>
    <row r="4564" spans="1:4" x14ac:dyDescent="0.2">
      <c r="B4564" t="s">
        <v>1761</v>
      </c>
      <c r="C4564" t="s">
        <v>1762</v>
      </c>
      <c r="D4564" t="s">
        <v>23171</v>
      </c>
    </row>
    <row r="4566" spans="1:4" x14ac:dyDescent="0.2">
      <c r="A4566" t="s">
        <v>1763</v>
      </c>
      <c r="B4566" t="str">
        <f>HYPERLINK("https://lindat.mff.cuni.cz/services/teitok/pdtc10/index.php?action=vallex&amp;frame=v-w663f2", "doplňovat (v-w663f2)")</f>
        <v>doplňovat (v-w663f2)</v>
      </c>
    </row>
    <row r="4567" spans="1:4" x14ac:dyDescent="0.2">
      <c r="B4567" t="s">
        <v>1</v>
      </c>
    </row>
    <row r="4568" spans="1:4" x14ac:dyDescent="0.2">
      <c r="B4568" t="s">
        <v>1469</v>
      </c>
    </row>
    <row r="4569" spans="1:4" x14ac:dyDescent="0.2">
      <c r="B4569" t="s">
        <v>1471</v>
      </c>
    </row>
    <row r="4571" spans="1:4" x14ac:dyDescent="0.2">
      <c r="A4571" t="s">
        <v>1764</v>
      </c>
      <c r="B4571" t="str">
        <f>HYPERLINK("https://lindat.mff.cuni.cz/services/teitok/pdtc10/index.php?action=vallex&amp;frame=v-w663f3_ZU", "doplňovat (v-w663f3_ZU)")</f>
        <v>doplňovat (v-w663f3_ZU)</v>
      </c>
    </row>
    <row r="4572" spans="1:4" x14ac:dyDescent="0.2">
      <c r="B4572" t="s">
        <v>1</v>
      </c>
    </row>
    <row r="4573" spans="1:4" x14ac:dyDescent="0.2">
      <c r="B4573" t="s">
        <v>8</v>
      </c>
    </row>
    <row r="4574" spans="1:4" x14ac:dyDescent="0.2">
      <c r="B4574" t="s">
        <v>252</v>
      </c>
    </row>
    <row r="4576" spans="1:4" x14ac:dyDescent="0.2">
      <c r="A4576" t="s">
        <v>1765</v>
      </c>
      <c r="B4576" t="str">
        <f>HYPERLINK("https://lindat.mff.cuni.cz/services/teitok/pdtc10/index.php?action=vallex&amp;frame=v-w11508_ZUf1_ZU", "doplňovat se (v-w11508_ZUf1_ZU)")</f>
        <v>doplňovat se (v-w11508_ZUf1_ZU)</v>
      </c>
    </row>
    <row r="4577" spans="1:4" x14ac:dyDescent="0.2">
      <c r="B4577" t="s">
        <v>1</v>
      </c>
    </row>
    <row r="4578" spans="1:4" x14ac:dyDescent="0.2">
      <c r="B4578" t="s">
        <v>411</v>
      </c>
    </row>
    <row r="4580" spans="1:4" x14ac:dyDescent="0.2">
      <c r="A4580" t="s">
        <v>1766</v>
      </c>
      <c r="B4580" t="str">
        <f>HYPERLINK("https://lindat.mff.cuni.cz/services/teitok/pdtc10/index.php?action=vallex&amp;frame=v-w667f1", "dopomoci (v-w667f1)")</f>
        <v>dopomoci (v-w667f1)</v>
      </c>
    </row>
    <row r="4581" spans="1:4" x14ac:dyDescent="0.2">
      <c r="B4581" t="s">
        <v>811</v>
      </c>
    </row>
    <row r="4582" spans="1:4" x14ac:dyDescent="0.2">
      <c r="B4582" t="s">
        <v>35</v>
      </c>
    </row>
    <row r="4583" spans="1:4" x14ac:dyDescent="0.2">
      <c r="B4583" t="s">
        <v>1767</v>
      </c>
    </row>
    <row r="4585" spans="1:4" x14ac:dyDescent="0.2">
      <c r="A4585" t="s">
        <v>1768</v>
      </c>
      <c r="B4585" t="str">
        <f>HYPERLINK("https://lindat.mff.cuni.cz/services/teitok/pdtc10/index.php?action=vallex&amp;frame=v-w666f1", "dopomáhat (v-w666f1)")</f>
        <v>dopomáhat (v-w666f1)</v>
      </c>
    </row>
    <row r="4586" spans="1:4" x14ac:dyDescent="0.2">
      <c r="B4586" t="s">
        <v>811</v>
      </c>
    </row>
    <row r="4587" spans="1:4" x14ac:dyDescent="0.2">
      <c r="B4587" t="s">
        <v>573</v>
      </c>
    </row>
    <row r="4588" spans="1:4" x14ac:dyDescent="0.2">
      <c r="B4588" t="s">
        <v>35</v>
      </c>
    </row>
    <row r="4590" spans="1:4" x14ac:dyDescent="0.2">
      <c r="A4590" t="s">
        <v>1769</v>
      </c>
      <c r="B4590" t="str">
        <f>HYPERLINK("https://lindat.mff.cuni.cz/services/teitok/pdtc10/index.php?action=vallex&amp;frame=v-w670f1", "doporučit (v-w670f1)")</f>
        <v>doporučit (v-w670f1)</v>
      </c>
    </row>
    <row r="4591" spans="1:4" x14ac:dyDescent="0.2">
      <c r="B4591" t="s">
        <v>1</v>
      </c>
      <c r="C4591" t="s">
        <v>234</v>
      </c>
      <c r="D4591" t="s">
        <v>4958</v>
      </c>
    </row>
    <row r="4592" spans="1:4" x14ac:dyDescent="0.2">
      <c r="B4592" t="s">
        <v>1770</v>
      </c>
      <c r="C4592" t="s">
        <v>1771</v>
      </c>
      <c r="D4592" t="s">
        <v>23172</v>
      </c>
    </row>
    <row r="4593" spans="1:4" x14ac:dyDescent="0.2">
      <c r="B4593" t="s">
        <v>35</v>
      </c>
      <c r="C4593" t="s">
        <v>1772</v>
      </c>
      <c r="D4593" t="s">
        <v>23173</v>
      </c>
    </row>
    <row r="4595" spans="1:4" x14ac:dyDescent="0.2">
      <c r="A4595" t="s">
        <v>1773</v>
      </c>
      <c r="B4595" t="str">
        <f>HYPERLINK("https://lindat.mff.cuni.cz/services/teitok/pdtc10/index.php?action=vallex&amp;frame=v-w670f2", "doporučit (v-w670f2)")</f>
        <v>doporučit (v-w670f2)</v>
      </c>
    </row>
    <row r="4596" spans="1:4" x14ac:dyDescent="0.2">
      <c r="B4596" t="s">
        <v>1</v>
      </c>
      <c r="C4596" t="s">
        <v>1774</v>
      </c>
      <c r="D4596" t="s">
        <v>23098</v>
      </c>
    </row>
    <row r="4597" spans="1:4" x14ac:dyDescent="0.2">
      <c r="B4597" t="s">
        <v>8</v>
      </c>
      <c r="C4597" t="s">
        <v>1775</v>
      </c>
      <c r="D4597" t="s">
        <v>23174</v>
      </c>
    </row>
    <row r="4598" spans="1:4" x14ac:dyDescent="0.2">
      <c r="B4598" t="s">
        <v>61</v>
      </c>
    </row>
    <row r="4600" spans="1:4" x14ac:dyDescent="0.2">
      <c r="A4600" t="s">
        <v>1776</v>
      </c>
      <c r="B4600" t="str">
        <f>HYPERLINK("https://lindat.mff.cuni.cz/services/teitok/pdtc10/index.php?action=vallex&amp;frame=v-w672f1", "doporučovat (v-w672f1)")</f>
        <v>doporučovat (v-w672f1)</v>
      </c>
    </row>
    <row r="4601" spans="1:4" x14ac:dyDescent="0.2">
      <c r="B4601" t="s">
        <v>1</v>
      </c>
      <c r="C4601" t="s">
        <v>1777</v>
      </c>
      <c r="D4601" t="s">
        <v>4958</v>
      </c>
    </row>
    <row r="4602" spans="1:4" x14ac:dyDescent="0.2">
      <c r="B4602" t="s">
        <v>1770</v>
      </c>
      <c r="C4602" t="s">
        <v>1778</v>
      </c>
      <c r="D4602" t="s">
        <v>23172</v>
      </c>
    </row>
    <row r="4603" spans="1:4" x14ac:dyDescent="0.2">
      <c r="B4603" t="s">
        <v>35</v>
      </c>
      <c r="C4603" t="s">
        <v>1779</v>
      </c>
      <c r="D4603" t="s">
        <v>23173</v>
      </c>
    </row>
    <row r="4605" spans="1:4" x14ac:dyDescent="0.2">
      <c r="A4605" t="s">
        <v>1780</v>
      </c>
      <c r="B4605" t="str">
        <f>HYPERLINK("https://lindat.mff.cuni.cz/services/teitok/pdtc10/index.php?action=vallex&amp;frame=v-w674f1", "dopouštět se (v-w674f1)")</f>
        <v>dopouštět se (v-w674f1)</v>
      </c>
    </row>
    <row r="4606" spans="1:4" x14ac:dyDescent="0.2">
      <c r="B4606" t="s">
        <v>1</v>
      </c>
      <c r="D4606" t="s">
        <v>80</v>
      </c>
    </row>
    <row r="4607" spans="1:4" x14ac:dyDescent="0.2">
      <c r="B4607" t="s">
        <v>917</v>
      </c>
      <c r="D4607" t="s">
        <v>354</v>
      </c>
    </row>
    <row r="4609" spans="1:2" x14ac:dyDescent="0.2">
      <c r="A4609" t="s">
        <v>1781</v>
      </c>
      <c r="B4609" t="str">
        <f>HYPERLINK("https://lindat.mff.cuni.cz/services/teitok/pdtc10/index.php?action=vallex&amp;frame=v-w675f1", "dopovat (v-w675f1)")</f>
        <v>dopovat (v-w675f1)</v>
      </c>
    </row>
    <row r="4610" spans="1:2" x14ac:dyDescent="0.2">
      <c r="B4610" t="s">
        <v>1</v>
      </c>
    </row>
    <row r="4611" spans="1:2" x14ac:dyDescent="0.2">
      <c r="B4611" t="s">
        <v>8</v>
      </c>
    </row>
    <row r="4613" spans="1:2" x14ac:dyDescent="0.2">
      <c r="A4613" t="s">
        <v>1782</v>
      </c>
      <c r="B4613" t="str">
        <f>HYPERLINK("https://lindat.mff.cuni.cz/services/teitok/pdtc10/index.php?action=vallex&amp;frame=v-w675f2", "dopovat (v-w675f2)")</f>
        <v>dopovat (v-w675f2)</v>
      </c>
    </row>
    <row r="4614" spans="1:2" x14ac:dyDescent="0.2">
      <c r="B4614" t="s">
        <v>1</v>
      </c>
    </row>
    <row r="4615" spans="1:2" x14ac:dyDescent="0.2">
      <c r="B4615" t="s">
        <v>8</v>
      </c>
    </row>
    <row r="4617" spans="1:2" x14ac:dyDescent="0.2">
      <c r="A4617" t="s">
        <v>1783</v>
      </c>
      <c r="B4617" t="str">
        <f>HYPERLINK("https://lindat.mff.cuni.cz/services/teitok/pdtc10/index.php?action=vallex&amp;frame=v-whsa_1924hsa_1925", "dopovídat (v-whsa_1924hsa_1925)")</f>
        <v>dopovídat (v-whsa_1924hsa_1925)</v>
      </c>
    </row>
    <row r="4618" spans="1:2" x14ac:dyDescent="0.2">
      <c r="B4618" t="s">
        <v>1</v>
      </c>
    </row>
    <row r="4619" spans="1:2" x14ac:dyDescent="0.2">
      <c r="B4619" t="s">
        <v>35</v>
      </c>
    </row>
    <row r="4620" spans="1:2" x14ac:dyDescent="0.2">
      <c r="B4620" t="s">
        <v>1688</v>
      </c>
    </row>
    <row r="4621" spans="1:2" x14ac:dyDescent="0.2">
      <c r="B4621" t="s">
        <v>269</v>
      </c>
    </row>
    <row r="4623" spans="1:2" x14ac:dyDescent="0.2">
      <c r="A4623" t="s">
        <v>1784</v>
      </c>
      <c r="B4623" t="str">
        <f>HYPERLINK("https://lindat.mff.cuni.cz/services/teitok/pdtc10/index.php?action=vallex&amp;frame=v-w12327_MMf1_MM", "dopovědět (v-w12327_MMf1_MM)")</f>
        <v>dopovědět (v-w12327_MMf1_MM)</v>
      </c>
    </row>
    <row r="4624" spans="1:2" x14ac:dyDescent="0.2">
      <c r="B4624" t="s">
        <v>1</v>
      </c>
    </row>
    <row r="4625" spans="1:2" x14ac:dyDescent="0.2">
      <c r="B4625" t="s">
        <v>35</v>
      </c>
    </row>
    <row r="4626" spans="1:2" x14ac:dyDescent="0.2">
      <c r="B4626" t="s">
        <v>1688</v>
      </c>
    </row>
    <row r="4627" spans="1:2" x14ac:dyDescent="0.2">
      <c r="B4627" t="s">
        <v>269</v>
      </c>
    </row>
    <row r="4629" spans="1:2" x14ac:dyDescent="0.2">
      <c r="A4629" t="s">
        <v>1785</v>
      </c>
      <c r="B4629" t="str">
        <f>HYPERLINK("https://lindat.mff.cuni.cz/services/teitok/pdtc10/index.php?action=vallex&amp;frame=v-whsa_1506hsa_1507", "dopočítat (v-whsa_1506hsa_1507)")</f>
        <v>dopočítat (v-whsa_1506hsa_1507)</v>
      </c>
    </row>
    <row r="4630" spans="1:2" x14ac:dyDescent="0.2">
      <c r="B4630" t="s">
        <v>1</v>
      </c>
    </row>
    <row r="4631" spans="1:2" x14ac:dyDescent="0.2">
      <c r="B4631" t="s">
        <v>172</v>
      </c>
    </row>
    <row r="4633" spans="1:2" x14ac:dyDescent="0.2">
      <c r="A4633" t="s">
        <v>1786</v>
      </c>
      <c r="B4633" t="str">
        <f>HYPERLINK("https://lindat.mff.cuni.cz/services/teitok/pdtc10/index.php?action=vallex&amp;frame=v-w664f1", "dopočítat se (v-w664f1)")</f>
        <v>dopočítat se (v-w664f1)</v>
      </c>
    </row>
    <row r="4634" spans="1:2" x14ac:dyDescent="0.2">
      <c r="B4634" t="s">
        <v>1</v>
      </c>
    </row>
    <row r="4635" spans="1:2" x14ac:dyDescent="0.2">
      <c r="B4635" t="s">
        <v>1787</v>
      </c>
    </row>
    <row r="4637" spans="1:2" x14ac:dyDescent="0.2">
      <c r="A4637" t="s">
        <v>1788</v>
      </c>
      <c r="B4637" t="str">
        <f>HYPERLINK("https://lindat.mff.cuni.cz/services/teitok/pdtc10/index.php?action=vallex&amp;frame=v-w665f2", "dopočítávat (v-w665f2)")</f>
        <v>dopočítávat (v-w665f2)</v>
      </c>
    </row>
    <row r="4638" spans="1:2" x14ac:dyDescent="0.2">
      <c r="B4638" t="s">
        <v>1</v>
      </c>
    </row>
    <row r="4639" spans="1:2" x14ac:dyDescent="0.2">
      <c r="B4639" t="s">
        <v>8</v>
      </c>
    </row>
    <row r="4641" spans="1:4" x14ac:dyDescent="0.2">
      <c r="A4641" t="s">
        <v>1789</v>
      </c>
      <c r="B4641" t="str">
        <f>HYPERLINK("https://lindat.mff.cuni.cz/services/teitok/pdtc10/index.php?action=vallex&amp;frame=v-w665f1", "dopočítávat (v-w665f1)")</f>
        <v>dopočítávat (v-w665f1)</v>
      </c>
    </row>
    <row r="4642" spans="1:4" x14ac:dyDescent="0.2">
      <c r="B4642" t="s">
        <v>1</v>
      </c>
    </row>
    <row r="4644" spans="1:4" x14ac:dyDescent="0.2">
      <c r="A4644" t="s">
        <v>1790</v>
      </c>
      <c r="B4644" t="str">
        <f>HYPERLINK("https://lindat.mff.cuni.cz/services/teitok/pdtc10/index.php?action=vallex&amp;frame=v-w677f1", "dopracovat (v-w677f1)")</f>
        <v>dopracovat (v-w677f1)</v>
      </c>
    </row>
    <row r="4645" spans="1:4" x14ac:dyDescent="0.2">
      <c r="B4645" t="s">
        <v>1</v>
      </c>
      <c r="D4645" t="s">
        <v>23137</v>
      </c>
    </row>
    <row r="4646" spans="1:4" x14ac:dyDescent="0.2">
      <c r="B4646" t="s">
        <v>8</v>
      </c>
      <c r="D4646" t="s">
        <v>23138</v>
      </c>
    </row>
    <row r="4648" spans="1:4" x14ac:dyDescent="0.2">
      <c r="A4648" t="s">
        <v>1791</v>
      </c>
      <c r="B4648" t="str">
        <f>HYPERLINK("https://lindat.mff.cuni.cz/services/teitok/pdtc10/index.php?action=vallex&amp;frame=v-w678f1", "dopracovat se (v-w678f1)")</f>
        <v>dopracovat se (v-w678f1)</v>
      </c>
    </row>
    <row r="4649" spans="1:4" x14ac:dyDescent="0.2">
      <c r="B4649" t="s">
        <v>1</v>
      </c>
      <c r="C4649" t="s">
        <v>1792</v>
      </c>
    </row>
    <row r="4650" spans="1:4" x14ac:dyDescent="0.2">
      <c r="B4650" t="s">
        <v>1787</v>
      </c>
    </row>
    <row r="4652" spans="1:4" x14ac:dyDescent="0.2">
      <c r="A4652" t="s">
        <v>1793</v>
      </c>
      <c r="B4652" t="str">
        <f>HYPERLINK("https://lindat.mff.cuni.cz/services/teitok/pdtc10/index.php?action=vallex&amp;frame=v-w680f2", "dopravit (v-w680f2)")</f>
        <v>dopravit (v-w680f2)</v>
      </c>
    </row>
    <row r="4653" spans="1:4" x14ac:dyDescent="0.2">
      <c r="B4653" t="s">
        <v>1</v>
      </c>
    </row>
    <row r="4654" spans="1:4" x14ac:dyDescent="0.2">
      <c r="B4654" t="s">
        <v>8</v>
      </c>
    </row>
    <row r="4655" spans="1:4" x14ac:dyDescent="0.2">
      <c r="B4655" t="s">
        <v>35</v>
      </c>
    </row>
    <row r="4657" spans="1:4" x14ac:dyDescent="0.2">
      <c r="A4657" t="s">
        <v>1794</v>
      </c>
      <c r="B4657" t="str">
        <f>HYPERLINK("https://lindat.mff.cuni.cz/services/teitok/pdtc10/index.php?action=vallex&amp;frame=v-w680f3_ZU", "dopravit (v-w680f3_ZU)")</f>
        <v>dopravit (v-w680f3_ZU)</v>
      </c>
    </row>
    <row r="4658" spans="1:4" x14ac:dyDescent="0.2">
      <c r="B4658" t="s">
        <v>1</v>
      </c>
    </row>
    <row r="4659" spans="1:4" x14ac:dyDescent="0.2">
      <c r="B4659" t="s">
        <v>8</v>
      </c>
    </row>
    <row r="4660" spans="1:4" x14ac:dyDescent="0.2">
      <c r="B4660" t="s">
        <v>90</v>
      </c>
    </row>
    <row r="4662" spans="1:4" x14ac:dyDescent="0.2">
      <c r="A4662" t="s">
        <v>1794</v>
      </c>
      <c r="B4662" t="str">
        <f>HYPERLINK("https://lindat.mff.cuni.cz/services/teitok/pdtc10/index.php?action=vallex&amp;frame=v-w680f1", "dopravit (v-w680f1) - substituted with v-w680f3_ZU")</f>
        <v>dopravit (v-w680f1) - substituted with v-w680f3_ZU</v>
      </c>
    </row>
    <row r="4663" spans="1:4" x14ac:dyDescent="0.2">
      <c r="B4663" t="s">
        <v>1</v>
      </c>
      <c r="C4663" t="s">
        <v>337</v>
      </c>
      <c r="D4663" t="s">
        <v>6466</v>
      </c>
    </row>
    <row r="4664" spans="1:4" x14ac:dyDescent="0.2">
      <c r="B4664" t="s">
        <v>8</v>
      </c>
      <c r="C4664" t="s">
        <v>1795</v>
      </c>
      <c r="D4664" t="s">
        <v>23175</v>
      </c>
    </row>
    <row r="4665" spans="1:4" x14ac:dyDescent="0.2">
      <c r="B4665" t="s">
        <v>90</v>
      </c>
      <c r="C4665" t="s">
        <v>1796</v>
      </c>
      <c r="D4665" t="s">
        <v>23176</v>
      </c>
    </row>
    <row r="4667" spans="1:4" x14ac:dyDescent="0.2">
      <c r="A4667" t="s">
        <v>1797</v>
      </c>
      <c r="B4667" t="str">
        <f>HYPERLINK("https://lindat.mff.cuni.cz/services/teitok/pdtc10/index.php?action=vallex&amp;frame=v-w681f1", "dopravovat (v-w681f1)")</f>
        <v>dopravovat (v-w681f1)</v>
      </c>
    </row>
    <row r="4668" spans="1:4" x14ac:dyDescent="0.2">
      <c r="B4668" t="s">
        <v>1</v>
      </c>
      <c r="C4668" t="s">
        <v>80</v>
      </c>
      <c r="D4668" t="s">
        <v>8003</v>
      </c>
    </row>
    <row r="4669" spans="1:4" x14ac:dyDescent="0.2">
      <c r="B4669" t="s">
        <v>8</v>
      </c>
      <c r="C4669" t="s">
        <v>1798</v>
      </c>
      <c r="D4669" t="s">
        <v>23102</v>
      </c>
    </row>
    <row r="4670" spans="1:4" x14ac:dyDescent="0.2">
      <c r="B4670" t="s">
        <v>90</v>
      </c>
      <c r="D4670" t="s">
        <v>23177</v>
      </c>
    </row>
    <row r="4672" spans="1:4" x14ac:dyDescent="0.2">
      <c r="A4672" t="s">
        <v>1799</v>
      </c>
      <c r="B4672" t="str">
        <f>HYPERLINK("https://lindat.mff.cuni.cz/services/teitok/pdtc10/index.php?action=vallex&amp;frame=v-w683f1", "doprodat (v-w683f1)")</f>
        <v>doprodat (v-w683f1)</v>
      </c>
    </row>
    <row r="4673" spans="1:4" x14ac:dyDescent="0.2">
      <c r="B4673" t="s">
        <v>1</v>
      </c>
    </row>
    <row r="4674" spans="1:4" x14ac:dyDescent="0.2">
      <c r="B4674" t="s">
        <v>8</v>
      </c>
    </row>
    <row r="4675" spans="1:4" x14ac:dyDescent="0.2">
      <c r="B4675" t="s">
        <v>35</v>
      </c>
    </row>
    <row r="4677" spans="1:4" x14ac:dyDescent="0.2">
      <c r="A4677" t="s">
        <v>1800</v>
      </c>
      <c r="B4677" t="str">
        <f>HYPERLINK("https://lindat.mff.cuni.cz/services/teitok/pdtc10/index.php?action=vallex&amp;frame=v-w11509_ZUf1_ZU", "doprodávat (v-w11509_ZUf1_ZU)")</f>
        <v>doprodávat (v-w11509_ZUf1_ZU)</v>
      </c>
    </row>
    <row r="4678" spans="1:4" x14ac:dyDescent="0.2">
      <c r="B4678" t="s">
        <v>1</v>
      </c>
    </row>
    <row r="4679" spans="1:4" x14ac:dyDescent="0.2">
      <c r="B4679" t="s">
        <v>8</v>
      </c>
    </row>
    <row r="4680" spans="1:4" x14ac:dyDescent="0.2">
      <c r="B4680" t="s">
        <v>35</v>
      </c>
    </row>
    <row r="4682" spans="1:4" x14ac:dyDescent="0.2">
      <c r="A4682" t="s">
        <v>1801</v>
      </c>
      <c r="B4682" t="str">
        <f>HYPERLINK("https://lindat.mff.cuni.cz/services/teitok/pdtc10/index.php?action=vallex&amp;frame=v-w689f2", "doprovodit (v-w689f2)")</f>
        <v>doprovodit (v-w689f2)</v>
      </c>
    </row>
    <row r="4683" spans="1:4" x14ac:dyDescent="0.2">
      <c r="B4683" t="s">
        <v>1</v>
      </c>
    </row>
    <row r="4684" spans="1:4" x14ac:dyDescent="0.2">
      <c r="B4684" t="s">
        <v>8</v>
      </c>
    </row>
    <row r="4685" spans="1:4" x14ac:dyDescent="0.2">
      <c r="B4685" t="s">
        <v>1632</v>
      </c>
    </row>
    <row r="4687" spans="1:4" x14ac:dyDescent="0.2">
      <c r="A4687" t="s">
        <v>1802</v>
      </c>
      <c r="B4687" t="str">
        <f>HYPERLINK("https://lindat.mff.cuni.cz/services/teitok/pdtc10/index.php?action=vallex&amp;frame=v-w689f1", "doprovodit (v-w689f1)")</f>
        <v>doprovodit (v-w689f1)</v>
      </c>
    </row>
    <row r="4688" spans="1:4" x14ac:dyDescent="0.2">
      <c r="B4688" t="s">
        <v>1</v>
      </c>
      <c r="D4688" t="s">
        <v>1349</v>
      </c>
    </row>
    <row r="4689" spans="1:4" x14ac:dyDescent="0.2">
      <c r="B4689" t="s">
        <v>8</v>
      </c>
      <c r="D4689" t="s">
        <v>93</v>
      </c>
    </row>
    <row r="4691" spans="1:4" x14ac:dyDescent="0.2">
      <c r="A4691" t="s">
        <v>1803</v>
      </c>
      <c r="B4691" t="str">
        <f>HYPERLINK("https://lindat.mff.cuni.cz/services/teitok/pdtc10/index.php?action=vallex&amp;frame=v-w689f3", "doprovodit (v-w689f3)")</f>
        <v>doprovodit (v-w689f3)</v>
      </c>
    </row>
    <row r="4692" spans="1:4" x14ac:dyDescent="0.2">
      <c r="B4692" t="s">
        <v>1</v>
      </c>
    </row>
    <row r="4693" spans="1:4" x14ac:dyDescent="0.2">
      <c r="B4693" t="s">
        <v>8</v>
      </c>
    </row>
    <row r="4695" spans="1:4" x14ac:dyDescent="0.2">
      <c r="A4695" t="s">
        <v>1804</v>
      </c>
      <c r="B4695" t="str">
        <f>HYPERLINK("https://lindat.mff.cuni.cz/services/teitok/pdtc10/index.php?action=vallex&amp;frame=v-w687f3", "doprovázet (v-w687f3)")</f>
        <v>doprovázet (v-w687f3)</v>
      </c>
    </row>
    <row r="4696" spans="1:4" x14ac:dyDescent="0.2">
      <c r="B4696" t="s">
        <v>1</v>
      </c>
      <c r="C4696" t="s">
        <v>1805</v>
      </c>
    </row>
    <row r="4697" spans="1:4" x14ac:dyDescent="0.2">
      <c r="B4697" t="s">
        <v>8</v>
      </c>
      <c r="C4697" t="s">
        <v>116</v>
      </c>
    </row>
    <row r="4698" spans="1:4" x14ac:dyDescent="0.2">
      <c r="B4698" t="s">
        <v>1632</v>
      </c>
    </row>
    <row r="4700" spans="1:4" x14ac:dyDescent="0.2">
      <c r="A4700" t="s">
        <v>1806</v>
      </c>
      <c r="B4700" t="str">
        <f>HYPERLINK("https://lindat.mff.cuni.cz/services/teitok/pdtc10/index.php?action=vallex&amp;frame=v-w687f1", "doprovázet (v-w687f1)")</f>
        <v>doprovázet (v-w687f1)</v>
      </c>
    </row>
    <row r="4701" spans="1:4" x14ac:dyDescent="0.2">
      <c r="B4701" t="s">
        <v>1</v>
      </c>
      <c r="C4701" t="s">
        <v>1805</v>
      </c>
    </row>
    <row r="4702" spans="1:4" x14ac:dyDescent="0.2">
      <c r="B4702" t="s">
        <v>8</v>
      </c>
      <c r="C4702" t="s">
        <v>116</v>
      </c>
    </row>
    <row r="4704" spans="1:4" x14ac:dyDescent="0.2">
      <c r="A4704" t="s">
        <v>1807</v>
      </c>
      <c r="B4704" t="str">
        <f>HYPERLINK("https://lindat.mff.cuni.cz/services/teitok/pdtc10/index.php?action=vallex&amp;frame=v-w687f2", "doprovázet (v-w687f2)")</f>
        <v>doprovázet (v-w687f2)</v>
      </c>
    </row>
    <row r="4705" spans="1:4" x14ac:dyDescent="0.2">
      <c r="B4705" t="s">
        <v>1</v>
      </c>
      <c r="C4705" t="s">
        <v>1808</v>
      </c>
      <c r="D4705" t="s">
        <v>1349</v>
      </c>
    </row>
    <row r="4706" spans="1:4" x14ac:dyDescent="0.2">
      <c r="B4706" t="s">
        <v>8</v>
      </c>
      <c r="C4706" t="s">
        <v>1809</v>
      </c>
      <c r="D4706" t="s">
        <v>93</v>
      </c>
    </row>
    <row r="4708" spans="1:4" x14ac:dyDescent="0.2">
      <c r="A4708" t="s">
        <v>1810</v>
      </c>
      <c r="B4708" t="str">
        <f>HYPERLINK("https://lindat.mff.cuni.cz/services/teitok/pdtc10/index.php?action=vallex&amp;frame=v-w687f5_ZU", "doprovázet (v-w687f5_ZU)")</f>
        <v>doprovázet (v-w687f5_ZU)</v>
      </c>
    </row>
    <row r="4709" spans="1:4" x14ac:dyDescent="0.2">
      <c r="B4709" t="s">
        <v>1</v>
      </c>
    </row>
    <row r="4710" spans="1:4" x14ac:dyDescent="0.2">
      <c r="B4710" t="s">
        <v>8</v>
      </c>
    </row>
    <row r="4712" spans="1:4" x14ac:dyDescent="0.2">
      <c r="A4712" t="s">
        <v>1810</v>
      </c>
      <c r="B4712" t="str">
        <f>HYPERLINK("https://lindat.mff.cuni.cz/services/teitok/pdtc10/index.php?action=vallex&amp;frame=v-w687f4_ZU", "doprovázet (v-w687f4_ZU) - substituted with v-w687f5_ZU")</f>
        <v>doprovázet (v-w687f4_ZU) - substituted with v-w687f5_ZU</v>
      </c>
    </row>
    <row r="4713" spans="1:4" x14ac:dyDescent="0.2">
      <c r="B4713" t="s">
        <v>1</v>
      </c>
      <c r="C4713" t="s">
        <v>1811</v>
      </c>
    </row>
    <row r="4714" spans="1:4" x14ac:dyDescent="0.2">
      <c r="B4714" t="s">
        <v>8</v>
      </c>
      <c r="C4714" t="s">
        <v>1812</v>
      </c>
    </row>
    <row r="4716" spans="1:4" x14ac:dyDescent="0.2">
      <c r="A4716" t="s">
        <v>1810</v>
      </c>
      <c r="B4716" t="str">
        <f>HYPERLINK("https://lindat.mff.cuni.cz/services/teitok/pdtc10/index.php?action=vallex&amp;frame=v-w687hsa_1228", "doprovázet (v-w687hsa_1228) - substituted with v-w687f5_ZU")</f>
        <v>doprovázet (v-w687hsa_1228) - substituted with v-w687f5_ZU</v>
      </c>
    </row>
    <row r="4717" spans="1:4" x14ac:dyDescent="0.2">
      <c r="B4717" t="s">
        <v>1</v>
      </c>
      <c r="C4717" t="s">
        <v>1805</v>
      </c>
    </row>
    <row r="4718" spans="1:4" x14ac:dyDescent="0.2">
      <c r="B4718" t="s">
        <v>8</v>
      </c>
      <c r="C4718" t="s">
        <v>116</v>
      </c>
    </row>
    <row r="4720" spans="1:4" x14ac:dyDescent="0.2">
      <c r="A4720" t="s">
        <v>1813</v>
      </c>
      <c r="B4720" t="str">
        <f>HYPERLINK("https://lindat.mff.cuni.cz/services/teitok/pdtc10/index.php?action=vallex&amp;frame=v-w692f1", "dopustit (v-w692f1)")</f>
        <v>dopustit (v-w692f1)</v>
      </c>
    </row>
    <row r="4721" spans="1:4" x14ac:dyDescent="0.2">
      <c r="B4721" t="s">
        <v>1</v>
      </c>
      <c r="C4721" t="s">
        <v>1504</v>
      </c>
    </row>
    <row r="4722" spans="1:4" x14ac:dyDescent="0.2">
      <c r="B4722" t="s">
        <v>1814</v>
      </c>
      <c r="C4722" t="s">
        <v>1815</v>
      </c>
    </row>
    <row r="4724" spans="1:4" x14ac:dyDescent="0.2">
      <c r="A4724" t="s">
        <v>1816</v>
      </c>
      <c r="B4724" t="str">
        <f>HYPERLINK("https://lindat.mff.cuni.cz/services/teitok/pdtc10/index.php?action=vallex&amp;frame=v-w693f1", "dopustit se (v-w693f1)")</f>
        <v>dopustit se (v-w693f1)</v>
      </c>
    </row>
    <row r="4725" spans="1:4" x14ac:dyDescent="0.2">
      <c r="B4725" t="s">
        <v>1</v>
      </c>
      <c r="C4725" t="s">
        <v>1817</v>
      </c>
      <c r="D4725" t="s">
        <v>80</v>
      </c>
    </row>
    <row r="4726" spans="1:4" x14ac:dyDescent="0.2">
      <c r="B4726" t="s">
        <v>917</v>
      </c>
      <c r="C4726" t="s">
        <v>1818</v>
      </c>
      <c r="D4726" t="s">
        <v>354</v>
      </c>
    </row>
    <row r="4728" spans="1:4" x14ac:dyDescent="0.2">
      <c r="A4728" t="s">
        <v>1819</v>
      </c>
      <c r="B4728" t="str">
        <f>HYPERLINK("https://lindat.mff.cuni.cz/services/teitok/pdtc10/index.php?action=vallex&amp;frame=v-w695f1", "doputovat (v-w695f1)")</f>
        <v>doputovat (v-w695f1)</v>
      </c>
    </row>
    <row r="4729" spans="1:4" x14ac:dyDescent="0.2">
      <c r="B4729" t="s">
        <v>1</v>
      </c>
    </row>
    <row r="4730" spans="1:4" x14ac:dyDescent="0.2">
      <c r="B4730" t="s">
        <v>90</v>
      </c>
    </row>
    <row r="4732" spans="1:4" x14ac:dyDescent="0.2">
      <c r="A4732" t="s">
        <v>1820</v>
      </c>
      <c r="B4732" t="str">
        <f>HYPERLINK("https://lindat.mff.cuni.cz/services/teitok/pdtc10/index.php?action=vallex&amp;frame=v-w11851_ZUf1_ZU", "dopátrat se (v-w11851_ZUf1_ZU)")</f>
        <v>dopátrat se (v-w11851_ZUf1_ZU)</v>
      </c>
    </row>
    <row r="4733" spans="1:4" x14ac:dyDescent="0.2">
      <c r="B4733" t="s">
        <v>1</v>
      </c>
    </row>
    <row r="4734" spans="1:4" x14ac:dyDescent="0.2">
      <c r="B4734" t="s">
        <v>1821</v>
      </c>
    </row>
    <row r="4736" spans="1:4" x14ac:dyDescent="0.2">
      <c r="A4736" t="s">
        <v>1822</v>
      </c>
      <c r="B4736" t="str">
        <f>HYPERLINK("https://lindat.mff.cuni.cz/services/teitok/pdtc10/index.php?action=vallex&amp;frame=v-w648f2", "dopéci (v-w648f2)")</f>
        <v>dopéci (v-w648f2)</v>
      </c>
    </row>
    <row r="4737" spans="1:2" x14ac:dyDescent="0.2">
      <c r="B4737" t="s">
        <v>1</v>
      </c>
    </row>
    <row r="4738" spans="1:2" x14ac:dyDescent="0.2">
      <c r="B4738" t="s">
        <v>8</v>
      </c>
    </row>
    <row r="4739" spans="1:2" x14ac:dyDescent="0.2">
      <c r="B4739" t="s">
        <v>24</v>
      </c>
    </row>
    <row r="4741" spans="1:2" x14ac:dyDescent="0.2">
      <c r="A4741" t="s">
        <v>1823</v>
      </c>
      <c r="B4741" t="str">
        <f>HYPERLINK("https://lindat.mff.cuni.cz/services/teitok/pdtc10/index.php?action=vallex&amp;frame=v-w648f1", "dopéci (v-w648f1)")</f>
        <v>dopéci (v-w648f1)</v>
      </c>
    </row>
    <row r="4742" spans="1:2" x14ac:dyDescent="0.2">
      <c r="B4742" t="s">
        <v>1</v>
      </c>
    </row>
    <row r="4743" spans="1:2" x14ac:dyDescent="0.2">
      <c r="B4743" t="s">
        <v>1824</v>
      </c>
    </row>
    <row r="4745" spans="1:2" x14ac:dyDescent="0.2">
      <c r="A4745" t="s">
        <v>1825</v>
      </c>
      <c r="B4745" t="str">
        <f>HYPERLINK("https://lindat.mff.cuni.cz/services/teitok/pdtc10/index.php?action=vallex&amp;frame=v-w12247_ZUf1_ZU", "dopřipravit se (v-w12247_ZUf1_ZU)")</f>
        <v>dopřipravit se (v-w12247_ZUf1_ZU)</v>
      </c>
    </row>
    <row r="4746" spans="1:2" x14ac:dyDescent="0.2">
      <c r="B4746" t="s">
        <v>1</v>
      </c>
    </row>
    <row r="4747" spans="1:2" x14ac:dyDescent="0.2">
      <c r="B4747" t="s">
        <v>1826</v>
      </c>
    </row>
    <row r="4749" spans="1:2" x14ac:dyDescent="0.2">
      <c r="A4749" t="s">
        <v>1827</v>
      </c>
      <c r="B4749" t="str">
        <f>HYPERLINK("https://lindat.mff.cuni.cz/services/teitok/pdtc10/index.php?action=vallex&amp;frame=v-w690f1", "dopřát (v-w690f1)")</f>
        <v>dopřát (v-w690f1)</v>
      </c>
    </row>
    <row r="4750" spans="1:2" x14ac:dyDescent="0.2">
      <c r="B4750" t="s">
        <v>1</v>
      </c>
    </row>
    <row r="4751" spans="1:2" x14ac:dyDescent="0.2">
      <c r="B4751" t="s">
        <v>228</v>
      </c>
    </row>
    <row r="4752" spans="1:2" x14ac:dyDescent="0.2">
      <c r="B4752" t="s">
        <v>35</v>
      </c>
    </row>
    <row r="4754" spans="1:4" x14ac:dyDescent="0.2">
      <c r="A4754" t="s">
        <v>1828</v>
      </c>
      <c r="B4754" t="str">
        <f>HYPERLINK("https://lindat.mff.cuni.cz/services/teitok/pdtc10/index.php?action=vallex&amp;frame=v-w691f1", "dopřát si (v-w691f1)")</f>
        <v>dopřát si (v-w691f1)</v>
      </c>
    </row>
    <row r="4755" spans="1:4" x14ac:dyDescent="0.2">
      <c r="B4755" t="s">
        <v>1</v>
      </c>
    </row>
    <row r="4756" spans="1:4" x14ac:dyDescent="0.2">
      <c r="B4756" t="s">
        <v>1829</v>
      </c>
    </row>
    <row r="4758" spans="1:4" x14ac:dyDescent="0.2">
      <c r="A4758" t="s">
        <v>1830</v>
      </c>
      <c r="B4758" t="str">
        <f>HYPERLINK("https://lindat.mff.cuni.cz/services/teitok/pdtc10/index.php?action=vallex&amp;frame=v-w12273_ZUf1_ZU", "dopřávat (v-w12273_ZUf1_ZU)")</f>
        <v>dopřávat (v-w12273_ZUf1_ZU)</v>
      </c>
    </row>
    <row r="4759" spans="1:4" x14ac:dyDescent="0.2">
      <c r="B4759" t="s">
        <v>1</v>
      </c>
    </row>
    <row r="4760" spans="1:4" x14ac:dyDescent="0.2">
      <c r="B4760" t="s">
        <v>35</v>
      </c>
    </row>
    <row r="4761" spans="1:4" x14ac:dyDescent="0.2">
      <c r="B4761" t="s">
        <v>8</v>
      </c>
    </row>
    <row r="4763" spans="1:4" x14ac:dyDescent="0.2">
      <c r="A4763" t="s">
        <v>1831</v>
      </c>
      <c r="B4763" t="str">
        <f>HYPERLINK("https://lindat.mff.cuni.cz/services/teitok/pdtc10/index.php?action=vallex&amp;frame=v-w11292f1", "dopřávat si (v-w11292f1)")</f>
        <v>dopřávat si (v-w11292f1)</v>
      </c>
    </row>
    <row r="4764" spans="1:4" x14ac:dyDescent="0.2">
      <c r="B4764" t="s">
        <v>1</v>
      </c>
      <c r="C4764" t="s">
        <v>133</v>
      </c>
      <c r="D4764" t="s">
        <v>2400</v>
      </c>
    </row>
    <row r="4765" spans="1:4" x14ac:dyDescent="0.2">
      <c r="B4765" t="s">
        <v>1829</v>
      </c>
      <c r="C4765" t="s">
        <v>1832</v>
      </c>
      <c r="D4765" t="s">
        <v>23178</v>
      </c>
    </row>
    <row r="4767" spans="1:4" x14ac:dyDescent="0.2">
      <c r="A4767" t="s">
        <v>1833</v>
      </c>
      <c r="B4767" t="str">
        <f>HYPERLINK("https://lindat.mff.cuni.cz/services/teitok/pdtc10/index.php?action=vallex&amp;frame=v-w696f2", "dorazit (v-w696f2)")</f>
        <v>dorazit (v-w696f2)</v>
      </c>
    </row>
    <row r="4768" spans="1:4" x14ac:dyDescent="0.2">
      <c r="B4768" t="s">
        <v>1</v>
      </c>
    </row>
    <row r="4769" spans="1:2" x14ac:dyDescent="0.2">
      <c r="B4769" t="s">
        <v>8</v>
      </c>
    </row>
    <row r="4770" spans="1:2" x14ac:dyDescent="0.2">
      <c r="B4770" t="s">
        <v>90</v>
      </c>
    </row>
    <row r="4772" spans="1:2" x14ac:dyDescent="0.2">
      <c r="A4772" t="s">
        <v>1834</v>
      </c>
      <c r="B4772" t="str">
        <f>HYPERLINK("https://lindat.mff.cuni.cz/services/teitok/pdtc10/index.php?action=vallex&amp;frame=v-w696f3", "dorazit (v-w696f3)")</f>
        <v>dorazit (v-w696f3)</v>
      </c>
    </row>
    <row r="4773" spans="1:2" x14ac:dyDescent="0.2">
      <c r="B4773" t="s">
        <v>1</v>
      </c>
    </row>
    <row r="4774" spans="1:2" x14ac:dyDescent="0.2">
      <c r="B4774" t="s">
        <v>8</v>
      </c>
    </row>
    <row r="4776" spans="1:2" x14ac:dyDescent="0.2">
      <c r="A4776" t="s">
        <v>1835</v>
      </c>
      <c r="B4776" t="str">
        <f>HYPERLINK("https://lindat.mff.cuni.cz/services/teitok/pdtc10/index.php?action=vallex&amp;frame=v-w696f5", "dorazit (v-w696f5)")</f>
        <v>dorazit (v-w696f5)</v>
      </c>
    </row>
    <row r="4777" spans="1:2" x14ac:dyDescent="0.2">
      <c r="B4777" t="s">
        <v>1</v>
      </c>
    </row>
    <row r="4778" spans="1:2" x14ac:dyDescent="0.2">
      <c r="B4778" t="s">
        <v>8</v>
      </c>
    </row>
    <row r="4780" spans="1:2" x14ac:dyDescent="0.2">
      <c r="A4780" t="s">
        <v>1836</v>
      </c>
      <c r="B4780" t="str">
        <f>HYPERLINK("https://lindat.mff.cuni.cz/services/teitok/pdtc10/index.php?action=vallex&amp;frame=v-w696f4", "dorazit (v-w696f4)")</f>
        <v>dorazit (v-w696f4)</v>
      </c>
    </row>
    <row r="4781" spans="1:2" x14ac:dyDescent="0.2">
      <c r="B4781" t="s">
        <v>1</v>
      </c>
    </row>
    <row r="4782" spans="1:2" x14ac:dyDescent="0.2">
      <c r="B4782" t="s">
        <v>8</v>
      </c>
    </row>
    <row r="4784" spans="1:2" x14ac:dyDescent="0.2">
      <c r="A4784" t="s">
        <v>1837</v>
      </c>
      <c r="B4784" t="str">
        <f>HYPERLINK("https://lindat.mff.cuni.cz/services/teitok/pdtc10/index.php?action=vallex&amp;frame=v-w696f1", "dorazit (v-w696f1)")</f>
        <v>dorazit (v-w696f1)</v>
      </c>
    </row>
    <row r="4785" spans="1:4" x14ac:dyDescent="0.2">
      <c r="B4785" t="s">
        <v>1</v>
      </c>
      <c r="C4785" t="s">
        <v>1838</v>
      </c>
      <c r="D4785" t="s">
        <v>23107</v>
      </c>
    </row>
    <row r="4786" spans="1:4" x14ac:dyDescent="0.2">
      <c r="B4786" t="s">
        <v>90</v>
      </c>
      <c r="C4786" t="s">
        <v>1839</v>
      </c>
      <c r="D4786" t="s">
        <v>23108</v>
      </c>
    </row>
    <row r="4788" spans="1:4" x14ac:dyDescent="0.2">
      <c r="A4788" t="s">
        <v>1840</v>
      </c>
      <c r="B4788" t="str">
        <f>HYPERLINK("https://lindat.mff.cuni.cz/services/teitok/pdtc10/index.php?action=vallex&amp;frame=v-w696hsa_673", "dorazit (v-w696hsa_673)")</f>
        <v>dorazit (v-w696hsa_673)</v>
      </c>
    </row>
    <row r="4789" spans="1:4" x14ac:dyDescent="0.2">
      <c r="B4789" t="s">
        <v>488</v>
      </c>
    </row>
    <row r="4790" spans="1:4" x14ac:dyDescent="0.2">
      <c r="B4790" t="s">
        <v>90</v>
      </c>
    </row>
    <row r="4792" spans="1:4" x14ac:dyDescent="0.2">
      <c r="A4792" t="s">
        <v>1841</v>
      </c>
      <c r="B4792" t="str">
        <f>HYPERLINK("https://lindat.mff.cuni.cz/services/teitok/pdtc10/index.php?action=vallex&amp;frame=v-w699f1", "dorovnat (v-w699f1)")</f>
        <v>dorovnat (v-w699f1)</v>
      </c>
    </row>
    <row r="4793" spans="1:4" x14ac:dyDescent="0.2">
      <c r="B4793" t="s">
        <v>1</v>
      </c>
      <c r="C4793" t="s">
        <v>133</v>
      </c>
      <c r="D4793" t="s">
        <v>23164</v>
      </c>
    </row>
    <row r="4794" spans="1:4" x14ac:dyDescent="0.2">
      <c r="B4794" t="s">
        <v>8</v>
      </c>
      <c r="C4794" t="s">
        <v>56</v>
      </c>
      <c r="D4794" t="s">
        <v>23165</v>
      </c>
    </row>
    <row r="4795" spans="1:4" x14ac:dyDescent="0.2">
      <c r="B4795" t="s">
        <v>78</v>
      </c>
      <c r="D4795" t="s">
        <v>23166</v>
      </c>
    </row>
    <row r="4796" spans="1:4" x14ac:dyDescent="0.2">
      <c r="B4796" t="s">
        <v>413</v>
      </c>
    </row>
    <row r="4798" spans="1:4" x14ac:dyDescent="0.2">
      <c r="A4798" t="s">
        <v>1842</v>
      </c>
      <c r="B4798" t="str">
        <f>HYPERLINK("https://lindat.mff.cuni.cz/services/teitok/pdtc10/index.php?action=vallex&amp;frame=v-w701f1", "dorozumívat se (v-w701f1)")</f>
        <v>dorozumívat se (v-w701f1)</v>
      </c>
    </row>
    <row r="4799" spans="1:4" x14ac:dyDescent="0.2">
      <c r="B4799" t="s">
        <v>1</v>
      </c>
    </row>
    <row r="4800" spans="1:4" x14ac:dyDescent="0.2">
      <c r="B4800" t="s">
        <v>1843</v>
      </c>
    </row>
    <row r="4801" spans="1:4" x14ac:dyDescent="0.2">
      <c r="B4801" t="s">
        <v>153</v>
      </c>
    </row>
    <row r="4803" spans="1:4" x14ac:dyDescent="0.2">
      <c r="A4803" t="s">
        <v>1844</v>
      </c>
      <c r="B4803" t="str">
        <f>HYPERLINK("https://lindat.mff.cuni.cz/services/teitok/pdtc10/index.php?action=vallex&amp;frame=v-w700f2", "dorozumět se (v-w700f2)")</f>
        <v>dorozumět se (v-w700f2)</v>
      </c>
    </row>
    <row r="4804" spans="1:4" x14ac:dyDescent="0.2">
      <c r="B4804" t="s">
        <v>1</v>
      </c>
    </row>
    <row r="4805" spans="1:4" x14ac:dyDescent="0.2">
      <c r="B4805" t="s">
        <v>1843</v>
      </c>
    </row>
    <row r="4806" spans="1:4" x14ac:dyDescent="0.2">
      <c r="B4806" t="s">
        <v>153</v>
      </c>
    </row>
    <row r="4808" spans="1:4" x14ac:dyDescent="0.2">
      <c r="A4808" t="s">
        <v>1845</v>
      </c>
      <c r="B4808" t="str">
        <f>HYPERLINK("https://lindat.mff.cuni.cz/services/teitok/pdtc10/index.php?action=vallex&amp;frame=v-w700f1", "dorozumět se (v-w700f1)")</f>
        <v>dorozumět se (v-w700f1)</v>
      </c>
    </row>
    <row r="4809" spans="1:4" x14ac:dyDescent="0.2">
      <c r="B4809" t="s">
        <v>1</v>
      </c>
    </row>
    <row r="4810" spans="1:4" x14ac:dyDescent="0.2">
      <c r="B4810" t="s">
        <v>411</v>
      </c>
    </row>
    <row r="4812" spans="1:4" x14ac:dyDescent="0.2">
      <c r="A4812" t="s">
        <v>1846</v>
      </c>
      <c r="B4812" t="str">
        <f>HYPERLINK("https://lindat.mff.cuni.cz/services/teitok/pdtc10/index.php?action=vallex&amp;frame=v-w703f1", "doručit (v-w703f1)")</f>
        <v>doručit (v-w703f1)</v>
      </c>
    </row>
    <row r="4813" spans="1:4" x14ac:dyDescent="0.2">
      <c r="B4813" t="s">
        <v>1</v>
      </c>
      <c r="C4813" t="s">
        <v>1847</v>
      </c>
      <c r="D4813" t="s">
        <v>7915</v>
      </c>
    </row>
    <row r="4814" spans="1:4" x14ac:dyDescent="0.2">
      <c r="B4814" t="s">
        <v>8</v>
      </c>
      <c r="C4814" t="s">
        <v>1848</v>
      </c>
      <c r="D4814" t="s">
        <v>23119</v>
      </c>
    </row>
    <row r="4815" spans="1:4" x14ac:dyDescent="0.2">
      <c r="B4815" t="s">
        <v>35</v>
      </c>
      <c r="C4815" t="s">
        <v>1544</v>
      </c>
      <c r="D4815" t="s">
        <v>1544</v>
      </c>
    </row>
    <row r="4817" spans="1:4" x14ac:dyDescent="0.2">
      <c r="A4817" t="s">
        <v>1849</v>
      </c>
      <c r="B4817" t="str">
        <f>HYPERLINK("https://lindat.mff.cuni.cz/services/teitok/pdtc10/index.php?action=vallex&amp;frame=v-w703f2", "doručit (v-w703f2)")</f>
        <v>doručit (v-w703f2)</v>
      </c>
    </row>
    <row r="4818" spans="1:4" x14ac:dyDescent="0.2">
      <c r="B4818" t="s">
        <v>1</v>
      </c>
      <c r="C4818" t="s">
        <v>1850</v>
      </c>
      <c r="D4818" t="s">
        <v>9876</v>
      </c>
    </row>
    <row r="4819" spans="1:4" x14ac:dyDescent="0.2">
      <c r="B4819" t="s">
        <v>8</v>
      </c>
      <c r="C4819" t="s">
        <v>1851</v>
      </c>
      <c r="D4819" t="s">
        <v>23179</v>
      </c>
    </row>
    <row r="4820" spans="1:4" x14ac:dyDescent="0.2">
      <c r="B4820" t="s">
        <v>90</v>
      </c>
      <c r="C4820" t="s">
        <v>1852</v>
      </c>
      <c r="D4820" t="s">
        <v>23180</v>
      </c>
    </row>
    <row r="4822" spans="1:4" x14ac:dyDescent="0.2">
      <c r="A4822" t="s">
        <v>1853</v>
      </c>
      <c r="B4822" t="str">
        <f>HYPERLINK("https://lindat.mff.cuni.cz/services/teitok/pdtc10/index.php?action=vallex&amp;frame=v-w705f1", "doručovat (v-w705f1)")</f>
        <v>doručovat (v-w705f1)</v>
      </c>
    </row>
    <row r="4823" spans="1:4" x14ac:dyDescent="0.2">
      <c r="B4823" t="s">
        <v>1</v>
      </c>
      <c r="C4823" t="s">
        <v>964</v>
      </c>
      <c r="D4823" t="s">
        <v>7915</v>
      </c>
    </row>
    <row r="4824" spans="1:4" x14ac:dyDescent="0.2">
      <c r="B4824" t="s">
        <v>8</v>
      </c>
      <c r="C4824" t="s">
        <v>1854</v>
      </c>
      <c r="D4824" t="s">
        <v>23119</v>
      </c>
    </row>
    <row r="4825" spans="1:4" x14ac:dyDescent="0.2">
      <c r="B4825" t="s">
        <v>35</v>
      </c>
      <c r="C4825" t="s">
        <v>1544</v>
      </c>
      <c r="D4825" t="s">
        <v>1544</v>
      </c>
    </row>
    <row r="4827" spans="1:4" x14ac:dyDescent="0.2">
      <c r="A4827" t="s">
        <v>1855</v>
      </c>
      <c r="B4827" t="str">
        <f>HYPERLINK("https://lindat.mff.cuni.cz/services/teitok/pdtc10/index.php?action=vallex&amp;frame=v-w705f2", "doručovat (v-w705f2)")</f>
        <v>doručovat (v-w705f2)</v>
      </c>
    </row>
    <row r="4828" spans="1:4" x14ac:dyDescent="0.2">
      <c r="B4828" t="s">
        <v>1</v>
      </c>
      <c r="D4828" t="s">
        <v>7915</v>
      </c>
    </row>
    <row r="4829" spans="1:4" x14ac:dyDescent="0.2">
      <c r="B4829" t="s">
        <v>8</v>
      </c>
      <c r="D4829" t="s">
        <v>23119</v>
      </c>
    </row>
    <row r="4830" spans="1:4" x14ac:dyDescent="0.2">
      <c r="B4830" t="s">
        <v>90</v>
      </c>
      <c r="D4830" t="s">
        <v>1466</v>
      </c>
    </row>
    <row r="4832" spans="1:4" x14ac:dyDescent="0.2">
      <c r="A4832" t="s">
        <v>1856</v>
      </c>
      <c r="B4832" t="str">
        <f>HYPERLINK("https://lindat.mff.cuni.cz/services/teitok/pdtc10/index.php?action=vallex&amp;frame=v-w697f2", "dorážet (v-w697f2)")</f>
        <v>dorážet (v-w697f2)</v>
      </c>
    </row>
    <row r="4833" spans="1:2" x14ac:dyDescent="0.2">
      <c r="B4833" t="s">
        <v>1</v>
      </c>
    </row>
    <row r="4834" spans="1:2" x14ac:dyDescent="0.2">
      <c r="B4834" t="s">
        <v>8</v>
      </c>
    </row>
    <row r="4836" spans="1:2" x14ac:dyDescent="0.2">
      <c r="A4836" t="s">
        <v>1857</v>
      </c>
      <c r="B4836" t="str">
        <f>HYPERLINK("https://lindat.mff.cuni.cz/services/teitok/pdtc10/index.php?action=vallex&amp;frame=v-w697f1", "dorážet (v-w697f1)")</f>
        <v>dorážet (v-w697f1)</v>
      </c>
    </row>
    <row r="4837" spans="1:2" x14ac:dyDescent="0.2">
      <c r="B4837" t="s">
        <v>1</v>
      </c>
    </row>
    <row r="4838" spans="1:2" x14ac:dyDescent="0.2">
      <c r="B4838" t="s">
        <v>28</v>
      </c>
    </row>
    <row r="4840" spans="1:2" x14ac:dyDescent="0.2">
      <c r="A4840" t="s">
        <v>1858</v>
      </c>
      <c r="B4840" t="str">
        <f>HYPERLINK("https://lindat.mff.cuni.cz/services/teitok/pdtc10/index.php?action=vallex&amp;frame=v-w707f4_ZU", "dorůst (v-w707f4_ZU)")</f>
        <v>dorůst (v-w707f4_ZU)</v>
      </c>
    </row>
    <row r="4841" spans="1:2" x14ac:dyDescent="0.2">
      <c r="B4841" t="s">
        <v>1</v>
      </c>
    </row>
    <row r="4842" spans="1:2" x14ac:dyDescent="0.2">
      <c r="B4842" t="s">
        <v>1859</v>
      </c>
    </row>
    <row r="4843" spans="1:2" x14ac:dyDescent="0.2">
      <c r="B4843" t="s">
        <v>24</v>
      </c>
    </row>
    <row r="4845" spans="1:2" x14ac:dyDescent="0.2">
      <c r="A4845" t="s">
        <v>1858</v>
      </c>
      <c r="B4845" t="str">
        <f>HYPERLINK("https://lindat.mff.cuni.cz/services/teitok/pdtc10/index.php?action=vallex&amp;frame=v-w707f2", "dorůst (v-w707f2) - substituted with v-w707f4_ZU")</f>
        <v>dorůst (v-w707f2) - substituted with v-w707f4_ZU</v>
      </c>
    </row>
    <row r="4846" spans="1:2" x14ac:dyDescent="0.2">
      <c r="B4846" t="s">
        <v>1</v>
      </c>
    </row>
    <row r="4847" spans="1:2" x14ac:dyDescent="0.2">
      <c r="B4847" t="s">
        <v>1859</v>
      </c>
    </row>
    <row r="4848" spans="1:2" x14ac:dyDescent="0.2">
      <c r="B4848" t="s">
        <v>24</v>
      </c>
    </row>
    <row r="4850" spans="1:2" x14ac:dyDescent="0.2">
      <c r="A4850" t="s">
        <v>1858</v>
      </c>
      <c r="B4850" t="str">
        <f>HYPERLINK("https://lindat.mff.cuni.cz/services/teitok/pdtc10/index.php?action=vallex&amp;frame=v-w707f3_ZU", "dorůst (v-w707f3_ZU) - substituted with v-w707f4_ZU")</f>
        <v>dorůst (v-w707f3_ZU) - substituted with v-w707f4_ZU</v>
      </c>
    </row>
    <row r="4851" spans="1:2" x14ac:dyDescent="0.2">
      <c r="B4851" t="s">
        <v>1</v>
      </c>
    </row>
    <row r="4852" spans="1:2" x14ac:dyDescent="0.2">
      <c r="B4852" t="s">
        <v>1859</v>
      </c>
    </row>
    <row r="4853" spans="1:2" x14ac:dyDescent="0.2">
      <c r="B4853" t="s">
        <v>24</v>
      </c>
    </row>
    <row r="4855" spans="1:2" x14ac:dyDescent="0.2">
      <c r="A4855" t="s">
        <v>1860</v>
      </c>
      <c r="B4855" t="str">
        <f>HYPERLINK("https://lindat.mff.cuni.cz/services/teitok/pdtc10/index.php?action=vallex&amp;frame=v-w707f1", "dorůst (v-w707f1)")</f>
        <v>dorůst (v-w707f1)</v>
      </c>
    </row>
    <row r="4856" spans="1:2" x14ac:dyDescent="0.2">
      <c r="B4856" t="s">
        <v>1</v>
      </c>
    </row>
    <row r="4857" spans="1:2" x14ac:dyDescent="0.2">
      <c r="B4857" t="s">
        <v>198</v>
      </c>
    </row>
    <row r="4859" spans="1:2" x14ac:dyDescent="0.2">
      <c r="A4859" t="s">
        <v>1861</v>
      </c>
      <c r="B4859" t="str">
        <f>HYPERLINK("https://lindat.mff.cuni.cz/services/teitok/pdtc10/index.php?action=vallex&amp;frame=v-w708f1", "dorůstat (v-w708f1)")</f>
        <v>dorůstat (v-w708f1)</v>
      </c>
    </row>
    <row r="4860" spans="1:2" x14ac:dyDescent="0.2">
      <c r="B4860" t="s">
        <v>1</v>
      </c>
    </row>
    <row r="4861" spans="1:2" x14ac:dyDescent="0.2">
      <c r="B4861" t="s">
        <v>1859</v>
      </c>
    </row>
    <row r="4862" spans="1:2" x14ac:dyDescent="0.2">
      <c r="B4862" t="s">
        <v>24</v>
      </c>
    </row>
    <row r="4864" spans="1:2" x14ac:dyDescent="0.2">
      <c r="A4864" t="s">
        <v>1862</v>
      </c>
      <c r="B4864" t="str">
        <f>HYPERLINK("https://lindat.mff.cuni.cz/services/teitok/pdtc10/index.php?action=vallex&amp;frame=v-w712f1", "dosadit (v-w712f1)")</f>
        <v>dosadit (v-w712f1)</v>
      </c>
    </row>
    <row r="4865" spans="1:4" x14ac:dyDescent="0.2">
      <c r="B4865" t="s">
        <v>1</v>
      </c>
      <c r="C4865" t="s">
        <v>154</v>
      </c>
      <c r="D4865" t="s">
        <v>23181</v>
      </c>
    </row>
    <row r="4866" spans="1:4" x14ac:dyDescent="0.2">
      <c r="B4866" t="s">
        <v>8</v>
      </c>
      <c r="C4866" t="s">
        <v>1863</v>
      </c>
      <c r="D4866" t="s">
        <v>23182</v>
      </c>
    </row>
    <row r="4867" spans="1:4" x14ac:dyDescent="0.2">
      <c r="B4867" t="s">
        <v>90</v>
      </c>
      <c r="D4867" t="s">
        <v>11579</v>
      </c>
    </row>
    <row r="4869" spans="1:4" x14ac:dyDescent="0.2">
      <c r="A4869" t="s">
        <v>1864</v>
      </c>
      <c r="B4869" t="str">
        <f>HYPERLINK("https://lindat.mff.cuni.cz/services/teitok/pdtc10/index.php?action=vallex&amp;frame=v-w716f4", "dosahovat (v-w716f4)")</f>
        <v>dosahovat (v-w716f4)</v>
      </c>
    </row>
    <row r="4870" spans="1:4" x14ac:dyDescent="0.2">
      <c r="B4870" t="s">
        <v>1</v>
      </c>
      <c r="C4870" t="s">
        <v>1865</v>
      </c>
      <c r="D4870" t="s">
        <v>23111</v>
      </c>
    </row>
    <row r="4871" spans="1:4" x14ac:dyDescent="0.2">
      <c r="B4871" t="s">
        <v>1395</v>
      </c>
      <c r="C4871" t="s">
        <v>1866</v>
      </c>
      <c r="D4871" t="s">
        <v>23112</v>
      </c>
    </row>
    <row r="4872" spans="1:4" x14ac:dyDescent="0.2">
      <c r="B4872" t="s">
        <v>1396</v>
      </c>
      <c r="C4872" t="s">
        <v>1867</v>
      </c>
      <c r="D4872" t="s">
        <v>23113</v>
      </c>
    </row>
    <row r="4874" spans="1:4" x14ac:dyDescent="0.2">
      <c r="A4874" t="s">
        <v>1868</v>
      </c>
      <c r="B4874" t="str">
        <f>HYPERLINK("https://lindat.mff.cuni.cz/services/teitok/pdtc10/index.php?action=vallex&amp;frame=v-w716f1", "dosahovat (v-w716f1)")</f>
        <v>dosahovat (v-w716f1)</v>
      </c>
    </row>
    <row r="4875" spans="1:4" x14ac:dyDescent="0.2">
      <c r="B4875" t="s">
        <v>1</v>
      </c>
      <c r="C4875" t="s">
        <v>1869</v>
      </c>
      <c r="D4875" t="s">
        <v>23183</v>
      </c>
    </row>
    <row r="4876" spans="1:4" x14ac:dyDescent="0.2">
      <c r="B4876" t="s">
        <v>968</v>
      </c>
      <c r="C4876" t="s">
        <v>1870</v>
      </c>
      <c r="D4876" t="s">
        <v>23184</v>
      </c>
    </row>
    <row r="4878" spans="1:4" x14ac:dyDescent="0.2">
      <c r="A4878" t="s">
        <v>1871</v>
      </c>
      <c r="B4878" t="str">
        <f>HYPERLINK("https://lindat.mff.cuni.cz/services/teitok/pdtc10/index.php?action=vallex&amp;frame=v-w716f2", "dosahovat (v-w716f2)")</f>
        <v>dosahovat (v-w716f2)</v>
      </c>
    </row>
    <row r="4879" spans="1:4" x14ac:dyDescent="0.2">
      <c r="B4879" t="s">
        <v>1</v>
      </c>
    </row>
    <row r="4880" spans="1:4" x14ac:dyDescent="0.2">
      <c r="B4880" t="s">
        <v>90</v>
      </c>
    </row>
    <row r="4882" spans="1:4" x14ac:dyDescent="0.2">
      <c r="A4882" t="s">
        <v>1872</v>
      </c>
      <c r="B4882" t="str">
        <f>HYPERLINK("https://lindat.mff.cuni.cz/services/teitok/pdtc10/index.php?action=vallex&amp;frame=v-w716f3", "dosahovat (v-w716f3)")</f>
        <v>dosahovat (v-w716f3)</v>
      </c>
    </row>
    <row r="4883" spans="1:4" x14ac:dyDescent="0.2">
      <c r="B4883" t="s">
        <v>1</v>
      </c>
      <c r="D4883" t="s">
        <v>23109</v>
      </c>
    </row>
    <row r="4884" spans="1:4" x14ac:dyDescent="0.2">
      <c r="B4884" t="s">
        <v>1448</v>
      </c>
      <c r="D4884" t="s">
        <v>23114</v>
      </c>
    </row>
    <row r="4886" spans="1:4" x14ac:dyDescent="0.2">
      <c r="A4886" t="s">
        <v>1873</v>
      </c>
      <c r="B4886" t="str">
        <f>HYPERLINK("https://lindat.mff.cuni.cz/services/teitok/pdtc10/index.php?action=vallex&amp;frame=v-w719f1", "dosazovat (v-w719f1)")</f>
        <v>dosazovat (v-w719f1)</v>
      </c>
    </row>
    <row r="4887" spans="1:4" x14ac:dyDescent="0.2">
      <c r="B4887" t="s">
        <v>1</v>
      </c>
      <c r="D4887" t="s">
        <v>23181</v>
      </c>
    </row>
    <row r="4888" spans="1:4" x14ac:dyDescent="0.2">
      <c r="B4888" t="s">
        <v>8</v>
      </c>
      <c r="D4888" t="s">
        <v>23182</v>
      </c>
    </row>
    <row r="4889" spans="1:4" x14ac:dyDescent="0.2">
      <c r="B4889" t="s">
        <v>90</v>
      </c>
      <c r="D4889" t="s">
        <v>11579</v>
      </c>
    </row>
    <row r="4891" spans="1:4" x14ac:dyDescent="0.2">
      <c r="A4891" t="s">
        <v>1874</v>
      </c>
      <c r="B4891" t="str">
        <f>HYPERLINK("https://lindat.mff.cuni.cz/services/teitok/pdtc10/index.php?action=vallex&amp;frame=v-whsa_911hsa_912", "dosekat (v-whsa_911hsa_912)")</f>
        <v>dosekat (v-whsa_911hsa_912)</v>
      </c>
    </row>
    <row r="4892" spans="1:4" x14ac:dyDescent="0.2">
      <c r="B4892" t="s">
        <v>1</v>
      </c>
    </row>
    <row r="4893" spans="1:4" x14ac:dyDescent="0.2">
      <c r="B4893" t="s">
        <v>8</v>
      </c>
    </row>
    <row r="4895" spans="1:4" x14ac:dyDescent="0.2">
      <c r="A4895" t="s">
        <v>1875</v>
      </c>
      <c r="B4895" t="str">
        <f>HYPERLINK("https://lindat.mff.cuni.cz/services/teitok/pdtc10/index.php?action=vallex&amp;frame=v-w722f2", "doslechnout se (v-w722f2)")</f>
        <v>doslechnout se (v-w722f2)</v>
      </c>
    </row>
    <row r="4896" spans="1:4" x14ac:dyDescent="0.2">
      <c r="B4896" t="s">
        <v>1</v>
      </c>
    </row>
    <row r="4897" spans="1:4" x14ac:dyDescent="0.2">
      <c r="B4897" t="s">
        <v>1876</v>
      </c>
    </row>
    <row r="4898" spans="1:4" x14ac:dyDescent="0.2">
      <c r="B4898" t="s">
        <v>1877</v>
      </c>
    </row>
    <row r="4900" spans="1:4" x14ac:dyDescent="0.2">
      <c r="A4900" t="s">
        <v>1878</v>
      </c>
      <c r="B4900" t="str">
        <f>HYPERLINK("https://lindat.mff.cuni.cz/services/teitok/pdtc10/index.php?action=vallex&amp;frame=v-w722f1", "doslechnout se (v-w722f1)")</f>
        <v>doslechnout se (v-w722f1)</v>
      </c>
    </row>
    <row r="4901" spans="1:4" x14ac:dyDescent="0.2">
      <c r="B4901" t="s">
        <v>1</v>
      </c>
      <c r="D4901" t="s">
        <v>9234</v>
      </c>
    </row>
    <row r="4902" spans="1:4" x14ac:dyDescent="0.2">
      <c r="B4902" t="s">
        <v>1879</v>
      </c>
      <c r="D4902" t="s">
        <v>23185</v>
      </c>
    </row>
    <row r="4903" spans="1:4" x14ac:dyDescent="0.2">
      <c r="B4903" t="s">
        <v>269</v>
      </c>
      <c r="D4903" t="s">
        <v>23186</v>
      </c>
    </row>
    <row r="4904" spans="1:4" x14ac:dyDescent="0.2">
      <c r="B4904" t="s">
        <v>1877</v>
      </c>
      <c r="D4904" t="s">
        <v>2915</v>
      </c>
    </row>
    <row r="4906" spans="1:4" x14ac:dyDescent="0.2">
      <c r="A4906" t="s">
        <v>1880</v>
      </c>
      <c r="B4906" t="str">
        <f>HYPERLINK("https://lindat.mff.cuni.cz/services/teitok/pdtc10/index.php?action=vallex&amp;frame=v-w723f1", "dosloužit (v-w723f1)")</f>
        <v>dosloužit (v-w723f1)</v>
      </c>
    </row>
    <row r="4907" spans="1:4" x14ac:dyDescent="0.2">
      <c r="B4907" t="s">
        <v>1</v>
      </c>
      <c r="C4907" t="s">
        <v>147</v>
      </c>
      <c r="D4907" t="s">
        <v>23187</v>
      </c>
    </row>
    <row r="4909" spans="1:4" x14ac:dyDescent="0.2">
      <c r="A4909" t="s">
        <v>1881</v>
      </c>
      <c r="B4909" t="str">
        <f>HYPERLINK("https://lindat.mff.cuni.cz/services/teitok/pdtc10/index.php?action=vallex&amp;frame=v-w723f2_ZU", "dosloužit (v-w723f2_ZU)")</f>
        <v>dosloužit (v-w723f2_ZU)</v>
      </c>
    </row>
    <row r="4910" spans="1:4" x14ac:dyDescent="0.2">
      <c r="B4910" t="s">
        <v>1</v>
      </c>
    </row>
    <row r="4911" spans="1:4" x14ac:dyDescent="0.2">
      <c r="B4911" t="s">
        <v>8</v>
      </c>
    </row>
    <row r="4913" spans="1:4" x14ac:dyDescent="0.2">
      <c r="A4913" t="s">
        <v>1882</v>
      </c>
      <c r="B4913" t="str">
        <f>HYPERLINK("https://lindat.mff.cuni.cz/services/teitok/pdtc10/index.php?action=vallex&amp;frame=v-w725f1", "dosluhovat (v-w725f1)")</f>
        <v>dosluhovat (v-w725f1)</v>
      </c>
    </row>
    <row r="4914" spans="1:4" x14ac:dyDescent="0.2">
      <c r="B4914" t="s">
        <v>1</v>
      </c>
    </row>
    <row r="4916" spans="1:4" x14ac:dyDescent="0.2">
      <c r="A4916" t="s">
        <v>1883</v>
      </c>
      <c r="B4916" t="str">
        <f>HYPERLINK("https://lindat.mff.cuni.cz/services/teitok/pdtc10/index.php?action=vallex&amp;frame=v-w11474f1", "doslýchat se (v-w11474f1)")</f>
        <v>doslýchat se (v-w11474f1)</v>
      </c>
    </row>
    <row r="4917" spans="1:4" x14ac:dyDescent="0.2">
      <c r="B4917" t="s">
        <v>1</v>
      </c>
      <c r="C4917" t="s">
        <v>967</v>
      </c>
      <c r="D4917" t="s">
        <v>7388</v>
      </c>
    </row>
    <row r="4918" spans="1:4" x14ac:dyDescent="0.2">
      <c r="B4918" t="s">
        <v>1884</v>
      </c>
      <c r="C4918" t="s">
        <v>1885</v>
      </c>
      <c r="D4918" t="s">
        <v>23188</v>
      </c>
    </row>
    <row r="4919" spans="1:4" x14ac:dyDescent="0.2">
      <c r="B4919" t="s">
        <v>269</v>
      </c>
      <c r="D4919" t="s">
        <v>23189</v>
      </c>
    </row>
    <row r="4920" spans="1:4" x14ac:dyDescent="0.2">
      <c r="B4920" t="s">
        <v>1886</v>
      </c>
      <c r="C4920" t="s">
        <v>1887</v>
      </c>
      <c r="D4920" t="s">
        <v>23190</v>
      </c>
    </row>
    <row r="4922" spans="1:4" x14ac:dyDescent="0.2">
      <c r="A4922" t="s">
        <v>1888</v>
      </c>
      <c r="B4922" t="str">
        <f>HYPERLINK("https://lindat.mff.cuni.cz/services/teitok/pdtc10/index.php?action=vallex&amp;frame=v-w729f4", "dospívat (v-w729f4)")</f>
        <v>dospívat (v-w729f4)</v>
      </c>
    </row>
    <row r="4923" spans="1:4" x14ac:dyDescent="0.2">
      <c r="B4923" t="s">
        <v>1</v>
      </c>
    </row>
    <row r="4924" spans="1:4" x14ac:dyDescent="0.2">
      <c r="B4924" t="s">
        <v>1889</v>
      </c>
    </row>
    <row r="4925" spans="1:4" x14ac:dyDescent="0.2">
      <c r="B4925" t="s">
        <v>24</v>
      </c>
    </row>
    <row r="4927" spans="1:4" x14ac:dyDescent="0.2">
      <c r="A4927" t="s">
        <v>1890</v>
      </c>
      <c r="B4927" t="str">
        <f>HYPERLINK("https://lindat.mff.cuni.cz/services/teitok/pdtc10/index.php?action=vallex&amp;frame=v-w729f1", "dospívat (v-w729f1)")</f>
        <v>dospívat (v-w729f1)</v>
      </c>
    </row>
    <row r="4928" spans="1:4" x14ac:dyDescent="0.2">
      <c r="B4928" t="s">
        <v>1</v>
      </c>
      <c r="C4928" t="s">
        <v>1891</v>
      </c>
      <c r="D4928" t="s">
        <v>15195</v>
      </c>
    </row>
    <row r="4929" spans="1:4" x14ac:dyDescent="0.2">
      <c r="B4929" t="s">
        <v>1398</v>
      </c>
      <c r="C4929" t="s">
        <v>1892</v>
      </c>
      <c r="D4929" t="s">
        <v>986</v>
      </c>
    </row>
    <row r="4931" spans="1:4" x14ac:dyDescent="0.2">
      <c r="A4931" t="s">
        <v>1893</v>
      </c>
      <c r="B4931" t="str">
        <f>HYPERLINK("https://lindat.mff.cuni.cz/services/teitok/pdtc10/index.php?action=vallex&amp;frame=v-w729f2", "dospívat (v-w729f2)")</f>
        <v>dospívat (v-w729f2)</v>
      </c>
    </row>
    <row r="4932" spans="1:4" x14ac:dyDescent="0.2">
      <c r="B4932" t="s">
        <v>1</v>
      </c>
      <c r="D4932" t="s">
        <v>23107</v>
      </c>
    </row>
    <row r="4933" spans="1:4" x14ac:dyDescent="0.2">
      <c r="B4933" t="s">
        <v>90</v>
      </c>
      <c r="D4933" t="s">
        <v>23108</v>
      </c>
    </row>
    <row r="4935" spans="1:4" x14ac:dyDescent="0.2">
      <c r="A4935" t="s">
        <v>1894</v>
      </c>
      <c r="B4935" t="str">
        <f>HYPERLINK("https://lindat.mff.cuni.cz/services/teitok/pdtc10/index.php?action=vallex&amp;frame=v-w729f3", "dospívat (v-w729f3)")</f>
        <v>dospívat (v-w729f3)</v>
      </c>
    </row>
    <row r="4936" spans="1:4" x14ac:dyDescent="0.2">
      <c r="B4936" t="s">
        <v>1</v>
      </c>
      <c r="C4936" t="s">
        <v>1895</v>
      </c>
      <c r="D4936" t="s">
        <v>23191</v>
      </c>
    </row>
    <row r="4938" spans="1:4" x14ac:dyDescent="0.2">
      <c r="A4938" t="s">
        <v>1896</v>
      </c>
      <c r="B4938" t="str">
        <f>HYPERLINK("https://lindat.mff.cuni.cz/services/teitok/pdtc10/index.php?action=vallex&amp;frame=v-w727f3", "dospět (v-w727f3)")</f>
        <v>dospět (v-w727f3)</v>
      </c>
    </row>
    <row r="4939" spans="1:4" x14ac:dyDescent="0.2">
      <c r="B4939" t="s">
        <v>1</v>
      </c>
    </row>
    <row r="4940" spans="1:4" x14ac:dyDescent="0.2">
      <c r="B4940" t="s">
        <v>1889</v>
      </c>
    </row>
    <row r="4941" spans="1:4" x14ac:dyDescent="0.2">
      <c r="B4941" t="s">
        <v>24</v>
      </c>
    </row>
    <row r="4943" spans="1:4" x14ac:dyDescent="0.2">
      <c r="A4943" t="s">
        <v>1897</v>
      </c>
      <c r="B4943" t="str">
        <f>HYPERLINK("https://lindat.mff.cuni.cz/services/teitok/pdtc10/index.php?action=vallex&amp;frame=v-w727f1", "dospět (v-w727f1)")</f>
        <v>dospět (v-w727f1)</v>
      </c>
    </row>
    <row r="4944" spans="1:4" x14ac:dyDescent="0.2">
      <c r="B4944" t="s">
        <v>1</v>
      </c>
      <c r="C4944" t="s">
        <v>1898</v>
      </c>
      <c r="D4944" t="s">
        <v>23192</v>
      </c>
    </row>
    <row r="4945" spans="1:4" x14ac:dyDescent="0.2">
      <c r="B4945" t="s">
        <v>1398</v>
      </c>
      <c r="C4945" t="s">
        <v>1899</v>
      </c>
      <c r="D4945" t="s">
        <v>23193</v>
      </c>
    </row>
    <row r="4947" spans="1:4" x14ac:dyDescent="0.2">
      <c r="A4947" t="s">
        <v>1900</v>
      </c>
      <c r="B4947" t="str">
        <f>HYPERLINK("https://lindat.mff.cuni.cz/services/teitok/pdtc10/index.php?action=vallex&amp;frame=v-w727f6_ZU", "dospět (v-w727f6_ZU)")</f>
        <v>dospět (v-w727f6_ZU)</v>
      </c>
    </row>
    <row r="4948" spans="1:4" x14ac:dyDescent="0.2">
      <c r="B4948" t="s">
        <v>1</v>
      </c>
    </row>
    <row r="4949" spans="1:4" x14ac:dyDescent="0.2">
      <c r="B4949" t="s">
        <v>205</v>
      </c>
    </row>
    <row r="4951" spans="1:4" x14ac:dyDescent="0.2">
      <c r="A4951" t="s">
        <v>1900</v>
      </c>
      <c r="B4951" t="str">
        <f>HYPERLINK("https://lindat.mff.cuni.cz/services/teitok/pdtc10/index.php?action=vallex&amp;frame=v-w727f5", "dospět (v-w727f5) - substituted with v-w727f6_ZU")</f>
        <v>dospět (v-w727f5) - substituted with v-w727f6_ZU</v>
      </c>
    </row>
    <row r="4952" spans="1:4" x14ac:dyDescent="0.2">
      <c r="B4952" t="s">
        <v>1</v>
      </c>
      <c r="C4952" t="s">
        <v>1901</v>
      </c>
    </row>
    <row r="4953" spans="1:4" x14ac:dyDescent="0.2">
      <c r="B4953" t="s">
        <v>205</v>
      </c>
      <c r="C4953" t="s">
        <v>1902</v>
      </c>
    </row>
    <row r="4955" spans="1:4" x14ac:dyDescent="0.2">
      <c r="A4955" t="s">
        <v>1903</v>
      </c>
      <c r="B4955" t="str">
        <f>HYPERLINK("https://lindat.mff.cuni.cz/services/teitok/pdtc10/index.php?action=vallex&amp;frame=v-w727f2", "dospět (v-w727f2)")</f>
        <v>dospět (v-w727f2)</v>
      </c>
    </row>
    <row r="4956" spans="1:4" x14ac:dyDescent="0.2">
      <c r="B4956" t="s">
        <v>1</v>
      </c>
      <c r="C4956" t="s">
        <v>1904</v>
      </c>
      <c r="D4956" t="s">
        <v>23107</v>
      </c>
    </row>
    <row r="4957" spans="1:4" x14ac:dyDescent="0.2">
      <c r="B4957" t="s">
        <v>90</v>
      </c>
      <c r="D4957" t="s">
        <v>23108</v>
      </c>
    </row>
    <row r="4959" spans="1:4" x14ac:dyDescent="0.2">
      <c r="A4959" t="s">
        <v>1905</v>
      </c>
      <c r="B4959" t="str">
        <f>HYPERLINK("https://lindat.mff.cuni.cz/services/teitok/pdtc10/index.php?action=vallex&amp;frame=v-w727f4", "dospět (v-w727f4)")</f>
        <v>dospět (v-w727f4)</v>
      </c>
    </row>
    <row r="4960" spans="1:4" x14ac:dyDescent="0.2">
      <c r="B4960" t="s">
        <v>1</v>
      </c>
      <c r="C4960" t="s">
        <v>1906</v>
      </c>
      <c r="D4960" t="s">
        <v>127</v>
      </c>
    </row>
    <row r="4962" spans="1:4" x14ac:dyDescent="0.2">
      <c r="A4962" t="s">
        <v>1907</v>
      </c>
      <c r="B4962" t="str">
        <f>HYPERLINK("https://lindat.mff.cuni.cz/services/teitok/pdtc10/index.php?action=vallex&amp;frame=v-w732f41_ZU", "dostat (v-w732f41_ZU)")</f>
        <v>dostat (v-w732f41_ZU)</v>
      </c>
    </row>
    <row r="4963" spans="1:4" x14ac:dyDescent="0.2">
      <c r="B4963" t="s">
        <v>1</v>
      </c>
    </row>
    <row r="4964" spans="1:4" x14ac:dyDescent="0.2">
      <c r="B4964" t="s">
        <v>1908</v>
      </c>
    </row>
    <row r="4965" spans="1:4" x14ac:dyDescent="0.2">
      <c r="B4965" t="s">
        <v>1142</v>
      </c>
    </row>
    <row r="4967" spans="1:4" x14ac:dyDescent="0.2">
      <c r="A4967" t="s">
        <v>1907</v>
      </c>
      <c r="B4967" t="str">
        <f>HYPERLINK("https://lindat.mff.cuni.cz/services/teitok/pdtc10/index.php?action=vallex&amp;frame=v-w732f1", "dostat (v-w732f1) - substituted with v-w732f41_ZU")</f>
        <v>dostat (v-w732f1) - substituted with v-w732f41_ZU</v>
      </c>
    </row>
    <row r="4968" spans="1:4" x14ac:dyDescent="0.2">
      <c r="B4968" t="s">
        <v>1</v>
      </c>
      <c r="C4968" t="s">
        <v>1909</v>
      </c>
      <c r="D4968" t="s">
        <v>23194</v>
      </c>
    </row>
    <row r="4969" spans="1:4" x14ac:dyDescent="0.2">
      <c r="B4969" t="s">
        <v>1908</v>
      </c>
      <c r="C4969" t="s">
        <v>1910</v>
      </c>
      <c r="D4969" t="s">
        <v>23195</v>
      </c>
    </row>
    <row r="4970" spans="1:4" x14ac:dyDescent="0.2">
      <c r="B4970" t="s">
        <v>1142</v>
      </c>
      <c r="C4970" t="s">
        <v>1911</v>
      </c>
      <c r="D4970" t="s">
        <v>23196</v>
      </c>
    </row>
    <row r="4972" spans="1:4" x14ac:dyDescent="0.2">
      <c r="A4972" t="s">
        <v>1907</v>
      </c>
      <c r="B4972" t="str">
        <f>HYPERLINK("https://lindat.mff.cuni.cz/services/teitok/pdtc10/index.php?action=vallex&amp;frame=v-w732f38_ZU", "dostat (v-w732f38_ZU) - substituted with v-w732f41_ZU")</f>
        <v>dostat (v-w732f38_ZU) - substituted with v-w732f41_ZU</v>
      </c>
    </row>
    <row r="4973" spans="1:4" x14ac:dyDescent="0.2">
      <c r="B4973" t="s">
        <v>1</v>
      </c>
    </row>
    <row r="4974" spans="1:4" x14ac:dyDescent="0.2">
      <c r="B4974" t="s">
        <v>1908</v>
      </c>
    </row>
    <row r="4975" spans="1:4" x14ac:dyDescent="0.2">
      <c r="B4975" t="s">
        <v>1142</v>
      </c>
    </row>
    <row r="4977" spans="1:4" x14ac:dyDescent="0.2">
      <c r="A4977" t="s">
        <v>1912</v>
      </c>
      <c r="B4977" t="str">
        <f>HYPERLINK("https://lindat.mff.cuni.cz/services/teitok/pdtc10/index.php?action=vallex&amp;frame=v-w732f5", "dostat (v-w732f5)")</f>
        <v>dostat (v-w732f5)</v>
      </c>
    </row>
    <row r="4978" spans="1:4" x14ac:dyDescent="0.2">
      <c r="B4978" t="s">
        <v>1</v>
      </c>
      <c r="C4978" t="s">
        <v>1913</v>
      </c>
      <c r="D4978" t="s">
        <v>1168</v>
      </c>
    </row>
    <row r="4979" spans="1:4" x14ac:dyDescent="0.2">
      <c r="B4979" t="s">
        <v>8</v>
      </c>
      <c r="C4979" t="s">
        <v>1914</v>
      </c>
      <c r="D4979" t="s">
        <v>2691</v>
      </c>
    </row>
    <row r="4980" spans="1:4" x14ac:dyDescent="0.2">
      <c r="B4980" t="s">
        <v>1142</v>
      </c>
    </row>
    <row r="4982" spans="1:4" x14ac:dyDescent="0.2">
      <c r="A4982" t="s">
        <v>1915</v>
      </c>
      <c r="B4982" t="str">
        <f>HYPERLINK("https://lindat.mff.cuni.cz/services/teitok/pdtc10/index.php?action=vallex&amp;frame=v-w732f13", "dostat (v-w732f13)")</f>
        <v>dostat (v-w732f13)</v>
      </c>
    </row>
    <row r="4983" spans="1:4" x14ac:dyDescent="0.2">
      <c r="B4983" t="s">
        <v>1</v>
      </c>
      <c r="C4983" t="s">
        <v>1916</v>
      </c>
      <c r="D4983" t="s">
        <v>23111</v>
      </c>
    </row>
    <row r="4984" spans="1:4" x14ac:dyDescent="0.2">
      <c r="B4984" t="s">
        <v>8</v>
      </c>
      <c r="C4984" t="s">
        <v>1917</v>
      </c>
      <c r="D4984" t="s">
        <v>23112</v>
      </c>
    </row>
    <row r="4985" spans="1:4" x14ac:dyDescent="0.2">
      <c r="B4985" t="s">
        <v>321</v>
      </c>
      <c r="C4985" t="s">
        <v>1918</v>
      </c>
      <c r="D4985" t="s">
        <v>23113</v>
      </c>
    </row>
    <row r="4987" spans="1:4" x14ac:dyDescent="0.2">
      <c r="A4987" t="s">
        <v>1919</v>
      </c>
      <c r="B4987" t="str">
        <f>HYPERLINK("https://lindat.mff.cuni.cz/services/teitok/pdtc10/index.php?action=vallex&amp;frame=v-w732f28_ZU", "dostat (v-w732f28_ZU)")</f>
        <v>dostat (v-w732f28_ZU)</v>
      </c>
    </row>
    <row r="4988" spans="1:4" x14ac:dyDescent="0.2">
      <c r="B4988" t="s">
        <v>1</v>
      </c>
      <c r="C4988" t="s">
        <v>1865</v>
      </c>
      <c r="D4988" t="s">
        <v>23111</v>
      </c>
    </row>
    <row r="4989" spans="1:4" x14ac:dyDescent="0.2">
      <c r="B4989" t="s">
        <v>357</v>
      </c>
      <c r="C4989" t="s">
        <v>1866</v>
      </c>
      <c r="D4989" t="s">
        <v>23112</v>
      </c>
    </row>
    <row r="4990" spans="1:4" x14ac:dyDescent="0.2">
      <c r="B4990" t="s">
        <v>321</v>
      </c>
      <c r="C4990" t="s">
        <v>1867</v>
      </c>
      <c r="D4990" t="s">
        <v>23113</v>
      </c>
    </row>
    <row r="4992" spans="1:4" x14ac:dyDescent="0.2">
      <c r="A4992" t="s">
        <v>1920</v>
      </c>
      <c r="B4992" t="str">
        <f>HYPERLINK("https://lindat.mff.cuni.cz/services/teitok/pdtc10/index.php?action=vallex&amp;frame=v-w732f6", "dostat (v-w732f6)")</f>
        <v>dostat (v-w732f6)</v>
      </c>
    </row>
    <row r="4993" spans="1:4" x14ac:dyDescent="0.2">
      <c r="B4993" t="s">
        <v>1</v>
      </c>
      <c r="C4993" t="s">
        <v>201</v>
      </c>
    </row>
    <row r="4994" spans="1:4" x14ac:dyDescent="0.2">
      <c r="B4994" t="s">
        <v>1921</v>
      </c>
    </row>
    <row r="4995" spans="1:4" x14ac:dyDescent="0.2">
      <c r="B4995" t="s">
        <v>1922</v>
      </c>
    </row>
    <row r="4996" spans="1:4" x14ac:dyDescent="0.2">
      <c r="B4996" t="s">
        <v>321</v>
      </c>
    </row>
    <row r="4998" spans="1:4" x14ac:dyDescent="0.2">
      <c r="A4998" t="s">
        <v>1923</v>
      </c>
      <c r="B4998" t="str">
        <f>HYPERLINK("https://lindat.mff.cuni.cz/services/teitok/pdtc10/index.php?action=vallex&amp;frame=v-w732f21", "dostat (v-w732f21)")</f>
        <v>dostat (v-w732f21)</v>
      </c>
    </row>
    <row r="4999" spans="1:4" x14ac:dyDescent="0.2">
      <c r="B4999" t="s">
        <v>1</v>
      </c>
    </row>
    <row r="5000" spans="1:4" x14ac:dyDescent="0.2">
      <c r="B5000" t="s">
        <v>8</v>
      </c>
    </row>
    <row r="5001" spans="1:4" x14ac:dyDescent="0.2">
      <c r="B5001" t="s">
        <v>1924</v>
      </c>
    </row>
    <row r="5003" spans="1:4" x14ac:dyDescent="0.2">
      <c r="A5003" t="s">
        <v>1925</v>
      </c>
      <c r="B5003" t="str">
        <f>HYPERLINK("https://lindat.mff.cuni.cz/services/teitok/pdtc10/index.php?action=vallex&amp;frame=v-w732f9", "dostat (v-w732f9)")</f>
        <v>dostat (v-w732f9)</v>
      </c>
    </row>
    <row r="5004" spans="1:4" x14ac:dyDescent="0.2">
      <c r="B5004" t="s">
        <v>1</v>
      </c>
      <c r="C5004" t="s">
        <v>1926</v>
      </c>
    </row>
    <row r="5005" spans="1:4" x14ac:dyDescent="0.2">
      <c r="B5005" t="s">
        <v>8</v>
      </c>
      <c r="C5005" t="s">
        <v>1927</v>
      </c>
      <c r="D5005" t="s">
        <v>1301</v>
      </c>
    </row>
    <row r="5006" spans="1:4" x14ac:dyDescent="0.2">
      <c r="B5006" t="s">
        <v>333</v>
      </c>
    </row>
    <row r="5008" spans="1:4" x14ac:dyDescent="0.2">
      <c r="A5008" t="s">
        <v>1928</v>
      </c>
      <c r="B5008" t="str">
        <f>HYPERLINK("https://lindat.mff.cuni.cz/services/teitok/pdtc10/index.php?action=vallex&amp;frame=v-w732f23", "dostat (v-w732f23)")</f>
        <v>dostat (v-w732f23)</v>
      </c>
    </row>
    <row r="5009" spans="1:4" x14ac:dyDescent="0.2">
      <c r="B5009" t="s">
        <v>1</v>
      </c>
    </row>
    <row r="5010" spans="1:4" x14ac:dyDescent="0.2">
      <c r="B5010" t="s">
        <v>8</v>
      </c>
    </row>
    <row r="5011" spans="1:4" x14ac:dyDescent="0.2">
      <c r="B5011" t="s">
        <v>333</v>
      </c>
    </row>
    <row r="5013" spans="1:4" x14ac:dyDescent="0.2">
      <c r="A5013" t="s">
        <v>1929</v>
      </c>
      <c r="B5013" t="str">
        <f>HYPERLINK("https://lindat.mff.cuni.cz/services/teitok/pdtc10/index.php?action=vallex&amp;frame=v-w732f11", "dostat (v-w732f11)")</f>
        <v>dostat (v-w732f11)</v>
      </c>
    </row>
    <row r="5014" spans="1:4" x14ac:dyDescent="0.2">
      <c r="B5014" t="s">
        <v>1</v>
      </c>
      <c r="C5014" t="s">
        <v>1930</v>
      </c>
      <c r="D5014" t="s">
        <v>13976</v>
      </c>
    </row>
    <row r="5015" spans="1:4" x14ac:dyDescent="0.2">
      <c r="B5015" t="s">
        <v>8</v>
      </c>
      <c r="C5015" t="s">
        <v>1931</v>
      </c>
      <c r="D5015" t="s">
        <v>10414</v>
      </c>
    </row>
    <row r="5016" spans="1:4" x14ac:dyDescent="0.2">
      <c r="B5016" t="s">
        <v>205</v>
      </c>
      <c r="C5016" t="s">
        <v>1932</v>
      </c>
      <c r="D5016" t="s">
        <v>23197</v>
      </c>
    </row>
    <row r="5018" spans="1:4" x14ac:dyDescent="0.2">
      <c r="A5018" t="s">
        <v>1933</v>
      </c>
      <c r="B5018" t="str">
        <f>HYPERLINK("https://lindat.mff.cuni.cz/services/teitok/pdtc10/index.php?action=vallex&amp;frame=v-w732f3", "dostat (v-w732f3)")</f>
        <v>dostat (v-w732f3)</v>
      </c>
    </row>
    <row r="5019" spans="1:4" x14ac:dyDescent="0.2">
      <c r="B5019" t="s">
        <v>1</v>
      </c>
      <c r="C5019" t="s">
        <v>1934</v>
      </c>
      <c r="D5019" t="s">
        <v>23181</v>
      </c>
    </row>
    <row r="5020" spans="1:4" x14ac:dyDescent="0.2">
      <c r="B5020" t="s">
        <v>8</v>
      </c>
      <c r="C5020" t="s">
        <v>1935</v>
      </c>
      <c r="D5020" t="s">
        <v>23182</v>
      </c>
    </row>
    <row r="5021" spans="1:4" x14ac:dyDescent="0.2">
      <c r="B5021" t="s">
        <v>90</v>
      </c>
      <c r="C5021" t="s">
        <v>1936</v>
      </c>
      <c r="D5021" t="s">
        <v>11579</v>
      </c>
    </row>
    <row r="5023" spans="1:4" x14ac:dyDescent="0.2">
      <c r="A5023" t="s">
        <v>1937</v>
      </c>
      <c r="B5023" t="str">
        <f>HYPERLINK("https://lindat.mff.cuni.cz/services/teitok/pdtc10/index.php?action=vallex&amp;frame=v-w732f40_ZU", "dostat (v-w732f40_ZU)")</f>
        <v>dostat (v-w732f40_ZU)</v>
      </c>
    </row>
    <row r="5024" spans="1:4" x14ac:dyDescent="0.2">
      <c r="B5024" t="s">
        <v>1</v>
      </c>
    </row>
    <row r="5025" spans="1:4" x14ac:dyDescent="0.2">
      <c r="B5025" t="s">
        <v>8</v>
      </c>
    </row>
    <row r="5027" spans="1:4" x14ac:dyDescent="0.2">
      <c r="A5027" t="s">
        <v>1937</v>
      </c>
      <c r="B5027" t="str">
        <f>HYPERLINK("https://lindat.mff.cuni.cz/services/teitok/pdtc10/index.php?action=vallex&amp;frame=v-w732f4", "dostat (v-w732f4) - substituted with v-w732f40_ZU")</f>
        <v>dostat (v-w732f4) - substituted with v-w732f40_ZU</v>
      </c>
    </row>
    <row r="5028" spans="1:4" x14ac:dyDescent="0.2">
      <c r="B5028" t="s">
        <v>1</v>
      </c>
      <c r="C5028" t="s">
        <v>1938</v>
      </c>
      <c r="D5028" t="s">
        <v>23198</v>
      </c>
    </row>
    <row r="5029" spans="1:4" x14ac:dyDescent="0.2">
      <c r="B5029" t="s">
        <v>8</v>
      </c>
      <c r="C5029" t="s">
        <v>1939</v>
      </c>
      <c r="D5029" t="s">
        <v>23199</v>
      </c>
    </row>
    <row r="5031" spans="1:4" x14ac:dyDescent="0.2">
      <c r="A5031" t="s">
        <v>1940</v>
      </c>
      <c r="B5031" t="str">
        <f>HYPERLINK("https://lindat.mff.cuni.cz/services/teitok/pdtc10/index.php?action=vallex&amp;frame=v-w732f7", "dostat (v-w732f7)")</f>
        <v>dostat (v-w732f7)</v>
      </c>
    </row>
    <row r="5032" spans="1:4" x14ac:dyDescent="0.2">
      <c r="B5032" t="s">
        <v>1</v>
      </c>
      <c r="C5032" t="s">
        <v>140</v>
      </c>
    </row>
    <row r="5033" spans="1:4" x14ac:dyDescent="0.2">
      <c r="B5033" t="s">
        <v>8</v>
      </c>
      <c r="C5033" t="s">
        <v>113</v>
      </c>
    </row>
    <row r="5035" spans="1:4" x14ac:dyDescent="0.2">
      <c r="A5035" t="s">
        <v>1941</v>
      </c>
      <c r="B5035" t="str">
        <f>HYPERLINK("https://lindat.mff.cuni.cz/services/teitok/pdtc10/index.php?action=vallex&amp;frame=v-w732f14", "dostat (v-w732f14)")</f>
        <v>dostat (v-w732f14)</v>
      </c>
    </row>
    <row r="5036" spans="1:4" x14ac:dyDescent="0.2">
      <c r="B5036" t="s">
        <v>1</v>
      </c>
    </row>
    <row r="5037" spans="1:4" x14ac:dyDescent="0.2">
      <c r="B5037" t="s">
        <v>8</v>
      </c>
    </row>
    <row r="5039" spans="1:4" x14ac:dyDescent="0.2">
      <c r="A5039" t="s">
        <v>1942</v>
      </c>
      <c r="B5039" t="str">
        <f>HYPERLINK("https://lindat.mff.cuni.cz/services/teitok/pdtc10/index.php?action=vallex&amp;frame=v-w732f39_ZU", "dostat (v-w732f39_ZU)")</f>
        <v>dostat (v-w732f39_ZU)</v>
      </c>
    </row>
    <row r="5040" spans="1:4" x14ac:dyDescent="0.2">
      <c r="B5040" t="s">
        <v>1</v>
      </c>
    </row>
    <row r="5041" spans="1:3" x14ac:dyDescent="0.2">
      <c r="B5041" t="s">
        <v>1943</v>
      </c>
    </row>
    <row r="5042" spans="1:3" x14ac:dyDescent="0.2">
      <c r="B5042" t="s">
        <v>1944</v>
      </c>
    </row>
    <row r="5044" spans="1:3" x14ac:dyDescent="0.2">
      <c r="A5044" t="s">
        <v>1942</v>
      </c>
      <c r="B5044" t="str">
        <f>HYPERLINK("https://lindat.mff.cuni.cz/services/teitok/pdtc10/index.php?action=vallex&amp;frame=v-w732f2", "dostat (v-w732f2) - substituted with v-w732f39_ZU")</f>
        <v>dostat (v-w732f2) - substituted with v-w732f39_ZU</v>
      </c>
    </row>
    <row r="5045" spans="1:3" x14ac:dyDescent="0.2">
      <c r="B5045" t="s">
        <v>1</v>
      </c>
      <c r="C5045" t="s">
        <v>1945</v>
      </c>
    </row>
    <row r="5046" spans="1:3" x14ac:dyDescent="0.2">
      <c r="B5046" t="s">
        <v>1943</v>
      </c>
      <c r="C5046" t="s">
        <v>1946</v>
      </c>
    </row>
    <row r="5047" spans="1:3" x14ac:dyDescent="0.2">
      <c r="B5047" t="s">
        <v>1944</v>
      </c>
      <c r="C5047" t="s">
        <v>1947</v>
      </c>
    </row>
    <row r="5049" spans="1:3" x14ac:dyDescent="0.2">
      <c r="A5049" t="s">
        <v>1942</v>
      </c>
      <c r="B5049" t="str">
        <f>HYPERLINK("https://lindat.mff.cuni.cz/services/teitok/pdtc10/index.php?action=vallex&amp;frame=v-w732f26_ZU", "dostat (v-w732f26_ZU) - substituted with v-w732f39_ZU")</f>
        <v>dostat (v-w732f26_ZU) - substituted with v-w732f39_ZU</v>
      </c>
    </row>
    <row r="5050" spans="1:3" x14ac:dyDescent="0.2">
      <c r="B5050" t="s">
        <v>1</v>
      </c>
      <c r="C5050" t="s">
        <v>1865</v>
      </c>
    </row>
    <row r="5051" spans="1:3" x14ac:dyDescent="0.2">
      <c r="B5051" t="s">
        <v>1943</v>
      </c>
      <c r="C5051" t="s">
        <v>1948</v>
      </c>
    </row>
    <row r="5052" spans="1:3" x14ac:dyDescent="0.2">
      <c r="B5052" t="s">
        <v>1944</v>
      </c>
      <c r="C5052" t="s">
        <v>1867</v>
      </c>
    </row>
    <row r="5054" spans="1:3" x14ac:dyDescent="0.2">
      <c r="A5054" t="s">
        <v>1942</v>
      </c>
      <c r="B5054" t="str">
        <f>HYPERLINK("https://lindat.mff.cuni.cz/services/teitok/pdtc10/index.php?action=vallex&amp;frame=v-w732f27_ZU", "dostat (v-w732f27_ZU) - substituted with v-w732f39_ZU")</f>
        <v>dostat (v-w732f27_ZU) - substituted with v-w732f39_ZU</v>
      </c>
    </row>
    <row r="5055" spans="1:3" x14ac:dyDescent="0.2">
      <c r="B5055" t="s">
        <v>1</v>
      </c>
      <c r="C5055" t="s">
        <v>1949</v>
      </c>
    </row>
    <row r="5056" spans="1:3" x14ac:dyDescent="0.2">
      <c r="B5056" t="s">
        <v>1943</v>
      </c>
      <c r="C5056" t="s">
        <v>1950</v>
      </c>
    </row>
    <row r="5057" spans="1:3" x14ac:dyDescent="0.2">
      <c r="B5057" t="s">
        <v>1944</v>
      </c>
      <c r="C5057" t="s">
        <v>1951</v>
      </c>
    </row>
    <row r="5059" spans="1:3" x14ac:dyDescent="0.2">
      <c r="A5059" t="s">
        <v>1942</v>
      </c>
      <c r="B5059" t="str">
        <f>HYPERLINK("https://lindat.mff.cuni.cz/services/teitok/pdtc10/index.php?action=vallex&amp;frame=v-w732f29_ZU", "dostat (v-w732f29_ZU) - substituted with v-w732f39_ZU")</f>
        <v>dostat (v-w732f29_ZU) - substituted with v-w732f39_ZU</v>
      </c>
    </row>
    <row r="5060" spans="1:3" x14ac:dyDescent="0.2">
      <c r="B5060" t="s">
        <v>1</v>
      </c>
      <c r="C5060" t="s">
        <v>1952</v>
      </c>
    </row>
    <row r="5061" spans="1:3" x14ac:dyDescent="0.2">
      <c r="B5061" t="s">
        <v>1943</v>
      </c>
      <c r="C5061" t="s">
        <v>1953</v>
      </c>
    </row>
    <row r="5062" spans="1:3" x14ac:dyDescent="0.2">
      <c r="B5062" t="s">
        <v>1944</v>
      </c>
      <c r="C5062" t="s">
        <v>1951</v>
      </c>
    </row>
    <row r="5064" spans="1:3" x14ac:dyDescent="0.2">
      <c r="A5064" t="s">
        <v>1942</v>
      </c>
      <c r="B5064" t="str">
        <f>HYPERLINK("https://lindat.mff.cuni.cz/services/teitok/pdtc10/index.php?action=vallex&amp;frame=v-w732f33_ZU", "dostat (v-w732f33_ZU) - substituted with v-w732f39_ZU")</f>
        <v>dostat (v-w732f33_ZU) - substituted with v-w732f39_ZU</v>
      </c>
    </row>
    <row r="5065" spans="1:3" x14ac:dyDescent="0.2">
      <c r="B5065" t="s">
        <v>1</v>
      </c>
      <c r="C5065" t="s">
        <v>1954</v>
      </c>
    </row>
    <row r="5066" spans="1:3" x14ac:dyDescent="0.2">
      <c r="B5066" t="s">
        <v>1943</v>
      </c>
      <c r="C5066" t="s">
        <v>1955</v>
      </c>
    </row>
    <row r="5067" spans="1:3" x14ac:dyDescent="0.2">
      <c r="B5067" t="s">
        <v>1944</v>
      </c>
      <c r="C5067" t="s">
        <v>1951</v>
      </c>
    </row>
    <row r="5069" spans="1:3" x14ac:dyDescent="0.2">
      <c r="A5069" t="s">
        <v>1942</v>
      </c>
      <c r="B5069" t="str">
        <f>HYPERLINK("https://lindat.mff.cuni.cz/services/teitok/pdtc10/index.php?action=vallex&amp;frame=v-w732f34_ZU", "dostat (v-w732f34_ZU) - substituted with v-w732f39_ZU")</f>
        <v>dostat (v-w732f34_ZU) - substituted with v-w732f39_ZU</v>
      </c>
    </row>
    <row r="5070" spans="1:3" x14ac:dyDescent="0.2">
      <c r="B5070" t="s">
        <v>1</v>
      </c>
    </row>
    <row r="5071" spans="1:3" x14ac:dyDescent="0.2">
      <c r="B5071" t="s">
        <v>1943</v>
      </c>
    </row>
    <row r="5072" spans="1:3" x14ac:dyDescent="0.2">
      <c r="B5072" t="s">
        <v>1944</v>
      </c>
    </row>
    <row r="5074" spans="1:4" x14ac:dyDescent="0.2">
      <c r="A5074" t="s">
        <v>1942</v>
      </c>
      <c r="B5074" t="str">
        <f>HYPERLINK("https://lindat.mff.cuni.cz/services/teitok/pdtc10/index.php?action=vallex&amp;frame=v-w732f35_ZU", "dostat (v-w732f35_ZU) - substituted with v-w732f39_ZU")</f>
        <v>dostat (v-w732f35_ZU) - substituted with v-w732f39_ZU</v>
      </c>
    </row>
    <row r="5075" spans="1:4" x14ac:dyDescent="0.2">
      <c r="B5075" t="s">
        <v>1</v>
      </c>
      <c r="C5075" t="s">
        <v>1956</v>
      </c>
      <c r="D5075" t="s">
        <v>23111</v>
      </c>
    </row>
    <row r="5076" spans="1:4" x14ac:dyDescent="0.2">
      <c r="B5076" t="s">
        <v>1943</v>
      </c>
      <c r="C5076" t="s">
        <v>1957</v>
      </c>
      <c r="D5076" t="s">
        <v>23200</v>
      </c>
    </row>
    <row r="5077" spans="1:4" x14ac:dyDescent="0.2">
      <c r="B5077" t="s">
        <v>1944</v>
      </c>
      <c r="C5077" t="s">
        <v>1958</v>
      </c>
      <c r="D5077" t="s">
        <v>23113</v>
      </c>
    </row>
    <row r="5079" spans="1:4" x14ac:dyDescent="0.2">
      <c r="A5079" t="s">
        <v>1942</v>
      </c>
      <c r="B5079" t="str">
        <f>HYPERLINK("https://lindat.mff.cuni.cz/services/teitok/pdtc10/index.php?action=vallex&amp;frame=v-w732hsa_1361", "dostat (v-w732hsa_1361) - substituted with v-w732f39_ZU")</f>
        <v>dostat (v-w732hsa_1361) - substituted with v-w732f39_ZU</v>
      </c>
    </row>
    <row r="5080" spans="1:4" x14ac:dyDescent="0.2">
      <c r="B5080" t="s">
        <v>1</v>
      </c>
    </row>
    <row r="5081" spans="1:4" x14ac:dyDescent="0.2">
      <c r="B5081" t="s">
        <v>1943</v>
      </c>
    </row>
    <row r="5082" spans="1:4" x14ac:dyDescent="0.2">
      <c r="B5082" t="s">
        <v>1944</v>
      </c>
    </row>
    <row r="5084" spans="1:4" x14ac:dyDescent="0.2">
      <c r="A5084" t="s">
        <v>1942</v>
      </c>
      <c r="B5084" t="str">
        <f>HYPERLINK("https://lindat.mff.cuni.cz/services/teitok/pdtc10/index.php?action=vallex&amp;frame=v-w732hsa_340", "dostat (v-w732hsa_340) - substituted with v-w732f39_ZU")</f>
        <v>dostat (v-w732hsa_340) - substituted with v-w732f39_ZU</v>
      </c>
    </row>
    <row r="5085" spans="1:4" x14ac:dyDescent="0.2">
      <c r="B5085" t="s">
        <v>1</v>
      </c>
      <c r="C5085" t="s">
        <v>1959</v>
      </c>
    </row>
    <row r="5086" spans="1:4" x14ac:dyDescent="0.2">
      <c r="B5086" t="s">
        <v>1943</v>
      </c>
      <c r="C5086" t="s">
        <v>1960</v>
      </c>
    </row>
    <row r="5087" spans="1:4" x14ac:dyDescent="0.2">
      <c r="B5087" t="s">
        <v>1944</v>
      </c>
      <c r="C5087" t="s">
        <v>1951</v>
      </c>
    </row>
    <row r="5089" spans="1:4" x14ac:dyDescent="0.2">
      <c r="A5089" t="s">
        <v>1961</v>
      </c>
      <c r="B5089" t="str">
        <f>HYPERLINK("https://lindat.mff.cuni.cz/services/teitok/pdtc10/index.php?action=vallex&amp;frame=v-w732f25", "dostat (v-w732f25)")</f>
        <v>dostat (v-w732f25)</v>
      </c>
    </row>
    <row r="5090" spans="1:4" x14ac:dyDescent="0.2">
      <c r="B5090" t="s">
        <v>1</v>
      </c>
      <c r="C5090" t="s">
        <v>1086</v>
      </c>
    </row>
    <row r="5091" spans="1:4" x14ac:dyDescent="0.2">
      <c r="B5091" t="s">
        <v>1962</v>
      </c>
      <c r="C5091" t="s">
        <v>1963</v>
      </c>
    </row>
    <row r="5093" spans="1:4" x14ac:dyDescent="0.2">
      <c r="A5093" t="s">
        <v>1964</v>
      </c>
      <c r="B5093" t="str">
        <f>HYPERLINK("https://lindat.mff.cuni.cz/services/teitok/pdtc10/index.php?action=vallex&amp;frame=v-w732f16", "dostat (v-w732f16)")</f>
        <v>dostat (v-w732f16)</v>
      </c>
    </row>
    <row r="5094" spans="1:4" x14ac:dyDescent="0.2">
      <c r="B5094" t="s">
        <v>1</v>
      </c>
      <c r="D5094" t="s">
        <v>23201</v>
      </c>
    </row>
    <row r="5095" spans="1:4" x14ac:dyDescent="0.2">
      <c r="B5095" t="s">
        <v>1965</v>
      </c>
    </row>
    <row r="5096" spans="1:4" x14ac:dyDescent="0.2">
      <c r="B5096" t="s">
        <v>8</v>
      </c>
      <c r="D5096" t="s">
        <v>23202</v>
      </c>
    </row>
    <row r="5098" spans="1:4" x14ac:dyDescent="0.2">
      <c r="A5098" t="s">
        <v>1966</v>
      </c>
      <c r="B5098" t="str">
        <f>HYPERLINK("https://lindat.mff.cuni.cz/services/teitok/pdtc10/index.php?action=vallex&amp;frame=v-w732f17", "dostat (v-w732f17)")</f>
        <v>dostat (v-w732f17)</v>
      </c>
    </row>
    <row r="5099" spans="1:4" x14ac:dyDescent="0.2">
      <c r="B5099" t="s">
        <v>1</v>
      </c>
      <c r="D5099" t="s">
        <v>23201</v>
      </c>
    </row>
    <row r="5100" spans="1:4" x14ac:dyDescent="0.2">
      <c r="B5100" t="s">
        <v>615</v>
      </c>
    </row>
    <row r="5101" spans="1:4" x14ac:dyDescent="0.2">
      <c r="B5101" t="s">
        <v>8</v>
      </c>
      <c r="D5101" t="s">
        <v>23202</v>
      </c>
    </row>
    <row r="5103" spans="1:4" x14ac:dyDescent="0.2">
      <c r="A5103" t="s">
        <v>1967</v>
      </c>
      <c r="B5103" t="str">
        <f>HYPERLINK("https://lindat.mff.cuni.cz/services/teitok/pdtc10/index.php?action=vallex&amp;frame=v-w732f15", "dostat (v-w732f15)")</f>
        <v>dostat (v-w732f15)</v>
      </c>
    </row>
    <row r="5104" spans="1:4" x14ac:dyDescent="0.2">
      <c r="B5104" t="s">
        <v>1</v>
      </c>
    </row>
    <row r="5105" spans="1:2" x14ac:dyDescent="0.2">
      <c r="B5105" t="s">
        <v>1968</v>
      </c>
    </row>
    <row r="5106" spans="1:2" x14ac:dyDescent="0.2">
      <c r="B5106" t="s">
        <v>8</v>
      </c>
    </row>
    <row r="5108" spans="1:2" x14ac:dyDescent="0.2">
      <c r="A5108" t="s">
        <v>1969</v>
      </c>
      <c r="B5108" t="str">
        <f>HYPERLINK("https://lindat.mff.cuni.cz/services/teitok/pdtc10/index.php?action=vallex&amp;frame=v-w732f37_JS", "dostat (v-w732f37_JS)")</f>
        <v>dostat (v-w732f37_JS)</v>
      </c>
    </row>
    <row r="5109" spans="1:2" x14ac:dyDescent="0.2">
      <c r="B5109" t="s">
        <v>1</v>
      </c>
    </row>
    <row r="5110" spans="1:2" x14ac:dyDescent="0.2">
      <c r="B5110" t="s">
        <v>1970</v>
      </c>
    </row>
    <row r="5111" spans="1:2" x14ac:dyDescent="0.2">
      <c r="B5111" t="s">
        <v>247</v>
      </c>
    </row>
    <row r="5113" spans="1:2" x14ac:dyDescent="0.2">
      <c r="A5113" t="s">
        <v>1969</v>
      </c>
      <c r="B5113" t="str">
        <f>HYPERLINK("https://lindat.mff.cuni.cz/services/teitok/pdtc10/index.php?action=vallex&amp;frame=v-w732f22", "dostat (v-w732f22) - substituted with v-w732f37_JS")</f>
        <v>dostat (v-w732f22) - substituted with v-w732f37_JS</v>
      </c>
    </row>
    <row r="5114" spans="1:2" x14ac:dyDescent="0.2">
      <c r="B5114" t="s">
        <v>1</v>
      </c>
    </row>
    <row r="5115" spans="1:2" x14ac:dyDescent="0.2">
      <c r="B5115" t="s">
        <v>1970</v>
      </c>
    </row>
    <row r="5116" spans="1:2" x14ac:dyDescent="0.2">
      <c r="B5116" t="s">
        <v>247</v>
      </c>
    </row>
    <row r="5118" spans="1:2" x14ac:dyDescent="0.2">
      <c r="A5118" t="s">
        <v>1971</v>
      </c>
      <c r="B5118" t="str">
        <f>HYPERLINK("https://lindat.mff.cuni.cz/services/teitok/pdtc10/index.php?action=vallex&amp;frame=v-w732f18", "dostat (v-w732f18)")</f>
        <v>dostat (v-w732f18)</v>
      </c>
    </row>
    <row r="5119" spans="1:2" x14ac:dyDescent="0.2">
      <c r="B5119" t="s">
        <v>1</v>
      </c>
    </row>
    <row r="5120" spans="1:2" x14ac:dyDescent="0.2">
      <c r="B5120" t="s">
        <v>1972</v>
      </c>
    </row>
    <row r="5122" spans="1:2" x14ac:dyDescent="0.2">
      <c r="A5122" t="s">
        <v>1973</v>
      </c>
      <c r="B5122" t="str">
        <f>HYPERLINK("https://lindat.mff.cuni.cz/services/teitok/pdtc10/index.php?action=vallex&amp;frame=v-w732f24", "dostat (v-w732f24)")</f>
        <v>dostat (v-w732f24)</v>
      </c>
    </row>
    <row r="5123" spans="1:2" x14ac:dyDescent="0.2">
      <c r="B5123" t="s">
        <v>1</v>
      </c>
    </row>
    <row r="5124" spans="1:2" x14ac:dyDescent="0.2">
      <c r="B5124" t="s">
        <v>1974</v>
      </c>
    </row>
    <row r="5126" spans="1:2" x14ac:dyDescent="0.2">
      <c r="A5126" t="s">
        <v>1975</v>
      </c>
      <c r="B5126" t="str">
        <f>HYPERLINK("https://lindat.mff.cuni.cz/services/teitok/pdtc10/index.php?action=vallex&amp;frame=v-w732f10", "dostat (v-w732f10)")</f>
        <v>dostat (v-w732f10)</v>
      </c>
    </row>
    <row r="5127" spans="1:2" x14ac:dyDescent="0.2">
      <c r="B5127" t="s">
        <v>1</v>
      </c>
    </row>
    <row r="5128" spans="1:2" x14ac:dyDescent="0.2">
      <c r="B5128" t="s">
        <v>1976</v>
      </c>
    </row>
    <row r="5130" spans="1:2" x14ac:dyDescent="0.2">
      <c r="A5130" t="s">
        <v>1977</v>
      </c>
      <c r="B5130" t="str">
        <f>HYPERLINK("https://lindat.mff.cuni.cz/services/teitok/pdtc10/index.php?action=vallex&amp;frame=v-w732f19", "dostat (v-w732f19)")</f>
        <v>dostat (v-w732f19)</v>
      </c>
    </row>
    <row r="5131" spans="1:2" x14ac:dyDescent="0.2">
      <c r="B5131" t="s">
        <v>1</v>
      </c>
    </row>
    <row r="5132" spans="1:2" x14ac:dyDescent="0.2">
      <c r="B5132" t="s">
        <v>1978</v>
      </c>
    </row>
    <row r="5134" spans="1:2" x14ac:dyDescent="0.2">
      <c r="A5134" t="s">
        <v>1979</v>
      </c>
      <c r="B5134" t="str">
        <f>HYPERLINK("https://lindat.mff.cuni.cz/services/teitok/pdtc10/index.php?action=vallex&amp;frame=v-w732f20", "dostat (v-w732f20)")</f>
        <v>dostat (v-w732f20)</v>
      </c>
    </row>
    <row r="5135" spans="1:2" x14ac:dyDescent="0.2">
      <c r="B5135" t="s">
        <v>1</v>
      </c>
    </row>
    <row r="5136" spans="1:2" x14ac:dyDescent="0.2">
      <c r="B5136" t="s">
        <v>1980</v>
      </c>
    </row>
    <row r="5138" spans="1:4" x14ac:dyDescent="0.2">
      <c r="A5138" t="s">
        <v>1981</v>
      </c>
      <c r="B5138" t="str">
        <f>HYPERLINK("https://lindat.mff.cuni.cz/services/teitok/pdtc10/index.php?action=vallex&amp;frame=v-w732f8", "dostat (v-w732f8)")</f>
        <v>dostat (v-w732f8)</v>
      </c>
    </row>
    <row r="5139" spans="1:4" x14ac:dyDescent="0.2">
      <c r="B5139" t="s">
        <v>1</v>
      </c>
    </row>
    <row r="5140" spans="1:4" x14ac:dyDescent="0.2">
      <c r="B5140" t="s">
        <v>1982</v>
      </c>
    </row>
    <row r="5142" spans="1:4" x14ac:dyDescent="0.2">
      <c r="A5142" t="s">
        <v>1983</v>
      </c>
      <c r="B5142" t="str">
        <f>HYPERLINK("https://lindat.mff.cuni.cz/services/teitok/pdtc10/index.php?action=vallex&amp;frame=v-w732f12", "dostat (v-w732f12)")</f>
        <v>dostat (v-w732f12)</v>
      </c>
    </row>
    <row r="5143" spans="1:4" x14ac:dyDescent="0.2">
      <c r="B5143" t="s">
        <v>1</v>
      </c>
    </row>
    <row r="5144" spans="1:4" x14ac:dyDescent="0.2">
      <c r="B5144" t="s">
        <v>1984</v>
      </c>
    </row>
    <row r="5146" spans="1:4" x14ac:dyDescent="0.2">
      <c r="A5146" t="s">
        <v>1985</v>
      </c>
      <c r="B5146" t="str">
        <f>HYPERLINK("https://lindat.mff.cuni.cz/services/teitok/pdtc10/index.php?action=vallex&amp;frame=v-w732f30_ZU", "dostat (v-w732f30_ZU)")</f>
        <v>dostat (v-w732f30_ZU)</v>
      </c>
    </row>
    <row r="5147" spans="1:4" x14ac:dyDescent="0.2">
      <c r="B5147" t="s">
        <v>1</v>
      </c>
      <c r="C5147" t="s">
        <v>1865</v>
      </c>
      <c r="D5147" t="s">
        <v>23111</v>
      </c>
    </row>
    <row r="5148" spans="1:4" x14ac:dyDescent="0.2">
      <c r="B5148" t="s">
        <v>1986</v>
      </c>
      <c r="C5148" t="s">
        <v>1987</v>
      </c>
      <c r="D5148" t="s">
        <v>23203</v>
      </c>
    </row>
    <row r="5150" spans="1:4" x14ac:dyDescent="0.2">
      <c r="A5150" t="s">
        <v>1988</v>
      </c>
      <c r="B5150" t="str">
        <f>HYPERLINK("https://lindat.mff.cuni.cz/services/teitok/pdtc10/index.php?action=vallex&amp;frame=v-w732f31_ZU", "dostat (v-w732f31_ZU)")</f>
        <v>dostat (v-w732f31_ZU)</v>
      </c>
    </row>
    <row r="5151" spans="1:4" x14ac:dyDescent="0.2">
      <c r="B5151" t="s">
        <v>1</v>
      </c>
    </row>
    <row r="5152" spans="1:4" x14ac:dyDescent="0.2">
      <c r="B5152" t="s">
        <v>1989</v>
      </c>
    </row>
    <row r="5154" spans="1:3" x14ac:dyDescent="0.2">
      <c r="A5154" t="s">
        <v>1988</v>
      </c>
      <c r="B5154" t="str">
        <f>HYPERLINK("https://lindat.mff.cuni.cz/services/teitok/pdtc10/index.php?action=vallex&amp;frame=v-w732hsa_341", "dostat (v-w732hsa_341) - substituted with v-w732f31_ZU")</f>
        <v>dostat (v-w732hsa_341) - substituted with v-w732f31_ZU</v>
      </c>
    </row>
    <row r="5155" spans="1:3" x14ac:dyDescent="0.2">
      <c r="B5155" t="s">
        <v>1</v>
      </c>
    </row>
    <row r="5156" spans="1:3" x14ac:dyDescent="0.2">
      <c r="B5156" t="s">
        <v>1989</v>
      </c>
    </row>
    <row r="5158" spans="1:3" x14ac:dyDescent="0.2">
      <c r="A5158" t="s">
        <v>1990</v>
      </c>
      <c r="B5158" t="str">
        <f>HYPERLINK("https://lindat.mff.cuni.cz/services/teitok/pdtc10/index.php?action=vallex&amp;frame=v-w732f36_ZU", "dostat (v-w732f36_ZU)")</f>
        <v>dostat (v-w732f36_ZU)</v>
      </c>
    </row>
    <row r="5159" spans="1:3" x14ac:dyDescent="0.2">
      <c r="B5159" t="s">
        <v>1</v>
      </c>
    </row>
    <row r="5160" spans="1:3" x14ac:dyDescent="0.2">
      <c r="B5160" t="s">
        <v>1991</v>
      </c>
    </row>
    <row r="5161" spans="1:3" x14ac:dyDescent="0.2">
      <c r="B5161" t="s">
        <v>247</v>
      </c>
    </row>
    <row r="5163" spans="1:3" x14ac:dyDescent="0.2">
      <c r="A5163" t="s">
        <v>1990</v>
      </c>
      <c r="B5163" t="str">
        <f>HYPERLINK("https://lindat.mff.cuni.cz/services/teitok/pdtc10/index.php?action=vallex&amp;frame=v-w732f32_ZU", "dostat (v-w732f32_ZU) - substituted with v-w732f36_ZU")</f>
        <v>dostat (v-w732f32_ZU) - substituted with v-w732f36_ZU</v>
      </c>
    </row>
    <row r="5164" spans="1:3" x14ac:dyDescent="0.2">
      <c r="B5164" t="s">
        <v>1</v>
      </c>
      <c r="C5164" t="s">
        <v>1992</v>
      </c>
    </row>
    <row r="5165" spans="1:3" x14ac:dyDescent="0.2">
      <c r="B5165" t="s">
        <v>1991</v>
      </c>
      <c r="C5165" t="s">
        <v>1993</v>
      </c>
    </row>
    <row r="5166" spans="1:3" x14ac:dyDescent="0.2">
      <c r="B5166" t="s">
        <v>247</v>
      </c>
    </row>
    <row r="5168" spans="1:3" x14ac:dyDescent="0.2">
      <c r="A5168" t="s">
        <v>1990</v>
      </c>
      <c r="B5168" t="str">
        <f>HYPERLINK("https://lindat.mff.cuni.cz/services/teitok/pdtc10/index.php?action=vallex&amp;frame=v-w732hsa_342", "dostat (v-w732hsa_342) - substituted with v-w732f36_ZU")</f>
        <v>dostat (v-w732hsa_342) - substituted with v-w732f36_ZU</v>
      </c>
    </row>
    <row r="5169" spans="1:4" x14ac:dyDescent="0.2">
      <c r="B5169" t="s">
        <v>1</v>
      </c>
    </row>
    <row r="5170" spans="1:4" x14ac:dyDescent="0.2">
      <c r="B5170" t="s">
        <v>1991</v>
      </c>
    </row>
    <row r="5171" spans="1:4" x14ac:dyDescent="0.2">
      <c r="B5171" t="s">
        <v>247</v>
      </c>
    </row>
    <row r="5173" spans="1:4" x14ac:dyDescent="0.2">
      <c r="A5173" t="s">
        <v>1994</v>
      </c>
      <c r="B5173" t="str">
        <f>HYPERLINK("https://lindat.mff.cuni.cz/services/teitok/pdtc10/index.php?action=vallex&amp;frame=v-w735f12", "dostat se (v-w735f12)")</f>
        <v>dostat se (v-w735f12)</v>
      </c>
    </row>
    <row r="5174" spans="1:4" x14ac:dyDescent="0.2">
      <c r="B5174" t="s">
        <v>1</v>
      </c>
      <c r="C5174" t="s">
        <v>1995</v>
      </c>
    </row>
    <row r="5175" spans="1:4" x14ac:dyDescent="0.2">
      <c r="B5175" t="s">
        <v>28</v>
      </c>
      <c r="C5175" t="s">
        <v>1996</v>
      </c>
    </row>
    <row r="5176" spans="1:4" x14ac:dyDescent="0.2">
      <c r="B5176" t="s">
        <v>24</v>
      </c>
    </row>
    <row r="5178" spans="1:4" x14ac:dyDescent="0.2">
      <c r="A5178" t="s">
        <v>1997</v>
      </c>
      <c r="B5178" t="str">
        <f>HYPERLINK("https://lindat.mff.cuni.cz/services/teitok/pdtc10/index.php?action=vallex&amp;frame=v-w735f19_ZU", "dostat se (v-w735f19_ZU)")</f>
        <v>dostat se (v-w735f19_ZU)</v>
      </c>
    </row>
    <row r="5179" spans="1:4" x14ac:dyDescent="0.2">
      <c r="B5179" t="s">
        <v>455</v>
      </c>
    </row>
    <row r="5180" spans="1:4" x14ac:dyDescent="0.2">
      <c r="B5180" t="s">
        <v>1998</v>
      </c>
    </row>
    <row r="5181" spans="1:4" x14ac:dyDescent="0.2">
      <c r="B5181" t="s">
        <v>321</v>
      </c>
    </row>
    <row r="5183" spans="1:4" x14ac:dyDescent="0.2">
      <c r="A5183" t="s">
        <v>1997</v>
      </c>
      <c r="B5183" t="str">
        <f>HYPERLINK("https://lindat.mff.cuni.cz/services/teitok/pdtc10/index.php?action=vallex&amp;frame=v-w735f3", "dostat se (v-w735f3) - substituted with v-w735f19_ZU")</f>
        <v>dostat se (v-w735f3) - substituted with v-w735f19_ZU</v>
      </c>
    </row>
    <row r="5184" spans="1:4" x14ac:dyDescent="0.2">
      <c r="B5184" t="s">
        <v>455</v>
      </c>
      <c r="C5184" t="s">
        <v>1999</v>
      </c>
      <c r="D5184" t="s">
        <v>23111</v>
      </c>
    </row>
    <row r="5185" spans="1:4" x14ac:dyDescent="0.2">
      <c r="B5185" t="s">
        <v>1998</v>
      </c>
      <c r="C5185" t="s">
        <v>2000</v>
      </c>
      <c r="D5185" t="s">
        <v>23112</v>
      </c>
    </row>
    <row r="5186" spans="1:4" x14ac:dyDescent="0.2">
      <c r="B5186" t="s">
        <v>321</v>
      </c>
      <c r="C5186" t="s">
        <v>2001</v>
      </c>
      <c r="D5186" t="s">
        <v>23113</v>
      </c>
    </row>
    <row r="5188" spans="1:4" x14ac:dyDescent="0.2">
      <c r="A5188" t="s">
        <v>2002</v>
      </c>
      <c r="B5188" t="str">
        <f>HYPERLINK("https://lindat.mff.cuni.cz/services/teitok/pdtc10/index.php?action=vallex&amp;frame=v-w735f8", "dostat se (v-w735f8)")</f>
        <v>dostat se (v-w735f8)</v>
      </c>
    </row>
    <row r="5189" spans="1:4" x14ac:dyDescent="0.2">
      <c r="B5189" t="s">
        <v>2003</v>
      </c>
    </row>
    <row r="5190" spans="1:4" x14ac:dyDescent="0.2">
      <c r="B5190" t="s">
        <v>28</v>
      </c>
    </row>
    <row r="5192" spans="1:4" x14ac:dyDescent="0.2">
      <c r="A5192" t="s">
        <v>2004</v>
      </c>
      <c r="B5192" t="str">
        <f>HYPERLINK("https://lindat.mff.cuni.cz/services/teitok/pdtc10/index.php?action=vallex&amp;frame=v-w735f22_ZU", "dostat se (v-w735f22_ZU)")</f>
        <v>dostat se (v-w735f22_ZU)</v>
      </c>
    </row>
    <row r="5193" spans="1:4" x14ac:dyDescent="0.2">
      <c r="B5193" t="s">
        <v>1</v>
      </c>
    </row>
    <row r="5194" spans="1:4" x14ac:dyDescent="0.2">
      <c r="B5194" t="s">
        <v>176</v>
      </c>
    </row>
    <row r="5196" spans="1:4" x14ac:dyDescent="0.2">
      <c r="A5196" t="s">
        <v>2004</v>
      </c>
      <c r="B5196" t="str">
        <f>HYPERLINK("https://lindat.mff.cuni.cz/services/teitok/pdtc10/index.php?action=vallex&amp;frame=v-w735f17_ZU", "dostat se (v-w735f17_ZU) - substituted with v-w735f22_ZU")</f>
        <v>dostat se (v-w735f17_ZU) - substituted with v-w735f22_ZU</v>
      </c>
    </row>
    <row r="5197" spans="1:4" x14ac:dyDescent="0.2">
      <c r="B5197" t="s">
        <v>1</v>
      </c>
    </row>
    <row r="5198" spans="1:4" x14ac:dyDescent="0.2">
      <c r="B5198" t="s">
        <v>176</v>
      </c>
    </row>
    <row r="5200" spans="1:4" x14ac:dyDescent="0.2">
      <c r="A5200" t="s">
        <v>2004</v>
      </c>
      <c r="B5200" t="str">
        <f>HYPERLINK("https://lindat.mff.cuni.cz/services/teitok/pdtc10/index.php?action=vallex&amp;frame=v-w735f21_ZU", "dostat se (v-w735f21_ZU) - substituted with v-w735f22_ZU")</f>
        <v>dostat se (v-w735f21_ZU) - substituted with v-w735f22_ZU</v>
      </c>
    </row>
    <row r="5201" spans="1:4" x14ac:dyDescent="0.2">
      <c r="B5201" t="s">
        <v>1</v>
      </c>
    </row>
    <row r="5202" spans="1:4" x14ac:dyDescent="0.2">
      <c r="B5202" t="s">
        <v>176</v>
      </c>
    </row>
    <row r="5204" spans="1:4" x14ac:dyDescent="0.2">
      <c r="A5204" t="s">
        <v>2004</v>
      </c>
      <c r="B5204" t="str">
        <f>HYPERLINK("https://lindat.mff.cuni.cz/services/teitok/pdtc10/index.php?action=vallex&amp;frame=v-w735f4", "dostat se (v-w735f4) - substituted with v-w735f22_ZU")</f>
        <v>dostat se (v-w735f4) - substituted with v-w735f22_ZU</v>
      </c>
    </row>
    <row r="5205" spans="1:4" x14ac:dyDescent="0.2">
      <c r="B5205" t="s">
        <v>1</v>
      </c>
      <c r="C5205" t="s">
        <v>2005</v>
      </c>
      <c r="D5205" t="s">
        <v>23198</v>
      </c>
    </row>
    <row r="5206" spans="1:4" x14ac:dyDescent="0.2">
      <c r="B5206" t="s">
        <v>176</v>
      </c>
      <c r="C5206" t="s">
        <v>2006</v>
      </c>
      <c r="D5206" t="s">
        <v>23199</v>
      </c>
    </row>
    <row r="5208" spans="1:4" x14ac:dyDescent="0.2">
      <c r="A5208" t="s">
        <v>2007</v>
      </c>
      <c r="B5208" t="str">
        <f>HYPERLINK("https://lindat.mff.cuni.cz/services/teitok/pdtc10/index.php?action=vallex&amp;frame=v-w735f13", "dostat se (v-w735f13)")</f>
        <v>dostat se (v-w735f13)</v>
      </c>
    </row>
    <row r="5209" spans="1:4" x14ac:dyDescent="0.2">
      <c r="B5209" t="s">
        <v>1</v>
      </c>
      <c r="C5209" t="s">
        <v>2008</v>
      </c>
      <c r="D5209" t="s">
        <v>23062</v>
      </c>
    </row>
    <row r="5210" spans="1:4" x14ac:dyDescent="0.2">
      <c r="B5210" t="s">
        <v>168</v>
      </c>
    </row>
    <row r="5211" spans="1:4" x14ac:dyDescent="0.2">
      <c r="B5211" t="s">
        <v>346</v>
      </c>
    </row>
    <row r="5212" spans="1:4" x14ac:dyDescent="0.2">
      <c r="B5212" t="s">
        <v>349</v>
      </c>
    </row>
    <row r="5213" spans="1:4" x14ac:dyDescent="0.2">
      <c r="B5213" t="s">
        <v>2009</v>
      </c>
    </row>
    <row r="5215" spans="1:4" x14ac:dyDescent="0.2">
      <c r="A5215" t="s">
        <v>2010</v>
      </c>
      <c r="B5215" t="str">
        <f>HYPERLINK("https://lindat.mff.cuni.cz/services/teitok/pdtc10/index.php?action=vallex&amp;frame=v-w735f14", "dostat se (v-w735f14)")</f>
        <v>dostat se (v-w735f14)</v>
      </c>
    </row>
    <row r="5216" spans="1:4" x14ac:dyDescent="0.2">
      <c r="B5216" t="s">
        <v>1</v>
      </c>
      <c r="C5216" t="s">
        <v>2011</v>
      </c>
      <c r="D5216" t="s">
        <v>23204</v>
      </c>
    </row>
    <row r="5217" spans="1:4" x14ac:dyDescent="0.2">
      <c r="B5217" t="s">
        <v>333</v>
      </c>
      <c r="C5217" t="s">
        <v>2012</v>
      </c>
      <c r="D5217" t="s">
        <v>23205</v>
      </c>
    </row>
    <row r="5219" spans="1:4" x14ac:dyDescent="0.2">
      <c r="A5219" t="s">
        <v>2010</v>
      </c>
      <c r="B5219" t="str">
        <f>HYPERLINK("https://lindat.mff.cuni.cz/services/teitok/pdtc10/index.php?action=vallex&amp;frame=v-w735f6", "dostat se (v-w735f6) - substituted with v-w735f14")</f>
        <v>dostat se (v-w735f6) - substituted with v-w735f14</v>
      </c>
    </row>
    <row r="5220" spans="1:4" x14ac:dyDescent="0.2">
      <c r="B5220" t="s">
        <v>1</v>
      </c>
    </row>
    <row r="5221" spans="1:4" x14ac:dyDescent="0.2">
      <c r="B5221" t="s">
        <v>333</v>
      </c>
    </row>
    <row r="5223" spans="1:4" x14ac:dyDescent="0.2">
      <c r="A5223" t="s">
        <v>2013</v>
      </c>
      <c r="B5223" t="str">
        <f>HYPERLINK("https://lindat.mff.cuni.cz/services/teitok/pdtc10/index.php?action=vallex&amp;frame=v-w735f26_ZU", "dostat se (v-w735f26_ZU)")</f>
        <v>dostat se (v-w735f26_ZU)</v>
      </c>
    </row>
    <row r="5224" spans="1:4" x14ac:dyDescent="0.2">
      <c r="B5224" t="s">
        <v>1</v>
      </c>
    </row>
    <row r="5225" spans="1:4" x14ac:dyDescent="0.2">
      <c r="B5225" t="s">
        <v>205</v>
      </c>
    </row>
    <row r="5227" spans="1:4" x14ac:dyDescent="0.2">
      <c r="A5227" t="s">
        <v>2013</v>
      </c>
      <c r="B5227" t="str">
        <f>HYPERLINK("https://lindat.mff.cuni.cz/services/teitok/pdtc10/index.php?action=vallex&amp;frame=v-w735f2", "dostat se (v-w735f2) - substituted with v-w735f26_ZU")</f>
        <v>dostat se (v-w735f2) - substituted with v-w735f26_ZU</v>
      </c>
    </row>
    <row r="5228" spans="1:4" x14ac:dyDescent="0.2">
      <c r="B5228" t="s">
        <v>1</v>
      </c>
      <c r="C5228" t="s">
        <v>2014</v>
      </c>
      <c r="D5228" t="s">
        <v>201</v>
      </c>
    </row>
    <row r="5229" spans="1:4" x14ac:dyDescent="0.2">
      <c r="B5229" t="s">
        <v>205</v>
      </c>
      <c r="C5229" t="s">
        <v>2015</v>
      </c>
      <c r="D5229" t="s">
        <v>6117</v>
      </c>
    </row>
    <row r="5231" spans="1:4" x14ac:dyDescent="0.2">
      <c r="A5231" t="s">
        <v>2016</v>
      </c>
      <c r="B5231" t="str">
        <f>HYPERLINK("https://lindat.mff.cuni.cz/services/teitok/pdtc10/index.php?action=vallex&amp;frame=v-w735f24_ZU", "dostat se (v-w735f24_ZU)")</f>
        <v>dostat se (v-w735f24_ZU)</v>
      </c>
    </row>
    <row r="5232" spans="1:4" x14ac:dyDescent="0.2">
      <c r="B5232" t="s">
        <v>488</v>
      </c>
    </row>
    <row r="5233" spans="1:4" x14ac:dyDescent="0.2">
      <c r="B5233" t="s">
        <v>90</v>
      </c>
    </row>
    <row r="5235" spans="1:4" x14ac:dyDescent="0.2">
      <c r="A5235" t="s">
        <v>2016</v>
      </c>
      <c r="B5235" t="str">
        <f>HYPERLINK("https://lindat.mff.cuni.cz/services/teitok/pdtc10/index.php?action=vallex&amp;frame=v-w735f1", "dostat se (v-w735f1) - substituted with v-w735f24_ZU")</f>
        <v>dostat se (v-w735f1) - substituted with v-w735f24_ZU</v>
      </c>
    </row>
    <row r="5236" spans="1:4" x14ac:dyDescent="0.2">
      <c r="B5236" t="s">
        <v>488</v>
      </c>
      <c r="C5236" t="s">
        <v>2017</v>
      </c>
      <c r="D5236" t="s">
        <v>23107</v>
      </c>
    </row>
    <row r="5237" spans="1:4" x14ac:dyDescent="0.2">
      <c r="B5237" t="s">
        <v>90</v>
      </c>
      <c r="C5237" t="s">
        <v>2018</v>
      </c>
      <c r="D5237" t="s">
        <v>23108</v>
      </c>
    </row>
    <row r="5239" spans="1:4" x14ac:dyDescent="0.2">
      <c r="A5239" t="s">
        <v>2016</v>
      </c>
      <c r="B5239" t="str">
        <f>HYPERLINK("https://lindat.mff.cuni.cz/services/teitok/pdtc10/index.php?action=vallex&amp;frame=v-w735f18_ZU", "dostat se (v-w735f18_ZU) - substituted with v-w735f24_ZU")</f>
        <v>dostat se (v-w735f18_ZU) - substituted with v-w735f24_ZU</v>
      </c>
    </row>
    <row r="5240" spans="1:4" x14ac:dyDescent="0.2">
      <c r="B5240" t="s">
        <v>488</v>
      </c>
    </row>
    <row r="5241" spans="1:4" x14ac:dyDescent="0.2">
      <c r="B5241" t="s">
        <v>90</v>
      </c>
    </row>
    <row r="5243" spans="1:4" x14ac:dyDescent="0.2">
      <c r="A5243" t="s">
        <v>2016</v>
      </c>
      <c r="B5243" t="str">
        <f>HYPERLINK("https://lindat.mff.cuni.cz/services/teitok/pdtc10/index.php?action=vallex&amp;frame=v-w735f23_ZU", "dostat se (v-w735f23_ZU) - substituted with v-w735f24_ZU")</f>
        <v>dostat se (v-w735f23_ZU) - substituted with v-w735f24_ZU</v>
      </c>
    </row>
    <row r="5244" spans="1:4" x14ac:dyDescent="0.2">
      <c r="B5244" t="s">
        <v>488</v>
      </c>
    </row>
    <row r="5245" spans="1:4" x14ac:dyDescent="0.2">
      <c r="B5245" t="s">
        <v>90</v>
      </c>
    </row>
    <row r="5247" spans="1:4" x14ac:dyDescent="0.2">
      <c r="A5247" t="s">
        <v>2019</v>
      </c>
      <c r="B5247" t="str">
        <f>HYPERLINK("https://lindat.mff.cuni.cz/services/teitok/pdtc10/index.php?action=vallex&amp;frame=v-w735f5", "dostat se (v-w735f5)")</f>
        <v>dostat se (v-w735f5)</v>
      </c>
    </row>
    <row r="5248" spans="1:4" x14ac:dyDescent="0.2">
      <c r="B5248" t="s">
        <v>761</v>
      </c>
    </row>
    <row r="5250" spans="1:4" x14ac:dyDescent="0.2">
      <c r="A5250" t="s">
        <v>2020</v>
      </c>
      <c r="B5250" t="str">
        <f>HYPERLINK("https://lindat.mff.cuni.cz/services/teitok/pdtc10/index.php?action=vallex&amp;frame=v-w735f20_ZU", "dostat se (v-w735f20_ZU)")</f>
        <v>dostat se (v-w735f20_ZU)</v>
      </c>
    </row>
    <row r="5251" spans="1:4" x14ac:dyDescent="0.2">
      <c r="B5251" t="s">
        <v>1</v>
      </c>
    </row>
    <row r="5252" spans="1:4" x14ac:dyDescent="0.2">
      <c r="B5252" t="s">
        <v>2021</v>
      </c>
    </row>
    <row r="5254" spans="1:4" x14ac:dyDescent="0.2">
      <c r="A5254" t="s">
        <v>2020</v>
      </c>
      <c r="B5254" t="str">
        <f>HYPERLINK("https://lindat.mff.cuni.cz/services/teitok/pdtc10/index.php?action=vallex&amp;frame=v-w735f7", "dostat se (v-w735f7) - substituted with v-w735f20_ZU")</f>
        <v>dostat se (v-w735f7) - substituted with v-w735f20_ZU</v>
      </c>
    </row>
    <row r="5255" spans="1:4" x14ac:dyDescent="0.2">
      <c r="B5255" t="s">
        <v>1</v>
      </c>
      <c r="C5255" t="s">
        <v>2022</v>
      </c>
      <c r="D5255" t="s">
        <v>201</v>
      </c>
    </row>
    <row r="5256" spans="1:4" x14ac:dyDescent="0.2">
      <c r="B5256" t="s">
        <v>2021</v>
      </c>
      <c r="C5256" t="s">
        <v>2023</v>
      </c>
      <c r="D5256" t="s">
        <v>23206</v>
      </c>
    </row>
    <row r="5258" spans="1:4" x14ac:dyDescent="0.2">
      <c r="A5258" t="s">
        <v>2024</v>
      </c>
      <c r="B5258" t="str">
        <f>HYPERLINK("https://lindat.mff.cuni.cz/services/teitok/pdtc10/index.php?action=vallex&amp;frame=v-w735f11", "dostat se (v-w735f11)")</f>
        <v>dostat se (v-w735f11)</v>
      </c>
    </row>
    <row r="5259" spans="1:4" x14ac:dyDescent="0.2">
      <c r="B5259" t="s">
        <v>1</v>
      </c>
    </row>
    <row r="5260" spans="1:4" x14ac:dyDescent="0.2">
      <c r="B5260" t="s">
        <v>2025</v>
      </c>
    </row>
    <row r="5262" spans="1:4" x14ac:dyDescent="0.2">
      <c r="A5262" t="s">
        <v>2026</v>
      </c>
      <c r="B5262" t="str">
        <f>HYPERLINK("https://lindat.mff.cuni.cz/services/teitok/pdtc10/index.php?action=vallex&amp;frame=v-w735f10", "dostat se (v-w735f10)")</f>
        <v>dostat se (v-w735f10)</v>
      </c>
    </row>
    <row r="5263" spans="1:4" x14ac:dyDescent="0.2">
      <c r="B5263" t="s">
        <v>1</v>
      </c>
    </row>
    <row r="5264" spans="1:4" x14ac:dyDescent="0.2">
      <c r="B5264" t="s">
        <v>2027</v>
      </c>
    </row>
    <row r="5266" spans="1:3" x14ac:dyDescent="0.2">
      <c r="A5266" t="s">
        <v>2028</v>
      </c>
      <c r="B5266" t="str">
        <f>HYPERLINK("https://lindat.mff.cuni.cz/services/teitok/pdtc10/index.php?action=vallex&amp;frame=v-w735f9", "dostat se (v-w735f9)")</f>
        <v>dostat se (v-w735f9)</v>
      </c>
    </row>
    <row r="5267" spans="1:3" x14ac:dyDescent="0.2">
      <c r="B5267" t="s">
        <v>1</v>
      </c>
    </row>
    <row r="5268" spans="1:3" x14ac:dyDescent="0.2">
      <c r="B5268" t="s">
        <v>2029</v>
      </c>
    </row>
    <row r="5270" spans="1:3" x14ac:dyDescent="0.2">
      <c r="A5270" t="s">
        <v>2030</v>
      </c>
      <c r="B5270" t="str">
        <f>HYPERLINK("https://lindat.mff.cuni.cz/services/teitok/pdtc10/index.php?action=vallex&amp;frame=v-w735f15_ZU", "dostat se (v-w735f15_ZU)")</f>
        <v>dostat se (v-w735f15_ZU)</v>
      </c>
    </row>
    <row r="5271" spans="1:3" x14ac:dyDescent="0.2">
      <c r="B5271" t="s">
        <v>1</v>
      </c>
      <c r="C5271" t="s">
        <v>2031</v>
      </c>
    </row>
    <row r="5272" spans="1:3" x14ac:dyDescent="0.2">
      <c r="B5272" t="s">
        <v>2032</v>
      </c>
      <c r="C5272" t="s">
        <v>2033</v>
      </c>
    </row>
    <row r="5274" spans="1:3" x14ac:dyDescent="0.2">
      <c r="A5274" t="s">
        <v>2030</v>
      </c>
      <c r="B5274" t="str">
        <f>HYPERLINK("https://lindat.mff.cuni.cz/services/teitok/pdtc10/index.php?action=vallex&amp;frame=v-w735hsa_258", "dostat se (v-w735hsa_258) - substituted with v-w735f15_ZU")</f>
        <v>dostat se (v-w735hsa_258) - substituted with v-w735f15_ZU</v>
      </c>
    </row>
    <row r="5275" spans="1:3" x14ac:dyDescent="0.2">
      <c r="B5275" t="s">
        <v>1</v>
      </c>
    </row>
    <row r="5276" spans="1:3" x14ac:dyDescent="0.2">
      <c r="B5276" t="s">
        <v>2032</v>
      </c>
    </row>
    <row r="5278" spans="1:3" x14ac:dyDescent="0.2">
      <c r="A5278" t="s">
        <v>2034</v>
      </c>
      <c r="B5278" t="str">
        <f>HYPERLINK("https://lindat.mff.cuni.cz/services/teitok/pdtc10/index.php?action=vallex&amp;frame=v-w735f16_ZU", "dostat se (v-w735f16_ZU)")</f>
        <v>dostat se (v-w735f16_ZU)</v>
      </c>
    </row>
    <row r="5279" spans="1:3" x14ac:dyDescent="0.2">
      <c r="B5279" t="s">
        <v>1</v>
      </c>
    </row>
    <row r="5280" spans="1:3" x14ac:dyDescent="0.2">
      <c r="B5280" t="s">
        <v>889</v>
      </c>
    </row>
    <row r="5282" spans="1:4" x14ac:dyDescent="0.2">
      <c r="A5282" t="s">
        <v>2035</v>
      </c>
      <c r="B5282" t="str">
        <f>HYPERLINK("https://lindat.mff.cuni.cz/services/teitok/pdtc10/index.php?action=vallex&amp;frame=v-w735f25_ZU", "dostat se (v-w735f25_ZU)")</f>
        <v>dostat se (v-w735f25_ZU)</v>
      </c>
    </row>
    <row r="5283" spans="1:4" x14ac:dyDescent="0.2">
      <c r="B5283" t="s">
        <v>1</v>
      </c>
    </row>
    <row r="5284" spans="1:4" x14ac:dyDescent="0.2">
      <c r="B5284" t="s">
        <v>2036</v>
      </c>
    </row>
    <row r="5286" spans="1:4" x14ac:dyDescent="0.2">
      <c r="A5286" t="s">
        <v>2037</v>
      </c>
      <c r="B5286" t="str">
        <f>HYPERLINK("https://lindat.mff.cuni.cz/services/teitok/pdtc10/index.php?action=vallex&amp;frame=v-w740f1", "dostavit se (v-w740f1)")</f>
        <v>dostavit se (v-w740f1)</v>
      </c>
    </row>
    <row r="5287" spans="1:4" x14ac:dyDescent="0.2">
      <c r="B5287" t="s">
        <v>1</v>
      </c>
      <c r="C5287" t="s">
        <v>2038</v>
      </c>
      <c r="D5287" t="s">
        <v>23207</v>
      </c>
    </row>
    <row r="5288" spans="1:4" x14ac:dyDescent="0.2">
      <c r="B5288" t="s">
        <v>90</v>
      </c>
      <c r="D5288" t="s">
        <v>23049</v>
      </c>
    </row>
    <row r="5290" spans="1:4" x14ac:dyDescent="0.2">
      <c r="A5290" t="s">
        <v>2039</v>
      </c>
      <c r="B5290" t="str">
        <f>HYPERLINK("https://lindat.mff.cuni.cz/services/teitok/pdtc10/index.php?action=vallex&amp;frame=v-w740f2", "dostavit se (v-w740f2)")</f>
        <v>dostavit se (v-w740f2)</v>
      </c>
    </row>
    <row r="5291" spans="1:4" x14ac:dyDescent="0.2">
      <c r="B5291" t="s">
        <v>1</v>
      </c>
      <c r="C5291" t="s">
        <v>2040</v>
      </c>
      <c r="D5291" t="s">
        <v>23208</v>
      </c>
    </row>
    <row r="5293" spans="1:4" x14ac:dyDescent="0.2">
      <c r="A5293" t="s">
        <v>2041</v>
      </c>
      <c r="B5293" t="str">
        <f>HYPERLINK("https://lindat.mff.cuni.cz/services/teitok/pdtc10/index.php?action=vallex&amp;frame=v-w741f1", "dostavovat se (v-w741f1)")</f>
        <v>dostavovat se (v-w741f1)</v>
      </c>
    </row>
    <row r="5294" spans="1:4" x14ac:dyDescent="0.2">
      <c r="B5294" t="s">
        <v>1</v>
      </c>
      <c r="D5294" t="s">
        <v>23207</v>
      </c>
    </row>
    <row r="5295" spans="1:4" x14ac:dyDescent="0.2">
      <c r="B5295" t="s">
        <v>90</v>
      </c>
      <c r="D5295" t="s">
        <v>23049</v>
      </c>
    </row>
    <row r="5297" spans="1:4" x14ac:dyDescent="0.2">
      <c r="A5297" t="s">
        <v>2042</v>
      </c>
      <c r="B5297" t="str">
        <f>HYPERLINK("https://lindat.mff.cuni.cz/services/teitok/pdtc10/index.php?action=vallex&amp;frame=v-w741f2", "dostavovat se (v-w741f2)")</f>
        <v>dostavovat se (v-w741f2)</v>
      </c>
    </row>
    <row r="5298" spans="1:4" x14ac:dyDescent="0.2">
      <c r="B5298" t="s">
        <v>1</v>
      </c>
      <c r="D5298" t="s">
        <v>23208</v>
      </c>
    </row>
    <row r="5300" spans="1:4" x14ac:dyDescent="0.2">
      <c r="A5300" t="s">
        <v>2043</v>
      </c>
      <c r="B5300" t="str">
        <f>HYPERLINK("https://lindat.mff.cuni.cz/services/teitok/pdtc10/index.php?action=vallex&amp;frame=v-w739f1", "dostavět (v-w739f1)")</f>
        <v>dostavět (v-w739f1)</v>
      </c>
    </row>
    <row r="5301" spans="1:4" x14ac:dyDescent="0.2">
      <c r="B5301" t="s">
        <v>1</v>
      </c>
      <c r="D5301" t="s">
        <v>23137</v>
      </c>
    </row>
    <row r="5302" spans="1:4" x14ac:dyDescent="0.2">
      <c r="B5302" t="s">
        <v>8</v>
      </c>
      <c r="D5302" t="s">
        <v>23138</v>
      </c>
    </row>
    <row r="5303" spans="1:4" x14ac:dyDescent="0.2">
      <c r="B5303" t="s">
        <v>24</v>
      </c>
      <c r="D5303" t="s">
        <v>23139</v>
      </c>
    </row>
    <row r="5305" spans="1:4" x14ac:dyDescent="0.2">
      <c r="A5305" t="s">
        <v>2044</v>
      </c>
      <c r="B5305" t="str">
        <f>HYPERLINK("https://lindat.mff.cuni.cz/services/teitok/pdtc10/index.php?action=vallex&amp;frame=v-w730f1", "dostačovat (v-w730f1)")</f>
        <v>dostačovat (v-w730f1)</v>
      </c>
    </row>
    <row r="5306" spans="1:4" x14ac:dyDescent="0.2">
      <c r="B5306" t="s">
        <v>2045</v>
      </c>
    </row>
    <row r="5307" spans="1:4" x14ac:dyDescent="0.2">
      <c r="B5307" t="s">
        <v>103</v>
      </c>
    </row>
    <row r="5309" spans="1:4" x14ac:dyDescent="0.2">
      <c r="A5309" t="s">
        <v>2046</v>
      </c>
      <c r="B5309" t="str">
        <f>HYPERLINK("https://lindat.mff.cuni.cz/services/teitok/pdtc10/index.php?action=vallex&amp;frame=v-w742f1", "dostihnout (v-w742f1)")</f>
        <v>dostihnout (v-w742f1)</v>
      </c>
    </row>
    <row r="5310" spans="1:4" x14ac:dyDescent="0.2">
      <c r="B5310" t="s">
        <v>1</v>
      </c>
      <c r="C5310" t="s">
        <v>2047</v>
      </c>
      <c r="D5310" t="s">
        <v>715</v>
      </c>
    </row>
    <row r="5311" spans="1:4" x14ac:dyDescent="0.2">
      <c r="B5311" t="s">
        <v>8</v>
      </c>
      <c r="C5311" t="s">
        <v>2048</v>
      </c>
      <c r="D5311" t="s">
        <v>202</v>
      </c>
    </row>
    <row r="5313" spans="1:2" x14ac:dyDescent="0.2">
      <c r="A5313" t="s">
        <v>2049</v>
      </c>
      <c r="B5313" t="str">
        <f>HYPERLINK("https://lindat.mff.cuni.cz/services/teitok/pdtc10/index.php?action=vallex&amp;frame=v-w11941_ZUf1_ZU", "dostopovat (v-w11941_ZUf1_ZU)")</f>
        <v>dostopovat (v-w11941_ZUf1_ZU)</v>
      </c>
    </row>
    <row r="5314" spans="1:2" x14ac:dyDescent="0.2">
      <c r="B5314" t="s">
        <v>1</v>
      </c>
    </row>
    <row r="5315" spans="1:2" x14ac:dyDescent="0.2">
      <c r="B5315" t="s">
        <v>252</v>
      </c>
    </row>
    <row r="5317" spans="1:2" x14ac:dyDescent="0.2">
      <c r="A5317" t="s">
        <v>2050</v>
      </c>
      <c r="B5317" t="str">
        <f>HYPERLINK("https://lindat.mff.cuni.cz/services/teitok/pdtc10/index.php?action=vallex&amp;frame=v-whsa_700f1_ZU", "dostoupit (v-whsa_700f1_ZU)")</f>
        <v>dostoupit (v-whsa_700f1_ZU)</v>
      </c>
    </row>
    <row r="5318" spans="1:2" x14ac:dyDescent="0.2">
      <c r="B5318" t="s">
        <v>1</v>
      </c>
    </row>
    <row r="5319" spans="1:2" x14ac:dyDescent="0.2">
      <c r="B5319" t="s">
        <v>90</v>
      </c>
    </row>
    <row r="5321" spans="1:2" x14ac:dyDescent="0.2">
      <c r="A5321" t="s">
        <v>2050</v>
      </c>
      <c r="B5321" t="str">
        <f>HYPERLINK("https://lindat.mff.cuni.cz/services/teitok/pdtc10/index.php?action=vallex&amp;frame=v-whsa_700hsa_701", "dostoupit (v-whsa_700hsa_701) - substituted with v-whsa_700f1_ZU")</f>
        <v>dostoupit (v-whsa_700hsa_701) - substituted with v-whsa_700f1_ZU</v>
      </c>
    </row>
    <row r="5322" spans="1:2" x14ac:dyDescent="0.2">
      <c r="B5322" t="s">
        <v>1</v>
      </c>
    </row>
    <row r="5323" spans="1:2" x14ac:dyDescent="0.2">
      <c r="B5323" t="s">
        <v>90</v>
      </c>
    </row>
    <row r="5325" spans="1:2" x14ac:dyDescent="0.2">
      <c r="A5325" t="s">
        <v>2051</v>
      </c>
      <c r="B5325" t="str">
        <f>HYPERLINK("https://lindat.mff.cuni.cz/services/teitok/pdtc10/index.php?action=vallex&amp;frame=v-whsa_700f2_ZU", "dostoupit (v-whsa_700f2_ZU)")</f>
        <v>dostoupit (v-whsa_700f2_ZU)</v>
      </c>
    </row>
    <row r="5326" spans="1:2" x14ac:dyDescent="0.2">
      <c r="B5326" t="s">
        <v>1</v>
      </c>
    </row>
    <row r="5327" spans="1:2" x14ac:dyDescent="0.2">
      <c r="B5327" t="s">
        <v>917</v>
      </c>
    </row>
    <row r="5329" spans="1:2" x14ac:dyDescent="0.2">
      <c r="A5329" t="s">
        <v>2052</v>
      </c>
      <c r="B5329" t="str">
        <f>HYPERLINK("https://lindat.mff.cuni.cz/services/teitok/pdtc10/index.php?action=vallex&amp;frame=v-w743f1", "dostrkat (v-w743f1)")</f>
        <v>dostrkat (v-w743f1)</v>
      </c>
    </row>
    <row r="5330" spans="1:2" x14ac:dyDescent="0.2">
      <c r="B5330" t="s">
        <v>1</v>
      </c>
    </row>
    <row r="5331" spans="1:2" x14ac:dyDescent="0.2">
      <c r="B5331" t="s">
        <v>8</v>
      </c>
    </row>
    <row r="5332" spans="1:2" x14ac:dyDescent="0.2">
      <c r="B5332" t="s">
        <v>90</v>
      </c>
    </row>
    <row r="5334" spans="1:2" x14ac:dyDescent="0.2">
      <c r="A5334" t="s">
        <v>2053</v>
      </c>
      <c r="B5334" t="str">
        <f>HYPERLINK("https://lindat.mff.cuni.cz/services/teitok/pdtc10/index.php?action=vallex&amp;frame=v-whsa_930hsa_931", "dostudovat (v-whsa_930hsa_931)")</f>
        <v>dostudovat (v-whsa_930hsa_931)</v>
      </c>
    </row>
    <row r="5335" spans="1:2" x14ac:dyDescent="0.2">
      <c r="B5335" t="s">
        <v>1</v>
      </c>
    </row>
    <row r="5336" spans="1:2" x14ac:dyDescent="0.2">
      <c r="B5336" t="s">
        <v>8</v>
      </c>
    </row>
    <row r="5338" spans="1:2" x14ac:dyDescent="0.2">
      <c r="A5338" t="s">
        <v>2054</v>
      </c>
      <c r="B5338" t="str">
        <f>HYPERLINK("https://lindat.mff.cuni.cz/services/teitok/pdtc10/index.php?action=vallex&amp;frame=v-whsa_930hsa_932", "dostudovat (v-whsa_930hsa_932)")</f>
        <v>dostudovat (v-whsa_930hsa_932)</v>
      </c>
    </row>
    <row r="5339" spans="1:2" x14ac:dyDescent="0.2">
      <c r="B5339" t="s">
        <v>1</v>
      </c>
    </row>
    <row r="5340" spans="1:2" x14ac:dyDescent="0.2">
      <c r="B5340" t="s">
        <v>8</v>
      </c>
    </row>
    <row r="5342" spans="1:2" x14ac:dyDescent="0.2">
      <c r="A5342" t="s">
        <v>2055</v>
      </c>
      <c r="B5342" t="str">
        <f>HYPERLINK("https://lindat.mff.cuni.cz/services/teitok/pdtc10/index.php?action=vallex&amp;frame=v-w11701_ZUf1_ZU", "dostudovávat (v-w11701_ZUf1_ZU)")</f>
        <v>dostudovávat (v-w11701_ZUf1_ZU)</v>
      </c>
    </row>
    <row r="5343" spans="1:2" x14ac:dyDescent="0.2">
      <c r="B5343" t="s">
        <v>1</v>
      </c>
    </row>
    <row r="5344" spans="1:2" x14ac:dyDescent="0.2">
      <c r="B5344" t="s">
        <v>8</v>
      </c>
    </row>
    <row r="5346" spans="1:4" x14ac:dyDescent="0.2">
      <c r="A5346" t="s">
        <v>2056</v>
      </c>
      <c r="B5346" t="str">
        <f>HYPERLINK("https://lindat.mff.cuni.cz/services/teitok/pdtc10/index.php?action=vallex&amp;frame=v-w733f1", "dostát (v-w733f1)")</f>
        <v>dostát (v-w733f1)</v>
      </c>
    </row>
    <row r="5347" spans="1:4" x14ac:dyDescent="0.2">
      <c r="B5347" t="s">
        <v>1</v>
      </c>
      <c r="C5347" t="s">
        <v>2057</v>
      </c>
      <c r="D5347" t="s">
        <v>23121</v>
      </c>
    </row>
    <row r="5348" spans="1:4" x14ac:dyDescent="0.2">
      <c r="B5348" t="s">
        <v>103</v>
      </c>
      <c r="C5348" t="s">
        <v>2058</v>
      </c>
      <c r="D5348" t="s">
        <v>23122</v>
      </c>
    </row>
    <row r="5350" spans="1:4" x14ac:dyDescent="0.2">
      <c r="A5350" t="s">
        <v>2059</v>
      </c>
      <c r="B5350" t="str">
        <f>HYPERLINK("https://lindat.mff.cuni.cz/services/teitok/pdtc10/index.php?action=vallex&amp;frame=v-w736f15_ZU", "dostávat (v-w736f15_ZU)")</f>
        <v>dostávat (v-w736f15_ZU)</v>
      </c>
    </row>
    <row r="5351" spans="1:4" x14ac:dyDescent="0.2">
      <c r="B5351" t="s">
        <v>1</v>
      </c>
    </row>
    <row r="5352" spans="1:4" x14ac:dyDescent="0.2">
      <c r="B5352" t="s">
        <v>41</v>
      </c>
    </row>
    <row r="5353" spans="1:4" x14ac:dyDescent="0.2">
      <c r="B5353" t="s">
        <v>1142</v>
      </c>
    </row>
    <row r="5355" spans="1:4" x14ac:dyDescent="0.2">
      <c r="A5355" t="s">
        <v>2059</v>
      </c>
      <c r="B5355" t="str">
        <f>HYPERLINK("https://lindat.mff.cuni.cz/services/teitok/pdtc10/index.php?action=vallex&amp;frame=v-w736f1", "dostávat (v-w736f1) - substituted with v-w736f15_ZU")</f>
        <v>dostávat (v-w736f1) - substituted with v-w736f15_ZU</v>
      </c>
    </row>
    <row r="5356" spans="1:4" x14ac:dyDescent="0.2">
      <c r="B5356" t="s">
        <v>1</v>
      </c>
      <c r="C5356" t="s">
        <v>2060</v>
      </c>
      <c r="D5356" t="s">
        <v>23194</v>
      </c>
    </row>
    <row r="5357" spans="1:4" x14ac:dyDescent="0.2">
      <c r="B5357" t="s">
        <v>41</v>
      </c>
      <c r="C5357" t="s">
        <v>2061</v>
      </c>
      <c r="D5357" t="s">
        <v>23195</v>
      </c>
    </row>
    <row r="5358" spans="1:4" x14ac:dyDescent="0.2">
      <c r="B5358" t="s">
        <v>1142</v>
      </c>
      <c r="C5358" t="s">
        <v>2062</v>
      </c>
      <c r="D5358" t="s">
        <v>23196</v>
      </c>
    </row>
    <row r="5360" spans="1:4" x14ac:dyDescent="0.2">
      <c r="A5360" t="s">
        <v>2063</v>
      </c>
      <c r="B5360" t="str">
        <f>HYPERLINK("https://lindat.mff.cuni.cz/services/teitok/pdtc10/index.php?action=vallex&amp;frame=v-w736f3", "dostávat (v-w736f3)")</f>
        <v>dostávat (v-w736f3)</v>
      </c>
    </row>
    <row r="5361" spans="1:4" x14ac:dyDescent="0.2">
      <c r="B5361" t="s">
        <v>1</v>
      </c>
      <c r="C5361" t="s">
        <v>2064</v>
      </c>
      <c r="D5361" t="s">
        <v>23194</v>
      </c>
    </row>
    <row r="5362" spans="1:4" x14ac:dyDescent="0.2">
      <c r="B5362" t="s">
        <v>8</v>
      </c>
      <c r="C5362" t="s">
        <v>2065</v>
      </c>
      <c r="D5362" t="s">
        <v>23195</v>
      </c>
    </row>
    <row r="5363" spans="1:4" x14ac:dyDescent="0.2">
      <c r="B5363" t="s">
        <v>321</v>
      </c>
      <c r="D5363" t="s">
        <v>23196</v>
      </c>
    </row>
    <row r="5365" spans="1:4" x14ac:dyDescent="0.2">
      <c r="A5365" t="s">
        <v>2066</v>
      </c>
      <c r="B5365" t="str">
        <f>HYPERLINK("https://lindat.mff.cuni.cz/services/teitok/pdtc10/index.php?action=vallex&amp;frame=v-w736f4", "dostávat (v-w736f4)")</f>
        <v>dostávat (v-w736f4)</v>
      </c>
    </row>
    <row r="5366" spans="1:4" x14ac:dyDescent="0.2">
      <c r="B5366" t="s">
        <v>1</v>
      </c>
      <c r="D5366" t="s">
        <v>1168</v>
      </c>
    </row>
    <row r="5367" spans="1:4" x14ac:dyDescent="0.2">
      <c r="B5367" t="s">
        <v>8</v>
      </c>
      <c r="D5367" t="s">
        <v>2691</v>
      </c>
    </row>
    <row r="5368" spans="1:4" x14ac:dyDescent="0.2">
      <c r="B5368" t="s">
        <v>1944</v>
      </c>
    </row>
    <row r="5370" spans="1:4" x14ac:dyDescent="0.2">
      <c r="A5370" t="s">
        <v>2067</v>
      </c>
      <c r="B5370" t="str">
        <f>HYPERLINK("https://lindat.mff.cuni.cz/services/teitok/pdtc10/index.php?action=vallex&amp;frame=v-w736f7", "dostávat (v-w736f7)")</f>
        <v>dostávat (v-w736f7)</v>
      </c>
    </row>
    <row r="5371" spans="1:4" x14ac:dyDescent="0.2">
      <c r="B5371" t="s">
        <v>1</v>
      </c>
    </row>
    <row r="5372" spans="1:4" x14ac:dyDescent="0.2">
      <c r="B5372" t="s">
        <v>1921</v>
      </c>
    </row>
    <row r="5373" spans="1:4" x14ac:dyDescent="0.2">
      <c r="B5373" t="s">
        <v>1922</v>
      </c>
    </row>
    <row r="5374" spans="1:4" x14ac:dyDescent="0.2">
      <c r="B5374" t="s">
        <v>321</v>
      </c>
    </row>
    <row r="5376" spans="1:4" x14ac:dyDescent="0.2">
      <c r="A5376" t="s">
        <v>2068</v>
      </c>
      <c r="B5376" t="str">
        <f>HYPERLINK("https://lindat.mff.cuni.cz/services/teitok/pdtc10/index.php?action=vallex&amp;frame=v-w736f5", "dostávat (v-w736f5)")</f>
        <v>dostávat (v-w736f5)</v>
      </c>
    </row>
    <row r="5377" spans="1:4" x14ac:dyDescent="0.2">
      <c r="B5377" t="s">
        <v>1</v>
      </c>
    </row>
    <row r="5378" spans="1:4" x14ac:dyDescent="0.2">
      <c r="B5378" t="s">
        <v>8</v>
      </c>
    </row>
    <row r="5379" spans="1:4" x14ac:dyDescent="0.2">
      <c r="B5379" t="s">
        <v>333</v>
      </c>
    </row>
    <row r="5381" spans="1:4" x14ac:dyDescent="0.2">
      <c r="A5381" t="s">
        <v>2069</v>
      </c>
      <c r="B5381" t="str">
        <f>HYPERLINK("https://lindat.mff.cuni.cz/services/teitok/pdtc10/index.php?action=vallex&amp;frame=v-w736f8", "dostávat (v-w736f8)")</f>
        <v>dostávat (v-w736f8)</v>
      </c>
    </row>
    <row r="5382" spans="1:4" x14ac:dyDescent="0.2">
      <c r="B5382" t="s">
        <v>1</v>
      </c>
    </row>
    <row r="5383" spans="1:4" x14ac:dyDescent="0.2">
      <c r="B5383" t="s">
        <v>8</v>
      </c>
    </row>
    <row r="5384" spans="1:4" x14ac:dyDescent="0.2">
      <c r="B5384" t="s">
        <v>333</v>
      </c>
    </row>
    <row r="5386" spans="1:4" x14ac:dyDescent="0.2">
      <c r="A5386" t="s">
        <v>2070</v>
      </c>
      <c r="B5386" t="str">
        <f>HYPERLINK("https://lindat.mff.cuni.cz/services/teitok/pdtc10/index.php?action=vallex&amp;frame=v-w736f11", "dostávat (v-w736f11)")</f>
        <v>dostávat (v-w736f11)</v>
      </c>
    </row>
    <row r="5387" spans="1:4" x14ac:dyDescent="0.2">
      <c r="B5387" t="s">
        <v>1</v>
      </c>
      <c r="C5387" t="s">
        <v>83</v>
      </c>
      <c r="D5387" t="s">
        <v>13976</v>
      </c>
    </row>
    <row r="5388" spans="1:4" x14ac:dyDescent="0.2">
      <c r="B5388" t="s">
        <v>8</v>
      </c>
      <c r="C5388" t="s">
        <v>110</v>
      </c>
      <c r="D5388" t="s">
        <v>10414</v>
      </c>
    </row>
    <row r="5389" spans="1:4" x14ac:dyDescent="0.2">
      <c r="B5389" t="s">
        <v>205</v>
      </c>
      <c r="D5389" t="s">
        <v>23197</v>
      </c>
    </row>
    <row r="5391" spans="1:4" x14ac:dyDescent="0.2">
      <c r="A5391" t="s">
        <v>2071</v>
      </c>
      <c r="B5391" t="str">
        <f>HYPERLINK("https://lindat.mff.cuni.cz/services/teitok/pdtc10/index.php?action=vallex&amp;frame=v-w736f6", "dostávat (v-w736f6)")</f>
        <v>dostávat (v-w736f6)</v>
      </c>
    </row>
    <row r="5392" spans="1:4" x14ac:dyDescent="0.2">
      <c r="B5392" t="s">
        <v>1</v>
      </c>
      <c r="D5392" t="s">
        <v>23181</v>
      </c>
    </row>
    <row r="5393" spans="1:4" x14ac:dyDescent="0.2">
      <c r="B5393" t="s">
        <v>8</v>
      </c>
      <c r="D5393" t="s">
        <v>23182</v>
      </c>
    </row>
    <row r="5394" spans="1:4" x14ac:dyDescent="0.2">
      <c r="B5394" t="s">
        <v>90</v>
      </c>
      <c r="D5394" t="s">
        <v>11579</v>
      </c>
    </row>
    <row r="5396" spans="1:4" x14ac:dyDescent="0.2">
      <c r="A5396" t="s">
        <v>2072</v>
      </c>
      <c r="B5396" t="str">
        <f>HYPERLINK("https://lindat.mff.cuni.cz/services/teitok/pdtc10/index.php?action=vallex&amp;frame=v-w736f10", "dostávat (v-w736f10)")</f>
        <v>dostávat (v-w736f10)</v>
      </c>
    </row>
    <row r="5397" spans="1:4" x14ac:dyDescent="0.2">
      <c r="B5397" t="s">
        <v>1</v>
      </c>
    </row>
    <row r="5398" spans="1:4" x14ac:dyDescent="0.2">
      <c r="B5398" t="s">
        <v>103</v>
      </c>
    </row>
    <row r="5400" spans="1:4" x14ac:dyDescent="0.2">
      <c r="A5400" t="s">
        <v>2073</v>
      </c>
      <c r="B5400" t="str">
        <f>HYPERLINK("https://lindat.mff.cuni.cz/services/teitok/pdtc10/index.php?action=vallex&amp;frame=v-w736f13", "dostávat (v-w736f13)")</f>
        <v>dostávat (v-w736f13)</v>
      </c>
    </row>
    <row r="5401" spans="1:4" x14ac:dyDescent="0.2">
      <c r="B5401" t="s">
        <v>1</v>
      </c>
      <c r="D5401" t="s">
        <v>23198</v>
      </c>
    </row>
    <row r="5402" spans="1:4" x14ac:dyDescent="0.2">
      <c r="B5402" t="s">
        <v>8</v>
      </c>
      <c r="D5402" t="s">
        <v>23199</v>
      </c>
    </row>
    <row r="5404" spans="1:4" x14ac:dyDescent="0.2">
      <c r="A5404" t="s">
        <v>2074</v>
      </c>
      <c r="B5404" t="str">
        <f>HYPERLINK("https://lindat.mff.cuni.cz/services/teitok/pdtc10/index.php?action=vallex&amp;frame=v-w736f9", "dostávat (v-w736f9)")</f>
        <v>dostávat (v-w736f9)</v>
      </c>
    </row>
    <row r="5405" spans="1:4" x14ac:dyDescent="0.2">
      <c r="B5405" t="s">
        <v>1</v>
      </c>
    </row>
    <row r="5406" spans="1:4" x14ac:dyDescent="0.2">
      <c r="B5406" t="s">
        <v>8</v>
      </c>
    </row>
    <row r="5408" spans="1:4" x14ac:dyDescent="0.2">
      <c r="A5408" t="s">
        <v>2075</v>
      </c>
      <c r="B5408" t="str">
        <f>HYPERLINK("https://lindat.mff.cuni.cz/services/teitok/pdtc10/index.php?action=vallex&amp;frame=v-w736f12", "dostávat (v-w736f12)")</f>
        <v>dostávat (v-w736f12)</v>
      </c>
    </row>
    <row r="5409" spans="1:4" x14ac:dyDescent="0.2">
      <c r="B5409" t="s">
        <v>1</v>
      </c>
    </row>
    <row r="5410" spans="1:4" x14ac:dyDescent="0.2">
      <c r="B5410" t="s">
        <v>8</v>
      </c>
    </row>
    <row r="5412" spans="1:4" x14ac:dyDescent="0.2">
      <c r="A5412" t="s">
        <v>2076</v>
      </c>
      <c r="B5412" t="str">
        <f>HYPERLINK("https://lindat.mff.cuni.cz/services/teitok/pdtc10/index.php?action=vallex&amp;frame=v-w736f14_ZU", "dostávat (v-w736f14_ZU)")</f>
        <v>dostávat (v-w736f14_ZU)</v>
      </c>
    </row>
    <row r="5413" spans="1:4" x14ac:dyDescent="0.2">
      <c r="B5413" t="s">
        <v>1</v>
      </c>
      <c r="C5413" t="s">
        <v>1992</v>
      </c>
      <c r="D5413" t="s">
        <v>23111</v>
      </c>
    </row>
    <row r="5414" spans="1:4" x14ac:dyDescent="0.2">
      <c r="B5414" t="s">
        <v>2077</v>
      </c>
      <c r="C5414" t="s">
        <v>2078</v>
      </c>
      <c r="D5414" t="s">
        <v>23200</v>
      </c>
    </row>
    <row r="5415" spans="1:4" x14ac:dyDescent="0.2">
      <c r="B5415" t="s">
        <v>1944</v>
      </c>
      <c r="C5415" t="s">
        <v>2079</v>
      </c>
      <c r="D5415" t="s">
        <v>23113</v>
      </c>
    </row>
    <row r="5417" spans="1:4" x14ac:dyDescent="0.2">
      <c r="A5417" t="s">
        <v>2076</v>
      </c>
      <c r="B5417" t="str">
        <f>HYPERLINK("https://lindat.mff.cuni.cz/services/teitok/pdtc10/index.php?action=vallex&amp;frame=v-w736f2", "dostávat (v-w736f2) - substituted with v-w736f14_ZU")</f>
        <v>dostávat (v-w736f2) - substituted with v-w736f14_ZU</v>
      </c>
    </row>
    <row r="5418" spans="1:4" x14ac:dyDescent="0.2">
      <c r="B5418" t="s">
        <v>1</v>
      </c>
      <c r="C5418" t="s">
        <v>2080</v>
      </c>
    </row>
    <row r="5419" spans="1:4" x14ac:dyDescent="0.2">
      <c r="B5419" t="s">
        <v>2077</v>
      </c>
      <c r="C5419" t="s">
        <v>2081</v>
      </c>
    </row>
    <row r="5420" spans="1:4" x14ac:dyDescent="0.2">
      <c r="B5420" t="s">
        <v>1944</v>
      </c>
      <c r="C5420" t="s">
        <v>1443</v>
      </c>
    </row>
    <row r="5422" spans="1:4" x14ac:dyDescent="0.2">
      <c r="A5422" t="s">
        <v>2076</v>
      </c>
      <c r="B5422" t="str">
        <f>HYPERLINK("https://lindat.mff.cuni.cz/services/teitok/pdtc10/index.php?action=vallex&amp;frame=v-w736hsa_402", "dostávat (v-w736hsa_402) - substituted with v-w736f14_ZU")</f>
        <v>dostávat (v-w736hsa_402) - substituted with v-w736f14_ZU</v>
      </c>
    </row>
    <row r="5423" spans="1:4" x14ac:dyDescent="0.2">
      <c r="B5423" t="s">
        <v>1</v>
      </c>
    </row>
    <row r="5424" spans="1:4" x14ac:dyDescent="0.2">
      <c r="B5424" t="s">
        <v>2077</v>
      </c>
    </row>
    <row r="5425" spans="1:4" x14ac:dyDescent="0.2">
      <c r="B5425" t="s">
        <v>1944</v>
      </c>
    </row>
    <row r="5427" spans="1:4" x14ac:dyDescent="0.2">
      <c r="A5427" t="s">
        <v>2082</v>
      </c>
      <c r="B5427" t="str">
        <f>HYPERLINK("https://lindat.mff.cuni.cz/services/teitok/pdtc10/index.php?action=vallex&amp;frame=v-w736f16_ZU", "dostávat (v-w736f16_ZU)")</f>
        <v>dostávat (v-w736f16_ZU)</v>
      </c>
    </row>
    <row r="5428" spans="1:4" x14ac:dyDescent="0.2">
      <c r="B5428" t="s">
        <v>1</v>
      </c>
    </row>
    <row r="5429" spans="1:4" x14ac:dyDescent="0.2">
      <c r="B5429" t="s">
        <v>1982</v>
      </c>
    </row>
    <row r="5431" spans="1:4" x14ac:dyDescent="0.2">
      <c r="A5431" t="s">
        <v>2082</v>
      </c>
      <c r="B5431" t="str">
        <f>HYPERLINK("https://lindat.mff.cuni.cz/services/teitok/pdtc10/index.php?action=vallex&amp;frame=v-w736hsa_302", "dostávat (v-w736hsa_302) - substituted with v-w736f16_ZU")</f>
        <v>dostávat (v-w736hsa_302) - substituted with v-w736f16_ZU</v>
      </c>
    </row>
    <row r="5432" spans="1:4" x14ac:dyDescent="0.2">
      <c r="B5432" t="s">
        <v>1</v>
      </c>
    </row>
    <row r="5433" spans="1:4" x14ac:dyDescent="0.2">
      <c r="B5433" t="s">
        <v>1982</v>
      </c>
    </row>
    <row r="5435" spans="1:4" x14ac:dyDescent="0.2">
      <c r="A5435" t="s">
        <v>2083</v>
      </c>
      <c r="B5435" t="str">
        <f>HYPERLINK("https://lindat.mff.cuni.cz/services/teitok/pdtc10/index.php?action=vallex&amp;frame=v-w737f2", "dostávat se (v-w737f2)")</f>
        <v>dostávat se (v-w737f2)</v>
      </c>
    </row>
    <row r="5436" spans="1:4" x14ac:dyDescent="0.2">
      <c r="B5436" t="s">
        <v>455</v>
      </c>
      <c r="C5436" t="s">
        <v>2084</v>
      </c>
      <c r="D5436" t="s">
        <v>23111</v>
      </c>
    </row>
    <row r="5437" spans="1:4" x14ac:dyDescent="0.2">
      <c r="B5437" t="s">
        <v>917</v>
      </c>
      <c r="C5437" t="s">
        <v>2085</v>
      </c>
      <c r="D5437" t="s">
        <v>23112</v>
      </c>
    </row>
    <row r="5438" spans="1:4" x14ac:dyDescent="0.2">
      <c r="B5438" t="s">
        <v>321</v>
      </c>
      <c r="C5438" t="s">
        <v>2001</v>
      </c>
      <c r="D5438" t="s">
        <v>23113</v>
      </c>
    </row>
    <row r="5440" spans="1:4" x14ac:dyDescent="0.2">
      <c r="A5440" t="s">
        <v>2086</v>
      </c>
      <c r="B5440" t="str">
        <f>HYPERLINK("https://lindat.mff.cuni.cz/services/teitok/pdtc10/index.php?action=vallex&amp;frame=v-w737f7", "dostávat se (v-w737f7)")</f>
        <v>dostávat se (v-w737f7)</v>
      </c>
    </row>
    <row r="5441" spans="1:4" x14ac:dyDescent="0.2">
      <c r="B5441" t="s">
        <v>2003</v>
      </c>
    </row>
    <row r="5442" spans="1:4" x14ac:dyDescent="0.2">
      <c r="B5442" t="s">
        <v>28</v>
      </c>
    </row>
    <row r="5444" spans="1:4" x14ac:dyDescent="0.2">
      <c r="A5444" t="s">
        <v>2087</v>
      </c>
      <c r="B5444" t="str">
        <f>HYPERLINK("https://lindat.mff.cuni.cz/services/teitok/pdtc10/index.php?action=vallex&amp;frame=v-w737f8", "dostávat se (v-w737f8)")</f>
        <v>dostávat se (v-w737f8)</v>
      </c>
    </row>
    <row r="5445" spans="1:4" x14ac:dyDescent="0.2">
      <c r="B5445" t="s">
        <v>1</v>
      </c>
      <c r="C5445" t="s">
        <v>147</v>
      </c>
      <c r="D5445" t="s">
        <v>23198</v>
      </c>
    </row>
    <row r="5446" spans="1:4" x14ac:dyDescent="0.2">
      <c r="B5446" t="s">
        <v>176</v>
      </c>
      <c r="C5446" t="s">
        <v>299</v>
      </c>
      <c r="D5446" t="s">
        <v>23199</v>
      </c>
    </row>
    <row r="5448" spans="1:4" x14ac:dyDescent="0.2">
      <c r="A5448" t="s">
        <v>2088</v>
      </c>
      <c r="B5448" t="str">
        <f>HYPERLINK("https://lindat.mff.cuni.cz/services/teitok/pdtc10/index.php?action=vallex&amp;frame=v-w737f10", "dostávat se (v-w737f10)")</f>
        <v>dostávat se (v-w737f10)</v>
      </c>
    </row>
    <row r="5449" spans="1:4" x14ac:dyDescent="0.2">
      <c r="B5449" t="s">
        <v>1</v>
      </c>
      <c r="D5449" t="s">
        <v>23062</v>
      </c>
    </row>
    <row r="5450" spans="1:4" x14ac:dyDescent="0.2">
      <c r="B5450" t="s">
        <v>168</v>
      </c>
    </row>
    <row r="5451" spans="1:4" x14ac:dyDescent="0.2">
      <c r="B5451" t="s">
        <v>346</v>
      </c>
    </row>
    <row r="5452" spans="1:4" x14ac:dyDescent="0.2">
      <c r="B5452" t="s">
        <v>349</v>
      </c>
    </row>
    <row r="5453" spans="1:4" x14ac:dyDescent="0.2">
      <c r="B5453" t="s">
        <v>2009</v>
      </c>
    </row>
    <row r="5455" spans="1:4" x14ac:dyDescent="0.2">
      <c r="A5455" t="s">
        <v>2089</v>
      </c>
      <c r="B5455" t="str">
        <f>HYPERLINK("https://lindat.mff.cuni.cz/services/teitok/pdtc10/index.php?action=vallex&amp;frame=v-w737f9", "dostávat se (v-w737f9)")</f>
        <v>dostávat se (v-w737f9)</v>
      </c>
    </row>
    <row r="5456" spans="1:4" x14ac:dyDescent="0.2">
      <c r="B5456" t="s">
        <v>1</v>
      </c>
      <c r="D5456" t="s">
        <v>23204</v>
      </c>
    </row>
    <row r="5457" spans="1:4" x14ac:dyDescent="0.2">
      <c r="B5457" t="s">
        <v>333</v>
      </c>
      <c r="D5457" t="s">
        <v>23205</v>
      </c>
    </row>
    <row r="5459" spans="1:4" x14ac:dyDescent="0.2">
      <c r="A5459" t="s">
        <v>2089</v>
      </c>
      <c r="B5459" t="str">
        <f>HYPERLINK("https://lindat.mff.cuni.cz/services/teitok/pdtc10/index.php?action=vallex&amp;frame=v-w737f4", "dostávat se (v-w737f4) - substituted with v-w737f9")</f>
        <v>dostávat se (v-w737f4) - substituted with v-w737f9</v>
      </c>
    </row>
    <row r="5460" spans="1:4" x14ac:dyDescent="0.2">
      <c r="B5460" t="s">
        <v>1</v>
      </c>
    </row>
    <row r="5461" spans="1:4" x14ac:dyDescent="0.2">
      <c r="B5461" t="s">
        <v>333</v>
      </c>
    </row>
    <row r="5463" spans="1:4" x14ac:dyDescent="0.2">
      <c r="A5463" t="s">
        <v>2090</v>
      </c>
      <c r="B5463" t="str">
        <f>HYPERLINK("https://lindat.mff.cuni.cz/services/teitok/pdtc10/index.php?action=vallex&amp;frame=v-w737f3", "dostávat se (v-w737f3)")</f>
        <v>dostávat se (v-w737f3)</v>
      </c>
    </row>
    <row r="5464" spans="1:4" x14ac:dyDescent="0.2">
      <c r="B5464" t="s">
        <v>1</v>
      </c>
      <c r="C5464" t="s">
        <v>2091</v>
      </c>
      <c r="D5464" t="s">
        <v>201</v>
      </c>
    </row>
    <row r="5465" spans="1:4" x14ac:dyDescent="0.2">
      <c r="B5465" t="s">
        <v>205</v>
      </c>
      <c r="C5465" t="s">
        <v>2092</v>
      </c>
      <c r="D5465" t="s">
        <v>6117</v>
      </c>
    </row>
    <row r="5467" spans="1:4" x14ac:dyDescent="0.2">
      <c r="A5467" t="s">
        <v>2093</v>
      </c>
      <c r="B5467" t="str">
        <f>HYPERLINK("https://lindat.mff.cuni.cz/services/teitok/pdtc10/index.php?action=vallex&amp;frame=v-w737f1", "dostávat se (v-w737f1)")</f>
        <v>dostávat se (v-w737f1)</v>
      </c>
    </row>
    <row r="5468" spans="1:4" x14ac:dyDescent="0.2">
      <c r="B5468" t="s">
        <v>1</v>
      </c>
      <c r="C5468" t="s">
        <v>2094</v>
      </c>
      <c r="D5468" t="s">
        <v>23107</v>
      </c>
    </row>
    <row r="5469" spans="1:4" x14ac:dyDescent="0.2">
      <c r="B5469" t="s">
        <v>90</v>
      </c>
      <c r="C5469" t="s">
        <v>2095</v>
      </c>
      <c r="D5469" t="s">
        <v>23108</v>
      </c>
    </row>
    <row r="5471" spans="1:4" x14ac:dyDescent="0.2">
      <c r="A5471" t="s">
        <v>2096</v>
      </c>
      <c r="B5471" t="str">
        <f>HYPERLINK("https://lindat.mff.cuni.cz/services/teitok/pdtc10/index.php?action=vallex&amp;frame=v-w737f11_ZU", "dostávat se (v-w737f11_ZU)")</f>
        <v>dostávat se (v-w737f11_ZU)</v>
      </c>
    </row>
    <row r="5472" spans="1:4" x14ac:dyDescent="0.2">
      <c r="B5472" t="s">
        <v>1</v>
      </c>
      <c r="C5472" t="s">
        <v>2097</v>
      </c>
    </row>
    <row r="5473" spans="1:2" x14ac:dyDescent="0.2">
      <c r="B5473" t="s">
        <v>2098</v>
      </c>
    </row>
    <row r="5474" spans="1:2" x14ac:dyDescent="0.2">
      <c r="B5474" t="s">
        <v>103</v>
      </c>
    </row>
    <row r="5476" spans="1:2" x14ac:dyDescent="0.2">
      <c r="A5476" t="s">
        <v>2099</v>
      </c>
      <c r="B5476" t="str">
        <f>HYPERLINK("https://lindat.mff.cuni.cz/services/teitok/pdtc10/index.php?action=vallex&amp;frame=v-w737f5", "dostávat se (v-w737f5)")</f>
        <v>dostávat se (v-w737f5)</v>
      </c>
    </row>
    <row r="5477" spans="1:2" x14ac:dyDescent="0.2">
      <c r="B5477" t="s">
        <v>1</v>
      </c>
    </row>
    <row r="5478" spans="1:2" x14ac:dyDescent="0.2">
      <c r="B5478" t="s">
        <v>2100</v>
      </c>
    </row>
    <row r="5480" spans="1:2" x14ac:dyDescent="0.2">
      <c r="A5480" t="s">
        <v>2101</v>
      </c>
      <c r="B5480" t="str">
        <f>HYPERLINK("https://lindat.mff.cuni.cz/services/teitok/pdtc10/index.php?action=vallex&amp;frame=v-w737f6", "dostávat se (v-w737f6)")</f>
        <v>dostávat se (v-w737f6)</v>
      </c>
    </row>
    <row r="5481" spans="1:2" x14ac:dyDescent="0.2">
      <c r="B5481" t="s">
        <v>1</v>
      </c>
    </row>
    <row r="5482" spans="1:2" x14ac:dyDescent="0.2">
      <c r="B5482" t="s">
        <v>2027</v>
      </c>
    </row>
    <row r="5484" spans="1:2" x14ac:dyDescent="0.2">
      <c r="A5484" t="s">
        <v>2102</v>
      </c>
      <c r="B5484" t="str">
        <f>HYPERLINK("https://lindat.mff.cuni.cz/services/teitok/pdtc10/index.php?action=vallex&amp;frame=v-w737f12_ZU", "dostávat se (v-w737f12_ZU)")</f>
        <v>dostávat se (v-w737f12_ZU)</v>
      </c>
    </row>
    <row r="5485" spans="1:2" x14ac:dyDescent="0.2">
      <c r="B5485" t="s">
        <v>1</v>
      </c>
    </row>
    <row r="5486" spans="1:2" x14ac:dyDescent="0.2">
      <c r="B5486" t="s">
        <v>2103</v>
      </c>
    </row>
    <row r="5488" spans="1:2" x14ac:dyDescent="0.2">
      <c r="A5488" t="s">
        <v>2104</v>
      </c>
      <c r="B5488" t="str">
        <f>HYPERLINK("https://lindat.mff.cuni.cz/services/teitok/pdtc10/index.php?action=vallex&amp;frame=v-w11920_ZUf1_ZU", "dostříknout (v-w11920_ZUf1_ZU)")</f>
        <v>dostříknout (v-w11920_ZUf1_ZU)</v>
      </c>
    </row>
    <row r="5489" spans="1:4" x14ac:dyDescent="0.2">
      <c r="B5489" t="s">
        <v>1</v>
      </c>
    </row>
    <row r="5490" spans="1:4" x14ac:dyDescent="0.2">
      <c r="B5490" t="s">
        <v>252</v>
      </c>
    </row>
    <row r="5492" spans="1:4" x14ac:dyDescent="0.2">
      <c r="A5492" t="s">
        <v>2105</v>
      </c>
      <c r="B5492" t="str">
        <f>HYPERLINK("https://lindat.mff.cuni.cz/services/teitok/pdtc10/index.php?action=vallex&amp;frame=v-w745f1", "dosvědčit (v-w745f1)")</f>
        <v>dosvědčit (v-w745f1)</v>
      </c>
    </row>
    <row r="5493" spans="1:4" x14ac:dyDescent="0.2">
      <c r="B5493" t="s">
        <v>1</v>
      </c>
      <c r="C5493" t="s">
        <v>2106</v>
      </c>
    </row>
    <row r="5494" spans="1:4" x14ac:dyDescent="0.2">
      <c r="B5494" t="s">
        <v>1227</v>
      </c>
      <c r="C5494" t="s">
        <v>335</v>
      </c>
    </row>
    <row r="5495" spans="1:4" x14ac:dyDescent="0.2">
      <c r="B5495" t="s">
        <v>35</v>
      </c>
    </row>
    <row r="5497" spans="1:4" x14ac:dyDescent="0.2">
      <c r="A5497" t="s">
        <v>2107</v>
      </c>
      <c r="B5497" t="str">
        <f>HYPERLINK("https://lindat.mff.cuni.cz/services/teitok/pdtc10/index.php?action=vallex&amp;frame=v-w746f1", "dosvědčovat (v-w746f1)")</f>
        <v>dosvědčovat (v-w746f1)</v>
      </c>
    </row>
    <row r="5498" spans="1:4" x14ac:dyDescent="0.2">
      <c r="B5498" t="s">
        <v>1</v>
      </c>
      <c r="C5498" t="s">
        <v>1709</v>
      </c>
    </row>
    <row r="5499" spans="1:4" x14ac:dyDescent="0.2">
      <c r="B5499" t="s">
        <v>1227</v>
      </c>
      <c r="C5499" t="s">
        <v>991</v>
      </c>
    </row>
    <row r="5500" spans="1:4" x14ac:dyDescent="0.2">
      <c r="B5500" t="s">
        <v>35</v>
      </c>
    </row>
    <row r="5502" spans="1:4" x14ac:dyDescent="0.2">
      <c r="A5502" t="s">
        <v>2108</v>
      </c>
      <c r="B5502" t="str">
        <f>HYPERLINK("https://lindat.mff.cuni.cz/services/teitok/pdtc10/index.php?action=vallex&amp;frame=v-w714f2", "dosáhnout (v-w714f2)")</f>
        <v>dosáhnout (v-w714f2)</v>
      </c>
    </row>
    <row r="5503" spans="1:4" x14ac:dyDescent="0.2">
      <c r="B5503" t="s">
        <v>1</v>
      </c>
      <c r="C5503" t="s">
        <v>2109</v>
      </c>
      <c r="D5503" t="s">
        <v>23209</v>
      </c>
    </row>
    <row r="5504" spans="1:4" x14ac:dyDescent="0.2">
      <c r="B5504" t="s">
        <v>1395</v>
      </c>
      <c r="C5504" t="s">
        <v>2110</v>
      </c>
      <c r="D5504" t="s">
        <v>23210</v>
      </c>
    </row>
    <row r="5505" spans="1:4" x14ac:dyDescent="0.2">
      <c r="B5505" t="s">
        <v>1396</v>
      </c>
      <c r="D5505" t="s">
        <v>23113</v>
      </c>
    </row>
    <row r="5507" spans="1:4" x14ac:dyDescent="0.2">
      <c r="A5507" t="s">
        <v>2111</v>
      </c>
      <c r="B5507" t="str">
        <f>HYPERLINK("https://lindat.mff.cuni.cz/services/teitok/pdtc10/index.php?action=vallex&amp;frame=v-w714f6_ZU", "dosáhnout (v-w714f6_ZU)")</f>
        <v>dosáhnout (v-w714f6_ZU)</v>
      </c>
    </row>
    <row r="5508" spans="1:4" x14ac:dyDescent="0.2">
      <c r="B5508" t="s">
        <v>1</v>
      </c>
      <c r="C5508" t="s">
        <v>1077</v>
      </c>
      <c r="D5508" t="s">
        <v>23211</v>
      </c>
    </row>
    <row r="5509" spans="1:4" x14ac:dyDescent="0.2">
      <c r="B5509" t="s">
        <v>2112</v>
      </c>
      <c r="C5509" t="s">
        <v>2113</v>
      </c>
      <c r="D5509" t="s">
        <v>23212</v>
      </c>
    </row>
    <row r="5510" spans="1:4" x14ac:dyDescent="0.2">
      <c r="B5510" t="s">
        <v>24</v>
      </c>
    </row>
    <row r="5512" spans="1:4" x14ac:dyDescent="0.2">
      <c r="A5512" t="s">
        <v>2111</v>
      </c>
      <c r="B5512" t="str">
        <f>HYPERLINK("https://lindat.mff.cuni.cz/services/teitok/pdtc10/index.php?action=vallex&amp;frame=v-w714f1", "dosáhnout (v-w714f1) - substituted with v-w714f6_ZU")</f>
        <v>dosáhnout (v-w714f1) - substituted with v-w714f6_ZU</v>
      </c>
    </row>
    <row r="5513" spans="1:4" x14ac:dyDescent="0.2">
      <c r="B5513" t="s">
        <v>1</v>
      </c>
      <c r="C5513" t="s">
        <v>2114</v>
      </c>
    </row>
    <row r="5514" spans="1:4" x14ac:dyDescent="0.2">
      <c r="B5514" t="s">
        <v>2112</v>
      </c>
      <c r="C5514" t="s">
        <v>2115</v>
      </c>
    </row>
    <row r="5515" spans="1:4" x14ac:dyDescent="0.2">
      <c r="B5515" t="s">
        <v>24</v>
      </c>
    </row>
    <row r="5517" spans="1:4" x14ac:dyDescent="0.2">
      <c r="A5517" t="s">
        <v>2111</v>
      </c>
      <c r="B5517" t="str">
        <f>HYPERLINK("https://lindat.mff.cuni.cz/services/teitok/pdtc10/index.php?action=vallex&amp;frame=v-w714f5_ZU", "dosáhnout (v-w714f5_ZU) - substituted with v-w714f6_ZU")</f>
        <v>dosáhnout (v-w714f5_ZU) - substituted with v-w714f6_ZU</v>
      </c>
    </row>
    <row r="5518" spans="1:4" x14ac:dyDescent="0.2">
      <c r="B5518" t="s">
        <v>1</v>
      </c>
    </row>
    <row r="5519" spans="1:4" x14ac:dyDescent="0.2">
      <c r="B5519" t="s">
        <v>2112</v>
      </c>
    </row>
    <row r="5520" spans="1:4" x14ac:dyDescent="0.2">
      <c r="B5520" t="s">
        <v>24</v>
      </c>
    </row>
    <row r="5522" spans="1:4" x14ac:dyDescent="0.2">
      <c r="A5522" t="s">
        <v>2116</v>
      </c>
      <c r="B5522" t="str">
        <f>HYPERLINK("https://lindat.mff.cuni.cz/services/teitok/pdtc10/index.php?action=vallex&amp;frame=v-w714f4", "dosáhnout (v-w714f4)")</f>
        <v>dosáhnout (v-w714f4)</v>
      </c>
    </row>
    <row r="5523" spans="1:4" x14ac:dyDescent="0.2">
      <c r="B5523" t="s">
        <v>1</v>
      </c>
    </row>
    <row r="5524" spans="1:4" x14ac:dyDescent="0.2">
      <c r="B5524" t="s">
        <v>90</v>
      </c>
    </row>
    <row r="5526" spans="1:4" x14ac:dyDescent="0.2">
      <c r="A5526" t="s">
        <v>2117</v>
      </c>
      <c r="B5526" t="str">
        <f>HYPERLINK("https://lindat.mff.cuni.cz/services/teitok/pdtc10/index.php?action=vallex&amp;frame=v-w714f3", "dosáhnout (v-w714f3)")</f>
        <v>dosáhnout (v-w714f3)</v>
      </c>
    </row>
    <row r="5527" spans="1:4" x14ac:dyDescent="0.2">
      <c r="B5527" t="s">
        <v>1</v>
      </c>
      <c r="C5527" t="s">
        <v>2118</v>
      </c>
      <c r="D5527" t="s">
        <v>23109</v>
      </c>
    </row>
    <row r="5528" spans="1:4" x14ac:dyDescent="0.2">
      <c r="B5528" t="s">
        <v>1448</v>
      </c>
      <c r="C5528" t="s">
        <v>2119</v>
      </c>
      <c r="D5528" t="s">
        <v>23114</v>
      </c>
    </row>
    <row r="5530" spans="1:4" x14ac:dyDescent="0.2">
      <c r="A5530" t="s">
        <v>2120</v>
      </c>
      <c r="B5530" t="str">
        <f>HYPERLINK("https://lindat.mff.cuni.cz/services/teitok/pdtc10/index.php?action=vallex&amp;frame=v-w714hsa_141", "dosáhnout (v-w714hsa_141)")</f>
        <v>dosáhnout (v-w714hsa_141)</v>
      </c>
    </row>
    <row r="5531" spans="1:4" x14ac:dyDescent="0.2">
      <c r="B5531" t="s">
        <v>1</v>
      </c>
      <c r="C5531" t="s">
        <v>1162</v>
      </c>
    </row>
    <row r="5532" spans="1:4" x14ac:dyDescent="0.2">
      <c r="B5532" t="s">
        <v>28</v>
      </c>
      <c r="C5532" t="s">
        <v>2121</v>
      </c>
    </row>
    <row r="5534" spans="1:4" x14ac:dyDescent="0.2">
      <c r="A5534" t="s">
        <v>2122</v>
      </c>
      <c r="B5534" t="str">
        <f>HYPERLINK("https://lindat.mff.cuni.cz/services/teitok/pdtc10/index.php?action=vallex&amp;frame=v-w714hsa_102", "dosáhnout (v-w714hsa_102)")</f>
        <v>dosáhnout (v-w714hsa_102)</v>
      </c>
    </row>
    <row r="5535" spans="1:4" x14ac:dyDescent="0.2">
      <c r="B5535" t="s">
        <v>1</v>
      </c>
    </row>
    <row r="5536" spans="1:4" x14ac:dyDescent="0.2">
      <c r="B5536" t="s">
        <v>917</v>
      </c>
    </row>
    <row r="5538" spans="1:4" x14ac:dyDescent="0.2">
      <c r="A5538" t="s">
        <v>2123</v>
      </c>
      <c r="B5538" t="str">
        <f>HYPERLINK("https://lindat.mff.cuni.cz/services/teitok/pdtc10/index.php?action=vallex&amp;frame=v-w10458f2", "dotahovat (v-w10458f2)")</f>
        <v>dotahovat (v-w10458f2)</v>
      </c>
    </row>
    <row r="5539" spans="1:4" x14ac:dyDescent="0.2">
      <c r="B5539" t="s">
        <v>1</v>
      </c>
    </row>
    <row r="5540" spans="1:4" x14ac:dyDescent="0.2">
      <c r="B5540" t="s">
        <v>8</v>
      </c>
    </row>
    <row r="5542" spans="1:4" x14ac:dyDescent="0.2">
      <c r="A5542" t="s">
        <v>2124</v>
      </c>
      <c r="B5542" t="str">
        <f>HYPERLINK("https://lindat.mff.cuni.cz/services/teitok/pdtc10/index.php?action=vallex&amp;frame=v-w10458hsa_1169", "dotahovat (v-w10458hsa_1169)")</f>
        <v>dotahovat (v-w10458hsa_1169)</v>
      </c>
    </row>
    <row r="5543" spans="1:4" x14ac:dyDescent="0.2">
      <c r="B5543" t="s">
        <v>1</v>
      </c>
      <c r="C5543" t="s">
        <v>2125</v>
      </c>
    </row>
    <row r="5544" spans="1:4" x14ac:dyDescent="0.2">
      <c r="B5544" t="s">
        <v>8</v>
      </c>
    </row>
    <row r="5545" spans="1:4" x14ac:dyDescent="0.2">
      <c r="B5545" t="s">
        <v>24</v>
      </c>
    </row>
    <row r="5546" spans="1:4" x14ac:dyDescent="0.2">
      <c r="B5546" t="s">
        <v>61</v>
      </c>
      <c r="C5546" t="s">
        <v>2126</v>
      </c>
    </row>
    <row r="5548" spans="1:4" x14ac:dyDescent="0.2">
      <c r="A5548" t="s">
        <v>2127</v>
      </c>
      <c r="B5548" t="str">
        <f>HYPERLINK("https://lindat.mff.cuni.cz/services/teitok/pdtc10/index.php?action=vallex&amp;frame=v-w755f1", "dotazovat se (v-w755f1)")</f>
        <v>dotazovat se (v-w755f1)</v>
      </c>
    </row>
    <row r="5549" spans="1:4" x14ac:dyDescent="0.2">
      <c r="B5549" t="s">
        <v>1</v>
      </c>
      <c r="C5549" t="s">
        <v>2128</v>
      </c>
      <c r="D5549" t="s">
        <v>23213</v>
      </c>
    </row>
    <row r="5550" spans="1:4" x14ac:dyDescent="0.2">
      <c r="B5550" t="s">
        <v>2129</v>
      </c>
      <c r="C5550" t="s">
        <v>2130</v>
      </c>
      <c r="D5550" t="s">
        <v>23214</v>
      </c>
    </row>
    <row r="5551" spans="1:4" x14ac:dyDescent="0.2">
      <c r="B5551" t="s">
        <v>2131</v>
      </c>
      <c r="C5551" t="s">
        <v>2132</v>
      </c>
      <c r="D5551" t="s">
        <v>23215</v>
      </c>
    </row>
    <row r="5553" spans="1:4" x14ac:dyDescent="0.2">
      <c r="A5553" t="s">
        <v>2133</v>
      </c>
      <c r="B5553" t="str">
        <f>HYPERLINK("https://lindat.mff.cuni.cz/services/teitok/pdtc10/index.php?action=vallex&amp;frame=v-w760f1", "dotisknout (v-w760f1)")</f>
        <v>dotisknout (v-w760f1)</v>
      </c>
    </row>
    <row r="5554" spans="1:4" x14ac:dyDescent="0.2">
      <c r="B5554" t="s">
        <v>1</v>
      </c>
    </row>
    <row r="5555" spans="1:4" x14ac:dyDescent="0.2">
      <c r="B5555" t="s">
        <v>8</v>
      </c>
    </row>
    <row r="5557" spans="1:4" x14ac:dyDescent="0.2">
      <c r="A5557" t="s">
        <v>2134</v>
      </c>
      <c r="B5557" t="str">
        <f>HYPERLINK("https://lindat.mff.cuni.cz/services/teitok/pdtc10/index.php?action=vallex&amp;frame=v-w761f3", "dotknout se (v-w761f3)")</f>
        <v>dotknout se (v-w761f3)</v>
      </c>
    </row>
    <row r="5558" spans="1:4" x14ac:dyDescent="0.2">
      <c r="B5558" t="s">
        <v>2135</v>
      </c>
    </row>
    <row r="5559" spans="1:4" x14ac:dyDescent="0.2">
      <c r="B5559" t="s">
        <v>243</v>
      </c>
    </row>
    <row r="5560" spans="1:4" x14ac:dyDescent="0.2">
      <c r="B5560" t="s">
        <v>2136</v>
      </c>
    </row>
    <row r="5562" spans="1:4" x14ac:dyDescent="0.2">
      <c r="A5562" t="s">
        <v>2137</v>
      </c>
      <c r="B5562" t="str">
        <f>HYPERLINK("https://lindat.mff.cuni.cz/services/teitok/pdtc10/index.php?action=vallex&amp;frame=v-w761f1", "dotknout se (v-w761f1)")</f>
        <v>dotknout se (v-w761f1)</v>
      </c>
    </row>
    <row r="5563" spans="1:4" x14ac:dyDescent="0.2">
      <c r="B5563" t="s">
        <v>1</v>
      </c>
      <c r="C5563" t="s">
        <v>2138</v>
      </c>
      <c r="D5563" t="s">
        <v>430</v>
      </c>
    </row>
    <row r="5564" spans="1:4" x14ac:dyDescent="0.2">
      <c r="B5564" t="s">
        <v>917</v>
      </c>
      <c r="C5564" t="s">
        <v>2139</v>
      </c>
      <c r="D5564" t="s">
        <v>335</v>
      </c>
    </row>
    <row r="5566" spans="1:4" x14ac:dyDescent="0.2">
      <c r="A5566" t="s">
        <v>2140</v>
      </c>
      <c r="B5566" t="str">
        <f>HYPERLINK("https://lindat.mff.cuni.cz/services/teitok/pdtc10/index.php?action=vallex&amp;frame=v-w761f7_ZU", "dotknout se (v-w761f7_ZU)")</f>
        <v>dotknout se (v-w761f7_ZU)</v>
      </c>
    </row>
    <row r="5567" spans="1:4" x14ac:dyDescent="0.2">
      <c r="B5567" t="s">
        <v>488</v>
      </c>
    </row>
    <row r="5568" spans="1:4" x14ac:dyDescent="0.2">
      <c r="B5568" t="s">
        <v>917</v>
      </c>
    </row>
    <row r="5570" spans="1:4" x14ac:dyDescent="0.2">
      <c r="A5570" t="s">
        <v>2140</v>
      </c>
      <c r="B5570" t="str">
        <f>HYPERLINK("https://lindat.mff.cuni.cz/services/teitok/pdtc10/index.php?action=vallex&amp;frame=v-w761f2", "dotknout se (v-w761f2) - substituted with v-w761f7_ZU")</f>
        <v>dotknout se (v-w761f2) - substituted with v-w761f7_ZU</v>
      </c>
    </row>
    <row r="5571" spans="1:4" x14ac:dyDescent="0.2">
      <c r="B5571" t="s">
        <v>488</v>
      </c>
      <c r="C5571" t="s">
        <v>1720</v>
      </c>
      <c r="D5571" t="s">
        <v>23156</v>
      </c>
    </row>
    <row r="5572" spans="1:4" x14ac:dyDescent="0.2">
      <c r="B5572" t="s">
        <v>917</v>
      </c>
      <c r="C5572" t="s">
        <v>1721</v>
      </c>
      <c r="D5572" t="s">
        <v>23157</v>
      </c>
    </row>
    <row r="5574" spans="1:4" x14ac:dyDescent="0.2">
      <c r="A5574" t="s">
        <v>2141</v>
      </c>
      <c r="B5574" t="str">
        <f>HYPERLINK("https://lindat.mff.cuni.cz/services/teitok/pdtc10/index.php?action=vallex&amp;frame=v-w761f4", "dotknout se (v-w761f4)")</f>
        <v>dotknout se (v-w761f4)</v>
      </c>
    </row>
    <row r="5575" spans="1:4" x14ac:dyDescent="0.2">
      <c r="B5575" t="s">
        <v>1</v>
      </c>
    </row>
    <row r="5576" spans="1:4" x14ac:dyDescent="0.2">
      <c r="B5576" t="s">
        <v>917</v>
      </c>
    </row>
    <row r="5578" spans="1:4" x14ac:dyDescent="0.2">
      <c r="A5578" t="s">
        <v>2142</v>
      </c>
      <c r="B5578" t="str">
        <f>HYPERLINK("https://lindat.mff.cuni.cz/services/teitok/pdtc10/index.php?action=vallex&amp;frame=v-w761f6_ZU", "dotknout se (v-w761f6_ZU)")</f>
        <v>dotknout se (v-w761f6_ZU)</v>
      </c>
    </row>
    <row r="5579" spans="1:4" x14ac:dyDescent="0.2">
      <c r="B5579" t="s">
        <v>1</v>
      </c>
      <c r="C5579" t="s">
        <v>2143</v>
      </c>
      <c r="D5579" t="s">
        <v>23216</v>
      </c>
    </row>
    <row r="5580" spans="1:4" x14ac:dyDescent="0.2">
      <c r="B5580" t="s">
        <v>917</v>
      </c>
      <c r="C5580" t="s">
        <v>2144</v>
      </c>
      <c r="D5580" t="s">
        <v>23217</v>
      </c>
    </row>
    <row r="5582" spans="1:4" x14ac:dyDescent="0.2">
      <c r="A5582" t="s">
        <v>2142</v>
      </c>
      <c r="B5582" t="str">
        <f>HYPERLINK("https://lindat.mff.cuni.cz/services/teitok/pdtc10/index.php?action=vallex&amp;frame=v-w761f5_ZU", "dotknout se (v-w761f5_ZU) - substituted with v-w761f6_ZU")</f>
        <v>dotknout se (v-w761f5_ZU) - substituted with v-w761f6_ZU</v>
      </c>
    </row>
    <row r="5583" spans="1:4" x14ac:dyDescent="0.2">
      <c r="B5583" t="s">
        <v>1</v>
      </c>
      <c r="C5583" t="s">
        <v>2145</v>
      </c>
    </row>
    <row r="5584" spans="1:4" x14ac:dyDescent="0.2">
      <c r="B5584" t="s">
        <v>917</v>
      </c>
      <c r="C5584" t="s">
        <v>2146</v>
      </c>
    </row>
    <row r="5586" spans="1:4" x14ac:dyDescent="0.2">
      <c r="A5586" t="s">
        <v>2147</v>
      </c>
      <c r="B5586" t="str">
        <f>HYPERLINK("https://lindat.mff.cuni.cz/services/teitok/pdtc10/index.php?action=vallex&amp;frame=v-w10097f2", "dotlačit (v-w10097f2)")</f>
        <v>dotlačit (v-w10097f2)</v>
      </c>
    </row>
    <row r="5587" spans="1:4" x14ac:dyDescent="0.2">
      <c r="B5587" t="s">
        <v>1</v>
      </c>
      <c r="C5587" t="s">
        <v>2148</v>
      </c>
      <c r="D5587" t="s">
        <v>23152</v>
      </c>
    </row>
    <row r="5588" spans="1:4" x14ac:dyDescent="0.2">
      <c r="B5588" t="s">
        <v>2149</v>
      </c>
      <c r="C5588" t="s">
        <v>2150</v>
      </c>
      <c r="D5588" t="s">
        <v>23153</v>
      </c>
    </row>
    <row r="5589" spans="1:4" x14ac:dyDescent="0.2">
      <c r="B5589" t="s">
        <v>58</v>
      </c>
      <c r="C5589" t="s">
        <v>2151</v>
      </c>
      <c r="D5589" t="s">
        <v>23154</v>
      </c>
    </row>
    <row r="5591" spans="1:4" x14ac:dyDescent="0.2">
      <c r="A5591" t="s">
        <v>2152</v>
      </c>
      <c r="B5591" t="str">
        <f>HYPERLINK("https://lindat.mff.cuni.cz/services/teitok/pdtc10/index.php?action=vallex&amp;frame=v-w764f1", "dotovat (v-w764f1)")</f>
        <v>dotovat (v-w764f1)</v>
      </c>
    </row>
    <row r="5592" spans="1:4" x14ac:dyDescent="0.2">
      <c r="B5592" t="s">
        <v>1</v>
      </c>
      <c r="C5592" t="s">
        <v>2153</v>
      </c>
      <c r="D5592" t="s">
        <v>23218</v>
      </c>
    </row>
    <row r="5593" spans="1:4" x14ac:dyDescent="0.2">
      <c r="B5593" t="s">
        <v>8</v>
      </c>
      <c r="C5593" t="s">
        <v>2154</v>
      </c>
      <c r="D5593" t="s">
        <v>17729</v>
      </c>
    </row>
    <row r="5595" spans="1:4" x14ac:dyDescent="0.2">
      <c r="A5595" t="s">
        <v>2155</v>
      </c>
      <c r="B5595" t="str">
        <f>HYPERLINK("https://lindat.mff.cuni.cz/services/teitok/pdtc10/index.php?action=vallex&amp;frame=v-w768f1", "dotvořit (v-w768f1)")</f>
        <v>dotvořit (v-w768f1)</v>
      </c>
    </row>
    <row r="5596" spans="1:4" x14ac:dyDescent="0.2">
      <c r="B5596" t="s">
        <v>1</v>
      </c>
      <c r="D5596" t="s">
        <v>23137</v>
      </c>
    </row>
    <row r="5597" spans="1:4" x14ac:dyDescent="0.2">
      <c r="B5597" t="s">
        <v>8</v>
      </c>
      <c r="D5597" t="s">
        <v>23138</v>
      </c>
    </row>
    <row r="5598" spans="1:4" x14ac:dyDescent="0.2">
      <c r="B5598" t="s">
        <v>24</v>
      </c>
      <c r="D5598" t="s">
        <v>23139</v>
      </c>
    </row>
    <row r="5599" spans="1:4" x14ac:dyDescent="0.2">
      <c r="B5599" t="s">
        <v>2156</v>
      </c>
      <c r="D5599" t="s">
        <v>268</v>
      </c>
    </row>
    <row r="5601" spans="1:2" x14ac:dyDescent="0.2">
      <c r="A5601" t="s">
        <v>2157</v>
      </c>
      <c r="B5601" t="str">
        <f>HYPERLINK("https://lindat.mff.cuni.cz/services/teitok/pdtc10/index.php?action=vallex&amp;frame=v-w769f1", "dotvrzovat (v-w769f1)")</f>
        <v>dotvrzovat (v-w769f1)</v>
      </c>
    </row>
    <row r="5602" spans="1:2" x14ac:dyDescent="0.2">
      <c r="B5602" t="s">
        <v>1</v>
      </c>
    </row>
    <row r="5603" spans="1:2" x14ac:dyDescent="0.2">
      <c r="B5603" t="s">
        <v>2158</v>
      </c>
    </row>
    <row r="5604" spans="1:2" x14ac:dyDescent="0.2">
      <c r="B5604" t="s">
        <v>78</v>
      </c>
    </row>
    <row r="5606" spans="1:2" x14ac:dyDescent="0.2">
      <c r="A5606" t="s">
        <v>2159</v>
      </c>
      <c r="B5606" t="str">
        <f>HYPERLINK("https://lindat.mff.cuni.cz/services/teitok/pdtc10/index.php?action=vallex&amp;frame=v-w767f1", "dotvářet (v-w767f1)")</f>
        <v>dotvářet (v-w767f1)</v>
      </c>
    </row>
    <row r="5607" spans="1:2" x14ac:dyDescent="0.2">
      <c r="B5607" t="s">
        <v>1</v>
      </c>
    </row>
    <row r="5608" spans="1:2" x14ac:dyDescent="0.2">
      <c r="B5608" t="s">
        <v>8</v>
      </c>
    </row>
    <row r="5609" spans="1:2" x14ac:dyDescent="0.2">
      <c r="B5609" t="s">
        <v>24</v>
      </c>
    </row>
    <row r="5610" spans="1:2" x14ac:dyDescent="0.2">
      <c r="B5610" t="s">
        <v>2156</v>
      </c>
    </row>
    <row r="5612" spans="1:2" x14ac:dyDescent="0.2">
      <c r="A5612" t="s">
        <v>2160</v>
      </c>
      <c r="B5612" t="str">
        <f>HYPERLINK("https://lindat.mff.cuni.cz/services/teitok/pdtc10/index.php?action=vallex&amp;frame=v-w750f4_ZU", "dotáhnout (v-w750f4_ZU)")</f>
        <v>dotáhnout (v-w750f4_ZU)</v>
      </c>
    </row>
    <row r="5613" spans="1:2" x14ac:dyDescent="0.2">
      <c r="B5613" t="s">
        <v>1</v>
      </c>
    </row>
    <row r="5614" spans="1:2" x14ac:dyDescent="0.2">
      <c r="B5614" t="s">
        <v>8</v>
      </c>
    </row>
    <row r="5615" spans="1:2" x14ac:dyDescent="0.2">
      <c r="B5615" t="s">
        <v>205</v>
      </c>
    </row>
    <row r="5617" spans="1:2" x14ac:dyDescent="0.2">
      <c r="A5617" t="s">
        <v>2160</v>
      </c>
      <c r="B5617" t="str">
        <f>HYPERLINK("https://lindat.mff.cuni.cz/services/teitok/pdtc10/index.php?action=vallex&amp;frame=v-w750f2", "dotáhnout (v-w750f2) - substituted with v-w750f4_ZU")</f>
        <v>dotáhnout (v-w750f2) - substituted with v-w750f4_ZU</v>
      </c>
    </row>
    <row r="5618" spans="1:2" x14ac:dyDescent="0.2">
      <c r="B5618" t="s">
        <v>1</v>
      </c>
    </row>
    <row r="5619" spans="1:2" x14ac:dyDescent="0.2">
      <c r="B5619" t="s">
        <v>8</v>
      </c>
    </row>
    <row r="5620" spans="1:2" x14ac:dyDescent="0.2">
      <c r="B5620" t="s">
        <v>205</v>
      </c>
    </row>
    <row r="5622" spans="1:2" x14ac:dyDescent="0.2">
      <c r="A5622" t="s">
        <v>2161</v>
      </c>
      <c r="B5622" t="str">
        <f>HYPERLINK("https://lindat.mff.cuni.cz/services/teitok/pdtc10/index.php?action=vallex&amp;frame=v-w750f1", "dotáhnout (v-w750f1)")</f>
        <v>dotáhnout (v-w750f1)</v>
      </c>
    </row>
    <row r="5623" spans="1:2" x14ac:dyDescent="0.2">
      <c r="B5623" t="s">
        <v>1</v>
      </c>
    </row>
    <row r="5624" spans="1:2" x14ac:dyDescent="0.2">
      <c r="B5624" t="s">
        <v>8</v>
      </c>
    </row>
    <row r="5625" spans="1:2" x14ac:dyDescent="0.2">
      <c r="B5625" t="s">
        <v>90</v>
      </c>
    </row>
    <row r="5627" spans="1:2" x14ac:dyDescent="0.2">
      <c r="A5627" t="s">
        <v>2162</v>
      </c>
      <c r="B5627" t="str">
        <f>HYPERLINK("https://lindat.mff.cuni.cz/services/teitok/pdtc10/index.php?action=vallex&amp;frame=v-w750f3_ZU", "dotáhnout (v-w750f3_ZU)")</f>
        <v>dotáhnout (v-w750f3_ZU)</v>
      </c>
    </row>
    <row r="5628" spans="1:2" x14ac:dyDescent="0.2">
      <c r="B5628" t="s">
        <v>1</v>
      </c>
    </row>
    <row r="5629" spans="1:2" x14ac:dyDescent="0.2">
      <c r="B5629" t="s">
        <v>252</v>
      </c>
    </row>
    <row r="5631" spans="1:2" x14ac:dyDescent="0.2">
      <c r="A5631" t="s">
        <v>2163</v>
      </c>
      <c r="B5631" t="str">
        <f>HYPERLINK("https://lindat.mff.cuni.cz/services/teitok/pdtc10/index.php?action=vallex&amp;frame=v-w750hsa_311", "dotáhnout (v-w750hsa_311)")</f>
        <v>dotáhnout (v-w750hsa_311)</v>
      </c>
    </row>
    <row r="5632" spans="1:2" x14ac:dyDescent="0.2">
      <c r="B5632" t="s">
        <v>1</v>
      </c>
    </row>
    <row r="5633" spans="1:4" x14ac:dyDescent="0.2">
      <c r="B5633" t="s">
        <v>8</v>
      </c>
    </row>
    <row r="5634" spans="1:4" x14ac:dyDescent="0.2">
      <c r="B5634" t="s">
        <v>1462</v>
      </c>
    </row>
    <row r="5635" spans="1:4" x14ac:dyDescent="0.2">
      <c r="B5635" t="s">
        <v>24</v>
      </c>
    </row>
    <row r="5637" spans="1:4" x14ac:dyDescent="0.2">
      <c r="A5637" t="s">
        <v>2164</v>
      </c>
      <c r="B5637" t="str">
        <f>HYPERLINK("https://lindat.mff.cuni.cz/services/teitok/pdtc10/index.php?action=vallex&amp;frame=v-w751f1", "dotáhnout se (v-w751f1)")</f>
        <v>dotáhnout se (v-w751f1)</v>
      </c>
    </row>
    <row r="5638" spans="1:4" x14ac:dyDescent="0.2">
      <c r="B5638" t="s">
        <v>1</v>
      </c>
      <c r="C5638" t="s">
        <v>1106</v>
      </c>
    </row>
    <row r="5639" spans="1:4" x14ac:dyDescent="0.2">
      <c r="B5639" t="s">
        <v>90</v>
      </c>
      <c r="C5639" t="s">
        <v>2165</v>
      </c>
    </row>
    <row r="5641" spans="1:4" x14ac:dyDescent="0.2">
      <c r="A5641" t="s">
        <v>2166</v>
      </c>
      <c r="B5641" t="str">
        <f>HYPERLINK("https://lindat.mff.cuni.cz/services/teitok/pdtc10/index.php?action=vallex&amp;frame=v-w752f1", "dotápět (v-w752f1)")</f>
        <v>dotápět (v-w752f1)</v>
      </c>
    </row>
    <row r="5642" spans="1:4" x14ac:dyDescent="0.2">
      <c r="B5642" t="s">
        <v>1</v>
      </c>
    </row>
    <row r="5643" spans="1:4" x14ac:dyDescent="0.2">
      <c r="B5643" t="s">
        <v>8</v>
      </c>
    </row>
    <row r="5645" spans="1:4" x14ac:dyDescent="0.2">
      <c r="A5645" t="s">
        <v>2167</v>
      </c>
      <c r="B5645" t="str">
        <f>HYPERLINK("https://lindat.mff.cuni.cz/services/teitok/pdtc10/index.php?action=vallex&amp;frame=v-w754f1", "dotázat se (v-w754f1)")</f>
        <v>dotázat se (v-w754f1)</v>
      </c>
    </row>
    <row r="5646" spans="1:4" x14ac:dyDescent="0.2">
      <c r="B5646" t="s">
        <v>1</v>
      </c>
      <c r="C5646" t="s">
        <v>2168</v>
      </c>
      <c r="D5646" t="s">
        <v>23213</v>
      </c>
    </row>
    <row r="5647" spans="1:4" x14ac:dyDescent="0.2">
      <c r="B5647" t="s">
        <v>2129</v>
      </c>
      <c r="C5647" t="s">
        <v>2169</v>
      </c>
      <c r="D5647" t="s">
        <v>23214</v>
      </c>
    </row>
    <row r="5648" spans="1:4" x14ac:dyDescent="0.2">
      <c r="B5648" t="s">
        <v>2131</v>
      </c>
      <c r="C5648" t="s">
        <v>2170</v>
      </c>
      <c r="D5648" t="s">
        <v>23215</v>
      </c>
    </row>
    <row r="5650" spans="1:4" x14ac:dyDescent="0.2">
      <c r="A5650" t="s">
        <v>2171</v>
      </c>
      <c r="B5650" t="str">
        <f>HYPERLINK("https://lindat.mff.cuni.cz/services/teitok/pdtc10/index.php?action=vallex&amp;frame=v-whsa_44hsa_45", "dotéci (v-whsa_44hsa_45)")</f>
        <v>dotéci (v-whsa_44hsa_45)</v>
      </c>
    </row>
    <row r="5651" spans="1:4" x14ac:dyDescent="0.2">
      <c r="B5651" t="s">
        <v>1</v>
      </c>
      <c r="C5651" t="s">
        <v>2172</v>
      </c>
      <c r="D5651" t="s">
        <v>23219</v>
      </c>
    </row>
    <row r="5652" spans="1:4" x14ac:dyDescent="0.2">
      <c r="B5652" t="s">
        <v>90</v>
      </c>
      <c r="D5652" t="s">
        <v>23108</v>
      </c>
    </row>
    <row r="5654" spans="1:4" x14ac:dyDescent="0.2">
      <c r="A5654" t="s">
        <v>2173</v>
      </c>
      <c r="B5654" t="str">
        <f>HYPERLINK("https://lindat.mff.cuni.cz/services/teitok/pdtc10/index.php?action=vallex&amp;frame=v-w759f1", "dotírat (v-w759f1)")</f>
        <v>dotírat (v-w759f1)</v>
      </c>
    </row>
    <row r="5655" spans="1:4" x14ac:dyDescent="0.2">
      <c r="B5655" t="s">
        <v>1</v>
      </c>
    </row>
    <row r="5656" spans="1:4" x14ac:dyDescent="0.2">
      <c r="B5656" t="s">
        <v>28</v>
      </c>
    </row>
    <row r="5658" spans="1:4" x14ac:dyDescent="0.2">
      <c r="A5658" t="s">
        <v>2174</v>
      </c>
      <c r="B5658" t="str">
        <f>HYPERLINK("https://lindat.mff.cuni.cz/services/teitok/pdtc10/index.php?action=vallex&amp;frame=v-w772f1", "dotýkat se (v-w772f1)")</f>
        <v>dotýkat se (v-w772f1)</v>
      </c>
    </row>
    <row r="5659" spans="1:4" x14ac:dyDescent="0.2">
      <c r="B5659" t="s">
        <v>1</v>
      </c>
      <c r="C5659" t="s">
        <v>2175</v>
      </c>
      <c r="D5659" t="s">
        <v>23220</v>
      </c>
    </row>
    <row r="5660" spans="1:4" x14ac:dyDescent="0.2">
      <c r="B5660" t="s">
        <v>917</v>
      </c>
      <c r="C5660" t="s">
        <v>2176</v>
      </c>
      <c r="D5660" t="s">
        <v>23221</v>
      </c>
    </row>
    <row r="5662" spans="1:4" x14ac:dyDescent="0.2">
      <c r="A5662" t="s">
        <v>2177</v>
      </c>
      <c r="B5662" t="str">
        <f>HYPERLINK("https://lindat.mff.cuni.cz/services/teitok/pdtc10/index.php?action=vallex&amp;frame=v-w772f3", "dotýkat se (v-w772f3)")</f>
        <v>dotýkat se (v-w772f3)</v>
      </c>
    </row>
    <row r="5663" spans="1:4" x14ac:dyDescent="0.2">
      <c r="B5663" t="s">
        <v>1</v>
      </c>
      <c r="D5663" t="s">
        <v>430</v>
      </c>
    </row>
    <row r="5664" spans="1:4" x14ac:dyDescent="0.2">
      <c r="B5664" t="s">
        <v>917</v>
      </c>
      <c r="D5664" t="s">
        <v>335</v>
      </c>
    </row>
    <row r="5666" spans="1:4" x14ac:dyDescent="0.2">
      <c r="A5666" t="s">
        <v>2178</v>
      </c>
      <c r="B5666" t="str">
        <f>HYPERLINK("https://lindat.mff.cuni.cz/services/teitok/pdtc10/index.php?action=vallex&amp;frame=v-w772f2", "dotýkat se (v-w772f2)")</f>
        <v>dotýkat se (v-w772f2)</v>
      </c>
    </row>
    <row r="5667" spans="1:4" x14ac:dyDescent="0.2">
      <c r="B5667" t="s">
        <v>1</v>
      </c>
    </row>
    <row r="5668" spans="1:4" x14ac:dyDescent="0.2">
      <c r="B5668" t="s">
        <v>917</v>
      </c>
    </row>
    <row r="5670" spans="1:4" x14ac:dyDescent="0.2">
      <c r="A5670" t="s">
        <v>2179</v>
      </c>
      <c r="B5670" t="str">
        <f>HYPERLINK("https://lindat.mff.cuni.cz/services/teitok/pdtc10/index.php?action=vallex&amp;frame=v-w774f4_MM", "doufat (v-w774f4_MM)")</f>
        <v>doufat (v-w774f4_MM)</v>
      </c>
    </row>
    <row r="5671" spans="1:4" x14ac:dyDescent="0.2">
      <c r="B5671" t="s">
        <v>1</v>
      </c>
    </row>
    <row r="5672" spans="1:4" x14ac:dyDescent="0.2">
      <c r="B5672" t="s">
        <v>2180</v>
      </c>
    </row>
    <row r="5674" spans="1:4" x14ac:dyDescent="0.2">
      <c r="A5674" t="s">
        <v>2179</v>
      </c>
      <c r="B5674" t="str">
        <f>HYPERLINK("https://lindat.mff.cuni.cz/services/teitok/pdtc10/index.php?action=vallex&amp;frame=v-w774f1", "doufat (v-w774f1) - substituted with v-w774f4_MM")</f>
        <v>doufat (v-w774f1) - substituted with v-w774f4_MM</v>
      </c>
    </row>
    <row r="5675" spans="1:4" x14ac:dyDescent="0.2">
      <c r="B5675" t="s">
        <v>1</v>
      </c>
      <c r="C5675" t="s">
        <v>2181</v>
      </c>
    </row>
    <row r="5676" spans="1:4" x14ac:dyDescent="0.2">
      <c r="B5676" t="s">
        <v>2180</v>
      </c>
      <c r="C5676" t="s">
        <v>2182</v>
      </c>
    </row>
    <row r="5678" spans="1:4" x14ac:dyDescent="0.2">
      <c r="A5678" t="s">
        <v>2179</v>
      </c>
      <c r="B5678" t="str">
        <f>HYPERLINK("https://lindat.mff.cuni.cz/services/teitok/pdtc10/index.php?action=vallex&amp;frame=v-w774f3_ZU", "doufat (v-w774f3_ZU) - substituted with v-w774f4_MM")</f>
        <v>doufat (v-w774f3_ZU) - substituted with v-w774f4_MM</v>
      </c>
    </row>
    <row r="5679" spans="1:4" x14ac:dyDescent="0.2">
      <c r="B5679" t="s">
        <v>1</v>
      </c>
      <c r="D5679" t="s">
        <v>23222</v>
      </c>
    </row>
    <row r="5680" spans="1:4" x14ac:dyDescent="0.2">
      <c r="B5680" t="s">
        <v>2180</v>
      </c>
      <c r="C5680" t="s">
        <v>2183</v>
      </c>
      <c r="D5680" t="s">
        <v>23223</v>
      </c>
    </row>
    <row r="5682" spans="1:4" x14ac:dyDescent="0.2">
      <c r="A5682" t="s">
        <v>2184</v>
      </c>
      <c r="B5682" t="str">
        <f>HYPERLINK("https://lindat.mff.cuni.cz/services/teitok/pdtc10/index.php?action=vallex&amp;frame=v-w774f2_ZU", "doufat (v-w774f2_ZU)")</f>
        <v>doufat (v-w774f2_ZU)</v>
      </c>
    </row>
    <row r="5683" spans="1:4" x14ac:dyDescent="0.2">
      <c r="B5683" t="s">
        <v>1</v>
      </c>
    </row>
    <row r="5684" spans="1:4" x14ac:dyDescent="0.2">
      <c r="B5684" t="s">
        <v>2185</v>
      </c>
      <c r="C5684" t="s">
        <v>2186</v>
      </c>
    </row>
    <row r="5685" spans="1:4" x14ac:dyDescent="0.2">
      <c r="B5685" t="s">
        <v>269</v>
      </c>
      <c r="C5685" t="s">
        <v>2187</v>
      </c>
    </row>
    <row r="5687" spans="1:4" x14ac:dyDescent="0.2">
      <c r="A5687" t="s">
        <v>2184</v>
      </c>
      <c r="B5687" t="str">
        <f>HYPERLINK("https://lindat.mff.cuni.cz/services/teitok/pdtc10/index.php?action=vallex&amp;frame=v-w774hsa_603", "doufat (v-w774hsa_603) - substituted with v-w774f2_ZU")</f>
        <v>doufat (v-w774hsa_603) - substituted with v-w774f2_ZU</v>
      </c>
    </row>
    <row r="5688" spans="1:4" x14ac:dyDescent="0.2">
      <c r="B5688" t="s">
        <v>1</v>
      </c>
    </row>
    <row r="5689" spans="1:4" x14ac:dyDescent="0.2">
      <c r="B5689" t="s">
        <v>2185</v>
      </c>
    </row>
    <row r="5690" spans="1:4" x14ac:dyDescent="0.2">
      <c r="B5690" t="s">
        <v>269</v>
      </c>
    </row>
    <row r="5692" spans="1:4" x14ac:dyDescent="0.2">
      <c r="A5692" t="s">
        <v>2188</v>
      </c>
      <c r="B5692" t="str">
        <f>HYPERLINK("https://lindat.mff.cuni.cz/services/teitok/pdtc10/index.php?action=vallex&amp;frame=v-w10254f2", "doutnat (v-w10254f2)")</f>
        <v>doutnat (v-w10254f2)</v>
      </c>
    </row>
    <row r="5693" spans="1:4" x14ac:dyDescent="0.2">
      <c r="B5693" t="s">
        <v>1</v>
      </c>
      <c r="C5693" t="s">
        <v>2189</v>
      </c>
      <c r="D5693" t="s">
        <v>23224</v>
      </c>
    </row>
    <row r="5695" spans="1:4" x14ac:dyDescent="0.2">
      <c r="A5695" t="s">
        <v>2190</v>
      </c>
      <c r="B5695" t="str">
        <f>HYPERLINK("https://lindat.mff.cuni.cz/services/teitok/pdtc10/index.php?action=vallex&amp;frame=v-w10254hsa_316", "doutnat (v-w10254hsa_316)")</f>
        <v>doutnat (v-w10254hsa_316)</v>
      </c>
    </row>
    <row r="5696" spans="1:4" x14ac:dyDescent="0.2">
      <c r="B5696" t="s">
        <v>1</v>
      </c>
      <c r="C5696" t="s">
        <v>33</v>
      </c>
    </row>
    <row r="5698" spans="1:2" x14ac:dyDescent="0.2">
      <c r="A5698" t="s">
        <v>2191</v>
      </c>
      <c r="B5698" t="str">
        <f>HYPERLINK("https://lindat.mff.cuni.cz/services/teitok/pdtc10/index.php?action=vallex&amp;frame=v-whsa_1113hsa_1114", "doučit se (v-whsa_1113hsa_1114)")</f>
        <v>doučit se (v-whsa_1113hsa_1114)</v>
      </c>
    </row>
    <row r="5699" spans="1:2" x14ac:dyDescent="0.2">
      <c r="B5699" t="s">
        <v>1</v>
      </c>
    </row>
    <row r="5700" spans="1:2" x14ac:dyDescent="0.2">
      <c r="B5700" t="s">
        <v>2192</v>
      </c>
    </row>
    <row r="5702" spans="1:2" x14ac:dyDescent="0.2">
      <c r="A5702" t="s">
        <v>2193</v>
      </c>
      <c r="B5702" t="str">
        <f>HYPERLINK("https://lindat.mff.cuni.cz/services/teitok/pdtc10/index.php?action=vallex&amp;frame=v-w11750_ZUf2_ZU", "doučovat (v-w11750_ZUf2_ZU)")</f>
        <v>doučovat (v-w11750_ZUf2_ZU)</v>
      </c>
    </row>
    <row r="5703" spans="1:2" x14ac:dyDescent="0.2">
      <c r="B5703" t="s">
        <v>1</v>
      </c>
    </row>
    <row r="5704" spans="1:2" x14ac:dyDescent="0.2">
      <c r="B5704" t="s">
        <v>220</v>
      </c>
    </row>
    <row r="5705" spans="1:2" x14ac:dyDescent="0.2">
      <c r="B5705" t="s">
        <v>2194</v>
      </c>
    </row>
    <row r="5707" spans="1:2" x14ac:dyDescent="0.2">
      <c r="A5707" t="s">
        <v>2193</v>
      </c>
      <c r="B5707" t="str">
        <f>HYPERLINK("https://lindat.mff.cuni.cz/services/teitok/pdtc10/index.php?action=vallex&amp;frame=v-w11750_ZUf1_ZU", "doučovat (v-w11750_ZUf1_ZU) - substituted with v-w11750_ZUf2_ZU")</f>
        <v>doučovat (v-w11750_ZUf1_ZU) - substituted with v-w11750_ZUf2_ZU</v>
      </c>
    </row>
    <row r="5708" spans="1:2" x14ac:dyDescent="0.2">
      <c r="B5708" t="s">
        <v>1</v>
      </c>
    </row>
    <row r="5709" spans="1:2" x14ac:dyDescent="0.2">
      <c r="B5709" t="s">
        <v>220</v>
      </c>
    </row>
    <row r="5710" spans="1:2" x14ac:dyDescent="0.2">
      <c r="B5710" t="s">
        <v>2194</v>
      </c>
    </row>
    <row r="5712" spans="1:2" x14ac:dyDescent="0.2">
      <c r="A5712" t="s">
        <v>2195</v>
      </c>
      <c r="B5712" t="str">
        <f>HYPERLINK("https://lindat.mff.cuni.cz/services/teitok/pdtc10/index.php?action=vallex&amp;frame=v-whsa_1832hsa_1833", "doučovat se (v-whsa_1832hsa_1833)")</f>
        <v>doučovat se (v-whsa_1832hsa_1833)</v>
      </c>
    </row>
    <row r="5713" spans="1:2" x14ac:dyDescent="0.2">
      <c r="B5713" t="s">
        <v>1</v>
      </c>
    </row>
    <row r="5714" spans="1:2" x14ac:dyDescent="0.2">
      <c r="B5714" t="s">
        <v>2196</v>
      </c>
    </row>
    <row r="5715" spans="1:2" x14ac:dyDescent="0.2">
      <c r="B5715" t="s">
        <v>1142</v>
      </c>
    </row>
    <row r="5717" spans="1:2" x14ac:dyDescent="0.2">
      <c r="A5717" t="s">
        <v>2197</v>
      </c>
      <c r="B5717" t="str">
        <f>HYPERLINK("https://lindat.mff.cuni.cz/services/teitok/pdtc10/index.php?action=vallex&amp;frame=v-w776f2", "dovařit (v-w776f2)")</f>
        <v>dovařit (v-w776f2)</v>
      </c>
    </row>
    <row r="5718" spans="1:2" x14ac:dyDescent="0.2">
      <c r="B5718" t="s">
        <v>1</v>
      </c>
    </row>
    <row r="5719" spans="1:2" x14ac:dyDescent="0.2">
      <c r="B5719" t="s">
        <v>8</v>
      </c>
    </row>
    <row r="5720" spans="1:2" x14ac:dyDescent="0.2">
      <c r="B5720" t="s">
        <v>24</v>
      </c>
    </row>
    <row r="5721" spans="1:2" x14ac:dyDescent="0.2">
      <c r="B5721" t="s">
        <v>2156</v>
      </c>
    </row>
    <row r="5723" spans="1:2" x14ac:dyDescent="0.2">
      <c r="A5723" t="s">
        <v>2198</v>
      </c>
      <c r="B5723" t="str">
        <f>HYPERLINK("https://lindat.mff.cuni.cz/services/teitok/pdtc10/index.php?action=vallex&amp;frame=v-w776f1", "dovařit (v-w776f1)")</f>
        <v>dovařit (v-w776f1)</v>
      </c>
    </row>
    <row r="5724" spans="1:2" x14ac:dyDescent="0.2">
      <c r="B5724" t="s">
        <v>1</v>
      </c>
    </row>
    <row r="5725" spans="1:2" x14ac:dyDescent="0.2">
      <c r="B5725" t="s">
        <v>8</v>
      </c>
    </row>
    <row r="5727" spans="1:2" x14ac:dyDescent="0.2">
      <c r="A5727" t="s">
        <v>2199</v>
      </c>
      <c r="B5727" t="str">
        <f>HYPERLINK("https://lindat.mff.cuni.cz/services/teitok/pdtc10/index.php?action=vallex&amp;frame=v-w779f1", "dovažovat (v-w779f1)")</f>
        <v>dovažovat (v-w779f1)</v>
      </c>
    </row>
    <row r="5728" spans="1:2" x14ac:dyDescent="0.2">
      <c r="B5728" t="s">
        <v>1</v>
      </c>
    </row>
    <row r="5729" spans="1:2" x14ac:dyDescent="0.2">
      <c r="B5729" t="s">
        <v>1417</v>
      </c>
    </row>
    <row r="5731" spans="1:2" x14ac:dyDescent="0.2">
      <c r="A5731" t="s">
        <v>2200</v>
      </c>
      <c r="B5731" t="str">
        <f>HYPERLINK("https://lindat.mff.cuni.cz/services/teitok/pdtc10/index.php?action=vallex&amp;frame=v-w785f1", "dovodit (v-w785f1)")</f>
        <v>dovodit (v-w785f1)</v>
      </c>
    </row>
    <row r="5732" spans="1:2" x14ac:dyDescent="0.2">
      <c r="B5732" t="s">
        <v>1</v>
      </c>
    </row>
    <row r="5733" spans="1:2" x14ac:dyDescent="0.2">
      <c r="B5733" t="s">
        <v>41</v>
      </c>
    </row>
    <row r="5734" spans="1:2" x14ac:dyDescent="0.2">
      <c r="B5734" t="s">
        <v>24</v>
      </c>
    </row>
    <row r="5736" spans="1:2" x14ac:dyDescent="0.2">
      <c r="A5736" t="s">
        <v>2201</v>
      </c>
      <c r="B5736" t="str">
        <f>HYPERLINK("https://lindat.mff.cuni.cz/services/teitok/pdtc10/index.php?action=vallex&amp;frame=v-w786f2", "dovolat se (v-w786f2)")</f>
        <v>dovolat se (v-w786f2)</v>
      </c>
    </row>
    <row r="5737" spans="1:2" x14ac:dyDescent="0.2">
      <c r="B5737" t="s">
        <v>1</v>
      </c>
    </row>
    <row r="5738" spans="1:2" x14ac:dyDescent="0.2">
      <c r="B5738" t="s">
        <v>917</v>
      </c>
    </row>
    <row r="5740" spans="1:2" x14ac:dyDescent="0.2">
      <c r="A5740" t="s">
        <v>2202</v>
      </c>
      <c r="B5740" t="str">
        <f>HYPERLINK("https://lindat.mff.cuni.cz/services/teitok/pdtc10/index.php?action=vallex&amp;frame=v-w786f1", "dovolat se (v-w786f1)")</f>
        <v>dovolat se (v-w786f1)</v>
      </c>
    </row>
    <row r="5741" spans="1:2" x14ac:dyDescent="0.2">
      <c r="B5741" t="s">
        <v>1</v>
      </c>
    </row>
    <row r="5742" spans="1:2" x14ac:dyDescent="0.2">
      <c r="B5742" t="s">
        <v>90</v>
      </c>
    </row>
    <row r="5744" spans="1:2" x14ac:dyDescent="0.2">
      <c r="A5744" t="s">
        <v>2203</v>
      </c>
      <c r="B5744" t="str">
        <f>HYPERLINK("https://lindat.mff.cuni.cz/services/teitok/pdtc10/index.php?action=vallex&amp;frame=v-w786f4_ZU", "dovolat se (v-w786f4_ZU)")</f>
        <v>dovolat se (v-w786f4_ZU)</v>
      </c>
    </row>
    <row r="5745" spans="1:4" x14ac:dyDescent="0.2">
      <c r="B5745" t="s">
        <v>1</v>
      </c>
    </row>
    <row r="5746" spans="1:4" x14ac:dyDescent="0.2">
      <c r="B5746" t="s">
        <v>103</v>
      </c>
    </row>
    <row r="5748" spans="1:4" x14ac:dyDescent="0.2">
      <c r="A5748" t="s">
        <v>2203</v>
      </c>
      <c r="B5748" t="str">
        <f>HYPERLINK("https://lindat.mff.cuni.cz/services/teitok/pdtc10/index.php?action=vallex&amp;frame=v-w786f3_ZU", "dovolat se (v-w786f3_ZU) - substituted with v-w786f4_ZU")</f>
        <v>dovolat se (v-w786f3_ZU) - substituted with v-w786f4_ZU</v>
      </c>
    </row>
    <row r="5749" spans="1:4" x14ac:dyDescent="0.2">
      <c r="B5749" t="s">
        <v>1</v>
      </c>
    </row>
    <row r="5750" spans="1:4" x14ac:dyDescent="0.2">
      <c r="B5750" t="s">
        <v>103</v>
      </c>
    </row>
    <row r="5752" spans="1:4" x14ac:dyDescent="0.2">
      <c r="A5752" t="s">
        <v>2204</v>
      </c>
      <c r="B5752" t="str">
        <f>HYPERLINK("https://lindat.mff.cuni.cz/services/teitok/pdtc10/index.php?action=vallex&amp;frame=v-w788f1", "dovolit (v-w788f1)")</f>
        <v>dovolit (v-w788f1)</v>
      </c>
    </row>
    <row r="5753" spans="1:4" x14ac:dyDescent="0.2">
      <c r="B5753" t="s">
        <v>1</v>
      </c>
      <c r="C5753" t="s">
        <v>2205</v>
      </c>
      <c r="D5753" t="s">
        <v>23225</v>
      </c>
    </row>
    <row r="5754" spans="1:4" x14ac:dyDescent="0.2">
      <c r="B5754" t="s">
        <v>2206</v>
      </c>
      <c r="C5754" t="s">
        <v>2207</v>
      </c>
      <c r="D5754" t="s">
        <v>23226</v>
      </c>
    </row>
    <row r="5755" spans="1:4" x14ac:dyDescent="0.2">
      <c r="B5755" t="s">
        <v>35</v>
      </c>
      <c r="C5755" t="s">
        <v>2208</v>
      </c>
      <c r="D5755" t="s">
        <v>23227</v>
      </c>
    </row>
    <row r="5757" spans="1:4" x14ac:dyDescent="0.2">
      <c r="A5757" t="s">
        <v>2209</v>
      </c>
      <c r="B5757" t="str">
        <f>HYPERLINK("https://lindat.mff.cuni.cz/services/teitok/pdtc10/index.php?action=vallex&amp;frame=v-w789f1", "dovolit se (v-w789f1)")</f>
        <v>dovolit se (v-w789f1)</v>
      </c>
    </row>
    <row r="5758" spans="1:4" x14ac:dyDescent="0.2">
      <c r="B5758" t="s">
        <v>1</v>
      </c>
    </row>
    <row r="5759" spans="1:4" x14ac:dyDescent="0.2">
      <c r="B5759" t="s">
        <v>917</v>
      </c>
    </row>
    <row r="5760" spans="1:4" x14ac:dyDescent="0.2">
      <c r="B5760" t="s">
        <v>2210</v>
      </c>
    </row>
    <row r="5762" spans="1:4" x14ac:dyDescent="0.2">
      <c r="A5762" t="s">
        <v>2211</v>
      </c>
      <c r="B5762" t="str">
        <f>HYPERLINK("https://lindat.mff.cuni.cz/services/teitok/pdtc10/index.php?action=vallex&amp;frame=v-w790f3_ZU", "dovolit si (v-w790f3_ZU)")</f>
        <v>dovolit si (v-w790f3_ZU)</v>
      </c>
    </row>
    <row r="5763" spans="1:4" x14ac:dyDescent="0.2">
      <c r="B5763" t="s">
        <v>1</v>
      </c>
      <c r="C5763" t="s">
        <v>337</v>
      </c>
      <c r="D5763" t="s">
        <v>230</v>
      </c>
    </row>
    <row r="5764" spans="1:4" x14ac:dyDescent="0.2">
      <c r="B5764" t="s">
        <v>2212</v>
      </c>
      <c r="C5764" t="s">
        <v>2213</v>
      </c>
      <c r="D5764" t="s">
        <v>10242</v>
      </c>
    </row>
    <row r="5766" spans="1:4" x14ac:dyDescent="0.2">
      <c r="A5766" t="s">
        <v>2211</v>
      </c>
      <c r="B5766" t="str">
        <f>HYPERLINK("https://lindat.mff.cuni.cz/services/teitok/pdtc10/index.php?action=vallex&amp;frame=v-w790f2", "dovolit si (v-w790f2) - substituted with v-w790f3_ZU")</f>
        <v>dovolit si (v-w790f2) - substituted with v-w790f3_ZU</v>
      </c>
    </row>
    <row r="5767" spans="1:4" x14ac:dyDescent="0.2">
      <c r="B5767" t="s">
        <v>1</v>
      </c>
      <c r="C5767" t="s">
        <v>2214</v>
      </c>
    </row>
    <row r="5768" spans="1:4" x14ac:dyDescent="0.2">
      <c r="B5768" t="s">
        <v>2212</v>
      </c>
      <c r="C5768" t="s">
        <v>1522</v>
      </c>
    </row>
    <row r="5770" spans="1:4" x14ac:dyDescent="0.2">
      <c r="A5770" t="s">
        <v>2211</v>
      </c>
      <c r="B5770" t="str">
        <f>HYPERLINK("https://lindat.mff.cuni.cz/services/teitok/pdtc10/index.php?action=vallex&amp;frame=v-w790hsa_115", "dovolit si (v-w790hsa_115) - substituted with v-w790f3_ZU")</f>
        <v>dovolit si (v-w790hsa_115) - substituted with v-w790f3_ZU</v>
      </c>
    </row>
    <row r="5771" spans="1:4" x14ac:dyDescent="0.2">
      <c r="B5771" t="s">
        <v>1</v>
      </c>
    </row>
    <row r="5772" spans="1:4" x14ac:dyDescent="0.2">
      <c r="B5772" t="s">
        <v>2212</v>
      </c>
    </row>
    <row r="5774" spans="1:4" x14ac:dyDescent="0.2">
      <c r="A5774" t="s">
        <v>2215</v>
      </c>
      <c r="B5774" t="str">
        <f>HYPERLINK("https://lindat.mff.cuni.cz/services/teitok/pdtc10/index.php?action=vallex&amp;frame=v-w790f1", "dovolit si (v-w790f1)")</f>
        <v>dovolit si (v-w790f1)</v>
      </c>
    </row>
    <row r="5775" spans="1:4" x14ac:dyDescent="0.2">
      <c r="B5775" t="s">
        <v>1</v>
      </c>
      <c r="C5775" t="s">
        <v>1581</v>
      </c>
    </row>
    <row r="5776" spans="1:4" x14ac:dyDescent="0.2">
      <c r="B5776" t="s">
        <v>8</v>
      </c>
      <c r="C5776" t="s">
        <v>2213</v>
      </c>
    </row>
    <row r="5778" spans="1:4" x14ac:dyDescent="0.2">
      <c r="A5778" t="s">
        <v>2216</v>
      </c>
      <c r="B5778" t="str">
        <f>HYPERLINK("https://lindat.mff.cuni.cz/services/teitok/pdtc10/index.php?action=vallex&amp;frame=v-w791f1", "dovolovat (v-w791f1)")</f>
        <v>dovolovat (v-w791f1)</v>
      </c>
    </row>
    <row r="5779" spans="1:4" x14ac:dyDescent="0.2">
      <c r="B5779" t="s">
        <v>1</v>
      </c>
      <c r="C5779" t="s">
        <v>2217</v>
      </c>
      <c r="D5779" t="s">
        <v>23225</v>
      </c>
    </row>
    <row r="5780" spans="1:4" x14ac:dyDescent="0.2">
      <c r="B5780" t="s">
        <v>2218</v>
      </c>
      <c r="C5780" t="s">
        <v>2219</v>
      </c>
      <c r="D5780" t="s">
        <v>23226</v>
      </c>
    </row>
    <row r="5781" spans="1:4" x14ac:dyDescent="0.2">
      <c r="B5781" t="s">
        <v>35</v>
      </c>
      <c r="C5781" t="s">
        <v>2220</v>
      </c>
      <c r="D5781" t="s">
        <v>23227</v>
      </c>
    </row>
    <row r="5783" spans="1:4" x14ac:dyDescent="0.2">
      <c r="A5783" t="s">
        <v>2221</v>
      </c>
      <c r="B5783" t="str">
        <f>HYPERLINK("https://lindat.mff.cuni.cz/services/teitok/pdtc10/index.php?action=vallex&amp;frame=v-w792f1", "dovolovat se (v-w792f1)")</f>
        <v>dovolovat se (v-w792f1)</v>
      </c>
    </row>
    <row r="5784" spans="1:4" x14ac:dyDescent="0.2">
      <c r="B5784" t="s">
        <v>1</v>
      </c>
    </row>
    <row r="5785" spans="1:4" x14ac:dyDescent="0.2">
      <c r="B5785" t="s">
        <v>917</v>
      </c>
    </row>
    <row r="5786" spans="1:4" x14ac:dyDescent="0.2">
      <c r="B5786" t="s">
        <v>2210</v>
      </c>
    </row>
    <row r="5788" spans="1:4" x14ac:dyDescent="0.2">
      <c r="A5788" t="s">
        <v>2222</v>
      </c>
      <c r="B5788" t="str">
        <f>HYPERLINK("https://lindat.mff.cuni.cz/services/teitok/pdtc10/index.php?action=vallex&amp;frame=v-w793f1", "dovolovat si (v-w793f1)")</f>
        <v>dovolovat si (v-w793f1)</v>
      </c>
    </row>
    <row r="5789" spans="1:4" x14ac:dyDescent="0.2">
      <c r="B5789" t="s">
        <v>1</v>
      </c>
      <c r="D5789" t="s">
        <v>230</v>
      </c>
    </row>
    <row r="5790" spans="1:4" x14ac:dyDescent="0.2">
      <c r="B5790" t="s">
        <v>107</v>
      </c>
      <c r="D5790" t="s">
        <v>10242</v>
      </c>
    </row>
    <row r="5792" spans="1:4" x14ac:dyDescent="0.2">
      <c r="A5792" t="s">
        <v>2223</v>
      </c>
      <c r="B5792" t="str">
        <f>HYPERLINK("https://lindat.mff.cuni.cz/services/teitok/pdtc10/index.php?action=vallex&amp;frame=v-w787f1", "dovolávat se (v-w787f1)")</f>
        <v>dovolávat se (v-w787f1)</v>
      </c>
    </row>
    <row r="5793" spans="1:4" x14ac:dyDescent="0.2">
      <c r="B5793" t="s">
        <v>1</v>
      </c>
      <c r="C5793" t="s">
        <v>249</v>
      </c>
      <c r="D5793" t="s">
        <v>23055</v>
      </c>
    </row>
    <row r="5794" spans="1:4" x14ac:dyDescent="0.2">
      <c r="B5794" t="s">
        <v>917</v>
      </c>
      <c r="C5794" t="s">
        <v>23</v>
      </c>
      <c r="D5794" t="s">
        <v>23056</v>
      </c>
    </row>
    <row r="5796" spans="1:4" x14ac:dyDescent="0.2">
      <c r="A5796" t="s">
        <v>2224</v>
      </c>
      <c r="B5796" t="str">
        <f>HYPERLINK("https://lindat.mff.cuni.cz/services/teitok/pdtc10/index.php?action=vallex&amp;frame=v-w796f1", "dovozovat (v-w796f1)")</f>
        <v>dovozovat (v-w796f1)</v>
      </c>
    </row>
    <row r="5797" spans="1:4" x14ac:dyDescent="0.2">
      <c r="B5797" t="s">
        <v>1</v>
      </c>
    </row>
    <row r="5798" spans="1:4" x14ac:dyDescent="0.2">
      <c r="B5798" t="s">
        <v>41</v>
      </c>
    </row>
    <row r="5799" spans="1:4" x14ac:dyDescent="0.2">
      <c r="B5799" t="s">
        <v>24</v>
      </c>
    </row>
    <row r="5801" spans="1:4" x14ac:dyDescent="0.2">
      <c r="A5801" t="s">
        <v>2225</v>
      </c>
      <c r="B5801" t="str">
        <f>HYPERLINK("https://lindat.mff.cuni.cz/services/teitok/pdtc10/index.php?action=vallex&amp;frame=v-w798f2", "dovršit (v-w798f2)")</f>
        <v>dovršit (v-w798f2)</v>
      </c>
    </row>
    <row r="5802" spans="1:4" x14ac:dyDescent="0.2">
      <c r="B5802" t="s">
        <v>1</v>
      </c>
    </row>
    <row r="5803" spans="1:4" x14ac:dyDescent="0.2">
      <c r="B5803" t="s">
        <v>917</v>
      </c>
    </row>
    <row r="5805" spans="1:4" x14ac:dyDescent="0.2">
      <c r="A5805" t="s">
        <v>2226</v>
      </c>
      <c r="B5805" t="str">
        <f>HYPERLINK("https://lindat.mff.cuni.cz/services/teitok/pdtc10/index.php?action=vallex&amp;frame=v-w798f1", "dovršit (v-w798f1)")</f>
        <v>dovršit (v-w798f1)</v>
      </c>
    </row>
    <row r="5806" spans="1:4" x14ac:dyDescent="0.2">
      <c r="B5806" t="s">
        <v>1</v>
      </c>
      <c r="C5806" t="s">
        <v>2227</v>
      </c>
      <c r="D5806" t="s">
        <v>23140</v>
      </c>
    </row>
    <row r="5807" spans="1:4" x14ac:dyDescent="0.2">
      <c r="B5807" t="s">
        <v>8</v>
      </c>
      <c r="C5807" t="s">
        <v>2228</v>
      </c>
      <c r="D5807" t="s">
        <v>23141</v>
      </c>
    </row>
    <row r="5809" spans="1:2" x14ac:dyDescent="0.2">
      <c r="A5809" t="s">
        <v>2229</v>
      </c>
      <c r="B5809" t="str">
        <f>HYPERLINK("https://lindat.mff.cuni.cz/services/teitok/pdtc10/index.php?action=vallex&amp;frame=v-whsa_320f1_ZU", "dovtípit se (v-whsa_320f1_ZU)")</f>
        <v>dovtípit se (v-whsa_320f1_ZU)</v>
      </c>
    </row>
    <row r="5810" spans="1:2" x14ac:dyDescent="0.2">
      <c r="B5810" t="s">
        <v>1</v>
      </c>
    </row>
    <row r="5811" spans="1:2" x14ac:dyDescent="0.2">
      <c r="B5811" t="s">
        <v>2230</v>
      </c>
    </row>
    <row r="5813" spans="1:2" x14ac:dyDescent="0.2">
      <c r="A5813" t="s">
        <v>2229</v>
      </c>
      <c r="B5813" t="str">
        <f>HYPERLINK("https://lindat.mff.cuni.cz/services/teitok/pdtc10/index.php?action=vallex&amp;frame=v-whsa_320hsa_321", "dovtípit se (v-whsa_320hsa_321) - substituted with v-whsa_320f1_ZU")</f>
        <v>dovtípit se (v-whsa_320hsa_321) - substituted with v-whsa_320f1_ZU</v>
      </c>
    </row>
    <row r="5814" spans="1:2" x14ac:dyDescent="0.2">
      <c r="B5814" t="s">
        <v>1</v>
      </c>
    </row>
    <row r="5815" spans="1:2" x14ac:dyDescent="0.2">
      <c r="B5815" t="s">
        <v>2230</v>
      </c>
    </row>
    <row r="5817" spans="1:2" x14ac:dyDescent="0.2">
      <c r="A5817" t="s">
        <v>2231</v>
      </c>
      <c r="B5817" t="str">
        <f>HYPERLINK("https://lindat.mff.cuni.cz/services/teitok/pdtc10/index.php?action=vallex&amp;frame=v-w12342_MMf1_MM", "dovyprávět (v-w12342_MMf1_MM)")</f>
        <v>dovyprávět (v-w12342_MMf1_MM)</v>
      </c>
    </row>
    <row r="5818" spans="1:2" x14ac:dyDescent="0.2">
      <c r="B5818" t="s">
        <v>1</v>
      </c>
    </row>
    <row r="5819" spans="1:2" x14ac:dyDescent="0.2">
      <c r="B5819" t="s">
        <v>35</v>
      </c>
    </row>
    <row r="5820" spans="1:2" x14ac:dyDescent="0.2">
      <c r="B5820" t="s">
        <v>1609</v>
      </c>
    </row>
    <row r="5821" spans="1:2" x14ac:dyDescent="0.2">
      <c r="B5821" t="s">
        <v>269</v>
      </c>
    </row>
    <row r="5823" spans="1:2" x14ac:dyDescent="0.2">
      <c r="A5823" t="s">
        <v>2232</v>
      </c>
      <c r="B5823" t="str">
        <f>HYPERLINK("https://lindat.mff.cuni.cz/services/teitok/pdtc10/index.php?action=vallex&amp;frame=v-whsa_459hsa_460", "dovádět (v-whsa_459hsa_460)")</f>
        <v>dovádět (v-whsa_459hsa_460)</v>
      </c>
    </row>
    <row r="5824" spans="1:2" x14ac:dyDescent="0.2">
      <c r="B5824" t="s">
        <v>1</v>
      </c>
    </row>
    <row r="5826" spans="1:4" x14ac:dyDescent="0.2">
      <c r="A5826" t="s">
        <v>2233</v>
      </c>
      <c r="B5826" t="str">
        <f>HYPERLINK("https://lindat.mff.cuni.cz/services/teitok/pdtc10/index.php?action=vallex&amp;frame=v-whsa_459f1_ZU", "dovádět (v-whsa_459f1_ZU)")</f>
        <v>dovádět (v-whsa_459f1_ZU)</v>
      </c>
    </row>
    <row r="5827" spans="1:4" x14ac:dyDescent="0.2">
      <c r="B5827" t="s">
        <v>1</v>
      </c>
    </row>
    <row r="5828" spans="1:4" x14ac:dyDescent="0.2">
      <c r="B5828" t="s">
        <v>8</v>
      </c>
    </row>
    <row r="5829" spans="1:4" x14ac:dyDescent="0.2">
      <c r="B5829" t="s">
        <v>90</v>
      </c>
    </row>
    <row r="5831" spans="1:4" x14ac:dyDescent="0.2">
      <c r="A5831" t="s">
        <v>2234</v>
      </c>
      <c r="B5831" t="str">
        <f>HYPERLINK("https://lindat.mff.cuni.cz/services/teitok/pdtc10/index.php?action=vallex&amp;frame=v-w777f2", "dovážet (v-w777f2)")</f>
        <v>dovážet (v-w777f2)</v>
      </c>
    </row>
    <row r="5832" spans="1:4" x14ac:dyDescent="0.2">
      <c r="B5832" t="s">
        <v>1</v>
      </c>
      <c r="C5832" t="s">
        <v>115</v>
      </c>
      <c r="D5832" t="s">
        <v>7915</v>
      </c>
    </row>
    <row r="5833" spans="1:4" x14ac:dyDescent="0.2">
      <c r="B5833" t="s">
        <v>8</v>
      </c>
      <c r="C5833" t="s">
        <v>2235</v>
      </c>
      <c r="D5833" t="s">
        <v>23119</v>
      </c>
    </row>
    <row r="5834" spans="1:4" x14ac:dyDescent="0.2">
      <c r="B5834" t="s">
        <v>35</v>
      </c>
      <c r="D5834" t="s">
        <v>1544</v>
      </c>
    </row>
    <row r="5836" spans="1:4" x14ac:dyDescent="0.2">
      <c r="A5836" t="s">
        <v>2236</v>
      </c>
      <c r="B5836" t="str">
        <f>HYPERLINK("https://lindat.mff.cuni.cz/services/teitok/pdtc10/index.php?action=vallex&amp;frame=v-w777f1", "dovážet (v-w777f1)")</f>
        <v>dovážet (v-w777f1)</v>
      </c>
    </row>
    <row r="5837" spans="1:4" x14ac:dyDescent="0.2">
      <c r="B5837" t="s">
        <v>1</v>
      </c>
      <c r="C5837" t="s">
        <v>2237</v>
      </c>
      <c r="D5837" t="s">
        <v>7915</v>
      </c>
    </row>
    <row r="5838" spans="1:4" x14ac:dyDescent="0.2">
      <c r="B5838" t="s">
        <v>8</v>
      </c>
      <c r="C5838" t="s">
        <v>307</v>
      </c>
      <c r="D5838" t="s">
        <v>23119</v>
      </c>
    </row>
    <row r="5839" spans="1:4" x14ac:dyDescent="0.2">
      <c r="B5839" t="s">
        <v>90</v>
      </c>
      <c r="D5839" t="s">
        <v>1466</v>
      </c>
    </row>
    <row r="5841" spans="1:4" x14ac:dyDescent="0.2">
      <c r="A5841" t="s">
        <v>2238</v>
      </c>
      <c r="B5841" t="str">
        <f>HYPERLINK("https://lindat.mff.cuni.cz/services/teitok/pdtc10/index.php?action=vallex&amp;frame=v-w778f1", "dovážit (v-w778f1)")</f>
        <v>dovážit (v-w778f1)</v>
      </c>
    </row>
    <row r="5842" spans="1:4" x14ac:dyDescent="0.2">
      <c r="B5842" t="s">
        <v>1</v>
      </c>
      <c r="C5842" t="s">
        <v>2239</v>
      </c>
    </row>
    <row r="5843" spans="1:4" x14ac:dyDescent="0.2">
      <c r="B5843" t="s">
        <v>8</v>
      </c>
      <c r="C5843" t="s">
        <v>2240</v>
      </c>
    </row>
    <row r="5845" spans="1:4" x14ac:dyDescent="0.2">
      <c r="A5845" t="s">
        <v>2241</v>
      </c>
      <c r="B5845" t="str">
        <f>HYPERLINK("https://lindat.mff.cuni.cz/services/teitok/pdtc10/index.php?action=vallex&amp;frame=v-w782f1", "dovést (v-w782f1)")</f>
        <v>dovést (v-w782f1)</v>
      </c>
    </row>
    <row r="5846" spans="1:4" x14ac:dyDescent="0.2">
      <c r="B5846" t="s">
        <v>1</v>
      </c>
      <c r="C5846" t="s">
        <v>2242</v>
      </c>
      <c r="D5846" t="s">
        <v>13976</v>
      </c>
    </row>
    <row r="5847" spans="1:4" x14ac:dyDescent="0.2">
      <c r="B5847" t="s">
        <v>8</v>
      </c>
      <c r="C5847" t="s">
        <v>2243</v>
      </c>
      <c r="D5847" t="s">
        <v>10414</v>
      </c>
    </row>
    <row r="5848" spans="1:4" x14ac:dyDescent="0.2">
      <c r="B5848" t="s">
        <v>205</v>
      </c>
      <c r="C5848" t="s">
        <v>2244</v>
      </c>
      <c r="D5848" t="s">
        <v>23197</v>
      </c>
    </row>
    <row r="5850" spans="1:4" x14ac:dyDescent="0.2">
      <c r="A5850" t="s">
        <v>2245</v>
      </c>
      <c r="B5850" t="str">
        <f>HYPERLINK("https://lindat.mff.cuni.cz/services/teitok/pdtc10/index.php?action=vallex&amp;frame=v-w782f2", "dovést (v-w782f2)")</f>
        <v>dovést (v-w782f2)</v>
      </c>
    </row>
    <row r="5851" spans="1:4" x14ac:dyDescent="0.2">
      <c r="B5851" t="s">
        <v>1</v>
      </c>
      <c r="D5851" t="s">
        <v>9447</v>
      </c>
    </row>
    <row r="5852" spans="1:4" x14ac:dyDescent="0.2">
      <c r="B5852" t="s">
        <v>8</v>
      </c>
      <c r="D5852" t="s">
        <v>23228</v>
      </c>
    </row>
    <row r="5853" spans="1:4" x14ac:dyDescent="0.2">
      <c r="B5853" t="s">
        <v>90</v>
      </c>
      <c r="D5853" t="s">
        <v>1466</v>
      </c>
    </row>
    <row r="5855" spans="1:4" x14ac:dyDescent="0.2">
      <c r="A5855" t="s">
        <v>2246</v>
      </c>
      <c r="B5855" t="str">
        <f>HYPERLINK("https://lindat.mff.cuni.cz/services/teitok/pdtc10/index.php?action=vallex&amp;frame=v-w782f3", "dovést (v-w782f3)")</f>
        <v>dovést (v-w782f3)</v>
      </c>
    </row>
    <row r="5856" spans="1:4" x14ac:dyDescent="0.2">
      <c r="B5856" t="s">
        <v>1</v>
      </c>
      <c r="D5856" t="s">
        <v>23026</v>
      </c>
    </row>
    <row r="5857" spans="1:4" x14ac:dyDescent="0.2">
      <c r="B5857" t="s">
        <v>228</v>
      </c>
      <c r="D5857" t="s">
        <v>7280</v>
      </c>
    </row>
    <row r="5859" spans="1:4" x14ac:dyDescent="0.2">
      <c r="A5859" t="s">
        <v>2247</v>
      </c>
      <c r="B5859" t="str">
        <f>HYPERLINK("https://lindat.mff.cuni.cz/services/teitok/pdtc10/index.php?action=vallex&amp;frame=v-w782f4_ZU", "dovést (v-w782f4_ZU)")</f>
        <v>dovést (v-w782f4_ZU)</v>
      </c>
    </row>
    <row r="5860" spans="1:4" x14ac:dyDescent="0.2">
      <c r="B5860" t="s">
        <v>1</v>
      </c>
    </row>
    <row r="5861" spans="1:4" x14ac:dyDescent="0.2">
      <c r="B5861" t="s">
        <v>176</v>
      </c>
    </row>
    <row r="5862" spans="1:4" x14ac:dyDescent="0.2">
      <c r="B5862" t="s">
        <v>58</v>
      </c>
    </row>
    <row r="5864" spans="1:4" x14ac:dyDescent="0.2">
      <c r="A5864" t="s">
        <v>2248</v>
      </c>
      <c r="B5864" t="str">
        <f>HYPERLINK("https://lindat.mff.cuni.cz/services/teitok/pdtc10/index.php?action=vallex&amp;frame=v-w783f2", "dovézt (v-w783f2)")</f>
        <v>dovézt (v-w783f2)</v>
      </c>
    </row>
    <row r="5865" spans="1:4" x14ac:dyDescent="0.2">
      <c r="B5865" t="s">
        <v>1</v>
      </c>
      <c r="D5865" t="s">
        <v>7915</v>
      </c>
    </row>
    <row r="5866" spans="1:4" x14ac:dyDescent="0.2">
      <c r="B5866" t="s">
        <v>8</v>
      </c>
      <c r="D5866" t="s">
        <v>23119</v>
      </c>
    </row>
    <row r="5867" spans="1:4" x14ac:dyDescent="0.2">
      <c r="B5867" t="s">
        <v>35</v>
      </c>
      <c r="D5867" t="s">
        <v>1544</v>
      </c>
    </row>
    <row r="5869" spans="1:4" x14ac:dyDescent="0.2">
      <c r="A5869" t="s">
        <v>2249</v>
      </c>
      <c r="B5869" t="str">
        <f>HYPERLINK("https://lindat.mff.cuni.cz/services/teitok/pdtc10/index.php?action=vallex&amp;frame=v-w783f1", "dovézt (v-w783f1)")</f>
        <v>dovézt (v-w783f1)</v>
      </c>
    </row>
    <row r="5870" spans="1:4" x14ac:dyDescent="0.2">
      <c r="B5870" t="s">
        <v>1</v>
      </c>
      <c r="C5870" t="s">
        <v>317</v>
      </c>
      <c r="D5870" t="s">
        <v>9876</v>
      </c>
    </row>
    <row r="5871" spans="1:4" x14ac:dyDescent="0.2">
      <c r="B5871" t="s">
        <v>8</v>
      </c>
      <c r="C5871" t="s">
        <v>2250</v>
      </c>
      <c r="D5871" t="s">
        <v>23179</v>
      </c>
    </row>
    <row r="5872" spans="1:4" x14ac:dyDescent="0.2">
      <c r="B5872" t="s">
        <v>90</v>
      </c>
      <c r="D5872" t="s">
        <v>23180</v>
      </c>
    </row>
    <row r="5874" spans="1:4" x14ac:dyDescent="0.2">
      <c r="A5874" t="s">
        <v>2251</v>
      </c>
      <c r="B5874" t="str">
        <f>HYPERLINK("https://lindat.mff.cuni.cz/services/teitok/pdtc10/index.php?action=vallex&amp;frame=v-w784f2", "dovídat se (v-w784f2)")</f>
        <v>dovídat se (v-w784f2)</v>
      </c>
    </row>
    <row r="5875" spans="1:4" x14ac:dyDescent="0.2">
      <c r="B5875" t="s">
        <v>1</v>
      </c>
      <c r="D5875" t="s">
        <v>9234</v>
      </c>
    </row>
    <row r="5876" spans="1:4" x14ac:dyDescent="0.2">
      <c r="B5876" t="s">
        <v>1876</v>
      </c>
      <c r="D5876" t="s">
        <v>23186</v>
      </c>
    </row>
    <row r="5877" spans="1:4" x14ac:dyDescent="0.2">
      <c r="B5877" t="s">
        <v>321</v>
      </c>
      <c r="D5877" t="s">
        <v>2915</v>
      </c>
    </row>
    <row r="5879" spans="1:4" x14ac:dyDescent="0.2">
      <c r="A5879" t="s">
        <v>2252</v>
      </c>
      <c r="B5879" t="str">
        <f>HYPERLINK("https://lindat.mff.cuni.cz/services/teitok/pdtc10/index.php?action=vallex&amp;frame=v-w784f1", "dovídat se (v-w784f1)")</f>
        <v>dovídat se (v-w784f1)</v>
      </c>
    </row>
    <row r="5880" spans="1:4" x14ac:dyDescent="0.2">
      <c r="B5880" t="s">
        <v>1</v>
      </c>
      <c r="C5880" t="s">
        <v>1992</v>
      </c>
      <c r="D5880" t="s">
        <v>9234</v>
      </c>
    </row>
    <row r="5881" spans="1:4" x14ac:dyDescent="0.2">
      <c r="B5881" t="s">
        <v>1879</v>
      </c>
      <c r="D5881" t="s">
        <v>23185</v>
      </c>
    </row>
    <row r="5882" spans="1:4" x14ac:dyDescent="0.2">
      <c r="B5882" t="s">
        <v>269</v>
      </c>
      <c r="C5882" t="s">
        <v>2253</v>
      </c>
      <c r="D5882" t="s">
        <v>23186</v>
      </c>
    </row>
    <row r="5883" spans="1:4" x14ac:dyDescent="0.2">
      <c r="B5883" t="s">
        <v>321</v>
      </c>
      <c r="D5883" t="s">
        <v>2915</v>
      </c>
    </row>
    <row r="5885" spans="1:4" x14ac:dyDescent="0.2">
      <c r="A5885" t="s">
        <v>2254</v>
      </c>
      <c r="B5885" t="str">
        <f>HYPERLINK("https://lindat.mff.cuni.cz/services/teitok/pdtc10/index.php?action=vallex&amp;frame=v-w780f2", "dovědět se (v-w780f2)")</f>
        <v>dovědět se (v-w780f2)</v>
      </c>
    </row>
    <row r="5886" spans="1:4" x14ac:dyDescent="0.2">
      <c r="B5886" t="s">
        <v>1</v>
      </c>
      <c r="C5886" t="s">
        <v>2255</v>
      </c>
      <c r="D5886" t="s">
        <v>9234</v>
      </c>
    </row>
    <row r="5887" spans="1:4" x14ac:dyDescent="0.2">
      <c r="B5887" t="s">
        <v>1876</v>
      </c>
      <c r="C5887" t="s">
        <v>2253</v>
      </c>
      <c r="D5887" t="s">
        <v>23186</v>
      </c>
    </row>
    <row r="5888" spans="1:4" x14ac:dyDescent="0.2">
      <c r="B5888" t="s">
        <v>1142</v>
      </c>
      <c r="D5888" t="s">
        <v>2915</v>
      </c>
    </row>
    <row r="5890" spans="1:4" x14ac:dyDescent="0.2">
      <c r="A5890" t="s">
        <v>2256</v>
      </c>
      <c r="B5890" t="str">
        <f>HYPERLINK("https://lindat.mff.cuni.cz/services/teitok/pdtc10/index.php?action=vallex&amp;frame=v-w780f1", "dovědět se (v-w780f1)")</f>
        <v>dovědět se (v-w780f1)</v>
      </c>
    </row>
    <row r="5891" spans="1:4" x14ac:dyDescent="0.2">
      <c r="B5891" t="s">
        <v>1</v>
      </c>
      <c r="C5891" t="s">
        <v>2257</v>
      </c>
      <c r="D5891" t="s">
        <v>9234</v>
      </c>
    </row>
    <row r="5892" spans="1:4" x14ac:dyDescent="0.2">
      <c r="B5892" t="s">
        <v>1879</v>
      </c>
      <c r="C5892" t="s">
        <v>2258</v>
      </c>
      <c r="D5892" t="s">
        <v>23185</v>
      </c>
    </row>
    <row r="5893" spans="1:4" x14ac:dyDescent="0.2">
      <c r="B5893" t="s">
        <v>269</v>
      </c>
      <c r="C5893" t="s">
        <v>2240</v>
      </c>
      <c r="D5893" t="s">
        <v>23186</v>
      </c>
    </row>
    <row r="5894" spans="1:4" x14ac:dyDescent="0.2">
      <c r="B5894" t="s">
        <v>1142</v>
      </c>
      <c r="C5894" t="s">
        <v>2259</v>
      </c>
      <c r="D5894" t="s">
        <v>2915</v>
      </c>
    </row>
    <row r="5896" spans="1:4" x14ac:dyDescent="0.2">
      <c r="A5896" t="s">
        <v>2260</v>
      </c>
      <c r="B5896" t="str">
        <f>HYPERLINK("https://lindat.mff.cuni.cz/services/teitok/pdtc10/index.php?action=vallex&amp;frame=v-w11923_ZUf1_ZU", "dozdívat (v-w11923_ZUf1_ZU)")</f>
        <v>dozdívat (v-w11923_ZUf1_ZU)</v>
      </c>
    </row>
    <row r="5897" spans="1:4" x14ac:dyDescent="0.2">
      <c r="B5897" t="s">
        <v>1</v>
      </c>
    </row>
    <row r="5898" spans="1:4" x14ac:dyDescent="0.2">
      <c r="B5898" t="s">
        <v>8</v>
      </c>
    </row>
    <row r="5900" spans="1:4" x14ac:dyDescent="0.2">
      <c r="A5900" t="s">
        <v>2261</v>
      </c>
      <c r="B5900" t="str">
        <f>HYPERLINK("https://lindat.mff.cuni.cz/services/teitok/pdtc10/index.php?action=vallex&amp;frame=v-w801f1", "doznat (v-w801f1)")</f>
        <v>doznat (v-w801f1)</v>
      </c>
    </row>
    <row r="5901" spans="1:4" x14ac:dyDescent="0.2">
      <c r="B5901" t="s">
        <v>1</v>
      </c>
      <c r="C5901" t="s">
        <v>1805</v>
      </c>
    </row>
    <row r="5902" spans="1:4" x14ac:dyDescent="0.2">
      <c r="B5902" t="s">
        <v>968</v>
      </c>
      <c r="C5902" t="s">
        <v>2262</v>
      </c>
    </row>
    <row r="5904" spans="1:4" x14ac:dyDescent="0.2">
      <c r="A5904" t="s">
        <v>2263</v>
      </c>
      <c r="B5904" t="str">
        <f>HYPERLINK("https://lindat.mff.cuni.cz/services/teitok/pdtc10/index.php?action=vallex&amp;frame=v-w802f1", "doznat se (v-w802f1)")</f>
        <v>doznat se (v-w802f1)</v>
      </c>
    </row>
    <row r="5905" spans="1:4" x14ac:dyDescent="0.2">
      <c r="B5905" t="s">
        <v>1</v>
      </c>
      <c r="C5905" t="s">
        <v>2264</v>
      </c>
      <c r="D5905" t="s">
        <v>23213</v>
      </c>
    </row>
    <row r="5906" spans="1:4" x14ac:dyDescent="0.2">
      <c r="B5906" t="s">
        <v>2265</v>
      </c>
      <c r="C5906" t="s">
        <v>2266</v>
      </c>
      <c r="D5906" t="s">
        <v>23229</v>
      </c>
    </row>
    <row r="5907" spans="1:4" x14ac:dyDescent="0.2">
      <c r="B5907" t="s">
        <v>78</v>
      </c>
      <c r="D5907" t="s">
        <v>4440</v>
      </c>
    </row>
    <row r="5909" spans="1:4" x14ac:dyDescent="0.2">
      <c r="A5909" t="s">
        <v>2267</v>
      </c>
      <c r="B5909" t="str">
        <f>HYPERLINK("https://lindat.mff.cuni.cz/services/teitok/pdtc10/index.php?action=vallex&amp;frame=v-w803f1", "doznávat (v-w803f1)")</f>
        <v>doznávat (v-w803f1)</v>
      </c>
    </row>
    <row r="5910" spans="1:4" x14ac:dyDescent="0.2">
      <c r="B5910" t="s">
        <v>1</v>
      </c>
    </row>
    <row r="5911" spans="1:4" x14ac:dyDescent="0.2">
      <c r="B5911" t="s">
        <v>968</v>
      </c>
    </row>
    <row r="5913" spans="1:4" x14ac:dyDescent="0.2">
      <c r="A5913" t="s">
        <v>2268</v>
      </c>
      <c r="B5913" t="str">
        <f>HYPERLINK("https://lindat.mff.cuni.cz/services/teitok/pdtc10/index.php?action=vallex&amp;frame=v-w804f1", "doznít (v-w804f1)")</f>
        <v>doznít (v-w804f1)</v>
      </c>
    </row>
    <row r="5914" spans="1:4" x14ac:dyDescent="0.2">
      <c r="B5914" t="s">
        <v>1</v>
      </c>
    </row>
    <row r="5916" spans="1:4" x14ac:dyDescent="0.2">
      <c r="A5916" t="s">
        <v>2269</v>
      </c>
      <c r="B5916" t="str">
        <f>HYPERLINK("https://lindat.mff.cuni.cz/services/teitok/pdtc10/index.php?action=vallex&amp;frame=v-w806f1", "doznívat (v-w806f1)")</f>
        <v>doznívat (v-w806f1)</v>
      </c>
    </row>
    <row r="5917" spans="1:4" x14ac:dyDescent="0.2">
      <c r="B5917" t="s">
        <v>1</v>
      </c>
      <c r="C5917" t="s">
        <v>147</v>
      </c>
      <c r="D5917" t="s">
        <v>23106</v>
      </c>
    </row>
    <row r="5919" spans="1:4" x14ac:dyDescent="0.2">
      <c r="A5919" t="s">
        <v>2270</v>
      </c>
      <c r="B5919" t="str">
        <f>HYPERLINK("https://lindat.mff.cuni.cz/services/teitok/pdtc10/index.php?action=vallex&amp;frame=v-w808f1", "dozrát (v-w808f1)")</f>
        <v>dozrát (v-w808f1)</v>
      </c>
    </row>
    <row r="5920" spans="1:4" x14ac:dyDescent="0.2">
      <c r="B5920" t="s">
        <v>1</v>
      </c>
      <c r="C5920" t="s">
        <v>186</v>
      </c>
      <c r="D5920" t="s">
        <v>715</v>
      </c>
    </row>
    <row r="5922" spans="1:4" x14ac:dyDescent="0.2">
      <c r="A5922" t="s">
        <v>2271</v>
      </c>
      <c r="B5922" t="str">
        <f>HYPERLINK("https://lindat.mff.cuni.cz/services/teitok/pdtc10/index.php?action=vallex&amp;frame=v-w808f2", "dozrát (v-w808f2)")</f>
        <v>dozrát (v-w808f2)</v>
      </c>
    </row>
    <row r="5923" spans="1:4" x14ac:dyDescent="0.2">
      <c r="B5923" t="s">
        <v>1</v>
      </c>
      <c r="D5923" t="s">
        <v>715</v>
      </c>
    </row>
    <row r="5925" spans="1:4" x14ac:dyDescent="0.2">
      <c r="A5925" t="s">
        <v>2272</v>
      </c>
      <c r="B5925" t="str">
        <f>HYPERLINK("https://lindat.mff.cuni.cz/services/teitok/pdtc10/index.php?action=vallex&amp;frame=v-w810f1", "dozrávat (v-w810f1)")</f>
        <v>dozrávat (v-w810f1)</v>
      </c>
    </row>
    <row r="5926" spans="1:4" x14ac:dyDescent="0.2">
      <c r="B5926" t="s">
        <v>1</v>
      </c>
      <c r="D5926" t="s">
        <v>715</v>
      </c>
    </row>
    <row r="5928" spans="1:4" x14ac:dyDescent="0.2">
      <c r="A5928" t="s">
        <v>2273</v>
      </c>
      <c r="B5928" t="str">
        <f>HYPERLINK("https://lindat.mff.cuni.cz/services/teitok/pdtc10/index.php?action=vallex&amp;frame=v-w810f2", "dozrávat (v-w810f2)")</f>
        <v>dozrávat (v-w810f2)</v>
      </c>
    </row>
    <row r="5929" spans="1:4" x14ac:dyDescent="0.2">
      <c r="B5929" t="s">
        <v>1</v>
      </c>
      <c r="C5929" t="s">
        <v>147</v>
      </c>
      <c r="D5929" t="s">
        <v>715</v>
      </c>
    </row>
    <row r="5931" spans="1:4" x14ac:dyDescent="0.2">
      <c r="A5931" t="s">
        <v>2274</v>
      </c>
      <c r="B5931" t="str">
        <f>HYPERLINK("https://lindat.mff.cuni.cz/services/teitok/pdtc10/index.php?action=vallex&amp;frame=v-w812f2", "dozvídat se (v-w812f2)")</f>
        <v>dozvídat se (v-w812f2)</v>
      </c>
    </row>
    <row r="5932" spans="1:4" x14ac:dyDescent="0.2">
      <c r="B5932" t="s">
        <v>1</v>
      </c>
      <c r="C5932" t="s">
        <v>1992</v>
      </c>
      <c r="D5932" t="s">
        <v>9234</v>
      </c>
    </row>
    <row r="5933" spans="1:4" x14ac:dyDescent="0.2">
      <c r="B5933" t="s">
        <v>1876</v>
      </c>
      <c r="C5933" t="s">
        <v>2253</v>
      </c>
      <c r="D5933" t="s">
        <v>23186</v>
      </c>
    </row>
    <row r="5934" spans="1:4" x14ac:dyDescent="0.2">
      <c r="B5934" t="s">
        <v>1877</v>
      </c>
      <c r="C5934" t="s">
        <v>2079</v>
      </c>
      <c r="D5934" t="s">
        <v>2915</v>
      </c>
    </row>
    <row r="5936" spans="1:4" x14ac:dyDescent="0.2">
      <c r="A5936" t="s">
        <v>2275</v>
      </c>
      <c r="B5936" t="str">
        <f>HYPERLINK("https://lindat.mff.cuni.cz/services/teitok/pdtc10/index.php?action=vallex&amp;frame=v-w812f1", "dozvídat se (v-w812f1)")</f>
        <v>dozvídat se (v-w812f1)</v>
      </c>
    </row>
    <row r="5937" spans="1:4" x14ac:dyDescent="0.2">
      <c r="B5937" t="s">
        <v>1</v>
      </c>
      <c r="C5937" t="s">
        <v>2237</v>
      </c>
    </row>
    <row r="5938" spans="1:4" x14ac:dyDescent="0.2">
      <c r="B5938" t="s">
        <v>1879</v>
      </c>
      <c r="C5938" t="s">
        <v>2276</v>
      </c>
    </row>
    <row r="5939" spans="1:4" x14ac:dyDescent="0.2">
      <c r="B5939" t="s">
        <v>269</v>
      </c>
    </row>
    <row r="5940" spans="1:4" x14ac:dyDescent="0.2">
      <c r="B5940" t="s">
        <v>1877</v>
      </c>
    </row>
    <row r="5942" spans="1:4" x14ac:dyDescent="0.2">
      <c r="A5942" t="s">
        <v>2277</v>
      </c>
      <c r="B5942" t="str">
        <f>HYPERLINK("https://lindat.mff.cuni.cz/services/teitok/pdtc10/index.php?action=vallex&amp;frame=v-w811f1", "dozvědět se (v-w811f1)")</f>
        <v>dozvědět se (v-w811f1)</v>
      </c>
    </row>
    <row r="5943" spans="1:4" x14ac:dyDescent="0.2">
      <c r="B5943" t="s">
        <v>1</v>
      </c>
      <c r="C5943" t="s">
        <v>2278</v>
      </c>
      <c r="D5943" t="s">
        <v>7388</v>
      </c>
    </row>
    <row r="5944" spans="1:4" x14ac:dyDescent="0.2">
      <c r="B5944" t="s">
        <v>1876</v>
      </c>
      <c r="C5944" t="s">
        <v>2279</v>
      </c>
      <c r="D5944" t="s">
        <v>23189</v>
      </c>
    </row>
    <row r="5945" spans="1:4" x14ac:dyDescent="0.2">
      <c r="B5945" t="s">
        <v>1877</v>
      </c>
      <c r="C5945" t="s">
        <v>2280</v>
      </c>
      <c r="D5945" t="s">
        <v>23190</v>
      </c>
    </row>
    <row r="5947" spans="1:4" x14ac:dyDescent="0.2">
      <c r="A5947" t="s">
        <v>2281</v>
      </c>
      <c r="B5947" t="str">
        <f>HYPERLINK("https://lindat.mff.cuni.cz/services/teitok/pdtc10/index.php?action=vallex&amp;frame=v-w811f2", "dozvědět se (v-w811f2)")</f>
        <v>dozvědět se (v-w811f2)</v>
      </c>
    </row>
    <row r="5948" spans="1:4" x14ac:dyDescent="0.2">
      <c r="B5948" t="s">
        <v>1</v>
      </c>
      <c r="C5948" t="s">
        <v>2282</v>
      </c>
      <c r="D5948" t="s">
        <v>9234</v>
      </c>
    </row>
    <row r="5949" spans="1:4" x14ac:dyDescent="0.2">
      <c r="B5949" t="s">
        <v>1879</v>
      </c>
      <c r="C5949" t="s">
        <v>2283</v>
      </c>
      <c r="D5949" t="s">
        <v>23185</v>
      </c>
    </row>
    <row r="5950" spans="1:4" x14ac:dyDescent="0.2">
      <c r="B5950" t="s">
        <v>269</v>
      </c>
      <c r="C5950" t="s">
        <v>2284</v>
      </c>
      <c r="D5950" t="s">
        <v>23186</v>
      </c>
    </row>
    <row r="5951" spans="1:4" x14ac:dyDescent="0.2">
      <c r="B5951" t="s">
        <v>1877</v>
      </c>
      <c r="C5951" t="s">
        <v>2285</v>
      </c>
      <c r="D5951" t="s">
        <v>2915</v>
      </c>
    </row>
    <row r="5953" spans="1:4" x14ac:dyDescent="0.2">
      <c r="A5953" t="s">
        <v>2286</v>
      </c>
      <c r="B5953" t="str">
        <f>HYPERLINK("https://lindat.mff.cuni.cz/services/teitok/pdtc10/index.php?action=vallex&amp;frame=v-w10070f2", "dozávodit (v-w10070f2)")</f>
        <v>dozávodit (v-w10070f2)</v>
      </c>
    </row>
    <row r="5954" spans="1:4" x14ac:dyDescent="0.2">
      <c r="B5954" t="s">
        <v>1</v>
      </c>
    </row>
    <row r="5955" spans="1:4" x14ac:dyDescent="0.2">
      <c r="B5955" t="s">
        <v>2287</v>
      </c>
    </row>
    <row r="5956" spans="1:4" x14ac:dyDescent="0.2">
      <c r="B5956" t="s">
        <v>2288</v>
      </c>
    </row>
    <row r="5958" spans="1:4" x14ac:dyDescent="0.2">
      <c r="A5958" t="s">
        <v>2289</v>
      </c>
      <c r="B5958" t="str">
        <f>HYPERLINK("https://lindat.mff.cuni.cz/services/teitok/pdtc10/index.php?action=vallex&amp;frame=v-w11049f3", "dozírat (v-w11049f3)")</f>
        <v>dozírat (v-w11049f3)</v>
      </c>
    </row>
    <row r="5959" spans="1:4" x14ac:dyDescent="0.2">
      <c r="B5959" t="s">
        <v>1</v>
      </c>
      <c r="C5959" t="s">
        <v>967</v>
      </c>
      <c r="D5959" t="s">
        <v>234</v>
      </c>
    </row>
    <row r="5960" spans="1:4" x14ac:dyDescent="0.2">
      <c r="B5960" t="s">
        <v>1521</v>
      </c>
      <c r="C5960" t="s">
        <v>2290</v>
      </c>
      <c r="D5960" t="s">
        <v>23127</v>
      </c>
    </row>
    <row r="5962" spans="1:4" x14ac:dyDescent="0.2">
      <c r="A5962" t="s">
        <v>2291</v>
      </c>
      <c r="B5962" t="str">
        <f>HYPERLINK("https://lindat.mff.cuni.cz/services/teitok/pdtc10/index.php?action=vallex&amp;frame=v-w527f6_ZU", "dočkat se (v-w527f6_ZU)")</f>
        <v>dočkat se (v-w527f6_ZU)</v>
      </c>
    </row>
    <row r="5963" spans="1:4" x14ac:dyDescent="0.2">
      <c r="B5963" t="s">
        <v>1</v>
      </c>
    </row>
    <row r="5964" spans="1:4" x14ac:dyDescent="0.2">
      <c r="B5964" t="s">
        <v>2230</v>
      </c>
    </row>
    <row r="5965" spans="1:4" x14ac:dyDescent="0.2">
      <c r="B5965" t="s">
        <v>321</v>
      </c>
    </row>
    <row r="5967" spans="1:4" x14ac:dyDescent="0.2">
      <c r="A5967" t="s">
        <v>2291</v>
      </c>
      <c r="B5967" t="str">
        <f>HYPERLINK("https://lindat.mff.cuni.cz/services/teitok/pdtc10/index.php?action=vallex&amp;frame=v-w527f2", "dočkat se (v-w527f2) - substituted with v-w527f6_ZU")</f>
        <v>dočkat se (v-w527f2) - substituted with v-w527f6_ZU</v>
      </c>
    </row>
    <row r="5968" spans="1:4" x14ac:dyDescent="0.2">
      <c r="B5968" t="s">
        <v>1</v>
      </c>
      <c r="C5968" t="s">
        <v>51</v>
      </c>
    </row>
    <row r="5969" spans="1:3" x14ac:dyDescent="0.2">
      <c r="B5969" t="s">
        <v>2230</v>
      </c>
      <c r="C5969" t="s">
        <v>2113</v>
      </c>
    </row>
    <row r="5970" spans="1:3" x14ac:dyDescent="0.2">
      <c r="B5970" t="s">
        <v>321</v>
      </c>
    </row>
    <row r="5972" spans="1:3" x14ac:dyDescent="0.2">
      <c r="A5972" t="s">
        <v>2291</v>
      </c>
      <c r="B5972" t="str">
        <f>HYPERLINK("https://lindat.mff.cuni.cz/services/teitok/pdtc10/index.php?action=vallex&amp;frame=v-w527f3_ZU", "dočkat se (v-w527f3_ZU) - substituted with v-w527f6_ZU")</f>
        <v>dočkat se (v-w527f3_ZU) - substituted with v-w527f6_ZU</v>
      </c>
    </row>
    <row r="5973" spans="1:3" x14ac:dyDescent="0.2">
      <c r="B5973" t="s">
        <v>1</v>
      </c>
    </row>
    <row r="5974" spans="1:3" x14ac:dyDescent="0.2">
      <c r="B5974" t="s">
        <v>2230</v>
      </c>
    </row>
    <row r="5975" spans="1:3" x14ac:dyDescent="0.2">
      <c r="B5975" t="s">
        <v>321</v>
      </c>
    </row>
    <row r="5977" spans="1:3" x14ac:dyDescent="0.2">
      <c r="A5977" t="s">
        <v>2291</v>
      </c>
      <c r="B5977" t="str">
        <f>HYPERLINK("https://lindat.mff.cuni.cz/services/teitok/pdtc10/index.php?action=vallex&amp;frame=v-w527hsa_177", "dočkat se (v-w527hsa_177) - substituted with v-w527f6_ZU")</f>
        <v>dočkat se (v-w527hsa_177) - substituted with v-w527f6_ZU</v>
      </c>
    </row>
    <row r="5978" spans="1:3" x14ac:dyDescent="0.2">
      <c r="B5978" t="s">
        <v>1</v>
      </c>
    </row>
    <row r="5979" spans="1:3" x14ac:dyDescent="0.2">
      <c r="B5979" t="s">
        <v>2230</v>
      </c>
    </row>
    <row r="5980" spans="1:3" x14ac:dyDescent="0.2">
      <c r="B5980" t="s">
        <v>321</v>
      </c>
    </row>
    <row r="5982" spans="1:3" x14ac:dyDescent="0.2">
      <c r="A5982" t="s">
        <v>2292</v>
      </c>
      <c r="B5982" t="str">
        <f>HYPERLINK("https://lindat.mff.cuni.cz/services/teitok/pdtc10/index.php?action=vallex&amp;frame=v-w527f7_ZU", "dočkat se (v-w527f7_ZU)")</f>
        <v>dočkat se (v-w527f7_ZU)</v>
      </c>
    </row>
    <row r="5983" spans="1:3" x14ac:dyDescent="0.2">
      <c r="B5983" t="s">
        <v>1</v>
      </c>
    </row>
    <row r="5984" spans="1:3" x14ac:dyDescent="0.2">
      <c r="B5984" t="s">
        <v>917</v>
      </c>
    </row>
    <row r="5986" spans="1:3" x14ac:dyDescent="0.2">
      <c r="A5986" t="s">
        <v>2292</v>
      </c>
      <c r="B5986" t="str">
        <f>HYPERLINK("https://lindat.mff.cuni.cz/services/teitok/pdtc10/index.php?action=vallex&amp;frame=v-w527f1", "dočkat se (v-w527f1) - substituted with v-w527f7_ZU")</f>
        <v>dočkat se (v-w527f1) - substituted with v-w527f7_ZU</v>
      </c>
    </row>
    <row r="5987" spans="1:3" x14ac:dyDescent="0.2">
      <c r="B5987" t="s">
        <v>1</v>
      </c>
      <c r="C5987" t="s">
        <v>682</v>
      </c>
    </row>
    <row r="5988" spans="1:3" x14ac:dyDescent="0.2">
      <c r="B5988" t="s">
        <v>917</v>
      </c>
      <c r="C5988" t="s">
        <v>2293</v>
      </c>
    </row>
    <row r="5990" spans="1:3" x14ac:dyDescent="0.2">
      <c r="A5990" t="s">
        <v>2294</v>
      </c>
      <c r="B5990" t="str">
        <f>HYPERLINK("https://lindat.mff.cuni.cz/services/teitok/pdtc10/index.php?action=vallex&amp;frame=v-w527f5_ZU", "dočkat se (v-w527f5_ZU)")</f>
        <v>dočkat se (v-w527f5_ZU)</v>
      </c>
    </row>
    <row r="5991" spans="1:3" x14ac:dyDescent="0.2">
      <c r="B5991" t="s">
        <v>1</v>
      </c>
    </row>
    <row r="5992" spans="1:3" x14ac:dyDescent="0.2">
      <c r="B5992" t="s">
        <v>2295</v>
      </c>
    </row>
    <row r="5994" spans="1:3" x14ac:dyDescent="0.2">
      <c r="A5994" t="s">
        <v>2294</v>
      </c>
      <c r="B5994" t="str">
        <f>HYPERLINK("https://lindat.mff.cuni.cz/services/teitok/pdtc10/index.php?action=vallex&amp;frame=v-w527f4_ZU", "dočkat se (v-w527f4_ZU) - substituted with v-w527f5_ZU")</f>
        <v>dočkat se (v-w527f4_ZU) - substituted with v-w527f5_ZU</v>
      </c>
    </row>
    <row r="5995" spans="1:3" x14ac:dyDescent="0.2">
      <c r="B5995" t="s">
        <v>1</v>
      </c>
    </row>
    <row r="5996" spans="1:3" x14ac:dyDescent="0.2">
      <c r="B5996" t="s">
        <v>2295</v>
      </c>
    </row>
    <row r="5998" spans="1:3" x14ac:dyDescent="0.2">
      <c r="A5998" t="s">
        <v>2296</v>
      </c>
      <c r="B5998" t="str">
        <f>HYPERLINK("https://lindat.mff.cuni.cz/services/teitok/pdtc10/index.php?action=vallex&amp;frame=v-w525f2", "dočíst se (v-w525f2)")</f>
        <v>dočíst se (v-w525f2)</v>
      </c>
    </row>
    <row r="5999" spans="1:3" x14ac:dyDescent="0.2">
      <c r="B5999" t="s">
        <v>1</v>
      </c>
    </row>
    <row r="6000" spans="1:3" x14ac:dyDescent="0.2">
      <c r="B6000" t="s">
        <v>183</v>
      </c>
    </row>
    <row r="6002" spans="1:3" x14ac:dyDescent="0.2">
      <c r="A6002" t="s">
        <v>2297</v>
      </c>
      <c r="B6002" t="str">
        <f>HYPERLINK("https://lindat.mff.cuni.cz/services/teitok/pdtc10/index.php?action=vallex&amp;frame=v-w525f1", "dočíst se (v-w525f1)")</f>
        <v>dočíst se (v-w525f1)</v>
      </c>
    </row>
    <row r="6003" spans="1:3" x14ac:dyDescent="0.2">
      <c r="B6003" t="s">
        <v>1</v>
      </c>
      <c r="C6003" t="s">
        <v>2237</v>
      </c>
    </row>
    <row r="6004" spans="1:3" x14ac:dyDescent="0.2">
      <c r="B6004" t="s">
        <v>1879</v>
      </c>
      <c r="C6004" t="s">
        <v>2298</v>
      </c>
    </row>
    <row r="6005" spans="1:3" x14ac:dyDescent="0.2">
      <c r="B6005" t="s">
        <v>269</v>
      </c>
    </row>
    <row r="6007" spans="1:3" x14ac:dyDescent="0.2">
      <c r="A6007" t="s">
        <v>2299</v>
      </c>
      <c r="B6007" t="str">
        <f>HYPERLINK("https://lindat.mff.cuni.cz/services/teitok/pdtc10/index.php?action=vallex&amp;frame=v-w526f1", "dočítat se (v-w526f1)")</f>
        <v>dočítat se (v-w526f1)</v>
      </c>
    </row>
    <row r="6008" spans="1:3" x14ac:dyDescent="0.2">
      <c r="B6008" t="s">
        <v>1</v>
      </c>
    </row>
    <row r="6009" spans="1:3" x14ac:dyDescent="0.2">
      <c r="B6009" t="s">
        <v>1879</v>
      </c>
    </row>
    <row r="6010" spans="1:3" x14ac:dyDescent="0.2">
      <c r="B6010" t="s">
        <v>269</v>
      </c>
    </row>
    <row r="6012" spans="1:3" x14ac:dyDescent="0.2">
      <c r="A6012" t="s">
        <v>2300</v>
      </c>
      <c r="B6012" t="str">
        <f>HYPERLINK("https://lindat.mff.cuni.cz/services/teitok/pdtc10/index.php?action=vallex&amp;frame=v-w11844_ZUf1_ZU", "dořezat se (v-w11844_ZUf1_ZU)")</f>
        <v>dořezat se (v-w11844_ZUf1_ZU)</v>
      </c>
    </row>
    <row r="6013" spans="1:3" x14ac:dyDescent="0.2">
      <c r="B6013" t="s">
        <v>1</v>
      </c>
    </row>
    <row r="6014" spans="1:3" x14ac:dyDescent="0.2">
      <c r="B6014" t="s">
        <v>2301</v>
      </c>
    </row>
    <row r="6015" spans="1:3" x14ac:dyDescent="0.2">
      <c r="B6015" t="s">
        <v>290</v>
      </c>
    </row>
    <row r="6016" spans="1:3" x14ac:dyDescent="0.2">
      <c r="B6016" t="s">
        <v>511</v>
      </c>
    </row>
    <row r="6018" spans="1:4" x14ac:dyDescent="0.2">
      <c r="A6018" t="s">
        <v>2302</v>
      </c>
      <c r="B6018" t="str">
        <f>HYPERLINK("https://lindat.mff.cuni.cz/services/teitok/pdtc10/index.php?action=vallex&amp;frame=v-w710f1", "dořešit (v-w710f1)")</f>
        <v>dořešit (v-w710f1)</v>
      </c>
    </row>
    <row r="6019" spans="1:4" x14ac:dyDescent="0.2">
      <c r="B6019" t="s">
        <v>1</v>
      </c>
      <c r="C6019" t="s">
        <v>2303</v>
      </c>
      <c r="D6019" t="s">
        <v>18782</v>
      </c>
    </row>
    <row r="6020" spans="1:4" x14ac:dyDescent="0.2">
      <c r="B6020" t="s">
        <v>2304</v>
      </c>
      <c r="C6020" t="s">
        <v>2305</v>
      </c>
      <c r="D6020" t="s">
        <v>23230</v>
      </c>
    </row>
    <row r="6022" spans="1:4" x14ac:dyDescent="0.2">
      <c r="A6022" t="s">
        <v>2306</v>
      </c>
      <c r="B6022" t="str">
        <f>HYPERLINK("https://lindat.mff.cuni.cz/services/teitok/pdtc10/index.php?action=vallex&amp;frame=v-w11840_ZUf1_ZU", "dořvat (v-w11840_ZUf1_ZU)")</f>
        <v>dořvat (v-w11840_ZUf1_ZU)</v>
      </c>
    </row>
    <row r="6023" spans="1:4" x14ac:dyDescent="0.2">
      <c r="B6023" t="s">
        <v>1</v>
      </c>
    </row>
    <row r="6024" spans="1:4" x14ac:dyDescent="0.2">
      <c r="B6024" t="s">
        <v>8</v>
      </c>
    </row>
    <row r="6026" spans="1:4" x14ac:dyDescent="0.2">
      <c r="A6026" t="s">
        <v>2307</v>
      </c>
      <c r="B6026" t="str">
        <f>HYPERLINK("https://lindat.mff.cuni.cz/services/teitok/pdtc10/index.php?action=vallex&amp;frame=v-w711f1", "doříci (v-w711f1)")</f>
        <v>doříci (v-w711f1)</v>
      </c>
    </row>
    <row r="6027" spans="1:4" x14ac:dyDescent="0.2">
      <c r="B6027" t="s">
        <v>1</v>
      </c>
    </row>
    <row r="6028" spans="1:4" x14ac:dyDescent="0.2">
      <c r="B6028" t="s">
        <v>8</v>
      </c>
    </row>
    <row r="6030" spans="1:4" x14ac:dyDescent="0.2">
      <c r="A6030" t="s">
        <v>2308</v>
      </c>
      <c r="B6030" t="str">
        <f>HYPERLINK("https://lindat.mff.cuni.cz/services/teitok/pdtc10/index.php?action=vallex&amp;frame=v-w11800_ZUf1_ZU", "doškolovat (v-w11800_ZUf1_ZU)")</f>
        <v>doškolovat (v-w11800_ZUf1_ZU)</v>
      </c>
    </row>
    <row r="6031" spans="1:4" x14ac:dyDescent="0.2">
      <c r="B6031" t="s">
        <v>1</v>
      </c>
    </row>
    <row r="6032" spans="1:4" x14ac:dyDescent="0.2">
      <c r="B6032" t="s">
        <v>8</v>
      </c>
    </row>
    <row r="6034" spans="1:2" x14ac:dyDescent="0.2">
      <c r="A6034" t="s">
        <v>2309</v>
      </c>
      <c r="B6034" t="str">
        <f>HYPERLINK("https://lindat.mff.cuni.cz/services/teitok/pdtc10/index.php?action=vallex&amp;frame=v-w11779_ZUf1_ZU", "došlápnout (v-w11779_ZUf1_ZU)")</f>
        <v>došlápnout (v-w11779_ZUf1_ZU)</v>
      </c>
    </row>
    <row r="6035" spans="1:2" x14ac:dyDescent="0.2">
      <c r="B6035" t="s">
        <v>1</v>
      </c>
    </row>
    <row r="6036" spans="1:2" x14ac:dyDescent="0.2">
      <c r="B6036" t="s">
        <v>252</v>
      </c>
    </row>
    <row r="6038" spans="1:2" x14ac:dyDescent="0.2">
      <c r="A6038" t="s">
        <v>2310</v>
      </c>
      <c r="B6038" t="str">
        <f>HYPERLINK("https://lindat.mff.cuni.cz/services/teitok/pdtc10/index.php?action=vallex&amp;frame=v-w748f1", "došlápnout si (v-w748f1)")</f>
        <v>došlápnout si (v-w748f1)</v>
      </c>
    </row>
    <row r="6039" spans="1:2" x14ac:dyDescent="0.2">
      <c r="B6039" t="s">
        <v>1</v>
      </c>
    </row>
    <row r="6040" spans="1:2" x14ac:dyDescent="0.2">
      <c r="B6040" t="s">
        <v>28</v>
      </c>
    </row>
    <row r="6042" spans="1:2" x14ac:dyDescent="0.2">
      <c r="A6042" t="s">
        <v>2311</v>
      </c>
      <c r="B6042" t="str">
        <f>HYPERLINK("https://lindat.mff.cuni.cz/services/teitok/pdtc10/index.php?action=vallex&amp;frame=v-w12091_ZUf1_ZU", "došplhat se (v-w12091_ZUf1_ZU)")</f>
        <v>došplhat se (v-w12091_ZUf1_ZU)</v>
      </c>
    </row>
    <row r="6043" spans="1:2" x14ac:dyDescent="0.2">
      <c r="B6043" t="s">
        <v>1</v>
      </c>
    </row>
    <row r="6044" spans="1:2" x14ac:dyDescent="0.2">
      <c r="B6044" t="s">
        <v>252</v>
      </c>
    </row>
    <row r="6046" spans="1:2" x14ac:dyDescent="0.2">
      <c r="A6046" t="s">
        <v>2312</v>
      </c>
      <c r="B6046" t="str">
        <f>HYPERLINK("https://lindat.mff.cuni.cz/services/teitok/pdtc10/index.php?action=vallex&amp;frame=v-whsa_1934hsa_1935", "doštráchat se (v-whsa_1934hsa_1935)")</f>
        <v>doštráchat se (v-whsa_1934hsa_1935)</v>
      </c>
    </row>
    <row r="6047" spans="1:2" x14ac:dyDescent="0.2">
      <c r="B6047" t="s">
        <v>1</v>
      </c>
    </row>
    <row r="6048" spans="1:2" x14ac:dyDescent="0.2">
      <c r="B6048" t="s">
        <v>90</v>
      </c>
    </row>
    <row r="6050" spans="1:4" x14ac:dyDescent="0.2">
      <c r="A6050" t="s">
        <v>2313</v>
      </c>
      <c r="B6050" t="str">
        <f>HYPERLINK("https://lindat.mff.cuni.cz/services/teitok/pdtc10/index.php?action=vallex&amp;frame=v-w813f1", "dožadovat se (v-w813f1)")</f>
        <v>dožadovat se (v-w813f1)</v>
      </c>
    </row>
    <row r="6051" spans="1:4" x14ac:dyDescent="0.2">
      <c r="B6051" t="s">
        <v>1</v>
      </c>
      <c r="C6051" t="s">
        <v>2314</v>
      </c>
      <c r="D6051" t="s">
        <v>23055</v>
      </c>
    </row>
    <row r="6052" spans="1:4" x14ac:dyDescent="0.2">
      <c r="B6052" t="s">
        <v>2315</v>
      </c>
      <c r="C6052" t="s">
        <v>2316</v>
      </c>
      <c r="D6052" t="s">
        <v>23056</v>
      </c>
    </row>
    <row r="6053" spans="1:4" x14ac:dyDescent="0.2">
      <c r="B6053" t="s">
        <v>1396</v>
      </c>
      <c r="C6053" t="s">
        <v>1697</v>
      </c>
      <c r="D6053" t="s">
        <v>23057</v>
      </c>
    </row>
    <row r="6055" spans="1:4" x14ac:dyDescent="0.2">
      <c r="A6055" t="s">
        <v>2317</v>
      </c>
      <c r="B6055" t="str">
        <f>HYPERLINK("https://lindat.mff.cuni.cz/services/teitok/pdtc10/index.php?action=vallex&amp;frame=v-whsa_1104hsa_1105", "dožít (v-whsa_1104hsa_1105)")</f>
        <v>dožít (v-whsa_1104hsa_1105)</v>
      </c>
    </row>
    <row r="6056" spans="1:4" x14ac:dyDescent="0.2">
      <c r="B6056" t="s">
        <v>1</v>
      </c>
    </row>
    <row r="6058" spans="1:4" x14ac:dyDescent="0.2">
      <c r="A6058" t="s">
        <v>2318</v>
      </c>
      <c r="B6058" t="str">
        <f>HYPERLINK("https://lindat.mff.cuni.cz/services/teitok/pdtc10/index.php?action=vallex&amp;frame=v-whsa_1104hsa_1106", "dožít (v-whsa_1104hsa_1106)")</f>
        <v>dožít (v-whsa_1104hsa_1106)</v>
      </c>
    </row>
    <row r="6059" spans="1:4" x14ac:dyDescent="0.2">
      <c r="B6059" t="s">
        <v>1</v>
      </c>
    </row>
    <row r="6060" spans="1:4" x14ac:dyDescent="0.2">
      <c r="B6060" t="s">
        <v>8</v>
      </c>
    </row>
    <row r="6062" spans="1:4" x14ac:dyDescent="0.2">
      <c r="A6062" t="s">
        <v>2319</v>
      </c>
      <c r="B6062" t="str">
        <f>HYPERLINK("https://lindat.mff.cuni.cz/services/teitok/pdtc10/index.php?action=vallex&amp;frame=v-w815f1", "dožít se (v-w815f1)")</f>
        <v>dožít se (v-w815f1)</v>
      </c>
    </row>
    <row r="6063" spans="1:4" x14ac:dyDescent="0.2">
      <c r="B6063" t="s">
        <v>1</v>
      </c>
    </row>
    <row r="6064" spans="1:4" x14ac:dyDescent="0.2">
      <c r="B6064" t="s">
        <v>917</v>
      </c>
    </row>
    <row r="6066" spans="1:4" x14ac:dyDescent="0.2">
      <c r="A6066" t="s">
        <v>2320</v>
      </c>
      <c r="B6066" t="str">
        <f>HYPERLINK("https://lindat.mff.cuni.cz/services/teitok/pdtc10/index.php?action=vallex&amp;frame=v-w816f1", "dožívat se (v-w816f1)")</f>
        <v>dožívat se (v-w816f1)</v>
      </c>
    </row>
    <row r="6067" spans="1:4" x14ac:dyDescent="0.2">
      <c r="B6067" t="s">
        <v>1</v>
      </c>
    </row>
    <row r="6068" spans="1:4" x14ac:dyDescent="0.2">
      <c r="B6068" t="s">
        <v>917</v>
      </c>
    </row>
    <row r="6070" spans="1:4" x14ac:dyDescent="0.2">
      <c r="A6070" t="s">
        <v>2321</v>
      </c>
      <c r="B6070" t="str">
        <f>HYPERLINK("https://lindat.mff.cuni.cz/services/teitok/pdtc10/index.php?action=vallex&amp;frame=v-w821f1", "dramatizovat (v-w821f1)")</f>
        <v>dramatizovat (v-w821f1)</v>
      </c>
    </row>
    <row r="6071" spans="1:4" x14ac:dyDescent="0.2">
      <c r="B6071" t="s">
        <v>1</v>
      </c>
    </row>
    <row r="6072" spans="1:4" x14ac:dyDescent="0.2">
      <c r="B6072" t="s">
        <v>8</v>
      </c>
    </row>
    <row r="6074" spans="1:4" x14ac:dyDescent="0.2">
      <c r="A6074" t="s">
        <v>2322</v>
      </c>
      <c r="B6074" t="str">
        <f>HYPERLINK("https://lindat.mff.cuni.cz/services/teitok/pdtc10/index.php?action=vallex&amp;frame=v-w821f2", "dramatizovat (v-w821f2)")</f>
        <v>dramatizovat (v-w821f2)</v>
      </c>
    </row>
    <row r="6075" spans="1:4" x14ac:dyDescent="0.2">
      <c r="B6075" t="s">
        <v>1</v>
      </c>
    </row>
    <row r="6076" spans="1:4" x14ac:dyDescent="0.2">
      <c r="B6076" t="s">
        <v>8</v>
      </c>
    </row>
    <row r="6078" spans="1:4" x14ac:dyDescent="0.2">
      <c r="A6078" t="s">
        <v>2323</v>
      </c>
      <c r="B6078" t="str">
        <f>HYPERLINK("https://lindat.mff.cuni.cz/services/teitok/pdtc10/index.php?action=vallex&amp;frame=v-w823f1", "drancovat (v-w823f1)")</f>
        <v>drancovat (v-w823f1)</v>
      </c>
    </row>
    <row r="6079" spans="1:4" x14ac:dyDescent="0.2">
      <c r="B6079" t="s">
        <v>1</v>
      </c>
      <c r="D6079" t="s">
        <v>23231</v>
      </c>
    </row>
    <row r="6080" spans="1:4" x14ac:dyDescent="0.2">
      <c r="B6080" t="s">
        <v>8</v>
      </c>
      <c r="D6080" t="s">
        <v>23232</v>
      </c>
    </row>
    <row r="6082" spans="1:4" x14ac:dyDescent="0.2">
      <c r="A6082" t="s">
        <v>2324</v>
      </c>
      <c r="B6082" t="str">
        <f>HYPERLINK("https://lindat.mff.cuni.cz/services/teitok/pdtc10/index.php?action=vallex&amp;frame=v-whsa_1876hsa_1877", "drandit (v-whsa_1876hsa_1877)")</f>
        <v>drandit (v-whsa_1876hsa_1877)</v>
      </c>
    </row>
    <row r="6083" spans="1:4" x14ac:dyDescent="0.2">
      <c r="B6083" t="s">
        <v>1</v>
      </c>
    </row>
    <row r="6085" spans="1:4" x14ac:dyDescent="0.2">
      <c r="A6085" t="s">
        <v>2325</v>
      </c>
      <c r="B6085" t="str">
        <f>HYPERLINK("https://lindat.mff.cuni.cz/services/teitok/pdtc10/index.php?action=vallex&amp;frame=v-w827f1", "dražit (v-w827f1)")</f>
        <v>dražit (v-w827f1)</v>
      </c>
    </row>
    <row r="6086" spans="1:4" x14ac:dyDescent="0.2">
      <c r="B6086" t="s">
        <v>1</v>
      </c>
      <c r="C6086" t="s">
        <v>22</v>
      </c>
      <c r="D6086" t="s">
        <v>2239</v>
      </c>
    </row>
    <row r="6087" spans="1:4" x14ac:dyDescent="0.2">
      <c r="B6087" t="s">
        <v>8</v>
      </c>
      <c r="C6087" t="s">
        <v>354</v>
      </c>
      <c r="D6087" t="s">
        <v>1510</v>
      </c>
    </row>
    <row r="6089" spans="1:4" x14ac:dyDescent="0.2">
      <c r="A6089" t="s">
        <v>2326</v>
      </c>
      <c r="B6089" t="str">
        <f>HYPERLINK("https://lindat.mff.cuni.cz/services/teitok/pdtc10/index.php?action=vallex&amp;frame=v-w11932_ZUf1_ZU", "drbat (v-w11932_ZUf1_ZU)")</f>
        <v>drbat (v-w11932_ZUf1_ZU)</v>
      </c>
    </row>
    <row r="6090" spans="1:4" x14ac:dyDescent="0.2">
      <c r="B6090" t="s">
        <v>1</v>
      </c>
    </row>
    <row r="6091" spans="1:4" x14ac:dyDescent="0.2">
      <c r="B6091" t="s">
        <v>2327</v>
      </c>
    </row>
    <row r="6092" spans="1:4" x14ac:dyDescent="0.2">
      <c r="B6092" t="s">
        <v>2328</v>
      </c>
    </row>
    <row r="6094" spans="1:4" x14ac:dyDescent="0.2">
      <c r="A6094" t="s">
        <v>2329</v>
      </c>
      <c r="B6094" t="str">
        <f>HYPERLINK("https://lindat.mff.cuni.cz/services/teitok/pdtc10/index.php?action=vallex&amp;frame=v-w11932_ZUf2_ZU", "drbat (v-w11932_ZUf2_ZU)")</f>
        <v>drbat (v-w11932_ZUf2_ZU)</v>
      </c>
    </row>
    <row r="6095" spans="1:4" x14ac:dyDescent="0.2">
      <c r="B6095" t="s">
        <v>1</v>
      </c>
    </row>
    <row r="6096" spans="1:4" x14ac:dyDescent="0.2">
      <c r="B6096" t="s">
        <v>8</v>
      </c>
    </row>
    <row r="6098" spans="1:2" x14ac:dyDescent="0.2">
      <c r="A6098" t="s">
        <v>2330</v>
      </c>
      <c r="B6098" t="str">
        <f>HYPERLINK("https://lindat.mff.cuni.cz/services/teitok/pdtc10/index.php?action=vallex&amp;frame=v-w10165f2", "drhnout (v-w10165f2)")</f>
        <v>drhnout (v-w10165f2)</v>
      </c>
    </row>
    <row r="6099" spans="1:2" x14ac:dyDescent="0.2">
      <c r="B6099" t="s">
        <v>1</v>
      </c>
    </row>
    <row r="6101" spans="1:2" x14ac:dyDescent="0.2">
      <c r="A6101" t="s">
        <v>2331</v>
      </c>
      <c r="B6101" t="str">
        <f>HYPERLINK("https://lindat.mff.cuni.cz/services/teitok/pdtc10/index.php?action=vallex&amp;frame=v-w10165f5_ZU", "drhnout (v-w10165f5_ZU)")</f>
        <v>drhnout (v-w10165f5_ZU)</v>
      </c>
    </row>
    <row r="6102" spans="1:2" x14ac:dyDescent="0.2">
      <c r="B6102" t="s">
        <v>1</v>
      </c>
    </row>
    <row r="6103" spans="1:2" x14ac:dyDescent="0.2">
      <c r="B6103" t="s">
        <v>8</v>
      </c>
    </row>
    <row r="6105" spans="1:2" x14ac:dyDescent="0.2">
      <c r="A6105" t="s">
        <v>2331</v>
      </c>
      <c r="B6105" t="str">
        <f>HYPERLINK("https://lindat.mff.cuni.cz/services/teitok/pdtc10/index.php?action=vallex&amp;frame=v-w10165f3_ZU", "drhnout (v-w10165f3_ZU) - substituted with v-w10165f5_ZU")</f>
        <v>drhnout (v-w10165f3_ZU) - substituted with v-w10165f5_ZU</v>
      </c>
    </row>
    <row r="6106" spans="1:2" x14ac:dyDescent="0.2">
      <c r="B6106" t="s">
        <v>1</v>
      </c>
    </row>
    <row r="6107" spans="1:2" x14ac:dyDescent="0.2">
      <c r="B6107" t="s">
        <v>8</v>
      </c>
    </row>
    <row r="6109" spans="1:2" x14ac:dyDescent="0.2">
      <c r="A6109" t="s">
        <v>2331</v>
      </c>
      <c r="B6109" t="str">
        <f>HYPERLINK("https://lindat.mff.cuni.cz/services/teitok/pdtc10/index.php?action=vallex&amp;frame=v-w10165f4_ZU", "drhnout (v-w10165f4_ZU) - substituted with v-w10165f5_ZU")</f>
        <v>drhnout (v-w10165f4_ZU) - substituted with v-w10165f5_ZU</v>
      </c>
    </row>
    <row r="6110" spans="1:2" x14ac:dyDescent="0.2">
      <c r="B6110" t="s">
        <v>1</v>
      </c>
    </row>
    <row r="6111" spans="1:2" x14ac:dyDescent="0.2">
      <c r="B6111" t="s">
        <v>8</v>
      </c>
    </row>
    <row r="6113" spans="1:4" x14ac:dyDescent="0.2">
      <c r="A6113" t="s">
        <v>2332</v>
      </c>
      <c r="B6113" t="str">
        <f>HYPERLINK("https://lindat.mff.cuni.cz/services/teitok/pdtc10/index.php?action=vallex&amp;frame=v-whsa_869hsa_870", "drncat (v-whsa_869hsa_870)")</f>
        <v>drncat (v-whsa_869hsa_870)</v>
      </c>
    </row>
    <row r="6114" spans="1:4" x14ac:dyDescent="0.2">
      <c r="B6114" t="s">
        <v>1</v>
      </c>
    </row>
    <row r="6116" spans="1:4" x14ac:dyDescent="0.2">
      <c r="A6116" t="s">
        <v>2333</v>
      </c>
      <c r="B6116" t="str">
        <f>HYPERLINK("https://lindat.mff.cuni.cz/services/teitok/pdtc10/index.php?action=vallex&amp;frame=v-w10448f2", "drobit (v-w10448f2)")</f>
        <v>drobit (v-w10448f2)</v>
      </c>
    </row>
    <row r="6117" spans="1:4" x14ac:dyDescent="0.2">
      <c r="B6117" t="s">
        <v>1</v>
      </c>
    </row>
    <row r="6118" spans="1:4" x14ac:dyDescent="0.2">
      <c r="B6118" t="s">
        <v>8</v>
      </c>
    </row>
    <row r="6119" spans="1:4" x14ac:dyDescent="0.2">
      <c r="B6119" t="s">
        <v>2334</v>
      </c>
    </row>
    <row r="6121" spans="1:4" x14ac:dyDescent="0.2">
      <c r="A6121" t="s">
        <v>2335</v>
      </c>
      <c r="B6121" t="str">
        <f>HYPERLINK("https://lindat.mff.cuni.cz/services/teitok/pdtc10/index.php?action=vallex&amp;frame=v-w11325f1", "drolit se (v-w11325f1)")</f>
        <v>drolit se (v-w11325f1)</v>
      </c>
    </row>
    <row r="6122" spans="1:4" x14ac:dyDescent="0.2">
      <c r="B6122" t="s">
        <v>1</v>
      </c>
      <c r="C6122" t="s">
        <v>201</v>
      </c>
      <c r="D6122" t="s">
        <v>23100</v>
      </c>
    </row>
    <row r="6123" spans="1:4" x14ac:dyDescent="0.2">
      <c r="B6123" t="s">
        <v>2336</v>
      </c>
      <c r="D6123" t="s">
        <v>21785</v>
      </c>
    </row>
    <row r="6125" spans="1:4" x14ac:dyDescent="0.2">
      <c r="A6125" t="s">
        <v>2337</v>
      </c>
      <c r="B6125" t="str">
        <f>HYPERLINK("https://lindat.mff.cuni.cz/services/teitok/pdtc10/index.php?action=vallex&amp;frame=v-w831f1", "drožkařit (v-w831f1)")</f>
        <v>drožkařit (v-w831f1)</v>
      </c>
    </row>
    <row r="6126" spans="1:4" x14ac:dyDescent="0.2">
      <c r="B6126" t="s">
        <v>1</v>
      </c>
    </row>
    <row r="6128" spans="1:4" x14ac:dyDescent="0.2">
      <c r="A6128" t="s">
        <v>2338</v>
      </c>
      <c r="B6128" t="str">
        <f>HYPERLINK("https://lindat.mff.cuni.cz/services/teitok/pdtc10/index.php?action=vallex&amp;frame=v-w832f1", "drtit (v-w832f1)")</f>
        <v>drtit (v-w832f1)</v>
      </c>
    </row>
    <row r="6129" spans="1:4" x14ac:dyDescent="0.2">
      <c r="B6129" t="s">
        <v>1</v>
      </c>
    </row>
    <row r="6130" spans="1:4" x14ac:dyDescent="0.2">
      <c r="B6130" t="s">
        <v>8</v>
      </c>
    </row>
    <row r="6132" spans="1:4" x14ac:dyDescent="0.2">
      <c r="A6132" t="s">
        <v>2339</v>
      </c>
      <c r="B6132" t="str">
        <f>HYPERLINK("https://lindat.mff.cuni.cz/services/teitok/pdtc10/index.php?action=vallex&amp;frame=v-w834f2", "družit se (v-w834f2)")</f>
        <v>družit se (v-w834f2)</v>
      </c>
    </row>
    <row r="6133" spans="1:4" x14ac:dyDescent="0.2">
      <c r="B6133" t="s">
        <v>1</v>
      </c>
    </row>
    <row r="6134" spans="1:4" x14ac:dyDescent="0.2">
      <c r="B6134" t="s">
        <v>411</v>
      </c>
    </row>
    <row r="6135" spans="1:4" x14ac:dyDescent="0.2">
      <c r="B6135" t="s">
        <v>2156</v>
      </c>
    </row>
    <row r="6137" spans="1:4" x14ac:dyDescent="0.2">
      <c r="A6137" t="s">
        <v>2340</v>
      </c>
      <c r="B6137" t="str">
        <f>HYPERLINK("https://lindat.mff.cuni.cz/services/teitok/pdtc10/index.php?action=vallex&amp;frame=v-w834f1", "družit se (v-w834f1)")</f>
        <v>družit se (v-w834f1)</v>
      </c>
    </row>
    <row r="6138" spans="1:4" x14ac:dyDescent="0.2">
      <c r="B6138" t="s">
        <v>1</v>
      </c>
      <c r="D6138" t="s">
        <v>23233</v>
      </c>
    </row>
    <row r="6139" spans="1:4" x14ac:dyDescent="0.2">
      <c r="B6139" t="s">
        <v>176</v>
      </c>
      <c r="D6139" t="s">
        <v>23234</v>
      </c>
    </row>
    <row r="6141" spans="1:4" x14ac:dyDescent="0.2">
      <c r="A6141" t="s">
        <v>2341</v>
      </c>
      <c r="B6141" t="str">
        <f>HYPERLINK("https://lindat.mff.cuni.cz/services/teitok/pdtc10/index.php?action=vallex&amp;frame=v-w834f3", "družit se (v-w834f3)")</f>
        <v>družit se (v-w834f3)</v>
      </c>
    </row>
    <row r="6142" spans="1:4" x14ac:dyDescent="0.2">
      <c r="B6142" t="s">
        <v>1</v>
      </c>
    </row>
    <row r="6143" spans="1:4" x14ac:dyDescent="0.2">
      <c r="B6143" t="s">
        <v>411</v>
      </c>
    </row>
    <row r="6145" spans="1:4" x14ac:dyDescent="0.2">
      <c r="A6145" t="s">
        <v>2342</v>
      </c>
      <c r="B6145" t="str">
        <f>HYPERLINK("https://lindat.mff.cuni.cz/services/teitok/pdtc10/index.php?action=vallex&amp;frame=v-w11510_ZUf2_ZU", "drápat se (v-w11510_ZUf2_ZU)")</f>
        <v>drápat se (v-w11510_ZUf2_ZU)</v>
      </c>
    </row>
    <row r="6146" spans="1:4" x14ac:dyDescent="0.2">
      <c r="B6146" t="s">
        <v>1</v>
      </c>
      <c r="C6146" t="s">
        <v>140</v>
      </c>
      <c r="D6146" t="s">
        <v>23235</v>
      </c>
    </row>
    <row r="6147" spans="1:4" x14ac:dyDescent="0.2">
      <c r="B6147" t="s">
        <v>252</v>
      </c>
      <c r="D6147" t="s">
        <v>23236</v>
      </c>
    </row>
    <row r="6149" spans="1:4" x14ac:dyDescent="0.2">
      <c r="A6149" t="s">
        <v>2342</v>
      </c>
      <c r="B6149" t="str">
        <f>HYPERLINK("https://lindat.mff.cuni.cz/services/teitok/pdtc10/index.php?action=vallex&amp;frame=v-w11510_ZUf1_ZU", "drápat se (v-w11510_ZUf1_ZU) - substituted with v-w11510_ZUf2_ZU")</f>
        <v>drápat se (v-w11510_ZUf1_ZU) - substituted with v-w11510_ZUf2_ZU</v>
      </c>
    </row>
    <row r="6150" spans="1:4" x14ac:dyDescent="0.2">
      <c r="B6150" t="s">
        <v>1</v>
      </c>
    </row>
    <row r="6151" spans="1:4" x14ac:dyDescent="0.2">
      <c r="B6151" t="s">
        <v>252</v>
      </c>
    </row>
    <row r="6153" spans="1:4" x14ac:dyDescent="0.2">
      <c r="A6153" t="s">
        <v>2343</v>
      </c>
      <c r="B6153" t="str">
        <f>HYPERLINK("https://lindat.mff.cuni.cz/services/teitok/pdtc10/index.php?action=vallex&amp;frame=v-w824f2", "drát se (v-w824f2)")</f>
        <v>drát se (v-w824f2)</v>
      </c>
    </row>
    <row r="6154" spans="1:4" x14ac:dyDescent="0.2">
      <c r="B6154" t="s">
        <v>1</v>
      </c>
      <c r="C6154" t="s">
        <v>337</v>
      </c>
      <c r="D6154" t="s">
        <v>1992</v>
      </c>
    </row>
    <row r="6155" spans="1:4" x14ac:dyDescent="0.2">
      <c r="B6155" t="s">
        <v>153</v>
      </c>
      <c r="D6155" t="s">
        <v>22991</v>
      </c>
    </row>
    <row r="6156" spans="1:4" x14ac:dyDescent="0.2">
      <c r="B6156" t="s">
        <v>2287</v>
      </c>
      <c r="C6156" t="s">
        <v>2344</v>
      </c>
      <c r="D6156" t="s">
        <v>22992</v>
      </c>
    </row>
    <row r="6158" spans="1:4" x14ac:dyDescent="0.2">
      <c r="A6158" t="s">
        <v>2345</v>
      </c>
      <c r="B6158" t="str">
        <f>HYPERLINK("https://lindat.mff.cuni.cz/services/teitok/pdtc10/index.php?action=vallex&amp;frame=v-w824f1", "drát se (v-w824f1)")</f>
        <v>drát se (v-w824f1)</v>
      </c>
    </row>
    <row r="6159" spans="1:4" x14ac:dyDescent="0.2">
      <c r="B6159" t="s">
        <v>1</v>
      </c>
    </row>
    <row r="6160" spans="1:4" x14ac:dyDescent="0.2">
      <c r="B6160" t="s">
        <v>90</v>
      </c>
    </row>
    <row r="6162" spans="1:4" x14ac:dyDescent="0.2">
      <c r="A6162" t="s">
        <v>2346</v>
      </c>
      <c r="B6162" t="str">
        <f>HYPERLINK("https://lindat.mff.cuni.cz/services/teitok/pdtc10/index.php?action=vallex&amp;frame=v-w826f2", "dráždit (v-w826f2)")</f>
        <v>dráždit (v-w826f2)</v>
      </c>
    </row>
    <row r="6163" spans="1:4" x14ac:dyDescent="0.2">
      <c r="B6163" t="s">
        <v>1</v>
      </c>
      <c r="C6163" t="s">
        <v>2347</v>
      </c>
      <c r="D6163" t="s">
        <v>337</v>
      </c>
    </row>
    <row r="6164" spans="1:4" x14ac:dyDescent="0.2">
      <c r="B6164" t="s">
        <v>8</v>
      </c>
      <c r="C6164" t="s">
        <v>2348</v>
      </c>
      <c r="D6164" t="s">
        <v>3433</v>
      </c>
    </row>
    <row r="6166" spans="1:4" x14ac:dyDescent="0.2">
      <c r="A6166" t="s">
        <v>2349</v>
      </c>
      <c r="B6166" t="str">
        <f>HYPERLINK("https://lindat.mff.cuni.cz/services/teitok/pdtc10/index.php?action=vallex&amp;frame=v-w826f3", "dráždit (v-w826f3)")</f>
        <v>dráždit (v-w826f3)</v>
      </c>
    </row>
    <row r="6167" spans="1:4" x14ac:dyDescent="0.2">
      <c r="B6167" t="s">
        <v>1</v>
      </c>
    </row>
    <row r="6168" spans="1:4" x14ac:dyDescent="0.2">
      <c r="B6168" t="s">
        <v>8</v>
      </c>
    </row>
    <row r="6170" spans="1:4" x14ac:dyDescent="0.2">
      <c r="A6170" t="s">
        <v>2350</v>
      </c>
      <c r="B6170" t="str">
        <f>HYPERLINK("https://lindat.mff.cuni.cz/services/teitok/pdtc10/index.php?action=vallex&amp;frame=v-w826f4_ZU", "dráždit (v-w826f4_ZU)")</f>
        <v>dráždit (v-w826f4_ZU)</v>
      </c>
    </row>
    <row r="6171" spans="1:4" x14ac:dyDescent="0.2">
      <c r="B6171" t="s">
        <v>1</v>
      </c>
    </row>
    <row r="6172" spans="1:4" x14ac:dyDescent="0.2">
      <c r="B6172" t="s">
        <v>58</v>
      </c>
    </row>
    <row r="6173" spans="1:4" x14ac:dyDescent="0.2">
      <c r="B6173" t="s">
        <v>2351</v>
      </c>
    </row>
    <row r="6175" spans="1:4" x14ac:dyDescent="0.2">
      <c r="A6175" t="s">
        <v>2350</v>
      </c>
      <c r="B6175" t="str">
        <f>HYPERLINK("https://lindat.mff.cuni.cz/services/teitok/pdtc10/index.php?action=vallex&amp;frame=v-w826f1", "dráždit (v-w826f1) - substituted with v-w826f4_ZU")</f>
        <v>dráždit (v-w826f1) - substituted with v-w826f4_ZU</v>
      </c>
    </row>
    <row r="6176" spans="1:4" x14ac:dyDescent="0.2">
      <c r="B6176" t="s">
        <v>1</v>
      </c>
    </row>
    <row r="6177" spans="1:4" x14ac:dyDescent="0.2">
      <c r="B6177" t="s">
        <v>58</v>
      </c>
    </row>
    <row r="6178" spans="1:4" x14ac:dyDescent="0.2">
      <c r="B6178" t="s">
        <v>2351</v>
      </c>
    </row>
    <row r="6180" spans="1:4" x14ac:dyDescent="0.2">
      <c r="A6180" t="s">
        <v>2350</v>
      </c>
      <c r="B6180" t="str">
        <f>HYPERLINK("https://lindat.mff.cuni.cz/services/teitok/pdtc10/index.php?action=vallex&amp;frame=v-w826hsa_260", "dráždit (v-w826hsa_260) - substituted with v-w826f4_ZU")</f>
        <v>dráždit (v-w826hsa_260) - substituted with v-w826f4_ZU</v>
      </c>
    </row>
    <row r="6181" spans="1:4" x14ac:dyDescent="0.2">
      <c r="B6181" t="s">
        <v>1</v>
      </c>
    </row>
    <row r="6182" spans="1:4" x14ac:dyDescent="0.2">
      <c r="B6182" t="s">
        <v>58</v>
      </c>
    </row>
    <row r="6183" spans="1:4" x14ac:dyDescent="0.2">
      <c r="B6183" t="s">
        <v>2351</v>
      </c>
    </row>
    <row r="6185" spans="1:4" x14ac:dyDescent="0.2">
      <c r="A6185" t="s">
        <v>2352</v>
      </c>
      <c r="B6185" t="str">
        <f>HYPERLINK("https://lindat.mff.cuni.cz/services/teitok/pdtc10/index.php?action=vallex&amp;frame=v-w839f17_ZU", "držet (v-w839f17_ZU)")</f>
        <v>držet (v-w839f17_ZU)</v>
      </c>
    </row>
    <row r="6186" spans="1:4" x14ac:dyDescent="0.2">
      <c r="B6186" t="s">
        <v>1</v>
      </c>
      <c r="C6186" t="s">
        <v>2353</v>
      </c>
    </row>
    <row r="6187" spans="1:4" x14ac:dyDescent="0.2">
      <c r="B6187" t="s">
        <v>8</v>
      </c>
      <c r="C6187" t="s">
        <v>2354</v>
      </c>
    </row>
    <row r="6188" spans="1:4" x14ac:dyDescent="0.2">
      <c r="B6188" t="s">
        <v>2355</v>
      </c>
      <c r="C6188" t="s">
        <v>2356</v>
      </c>
    </row>
    <row r="6190" spans="1:4" x14ac:dyDescent="0.2">
      <c r="A6190" t="s">
        <v>2357</v>
      </c>
      <c r="B6190" t="str">
        <f>HYPERLINK("https://lindat.mff.cuni.cz/services/teitok/pdtc10/index.php?action=vallex&amp;frame=v-w839f5", "držet (v-w839f5)")</f>
        <v>držet (v-w839f5)</v>
      </c>
    </row>
    <row r="6191" spans="1:4" x14ac:dyDescent="0.2">
      <c r="B6191" t="s">
        <v>1</v>
      </c>
      <c r="C6191" t="s">
        <v>2358</v>
      </c>
      <c r="D6191" t="s">
        <v>2353</v>
      </c>
    </row>
    <row r="6192" spans="1:4" x14ac:dyDescent="0.2">
      <c r="B6192" t="s">
        <v>8</v>
      </c>
      <c r="C6192" t="s">
        <v>2359</v>
      </c>
      <c r="D6192" t="s">
        <v>2354</v>
      </c>
    </row>
    <row r="6193" spans="1:4" x14ac:dyDescent="0.2">
      <c r="B6193" t="s">
        <v>2360</v>
      </c>
      <c r="C6193" t="s">
        <v>2361</v>
      </c>
      <c r="D6193" t="s">
        <v>23237</v>
      </c>
    </row>
    <row r="6195" spans="1:4" x14ac:dyDescent="0.2">
      <c r="A6195" t="s">
        <v>2362</v>
      </c>
      <c r="B6195" t="str">
        <f>HYPERLINK("https://lindat.mff.cuni.cz/services/teitok/pdtc10/index.php?action=vallex&amp;frame=v-w839f2", "držet (v-w839f2)")</f>
        <v>držet (v-w839f2)</v>
      </c>
    </row>
    <row r="6196" spans="1:4" x14ac:dyDescent="0.2">
      <c r="B6196" t="s">
        <v>1</v>
      </c>
      <c r="C6196" t="s">
        <v>2363</v>
      </c>
      <c r="D6196" t="s">
        <v>133</v>
      </c>
    </row>
    <row r="6197" spans="1:4" x14ac:dyDescent="0.2">
      <c r="B6197" t="s">
        <v>8</v>
      </c>
      <c r="C6197" t="s">
        <v>2364</v>
      </c>
      <c r="D6197" t="s">
        <v>1044</v>
      </c>
    </row>
    <row r="6198" spans="1:4" x14ac:dyDescent="0.2">
      <c r="B6198" t="s">
        <v>5</v>
      </c>
      <c r="C6198" t="s">
        <v>2365</v>
      </c>
    </row>
    <row r="6200" spans="1:4" x14ac:dyDescent="0.2">
      <c r="A6200" t="s">
        <v>2366</v>
      </c>
      <c r="B6200" t="str">
        <f>HYPERLINK("https://lindat.mff.cuni.cz/services/teitok/pdtc10/index.php?action=vallex&amp;frame=v-w839f33_ZU", "držet (v-w839f33_ZU)")</f>
        <v>držet (v-w839f33_ZU)</v>
      </c>
    </row>
    <row r="6201" spans="1:4" x14ac:dyDescent="0.2">
      <c r="B6201" t="s">
        <v>1</v>
      </c>
    </row>
    <row r="6202" spans="1:4" x14ac:dyDescent="0.2">
      <c r="B6202" t="s">
        <v>8</v>
      </c>
    </row>
    <row r="6204" spans="1:4" x14ac:dyDescent="0.2">
      <c r="A6204" t="s">
        <v>2366</v>
      </c>
      <c r="B6204" t="str">
        <f>HYPERLINK("https://lindat.mff.cuni.cz/services/teitok/pdtc10/index.php?action=vallex&amp;frame=v-w839f1", "držet (v-w839f1) - substituted with v-w839f33_ZU")</f>
        <v>držet (v-w839f1) - substituted with v-w839f33_ZU</v>
      </c>
    </row>
    <row r="6205" spans="1:4" x14ac:dyDescent="0.2">
      <c r="B6205" t="s">
        <v>1</v>
      </c>
      <c r="C6205" t="s">
        <v>2367</v>
      </c>
      <c r="D6205" t="s">
        <v>23238</v>
      </c>
    </row>
    <row r="6206" spans="1:4" x14ac:dyDescent="0.2">
      <c r="B6206" t="s">
        <v>8</v>
      </c>
      <c r="C6206" t="s">
        <v>2368</v>
      </c>
      <c r="D6206" t="s">
        <v>23239</v>
      </c>
    </row>
    <row r="6208" spans="1:4" x14ac:dyDescent="0.2">
      <c r="A6208" t="s">
        <v>2369</v>
      </c>
      <c r="B6208" t="str">
        <f>HYPERLINK("https://lindat.mff.cuni.cz/services/teitok/pdtc10/index.php?action=vallex&amp;frame=v-w839f3", "držet (v-w839f3)")</f>
        <v>držet (v-w839f3)</v>
      </c>
    </row>
    <row r="6209" spans="1:4" x14ac:dyDescent="0.2">
      <c r="B6209" t="s">
        <v>1</v>
      </c>
      <c r="C6209" t="s">
        <v>2370</v>
      </c>
      <c r="D6209" t="s">
        <v>23240</v>
      </c>
    </row>
    <row r="6210" spans="1:4" x14ac:dyDescent="0.2">
      <c r="B6210" t="s">
        <v>8</v>
      </c>
      <c r="C6210" t="s">
        <v>2371</v>
      </c>
      <c r="D6210" t="s">
        <v>9980</v>
      </c>
    </row>
    <row r="6212" spans="1:4" x14ac:dyDescent="0.2">
      <c r="A6212" t="s">
        <v>2372</v>
      </c>
      <c r="B6212" t="str">
        <f>HYPERLINK("https://lindat.mff.cuni.cz/services/teitok/pdtc10/index.php?action=vallex&amp;frame=v-w839f9", "držet (v-w839f9)")</f>
        <v>držet (v-w839f9)</v>
      </c>
    </row>
    <row r="6213" spans="1:4" x14ac:dyDescent="0.2">
      <c r="B6213" t="s">
        <v>1</v>
      </c>
      <c r="C6213" t="s">
        <v>2373</v>
      </c>
    </row>
    <row r="6214" spans="1:4" x14ac:dyDescent="0.2">
      <c r="B6214" t="s">
        <v>8</v>
      </c>
      <c r="C6214" t="s">
        <v>2374</v>
      </c>
    </row>
    <row r="6216" spans="1:4" x14ac:dyDescent="0.2">
      <c r="A6216" t="s">
        <v>2375</v>
      </c>
      <c r="B6216" t="str">
        <f>HYPERLINK("https://lindat.mff.cuni.cz/services/teitok/pdtc10/index.php?action=vallex&amp;frame=v-w839f15", "držet (v-w839f15)")</f>
        <v>držet (v-w839f15)</v>
      </c>
    </row>
    <row r="6217" spans="1:4" x14ac:dyDescent="0.2">
      <c r="B6217" t="s">
        <v>1</v>
      </c>
      <c r="C6217" t="s">
        <v>2376</v>
      </c>
    </row>
    <row r="6218" spans="1:4" x14ac:dyDescent="0.2">
      <c r="B6218" t="s">
        <v>8</v>
      </c>
      <c r="C6218" t="s">
        <v>2377</v>
      </c>
    </row>
    <row r="6220" spans="1:4" x14ac:dyDescent="0.2">
      <c r="A6220" t="s">
        <v>2378</v>
      </c>
      <c r="B6220" t="str">
        <f>HYPERLINK("https://lindat.mff.cuni.cz/services/teitok/pdtc10/index.php?action=vallex&amp;frame=v-w839f16", "držet (v-w839f16)")</f>
        <v>držet (v-w839f16)</v>
      </c>
    </row>
    <row r="6221" spans="1:4" x14ac:dyDescent="0.2">
      <c r="B6221" t="s">
        <v>1</v>
      </c>
      <c r="C6221" t="s">
        <v>2379</v>
      </c>
      <c r="D6221" t="s">
        <v>23241</v>
      </c>
    </row>
    <row r="6222" spans="1:4" x14ac:dyDescent="0.2">
      <c r="B6222" t="s">
        <v>8</v>
      </c>
      <c r="C6222" t="s">
        <v>2380</v>
      </c>
      <c r="D6222" t="s">
        <v>23242</v>
      </c>
    </row>
    <row r="6224" spans="1:4" x14ac:dyDescent="0.2">
      <c r="A6224" t="s">
        <v>2381</v>
      </c>
      <c r="B6224" t="str">
        <f>HYPERLINK("https://lindat.mff.cuni.cz/services/teitok/pdtc10/index.php?action=vallex&amp;frame=v-w839f19_ZU", "držet (v-w839f19_ZU)")</f>
        <v>držet (v-w839f19_ZU)</v>
      </c>
    </row>
    <row r="6225" spans="1:3" x14ac:dyDescent="0.2">
      <c r="B6225" t="s">
        <v>1</v>
      </c>
      <c r="C6225" t="s">
        <v>249</v>
      </c>
    </row>
    <row r="6226" spans="1:3" x14ac:dyDescent="0.2">
      <c r="B6226" t="s">
        <v>8</v>
      </c>
      <c r="C6226" t="s">
        <v>1066</v>
      </c>
    </row>
    <row r="6228" spans="1:3" x14ac:dyDescent="0.2">
      <c r="A6228" t="s">
        <v>2381</v>
      </c>
      <c r="B6228" t="str">
        <f>HYPERLINK("https://lindat.mff.cuni.cz/services/teitok/pdtc10/index.php?action=vallex&amp;frame=v-w839f18_ZU", "držet (v-w839f18_ZU) - substituted with v-w839f19_ZU")</f>
        <v>držet (v-w839f18_ZU) - substituted with v-w839f19_ZU</v>
      </c>
    </row>
    <row r="6229" spans="1:3" x14ac:dyDescent="0.2">
      <c r="B6229" t="s">
        <v>1</v>
      </c>
    </row>
    <row r="6230" spans="1:3" x14ac:dyDescent="0.2">
      <c r="B6230" t="s">
        <v>8</v>
      </c>
    </row>
    <row r="6232" spans="1:3" x14ac:dyDescent="0.2">
      <c r="A6232" t="s">
        <v>2382</v>
      </c>
      <c r="B6232" t="str">
        <f>HYPERLINK("https://lindat.mff.cuni.cz/services/teitok/pdtc10/index.php?action=vallex&amp;frame=v-w839f11", "držet (v-w839f11)")</f>
        <v>držet (v-w839f11)</v>
      </c>
    </row>
    <row r="6233" spans="1:3" x14ac:dyDescent="0.2">
      <c r="B6233" t="s">
        <v>1</v>
      </c>
      <c r="C6233" t="s">
        <v>2383</v>
      </c>
    </row>
    <row r="6235" spans="1:3" x14ac:dyDescent="0.2">
      <c r="A6235" t="s">
        <v>2384</v>
      </c>
      <c r="B6235" t="str">
        <f>HYPERLINK("https://lindat.mff.cuni.cz/services/teitok/pdtc10/index.php?action=vallex&amp;frame=v-w839f14", "držet (v-w839f14)")</f>
        <v>držet (v-w839f14)</v>
      </c>
    </row>
    <row r="6236" spans="1:3" x14ac:dyDescent="0.2">
      <c r="B6236" t="s">
        <v>331</v>
      </c>
    </row>
    <row r="6237" spans="1:3" x14ac:dyDescent="0.2">
      <c r="B6237" t="s">
        <v>2385</v>
      </c>
    </row>
    <row r="6238" spans="1:3" x14ac:dyDescent="0.2">
      <c r="B6238" t="s">
        <v>8</v>
      </c>
    </row>
    <row r="6240" spans="1:3" x14ac:dyDescent="0.2">
      <c r="A6240" t="s">
        <v>2386</v>
      </c>
      <c r="B6240" t="str">
        <f>HYPERLINK("https://lindat.mff.cuni.cz/services/teitok/pdtc10/index.php?action=vallex&amp;frame=v-w839f10", "držet (v-w839f10)")</f>
        <v>držet (v-w839f10)</v>
      </c>
    </row>
    <row r="6241" spans="1:4" x14ac:dyDescent="0.2">
      <c r="B6241" t="s">
        <v>1</v>
      </c>
      <c r="C6241" t="s">
        <v>2387</v>
      </c>
      <c r="D6241" t="s">
        <v>2303</v>
      </c>
    </row>
    <row r="6242" spans="1:4" x14ac:dyDescent="0.2">
      <c r="B6242" t="s">
        <v>2388</v>
      </c>
      <c r="C6242" t="s">
        <v>2389</v>
      </c>
    </row>
    <row r="6243" spans="1:4" x14ac:dyDescent="0.2">
      <c r="B6243" t="s">
        <v>411</v>
      </c>
      <c r="C6243" t="s">
        <v>2390</v>
      </c>
      <c r="D6243" t="s">
        <v>2390</v>
      </c>
    </row>
    <row r="6245" spans="1:4" x14ac:dyDescent="0.2">
      <c r="A6245" t="s">
        <v>2391</v>
      </c>
      <c r="B6245" t="str">
        <f>HYPERLINK("https://lindat.mff.cuni.cz/services/teitok/pdtc10/index.php?action=vallex&amp;frame=v-w839f13", "držet (v-w839f13)")</f>
        <v>držet (v-w839f13)</v>
      </c>
    </row>
    <row r="6246" spans="1:4" x14ac:dyDescent="0.2">
      <c r="B6246" t="s">
        <v>1</v>
      </c>
    </row>
    <row r="6247" spans="1:4" x14ac:dyDescent="0.2">
      <c r="B6247" t="s">
        <v>2392</v>
      </c>
    </row>
    <row r="6248" spans="1:4" x14ac:dyDescent="0.2">
      <c r="B6248" t="s">
        <v>8</v>
      </c>
    </row>
    <row r="6250" spans="1:4" x14ac:dyDescent="0.2">
      <c r="A6250" t="s">
        <v>2393</v>
      </c>
      <c r="B6250" t="str">
        <f>HYPERLINK("https://lindat.mff.cuni.cz/services/teitok/pdtc10/index.php?action=vallex&amp;frame=v-w839f6", "držet (v-w839f6)")</f>
        <v>držet (v-w839f6)</v>
      </c>
    </row>
    <row r="6251" spans="1:4" x14ac:dyDescent="0.2">
      <c r="B6251" t="s">
        <v>1</v>
      </c>
      <c r="C6251" t="s">
        <v>140</v>
      </c>
      <c r="D6251" t="s">
        <v>2353</v>
      </c>
    </row>
    <row r="6252" spans="1:4" x14ac:dyDescent="0.2">
      <c r="B6252" t="s">
        <v>2394</v>
      </c>
      <c r="C6252" t="s">
        <v>397</v>
      </c>
      <c r="D6252" t="s">
        <v>2455</v>
      </c>
    </row>
    <row r="6253" spans="1:4" x14ac:dyDescent="0.2">
      <c r="B6253" t="s">
        <v>8</v>
      </c>
      <c r="D6253" t="s">
        <v>2354</v>
      </c>
    </row>
    <row r="6255" spans="1:4" x14ac:dyDescent="0.2">
      <c r="A6255" t="s">
        <v>2395</v>
      </c>
      <c r="B6255" t="str">
        <f>HYPERLINK("https://lindat.mff.cuni.cz/services/teitok/pdtc10/index.php?action=vallex&amp;frame=v-w839f8", "držet (v-w839f8)")</f>
        <v>držet (v-w839f8)</v>
      </c>
    </row>
    <row r="6256" spans="1:4" x14ac:dyDescent="0.2">
      <c r="B6256" t="s">
        <v>1</v>
      </c>
    </row>
    <row r="6257" spans="1:3" x14ac:dyDescent="0.2">
      <c r="B6257" t="s">
        <v>2396</v>
      </c>
    </row>
    <row r="6258" spans="1:3" x14ac:dyDescent="0.2">
      <c r="B6258" t="s">
        <v>8</v>
      </c>
    </row>
    <row r="6260" spans="1:3" x14ac:dyDescent="0.2">
      <c r="A6260" t="s">
        <v>2397</v>
      </c>
      <c r="B6260" t="str">
        <f>HYPERLINK("https://lindat.mff.cuni.cz/services/teitok/pdtc10/index.php?action=vallex&amp;frame=v-w839f12", "držet (v-w839f12)")</f>
        <v>držet (v-w839f12)</v>
      </c>
    </row>
    <row r="6261" spans="1:3" x14ac:dyDescent="0.2">
      <c r="B6261" t="s">
        <v>1</v>
      </c>
    </row>
    <row r="6262" spans="1:3" x14ac:dyDescent="0.2">
      <c r="B6262" t="s">
        <v>2398</v>
      </c>
    </row>
    <row r="6263" spans="1:3" x14ac:dyDescent="0.2">
      <c r="B6263" t="s">
        <v>8</v>
      </c>
    </row>
    <row r="6265" spans="1:3" x14ac:dyDescent="0.2">
      <c r="A6265" t="s">
        <v>2399</v>
      </c>
      <c r="B6265" t="str">
        <f>HYPERLINK("https://lindat.mff.cuni.cz/services/teitok/pdtc10/index.php?action=vallex&amp;frame=v-w839f7", "držet (v-w839f7)")</f>
        <v>držet (v-w839f7)</v>
      </c>
    </row>
    <row r="6266" spans="1:3" x14ac:dyDescent="0.2">
      <c r="B6266" t="s">
        <v>1</v>
      </c>
      <c r="C6266" t="s">
        <v>2400</v>
      </c>
    </row>
    <row r="6267" spans="1:3" x14ac:dyDescent="0.2">
      <c r="B6267" t="s">
        <v>2401</v>
      </c>
    </row>
    <row r="6268" spans="1:3" x14ac:dyDescent="0.2">
      <c r="B6268" t="s">
        <v>124</v>
      </c>
      <c r="C6268" t="s">
        <v>2402</v>
      </c>
    </row>
    <row r="6270" spans="1:3" x14ac:dyDescent="0.2">
      <c r="A6270" t="s">
        <v>2403</v>
      </c>
      <c r="B6270" t="str">
        <f>HYPERLINK("https://lindat.mff.cuni.cz/services/teitok/pdtc10/index.php?action=vallex&amp;frame=v-w839f4", "držet (v-w839f4)")</f>
        <v>držet (v-w839f4)</v>
      </c>
    </row>
    <row r="6271" spans="1:3" x14ac:dyDescent="0.2">
      <c r="B6271" t="s">
        <v>1</v>
      </c>
      <c r="C6271" t="s">
        <v>2373</v>
      </c>
    </row>
    <row r="6272" spans="1:3" x14ac:dyDescent="0.2">
      <c r="B6272" t="s">
        <v>2404</v>
      </c>
      <c r="C6272" t="s">
        <v>2405</v>
      </c>
    </row>
    <row r="6274" spans="1:3" x14ac:dyDescent="0.2">
      <c r="A6274" t="s">
        <v>2406</v>
      </c>
      <c r="B6274" t="str">
        <f>HYPERLINK("https://lindat.mff.cuni.cz/services/teitok/pdtc10/index.php?action=vallex&amp;frame=v-w839f21_ZU", "držet (v-w839f21_ZU)")</f>
        <v>držet (v-w839f21_ZU)</v>
      </c>
    </row>
    <row r="6275" spans="1:3" x14ac:dyDescent="0.2">
      <c r="B6275" t="s">
        <v>1</v>
      </c>
      <c r="C6275" t="s">
        <v>2239</v>
      </c>
    </row>
    <row r="6276" spans="1:3" x14ac:dyDescent="0.2">
      <c r="B6276" t="s">
        <v>8</v>
      </c>
      <c r="C6276" t="s">
        <v>23</v>
      </c>
    </row>
    <row r="6277" spans="1:3" x14ac:dyDescent="0.2">
      <c r="B6277" t="s">
        <v>153</v>
      </c>
      <c r="C6277" t="s">
        <v>2407</v>
      </c>
    </row>
    <row r="6279" spans="1:3" x14ac:dyDescent="0.2">
      <c r="A6279" t="s">
        <v>2406</v>
      </c>
      <c r="B6279" t="str">
        <f>HYPERLINK("https://lindat.mff.cuni.cz/services/teitok/pdtc10/index.php?action=vallex&amp;frame=v-w839hsa_466", "držet (v-w839hsa_466) - substituted with v-w839f21_ZU")</f>
        <v>držet (v-w839hsa_466) - substituted with v-w839f21_ZU</v>
      </c>
    </row>
    <row r="6280" spans="1:3" x14ac:dyDescent="0.2">
      <c r="B6280" t="s">
        <v>1</v>
      </c>
    </row>
    <row r="6281" spans="1:3" x14ac:dyDescent="0.2">
      <c r="B6281" t="s">
        <v>8</v>
      </c>
    </row>
    <row r="6282" spans="1:3" x14ac:dyDescent="0.2">
      <c r="B6282" t="s">
        <v>153</v>
      </c>
    </row>
    <row r="6284" spans="1:3" x14ac:dyDescent="0.2">
      <c r="A6284" t="s">
        <v>2408</v>
      </c>
      <c r="B6284" t="str">
        <f>HYPERLINK("https://lindat.mff.cuni.cz/services/teitok/pdtc10/index.php?action=vallex&amp;frame=v-w839f20_ZU", "držet (v-w839f20_ZU)")</f>
        <v>držet (v-w839f20_ZU)</v>
      </c>
    </row>
    <row r="6285" spans="1:3" x14ac:dyDescent="0.2">
      <c r="B6285" t="s">
        <v>1</v>
      </c>
      <c r="C6285" t="s">
        <v>2409</v>
      </c>
    </row>
    <row r="6286" spans="1:3" x14ac:dyDescent="0.2">
      <c r="B6286" t="s">
        <v>2410</v>
      </c>
      <c r="C6286" t="s">
        <v>2411</v>
      </c>
    </row>
    <row r="6287" spans="1:3" x14ac:dyDescent="0.2">
      <c r="B6287" t="s">
        <v>8</v>
      </c>
      <c r="C6287" t="s">
        <v>2412</v>
      </c>
    </row>
    <row r="6289" spans="1:2" x14ac:dyDescent="0.2">
      <c r="A6289" t="s">
        <v>2408</v>
      </c>
      <c r="B6289" t="str">
        <f>HYPERLINK("https://lindat.mff.cuni.cz/services/teitok/pdtc10/index.php?action=vallex&amp;frame=v-w839hsa_467", "držet (v-w839hsa_467) - substituted with v-w839f20_ZU")</f>
        <v>držet (v-w839hsa_467) - substituted with v-w839f20_ZU</v>
      </c>
    </row>
    <row r="6290" spans="1:2" x14ac:dyDescent="0.2">
      <c r="B6290" t="s">
        <v>1</v>
      </c>
    </row>
    <row r="6291" spans="1:2" x14ac:dyDescent="0.2">
      <c r="B6291" t="s">
        <v>2410</v>
      </c>
    </row>
    <row r="6292" spans="1:2" x14ac:dyDescent="0.2">
      <c r="B6292" t="s">
        <v>8</v>
      </c>
    </row>
    <row r="6294" spans="1:2" x14ac:dyDescent="0.2">
      <c r="A6294" t="s">
        <v>2413</v>
      </c>
      <c r="B6294" t="str">
        <f>HYPERLINK("https://lindat.mff.cuni.cz/services/teitok/pdtc10/index.php?action=vallex&amp;frame=v-w839f23_ZU", "držet (v-w839f23_ZU)")</f>
        <v>držet (v-w839f23_ZU)</v>
      </c>
    </row>
    <row r="6295" spans="1:2" x14ac:dyDescent="0.2">
      <c r="B6295" t="s">
        <v>1</v>
      </c>
    </row>
    <row r="6296" spans="1:2" x14ac:dyDescent="0.2">
      <c r="B6296" t="s">
        <v>2414</v>
      </c>
    </row>
    <row r="6298" spans="1:2" x14ac:dyDescent="0.2">
      <c r="A6298" t="s">
        <v>2413</v>
      </c>
      <c r="B6298" t="str">
        <f>HYPERLINK("https://lindat.mff.cuni.cz/services/teitok/pdtc10/index.php?action=vallex&amp;frame=v-w839hsa_380", "držet (v-w839hsa_380) - substituted with v-w839f23_ZU")</f>
        <v>držet (v-w839hsa_380) - substituted with v-w839f23_ZU</v>
      </c>
    </row>
    <row r="6299" spans="1:2" x14ac:dyDescent="0.2">
      <c r="B6299" t="s">
        <v>1</v>
      </c>
    </row>
    <row r="6300" spans="1:2" x14ac:dyDescent="0.2">
      <c r="B6300" t="s">
        <v>2414</v>
      </c>
    </row>
    <row r="6302" spans="1:2" x14ac:dyDescent="0.2">
      <c r="A6302" t="s">
        <v>2415</v>
      </c>
      <c r="B6302" t="str">
        <f>HYPERLINK("https://lindat.mff.cuni.cz/services/teitok/pdtc10/index.php?action=vallex&amp;frame=v-w839f24_ZU", "držet (v-w839f24_ZU)")</f>
        <v>držet (v-w839f24_ZU)</v>
      </c>
    </row>
    <row r="6303" spans="1:2" x14ac:dyDescent="0.2">
      <c r="B6303" t="s">
        <v>1</v>
      </c>
    </row>
    <row r="6304" spans="1:2" x14ac:dyDescent="0.2">
      <c r="B6304" t="s">
        <v>2416</v>
      </c>
    </row>
    <row r="6305" spans="1:2" x14ac:dyDescent="0.2">
      <c r="B6305" t="s">
        <v>103</v>
      </c>
    </row>
    <row r="6307" spans="1:2" x14ac:dyDescent="0.2">
      <c r="A6307" t="s">
        <v>2415</v>
      </c>
      <c r="B6307" t="str">
        <f>HYPERLINK("https://lindat.mff.cuni.cz/services/teitok/pdtc10/index.php?action=vallex&amp;frame=v-w839hsa_381", "držet (v-w839hsa_381) - substituted with v-w839f24_ZU")</f>
        <v>držet (v-w839hsa_381) - substituted with v-w839f24_ZU</v>
      </c>
    </row>
    <row r="6308" spans="1:2" x14ac:dyDescent="0.2">
      <c r="B6308" t="s">
        <v>1</v>
      </c>
    </row>
    <row r="6309" spans="1:2" x14ac:dyDescent="0.2">
      <c r="B6309" t="s">
        <v>2416</v>
      </c>
    </row>
    <row r="6310" spans="1:2" x14ac:dyDescent="0.2">
      <c r="B6310" t="s">
        <v>103</v>
      </c>
    </row>
    <row r="6312" spans="1:2" x14ac:dyDescent="0.2">
      <c r="A6312" t="s">
        <v>2417</v>
      </c>
      <c r="B6312" t="str">
        <f>HYPERLINK("https://lindat.mff.cuni.cz/services/teitok/pdtc10/index.php?action=vallex&amp;frame=v-w839f25_ZU", "držet (v-w839f25_ZU)")</f>
        <v>držet (v-w839f25_ZU)</v>
      </c>
    </row>
    <row r="6313" spans="1:2" x14ac:dyDescent="0.2">
      <c r="B6313" t="s">
        <v>1</v>
      </c>
    </row>
    <row r="6314" spans="1:2" x14ac:dyDescent="0.2">
      <c r="B6314" t="s">
        <v>2418</v>
      </c>
    </row>
    <row r="6316" spans="1:2" x14ac:dyDescent="0.2">
      <c r="A6316" t="s">
        <v>2417</v>
      </c>
      <c r="B6316" t="str">
        <f>HYPERLINK("https://lindat.mff.cuni.cz/services/teitok/pdtc10/index.php?action=vallex&amp;frame=v-w839hsa_382", "držet (v-w839hsa_382) - substituted with v-w839f25_ZU")</f>
        <v>držet (v-w839hsa_382) - substituted with v-w839f25_ZU</v>
      </c>
    </row>
    <row r="6317" spans="1:2" x14ac:dyDescent="0.2">
      <c r="B6317" t="s">
        <v>1</v>
      </c>
    </row>
    <row r="6318" spans="1:2" x14ac:dyDescent="0.2">
      <c r="B6318" t="s">
        <v>2418</v>
      </c>
    </row>
    <row r="6320" spans="1:2" x14ac:dyDescent="0.2">
      <c r="A6320" t="s">
        <v>2419</v>
      </c>
      <c r="B6320" t="str">
        <f>HYPERLINK("https://lindat.mff.cuni.cz/services/teitok/pdtc10/index.php?action=vallex&amp;frame=v-w839f26_ZU", "držet (v-w839f26_ZU)")</f>
        <v>držet (v-w839f26_ZU)</v>
      </c>
    </row>
    <row r="6321" spans="1:2" x14ac:dyDescent="0.2">
      <c r="B6321" t="s">
        <v>1</v>
      </c>
    </row>
    <row r="6322" spans="1:2" x14ac:dyDescent="0.2">
      <c r="B6322" t="s">
        <v>2420</v>
      </c>
    </row>
    <row r="6323" spans="1:2" x14ac:dyDescent="0.2">
      <c r="B6323" t="s">
        <v>164</v>
      </c>
    </row>
    <row r="6325" spans="1:2" x14ac:dyDescent="0.2">
      <c r="A6325" t="s">
        <v>2419</v>
      </c>
      <c r="B6325" t="str">
        <f>HYPERLINK("https://lindat.mff.cuni.cz/services/teitok/pdtc10/index.php?action=vallex&amp;frame=v-w839hsa_386", "držet (v-w839hsa_386) - substituted with v-w839f26_ZU")</f>
        <v>držet (v-w839hsa_386) - substituted with v-w839f26_ZU</v>
      </c>
    </row>
    <row r="6326" spans="1:2" x14ac:dyDescent="0.2">
      <c r="B6326" t="s">
        <v>1</v>
      </c>
    </row>
    <row r="6327" spans="1:2" x14ac:dyDescent="0.2">
      <c r="B6327" t="s">
        <v>2420</v>
      </c>
    </row>
    <row r="6328" spans="1:2" x14ac:dyDescent="0.2">
      <c r="B6328" t="s">
        <v>164</v>
      </c>
    </row>
    <row r="6330" spans="1:2" x14ac:dyDescent="0.2">
      <c r="A6330" t="s">
        <v>2421</v>
      </c>
      <c r="B6330" t="str">
        <f>HYPERLINK("https://lindat.mff.cuni.cz/services/teitok/pdtc10/index.php?action=vallex&amp;frame=v-w839f27_ZU", "držet (v-w839f27_ZU)")</f>
        <v>držet (v-w839f27_ZU)</v>
      </c>
    </row>
    <row r="6331" spans="1:2" x14ac:dyDescent="0.2">
      <c r="B6331" t="s">
        <v>1</v>
      </c>
    </row>
    <row r="6332" spans="1:2" x14ac:dyDescent="0.2">
      <c r="B6332" t="s">
        <v>2422</v>
      </c>
    </row>
    <row r="6333" spans="1:2" x14ac:dyDescent="0.2">
      <c r="B6333" t="s">
        <v>2423</v>
      </c>
    </row>
    <row r="6335" spans="1:2" x14ac:dyDescent="0.2">
      <c r="A6335" t="s">
        <v>2421</v>
      </c>
      <c r="B6335" t="str">
        <f>HYPERLINK("https://lindat.mff.cuni.cz/services/teitok/pdtc10/index.php?action=vallex&amp;frame=v-w839hsa_383", "držet (v-w839hsa_383) - substituted with v-w839f27_ZU")</f>
        <v>držet (v-w839hsa_383) - substituted with v-w839f27_ZU</v>
      </c>
    </row>
    <row r="6336" spans="1:2" x14ac:dyDescent="0.2">
      <c r="B6336" t="s">
        <v>1</v>
      </c>
    </row>
    <row r="6337" spans="1:2" x14ac:dyDescent="0.2">
      <c r="B6337" t="s">
        <v>2422</v>
      </c>
    </row>
    <row r="6338" spans="1:2" x14ac:dyDescent="0.2">
      <c r="B6338" t="s">
        <v>2423</v>
      </c>
    </row>
    <row r="6340" spans="1:2" x14ac:dyDescent="0.2">
      <c r="A6340" t="s">
        <v>2424</v>
      </c>
      <c r="B6340" t="str">
        <f>HYPERLINK("https://lindat.mff.cuni.cz/services/teitok/pdtc10/index.php?action=vallex&amp;frame=v-w839f28_ZU", "držet (v-w839f28_ZU)")</f>
        <v>držet (v-w839f28_ZU)</v>
      </c>
    </row>
    <row r="6341" spans="1:2" x14ac:dyDescent="0.2">
      <c r="B6341" t="s">
        <v>1</v>
      </c>
    </row>
    <row r="6342" spans="1:2" x14ac:dyDescent="0.2">
      <c r="B6342" t="s">
        <v>2425</v>
      </c>
    </row>
    <row r="6343" spans="1:2" x14ac:dyDescent="0.2">
      <c r="B6343" t="s">
        <v>2423</v>
      </c>
    </row>
    <row r="6345" spans="1:2" x14ac:dyDescent="0.2">
      <c r="A6345" t="s">
        <v>2424</v>
      </c>
      <c r="B6345" t="str">
        <f>HYPERLINK("https://lindat.mff.cuni.cz/services/teitok/pdtc10/index.php?action=vallex&amp;frame=v-w839hsa_384", "držet (v-w839hsa_384) - substituted with v-w839f28_ZU")</f>
        <v>držet (v-w839hsa_384) - substituted with v-w839f28_ZU</v>
      </c>
    </row>
    <row r="6346" spans="1:2" x14ac:dyDescent="0.2">
      <c r="B6346" t="s">
        <v>1</v>
      </c>
    </row>
    <row r="6347" spans="1:2" x14ac:dyDescent="0.2">
      <c r="B6347" t="s">
        <v>2425</v>
      </c>
    </row>
    <row r="6348" spans="1:2" x14ac:dyDescent="0.2">
      <c r="B6348" t="s">
        <v>2423</v>
      </c>
    </row>
    <row r="6350" spans="1:2" x14ac:dyDescent="0.2">
      <c r="A6350" t="s">
        <v>2426</v>
      </c>
      <c r="B6350" t="str">
        <f>HYPERLINK("https://lindat.mff.cuni.cz/services/teitok/pdtc10/index.php?action=vallex&amp;frame=v-w839f29_ZU", "držet (v-w839f29_ZU)")</f>
        <v>držet (v-w839f29_ZU)</v>
      </c>
    </row>
    <row r="6351" spans="1:2" x14ac:dyDescent="0.2">
      <c r="B6351" t="s">
        <v>1</v>
      </c>
    </row>
    <row r="6352" spans="1:2" x14ac:dyDescent="0.2">
      <c r="B6352" t="s">
        <v>2427</v>
      </c>
    </row>
    <row r="6353" spans="1:2" x14ac:dyDescent="0.2">
      <c r="B6353" t="s">
        <v>8</v>
      </c>
    </row>
    <row r="6355" spans="1:2" x14ac:dyDescent="0.2">
      <c r="A6355" t="s">
        <v>2426</v>
      </c>
      <c r="B6355" t="str">
        <f>HYPERLINK("https://lindat.mff.cuni.cz/services/teitok/pdtc10/index.php?action=vallex&amp;frame=v-w839hsa_385", "držet (v-w839hsa_385) - substituted with v-w839f29_ZU")</f>
        <v>držet (v-w839hsa_385) - substituted with v-w839f29_ZU</v>
      </c>
    </row>
    <row r="6356" spans="1:2" x14ac:dyDescent="0.2">
      <c r="B6356" t="s">
        <v>1</v>
      </c>
    </row>
    <row r="6357" spans="1:2" x14ac:dyDescent="0.2">
      <c r="B6357" t="s">
        <v>2427</v>
      </c>
    </row>
    <row r="6358" spans="1:2" x14ac:dyDescent="0.2">
      <c r="B6358" t="s">
        <v>8</v>
      </c>
    </row>
    <row r="6360" spans="1:2" x14ac:dyDescent="0.2">
      <c r="A6360" t="s">
        <v>2428</v>
      </c>
      <c r="B6360" t="str">
        <f>HYPERLINK("https://lindat.mff.cuni.cz/services/teitok/pdtc10/index.php?action=vallex&amp;frame=v-w839f31_ZU", "držet (v-w839f31_ZU)")</f>
        <v>držet (v-w839f31_ZU)</v>
      </c>
    </row>
    <row r="6361" spans="1:2" x14ac:dyDescent="0.2">
      <c r="B6361" t="s">
        <v>1</v>
      </c>
    </row>
    <row r="6362" spans="1:2" x14ac:dyDescent="0.2">
      <c r="B6362" t="s">
        <v>8</v>
      </c>
    </row>
    <row r="6364" spans="1:2" x14ac:dyDescent="0.2">
      <c r="A6364" t="s">
        <v>2429</v>
      </c>
      <c r="B6364" t="str">
        <f>HYPERLINK("https://lindat.mff.cuni.cz/services/teitok/pdtc10/index.php?action=vallex&amp;frame=v-w839f32_ZU", "držet (v-w839f32_ZU)")</f>
        <v>držet (v-w839f32_ZU)</v>
      </c>
    </row>
    <row r="6365" spans="1:2" x14ac:dyDescent="0.2">
      <c r="B6365" t="s">
        <v>1</v>
      </c>
    </row>
    <row r="6366" spans="1:2" x14ac:dyDescent="0.2">
      <c r="B6366" t="s">
        <v>8</v>
      </c>
    </row>
    <row r="6368" spans="1:2" x14ac:dyDescent="0.2">
      <c r="A6368" t="s">
        <v>2430</v>
      </c>
      <c r="B6368" t="str">
        <f>HYPERLINK("https://lindat.mff.cuni.cz/services/teitok/pdtc10/index.php?action=vallex&amp;frame=v-w839f34_ZU", "držet (v-w839f34_ZU)")</f>
        <v>držet (v-w839f34_ZU)</v>
      </c>
    </row>
    <row r="6369" spans="1:2" x14ac:dyDescent="0.2">
      <c r="B6369" t="s">
        <v>1</v>
      </c>
    </row>
    <row r="6370" spans="1:2" x14ac:dyDescent="0.2">
      <c r="B6370" t="s">
        <v>2431</v>
      </c>
    </row>
    <row r="6372" spans="1:2" x14ac:dyDescent="0.2">
      <c r="A6372" t="s">
        <v>2432</v>
      </c>
      <c r="B6372" t="str">
        <f>HYPERLINK("https://lindat.mff.cuni.cz/services/teitok/pdtc10/index.php?action=vallex&amp;frame=v-w839f35_ZU", "držet (v-w839f35_ZU)")</f>
        <v>držet (v-w839f35_ZU)</v>
      </c>
    </row>
    <row r="6373" spans="1:2" x14ac:dyDescent="0.2">
      <c r="B6373" t="s">
        <v>146</v>
      </c>
    </row>
    <row r="6374" spans="1:2" x14ac:dyDescent="0.2">
      <c r="B6374" t="s">
        <v>243</v>
      </c>
    </row>
    <row r="6376" spans="1:2" x14ac:dyDescent="0.2">
      <c r="A6376" t="s">
        <v>2432</v>
      </c>
      <c r="B6376" t="str">
        <f>HYPERLINK("https://lindat.mff.cuni.cz/services/teitok/pdtc10/index.php?action=vallex&amp;frame=v-w839f30_ZU", "držet (v-w839f30_ZU) - substituted with v-w839f35_ZU")</f>
        <v>držet (v-w839f30_ZU) - substituted with v-w839f35_ZU</v>
      </c>
    </row>
    <row r="6377" spans="1:2" x14ac:dyDescent="0.2">
      <c r="B6377" t="s">
        <v>146</v>
      </c>
    </row>
    <row r="6378" spans="1:2" x14ac:dyDescent="0.2">
      <c r="B6378" t="s">
        <v>243</v>
      </c>
    </row>
    <row r="6380" spans="1:2" x14ac:dyDescent="0.2">
      <c r="A6380" t="s">
        <v>2433</v>
      </c>
      <c r="B6380" t="str">
        <f>HYPERLINK("https://lindat.mff.cuni.cz/services/teitok/pdtc10/index.php?action=vallex&amp;frame=v-w839f36_ZU", "držet (v-w839f36_ZU)")</f>
        <v>držet (v-w839f36_ZU)</v>
      </c>
    </row>
    <row r="6381" spans="1:2" x14ac:dyDescent="0.2">
      <c r="B6381" t="s">
        <v>1</v>
      </c>
    </row>
    <row r="6382" spans="1:2" x14ac:dyDescent="0.2">
      <c r="B6382" t="s">
        <v>2434</v>
      </c>
    </row>
    <row r="6384" spans="1:2" x14ac:dyDescent="0.2">
      <c r="A6384" t="s">
        <v>2433</v>
      </c>
      <c r="B6384" t="str">
        <f>HYPERLINK("https://lindat.mff.cuni.cz/services/teitok/pdtc10/index.php?action=vallex&amp;frame=v-w839f22_ZU", "držet (v-w839f22_ZU) - substituted with v-w839f36_ZU")</f>
        <v>držet (v-w839f22_ZU) - substituted with v-w839f36_ZU</v>
      </c>
    </row>
    <row r="6385" spans="1:2" x14ac:dyDescent="0.2">
      <c r="B6385" t="s">
        <v>1</v>
      </c>
    </row>
    <row r="6386" spans="1:2" x14ac:dyDescent="0.2">
      <c r="B6386" t="s">
        <v>2434</v>
      </c>
    </row>
    <row r="6388" spans="1:2" x14ac:dyDescent="0.2">
      <c r="A6388" t="s">
        <v>2433</v>
      </c>
      <c r="B6388" t="str">
        <f>HYPERLINK("https://lindat.mff.cuni.cz/services/teitok/pdtc10/index.php?action=vallex&amp;frame=v-w839hsa_379", "držet (v-w839hsa_379) - substituted with v-w839f36_ZU")</f>
        <v>držet (v-w839hsa_379) - substituted with v-w839f36_ZU</v>
      </c>
    </row>
    <row r="6389" spans="1:2" x14ac:dyDescent="0.2">
      <c r="B6389" t="s">
        <v>1</v>
      </c>
    </row>
    <row r="6390" spans="1:2" x14ac:dyDescent="0.2">
      <c r="B6390" t="s">
        <v>2434</v>
      </c>
    </row>
    <row r="6392" spans="1:2" x14ac:dyDescent="0.2">
      <c r="A6392" t="s">
        <v>2435</v>
      </c>
      <c r="B6392" t="str">
        <f>HYPERLINK("https://lindat.mff.cuni.cz/services/teitok/pdtc10/index.php?action=vallex&amp;frame=v-w839hsa_378", "držet (v-w839hsa_378)")</f>
        <v>držet (v-w839hsa_378)</v>
      </c>
    </row>
    <row r="6393" spans="1:2" x14ac:dyDescent="0.2">
      <c r="B6393" t="s">
        <v>1</v>
      </c>
    </row>
    <row r="6394" spans="1:2" x14ac:dyDescent="0.2">
      <c r="B6394" t="s">
        <v>8</v>
      </c>
    </row>
    <row r="6396" spans="1:2" x14ac:dyDescent="0.2">
      <c r="A6396" t="s">
        <v>2436</v>
      </c>
      <c r="B6396" t="str">
        <f>HYPERLINK("https://lindat.mff.cuni.cz/services/teitok/pdtc10/index.php?action=vallex&amp;frame=v-w839hsa_387", "držet (v-w839hsa_387)")</f>
        <v>držet (v-w839hsa_387)</v>
      </c>
    </row>
    <row r="6397" spans="1:2" x14ac:dyDescent="0.2">
      <c r="B6397" t="s">
        <v>1</v>
      </c>
    </row>
    <row r="6398" spans="1:2" x14ac:dyDescent="0.2">
      <c r="B6398" t="s">
        <v>28</v>
      </c>
    </row>
    <row r="6400" spans="1:2" x14ac:dyDescent="0.2">
      <c r="A6400" t="s">
        <v>2437</v>
      </c>
      <c r="B6400" t="str">
        <f>HYPERLINK("https://lindat.mff.cuni.cz/services/teitok/pdtc10/index.php?action=vallex&amp;frame=v-w840f1", "držet se (v-w840f1)")</f>
        <v>držet se (v-w840f1)</v>
      </c>
    </row>
    <row r="6401" spans="1:4" x14ac:dyDescent="0.2">
      <c r="B6401" t="s">
        <v>1</v>
      </c>
      <c r="C6401" t="s">
        <v>2438</v>
      </c>
      <c r="D6401" t="s">
        <v>23238</v>
      </c>
    </row>
    <row r="6402" spans="1:4" x14ac:dyDescent="0.2">
      <c r="B6402" t="s">
        <v>917</v>
      </c>
      <c r="C6402" t="s">
        <v>2439</v>
      </c>
      <c r="D6402" t="s">
        <v>23239</v>
      </c>
    </row>
    <row r="6404" spans="1:4" x14ac:dyDescent="0.2">
      <c r="A6404" t="s">
        <v>2440</v>
      </c>
      <c r="B6404" t="str">
        <f>HYPERLINK("https://lindat.mff.cuni.cz/services/teitok/pdtc10/index.php?action=vallex&amp;frame=v-w840f3", "držet se (v-w840f3)")</f>
        <v>držet se (v-w840f3)</v>
      </c>
    </row>
    <row r="6405" spans="1:4" x14ac:dyDescent="0.2">
      <c r="B6405" t="s">
        <v>1</v>
      </c>
      <c r="C6405" t="s">
        <v>2441</v>
      </c>
      <c r="D6405" t="s">
        <v>23082</v>
      </c>
    </row>
    <row r="6406" spans="1:4" x14ac:dyDescent="0.2">
      <c r="B6406" t="s">
        <v>917</v>
      </c>
      <c r="C6406" t="s">
        <v>2442</v>
      </c>
      <c r="D6406" t="s">
        <v>1478</v>
      </c>
    </row>
    <row r="6408" spans="1:4" x14ac:dyDescent="0.2">
      <c r="A6408" t="s">
        <v>2443</v>
      </c>
      <c r="B6408" t="str">
        <f>HYPERLINK("https://lindat.mff.cuni.cz/services/teitok/pdtc10/index.php?action=vallex&amp;frame=v-w840f8_ZU", "držet se (v-w840f8_ZU)")</f>
        <v>držet se (v-w840f8_ZU)</v>
      </c>
    </row>
    <row r="6409" spans="1:4" x14ac:dyDescent="0.2">
      <c r="B6409" t="s">
        <v>1</v>
      </c>
      <c r="C6409" t="s">
        <v>2444</v>
      </c>
      <c r="D6409" t="s">
        <v>23243</v>
      </c>
    </row>
    <row r="6410" spans="1:4" x14ac:dyDescent="0.2">
      <c r="B6410" t="s">
        <v>2360</v>
      </c>
      <c r="D6410" t="s">
        <v>23244</v>
      </c>
    </row>
    <row r="6412" spans="1:4" x14ac:dyDescent="0.2">
      <c r="A6412" t="s">
        <v>2443</v>
      </c>
      <c r="B6412" t="str">
        <f>HYPERLINK("https://lindat.mff.cuni.cz/services/teitok/pdtc10/index.php?action=vallex&amp;frame=v-w840f5", "držet se (v-w840f5) - substituted with v-w840f8_ZU")</f>
        <v>držet se (v-w840f5) - substituted with v-w840f8_ZU</v>
      </c>
    </row>
    <row r="6413" spans="1:4" x14ac:dyDescent="0.2">
      <c r="B6413" t="s">
        <v>1</v>
      </c>
      <c r="C6413" t="s">
        <v>2445</v>
      </c>
    </row>
    <row r="6414" spans="1:4" x14ac:dyDescent="0.2">
      <c r="B6414" t="s">
        <v>2360</v>
      </c>
      <c r="C6414" t="s">
        <v>2446</v>
      </c>
    </row>
    <row r="6416" spans="1:4" x14ac:dyDescent="0.2">
      <c r="A6416" t="s">
        <v>2447</v>
      </c>
      <c r="B6416" t="str">
        <f>HYPERLINK("https://lindat.mff.cuni.cz/services/teitok/pdtc10/index.php?action=vallex&amp;frame=v-w840f2", "držet se (v-w840f2)")</f>
        <v>držet se (v-w840f2)</v>
      </c>
    </row>
    <row r="6417" spans="1:4" x14ac:dyDescent="0.2">
      <c r="B6417" t="s">
        <v>1</v>
      </c>
      <c r="C6417" t="s">
        <v>2448</v>
      </c>
      <c r="D6417" t="s">
        <v>23245</v>
      </c>
    </row>
    <row r="6418" spans="1:4" x14ac:dyDescent="0.2">
      <c r="B6418" t="s">
        <v>5</v>
      </c>
      <c r="C6418" t="s">
        <v>2449</v>
      </c>
      <c r="D6418" t="s">
        <v>23246</v>
      </c>
    </row>
    <row r="6420" spans="1:4" x14ac:dyDescent="0.2">
      <c r="A6420" t="s">
        <v>2450</v>
      </c>
      <c r="B6420" t="str">
        <f>HYPERLINK("https://lindat.mff.cuni.cz/services/teitok/pdtc10/index.php?action=vallex&amp;frame=v-w840f4", "držet se (v-w840f4)")</f>
        <v>držet se (v-w840f4)</v>
      </c>
    </row>
    <row r="6421" spans="1:4" x14ac:dyDescent="0.2">
      <c r="B6421" t="s">
        <v>1</v>
      </c>
      <c r="C6421" t="s">
        <v>2451</v>
      </c>
      <c r="D6421" t="s">
        <v>23039</v>
      </c>
    </row>
    <row r="6423" spans="1:4" x14ac:dyDescent="0.2">
      <c r="A6423" t="s">
        <v>2452</v>
      </c>
      <c r="B6423" t="str">
        <f>HYPERLINK("https://lindat.mff.cuni.cz/services/teitok/pdtc10/index.php?action=vallex&amp;frame=v-w840f6_ZU", "držet se (v-w840f6_ZU)")</f>
        <v>držet se (v-w840f6_ZU)</v>
      </c>
    </row>
    <row r="6424" spans="1:4" x14ac:dyDescent="0.2">
      <c r="B6424" t="s">
        <v>1</v>
      </c>
      <c r="C6424" t="s">
        <v>2453</v>
      </c>
    </row>
    <row r="6425" spans="1:4" x14ac:dyDescent="0.2">
      <c r="B6425" t="s">
        <v>2454</v>
      </c>
      <c r="C6425" t="s">
        <v>2455</v>
      </c>
    </row>
    <row r="6427" spans="1:4" x14ac:dyDescent="0.2">
      <c r="A6427" t="s">
        <v>2452</v>
      </c>
      <c r="B6427" t="str">
        <f>HYPERLINK("https://lindat.mff.cuni.cz/services/teitok/pdtc10/index.php?action=vallex&amp;frame=v-w840hsa_32", "držet se (v-w840hsa_32) - substituted with v-w840f6_ZU")</f>
        <v>držet se (v-w840hsa_32) - substituted with v-w840f6_ZU</v>
      </c>
    </row>
    <row r="6428" spans="1:4" x14ac:dyDescent="0.2">
      <c r="B6428" t="s">
        <v>1</v>
      </c>
    </row>
    <row r="6429" spans="1:4" x14ac:dyDescent="0.2">
      <c r="B6429" t="s">
        <v>2454</v>
      </c>
    </row>
    <row r="6431" spans="1:4" x14ac:dyDescent="0.2">
      <c r="A6431" t="s">
        <v>2456</v>
      </c>
      <c r="B6431" t="str">
        <f>HYPERLINK("https://lindat.mff.cuni.cz/services/teitok/pdtc10/index.php?action=vallex&amp;frame=v-w840f11_ZU", "držet se (v-w840f11_ZU)")</f>
        <v>držet se (v-w840f11_ZU)</v>
      </c>
    </row>
    <row r="6432" spans="1:4" x14ac:dyDescent="0.2">
      <c r="B6432" t="s">
        <v>1</v>
      </c>
    </row>
    <row r="6433" spans="1:3" x14ac:dyDescent="0.2">
      <c r="B6433" t="s">
        <v>2457</v>
      </c>
    </row>
    <row r="6434" spans="1:3" x14ac:dyDescent="0.2">
      <c r="B6434" t="s">
        <v>247</v>
      </c>
    </row>
    <row r="6436" spans="1:3" x14ac:dyDescent="0.2">
      <c r="A6436" t="s">
        <v>2456</v>
      </c>
      <c r="B6436" t="str">
        <f>HYPERLINK("https://lindat.mff.cuni.cz/services/teitok/pdtc10/index.php?action=vallex&amp;frame=v-w840f7_ZU", "držet se (v-w840f7_ZU) - substituted with v-w840f11_ZU")</f>
        <v>držet se (v-w840f7_ZU) - substituted with v-w840f11_ZU</v>
      </c>
    </row>
    <row r="6437" spans="1:3" x14ac:dyDescent="0.2">
      <c r="B6437" t="s">
        <v>1</v>
      </c>
      <c r="C6437" t="s">
        <v>2458</v>
      </c>
    </row>
    <row r="6438" spans="1:3" x14ac:dyDescent="0.2">
      <c r="B6438" t="s">
        <v>2457</v>
      </c>
      <c r="C6438" t="s">
        <v>2459</v>
      </c>
    </row>
    <row r="6439" spans="1:3" x14ac:dyDescent="0.2">
      <c r="B6439" t="s">
        <v>247</v>
      </c>
    </row>
    <row r="6441" spans="1:3" x14ac:dyDescent="0.2">
      <c r="A6441" t="s">
        <v>2456</v>
      </c>
      <c r="B6441" t="str">
        <f>HYPERLINK("https://lindat.mff.cuni.cz/services/teitok/pdtc10/index.php?action=vallex&amp;frame=v-w840hsa_33", "držet se (v-w840hsa_33) - substituted with v-w840f11_ZU")</f>
        <v>držet se (v-w840hsa_33) - substituted with v-w840f11_ZU</v>
      </c>
    </row>
    <row r="6442" spans="1:3" x14ac:dyDescent="0.2">
      <c r="B6442" t="s">
        <v>1</v>
      </c>
    </row>
    <row r="6443" spans="1:3" x14ac:dyDescent="0.2">
      <c r="B6443" t="s">
        <v>2457</v>
      </c>
    </row>
    <row r="6444" spans="1:3" x14ac:dyDescent="0.2">
      <c r="B6444" t="s">
        <v>247</v>
      </c>
    </row>
    <row r="6446" spans="1:3" x14ac:dyDescent="0.2">
      <c r="A6446" t="s">
        <v>2460</v>
      </c>
      <c r="B6446" t="str">
        <f>HYPERLINK("https://lindat.mff.cuni.cz/services/teitok/pdtc10/index.php?action=vallex&amp;frame=v-w840f9_ZU", "držet se (v-w840f9_ZU)")</f>
        <v>držet se (v-w840f9_ZU)</v>
      </c>
    </row>
    <row r="6447" spans="1:3" x14ac:dyDescent="0.2">
      <c r="B6447" t="s">
        <v>1</v>
      </c>
    </row>
    <row r="6448" spans="1:3" x14ac:dyDescent="0.2">
      <c r="B6448" t="s">
        <v>2461</v>
      </c>
    </row>
    <row r="6450" spans="1:2" x14ac:dyDescent="0.2">
      <c r="A6450" t="s">
        <v>2460</v>
      </c>
      <c r="B6450" t="str">
        <f>HYPERLINK("https://lindat.mff.cuni.cz/services/teitok/pdtc10/index.php?action=vallex&amp;frame=v-w840hsa_36", "držet se (v-w840hsa_36) - substituted with v-w840f9_ZU")</f>
        <v>držet se (v-w840hsa_36) - substituted with v-w840f9_ZU</v>
      </c>
    </row>
    <row r="6451" spans="1:2" x14ac:dyDescent="0.2">
      <c r="B6451" t="s">
        <v>1</v>
      </c>
    </row>
    <row r="6452" spans="1:2" x14ac:dyDescent="0.2">
      <c r="B6452" t="s">
        <v>2461</v>
      </c>
    </row>
    <row r="6454" spans="1:2" x14ac:dyDescent="0.2">
      <c r="A6454" t="s">
        <v>2462</v>
      </c>
      <c r="B6454" t="str">
        <f>HYPERLINK("https://lindat.mff.cuni.cz/services/teitok/pdtc10/index.php?action=vallex&amp;frame=v-w840f10_ZU", "držet se (v-w840f10_ZU)")</f>
        <v>držet se (v-w840f10_ZU)</v>
      </c>
    </row>
    <row r="6455" spans="1:2" x14ac:dyDescent="0.2">
      <c r="B6455" t="s">
        <v>1</v>
      </c>
    </row>
    <row r="6456" spans="1:2" x14ac:dyDescent="0.2">
      <c r="B6456" t="s">
        <v>917</v>
      </c>
    </row>
    <row r="6458" spans="1:2" x14ac:dyDescent="0.2">
      <c r="A6458" t="s">
        <v>2463</v>
      </c>
      <c r="B6458" t="str">
        <f>HYPERLINK("https://lindat.mff.cuni.cz/services/teitok/pdtc10/index.php?action=vallex&amp;frame=v-w840hsa_34", "držet se (v-w840hsa_34)")</f>
        <v>držet se (v-w840hsa_34)</v>
      </c>
    </row>
    <row r="6459" spans="1:2" x14ac:dyDescent="0.2">
      <c r="B6459" t="s">
        <v>1</v>
      </c>
    </row>
    <row r="6460" spans="1:2" x14ac:dyDescent="0.2">
      <c r="B6460" t="s">
        <v>917</v>
      </c>
    </row>
    <row r="6462" spans="1:2" x14ac:dyDescent="0.2">
      <c r="A6462" t="s">
        <v>2464</v>
      </c>
      <c r="B6462" t="str">
        <f>HYPERLINK("https://lindat.mff.cuni.cz/services/teitok/pdtc10/index.php?action=vallex&amp;frame=v-w840hsa_35", "držet se (v-w840hsa_35)")</f>
        <v>držet se (v-w840hsa_35)</v>
      </c>
    </row>
    <row r="6463" spans="1:2" x14ac:dyDescent="0.2">
      <c r="B6463" t="s">
        <v>1</v>
      </c>
    </row>
    <row r="6464" spans="1:2" x14ac:dyDescent="0.2">
      <c r="B6464" t="s">
        <v>411</v>
      </c>
    </row>
    <row r="6466" spans="1:4" x14ac:dyDescent="0.2">
      <c r="A6466" t="s">
        <v>2465</v>
      </c>
      <c r="B6466" t="str">
        <f>HYPERLINK("https://lindat.mff.cuni.cz/services/teitok/pdtc10/index.php?action=vallex&amp;frame=v-w12179_ZUf1_ZU", "držet si (v-w12179_ZUf1_ZU)")</f>
        <v>držet si (v-w12179_ZUf1_ZU)</v>
      </c>
    </row>
    <row r="6467" spans="1:4" x14ac:dyDescent="0.2">
      <c r="B6467" t="s">
        <v>1</v>
      </c>
    </row>
    <row r="6468" spans="1:4" x14ac:dyDescent="0.2">
      <c r="B6468" t="s">
        <v>2466</v>
      </c>
    </row>
    <row r="6470" spans="1:4" x14ac:dyDescent="0.2">
      <c r="A6470" t="s">
        <v>2467</v>
      </c>
      <c r="B6470" t="str">
        <f>HYPERLINK("https://lindat.mff.cuni.cz/services/teitok/pdtc10/index.php?action=vallex&amp;frame=v-w10358f2", "dublovat (v-w10358f2)")</f>
        <v>dublovat (v-w10358f2)</v>
      </c>
    </row>
    <row r="6471" spans="1:4" x14ac:dyDescent="0.2">
      <c r="B6471" t="s">
        <v>1</v>
      </c>
      <c r="C6471" t="s">
        <v>2172</v>
      </c>
    </row>
    <row r="6472" spans="1:4" x14ac:dyDescent="0.2">
      <c r="B6472" t="s">
        <v>8</v>
      </c>
    </row>
    <row r="6474" spans="1:4" x14ac:dyDescent="0.2">
      <c r="A6474" t="s">
        <v>2468</v>
      </c>
      <c r="B6474" t="str">
        <f>HYPERLINK("https://lindat.mff.cuni.cz/services/teitok/pdtc10/index.php?action=vallex&amp;frame=v-w10208f2", "dumat (v-w10208f2)")</f>
        <v>dumat (v-w10208f2)</v>
      </c>
    </row>
    <row r="6475" spans="1:4" x14ac:dyDescent="0.2">
      <c r="B6475" t="s">
        <v>1</v>
      </c>
      <c r="C6475" t="s">
        <v>33</v>
      </c>
      <c r="D6475" t="s">
        <v>33</v>
      </c>
    </row>
    <row r="6476" spans="1:4" x14ac:dyDescent="0.2">
      <c r="B6476" t="s">
        <v>2469</v>
      </c>
      <c r="C6476" t="s">
        <v>1128</v>
      </c>
      <c r="D6476" t="s">
        <v>1128</v>
      </c>
    </row>
    <row r="6478" spans="1:4" x14ac:dyDescent="0.2">
      <c r="A6478" t="s">
        <v>2470</v>
      </c>
      <c r="B6478" t="str">
        <f>HYPERLINK("https://lindat.mff.cuni.cz/services/teitok/pdtc10/index.php?action=vallex&amp;frame=v-w11863_ZUf1_ZU", "dunět (v-w11863_ZUf1_ZU)")</f>
        <v>dunět (v-w11863_ZUf1_ZU)</v>
      </c>
    </row>
    <row r="6479" spans="1:4" x14ac:dyDescent="0.2">
      <c r="B6479" t="s">
        <v>1</v>
      </c>
    </row>
    <row r="6481" spans="1:4" x14ac:dyDescent="0.2">
      <c r="A6481" t="s">
        <v>2471</v>
      </c>
      <c r="B6481" t="str">
        <f>HYPERLINK("https://lindat.mff.cuni.cz/services/teitok/pdtc10/index.php?action=vallex&amp;frame=v-w11247f1", "dupnout si (v-w11247f1)")</f>
        <v>dupnout si (v-w11247f1)</v>
      </c>
    </row>
    <row r="6482" spans="1:4" x14ac:dyDescent="0.2">
      <c r="B6482" t="s">
        <v>1</v>
      </c>
      <c r="C6482" t="s">
        <v>140</v>
      </c>
    </row>
    <row r="6484" spans="1:4" x14ac:dyDescent="0.2">
      <c r="A6484" t="s">
        <v>2472</v>
      </c>
      <c r="B6484" t="str">
        <f>HYPERLINK("https://lindat.mff.cuni.cz/services/teitok/pdtc10/index.php?action=vallex&amp;frame=v-w851f1", "dusat (v-w851f1)")</f>
        <v>dusat (v-w851f1)</v>
      </c>
    </row>
    <row r="6485" spans="1:4" x14ac:dyDescent="0.2">
      <c r="B6485" t="s">
        <v>1</v>
      </c>
    </row>
    <row r="6487" spans="1:4" x14ac:dyDescent="0.2">
      <c r="A6487" t="s">
        <v>2473</v>
      </c>
      <c r="B6487" t="str">
        <f>HYPERLINK("https://lindat.mff.cuni.cz/services/teitok/pdtc10/index.php?action=vallex&amp;frame=v-w11399f2", "dusit (v-w11399f2)")</f>
        <v>dusit (v-w11399f2)</v>
      </c>
    </row>
    <row r="6488" spans="1:4" x14ac:dyDescent="0.2">
      <c r="B6488" t="s">
        <v>1</v>
      </c>
    </row>
    <row r="6489" spans="1:4" x14ac:dyDescent="0.2">
      <c r="B6489" t="s">
        <v>8</v>
      </c>
    </row>
    <row r="6491" spans="1:4" x14ac:dyDescent="0.2">
      <c r="A6491" t="s">
        <v>2474</v>
      </c>
      <c r="B6491" t="str">
        <f>HYPERLINK("https://lindat.mff.cuni.cz/services/teitok/pdtc10/index.php?action=vallex&amp;frame=v-w11399f4", "dusit (v-w11399f4)")</f>
        <v>dusit (v-w11399f4)</v>
      </c>
    </row>
    <row r="6492" spans="1:4" x14ac:dyDescent="0.2">
      <c r="B6492" t="s">
        <v>1</v>
      </c>
      <c r="C6492" t="s">
        <v>33</v>
      </c>
      <c r="D6492" t="s">
        <v>33</v>
      </c>
    </row>
    <row r="6493" spans="1:4" x14ac:dyDescent="0.2">
      <c r="B6493" t="s">
        <v>8</v>
      </c>
      <c r="C6493" t="s">
        <v>34</v>
      </c>
      <c r="D6493" t="s">
        <v>34</v>
      </c>
    </row>
    <row r="6495" spans="1:4" x14ac:dyDescent="0.2">
      <c r="A6495" t="s">
        <v>2475</v>
      </c>
      <c r="B6495" t="str">
        <f>HYPERLINK("https://lindat.mff.cuni.cz/services/teitok/pdtc10/index.php?action=vallex&amp;frame=v-w11399f3", "dusit (v-w11399f3)")</f>
        <v>dusit (v-w11399f3)</v>
      </c>
    </row>
    <row r="6496" spans="1:4" x14ac:dyDescent="0.2">
      <c r="B6496" t="s">
        <v>1</v>
      </c>
      <c r="C6496" t="s">
        <v>430</v>
      </c>
      <c r="D6496" t="s">
        <v>1805</v>
      </c>
    </row>
    <row r="6497" spans="1:4" x14ac:dyDescent="0.2">
      <c r="B6497" t="s">
        <v>8</v>
      </c>
      <c r="C6497" t="s">
        <v>54</v>
      </c>
      <c r="D6497" t="s">
        <v>2747</v>
      </c>
    </row>
    <row r="6499" spans="1:4" x14ac:dyDescent="0.2">
      <c r="A6499" t="s">
        <v>2476</v>
      </c>
      <c r="B6499" t="str">
        <f>HYPERLINK("https://lindat.mff.cuni.cz/services/teitok/pdtc10/index.php?action=vallex&amp;frame=v-w11399f5_ZU", "dusit (v-w11399f5_ZU)")</f>
        <v>dusit (v-w11399f5_ZU)</v>
      </c>
    </row>
    <row r="6500" spans="1:4" x14ac:dyDescent="0.2">
      <c r="B6500" t="s">
        <v>1</v>
      </c>
    </row>
    <row r="6501" spans="1:4" x14ac:dyDescent="0.2">
      <c r="B6501" t="s">
        <v>8</v>
      </c>
    </row>
    <row r="6503" spans="1:4" x14ac:dyDescent="0.2">
      <c r="A6503" t="s">
        <v>2477</v>
      </c>
      <c r="B6503" t="str">
        <f>HYPERLINK("https://lindat.mff.cuni.cz/services/teitok/pdtc10/index.php?action=vallex&amp;frame=v-w852f1", "dusit se (v-w852f1)")</f>
        <v>dusit se (v-w852f1)</v>
      </c>
    </row>
    <row r="6504" spans="1:4" x14ac:dyDescent="0.2">
      <c r="B6504" t="s">
        <v>1</v>
      </c>
    </row>
    <row r="6506" spans="1:4" x14ac:dyDescent="0.2">
      <c r="A6506" t="s">
        <v>2478</v>
      </c>
      <c r="B6506" t="str">
        <f>HYPERLINK("https://lindat.mff.cuni.cz/services/teitok/pdtc10/index.php?action=vallex&amp;frame=v-w11876_ZUf1_ZU", "dutat (v-w11876_ZUf1_ZU)")</f>
        <v>dutat (v-w11876_ZUf1_ZU)</v>
      </c>
    </row>
    <row r="6507" spans="1:4" x14ac:dyDescent="0.2">
      <c r="B6507" t="s">
        <v>1</v>
      </c>
    </row>
    <row r="6508" spans="1:4" x14ac:dyDescent="0.2">
      <c r="B6508" t="s">
        <v>269</v>
      </c>
    </row>
    <row r="6509" spans="1:4" x14ac:dyDescent="0.2">
      <c r="B6509" t="s">
        <v>511</v>
      </c>
    </row>
    <row r="6511" spans="1:4" x14ac:dyDescent="0.2">
      <c r="A6511" t="s">
        <v>2479</v>
      </c>
      <c r="B6511" t="str">
        <f>HYPERLINK("https://lindat.mff.cuni.cz/services/teitok/pdtc10/index.php?action=vallex&amp;frame=v-w855f1", "dušovat se (v-w855f1)")</f>
        <v>dušovat se (v-w855f1)</v>
      </c>
    </row>
    <row r="6512" spans="1:4" x14ac:dyDescent="0.2">
      <c r="B6512" t="s">
        <v>1</v>
      </c>
      <c r="C6512" t="s">
        <v>140</v>
      </c>
    </row>
    <row r="6513" spans="1:4" x14ac:dyDescent="0.2">
      <c r="B6513" t="s">
        <v>2480</v>
      </c>
      <c r="C6513" t="s">
        <v>34</v>
      </c>
    </row>
    <row r="6515" spans="1:4" x14ac:dyDescent="0.2">
      <c r="A6515" t="s">
        <v>2481</v>
      </c>
      <c r="B6515" t="str">
        <f>HYPERLINK("https://lindat.mff.cuni.cz/services/teitok/pdtc10/index.php?action=vallex&amp;frame=v-w11314f2", "dvořit se (v-w11314f2)")</f>
        <v>dvořit se (v-w11314f2)</v>
      </c>
    </row>
    <row r="6516" spans="1:4" x14ac:dyDescent="0.2">
      <c r="B6516" t="s">
        <v>1</v>
      </c>
      <c r="C6516" t="s">
        <v>430</v>
      </c>
      <c r="D6516" t="s">
        <v>1125</v>
      </c>
    </row>
    <row r="6517" spans="1:4" x14ac:dyDescent="0.2">
      <c r="B6517" t="s">
        <v>103</v>
      </c>
      <c r="C6517" t="s">
        <v>54</v>
      </c>
      <c r="D6517" t="s">
        <v>23247</v>
      </c>
    </row>
    <row r="6519" spans="1:4" x14ac:dyDescent="0.2">
      <c r="A6519" t="s">
        <v>2482</v>
      </c>
      <c r="B6519" t="str">
        <f>HYPERLINK("https://lindat.mff.cuni.cz/services/teitok/pdtc10/index.php?action=vallex&amp;frame=v-w11150f4_ZU", "dychtit (v-w11150f4_ZU)")</f>
        <v>dychtit (v-w11150f4_ZU)</v>
      </c>
    </row>
    <row r="6520" spans="1:4" x14ac:dyDescent="0.2">
      <c r="B6520" t="s">
        <v>1</v>
      </c>
    </row>
    <row r="6521" spans="1:4" x14ac:dyDescent="0.2">
      <c r="B6521" t="s">
        <v>2483</v>
      </c>
    </row>
    <row r="6523" spans="1:4" x14ac:dyDescent="0.2">
      <c r="A6523" t="s">
        <v>2482</v>
      </c>
      <c r="B6523" t="str">
        <f>HYPERLINK("https://lindat.mff.cuni.cz/services/teitok/pdtc10/index.php?action=vallex&amp;frame=v-w11150f2", "dychtit (v-w11150f2) - substituted with v-w11150f4_ZU")</f>
        <v>dychtit (v-w11150f2) - substituted with v-w11150f4_ZU</v>
      </c>
    </row>
    <row r="6524" spans="1:4" x14ac:dyDescent="0.2">
      <c r="B6524" t="s">
        <v>1</v>
      </c>
    </row>
    <row r="6525" spans="1:4" x14ac:dyDescent="0.2">
      <c r="B6525" t="s">
        <v>2483</v>
      </c>
    </row>
    <row r="6527" spans="1:4" x14ac:dyDescent="0.2">
      <c r="A6527" t="s">
        <v>2484</v>
      </c>
      <c r="B6527" t="str">
        <f>HYPERLINK("https://lindat.mff.cuni.cz/services/teitok/pdtc10/index.php?action=vallex&amp;frame=v-w11150f3_ZU", "dychtit (v-w11150f3_ZU)")</f>
        <v>dychtit (v-w11150f3_ZU)</v>
      </c>
    </row>
    <row r="6528" spans="1:4" x14ac:dyDescent="0.2">
      <c r="B6528" t="s">
        <v>1</v>
      </c>
    </row>
    <row r="6529" spans="1:4" x14ac:dyDescent="0.2">
      <c r="B6529" t="s">
        <v>2483</v>
      </c>
    </row>
    <row r="6531" spans="1:4" x14ac:dyDescent="0.2">
      <c r="A6531" t="s">
        <v>2485</v>
      </c>
      <c r="B6531" t="str">
        <f>HYPERLINK("https://lindat.mff.cuni.cz/services/teitok/pdtc10/index.php?action=vallex&amp;frame=v-w369f13", "dát (v-w369f13)")</f>
        <v>dát (v-w369f13)</v>
      </c>
    </row>
    <row r="6532" spans="1:4" x14ac:dyDescent="0.2">
      <c r="B6532" t="s">
        <v>1</v>
      </c>
      <c r="C6532" t="s">
        <v>2486</v>
      </c>
      <c r="D6532" t="s">
        <v>2486</v>
      </c>
    </row>
    <row r="6533" spans="1:4" x14ac:dyDescent="0.2">
      <c r="B6533" t="s">
        <v>1921</v>
      </c>
      <c r="C6533" t="s">
        <v>2487</v>
      </c>
      <c r="D6533" t="s">
        <v>2487</v>
      </c>
    </row>
    <row r="6534" spans="1:4" x14ac:dyDescent="0.2">
      <c r="B6534" t="s">
        <v>35</v>
      </c>
      <c r="C6534" t="s">
        <v>2488</v>
      </c>
      <c r="D6534" t="s">
        <v>2488</v>
      </c>
    </row>
    <row r="6535" spans="1:4" x14ac:dyDescent="0.2">
      <c r="B6535" t="s">
        <v>2489</v>
      </c>
      <c r="D6535" t="s">
        <v>23248</v>
      </c>
    </row>
    <row r="6537" spans="1:4" x14ac:dyDescent="0.2">
      <c r="A6537" t="s">
        <v>2490</v>
      </c>
      <c r="B6537" t="str">
        <f>HYPERLINK("https://lindat.mff.cuni.cz/services/teitok/pdtc10/index.php?action=vallex&amp;frame=v-w369f28", "dát (v-w369f28)")</f>
        <v>dát (v-w369f28)</v>
      </c>
    </row>
    <row r="6538" spans="1:4" x14ac:dyDescent="0.2">
      <c r="B6538" t="s">
        <v>1</v>
      </c>
      <c r="D6538" t="s">
        <v>2486</v>
      </c>
    </row>
    <row r="6539" spans="1:4" x14ac:dyDescent="0.2">
      <c r="B6539" t="s">
        <v>228</v>
      </c>
      <c r="D6539" t="s">
        <v>2487</v>
      </c>
    </row>
    <row r="6540" spans="1:4" x14ac:dyDescent="0.2">
      <c r="B6540" t="s">
        <v>78</v>
      </c>
      <c r="D6540" t="s">
        <v>2488</v>
      </c>
    </row>
    <row r="6541" spans="1:4" x14ac:dyDescent="0.2">
      <c r="B6541" t="s">
        <v>2491</v>
      </c>
      <c r="D6541" t="s">
        <v>23248</v>
      </c>
    </row>
    <row r="6543" spans="1:4" x14ac:dyDescent="0.2">
      <c r="A6543" t="s">
        <v>2492</v>
      </c>
      <c r="B6543" t="str">
        <f>HYPERLINK("https://lindat.mff.cuni.cz/services/teitok/pdtc10/index.php?action=vallex&amp;frame=v-w369f10", "dát (v-w369f10)")</f>
        <v>dát (v-w369f10)</v>
      </c>
    </row>
    <row r="6544" spans="1:4" x14ac:dyDescent="0.2">
      <c r="B6544" t="s">
        <v>1</v>
      </c>
      <c r="C6544" t="s">
        <v>2493</v>
      </c>
      <c r="D6544" t="s">
        <v>23249</v>
      </c>
    </row>
    <row r="6545" spans="1:4" x14ac:dyDescent="0.2">
      <c r="B6545" t="s">
        <v>8</v>
      </c>
      <c r="C6545" t="s">
        <v>2494</v>
      </c>
      <c r="D6545" t="s">
        <v>23250</v>
      </c>
    </row>
    <row r="6546" spans="1:4" x14ac:dyDescent="0.2">
      <c r="B6546" t="s">
        <v>78</v>
      </c>
      <c r="C6546" t="s">
        <v>987</v>
      </c>
      <c r="D6546" t="s">
        <v>23251</v>
      </c>
    </row>
    <row r="6547" spans="1:4" x14ac:dyDescent="0.2">
      <c r="B6547" t="s">
        <v>413</v>
      </c>
      <c r="C6547" t="s">
        <v>2495</v>
      </c>
      <c r="D6547" t="s">
        <v>23252</v>
      </c>
    </row>
    <row r="6549" spans="1:4" x14ac:dyDescent="0.2">
      <c r="A6549" t="s">
        <v>2496</v>
      </c>
      <c r="B6549" t="str">
        <f>HYPERLINK("https://lindat.mff.cuni.cz/services/teitok/pdtc10/index.php?action=vallex&amp;frame=v-w369f94_ZU", "dát (v-w369f94_ZU)")</f>
        <v>dát (v-w369f94_ZU)</v>
      </c>
    </row>
    <row r="6550" spans="1:4" x14ac:dyDescent="0.2">
      <c r="B6550" t="s">
        <v>1</v>
      </c>
    </row>
    <row r="6551" spans="1:4" x14ac:dyDescent="0.2">
      <c r="B6551" t="s">
        <v>2497</v>
      </c>
    </row>
    <row r="6552" spans="1:4" x14ac:dyDescent="0.2">
      <c r="B6552" t="s">
        <v>35</v>
      </c>
    </row>
    <row r="6554" spans="1:4" x14ac:dyDescent="0.2">
      <c r="A6554" t="s">
        <v>2496</v>
      </c>
      <c r="B6554" t="str">
        <f>HYPERLINK("https://lindat.mff.cuni.cz/services/teitok/pdtc10/index.php?action=vallex&amp;frame=v-w369f42", "dát (v-w369f42) - substituted with v-w369f94_ZU")</f>
        <v>dát (v-w369f42) - substituted with v-w369f94_ZU</v>
      </c>
    </row>
    <row r="6555" spans="1:4" x14ac:dyDescent="0.2">
      <c r="B6555" t="s">
        <v>1</v>
      </c>
    </row>
    <row r="6556" spans="1:4" x14ac:dyDescent="0.2">
      <c r="B6556" t="s">
        <v>2497</v>
      </c>
    </row>
    <row r="6557" spans="1:4" x14ac:dyDescent="0.2">
      <c r="B6557" t="s">
        <v>35</v>
      </c>
    </row>
    <row r="6559" spans="1:4" x14ac:dyDescent="0.2">
      <c r="A6559" t="s">
        <v>2498</v>
      </c>
      <c r="B6559" t="str">
        <f>HYPERLINK("https://lindat.mff.cuni.cz/services/teitok/pdtc10/index.php?action=vallex&amp;frame=v-w369f107_ZU", "dát (v-w369f107_ZU)")</f>
        <v>dát (v-w369f107_ZU)</v>
      </c>
    </row>
    <row r="6560" spans="1:4" x14ac:dyDescent="0.2">
      <c r="B6560" t="s">
        <v>1</v>
      </c>
    </row>
    <row r="6561" spans="1:4" x14ac:dyDescent="0.2">
      <c r="B6561" t="s">
        <v>228</v>
      </c>
    </row>
    <row r="6562" spans="1:4" x14ac:dyDescent="0.2">
      <c r="B6562" t="s">
        <v>35</v>
      </c>
    </row>
    <row r="6564" spans="1:4" x14ac:dyDescent="0.2">
      <c r="A6564" t="s">
        <v>2498</v>
      </c>
      <c r="B6564" t="str">
        <f>HYPERLINK("https://lindat.mff.cuni.cz/services/teitok/pdtc10/index.php?action=vallex&amp;frame=v-w369f1", "dát (v-w369f1) - substituted with v-w369f107_ZU")</f>
        <v>dát (v-w369f1) - substituted with v-w369f107_ZU</v>
      </c>
    </row>
    <row r="6565" spans="1:4" x14ac:dyDescent="0.2">
      <c r="B6565" t="s">
        <v>1</v>
      </c>
      <c r="C6565" t="s">
        <v>2499</v>
      </c>
      <c r="D6565" t="s">
        <v>23253</v>
      </c>
    </row>
    <row r="6566" spans="1:4" x14ac:dyDescent="0.2">
      <c r="B6566" t="s">
        <v>228</v>
      </c>
      <c r="C6566" t="s">
        <v>2500</v>
      </c>
      <c r="D6566" t="s">
        <v>23254</v>
      </c>
    </row>
    <row r="6567" spans="1:4" x14ac:dyDescent="0.2">
      <c r="B6567" t="s">
        <v>35</v>
      </c>
      <c r="C6567" t="s">
        <v>2501</v>
      </c>
      <c r="D6567" t="s">
        <v>23255</v>
      </c>
    </row>
    <row r="6569" spans="1:4" x14ac:dyDescent="0.2">
      <c r="A6569" t="s">
        <v>2498</v>
      </c>
      <c r="B6569" t="str">
        <f>HYPERLINK("https://lindat.mff.cuni.cz/services/teitok/pdtc10/index.php?action=vallex&amp;frame=v-w369f79_ZU", "dát (v-w369f79_ZU) - substituted with v-w369f107_ZU")</f>
        <v>dát (v-w369f79_ZU) - substituted with v-w369f107_ZU</v>
      </c>
    </row>
    <row r="6570" spans="1:4" x14ac:dyDescent="0.2">
      <c r="B6570" t="s">
        <v>1</v>
      </c>
    </row>
    <row r="6571" spans="1:4" x14ac:dyDescent="0.2">
      <c r="B6571" t="s">
        <v>228</v>
      </c>
    </row>
    <row r="6572" spans="1:4" x14ac:dyDescent="0.2">
      <c r="B6572" t="s">
        <v>35</v>
      </c>
    </row>
    <row r="6574" spans="1:4" x14ac:dyDescent="0.2">
      <c r="A6574" t="s">
        <v>2502</v>
      </c>
      <c r="B6574" t="str">
        <f>HYPERLINK("https://lindat.mff.cuni.cz/services/teitok/pdtc10/index.php?action=vallex&amp;frame=v-w369f30", "dát (v-w369f30)")</f>
        <v>dát (v-w369f30)</v>
      </c>
    </row>
    <row r="6575" spans="1:4" x14ac:dyDescent="0.2">
      <c r="B6575" t="s">
        <v>1</v>
      </c>
      <c r="C6575" t="s">
        <v>2503</v>
      </c>
      <c r="D6575" t="s">
        <v>23076</v>
      </c>
    </row>
    <row r="6576" spans="1:4" x14ac:dyDescent="0.2">
      <c r="B6576" t="s">
        <v>8</v>
      </c>
      <c r="C6576" t="s">
        <v>2504</v>
      </c>
      <c r="D6576" t="s">
        <v>23077</v>
      </c>
    </row>
    <row r="6577" spans="1:4" x14ac:dyDescent="0.2">
      <c r="B6577" t="s">
        <v>35</v>
      </c>
      <c r="C6577" t="s">
        <v>2505</v>
      </c>
      <c r="D6577" t="s">
        <v>23078</v>
      </c>
    </row>
    <row r="6579" spans="1:4" x14ac:dyDescent="0.2">
      <c r="A6579" t="s">
        <v>2506</v>
      </c>
      <c r="B6579" t="str">
        <f>HYPERLINK("https://lindat.mff.cuni.cz/services/teitok/pdtc10/index.php?action=vallex&amp;frame=v-w369f90_ZU", "dát (v-w369f90_ZU)")</f>
        <v>dát (v-w369f90_ZU)</v>
      </c>
    </row>
    <row r="6580" spans="1:4" x14ac:dyDescent="0.2">
      <c r="B6580" t="s">
        <v>1</v>
      </c>
    </row>
    <row r="6581" spans="1:4" x14ac:dyDescent="0.2">
      <c r="B6581" t="s">
        <v>172</v>
      </c>
    </row>
    <row r="6582" spans="1:4" x14ac:dyDescent="0.2">
      <c r="B6582" t="s">
        <v>35</v>
      </c>
    </row>
    <row r="6584" spans="1:4" x14ac:dyDescent="0.2">
      <c r="A6584" t="s">
        <v>2506</v>
      </c>
      <c r="B6584" t="str">
        <f>HYPERLINK("https://lindat.mff.cuni.cz/services/teitok/pdtc10/index.php?action=vallex&amp;frame=v-w369f31", "dát (v-w369f31) - substituted with v-w369f90_ZU")</f>
        <v>dát (v-w369f31) - substituted with v-w369f90_ZU</v>
      </c>
    </row>
    <row r="6585" spans="1:4" x14ac:dyDescent="0.2">
      <c r="B6585" t="s">
        <v>1</v>
      </c>
      <c r="C6585" t="s">
        <v>2507</v>
      </c>
      <c r="D6585" t="s">
        <v>23256</v>
      </c>
    </row>
    <row r="6586" spans="1:4" x14ac:dyDescent="0.2">
      <c r="B6586" t="s">
        <v>172</v>
      </c>
      <c r="C6586" t="s">
        <v>2508</v>
      </c>
      <c r="D6586" t="s">
        <v>23257</v>
      </c>
    </row>
    <row r="6587" spans="1:4" x14ac:dyDescent="0.2">
      <c r="B6587" t="s">
        <v>35</v>
      </c>
      <c r="C6587" t="s">
        <v>2509</v>
      </c>
      <c r="D6587" t="s">
        <v>23258</v>
      </c>
    </row>
    <row r="6589" spans="1:4" x14ac:dyDescent="0.2">
      <c r="A6589" t="s">
        <v>2510</v>
      </c>
      <c r="B6589" t="str">
        <f>HYPERLINK("https://lindat.mff.cuni.cz/services/teitok/pdtc10/index.php?action=vallex&amp;frame=v-w369f101_ZU", "dát (v-w369f101_ZU)")</f>
        <v>dát (v-w369f101_ZU)</v>
      </c>
    </row>
    <row r="6590" spans="1:4" x14ac:dyDescent="0.2">
      <c r="B6590" t="s">
        <v>2511</v>
      </c>
    </row>
    <row r="6591" spans="1:4" x14ac:dyDescent="0.2">
      <c r="B6591" t="s">
        <v>8</v>
      </c>
    </row>
    <row r="6592" spans="1:4" x14ac:dyDescent="0.2">
      <c r="B6592" t="s">
        <v>78</v>
      </c>
    </row>
    <row r="6594" spans="1:4" x14ac:dyDescent="0.2">
      <c r="A6594" t="s">
        <v>2510</v>
      </c>
      <c r="B6594" t="str">
        <f>HYPERLINK("https://lindat.mff.cuni.cz/services/teitok/pdtc10/index.php?action=vallex&amp;frame=v-w369f33", "dát (v-w369f33) - substituted with v-w369f101_ZU")</f>
        <v>dát (v-w369f33) - substituted with v-w369f101_ZU</v>
      </c>
    </row>
    <row r="6595" spans="1:4" x14ac:dyDescent="0.2">
      <c r="B6595" t="s">
        <v>2511</v>
      </c>
    </row>
    <row r="6596" spans="1:4" x14ac:dyDescent="0.2">
      <c r="B6596" t="s">
        <v>8</v>
      </c>
    </row>
    <row r="6597" spans="1:4" x14ac:dyDescent="0.2">
      <c r="B6597" t="s">
        <v>78</v>
      </c>
    </row>
    <row r="6599" spans="1:4" x14ac:dyDescent="0.2">
      <c r="A6599" t="s">
        <v>2510</v>
      </c>
      <c r="B6599" t="str">
        <f>HYPERLINK("https://lindat.mff.cuni.cz/services/teitok/pdtc10/index.php?action=vallex&amp;frame=v-w369hsa_837", "dát (v-w369hsa_837) - substituted with v-w369f101_ZU")</f>
        <v>dát (v-w369hsa_837) - substituted with v-w369f101_ZU</v>
      </c>
    </row>
    <row r="6600" spans="1:4" x14ac:dyDescent="0.2">
      <c r="B6600" t="s">
        <v>2511</v>
      </c>
    </row>
    <row r="6601" spans="1:4" x14ac:dyDescent="0.2">
      <c r="B6601" t="s">
        <v>8</v>
      </c>
    </row>
    <row r="6602" spans="1:4" x14ac:dyDescent="0.2">
      <c r="B6602" t="s">
        <v>78</v>
      </c>
    </row>
    <row r="6604" spans="1:4" x14ac:dyDescent="0.2">
      <c r="A6604" t="s">
        <v>2512</v>
      </c>
      <c r="B6604" t="str">
        <f>HYPERLINK("https://lindat.mff.cuni.cz/services/teitok/pdtc10/index.php?action=vallex&amp;frame=v-w369f11", "dát (v-w369f11)")</f>
        <v>dát (v-w369f11)</v>
      </c>
    </row>
    <row r="6605" spans="1:4" x14ac:dyDescent="0.2">
      <c r="B6605" t="s">
        <v>1</v>
      </c>
      <c r="D6605" t="s">
        <v>154</v>
      </c>
    </row>
    <row r="6606" spans="1:4" x14ac:dyDescent="0.2">
      <c r="B6606" t="s">
        <v>103</v>
      </c>
      <c r="D6606" t="s">
        <v>23259</v>
      </c>
    </row>
    <row r="6607" spans="1:4" x14ac:dyDescent="0.2">
      <c r="B6607" t="s">
        <v>1084</v>
      </c>
      <c r="D6607" t="s">
        <v>23260</v>
      </c>
    </row>
    <row r="6609" spans="1:2" x14ac:dyDescent="0.2">
      <c r="A6609" t="s">
        <v>2513</v>
      </c>
      <c r="B6609" t="str">
        <f>HYPERLINK("https://lindat.mff.cuni.cz/services/teitok/pdtc10/index.php?action=vallex&amp;frame=v-w369f32", "dát (v-w369f32)")</f>
        <v>dát (v-w369f32)</v>
      </c>
    </row>
    <row r="6610" spans="1:2" x14ac:dyDescent="0.2">
      <c r="B6610" t="s">
        <v>1</v>
      </c>
    </row>
    <row r="6611" spans="1:2" x14ac:dyDescent="0.2">
      <c r="B6611" t="s">
        <v>8</v>
      </c>
    </row>
    <row r="6612" spans="1:2" x14ac:dyDescent="0.2">
      <c r="B6612" t="s">
        <v>1084</v>
      </c>
    </row>
    <row r="6614" spans="1:2" x14ac:dyDescent="0.2">
      <c r="A6614" t="s">
        <v>2514</v>
      </c>
      <c r="B6614" t="str">
        <f>HYPERLINK("https://lindat.mff.cuni.cz/services/teitok/pdtc10/index.php?action=vallex&amp;frame=v-w369f50", "dát (v-w369f50)")</f>
        <v>dát (v-w369f50)</v>
      </c>
    </row>
    <row r="6615" spans="1:2" x14ac:dyDescent="0.2">
      <c r="B6615" t="s">
        <v>1</v>
      </c>
    </row>
    <row r="6616" spans="1:2" x14ac:dyDescent="0.2">
      <c r="B6616" t="s">
        <v>8</v>
      </c>
    </row>
    <row r="6617" spans="1:2" x14ac:dyDescent="0.2">
      <c r="B6617" t="s">
        <v>5</v>
      </c>
    </row>
    <row r="6619" spans="1:2" x14ac:dyDescent="0.2">
      <c r="A6619" t="s">
        <v>2515</v>
      </c>
      <c r="B6619" t="str">
        <f>HYPERLINK("https://lindat.mff.cuni.cz/services/teitok/pdtc10/index.php?action=vallex&amp;frame=v-w369f93_ZU", "dát (v-w369f93_ZU)")</f>
        <v>dát (v-w369f93_ZU)</v>
      </c>
    </row>
    <row r="6620" spans="1:2" x14ac:dyDescent="0.2">
      <c r="B6620" t="s">
        <v>1</v>
      </c>
    </row>
    <row r="6621" spans="1:2" x14ac:dyDescent="0.2">
      <c r="B6621" t="s">
        <v>8</v>
      </c>
    </row>
    <row r="6622" spans="1:2" x14ac:dyDescent="0.2">
      <c r="B6622" t="s">
        <v>205</v>
      </c>
    </row>
    <row r="6623" spans="1:2" x14ac:dyDescent="0.2">
      <c r="B6623" t="s">
        <v>24</v>
      </c>
    </row>
    <row r="6625" spans="1:4" x14ac:dyDescent="0.2">
      <c r="A6625" t="s">
        <v>2515</v>
      </c>
      <c r="B6625" t="str">
        <f>HYPERLINK("https://lindat.mff.cuni.cz/services/teitok/pdtc10/index.php?action=vallex&amp;frame=v-w369f21", "dát (v-w369f21) - substituted with v-w369f93_ZU")</f>
        <v>dát (v-w369f21) - substituted with v-w369f93_ZU</v>
      </c>
    </row>
    <row r="6626" spans="1:4" x14ac:dyDescent="0.2">
      <c r="B6626" t="s">
        <v>1</v>
      </c>
      <c r="C6626" t="s">
        <v>976</v>
      </c>
      <c r="D6626" t="s">
        <v>13976</v>
      </c>
    </row>
    <row r="6627" spans="1:4" x14ac:dyDescent="0.2">
      <c r="B6627" t="s">
        <v>8</v>
      </c>
      <c r="C6627" t="s">
        <v>93</v>
      </c>
      <c r="D6627" t="s">
        <v>10414</v>
      </c>
    </row>
    <row r="6628" spans="1:4" x14ac:dyDescent="0.2">
      <c r="B6628" t="s">
        <v>205</v>
      </c>
      <c r="C6628" t="s">
        <v>2516</v>
      </c>
      <c r="D6628" t="s">
        <v>23197</v>
      </c>
    </row>
    <row r="6629" spans="1:4" x14ac:dyDescent="0.2">
      <c r="B6629" t="s">
        <v>24</v>
      </c>
    </row>
    <row r="6631" spans="1:4" x14ac:dyDescent="0.2">
      <c r="A6631" t="s">
        <v>2517</v>
      </c>
      <c r="B6631" t="str">
        <f>HYPERLINK("https://lindat.mff.cuni.cz/services/teitok/pdtc10/index.php?action=vallex&amp;frame=v-w369f106_ZU", "dát (v-w369f106_ZU)")</f>
        <v>dát (v-w369f106_ZU)</v>
      </c>
    </row>
    <row r="6632" spans="1:4" x14ac:dyDescent="0.2">
      <c r="B6632" t="s">
        <v>1</v>
      </c>
    </row>
    <row r="6633" spans="1:4" x14ac:dyDescent="0.2">
      <c r="B6633" t="s">
        <v>8</v>
      </c>
    </row>
    <row r="6634" spans="1:4" x14ac:dyDescent="0.2">
      <c r="B6634" t="s">
        <v>90</v>
      </c>
    </row>
    <row r="6636" spans="1:4" x14ac:dyDescent="0.2">
      <c r="A6636" t="s">
        <v>2517</v>
      </c>
      <c r="B6636" t="str">
        <f>HYPERLINK("https://lindat.mff.cuni.cz/services/teitok/pdtc10/index.php?action=vallex&amp;frame=v-w369f6", "dát (v-w369f6) - substituted with v-w369f106_ZU")</f>
        <v>dát (v-w369f6) - substituted with v-w369f106_ZU</v>
      </c>
    </row>
    <row r="6637" spans="1:4" x14ac:dyDescent="0.2">
      <c r="B6637" t="s">
        <v>1</v>
      </c>
      <c r="C6637" t="s">
        <v>1488</v>
      </c>
      <c r="D6637" t="s">
        <v>23181</v>
      </c>
    </row>
    <row r="6638" spans="1:4" x14ac:dyDescent="0.2">
      <c r="B6638" t="s">
        <v>8</v>
      </c>
      <c r="C6638" t="s">
        <v>2518</v>
      </c>
      <c r="D6638" t="s">
        <v>23182</v>
      </c>
    </row>
    <row r="6639" spans="1:4" x14ac:dyDescent="0.2">
      <c r="B6639" t="s">
        <v>90</v>
      </c>
      <c r="C6639" t="s">
        <v>2519</v>
      </c>
      <c r="D6639" t="s">
        <v>11579</v>
      </c>
    </row>
    <row r="6641" spans="1:4" x14ac:dyDescent="0.2">
      <c r="A6641" t="s">
        <v>2520</v>
      </c>
      <c r="B6641" t="str">
        <f>HYPERLINK("https://lindat.mff.cuni.cz/services/teitok/pdtc10/index.php?action=vallex&amp;frame=v-w369f27", "dát (v-w369f27)")</f>
        <v>dát (v-w369f27)</v>
      </c>
    </row>
    <row r="6642" spans="1:4" x14ac:dyDescent="0.2">
      <c r="B6642" t="s">
        <v>1</v>
      </c>
      <c r="C6642" t="s">
        <v>2521</v>
      </c>
      <c r="D6642" t="s">
        <v>23181</v>
      </c>
    </row>
    <row r="6643" spans="1:4" x14ac:dyDescent="0.2">
      <c r="B6643" t="s">
        <v>8</v>
      </c>
      <c r="C6643" t="s">
        <v>2522</v>
      </c>
      <c r="D6643" t="s">
        <v>23182</v>
      </c>
    </row>
    <row r="6644" spans="1:4" x14ac:dyDescent="0.2">
      <c r="B6644" t="s">
        <v>90</v>
      </c>
      <c r="C6644" t="s">
        <v>2523</v>
      </c>
      <c r="D6644" t="s">
        <v>11579</v>
      </c>
    </row>
    <row r="6646" spans="1:4" x14ac:dyDescent="0.2">
      <c r="A6646" t="s">
        <v>2524</v>
      </c>
      <c r="B6646" t="str">
        <f>HYPERLINK("https://lindat.mff.cuni.cz/services/teitok/pdtc10/index.php?action=vallex&amp;frame=v-w369f17", "dát (v-w369f17)")</f>
        <v>dát (v-w369f17)</v>
      </c>
    </row>
    <row r="6647" spans="1:4" x14ac:dyDescent="0.2">
      <c r="B6647" t="s">
        <v>1</v>
      </c>
    </row>
    <row r="6648" spans="1:4" x14ac:dyDescent="0.2">
      <c r="B6648" t="s">
        <v>8</v>
      </c>
    </row>
    <row r="6650" spans="1:4" x14ac:dyDescent="0.2">
      <c r="A6650" t="s">
        <v>2525</v>
      </c>
      <c r="B6650" t="str">
        <f>HYPERLINK("https://lindat.mff.cuni.cz/services/teitok/pdtc10/index.php?action=vallex&amp;frame=v-w369f7", "dát (v-w369f7)")</f>
        <v>dát (v-w369f7)</v>
      </c>
    </row>
    <row r="6651" spans="1:4" x14ac:dyDescent="0.2">
      <c r="B6651" t="s">
        <v>1</v>
      </c>
      <c r="D6651" t="s">
        <v>154</v>
      </c>
    </row>
    <row r="6652" spans="1:4" x14ac:dyDescent="0.2">
      <c r="B6652" t="s">
        <v>557</v>
      </c>
      <c r="D6652" t="s">
        <v>5868</v>
      </c>
    </row>
    <row r="6654" spans="1:4" x14ac:dyDescent="0.2">
      <c r="A6654" t="s">
        <v>2526</v>
      </c>
      <c r="B6654" t="str">
        <f>HYPERLINK("https://lindat.mff.cuni.cz/services/teitok/pdtc10/index.php?action=vallex&amp;frame=v-w369f43", "dát (v-w369f43)")</f>
        <v>dát (v-w369f43)</v>
      </c>
    </row>
    <row r="6655" spans="1:4" x14ac:dyDescent="0.2">
      <c r="B6655" t="s">
        <v>1</v>
      </c>
    </row>
    <row r="6656" spans="1:4" x14ac:dyDescent="0.2">
      <c r="B6656" t="s">
        <v>2527</v>
      </c>
    </row>
    <row r="6658" spans="1:4" x14ac:dyDescent="0.2">
      <c r="A6658" t="s">
        <v>2528</v>
      </c>
      <c r="B6658" t="str">
        <f>HYPERLINK("https://lindat.mff.cuni.cz/services/teitok/pdtc10/index.php?action=vallex&amp;frame=v-w369f12", "dát (v-w369f12)")</f>
        <v>dát (v-w369f12)</v>
      </c>
    </row>
    <row r="6659" spans="1:4" x14ac:dyDescent="0.2">
      <c r="B6659" t="s">
        <v>1</v>
      </c>
    </row>
    <row r="6660" spans="1:4" x14ac:dyDescent="0.2">
      <c r="B6660" t="s">
        <v>28</v>
      </c>
    </row>
    <row r="6662" spans="1:4" x14ac:dyDescent="0.2">
      <c r="A6662" t="s">
        <v>2529</v>
      </c>
      <c r="B6662" t="str">
        <f>HYPERLINK("https://lindat.mff.cuni.cz/services/teitok/pdtc10/index.php?action=vallex&amp;frame=v-w369f51_ZU", "dát (v-w369f51_ZU)")</f>
        <v>dát (v-w369f51_ZU)</v>
      </c>
    </row>
    <row r="6663" spans="1:4" x14ac:dyDescent="0.2">
      <c r="B6663" t="s">
        <v>1</v>
      </c>
      <c r="C6663" t="s">
        <v>2530</v>
      </c>
      <c r="D6663" t="s">
        <v>23261</v>
      </c>
    </row>
    <row r="6664" spans="1:4" x14ac:dyDescent="0.2">
      <c r="B6664" t="s">
        <v>2531</v>
      </c>
      <c r="C6664" t="s">
        <v>2532</v>
      </c>
      <c r="D6664" t="s">
        <v>9548</v>
      </c>
    </row>
    <row r="6666" spans="1:4" x14ac:dyDescent="0.2">
      <c r="A6666" t="s">
        <v>2529</v>
      </c>
      <c r="B6666" t="str">
        <f>HYPERLINK("https://lindat.mff.cuni.cz/services/teitok/pdtc10/index.php?action=vallex&amp;frame=v-w369f4", "dát (v-w369f4) - substituted with v-w369f51_ZU")</f>
        <v>dát (v-w369f4) - substituted with v-w369f51_ZU</v>
      </c>
    </row>
    <row r="6667" spans="1:4" x14ac:dyDescent="0.2">
      <c r="B6667" t="s">
        <v>1</v>
      </c>
      <c r="C6667" t="s">
        <v>2533</v>
      </c>
    </row>
    <row r="6668" spans="1:4" x14ac:dyDescent="0.2">
      <c r="B6668" t="s">
        <v>2531</v>
      </c>
      <c r="C6668" t="s">
        <v>2534</v>
      </c>
    </row>
    <row r="6670" spans="1:4" x14ac:dyDescent="0.2">
      <c r="A6670" t="s">
        <v>2535</v>
      </c>
      <c r="B6670" t="str">
        <f>HYPERLINK("https://lindat.mff.cuni.cz/services/teitok/pdtc10/index.php?action=vallex&amp;frame=v-w369f41", "dát (v-w369f41)")</f>
        <v>dát (v-w369f41)</v>
      </c>
    </row>
    <row r="6671" spans="1:4" x14ac:dyDescent="0.2">
      <c r="B6671" t="s">
        <v>1</v>
      </c>
      <c r="C6671" t="s">
        <v>2486</v>
      </c>
    </row>
    <row r="6672" spans="1:4" x14ac:dyDescent="0.2">
      <c r="B6672" t="s">
        <v>524</v>
      </c>
      <c r="C6672" t="s">
        <v>2536</v>
      </c>
    </row>
    <row r="6673" spans="1:3" x14ac:dyDescent="0.2">
      <c r="B6673" t="s">
        <v>1382</v>
      </c>
    </row>
    <row r="6674" spans="1:3" x14ac:dyDescent="0.2">
      <c r="B6674" t="s">
        <v>78</v>
      </c>
      <c r="C6674" t="s">
        <v>2488</v>
      </c>
    </row>
    <row r="6676" spans="1:3" x14ac:dyDescent="0.2">
      <c r="A6676" t="s">
        <v>2537</v>
      </c>
      <c r="B6676" t="str">
        <f>HYPERLINK("https://lindat.mff.cuni.cz/services/teitok/pdtc10/index.php?action=vallex&amp;frame=v-w369f103_ZU", "dát (v-w369f103_ZU)")</f>
        <v>dát (v-w369f103_ZU)</v>
      </c>
    </row>
    <row r="6677" spans="1:3" x14ac:dyDescent="0.2">
      <c r="B6677" t="s">
        <v>1</v>
      </c>
    </row>
    <row r="6678" spans="1:3" x14ac:dyDescent="0.2">
      <c r="B6678" t="s">
        <v>2538</v>
      </c>
    </row>
    <row r="6679" spans="1:3" x14ac:dyDescent="0.2">
      <c r="B6679" t="s">
        <v>35</v>
      </c>
    </row>
    <row r="6681" spans="1:3" x14ac:dyDescent="0.2">
      <c r="A6681" t="s">
        <v>2537</v>
      </c>
      <c r="B6681" t="str">
        <f>HYPERLINK("https://lindat.mff.cuni.cz/services/teitok/pdtc10/index.php?action=vallex&amp;frame=v-w369f2", "dát (v-w369f2) - substituted with v-w369f103_ZU")</f>
        <v>dát (v-w369f2) - substituted with v-w369f103_ZU</v>
      </c>
    </row>
    <row r="6682" spans="1:3" x14ac:dyDescent="0.2">
      <c r="B6682" t="s">
        <v>1</v>
      </c>
      <c r="C6682" t="s">
        <v>2486</v>
      </c>
    </row>
    <row r="6683" spans="1:3" x14ac:dyDescent="0.2">
      <c r="B6683" t="s">
        <v>2538</v>
      </c>
      <c r="C6683" t="s">
        <v>2539</v>
      </c>
    </row>
    <row r="6684" spans="1:3" x14ac:dyDescent="0.2">
      <c r="B6684" t="s">
        <v>35</v>
      </c>
      <c r="C6684" t="s">
        <v>2488</v>
      </c>
    </row>
    <row r="6686" spans="1:3" x14ac:dyDescent="0.2">
      <c r="A6686" t="s">
        <v>2537</v>
      </c>
      <c r="B6686" t="str">
        <f>HYPERLINK("https://lindat.mff.cuni.cz/services/teitok/pdtc10/index.php?action=vallex&amp;frame=v-w369hsa_838", "dát (v-w369hsa_838) - substituted with v-w369f103_ZU")</f>
        <v>dát (v-w369hsa_838) - substituted with v-w369f103_ZU</v>
      </c>
    </row>
    <row r="6687" spans="1:3" x14ac:dyDescent="0.2">
      <c r="B6687" t="s">
        <v>1</v>
      </c>
    </row>
    <row r="6688" spans="1:3" x14ac:dyDescent="0.2">
      <c r="B6688" t="s">
        <v>2538</v>
      </c>
    </row>
    <row r="6689" spans="1:4" x14ac:dyDescent="0.2">
      <c r="B6689" t="s">
        <v>35</v>
      </c>
    </row>
    <row r="6691" spans="1:4" x14ac:dyDescent="0.2">
      <c r="A6691" t="s">
        <v>2540</v>
      </c>
      <c r="B6691" t="str">
        <f>HYPERLINK("https://lindat.mff.cuni.cz/services/teitok/pdtc10/index.php?action=vallex&amp;frame=v-w369f15", "dát (v-w369f15)")</f>
        <v>dát (v-w369f15)</v>
      </c>
    </row>
    <row r="6692" spans="1:4" x14ac:dyDescent="0.2">
      <c r="B6692" t="s">
        <v>1</v>
      </c>
      <c r="C6692" t="s">
        <v>2486</v>
      </c>
      <c r="D6692" t="s">
        <v>23262</v>
      </c>
    </row>
    <row r="6693" spans="1:4" x14ac:dyDescent="0.2">
      <c r="B6693" t="s">
        <v>2541</v>
      </c>
      <c r="C6693" t="s">
        <v>2539</v>
      </c>
      <c r="D6693" t="s">
        <v>23263</v>
      </c>
    </row>
    <row r="6694" spans="1:4" x14ac:dyDescent="0.2">
      <c r="B6694" t="s">
        <v>2542</v>
      </c>
      <c r="C6694" t="s">
        <v>2488</v>
      </c>
      <c r="D6694" t="s">
        <v>23251</v>
      </c>
    </row>
    <row r="6696" spans="1:4" x14ac:dyDescent="0.2">
      <c r="A6696" t="s">
        <v>2543</v>
      </c>
      <c r="B6696" t="str">
        <f>HYPERLINK("https://lindat.mff.cuni.cz/services/teitok/pdtc10/index.php?action=vallex&amp;frame=v-w369f20", "dát (v-w369f20)")</f>
        <v>dát (v-w369f20)</v>
      </c>
    </row>
    <row r="6697" spans="1:4" x14ac:dyDescent="0.2">
      <c r="B6697" t="s">
        <v>1</v>
      </c>
      <c r="C6697" t="s">
        <v>2530</v>
      </c>
      <c r="D6697" t="s">
        <v>23264</v>
      </c>
    </row>
    <row r="6698" spans="1:4" x14ac:dyDescent="0.2">
      <c r="B6698" t="s">
        <v>2544</v>
      </c>
      <c r="C6698" t="s">
        <v>2545</v>
      </c>
      <c r="D6698" t="s">
        <v>23265</v>
      </c>
    </row>
    <row r="6699" spans="1:4" x14ac:dyDescent="0.2">
      <c r="B6699" t="s">
        <v>35</v>
      </c>
      <c r="C6699" t="s">
        <v>2546</v>
      </c>
      <c r="D6699" t="s">
        <v>23266</v>
      </c>
    </row>
    <row r="6701" spans="1:4" x14ac:dyDescent="0.2">
      <c r="A6701" t="s">
        <v>2547</v>
      </c>
      <c r="B6701" t="str">
        <f>HYPERLINK("https://lindat.mff.cuni.cz/services/teitok/pdtc10/index.php?action=vallex&amp;frame=v-w369f98_ZU", "dát (v-w369f98_ZU)")</f>
        <v>dát (v-w369f98_ZU)</v>
      </c>
    </row>
    <row r="6702" spans="1:4" x14ac:dyDescent="0.2">
      <c r="B6702" t="s">
        <v>1</v>
      </c>
    </row>
    <row r="6703" spans="1:4" x14ac:dyDescent="0.2">
      <c r="B6703" t="s">
        <v>2548</v>
      </c>
    </row>
    <row r="6704" spans="1:4" x14ac:dyDescent="0.2">
      <c r="B6704" t="s">
        <v>35</v>
      </c>
    </row>
    <row r="6706" spans="1:3" x14ac:dyDescent="0.2">
      <c r="A6706" t="s">
        <v>2547</v>
      </c>
      <c r="B6706" t="str">
        <f>HYPERLINK("https://lindat.mff.cuni.cz/services/teitok/pdtc10/index.php?action=vallex&amp;frame=v-w369f16", "dát (v-w369f16) - substituted with v-w369f98_ZU")</f>
        <v>dát (v-w369f16) - substituted with v-w369f98_ZU</v>
      </c>
    </row>
    <row r="6707" spans="1:3" x14ac:dyDescent="0.2">
      <c r="B6707" t="s">
        <v>1</v>
      </c>
      <c r="C6707" t="s">
        <v>2549</v>
      </c>
    </row>
    <row r="6708" spans="1:3" x14ac:dyDescent="0.2">
      <c r="B6708" t="s">
        <v>2548</v>
      </c>
      <c r="C6708" t="s">
        <v>2550</v>
      </c>
    </row>
    <row r="6709" spans="1:3" x14ac:dyDescent="0.2">
      <c r="B6709" t="s">
        <v>35</v>
      </c>
      <c r="C6709" t="s">
        <v>2551</v>
      </c>
    </row>
    <row r="6711" spans="1:3" x14ac:dyDescent="0.2">
      <c r="A6711" t="s">
        <v>2547</v>
      </c>
      <c r="B6711" t="str">
        <f>HYPERLINK("https://lindat.mff.cuni.cz/services/teitok/pdtc10/index.php?action=vallex&amp;frame=v-w369f53_ZU", "dát (v-w369f53_ZU) - substituted with v-w369f98_ZU")</f>
        <v>dát (v-w369f53_ZU) - substituted with v-w369f98_ZU</v>
      </c>
    </row>
    <row r="6712" spans="1:3" x14ac:dyDescent="0.2">
      <c r="B6712" t="s">
        <v>1</v>
      </c>
    </row>
    <row r="6713" spans="1:3" x14ac:dyDescent="0.2">
      <c r="B6713" t="s">
        <v>2548</v>
      </c>
    </row>
    <row r="6714" spans="1:3" x14ac:dyDescent="0.2">
      <c r="B6714" t="s">
        <v>35</v>
      </c>
    </row>
    <row r="6716" spans="1:3" x14ac:dyDescent="0.2">
      <c r="A6716" t="s">
        <v>2547</v>
      </c>
      <c r="B6716" t="str">
        <f>HYPERLINK("https://lindat.mff.cuni.cz/services/teitok/pdtc10/index.php?action=vallex&amp;frame=v-w369f57_ZU", "dát (v-w369f57_ZU) - substituted with v-w369f98_ZU")</f>
        <v>dát (v-w369f57_ZU) - substituted with v-w369f98_ZU</v>
      </c>
    </row>
    <row r="6717" spans="1:3" x14ac:dyDescent="0.2">
      <c r="B6717" t="s">
        <v>1</v>
      </c>
      <c r="C6717" t="s">
        <v>2552</v>
      </c>
    </row>
    <row r="6718" spans="1:3" x14ac:dyDescent="0.2">
      <c r="B6718" t="s">
        <v>2548</v>
      </c>
      <c r="C6718" t="s">
        <v>2553</v>
      </c>
    </row>
    <row r="6719" spans="1:3" x14ac:dyDescent="0.2">
      <c r="B6719" t="s">
        <v>35</v>
      </c>
      <c r="C6719" t="s">
        <v>2554</v>
      </c>
    </row>
    <row r="6721" spans="1:4" x14ac:dyDescent="0.2">
      <c r="A6721" t="s">
        <v>2547</v>
      </c>
      <c r="B6721" t="str">
        <f>HYPERLINK("https://lindat.mff.cuni.cz/services/teitok/pdtc10/index.php?action=vallex&amp;frame=v-w369f69_ZU", "dát (v-w369f69_ZU) - substituted with v-w369f98_ZU")</f>
        <v>dát (v-w369f69_ZU) - substituted with v-w369f98_ZU</v>
      </c>
    </row>
    <row r="6722" spans="1:4" x14ac:dyDescent="0.2">
      <c r="B6722" t="s">
        <v>1</v>
      </c>
      <c r="C6722" t="s">
        <v>2555</v>
      </c>
    </row>
    <row r="6723" spans="1:4" x14ac:dyDescent="0.2">
      <c r="B6723" t="s">
        <v>2548</v>
      </c>
      <c r="C6723" t="s">
        <v>2556</v>
      </c>
    </row>
    <row r="6724" spans="1:4" x14ac:dyDescent="0.2">
      <c r="B6724" t="s">
        <v>35</v>
      </c>
    </row>
    <row r="6726" spans="1:4" x14ac:dyDescent="0.2">
      <c r="A6726" t="s">
        <v>2547</v>
      </c>
      <c r="B6726" t="str">
        <f>HYPERLINK("https://lindat.mff.cuni.cz/services/teitok/pdtc10/index.php?action=vallex&amp;frame=v-w369f74_ZU", "dát (v-w369f74_ZU) - substituted with v-w369f98_ZU")</f>
        <v>dát (v-w369f74_ZU) - substituted with v-w369f98_ZU</v>
      </c>
    </row>
    <row r="6727" spans="1:4" x14ac:dyDescent="0.2">
      <c r="B6727" t="s">
        <v>1</v>
      </c>
      <c r="C6727" t="s">
        <v>2486</v>
      </c>
    </row>
    <row r="6728" spans="1:4" x14ac:dyDescent="0.2">
      <c r="B6728" t="s">
        <v>2548</v>
      </c>
      <c r="C6728" t="s">
        <v>2539</v>
      </c>
    </row>
    <row r="6729" spans="1:4" x14ac:dyDescent="0.2">
      <c r="B6729" t="s">
        <v>35</v>
      </c>
      <c r="C6729" t="s">
        <v>2488</v>
      </c>
    </row>
    <row r="6731" spans="1:4" x14ac:dyDescent="0.2">
      <c r="A6731" t="s">
        <v>2547</v>
      </c>
      <c r="B6731" t="str">
        <f>HYPERLINK("https://lindat.mff.cuni.cz/services/teitok/pdtc10/index.php?action=vallex&amp;frame=v-w369f75_ZU", "dát (v-w369f75_ZU) - substituted with v-w369f98_ZU")</f>
        <v>dát (v-w369f75_ZU) - substituted with v-w369f98_ZU</v>
      </c>
    </row>
    <row r="6732" spans="1:4" x14ac:dyDescent="0.2">
      <c r="B6732" t="s">
        <v>1</v>
      </c>
      <c r="C6732" t="s">
        <v>2530</v>
      </c>
      <c r="D6732" t="s">
        <v>23267</v>
      </c>
    </row>
    <row r="6733" spans="1:4" x14ac:dyDescent="0.2">
      <c r="B6733" t="s">
        <v>2548</v>
      </c>
      <c r="C6733" t="s">
        <v>2545</v>
      </c>
      <c r="D6733" t="s">
        <v>23268</v>
      </c>
    </row>
    <row r="6734" spans="1:4" x14ac:dyDescent="0.2">
      <c r="B6734" t="s">
        <v>35</v>
      </c>
      <c r="C6734" t="s">
        <v>2546</v>
      </c>
      <c r="D6734" t="s">
        <v>23269</v>
      </c>
    </row>
    <row r="6736" spans="1:4" x14ac:dyDescent="0.2">
      <c r="A6736" t="s">
        <v>2547</v>
      </c>
      <c r="B6736" t="str">
        <f>HYPERLINK("https://lindat.mff.cuni.cz/services/teitok/pdtc10/index.php?action=vallex&amp;frame=v-w369f80_ZU", "dát (v-w369f80_ZU) - substituted with v-w369f98_ZU")</f>
        <v>dát (v-w369f80_ZU) - substituted with v-w369f98_ZU</v>
      </c>
    </row>
    <row r="6737" spans="1:3" x14ac:dyDescent="0.2">
      <c r="B6737" t="s">
        <v>1</v>
      </c>
    </row>
    <row r="6738" spans="1:3" x14ac:dyDescent="0.2">
      <c r="B6738" t="s">
        <v>2548</v>
      </c>
    </row>
    <row r="6739" spans="1:3" x14ac:dyDescent="0.2">
      <c r="B6739" t="s">
        <v>35</v>
      </c>
    </row>
    <row r="6741" spans="1:3" x14ac:dyDescent="0.2">
      <c r="A6741" t="s">
        <v>2557</v>
      </c>
      <c r="B6741" t="str">
        <f>HYPERLINK("https://lindat.mff.cuni.cz/services/teitok/pdtc10/index.php?action=vallex&amp;frame=v-w369f54_ZU", "dát (v-w369f54_ZU)")</f>
        <v>dát (v-w369f54_ZU)</v>
      </c>
    </row>
    <row r="6742" spans="1:3" x14ac:dyDescent="0.2">
      <c r="B6742" t="s">
        <v>1</v>
      </c>
      <c r="C6742" t="s">
        <v>2486</v>
      </c>
    </row>
    <row r="6743" spans="1:3" x14ac:dyDescent="0.2">
      <c r="B6743" t="s">
        <v>2558</v>
      </c>
      <c r="C6743" t="s">
        <v>2539</v>
      </c>
    </row>
    <row r="6744" spans="1:3" x14ac:dyDescent="0.2">
      <c r="B6744" t="s">
        <v>35</v>
      </c>
      <c r="C6744" t="s">
        <v>2488</v>
      </c>
    </row>
    <row r="6746" spans="1:3" x14ac:dyDescent="0.2">
      <c r="A6746" t="s">
        <v>2559</v>
      </c>
      <c r="B6746" t="str">
        <f>HYPERLINK("https://lindat.mff.cuni.cz/services/teitok/pdtc10/index.php?action=vallex&amp;frame=v-w369f109_MM", "dát (v-w369f109_MM)")</f>
        <v>dát (v-w369f109_MM)</v>
      </c>
    </row>
    <row r="6747" spans="1:3" x14ac:dyDescent="0.2">
      <c r="B6747" t="s">
        <v>1</v>
      </c>
    </row>
    <row r="6748" spans="1:3" x14ac:dyDescent="0.2">
      <c r="B6748" t="s">
        <v>2560</v>
      </c>
    </row>
    <row r="6749" spans="1:3" x14ac:dyDescent="0.2">
      <c r="B6749" t="s">
        <v>35</v>
      </c>
    </row>
    <row r="6751" spans="1:3" x14ac:dyDescent="0.2">
      <c r="A6751" t="s">
        <v>2559</v>
      </c>
      <c r="B6751" t="str">
        <f>HYPERLINK("https://lindat.mff.cuni.cz/services/teitok/pdtc10/index.php?action=vallex&amp;frame=v-w369f102_ZU", "dát (v-w369f102_ZU) - substituted with v-w369f109_MM")</f>
        <v>dát (v-w369f102_ZU) - substituted with v-w369f109_MM</v>
      </c>
    </row>
    <row r="6752" spans="1:3" x14ac:dyDescent="0.2">
      <c r="B6752" t="s">
        <v>1</v>
      </c>
    </row>
    <row r="6753" spans="1:3" x14ac:dyDescent="0.2">
      <c r="B6753" t="s">
        <v>2560</v>
      </c>
    </row>
    <row r="6754" spans="1:3" x14ac:dyDescent="0.2">
      <c r="B6754" t="s">
        <v>35</v>
      </c>
    </row>
    <row r="6756" spans="1:3" x14ac:dyDescent="0.2">
      <c r="A6756" t="s">
        <v>2559</v>
      </c>
      <c r="B6756" t="str">
        <f>HYPERLINK("https://lindat.mff.cuni.cz/services/teitok/pdtc10/index.php?action=vallex&amp;frame=v-w369f3", "dát (v-w369f3) - substituted with v-w369f109_MM")</f>
        <v>dát (v-w369f3) - substituted with v-w369f109_MM</v>
      </c>
    </row>
    <row r="6757" spans="1:3" x14ac:dyDescent="0.2">
      <c r="B6757" t="s">
        <v>1</v>
      </c>
      <c r="C6757" t="s">
        <v>2561</v>
      </c>
    </row>
    <row r="6758" spans="1:3" x14ac:dyDescent="0.2">
      <c r="B6758" t="s">
        <v>2560</v>
      </c>
      <c r="C6758" t="s">
        <v>2562</v>
      </c>
    </row>
    <row r="6759" spans="1:3" x14ac:dyDescent="0.2">
      <c r="B6759" t="s">
        <v>35</v>
      </c>
      <c r="C6759" t="s">
        <v>2563</v>
      </c>
    </row>
    <row r="6761" spans="1:3" x14ac:dyDescent="0.2">
      <c r="A6761" t="s">
        <v>2559</v>
      </c>
      <c r="B6761" t="str">
        <f>HYPERLINK("https://lindat.mff.cuni.cz/services/teitok/pdtc10/index.php?action=vallex&amp;frame=v-w369f56_ZU", "dát (v-w369f56_ZU) - substituted with v-w369f109_MM")</f>
        <v>dát (v-w369f56_ZU) - substituted with v-w369f109_MM</v>
      </c>
    </row>
    <row r="6762" spans="1:3" x14ac:dyDescent="0.2">
      <c r="B6762" t="s">
        <v>1</v>
      </c>
      <c r="C6762" t="s">
        <v>2564</v>
      </c>
    </row>
    <row r="6763" spans="1:3" x14ac:dyDescent="0.2">
      <c r="B6763" t="s">
        <v>2560</v>
      </c>
      <c r="C6763" t="s">
        <v>2565</v>
      </c>
    </row>
    <row r="6764" spans="1:3" x14ac:dyDescent="0.2">
      <c r="B6764" t="s">
        <v>35</v>
      </c>
      <c r="C6764" t="s">
        <v>2488</v>
      </c>
    </row>
    <row r="6766" spans="1:3" x14ac:dyDescent="0.2">
      <c r="A6766" t="s">
        <v>2559</v>
      </c>
      <c r="B6766" t="str">
        <f>HYPERLINK("https://lindat.mff.cuni.cz/services/teitok/pdtc10/index.php?action=vallex&amp;frame=v-w369f71_ZU", "dát (v-w369f71_ZU) - substituted with v-w369f109_MM")</f>
        <v>dát (v-w369f71_ZU) - substituted with v-w369f109_MM</v>
      </c>
    </row>
    <row r="6767" spans="1:3" x14ac:dyDescent="0.2">
      <c r="B6767" t="s">
        <v>1</v>
      </c>
      <c r="C6767" t="s">
        <v>2521</v>
      </c>
    </row>
    <row r="6768" spans="1:3" x14ac:dyDescent="0.2">
      <c r="B6768" t="s">
        <v>2560</v>
      </c>
      <c r="C6768" t="s">
        <v>2565</v>
      </c>
    </row>
    <row r="6769" spans="1:4" x14ac:dyDescent="0.2">
      <c r="B6769" t="s">
        <v>35</v>
      </c>
      <c r="C6769" t="s">
        <v>2563</v>
      </c>
    </row>
    <row r="6771" spans="1:4" x14ac:dyDescent="0.2">
      <c r="A6771" t="s">
        <v>2559</v>
      </c>
      <c r="B6771" t="str">
        <f>HYPERLINK("https://lindat.mff.cuni.cz/services/teitok/pdtc10/index.php?action=vallex&amp;frame=v-w369f72_ZU", "dát (v-w369f72_ZU) - substituted with v-w369f109_MM")</f>
        <v>dát (v-w369f72_ZU) - substituted with v-w369f109_MM</v>
      </c>
    </row>
    <row r="6772" spans="1:4" x14ac:dyDescent="0.2">
      <c r="B6772" t="s">
        <v>1</v>
      </c>
      <c r="C6772" t="s">
        <v>2486</v>
      </c>
    </row>
    <row r="6773" spans="1:4" x14ac:dyDescent="0.2">
      <c r="B6773" t="s">
        <v>2560</v>
      </c>
      <c r="C6773" t="s">
        <v>2539</v>
      </c>
    </row>
    <row r="6774" spans="1:4" x14ac:dyDescent="0.2">
      <c r="B6774" t="s">
        <v>35</v>
      </c>
      <c r="C6774" t="s">
        <v>2488</v>
      </c>
    </row>
    <row r="6776" spans="1:4" x14ac:dyDescent="0.2">
      <c r="A6776" t="s">
        <v>2559</v>
      </c>
      <c r="B6776" t="str">
        <f>HYPERLINK("https://lindat.mff.cuni.cz/services/teitok/pdtc10/index.php?action=vallex&amp;frame=v-w369f73_ZU", "dát (v-w369f73_ZU) - substituted with v-w369f109_MM")</f>
        <v>dát (v-w369f73_ZU) - substituted with v-w369f109_MM</v>
      </c>
    </row>
    <row r="6777" spans="1:4" x14ac:dyDescent="0.2">
      <c r="B6777" t="s">
        <v>1</v>
      </c>
      <c r="C6777" t="s">
        <v>2566</v>
      </c>
    </row>
    <row r="6778" spans="1:4" x14ac:dyDescent="0.2">
      <c r="B6778" t="s">
        <v>2560</v>
      </c>
      <c r="C6778" t="s">
        <v>2567</v>
      </c>
    </row>
    <row r="6779" spans="1:4" x14ac:dyDescent="0.2">
      <c r="B6779" t="s">
        <v>35</v>
      </c>
      <c r="C6779" t="s">
        <v>2568</v>
      </c>
    </row>
    <row r="6781" spans="1:4" x14ac:dyDescent="0.2">
      <c r="A6781" t="s">
        <v>2559</v>
      </c>
      <c r="B6781" t="str">
        <f>HYPERLINK("https://lindat.mff.cuni.cz/services/teitok/pdtc10/index.php?action=vallex&amp;frame=v-w369f76_ZU", "dát (v-w369f76_ZU) - substituted with v-w369f109_MM")</f>
        <v>dát (v-w369f76_ZU) - substituted with v-w369f109_MM</v>
      </c>
    </row>
    <row r="6782" spans="1:4" x14ac:dyDescent="0.2">
      <c r="B6782" t="s">
        <v>1</v>
      </c>
      <c r="D6782" t="s">
        <v>23270</v>
      </c>
    </row>
    <row r="6783" spans="1:4" x14ac:dyDescent="0.2">
      <c r="B6783" t="s">
        <v>2560</v>
      </c>
      <c r="D6783" t="s">
        <v>23271</v>
      </c>
    </row>
    <row r="6784" spans="1:4" x14ac:dyDescent="0.2">
      <c r="B6784" t="s">
        <v>35</v>
      </c>
      <c r="D6784" t="s">
        <v>23272</v>
      </c>
    </row>
    <row r="6786" spans="1:2" x14ac:dyDescent="0.2">
      <c r="A6786" t="s">
        <v>2559</v>
      </c>
      <c r="B6786" t="str">
        <f>HYPERLINK("https://lindat.mff.cuni.cz/services/teitok/pdtc10/index.php?action=vallex&amp;frame=v-w369f81_ZU", "dát (v-w369f81_ZU) - substituted with v-w369f109_MM")</f>
        <v>dát (v-w369f81_ZU) - substituted with v-w369f109_MM</v>
      </c>
    </row>
    <row r="6787" spans="1:2" x14ac:dyDescent="0.2">
      <c r="B6787" t="s">
        <v>1</v>
      </c>
    </row>
    <row r="6788" spans="1:2" x14ac:dyDescent="0.2">
      <c r="B6788" t="s">
        <v>2560</v>
      </c>
    </row>
    <row r="6789" spans="1:2" x14ac:dyDescent="0.2">
      <c r="B6789" t="s">
        <v>35</v>
      </c>
    </row>
    <row r="6791" spans="1:2" x14ac:dyDescent="0.2">
      <c r="A6791" t="s">
        <v>2559</v>
      </c>
      <c r="B6791" t="str">
        <f>HYPERLINK("https://lindat.mff.cuni.cz/services/teitok/pdtc10/index.php?action=vallex&amp;frame=v-w369f82_ZU", "dát (v-w369f82_ZU) - substituted with v-w369f109_MM")</f>
        <v>dát (v-w369f82_ZU) - substituted with v-w369f109_MM</v>
      </c>
    </row>
    <row r="6792" spans="1:2" x14ac:dyDescent="0.2">
      <c r="B6792" t="s">
        <v>1</v>
      </c>
    </row>
    <row r="6793" spans="1:2" x14ac:dyDescent="0.2">
      <c r="B6793" t="s">
        <v>2560</v>
      </c>
    </row>
    <row r="6794" spans="1:2" x14ac:dyDescent="0.2">
      <c r="B6794" t="s">
        <v>35</v>
      </c>
    </row>
    <row r="6796" spans="1:2" x14ac:dyDescent="0.2">
      <c r="A6796" t="s">
        <v>2559</v>
      </c>
      <c r="B6796" t="str">
        <f>HYPERLINK("https://lindat.mff.cuni.cz/services/teitok/pdtc10/index.php?action=vallex&amp;frame=v-w369hsa_839", "dát (v-w369hsa_839) - substituted with v-w369f109_MM")</f>
        <v>dát (v-w369hsa_839) - substituted with v-w369f109_MM</v>
      </c>
    </row>
    <row r="6797" spans="1:2" x14ac:dyDescent="0.2">
      <c r="B6797" t="s">
        <v>1</v>
      </c>
    </row>
    <row r="6798" spans="1:2" x14ac:dyDescent="0.2">
      <c r="B6798" t="s">
        <v>2560</v>
      </c>
    </row>
    <row r="6799" spans="1:2" x14ac:dyDescent="0.2">
      <c r="B6799" t="s">
        <v>35</v>
      </c>
    </row>
    <row r="6801" spans="1:4" x14ac:dyDescent="0.2">
      <c r="A6801" t="s">
        <v>2569</v>
      </c>
      <c r="B6801" t="str">
        <f>HYPERLINK("https://lindat.mff.cuni.cz/services/teitok/pdtc10/index.php?action=vallex&amp;frame=v-w369f61_ZU", "dát (v-w369f61_ZU)")</f>
        <v>dát (v-w369f61_ZU)</v>
      </c>
    </row>
    <row r="6802" spans="1:4" x14ac:dyDescent="0.2">
      <c r="B6802" t="s">
        <v>1</v>
      </c>
      <c r="C6802" t="s">
        <v>2530</v>
      </c>
      <c r="D6802" t="s">
        <v>23273</v>
      </c>
    </row>
    <row r="6803" spans="1:4" x14ac:dyDescent="0.2">
      <c r="B6803" t="s">
        <v>2570</v>
      </c>
      <c r="C6803" t="s">
        <v>2545</v>
      </c>
      <c r="D6803" t="s">
        <v>23265</v>
      </c>
    </row>
    <row r="6804" spans="1:4" x14ac:dyDescent="0.2">
      <c r="B6804" t="s">
        <v>35</v>
      </c>
      <c r="C6804" t="s">
        <v>2546</v>
      </c>
      <c r="D6804" t="s">
        <v>23258</v>
      </c>
    </row>
    <row r="6806" spans="1:4" x14ac:dyDescent="0.2">
      <c r="A6806" t="s">
        <v>2569</v>
      </c>
      <c r="B6806" t="str">
        <f>HYPERLINK("https://lindat.mff.cuni.cz/services/teitok/pdtc10/index.php?action=vallex&amp;frame=v-w369f47", "dát (v-w369f47) - substituted with v-w369f61_ZU")</f>
        <v>dát (v-w369f47) - substituted with v-w369f61_ZU</v>
      </c>
    </row>
    <row r="6807" spans="1:4" x14ac:dyDescent="0.2">
      <c r="B6807" t="s">
        <v>1</v>
      </c>
      <c r="C6807" t="s">
        <v>2571</v>
      </c>
    </row>
    <row r="6808" spans="1:4" x14ac:dyDescent="0.2">
      <c r="B6808" t="s">
        <v>2570</v>
      </c>
      <c r="C6808" t="s">
        <v>2572</v>
      </c>
    </row>
    <row r="6809" spans="1:4" x14ac:dyDescent="0.2">
      <c r="B6809" t="s">
        <v>35</v>
      </c>
      <c r="C6809" t="s">
        <v>2573</v>
      </c>
    </row>
    <row r="6811" spans="1:4" x14ac:dyDescent="0.2">
      <c r="A6811" t="s">
        <v>2569</v>
      </c>
      <c r="B6811" t="str">
        <f>HYPERLINK("https://lindat.mff.cuni.cz/services/teitok/pdtc10/index.php?action=vallex&amp;frame=v-w369f58_ZU", "dát (v-w369f58_ZU) - substituted with v-w369f61_ZU")</f>
        <v>dát (v-w369f58_ZU) - substituted with v-w369f61_ZU</v>
      </c>
    </row>
    <row r="6812" spans="1:4" x14ac:dyDescent="0.2">
      <c r="B6812" t="s">
        <v>1</v>
      </c>
    </row>
    <row r="6813" spans="1:4" x14ac:dyDescent="0.2">
      <c r="B6813" t="s">
        <v>2570</v>
      </c>
    </row>
    <row r="6814" spans="1:4" x14ac:dyDescent="0.2">
      <c r="B6814" t="s">
        <v>35</v>
      </c>
    </row>
    <row r="6816" spans="1:4" x14ac:dyDescent="0.2">
      <c r="A6816" t="s">
        <v>2574</v>
      </c>
      <c r="B6816" t="str">
        <f>HYPERLINK("https://lindat.mff.cuni.cz/services/teitok/pdtc10/index.php?action=vallex&amp;frame=v-w369f55_ZU", "dát (v-w369f55_ZU)")</f>
        <v>dát (v-w369f55_ZU)</v>
      </c>
    </row>
    <row r="6817" spans="1:4" x14ac:dyDescent="0.2">
      <c r="B6817" t="s">
        <v>1</v>
      </c>
      <c r="D6817" t="s">
        <v>23274</v>
      </c>
    </row>
    <row r="6818" spans="1:4" x14ac:dyDescent="0.2">
      <c r="B6818" t="s">
        <v>2575</v>
      </c>
    </row>
    <row r="6819" spans="1:4" x14ac:dyDescent="0.2">
      <c r="B6819" t="s">
        <v>2576</v>
      </c>
      <c r="D6819" t="s">
        <v>23275</v>
      </c>
    </row>
    <row r="6821" spans="1:4" x14ac:dyDescent="0.2">
      <c r="A6821" t="s">
        <v>2574</v>
      </c>
      <c r="B6821" t="str">
        <f>HYPERLINK("https://lindat.mff.cuni.cz/services/teitok/pdtc10/index.php?action=vallex&amp;frame=v-w369f5", "dát (v-w369f5) - substituted with v-w369f55_ZU")</f>
        <v>dát (v-w369f5) - substituted with v-w369f55_ZU</v>
      </c>
    </row>
    <row r="6822" spans="1:4" x14ac:dyDescent="0.2">
      <c r="B6822" t="s">
        <v>1</v>
      </c>
      <c r="C6822" t="s">
        <v>2530</v>
      </c>
    </row>
    <row r="6823" spans="1:4" x14ac:dyDescent="0.2">
      <c r="B6823" t="s">
        <v>2575</v>
      </c>
      <c r="C6823" t="s">
        <v>2545</v>
      </c>
    </row>
    <row r="6824" spans="1:4" x14ac:dyDescent="0.2">
      <c r="B6824" t="s">
        <v>2576</v>
      </c>
      <c r="C6824" t="s">
        <v>2546</v>
      </c>
    </row>
    <row r="6826" spans="1:4" x14ac:dyDescent="0.2">
      <c r="A6826" t="s">
        <v>2577</v>
      </c>
      <c r="B6826" t="str">
        <f>HYPERLINK("https://lindat.mff.cuni.cz/services/teitok/pdtc10/index.php?action=vallex&amp;frame=v-w369f46", "dát (v-w369f46)")</f>
        <v>dát (v-w369f46)</v>
      </c>
    </row>
    <row r="6827" spans="1:4" x14ac:dyDescent="0.2">
      <c r="B6827" t="s">
        <v>1</v>
      </c>
    </row>
    <row r="6828" spans="1:4" x14ac:dyDescent="0.2">
      <c r="B6828" t="s">
        <v>2578</v>
      </c>
    </row>
    <row r="6829" spans="1:4" x14ac:dyDescent="0.2">
      <c r="B6829" t="s">
        <v>5</v>
      </c>
    </row>
    <row r="6831" spans="1:4" x14ac:dyDescent="0.2">
      <c r="A6831" t="s">
        <v>2579</v>
      </c>
      <c r="B6831" t="str">
        <f>HYPERLINK("https://lindat.mff.cuni.cz/services/teitok/pdtc10/index.php?action=vallex&amp;frame=v-w369f68_ZU", "dát (v-w369f68_ZU)")</f>
        <v>dát (v-w369f68_ZU)</v>
      </c>
    </row>
    <row r="6832" spans="1:4" x14ac:dyDescent="0.2">
      <c r="B6832" t="s">
        <v>1</v>
      </c>
    </row>
    <row r="6833" spans="1:2" x14ac:dyDescent="0.2">
      <c r="B6833" t="s">
        <v>2580</v>
      </c>
    </row>
    <row r="6834" spans="1:2" x14ac:dyDescent="0.2">
      <c r="B6834" t="s">
        <v>90</v>
      </c>
    </row>
    <row r="6836" spans="1:2" x14ac:dyDescent="0.2">
      <c r="A6836" t="s">
        <v>2579</v>
      </c>
      <c r="B6836" t="str">
        <f>HYPERLINK("https://lindat.mff.cuni.cz/services/teitok/pdtc10/index.php?action=vallex&amp;frame=v-w369f45", "dát (v-w369f45) - substituted with v-w369f68_ZU")</f>
        <v>dát (v-w369f45) - substituted with v-w369f68_ZU</v>
      </c>
    </row>
    <row r="6837" spans="1:2" x14ac:dyDescent="0.2">
      <c r="B6837" t="s">
        <v>1</v>
      </c>
    </row>
    <row r="6838" spans="1:2" x14ac:dyDescent="0.2">
      <c r="B6838" t="s">
        <v>2580</v>
      </c>
    </row>
    <row r="6839" spans="1:2" x14ac:dyDescent="0.2">
      <c r="B6839" t="s">
        <v>90</v>
      </c>
    </row>
    <row r="6841" spans="1:2" x14ac:dyDescent="0.2">
      <c r="A6841" t="s">
        <v>2581</v>
      </c>
      <c r="B6841" t="str">
        <f>HYPERLINK("https://lindat.mff.cuni.cz/services/teitok/pdtc10/index.php?action=vallex&amp;frame=v-w369f48", "dát (v-w369f48)")</f>
        <v>dát (v-w369f48)</v>
      </c>
    </row>
    <row r="6842" spans="1:2" x14ac:dyDescent="0.2">
      <c r="B6842" t="s">
        <v>1</v>
      </c>
    </row>
    <row r="6843" spans="1:2" x14ac:dyDescent="0.2">
      <c r="B6843" t="s">
        <v>2582</v>
      </c>
    </row>
    <row r="6845" spans="1:2" x14ac:dyDescent="0.2">
      <c r="A6845" t="s">
        <v>2583</v>
      </c>
      <c r="B6845" t="str">
        <f>HYPERLINK("https://lindat.mff.cuni.cz/services/teitok/pdtc10/index.php?action=vallex&amp;frame=v-w369f19", "dát (v-w369f19)")</f>
        <v>dát (v-w369f19)</v>
      </c>
    </row>
    <row r="6846" spans="1:2" x14ac:dyDescent="0.2">
      <c r="B6846" t="s">
        <v>1</v>
      </c>
    </row>
    <row r="6847" spans="1:2" x14ac:dyDescent="0.2">
      <c r="B6847" t="s">
        <v>2584</v>
      </c>
    </row>
    <row r="6849" spans="1:4" x14ac:dyDescent="0.2">
      <c r="A6849" t="s">
        <v>2585</v>
      </c>
      <c r="B6849" t="str">
        <f>HYPERLINK("https://lindat.mff.cuni.cz/services/teitok/pdtc10/index.php?action=vallex&amp;frame=v-w369f18", "dát (v-w369f18)")</f>
        <v>dát (v-w369f18)</v>
      </c>
    </row>
    <row r="6850" spans="1:4" x14ac:dyDescent="0.2">
      <c r="B6850" t="s">
        <v>1</v>
      </c>
      <c r="C6850" t="s">
        <v>2586</v>
      </c>
      <c r="D6850" t="s">
        <v>23262</v>
      </c>
    </row>
    <row r="6851" spans="1:4" x14ac:dyDescent="0.2">
      <c r="B6851" t="s">
        <v>615</v>
      </c>
      <c r="C6851" t="s">
        <v>2587</v>
      </c>
    </row>
    <row r="6852" spans="1:4" x14ac:dyDescent="0.2">
      <c r="B6852" t="s">
        <v>8</v>
      </c>
      <c r="C6852" t="s">
        <v>2588</v>
      </c>
      <c r="D6852" t="s">
        <v>23276</v>
      </c>
    </row>
    <row r="6853" spans="1:4" x14ac:dyDescent="0.2">
      <c r="B6853" t="s">
        <v>35</v>
      </c>
      <c r="C6853" t="s">
        <v>2488</v>
      </c>
      <c r="D6853" t="s">
        <v>23251</v>
      </c>
    </row>
    <row r="6855" spans="1:4" x14ac:dyDescent="0.2">
      <c r="A6855" t="s">
        <v>2589</v>
      </c>
      <c r="B6855" t="str">
        <f>HYPERLINK("https://lindat.mff.cuni.cz/services/teitok/pdtc10/index.php?action=vallex&amp;frame=v-w369hsa_974", "dát (v-w369hsa_974)")</f>
        <v>dát (v-w369hsa_974)</v>
      </c>
    </row>
    <row r="6856" spans="1:4" x14ac:dyDescent="0.2">
      <c r="B6856" t="s">
        <v>1</v>
      </c>
    </row>
    <row r="6857" spans="1:4" x14ac:dyDescent="0.2">
      <c r="B6857" t="s">
        <v>2590</v>
      </c>
    </row>
    <row r="6858" spans="1:4" x14ac:dyDescent="0.2">
      <c r="B6858" t="s">
        <v>41</v>
      </c>
    </row>
    <row r="6859" spans="1:4" x14ac:dyDescent="0.2">
      <c r="B6859" t="s">
        <v>35</v>
      </c>
    </row>
    <row r="6861" spans="1:4" x14ac:dyDescent="0.2">
      <c r="A6861" t="s">
        <v>2589</v>
      </c>
      <c r="B6861" t="str">
        <f>HYPERLINK("https://lindat.mff.cuni.cz/services/teitok/pdtc10/index.php?action=vallex&amp;frame=v-w369f22", "dát (v-w369f22) - substituted with v-w369hsa_974")</f>
        <v>dát (v-w369f22) - substituted with v-w369hsa_974</v>
      </c>
    </row>
    <row r="6862" spans="1:4" x14ac:dyDescent="0.2">
      <c r="B6862" t="s">
        <v>1</v>
      </c>
    </row>
    <row r="6863" spans="1:4" x14ac:dyDescent="0.2">
      <c r="B6863" t="s">
        <v>2590</v>
      </c>
    </row>
    <row r="6864" spans="1:4" x14ac:dyDescent="0.2">
      <c r="B6864" t="s">
        <v>41</v>
      </c>
    </row>
    <row r="6865" spans="1:4" x14ac:dyDescent="0.2">
      <c r="B6865" t="s">
        <v>35</v>
      </c>
    </row>
    <row r="6867" spans="1:4" x14ac:dyDescent="0.2">
      <c r="A6867" t="s">
        <v>2591</v>
      </c>
      <c r="B6867" t="str">
        <f>HYPERLINK("https://lindat.mff.cuni.cz/services/teitok/pdtc10/index.php?action=vallex&amp;frame=v-w369f36", "dát (v-w369f36)")</f>
        <v>dát (v-w369f36)</v>
      </c>
    </row>
    <row r="6868" spans="1:4" x14ac:dyDescent="0.2">
      <c r="B6868" t="s">
        <v>1</v>
      </c>
    </row>
    <row r="6869" spans="1:4" x14ac:dyDescent="0.2">
      <c r="B6869" t="s">
        <v>2592</v>
      </c>
    </row>
    <row r="6870" spans="1:4" x14ac:dyDescent="0.2">
      <c r="B6870" t="s">
        <v>41</v>
      </c>
    </row>
    <row r="6871" spans="1:4" x14ac:dyDescent="0.2">
      <c r="B6871" t="s">
        <v>35</v>
      </c>
    </row>
    <row r="6873" spans="1:4" x14ac:dyDescent="0.2">
      <c r="A6873" t="s">
        <v>2593</v>
      </c>
      <c r="B6873" t="str">
        <f>HYPERLINK("https://lindat.mff.cuni.cz/services/teitok/pdtc10/index.php?action=vallex&amp;frame=v-w369f8", "dát (v-w369f8)")</f>
        <v>dát (v-w369f8)</v>
      </c>
    </row>
    <row r="6874" spans="1:4" x14ac:dyDescent="0.2">
      <c r="B6874" t="s">
        <v>1</v>
      </c>
      <c r="C6874" t="s">
        <v>2594</v>
      </c>
      <c r="D6874" t="s">
        <v>22967</v>
      </c>
    </row>
    <row r="6875" spans="1:4" x14ac:dyDescent="0.2">
      <c r="B6875" t="s">
        <v>2595</v>
      </c>
      <c r="C6875" t="s">
        <v>2596</v>
      </c>
    </row>
    <row r="6876" spans="1:4" x14ac:dyDescent="0.2">
      <c r="B6876" t="s">
        <v>2597</v>
      </c>
      <c r="C6876" t="s">
        <v>2598</v>
      </c>
      <c r="D6876" t="s">
        <v>22968</v>
      </c>
    </row>
    <row r="6877" spans="1:4" x14ac:dyDescent="0.2">
      <c r="B6877" t="s">
        <v>35</v>
      </c>
      <c r="C6877" t="s">
        <v>2599</v>
      </c>
      <c r="D6877" t="s">
        <v>22969</v>
      </c>
    </row>
    <row r="6879" spans="1:4" x14ac:dyDescent="0.2">
      <c r="A6879" t="s">
        <v>2600</v>
      </c>
      <c r="B6879" t="str">
        <f>HYPERLINK("https://lindat.mff.cuni.cz/services/teitok/pdtc10/index.php?action=vallex&amp;frame=v-w369f60_ZU", "dát (v-w369f60_ZU)")</f>
        <v>dát (v-w369f60_ZU)</v>
      </c>
    </row>
    <row r="6880" spans="1:4" x14ac:dyDescent="0.2">
      <c r="B6880" t="s">
        <v>1</v>
      </c>
      <c r="C6880" t="s">
        <v>22</v>
      </c>
    </row>
    <row r="6881" spans="1:3" x14ac:dyDescent="0.2">
      <c r="B6881" t="s">
        <v>2601</v>
      </c>
    </row>
    <row r="6882" spans="1:3" x14ac:dyDescent="0.2">
      <c r="B6882" t="s">
        <v>8</v>
      </c>
    </row>
    <row r="6883" spans="1:3" x14ac:dyDescent="0.2">
      <c r="B6883" t="s">
        <v>35</v>
      </c>
      <c r="C6883" t="s">
        <v>1553</v>
      </c>
    </row>
    <row r="6885" spans="1:3" x14ac:dyDescent="0.2">
      <c r="A6885" t="s">
        <v>2602</v>
      </c>
      <c r="B6885" t="str">
        <f>HYPERLINK("https://lindat.mff.cuni.cz/services/teitok/pdtc10/index.php?action=vallex&amp;frame=v-w369f39", "dát (v-w369f39)")</f>
        <v>dát (v-w369f39)</v>
      </c>
    </row>
    <row r="6886" spans="1:3" x14ac:dyDescent="0.2">
      <c r="B6886" t="s">
        <v>1</v>
      </c>
    </row>
    <row r="6887" spans="1:3" x14ac:dyDescent="0.2">
      <c r="B6887" t="s">
        <v>2603</v>
      </c>
    </row>
    <row r="6888" spans="1:3" x14ac:dyDescent="0.2">
      <c r="B6888" t="s">
        <v>8</v>
      </c>
    </row>
    <row r="6889" spans="1:3" x14ac:dyDescent="0.2">
      <c r="B6889" t="s">
        <v>2604</v>
      </c>
    </row>
    <row r="6891" spans="1:3" x14ac:dyDescent="0.2">
      <c r="A6891" t="s">
        <v>2605</v>
      </c>
      <c r="B6891" t="str">
        <f>HYPERLINK("https://lindat.mff.cuni.cz/services/teitok/pdtc10/index.php?action=vallex&amp;frame=v-w369f104_ZU", "dát (v-w369f104_ZU)")</f>
        <v>dát (v-w369f104_ZU)</v>
      </c>
    </row>
    <row r="6892" spans="1:3" x14ac:dyDescent="0.2">
      <c r="B6892" t="s">
        <v>1</v>
      </c>
    </row>
    <row r="6893" spans="1:3" x14ac:dyDescent="0.2">
      <c r="B6893" t="s">
        <v>2606</v>
      </c>
    </row>
    <row r="6894" spans="1:3" x14ac:dyDescent="0.2">
      <c r="B6894" t="s">
        <v>8</v>
      </c>
    </row>
    <row r="6896" spans="1:3" x14ac:dyDescent="0.2">
      <c r="A6896" t="s">
        <v>2605</v>
      </c>
      <c r="B6896" t="str">
        <f>HYPERLINK("https://lindat.mff.cuni.cz/services/teitok/pdtc10/index.php?action=vallex&amp;frame=v-w369f9", "dát (v-w369f9) - substituted with v-w369f104_ZU")</f>
        <v>dát (v-w369f9) - substituted with v-w369f104_ZU</v>
      </c>
    </row>
    <row r="6897" spans="1:4" x14ac:dyDescent="0.2">
      <c r="B6897" t="s">
        <v>1</v>
      </c>
      <c r="C6897" t="s">
        <v>2607</v>
      </c>
      <c r="D6897" t="s">
        <v>16226</v>
      </c>
    </row>
    <row r="6898" spans="1:4" x14ac:dyDescent="0.2">
      <c r="B6898" t="s">
        <v>2606</v>
      </c>
      <c r="C6898" t="s">
        <v>2608</v>
      </c>
    </row>
    <row r="6899" spans="1:4" x14ac:dyDescent="0.2">
      <c r="B6899" t="s">
        <v>8</v>
      </c>
      <c r="C6899" t="s">
        <v>2609</v>
      </c>
      <c r="D6899" t="s">
        <v>3270</v>
      </c>
    </row>
    <row r="6901" spans="1:4" x14ac:dyDescent="0.2">
      <c r="A6901" t="s">
        <v>2610</v>
      </c>
      <c r="B6901" t="str">
        <f>HYPERLINK("https://lindat.mff.cuni.cz/services/teitok/pdtc10/index.php?action=vallex&amp;frame=v-w369f44", "dát (v-w369f44)")</f>
        <v>dát (v-w369f44)</v>
      </c>
    </row>
    <row r="6902" spans="1:4" x14ac:dyDescent="0.2">
      <c r="B6902" t="s">
        <v>1</v>
      </c>
      <c r="C6902" t="s">
        <v>322</v>
      </c>
      <c r="D6902" t="s">
        <v>80</v>
      </c>
    </row>
    <row r="6903" spans="1:4" x14ac:dyDescent="0.2">
      <c r="B6903" t="s">
        <v>2611</v>
      </c>
      <c r="C6903" t="s">
        <v>2612</v>
      </c>
    </row>
    <row r="6904" spans="1:4" x14ac:dyDescent="0.2">
      <c r="B6904" t="s">
        <v>2613</v>
      </c>
      <c r="C6904" t="s">
        <v>323</v>
      </c>
      <c r="D6904" t="s">
        <v>23277</v>
      </c>
    </row>
    <row r="6906" spans="1:4" x14ac:dyDescent="0.2">
      <c r="A6906" t="s">
        <v>2614</v>
      </c>
      <c r="B6906" t="str">
        <f>HYPERLINK("https://lindat.mff.cuni.cz/services/teitok/pdtc10/index.php?action=vallex&amp;frame=v-w369f24", "dát (v-w369f24)")</f>
        <v>dát (v-w369f24)</v>
      </c>
    </row>
    <row r="6907" spans="1:4" x14ac:dyDescent="0.2">
      <c r="B6907" t="s">
        <v>1</v>
      </c>
    </row>
    <row r="6908" spans="1:4" x14ac:dyDescent="0.2">
      <c r="B6908" t="s">
        <v>2615</v>
      </c>
    </row>
    <row r="6909" spans="1:4" x14ac:dyDescent="0.2">
      <c r="B6909" t="s">
        <v>2480</v>
      </c>
    </row>
    <row r="6911" spans="1:4" x14ac:dyDescent="0.2">
      <c r="A6911" t="s">
        <v>2616</v>
      </c>
      <c r="B6911" t="str">
        <f>HYPERLINK("https://lindat.mff.cuni.cz/services/teitok/pdtc10/index.php?action=vallex&amp;frame=v-w369f92_ZU", "dát (v-w369f92_ZU)")</f>
        <v>dát (v-w369f92_ZU)</v>
      </c>
    </row>
    <row r="6912" spans="1:4" x14ac:dyDescent="0.2">
      <c r="B6912" t="s">
        <v>1</v>
      </c>
    </row>
    <row r="6913" spans="1:3" x14ac:dyDescent="0.2">
      <c r="B6913" t="s">
        <v>2617</v>
      </c>
    </row>
    <row r="6914" spans="1:3" x14ac:dyDescent="0.2">
      <c r="B6914" t="s">
        <v>8</v>
      </c>
    </row>
    <row r="6916" spans="1:3" x14ac:dyDescent="0.2">
      <c r="A6916" t="s">
        <v>2616</v>
      </c>
      <c r="B6916" t="str">
        <f>HYPERLINK("https://lindat.mff.cuni.cz/services/teitok/pdtc10/index.php?action=vallex&amp;frame=v-w369f34", "dát (v-w369f34) - substituted with v-w369f92_ZU")</f>
        <v>dát (v-w369f34) - substituted with v-w369f92_ZU</v>
      </c>
    </row>
    <row r="6917" spans="1:3" x14ac:dyDescent="0.2">
      <c r="B6917" t="s">
        <v>1</v>
      </c>
    </row>
    <row r="6918" spans="1:3" x14ac:dyDescent="0.2">
      <c r="B6918" t="s">
        <v>2617</v>
      </c>
    </row>
    <row r="6919" spans="1:3" x14ac:dyDescent="0.2">
      <c r="B6919" t="s">
        <v>8</v>
      </c>
    </row>
    <row r="6921" spans="1:3" x14ac:dyDescent="0.2">
      <c r="A6921" t="s">
        <v>2618</v>
      </c>
      <c r="B6921" t="str">
        <f>HYPERLINK("https://lindat.mff.cuni.cz/services/teitok/pdtc10/index.php?action=vallex&amp;frame=v-w369f40", "dát (v-w369f40)")</f>
        <v>dát (v-w369f40)</v>
      </c>
    </row>
    <row r="6922" spans="1:3" x14ac:dyDescent="0.2">
      <c r="B6922" t="s">
        <v>1</v>
      </c>
    </row>
    <row r="6923" spans="1:3" x14ac:dyDescent="0.2">
      <c r="B6923" t="s">
        <v>2619</v>
      </c>
    </row>
    <row r="6924" spans="1:3" x14ac:dyDescent="0.2">
      <c r="B6924" t="s">
        <v>103</v>
      </c>
    </row>
    <row r="6926" spans="1:3" x14ac:dyDescent="0.2">
      <c r="A6926" t="s">
        <v>2620</v>
      </c>
      <c r="B6926" t="str">
        <f>HYPERLINK("https://lindat.mff.cuni.cz/services/teitok/pdtc10/index.php?action=vallex&amp;frame=v-w369f35", "dát (v-w369f35)")</f>
        <v>dát (v-w369f35)</v>
      </c>
    </row>
    <row r="6927" spans="1:3" x14ac:dyDescent="0.2">
      <c r="B6927" t="s">
        <v>1</v>
      </c>
      <c r="C6927" t="s">
        <v>2486</v>
      </c>
    </row>
    <row r="6928" spans="1:3" x14ac:dyDescent="0.2">
      <c r="B6928" t="s">
        <v>1984</v>
      </c>
      <c r="C6928" t="s">
        <v>2621</v>
      </c>
    </row>
    <row r="6929" spans="1:3" x14ac:dyDescent="0.2">
      <c r="B6929" t="s">
        <v>103</v>
      </c>
      <c r="C6929" t="s">
        <v>2622</v>
      </c>
    </row>
    <row r="6931" spans="1:3" x14ac:dyDescent="0.2">
      <c r="A6931" t="s">
        <v>2623</v>
      </c>
      <c r="B6931" t="str">
        <f>HYPERLINK("https://lindat.mff.cuni.cz/services/teitok/pdtc10/index.php?action=vallex&amp;frame=v-w369f29", "dát (v-w369f29)")</f>
        <v>dát (v-w369f29)</v>
      </c>
    </row>
    <row r="6932" spans="1:3" x14ac:dyDescent="0.2">
      <c r="B6932" t="s">
        <v>455</v>
      </c>
    </row>
    <row r="6933" spans="1:3" x14ac:dyDescent="0.2">
      <c r="B6933" t="s">
        <v>2624</v>
      </c>
    </row>
    <row r="6934" spans="1:3" x14ac:dyDescent="0.2">
      <c r="B6934" t="s">
        <v>2625</v>
      </c>
    </row>
    <row r="6936" spans="1:3" x14ac:dyDescent="0.2">
      <c r="A6936" t="s">
        <v>2626</v>
      </c>
      <c r="B6936" t="str">
        <f>HYPERLINK("https://lindat.mff.cuni.cz/services/teitok/pdtc10/index.php?action=vallex&amp;frame=v-w369f38", "dát (v-w369f38)")</f>
        <v>dát (v-w369f38)</v>
      </c>
    </row>
    <row r="6937" spans="1:3" x14ac:dyDescent="0.2">
      <c r="B6937" t="s">
        <v>455</v>
      </c>
    </row>
    <row r="6938" spans="1:3" x14ac:dyDescent="0.2">
      <c r="B6938" t="s">
        <v>2627</v>
      </c>
    </row>
    <row r="6939" spans="1:3" x14ac:dyDescent="0.2">
      <c r="B6939" t="s">
        <v>41</v>
      </c>
    </row>
    <row r="6941" spans="1:3" x14ac:dyDescent="0.2">
      <c r="A6941" t="s">
        <v>2628</v>
      </c>
      <c r="B6941" t="str">
        <f>HYPERLINK("https://lindat.mff.cuni.cz/services/teitok/pdtc10/index.php?action=vallex&amp;frame=v-w369f59_ZU", "dát (v-w369f59_ZU)")</f>
        <v>dát (v-w369f59_ZU)</v>
      </c>
    </row>
    <row r="6942" spans="1:3" x14ac:dyDescent="0.2">
      <c r="B6942" t="s">
        <v>1</v>
      </c>
    </row>
    <row r="6943" spans="1:3" x14ac:dyDescent="0.2">
      <c r="B6943" t="s">
        <v>2629</v>
      </c>
    </row>
    <row r="6944" spans="1:3" x14ac:dyDescent="0.2">
      <c r="B6944" t="s">
        <v>103</v>
      </c>
    </row>
    <row r="6946" spans="1:3" x14ac:dyDescent="0.2">
      <c r="A6946" t="s">
        <v>2630</v>
      </c>
      <c r="B6946" t="str">
        <f>HYPERLINK("https://lindat.mff.cuni.cz/services/teitok/pdtc10/index.php?action=vallex&amp;frame=v-w369f65_ZU", "dát (v-w369f65_ZU)")</f>
        <v>dát (v-w369f65_ZU)</v>
      </c>
    </row>
    <row r="6947" spans="1:3" x14ac:dyDescent="0.2">
      <c r="B6947" t="s">
        <v>1</v>
      </c>
    </row>
    <row r="6948" spans="1:3" x14ac:dyDescent="0.2">
      <c r="B6948" t="s">
        <v>2631</v>
      </c>
    </row>
    <row r="6949" spans="1:3" x14ac:dyDescent="0.2">
      <c r="B6949" t="s">
        <v>103</v>
      </c>
    </row>
    <row r="6951" spans="1:3" x14ac:dyDescent="0.2">
      <c r="A6951" t="s">
        <v>2630</v>
      </c>
      <c r="B6951" t="str">
        <f>HYPERLINK("https://lindat.mff.cuni.cz/services/teitok/pdtc10/index.php?action=vallex&amp;frame=v-w369f52_ZU", "dát (v-w369f52_ZU) - substituted with v-w369f65_ZU")</f>
        <v>dát (v-w369f52_ZU) - substituted with v-w369f65_ZU</v>
      </c>
    </row>
    <row r="6952" spans="1:3" x14ac:dyDescent="0.2">
      <c r="B6952" t="s">
        <v>1</v>
      </c>
      <c r="C6952" t="s">
        <v>2486</v>
      </c>
    </row>
    <row r="6953" spans="1:3" x14ac:dyDescent="0.2">
      <c r="B6953" t="s">
        <v>2631</v>
      </c>
      <c r="C6953" t="s">
        <v>2621</v>
      </c>
    </row>
    <row r="6954" spans="1:3" x14ac:dyDescent="0.2">
      <c r="B6954" t="s">
        <v>103</v>
      </c>
      <c r="C6954" t="s">
        <v>2622</v>
      </c>
    </row>
    <row r="6956" spans="1:3" x14ac:dyDescent="0.2">
      <c r="A6956" t="s">
        <v>2632</v>
      </c>
      <c r="B6956" t="str">
        <f>HYPERLINK("https://lindat.mff.cuni.cz/services/teitok/pdtc10/index.php?action=vallex&amp;frame=v-w369f99_ZU", "dát (v-w369f99_ZU)")</f>
        <v>dát (v-w369f99_ZU)</v>
      </c>
    </row>
    <row r="6957" spans="1:3" x14ac:dyDescent="0.2">
      <c r="B6957" t="s">
        <v>1</v>
      </c>
    </row>
    <row r="6958" spans="1:3" x14ac:dyDescent="0.2">
      <c r="B6958" t="s">
        <v>2633</v>
      </c>
    </row>
    <row r="6959" spans="1:3" x14ac:dyDescent="0.2">
      <c r="B6959" t="s">
        <v>86</v>
      </c>
    </row>
    <row r="6961" spans="1:3" x14ac:dyDescent="0.2">
      <c r="A6961" t="s">
        <v>2632</v>
      </c>
      <c r="B6961" t="str">
        <f>HYPERLINK("https://lindat.mff.cuni.cz/services/teitok/pdtc10/index.php?action=vallex&amp;frame=v-w369f37", "dát (v-w369f37) - substituted with v-w369f99_ZU")</f>
        <v>dát (v-w369f37) - substituted with v-w369f99_ZU</v>
      </c>
    </row>
    <row r="6962" spans="1:3" x14ac:dyDescent="0.2">
      <c r="B6962" t="s">
        <v>1</v>
      </c>
      <c r="C6962" t="s">
        <v>2486</v>
      </c>
    </row>
    <row r="6963" spans="1:3" x14ac:dyDescent="0.2">
      <c r="B6963" t="s">
        <v>2633</v>
      </c>
      <c r="C6963" t="s">
        <v>2621</v>
      </c>
    </row>
    <row r="6964" spans="1:3" x14ac:dyDescent="0.2">
      <c r="B6964" t="s">
        <v>86</v>
      </c>
      <c r="C6964" t="s">
        <v>2622</v>
      </c>
    </row>
    <row r="6966" spans="1:3" x14ac:dyDescent="0.2">
      <c r="A6966" t="s">
        <v>2634</v>
      </c>
      <c r="B6966" t="str">
        <f>HYPERLINK("https://lindat.mff.cuni.cz/services/teitok/pdtc10/index.php?action=vallex&amp;frame=v-w369f23", "dát (v-w369f23)")</f>
        <v>dát (v-w369f23)</v>
      </c>
    </row>
    <row r="6967" spans="1:3" x14ac:dyDescent="0.2">
      <c r="B6967" t="s">
        <v>1</v>
      </c>
    </row>
    <row r="6968" spans="1:3" x14ac:dyDescent="0.2">
      <c r="B6968" t="s">
        <v>2635</v>
      </c>
    </row>
    <row r="6969" spans="1:3" x14ac:dyDescent="0.2">
      <c r="B6969" t="s">
        <v>587</v>
      </c>
    </row>
    <row r="6971" spans="1:3" x14ac:dyDescent="0.2">
      <c r="A6971" t="s">
        <v>2636</v>
      </c>
      <c r="B6971" t="str">
        <f>HYPERLINK("https://lindat.mff.cuni.cz/services/teitok/pdtc10/index.php?action=vallex&amp;frame=v-w369f14", "dát (v-w369f14)")</f>
        <v>dát (v-w369f14)</v>
      </c>
    </row>
    <row r="6972" spans="1:3" x14ac:dyDescent="0.2">
      <c r="B6972" t="s">
        <v>1</v>
      </c>
    </row>
    <row r="6973" spans="1:3" x14ac:dyDescent="0.2">
      <c r="B6973" t="s">
        <v>2637</v>
      </c>
    </row>
    <row r="6974" spans="1:3" x14ac:dyDescent="0.2">
      <c r="B6974" t="s">
        <v>35</v>
      </c>
    </row>
    <row r="6975" spans="1:3" x14ac:dyDescent="0.2">
      <c r="B6975" t="s">
        <v>2638</v>
      </c>
    </row>
    <row r="6977" spans="1:4" x14ac:dyDescent="0.2">
      <c r="A6977" t="s">
        <v>2639</v>
      </c>
      <c r="B6977" t="str">
        <f>HYPERLINK("https://lindat.mff.cuni.cz/services/teitok/pdtc10/index.php?action=vallex&amp;frame=v-w369f78_ZU", "dát (v-w369f78_ZU)")</f>
        <v>dát (v-w369f78_ZU)</v>
      </c>
    </row>
    <row r="6978" spans="1:4" x14ac:dyDescent="0.2">
      <c r="B6978" t="s">
        <v>1</v>
      </c>
    </row>
    <row r="6979" spans="1:4" x14ac:dyDescent="0.2">
      <c r="B6979" t="s">
        <v>2640</v>
      </c>
    </row>
    <row r="6980" spans="1:4" x14ac:dyDescent="0.2">
      <c r="B6980" t="s">
        <v>35</v>
      </c>
    </row>
    <row r="6981" spans="1:4" x14ac:dyDescent="0.2">
      <c r="B6981" t="s">
        <v>2641</v>
      </c>
    </row>
    <row r="6982" spans="1:4" x14ac:dyDescent="0.2">
      <c r="B6982" t="s">
        <v>269</v>
      </c>
    </row>
    <row r="6984" spans="1:4" x14ac:dyDescent="0.2">
      <c r="A6984" t="s">
        <v>2639</v>
      </c>
      <c r="B6984" t="str">
        <f>HYPERLINK("https://lindat.mff.cuni.cz/services/teitok/pdtc10/index.php?action=vallex&amp;frame=v-w369f25", "dát (v-w369f25) - substituted with v-w369f78_ZU")</f>
        <v>dát (v-w369f25) - substituted with v-w369f78_ZU</v>
      </c>
    </row>
    <row r="6985" spans="1:4" x14ac:dyDescent="0.2">
      <c r="B6985" t="s">
        <v>1</v>
      </c>
      <c r="C6985" t="s">
        <v>1504</v>
      </c>
    </row>
    <row r="6986" spans="1:4" x14ac:dyDescent="0.2">
      <c r="B6986" t="s">
        <v>2640</v>
      </c>
      <c r="C6986" t="s">
        <v>2642</v>
      </c>
    </row>
    <row r="6987" spans="1:4" x14ac:dyDescent="0.2">
      <c r="B6987" t="s">
        <v>35</v>
      </c>
      <c r="C6987" t="s">
        <v>2643</v>
      </c>
    </row>
    <row r="6988" spans="1:4" x14ac:dyDescent="0.2">
      <c r="B6988" t="s">
        <v>2641</v>
      </c>
    </row>
    <row r="6989" spans="1:4" x14ac:dyDescent="0.2">
      <c r="B6989" t="s">
        <v>269</v>
      </c>
    </row>
    <row r="6991" spans="1:4" x14ac:dyDescent="0.2">
      <c r="A6991" t="s">
        <v>2639</v>
      </c>
      <c r="B6991" t="str">
        <f>HYPERLINK("https://lindat.mff.cuni.cz/services/teitok/pdtc10/index.php?action=vallex&amp;frame=v-w369f70_ZU", "dát (v-w369f70_ZU) - substituted with v-w369f78_ZU")</f>
        <v>dát (v-w369f70_ZU) - substituted with v-w369f78_ZU</v>
      </c>
    </row>
    <row r="6992" spans="1:4" x14ac:dyDescent="0.2">
      <c r="B6992" t="s">
        <v>1</v>
      </c>
      <c r="D6992" t="s">
        <v>22967</v>
      </c>
    </row>
    <row r="6993" spans="1:4" x14ac:dyDescent="0.2">
      <c r="B6993" t="s">
        <v>2640</v>
      </c>
    </row>
    <row r="6994" spans="1:4" x14ac:dyDescent="0.2">
      <c r="B6994" t="s">
        <v>35</v>
      </c>
      <c r="D6994" t="s">
        <v>22969</v>
      </c>
    </row>
    <row r="6995" spans="1:4" x14ac:dyDescent="0.2">
      <c r="B6995" t="s">
        <v>2641</v>
      </c>
      <c r="D6995" t="s">
        <v>23120</v>
      </c>
    </row>
    <row r="6996" spans="1:4" x14ac:dyDescent="0.2">
      <c r="B6996" t="s">
        <v>269</v>
      </c>
      <c r="D6996" t="s">
        <v>22968</v>
      </c>
    </row>
    <row r="6998" spans="1:4" x14ac:dyDescent="0.2">
      <c r="A6998" t="s">
        <v>2639</v>
      </c>
      <c r="B6998" t="str">
        <f>HYPERLINK("https://lindat.mff.cuni.cz/services/teitok/pdtc10/index.php?action=vallex&amp;frame=v-w369hsa_978", "dát (v-w369hsa_978) - substituted with v-w369f78_ZU")</f>
        <v>dát (v-w369hsa_978) - substituted with v-w369f78_ZU</v>
      </c>
    </row>
    <row r="6999" spans="1:4" x14ac:dyDescent="0.2">
      <c r="B6999" t="s">
        <v>1</v>
      </c>
    </row>
    <row r="7000" spans="1:4" x14ac:dyDescent="0.2">
      <c r="B7000" t="s">
        <v>2640</v>
      </c>
    </row>
    <row r="7001" spans="1:4" x14ac:dyDescent="0.2">
      <c r="B7001" t="s">
        <v>35</v>
      </c>
    </row>
    <row r="7002" spans="1:4" x14ac:dyDescent="0.2">
      <c r="B7002" t="s">
        <v>2641</v>
      </c>
    </row>
    <row r="7003" spans="1:4" x14ac:dyDescent="0.2">
      <c r="B7003" t="s">
        <v>269</v>
      </c>
    </row>
    <row r="7005" spans="1:4" x14ac:dyDescent="0.2">
      <c r="A7005" t="s">
        <v>2644</v>
      </c>
      <c r="B7005" t="str">
        <f>HYPERLINK("https://lindat.mff.cuni.cz/services/teitok/pdtc10/index.php?action=vallex&amp;frame=v-w369f26", "dát (v-w369f26)")</f>
        <v>dát (v-w369f26)</v>
      </c>
    </row>
    <row r="7006" spans="1:4" x14ac:dyDescent="0.2">
      <c r="B7006" t="s">
        <v>1</v>
      </c>
    </row>
    <row r="7007" spans="1:4" x14ac:dyDescent="0.2">
      <c r="B7007" t="s">
        <v>2645</v>
      </c>
    </row>
    <row r="7009" spans="1:4" x14ac:dyDescent="0.2">
      <c r="A7009" t="s">
        <v>2646</v>
      </c>
      <c r="B7009" t="str">
        <f>HYPERLINK("https://lindat.mff.cuni.cz/services/teitok/pdtc10/index.php?action=vallex&amp;frame=v-w369f49", "dát (v-w369f49)")</f>
        <v>dát (v-w369f49)</v>
      </c>
    </row>
    <row r="7010" spans="1:4" x14ac:dyDescent="0.2">
      <c r="B7010" t="s">
        <v>2647</v>
      </c>
    </row>
    <row r="7012" spans="1:4" x14ac:dyDescent="0.2">
      <c r="A7012" t="s">
        <v>2648</v>
      </c>
      <c r="B7012" t="str">
        <f>HYPERLINK("https://lindat.mff.cuni.cz/services/teitok/pdtc10/index.php?action=vallex&amp;frame=v-w369f108_ZU", "dát (v-w369f108_ZU)")</f>
        <v>dát (v-w369f108_ZU)</v>
      </c>
    </row>
    <row r="7013" spans="1:4" x14ac:dyDescent="0.2">
      <c r="B7013" t="s">
        <v>1</v>
      </c>
    </row>
    <row r="7014" spans="1:4" x14ac:dyDescent="0.2">
      <c r="B7014" t="s">
        <v>8</v>
      </c>
    </row>
    <row r="7015" spans="1:4" x14ac:dyDescent="0.2">
      <c r="B7015" t="s">
        <v>90</v>
      </c>
    </row>
    <row r="7017" spans="1:4" x14ac:dyDescent="0.2">
      <c r="A7017" t="s">
        <v>2648</v>
      </c>
      <c r="B7017" t="str">
        <f>HYPERLINK("https://lindat.mff.cuni.cz/services/teitok/pdtc10/index.php?action=vallex&amp;frame=v-w369f105_ZU", "dát (v-w369f105_ZU) - substituted with v-w369f108_ZU")</f>
        <v>dát (v-w369f105_ZU) - substituted with v-w369f108_ZU</v>
      </c>
    </row>
    <row r="7018" spans="1:4" x14ac:dyDescent="0.2">
      <c r="B7018" t="s">
        <v>1</v>
      </c>
    </row>
    <row r="7019" spans="1:4" x14ac:dyDescent="0.2">
      <c r="B7019" t="s">
        <v>8</v>
      </c>
    </row>
    <row r="7020" spans="1:4" x14ac:dyDescent="0.2">
      <c r="B7020" t="s">
        <v>90</v>
      </c>
    </row>
    <row r="7022" spans="1:4" x14ac:dyDescent="0.2">
      <c r="A7022" t="s">
        <v>2648</v>
      </c>
      <c r="B7022" t="str">
        <f>HYPERLINK("https://lindat.mff.cuni.cz/services/teitok/pdtc10/index.php?action=vallex&amp;frame=v-w369hsa_970", "dát (v-w369hsa_970) - substituted with v-w369f108_ZU")</f>
        <v>dát (v-w369hsa_970) - substituted with v-w369f108_ZU</v>
      </c>
    </row>
    <row r="7023" spans="1:4" x14ac:dyDescent="0.2">
      <c r="B7023" t="s">
        <v>1</v>
      </c>
      <c r="D7023" t="s">
        <v>23181</v>
      </c>
    </row>
    <row r="7024" spans="1:4" x14ac:dyDescent="0.2">
      <c r="B7024" t="s">
        <v>8</v>
      </c>
      <c r="D7024" t="s">
        <v>23182</v>
      </c>
    </row>
    <row r="7025" spans="1:4" x14ac:dyDescent="0.2">
      <c r="B7025" t="s">
        <v>90</v>
      </c>
      <c r="D7025" t="s">
        <v>11579</v>
      </c>
    </row>
    <row r="7027" spans="1:4" x14ac:dyDescent="0.2">
      <c r="A7027" t="s">
        <v>2649</v>
      </c>
      <c r="B7027" t="str">
        <f>HYPERLINK("https://lindat.mff.cuni.cz/services/teitok/pdtc10/index.php?action=vallex&amp;frame=v-w369hsa_971", "dát (v-w369hsa_971)")</f>
        <v>dát (v-w369hsa_971)</v>
      </c>
    </row>
    <row r="7028" spans="1:4" x14ac:dyDescent="0.2">
      <c r="B7028" t="s">
        <v>1</v>
      </c>
    </row>
    <row r="7029" spans="1:4" x14ac:dyDescent="0.2">
      <c r="B7029" t="s">
        <v>2650</v>
      </c>
    </row>
    <row r="7030" spans="1:4" x14ac:dyDescent="0.2">
      <c r="B7030" t="s">
        <v>35</v>
      </c>
      <c r="C7030" t="s">
        <v>297</v>
      </c>
    </row>
    <row r="7032" spans="1:4" x14ac:dyDescent="0.2">
      <c r="A7032" t="s">
        <v>2651</v>
      </c>
      <c r="B7032" t="str">
        <f>HYPERLINK("https://lindat.mff.cuni.cz/services/teitok/pdtc10/index.php?action=vallex&amp;frame=v-w369hsa_972", "dát (v-w369hsa_972)")</f>
        <v>dát (v-w369hsa_972)</v>
      </c>
    </row>
    <row r="7033" spans="1:4" x14ac:dyDescent="0.2">
      <c r="B7033" t="s">
        <v>1</v>
      </c>
    </row>
    <row r="7034" spans="1:4" x14ac:dyDescent="0.2">
      <c r="B7034" t="s">
        <v>2652</v>
      </c>
    </row>
    <row r="7035" spans="1:4" x14ac:dyDescent="0.2">
      <c r="B7035" t="s">
        <v>35</v>
      </c>
    </row>
    <row r="7037" spans="1:4" x14ac:dyDescent="0.2">
      <c r="A7037" t="s">
        <v>2653</v>
      </c>
      <c r="B7037" t="str">
        <f>HYPERLINK("https://lindat.mff.cuni.cz/services/teitok/pdtc10/index.php?action=vallex&amp;frame=v-w369f62_ZU", "dát (v-w369f62_ZU)")</f>
        <v>dát (v-w369f62_ZU)</v>
      </c>
    </row>
    <row r="7038" spans="1:4" x14ac:dyDescent="0.2">
      <c r="B7038" t="s">
        <v>1</v>
      </c>
    </row>
    <row r="7039" spans="1:4" x14ac:dyDescent="0.2">
      <c r="B7039" t="s">
        <v>1965</v>
      </c>
    </row>
    <row r="7040" spans="1:4" x14ac:dyDescent="0.2">
      <c r="B7040" t="s">
        <v>8</v>
      </c>
    </row>
    <row r="7041" spans="1:3" x14ac:dyDescent="0.2">
      <c r="B7041" t="s">
        <v>35</v>
      </c>
    </row>
    <row r="7043" spans="1:3" x14ac:dyDescent="0.2">
      <c r="A7043" t="s">
        <v>2653</v>
      </c>
      <c r="B7043" t="str">
        <f>HYPERLINK("https://lindat.mff.cuni.cz/services/teitok/pdtc10/index.php?action=vallex&amp;frame=v-w369hsa_973", "dát (v-w369hsa_973) - substituted with v-w369f62_ZU")</f>
        <v>dát (v-w369hsa_973) - substituted with v-w369f62_ZU</v>
      </c>
    </row>
    <row r="7044" spans="1:3" x14ac:dyDescent="0.2">
      <c r="B7044" t="s">
        <v>1</v>
      </c>
    </row>
    <row r="7045" spans="1:3" x14ac:dyDescent="0.2">
      <c r="B7045" t="s">
        <v>1965</v>
      </c>
    </row>
    <row r="7046" spans="1:3" x14ac:dyDescent="0.2">
      <c r="B7046" t="s">
        <v>8</v>
      </c>
    </row>
    <row r="7047" spans="1:3" x14ac:dyDescent="0.2">
      <c r="B7047" t="s">
        <v>35</v>
      </c>
    </row>
    <row r="7049" spans="1:3" x14ac:dyDescent="0.2">
      <c r="A7049" t="s">
        <v>2654</v>
      </c>
      <c r="B7049" t="str">
        <f>HYPERLINK("https://lindat.mff.cuni.cz/services/teitok/pdtc10/index.php?action=vallex&amp;frame=v-w369f63_ZU", "dát (v-w369f63_ZU)")</f>
        <v>dát (v-w369f63_ZU)</v>
      </c>
    </row>
    <row r="7050" spans="1:3" x14ac:dyDescent="0.2">
      <c r="B7050" t="s">
        <v>1</v>
      </c>
      <c r="C7050" t="s">
        <v>2655</v>
      </c>
    </row>
    <row r="7051" spans="1:3" x14ac:dyDescent="0.2">
      <c r="B7051" t="s">
        <v>1972</v>
      </c>
      <c r="C7051" t="s">
        <v>2656</v>
      </c>
    </row>
    <row r="7052" spans="1:3" x14ac:dyDescent="0.2">
      <c r="B7052" t="s">
        <v>103</v>
      </c>
      <c r="C7052" t="s">
        <v>2657</v>
      </c>
    </row>
    <row r="7054" spans="1:3" x14ac:dyDescent="0.2">
      <c r="A7054" t="s">
        <v>2654</v>
      </c>
      <c r="B7054" t="str">
        <f>HYPERLINK("https://lindat.mff.cuni.cz/services/teitok/pdtc10/index.php?action=vallex&amp;frame=v-w369hsa_975", "dát (v-w369hsa_975) - substituted with v-w369f63_ZU")</f>
        <v>dát (v-w369hsa_975) - substituted with v-w369f63_ZU</v>
      </c>
    </row>
    <row r="7055" spans="1:3" x14ac:dyDescent="0.2">
      <c r="B7055" t="s">
        <v>1</v>
      </c>
    </row>
    <row r="7056" spans="1:3" x14ac:dyDescent="0.2">
      <c r="B7056" t="s">
        <v>1972</v>
      </c>
    </row>
    <row r="7057" spans="1:2" x14ac:dyDescent="0.2">
      <c r="B7057" t="s">
        <v>103</v>
      </c>
    </row>
    <row r="7059" spans="1:2" x14ac:dyDescent="0.2">
      <c r="A7059" t="s">
        <v>2658</v>
      </c>
      <c r="B7059" t="str">
        <f>HYPERLINK("https://lindat.mff.cuni.cz/services/teitok/pdtc10/index.php?action=vallex&amp;frame=v-w369f64_ZU", "dát (v-w369f64_ZU)")</f>
        <v>dát (v-w369f64_ZU)</v>
      </c>
    </row>
    <row r="7060" spans="1:2" x14ac:dyDescent="0.2">
      <c r="B7060" t="s">
        <v>1</v>
      </c>
    </row>
    <row r="7061" spans="1:2" x14ac:dyDescent="0.2">
      <c r="B7061" t="s">
        <v>2659</v>
      </c>
    </row>
    <row r="7062" spans="1:2" x14ac:dyDescent="0.2">
      <c r="B7062" t="s">
        <v>103</v>
      </c>
    </row>
    <row r="7064" spans="1:2" x14ac:dyDescent="0.2">
      <c r="A7064" t="s">
        <v>2658</v>
      </c>
      <c r="B7064" t="str">
        <f>HYPERLINK("https://lindat.mff.cuni.cz/services/teitok/pdtc10/index.php?action=vallex&amp;frame=v-w369hsa_976", "dát (v-w369hsa_976) - substituted with v-w369f64_ZU")</f>
        <v>dát (v-w369hsa_976) - substituted with v-w369f64_ZU</v>
      </c>
    </row>
    <row r="7065" spans="1:2" x14ac:dyDescent="0.2">
      <c r="B7065" t="s">
        <v>1</v>
      </c>
    </row>
    <row r="7066" spans="1:2" x14ac:dyDescent="0.2">
      <c r="B7066" t="s">
        <v>2659</v>
      </c>
    </row>
    <row r="7067" spans="1:2" x14ac:dyDescent="0.2">
      <c r="B7067" t="s">
        <v>103</v>
      </c>
    </row>
    <row r="7069" spans="1:2" x14ac:dyDescent="0.2">
      <c r="A7069" t="s">
        <v>2660</v>
      </c>
      <c r="B7069" t="str">
        <f>HYPERLINK("https://lindat.mff.cuni.cz/services/teitok/pdtc10/index.php?action=vallex&amp;frame=v-w369f66_ZU", "dát (v-w369f66_ZU)")</f>
        <v>dát (v-w369f66_ZU)</v>
      </c>
    </row>
    <row r="7070" spans="1:2" x14ac:dyDescent="0.2">
      <c r="B7070" t="s">
        <v>1</v>
      </c>
    </row>
    <row r="7071" spans="1:2" x14ac:dyDescent="0.2">
      <c r="B7071" t="s">
        <v>2661</v>
      </c>
    </row>
    <row r="7072" spans="1:2" x14ac:dyDescent="0.2">
      <c r="B7072" t="s">
        <v>103</v>
      </c>
    </row>
    <row r="7074" spans="1:3" x14ac:dyDescent="0.2">
      <c r="A7074" t="s">
        <v>2660</v>
      </c>
      <c r="B7074" t="str">
        <f>HYPERLINK("https://lindat.mff.cuni.cz/services/teitok/pdtc10/index.php?action=vallex&amp;frame=v-w369hsa_977", "dát (v-w369hsa_977) - substituted with v-w369f66_ZU")</f>
        <v>dát (v-w369hsa_977) - substituted with v-w369f66_ZU</v>
      </c>
    </row>
    <row r="7075" spans="1:3" x14ac:dyDescent="0.2">
      <c r="B7075" t="s">
        <v>1</v>
      </c>
    </row>
    <row r="7076" spans="1:3" x14ac:dyDescent="0.2">
      <c r="B7076" t="s">
        <v>2661</v>
      </c>
    </row>
    <row r="7077" spans="1:3" x14ac:dyDescent="0.2">
      <c r="B7077" t="s">
        <v>103</v>
      </c>
    </row>
    <row r="7079" spans="1:3" x14ac:dyDescent="0.2">
      <c r="A7079" t="s">
        <v>2662</v>
      </c>
      <c r="B7079" t="str">
        <f>HYPERLINK("https://lindat.mff.cuni.cz/services/teitok/pdtc10/index.php?action=vallex&amp;frame=v-w369f67_ZU", "dát (v-w369f67_ZU)")</f>
        <v>dát (v-w369f67_ZU)</v>
      </c>
    </row>
    <row r="7080" spans="1:3" x14ac:dyDescent="0.2">
      <c r="B7080" t="s">
        <v>1</v>
      </c>
    </row>
    <row r="7081" spans="1:3" x14ac:dyDescent="0.2">
      <c r="B7081" t="s">
        <v>2663</v>
      </c>
      <c r="C7081" t="s">
        <v>2664</v>
      </c>
    </row>
    <row r="7082" spans="1:3" x14ac:dyDescent="0.2">
      <c r="B7082" t="s">
        <v>8</v>
      </c>
      <c r="C7082" t="s">
        <v>2665</v>
      </c>
    </row>
    <row r="7084" spans="1:3" x14ac:dyDescent="0.2">
      <c r="A7084" t="s">
        <v>2662</v>
      </c>
      <c r="B7084" t="str">
        <f>HYPERLINK("https://lindat.mff.cuni.cz/services/teitok/pdtc10/index.php?action=vallex&amp;frame=v-w369hsa_979", "dát (v-w369hsa_979) - substituted with v-w369f67_ZU")</f>
        <v>dát (v-w369hsa_979) - substituted with v-w369f67_ZU</v>
      </c>
    </row>
    <row r="7085" spans="1:3" x14ac:dyDescent="0.2">
      <c r="B7085" t="s">
        <v>1</v>
      </c>
    </row>
    <row r="7086" spans="1:3" x14ac:dyDescent="0.2">
      <c r="B7086" t="s">
        <v>2663</v>
      </c>
    </row>
    <row r="7087" spans="1:3" x14ac:dyDescent="0.2">
      <c r="B7087" t="s">
        <v>8</v>
      </c>
    </row>
    <row r="7089" spans="1:2" x14ac:dyDescent="0.2">
      <c r="A7089" t="s">
        <v>2666</v>
      </c>
      <c r="B7089" t="str">
        <f>HYPERLINK("https://lindat.mff.cuni.cz/services/teitok/pdtc10/index.php?action=vallex&amp;frame=v-w369f77_ZU", "dát (v-w369f77_ZU)")</f>
        <v>dát (v-w369f77_ZU)</v>
      </c>
    </row>
    <row r="7090" spans="1:2" x14ac:dyDescent="0.2">
      <c r="B7090" t="s">
        <v>1</v>
      </c>
    </row>
    <row r="7091" spans="1:2" x14ac:dyDescent="0.2">
      <c r="B7091" t="s">
        <v>8</v>
      </c>
    </row>
    <row r="7092" spans="1:2" x14ac:dyDescent="0.2">
      <c r="B7092" t="s">
        <v>78</v>
      </c>
    </row>
    <row r="7094" spans="1:2" x14ac:dyDescent="0.2">
      <c r="A7094" t="s">
        <v>2666</v>
      </c>
      <c r="B7094" t="str">
        <f>HYPERLINK("https://lindat.mff.cuni.cz/services/teitok/pdtc10/index.php?action=vallex&amp;frame=v-w369hsa_835", "dát (v-w369hsa_835) - substituted with v-w369f77_ZU")</f>
        <v>dát (v-w369hsa_835) - substituted with v-w369f77_ZU</v>
      </c>
    </row>
    <row r="7095" spans="1:2" x14ac:dyDescent="0.2">
      <c r="B7095" t="s">
        <v>1</v>
      </c>
    </row>
    <row r="7096" spans="1:2" x14ac:dyDescent="0.2">
      <c r="B7096" t="s">
        <v>8</v>
      </c>
    </row>
    <row r="7097" spans="1:2" x14ac:dyDescent="0.2">
      <c r="B7097" t="s">
        <v>78</v>
      </c>
    </row>
    <row r="7099" spans="1:2" x14ac:dyDescent="0.2">
      <c r="A7099" t="s">
        <v>2667</v>
      </c>
      <c r="B7099" t="str">
        <f>HYPERLINK("https://lindat.mff.cuni.cz/services/teitok/pdtc10/index.php?action=vallex&amp;frame=v-w369f83_ZU", "dát (v-w369f83_ZU)")</f>
        <v>dát (v-w369f83_ZU)</v>
      </c>
    </row>
    <row r="7100" spans="1:2" x14ac:dyDescent="0.2">
      <c r="B7100" t="s">
        <v>1</v>
      </c>
    </row>
    <row r="7101" spans="1:2" x14ac:dyDescent="0.2">
      <c r="B7101" t="s">
        <v>103</v>
      </c>
    </row>
    <row r="7102" spans="1:2" x14ac:dyDescent="0.2">
      <c r="B7102" t="s">
        <v>2668</v>
      </c>
    </row>
    <row r="7104" spans="1:2" x14ac:dyDescent="0.2">
      <c r="A7104" t="s">
        <v>2667</v>
      </c>
      <c r="B7104" t="str">
        <f>HYPERLINK("https://lindat.mff.cuni.cz/services/teitok/pdtc10/index.php?action=vallex&amp;frame=v-w369hsa_840", "dát (v-w369hsa_840) - substituted with v-w369f83_ZU")</f>
        <v>dát (v-w369hsa_840) - substituted with v-w369f83_ZU</v>
      </c>
    </row>
    <row r="7105" spans="1:2" x14ac:dyDescent="0.2">
      <c r="B7105" t="s">
        <v>1</v>
      </c>
    </row>
    <row r="7106" spans="1:2" x14ac:dyDescent="0.2">
      <c r="B7106" t="s">
        <v>103</v>
      </c>
    </row>
    <row r="7107" spans="1:2" x14ac:dyDescent="0.2">
      <c r="B7107" t="s">
        <v>2668</v>
      </c>
    </row>
    <row r="7109" spans="1:2" x14ac:dyDescent="0.2">
      <c r="A7109" t="s">
        <v>2669</v>
      </c>
      <c r="B7109" t="str">
        <f>HYPERLINK("https://lindat.mff.cuni.cz/services/teitok/pdtc10/index.php?action=vallex&amp;frame=v-w369f84_ZU", "dát (v-w369f84_ZU)")</f>
        <v>dát (v-w369f84_ZU)</v>
      </c>
    </row>
    <row r="7110" spans="1:2" x14ac:dyDescent="0.2">
      <c r="B7110" t="s">
        <v>1</v>
      </c>
    </row>
    <row r="7111" spans="1:2" x14ac:dyDescent="0.2">
      <c r="B7111" t="s">
        <v>2670</v>
      </c>
    </row>
    <row r="7112" spans="1:2" x14ac:dyDescent="0.2">
      <c r="B7112" t="s">
        <v>28</v>
      </c>
    </row>
    <row r="7113" spans="1:2" x14ac:dyDescent="0.2">
      <c r="B7113" t="s">
        <v>511</v>
      </c>
    </row>
    <row r="7115" spans="1:2" x14ac:dyDescent="0.2">
      <c r="A7115" t="s">
        <v>2669</v>
      </c>
      <c r="B7115" t="str">
        <f>HYPERLINK("https://lindat.mff.cuni.cz/services/teitok/pdtc10/index.php?action=vallex&amp;frame=v-w369hsa_841", "dát (v-w369hsa_841) - substituted with v-w369f84_ZU")</f>
        <v>dát (v-w369hsa_841) - substituted with v-w369f84_ZU</v>
      </c>
    </row>
    <row r="7116" spans="1:2" x14ac:dyDescent="0.2">
      <c r="B7116" t="s">
        <v>1</v>
      </c>
    </row>
    <row r="7117" spans="1:2" x14ac:dyDescent="0.2">
      <c r="B7117" t="s">
        <v>2670</v>
      </c>
    </row>
    <row r="7118" spans="1:2" x14ac:dyDescent="0.2">
      <c r="B7118" t="s">
        <v>28</v>
      </c>
    </row>
    <row r="7119" spans="1:2" x14ac:dyDescent="0.2">
      <c r="B7119" t="s">
        <v>511</v>
      </c>
    </row>
    <row r="7121" spans="1:2" x14ac:dyDescent="0.2">
      <c r="A7121" t="s">
        <v>2671</v>
      </c>
      <c r="B7121" t="str">
        <f>HYPERLINK("https://lindat.mff.cuni.cz/services/teitok/pdtc10/index.php?action=vallex&amp;frame=v-w369f85_ZU", "dát (v-w369f85_ZU)")</f>
        <v>dát (v-w369f85_ZU)</v>
      </c>
    </row>
    <row r="7122" spans="1:2" x14ac:dyDescent="0.2">
      <c r="B7122" t="s">
        <v>1</v>
      </c>
    </row>
    <row r="7123" spans="1:2" x14ac:dyDescent="0.2">
      <c r="B7123" t="s">
        <v>35</v>
      </c>
    </row>
    <row r="7124" spans="1:2" x14ac:dyDescent="0.2">
      <c r="B7124" t="s">
        <v>751</v>
      </c>
    </row>
    <row r="7125" spans="1:2" x14ac:dyDescent="0.2">
      <c r="B7125" t="s">
        <v>2672</v>
      </c>
    </row>
    <row r="7127" spans="1:2" x14ac:dyDescent="0.2">
      <c r="A7127" t="s">
        <v>2671</v>
      </c>
      <c r="B7127" t="str">
        <f>HYPERLINK("https://lindat.mff.cuni.cz/services/teitok/pdtc10/index.php?action=vallex&amp;frame=v-w369hsa_842", "dát (v-w369hsa_842) - substituted with v-w369f85_ZU")</f>
        <v>dát (v-w369hsa_842) - substituted with v-w369f85_ZU</v>
      </c>
    </row>
    <row r="7128" spans="1:2" x14ac:dyDescent="0.2">
      <c r="B7128" t="s">
        <v>1</v>
      </c>
    </row>
    <row r="7129" spans="1:2" x14ac:dyDescent="0.2">
      <c r="B7129" t="s">
        <v>35</v>
      </c>
    </row>
    <row r="7130" spans="1:2" x14ac:dyDescent="0.2">
      <c r="B7130" t="s">
        <v>751</v>
      </c>
    </row>
    <row r="7131" spans="1:2" x14ac:dyDescent="0.2">
      <c r="B7131" t="s">
        <v>2672</v>
      </c>
    </row>
    <row r="7133" spans="1:2" x14ac:dyDescent="0.2">
      <c r="A7133" t="s">
        <v>2673</v>
      </c>
      <c r="B7133" t="str">
        <f>HYPERLINK("https://lindat.mff.cuni.cz/services/teitok/pdtc10/index.php?action=vallex&amp;frame=v-w369f86_ZU", "dát (v-w369f86_ZU)")</f>
        <v>dát (v-w369f86_ZU)</v>
      </c>
    </row>
    <row r="7134" spans="1:2" x14ac:dyDescent="0.2">
      <c r="B7134" t="s">
        <v>2674</v>
      </c>
    </row>
    <row r="7135" spans="1:2" x14ac:dyDescent="0.2">
      <c r="B7135" t="s">
        <v>146</v>
      </c>
    </row>
    <row r="7136" spans="1:2" x14ac:dyDescent="0.2">
      <c r="B7136" t="s">
        <v>103</v>
      </c>
    </row>
    <row r="7138" spans="1:2" x14ac:dyDescent="0.2">
      <c r="A7138" t="s">
        <v>2673</v>
      </c>
      <c r="B7138" t="str">
        <f>HYPERLINK("https://lindat.mff.cuni.cz/services/teitok/pdtc10/index.php?action=vallex&amp;frame=v-w369hsa_843", "dát (v-w369hsa_843) - substituted with v-w369f86_ZU")</f>
        <v>dát (v-w369hsa_843) - substituted with v-w369f86_ZU</v>
      </c>
    </row>
    <row r="7139" spans="1:2" x14ac:dyDescent="0.2">
      <c r="B7139" t="s">
        <v>2674</v>
      </c>
    </row>
    <row r="7140" spans="1:2" x14ac:dyDescent="0.2">
      <c r="B7140" t="s">
        <v>146</v>
      </c>
    </row>
    <row r="7141" spans="1:2" x14ac:dyDescent="0.2">
      <c r="B7141" t="s">
        <v>103</v>
      </c>
    </row>
    <row r="7143" spans="1:2" x14ac:dyDescent="0.2">
      <c r="A7143" t="s">
        <v>2675</v>
      </c>
      <c r="B7143" t="str">
        <f>HYPERLINK("https://lindat.mff.cuni.cz/services/teitok/pdtc10/index.php?action=vallex&amp;frame=v-w369f87_ZU", "dát (v-w369f87_ZU)")</f>
        <v>dát (v-w369f87_ZU)</v>
      </c>
    </row>
    <row r="7144" spans="1:2" x14ac:dyDescent="0.2">
      <c r="B7144" t="s">
        <v>1</v>
      </c>
    </row>
    <row r="7145" spans="1:2" x14ac:dyDescent="0.2">
      <c r="B7145" t="s">
        <v>2676</v>
      </c>
    </row>
    <row r="7146" spans="1:2" x14ac:dyDescent="0.2">
      <c r="B7146" t="s">
        <v>357</v>
      </c>
    </row>
    <row r="7148" spans="1:2" x14ac:dyDescent="0.2">
      <c r="A7148" t="s">
        <v>2675</v>
      </c>
      <c r="B7148" t="str">
        <f>HYPERLINK("https://lindat.mff.cuni.cz/services/teitok/pdtc10/index.php?action=vallex&amp;frame=v-w369hsa_844", "dát (v-w369hsa_844) - substituted with v-w369f87_ZU")</f>
        <v>dát (v-w369hsa_844) - substituted with v-w369f87_ZU</v>
      </c>
    </row>
    <row r="7149" spans="1:2" x14ac:dyDescent="0.2">
      <c r="B7149" t="s">
        <v>1</v>
      </c>
    </row>
    <row r="7150" spans="1:2" x14ac:dyDescent="0.2">
      <c r="B7150" t="s">
        <v>2676</v>
      </c>
    </row>
    <row r="7151" spans="1:2" x14ac:dyDescent="0.2">
      <c r="B7151" t="s">
        <v>357</v>
      </c>
    </row>
    <row r="7153" spans="1:2" x14ac:dyDescent="0.2">
      <c r="A7153" t="s">
        <v>2677</v>
      </c>
      <c r="B7153" t="str">
        <f>HYPERLINK("https://lindat.mff.cuni.cz/services/teitok/pdtc10/index.php?action=vallex&amp;frame=v-w369f88_ZU", "dát (v-w369f88_ZU)")</f>
        <v>dát (v-w369f88_ZU)</v>
      </c>
    </row>
    <row r="7154" spans="1:2" x14ac:dyDescent="0.2">
      <c r="B7154" t="s">
        <v>455</v>
      </c>
    </row>
    <row r="7155" spans="1:2" x14ac:dyDescent="0.2">
      <c r="B7155" t="s">
        <v>1012</v>
      </c>
    </row>
    <row r="7157" spans="1:2" x14ac:dyDescent="0.2">
      <c r="A7157" t="s">
        <v>2677</v>
      </c>
      <c r="B7157" t="str">
        <f>HYPERLINK("https://lindat.mff.cuni.cz/services/teitok/pdtc10/index.php?action=vallex&amp;frame=v-w369hsa_845", "dát (v-w369hsa_845) - substituted with v-w369f88_ZU")</f>
        <v>dát (v-w369hsa_845) - substituted with v-w369f88_ZU</v>
      </c>
    </row>
    <row r="7158" spans="1:2" x14ac:dyDescent="0.2">
      <c r="B7158" t="s">
        <v>455</v>
      </c>
    </row>
    <row r="7159" spans="1:2" x14ac:dyDescent="0.2">
      <c r="B7159" t="s">
        <v>1012</v>
      </c>
    </row>
    <row r="7161" spans="1:2" x14ac:dyDescent="0.2">
      <c r="A7161" t="s">
        <v>2678</v>
      </c>
      <c r="B7161" t="str">
        <f>HYPERLINK("https://lindat.mff.cuni.cz/services/teitok/pdtc10/index.php?action=vallex&amp;frame=v-w369f89_ZU", "dát (v-w369f89_ZU)")</f>
        <v>dát (v-w369f89_ZU)</v>
      </c>
    </row>
    <row r="7162" spans="1:2" x14ac:dyDescent="0.2">
      <c r="B7162" t="s">
        <v>1</v>
      </c>
    </row>
    <row r="7163" spans="1:2" x14ac:dyDescent="0.2">
      <c r="B7163" t="s">
        <v>2635</v>
      </c>
    </row>
    <row r="7165" spans="1:2" x14ac:dyDescent="0.2">
      <c r="A7165" t="s">
        <v>2678</v>
      </c>
      <c r="B7165" t="str">
        <f>HYPERLINK("https://lindat.mff.cuni.cz/services/teitok/pdtc10/index.php?action=vallex&amp;frame=v-w369hsa_846", "dát (v-w369hsa_846) - substituted with v-w369f89_ZU")</f>
        <v>dát (v-w369hsa_846) - substituted with v-w369f89_ZU</v>
      </c>
    </row>
    <row r="7166" spans="1:2" x14ac:dyDescent="0.2">
      <c r="B7166" t="s">
        <v>1</v>
      </c>
    </row>
    <row r="7167" spans="1:2" x14ac:dyDescent="0.2">
      <c r="B7167" t="s">
        <v>2635</v>
      </c>
    </row>
    <row r="7169" spans="1:2" x14ac:dyDescent="0.2">
      <c r="A7169" t="s">
        <v>2679</v>
      </c>
      <c r="B7169" t="str">
        <f>HYPERLINK("https://lindat.mff.cuni.cz/services/teitok/pdtc10/index.php?action=vallex&amp;frame=v-w369f91_ZU", "dát (v-w369f91_ZU)")</f>
        <v>dát (v-w369f91_ZU)</v>
      </c>
    </row>
    <row r="7170" spans="1:2" x14ac:dyDescent="0.2">
      <c r="B7170" t="s">
        <v>1</v>
      </c>
    </row>
    <row r="7171" spans="1:2" x14ac:dyDescent="0.2">
      <c r="B7171" t="s">
        <v>103</v>
      </c>
    </row>
    <row r="7172" spans="1:2" x14ac:dyDescent="0.2">
      <c r="B7172" t="s">
        <v>2680</v>
      </c>
    </row>
    <row r="7174" spans="1:2" x14ac:dyDescent="0.2">
      <c r="A7174" t="s">
        <v>2681</v>
      </c>
      <c r="B7174" t="str">
        <f>HYPERLINK("https://lindat.mff.cuni.cz/services/teitok/pdtc10/index.php?action=vallex&amp;frame=v-w369f96_ZU", "dát (v-w369f96_ZU)")</f>
        <v>dát (v-w369f96_ZU)</v>
      </c>
    </row>
    <row r="7175" spans="1:2" x14ac:dyDescent="0.2">
      <c r="B7175" t="s">
        <v>1</v>
      </c>
    </row>
    <row r="7176" spans="1:2" x14ac:dyDescent="0.2">
      <c r="B7176" t="s">
        <v>35</v>
      </c>
    </row>
    <row r="7177" spans="1:2" x14ac:dyDescent="0.2">
      <c r="B7177" t="s">
        <v>252</v>
      </c>
    </row>
    <row r="7178" spans="1:2" x14ac:dyDescent="0.2">
      <c r="B7178" t="s">
        <v>220</v>
      </c>
    </row>
    <row r="7180" spans="1:2" x14ac:dyDescent="0.2">
      <c r="A7180" t="s">
        <v>2681</v>
      </c>
      <c r="B7180" t="str">
        <f>HYPERLINK("https://lindat.mff.cuni.cz/services/teitok/pdtc10/index.php?action=vallex&amp;frame=v-w369f95_ZU", "dát (v-w369f95_ZU) - substituted with v-w369f96_ZU")</f>
        <v>dát (v-w369f95_ZU) - substituted with v-w369f96_ZU</v>
      </c>
    </row>
    <row r="7181" spans="1:2" x14ac:dyDescent="0.2">
      <c r="B7181" t="s">
        <v>1</v>
      </c>
    </row>
    <row r="7182" spans="1:2" x14ac:dyDescent="0.2">
      <c r="B7182" t="s">
        <v>35</v>
      </c>
    </row>
    <row r="7183" spans="1:2" x14ac:dyDescent="0.2">
      <c r="B7183" t="s">
        <v>252</v>
      </c>
    </row>
    <row r="7184" spans="1:2" x14ac:dyDescent="0.2">
      <c r="B7184" t="s">
        <v>220</v>
      </c>
    </row>
    <row r="7186" spans="1:2" x14ac:dyDescent="0.2">
      <c r="A7186" t="s">
        <v>2682</v>
      </c>
      <c r="B7186" t="str">
        <f>HYPERLINK("https://lindat.mff.cuni.cz/services/teitok/pdtc10/index.php?action=vallex&amp;frame=v-w369f97_ZU", "dát (v-w369f97_ZU)")</f>
        <v>dát (v-w369f97_ZU)</v>
      </c>
    </row>
    <row r="7187" spans="1:2" x14ac:dyDescent="0.2">
      <c r="B7187" t="s">
        <v>1</v>
      </c>
    </row>
    <row r="7188" spans="1:2" x14ac:dyDescent="0.2">
      <c r="B7188" t="s">
        <v>8</v>
      </c>
    </row>
    <row r="7189" spans="1:2" x14ac:dyDescent="0.2">
      <c r="B7189" t="s">
        <v>78</v>
      </c>
    </row>
    <row r="7191" spans="1:2" x14ac:dyDescent="0.2">
      <c r="A7191" t="s">
        <v>2683</v>
      </c>
      <c r="B7191" t="str">
        <f>HYPERLINK("https://lindat.mff.cuni.cz/services/teitok/pdtc10/index.php?action=vallex&amp;frame=v-w369f100_ZU", "dát (v-w369f100_ZU)")</f>
        <v>dát (v-w369f100_ZU)</v>
      </c>
    </row>
    <row r="7192" spans="1:2" x14ac:dyDescent="0.2">
      <c r="B7192" t="s">
        <v>2684</v>
      </c>
    </row>
    <row r="7194" spans="1:2" x14ac:dyDescent="0.2">
      <c r="A7194" t="s">
        <v>2685</v>
      </c>
      <c r="B7194" t="str">
        <f>HYPERLINK("https://lindat.mff.cuni.cz/services/teitok/pdtc10/index.php?action=vallex&amp;frame=v-w369hsa_834", "dát (v-w369hsa_834)")</f>
        <v>dát (v-w369hsa_834)</v>
      </c>
    </row>
    <row r="7195" spans="1:2" x14ac:dyDescent="0.2">
      <c r="B7195" t="s">
        <v>1</v>
      </c>
    </row>
    <row r="7196" spans="1:2" x14ac:dyDescent="0.2">
      <c r="B7196" t="s">
        <v>8</v>
      </c>
    </row>
    <row r="7197" spans="1:2" x14ac:dyDescent="0.2">
      <c r="B7197" t="s">
        <v>35</v>
      </c>
    </row>
    <row r="7199" spans="1:2" x14ac:dyDescent="0.2">
      <c r="A7199" t="s">
        <v>2686</v>
      </c>
      <c r="B7199" t="str">
        <f>HYPERLINK("https://lindat.mff.cuni.cz/services/teitok/pdtc10/index.php?action=vallex&amp;frame=v-w369hsa_836", "dát (v-w369hsa_836)")</f>
        <v>dát (v-w369hsa_836)</v>
      </c>
    </row>
    <row r="7200" spans="1:2" x14ac:dyDescent="0.2">
      <c r="B7200" t="s">
        <v>1</v>
      </c>
    </row>
    <row r="7201" spans="1:4" x14ac:dyDescent="0.2">
      <c r="B7201" t="s">
        <v>8</v>
      </c>
    </row>
    <row r="7203" spans="1:4" x14ac:dyDescent="0.2">
      <c r="A7203" t="s">
        <v>2687</v>
      </c>
      <c r="B7203" t="str">
        <f>HYPERLINK("https://lindat.mff.cuni.cz/services/teitok/pdtc10/index.php?action=vallex&amp;frame=v-w369hsa_847", "dát (v-w369hsa_847)")</f>
        <v>dát (v-w369hsa_847)</v>
      </c>
    </row>
    <row r="7204" spans="1:4" x14ac:dyDescent="0.2">
      <c r="B7204" t="s">
        <v>1</v>
      </c>
    </row>
    <row r="7205" spans="1:4" x14ac:dyDescent="0.2">
      <c r="B7205" t="s">
        <v>172</v>
      </c>
    </row>
    <row r="7206" spans="1:4" x14ac:dyDescent="0.2">
      <c r="B7206" t="s">
        <v>2688</v>
      </c>
    </row>
    <row r="7208" spans="1:4" x14ac:dyDescent="0.2">
      <c r="A7208" t="s">
        <v>2689</v>
      </c>
      <c r="B7208" t="str">
        <f>HYPERLINK("https://lindat.mff.cuni.cz/services/teitok/pdtc10/index.php?action=vallex&amp;frame=v-w369hsa_848", "dát (v-w369hsa_848)")</f>
        <v>dát (v-w369hsa_848)</v>
      </c>
    </row>
    <row r="7209" spans="1:4" x14ac:dyDescent="0.2">
      <c r="B7209" t="s">
        <v>1</v>
      </c>
    </row>
    <row r="7210" spans="1:4" x14ac:dyDescent="0.2">
      <c r="B7210" t="s">
        <v>8</v>
      </c>
    </row>
    <row r="7211" spans="1:4" x14ac:dyDescent="0.2">
      <c r="B7211" t="s">
        <v>90</v>
      </c>
    </row>
    <row r="7213" spans="1:4" x14ac:dyDescent="0.2">
      <c r="A7213" t="s">
        <v>2690</v>
      </c>
      <c r="B7213" t="str">
        <f>HYPERLINK("https://lindat.mff.cuni.cz/services/teitok/pdtc10/index.php?action=vallex&amp;frame=v-w371f4", "dát se (v-w371f4)")</f>
        <v>dát se (v-w371f4)</v>
      </c>
    </row>
    <row r="7214" spans="1:4" x14ac:dyDescent="0.2">
      <c r="B7214" t="s">
        <v>1</v>
      </c>
      <c r="C7214" t="s">
        <v>1168</v>
      </c>
      <c r="D7214" t="s">
        <v>23278</v>
      </c>
    </row>
    <row r="7215" spans="1:4" x14ac:dyDescent="0.2">
      <c r="B7215" t="s">
        <v>817</v>
      </c>
      <c r="C7215" t="s">
        <v>2691</v>
      </c>
      <c r="D7215" t="s">
        <v>23279</v>
      </c>
    </row>
    <row r="7217" spans="1:4" x14ac:dyDescent="0.2">
      <c r="A7217" t="s">
        <v>2692</v>
      </c>
      <c r="B7217" t="str">
        <f>HYPERLINK("https://lindat.mff.cuni.cz/services/teitok/pdtc10/index.php?action=vallex&amp;frame=v-w371f2", "dát se (v-w371f2)")</f>
        <v>dát se (v-w371f2)</v>
      </c>
    </row>
    <row r="7218" spans="1:4" x14ac:dyDescent="0.2">
      <c r="B7218" t="s">
        <v>1</v>
      </c>
      <c r="D7218" t="s">
        <v>22976</v>
      </c>
    </row>
    <row r="7219" spans="1:4" x14ac:dyDescent="0.2">
      <c r="B7219" t="s">
        <v>28</v>
      </c>
      <c r="D7219" t="s">
        <v>22977</v>
      </c>
    </row>
    <row r="7221" spans="1:4" x14ac:dyDescent="0.2">
      <c r="A7221" t="s">
        <v>2693</v>
      </c>
      <c r="B7221" t="str">
        <f>HYPERLINK("https://lindat.mff.cuni.cz/services/teitok/pdtc10/index.php?action=vallex&amp;frame=v-w371f3", "dát se (v-w371f3)")</f>
        <v>dát se (v-w371f3)</v>
      </c>
    </row>
    <row r="7222" spans="1:4" x14ac:dyDescent="0.2">
      <c r="B7222" t="s">
        <v>1</v>
      </c>
      <c r="C7222" t="s">
        <v>133</v>
      </c>
    </row>
    <row r="7223" spans="1:4" x14ac:dyDescent="0.2">
      <c r="B7223" t="s">
        <v>90</v>
      </c>
    </row>
    <row r="7225" spans="1:4" x14ac:dyDescent="0.2">
      <c r="A7225" t="s">
        <v>2694</v>
      </c>
      <c r="B7225" t="str">
        <f>HYPERLINK("https://lindat.mff.cuni.cz/services/teitok/pdtc10/index.php?action=vallex&amp;frame=v-w371f9_ZU", "dát se (v-w371f9_ZU)")</f>
        <v>dát se (v-w371f9_ZU)</v>
      </c>
    </row>
    <row r="7226" spans="1:4" x14ac:dyDescent="0.2">
      <c r="B7226" t="s">
        <v>1</v>
      </c>
    </row>
    <row r="7227" spans="1:4" x14ac:dyDescent="0.2">
      <c r="B7227" t="s">
        <v>2695</v>
      </c>
    </row>
    <row r="7229" spans="1:4" x14ac:dyDescent="0.2">
      <c r="A7229" t="s">
        <v>2694</v>
      </c>
      <c r="B7229" t="str">
        <f>HYPERLINK("https://lindat.mff.cuni.cz/services/teitok/pdtc10/index.php?action=vallex&amp;frame=v-w371f1", "dát se (v-w371f1) - substituted with v-w371f9_ZU")</f>
        <v>dát se (v-w371f1) - substituted with v-w371f9_ZU</v>
      </c>
    </row>
    <row r="7230" spans="1:4" x14ac:dyDescent="0.2">
      <c r="B7230" t="s">
        <v>1</v>
      </c>
      <c r="C7230" t="s">
        <v>249</v>
      </c>
    </row>
    <row r="7231" spans="1:4" x14ac:dyDescent="0.2">
      <c r="B7231" t="s">
        <v>2695</v>
      </c>
      <c r="C7231" t="s">
        <v>2696</v>
      </c>
    </row>
    <row r="7233" spans="1:4" x14ac:dyDescent="0.2">
      <c r="A7233" t="s">
        <v>2697</v>
      </c>
      <c r="B7233" t="str">
        <f>HYPERLINK("https://lindat.mff.cuni.cz/services/teitok/pdtc10/index.php?action=vallex&amp;frame=v-w371f6_ZU", "dát se (v-w371f6_ZU)")</f>
        <v>dát se (v-w371f6_ZU)</v>
      </c>
    </row>
    <row r="7234" spans="1:4" x14ac:dyDescent="0.2">
      <c r="B7234" t="s">
        <v>1</v>
      </c>
      <c r="C7234" t="s">
        <v>2698</v>
      </c>
      <c r="D7234" t="s">
        <v>23280</v>
      </c>
    </row>
    <row r="7235" spans="1:4" x14ac:dyDescent="0.2">
      <c r="B7235" t="s">
        <v>2606</v>
      </c>
    </row>
    <row r="7236" spans="1:4" x14ac:dyDescent="0.2">
      <c r="B7236" t="s">
        <v>411</v>
      </c>
      <c r="D7236" t="s">
        <v>23281</v>
      </c>
    </row>
    <row r="7238" spans="1:4" x14ac:dyDescent="0.2">
      <c r="A7238" t="s">
        <v>2699</v>
      </c>
      <c r="B7238" t="str">
        <f>HYPERLINK("https://lindat.mff.cuni.cz/services/teitok/pdtc10/index.php?action=vallex&amp;frame=v-w371f5", "dát se (v-w371f5)")</f>
        <v>dát se (v-w371f5)</v>
      </c>
    </row>
    <row r="7239" spans="1:4" x14ac:dyDescent="0.2">
      <c r="B7239" t="s">
        <v>1</v>
      </c>
    </row>
    <row r="7240" spans="1:4" x14ac:dyDescent="0.2">
      <c r="B7240" t="s">
        <v>2700</v>
      </c>
    </row>
    <row r="7242" spans="1:4" x14ac:dyDescent="0.2">
      <c r="A7242" t="s">
        <v>2701</v>
      </c>
      <c r="B7242" t="str">
        <f>HYPERLINK("https://lindat.mff.cuni.cz/services/teitok/pdtc10/index.php?action=vallex&amp;frame=v-w371f8_ZU", "dát se (v-w371f8_ZU)")</f>
        <v>dát se (v-w371f8_ZU)</v>
      </c>
    </row>
    <row r="7243" spans="1:4" x14ac:dyDescent="0.2">
      <c r="B7243" t="s">
        <v>1</v>
      </c>
      <c r="C7243" t="s">
        <v>2702</v>
      </c>
      <c r="D7243" t="s">
        <v>23091</v>
      </c>
    </row>
    <row r="7244" spans="1:4" x14ac:dyDescent="0.2">
      <c r="B7244" t="s">
        <v>2703</v>
      </c>
    </row>
    <row r="7246" spans="1:4" x14ac:dyDescent="0.2">
      <c r="A7246" t="s">
        <v>2701</v>
      </c>
      <c r="B7246" t="str">
        <f>HYPERLINK("https://lindat.mff.cuni.cz/services/teitok/pdtc10/index.php?action=vallex&amp;frame=v-w371f7_ZU", "dát se (v-w371f7_ZU) - substituted with v-w371f8_ZU")</f>
        <v>dát se (v-w371f7_ZU) - substituted with v-w371f8_ZU</v>
      </c>
    </row>
    <row r="7247" spans="1:4" x14ac:dyDescent="0.2">
      <c r="B7247" t="s">
        <v>1</v>
      </c>
    </row>
    <row r="7248" spans="1:4" x14ac:dyDescent="0.2">
      <c r="B7248" t="s">
        <v>2703</v>
      </c>
    </row>
    <row r="7250" spans="1:2" x14ac:dyDescent="0.2">
      <c r="A7250" t="s">
        <v>2701</v>
      </c>
      <c r="B7250" t="str">
        <f>HYPERLINK("https://lindat.mff.cuni.cz/services/teitok/pdtc10/index.php?action=vallex&amp;frame=v-w371hsa_35", "dát se (v-w371hsa_35) - substituted with v-w371f8_ZU")</f>
        <v>dát se (v-w371hsa_35) - substituted with v-w371f8_ZU</v>
      </c>
    </row>
    <row r="7251" spans="1:2" x14ac:dyDescent="0.2">
      <c r="B7251" t="s">
        <v>1</v>
      </c>
    </row>
    <row r="7252" spans="1:2" x14ac:dyDescent="0.2">
      <c r="B7252" t="s">
        <v>2703</v>
      </c>
    </row>
    <row r="7254" spans="1:2" x14ac:dyDescent="0.2">
      <c r="A7254" t="s">
        <v>2704</v>
      </c>
      <c r="B7254" t="str">
        <f>HYPERLINK("https://lindat.mff.cuni.cz/services/teitok/pdtc10/index.php?action=vallex&amp;frame=v-w371f10_ZU", "dát se (v-w371f10_ZU)")</f>
        <v>dát se (v-w371f10_ZU)</v>
      </c>
    </row>
    <row r="7255" spans="1:2" x14ac:dyDescent="0.2">
      <c r="B7255" t="s">
        <v>1</v>
      </c>
    </row>
    <row r="7256" spans="1:2" x14ac:dyDescent="0.2">
      <c r="B7256" t="s">
        <v>2705</v>
      </c>
    </row>
    <row r="7257" spans="1:2" x14ac:dyDescent="0.2">
      <c r="B7257" t="s">
        <v>411</v>
      </c>
    </row>
    <row r="7259" spans="1:2" x14ac:dyDescent="0.2">
      <c r="A7259" t="s">
        <v>2704</v>
      </c>
      <c r="B7259" t="str">
        <f>HYPERLINK("https://lindat.mff.cuni.cz/services/teitok/pdtc10/index.php?action=vallex&amp;frame=v-w371hsa_38", "dát se (v-w371hsa_38) - substituted with v-w371f10_ZU")</f>
        <v>dát se (v-w371hsa_38) - substituted with v-w371f10_ZU</v>
      </c>
    </row>
    <row r="7260" spans="1:2" x14ac:dyDescent="0.2">
      <c r="B7260" t="s">
        <v>1</v>
      </c>
    </row>
    <row r="7261" spans="1:2" x14ac:dyDescent="0.2">
      <c r="B7261" t="s">
        <v>2705</v>
      </c>
    </row>
    <row r="7262" spans="1:2" x14ac:dyDescent="0.2">
      <c r="B7262" t="s">
        <v>411</v>
      </c>
    </row>
    <row r="7264" spans="1:2" x14ac:dyDescent="0.2">
      <c r="A7264" t="s">
        <v>2706</v>
      </c>
      <c r="B7264" t="str">
        <f>HYPERLINK("https://lindat.mff.cuni.cz/services/teitok/pdtc10/index.php?action=vallex&amp;frame=v-w371f12_ZU", "dát se (v-w371f12_ZU)")</f>
        <v>dát se (v-w371f12_ZU)</v>
      </c>
    </row>
    <row r="7265" spans="1:3" x14ac:dyDescent="0.2">
      <c r="B7265" t="s">
        <v>1</v>
      </c>
    </row>
    <row r="7266" spans="1:3" x14ac:dyDescent="0.2">
      <c r="B7266" t="s">
        <v>176</v>
      </c>
    </row>
    <row r="7268" spans="1:3" x14ac:dyDescent="0.2">
      <c r="A7268" t="s">
        <v>2706</v>
      </c>
      <c r="B7268" t="str">
        <f>HYPERLINK("https://lindat.mff.cuni.cz/services/teitok/pdtc10/index.php?action=vallex&amp;frame=v-w371f11_ZU", "dát se (v-w371f11_ZU) - substituted with v-w371f12_ZU")</f>
        <v>dát se (v-w371f11_ZU) - substituted with v-w371f12_ZU</v>
      </c>
    </row>
    <row r="7269" spans="1:3" x14ac:dyDescent="0.2">
      <c r="B7269" t="s">
        <v>1</v>
      </c>
    </row>
    <row r="7270" spans="1:3" x14ac:dyDescent="0.2">
      <c r="B7270" t="s">
        <v>176</v>
      </c>
    </row>
    <row r="7272" spans="1:3" x14ac:dyDescent="0.2">
      <c r="A7272" t="s">
        <v>2707</v>
      </c>
      <c r="B7272" t="str">
        <f>HYPERLINK("https://lindat.mff.cuni.cz/services/teitok/pdtc10/index.php?action=vallex&amp;frame=v-w372f1", "dát si (v-w372f1)")</f>
        <v>dát si (v-w372f1)</v>
      </c>
    </row>
    <row r="7273" spans="1:3" x14ac:dyDescent="0.2">
      <c r="B7273" t="s">
        <v>1</v>
      </c>
    </row>
    <row r="7274" spans="1:3" x14ac:dyDescent="0.2">
      <c r="B7274" t="s">
        <v>8</v>
      </c>
    </row>
    <row r="7276" spans="1:3" x14ac:dyDescent="0.2">
      <c r="A7276" t="s">
        <v>2708</v>
      </c>
      <c r="B7276" t="str">
        <f>HYPERLINK("https://lindat.mff.cuni.cz/services/teitok/pdtc10/index.php?action=vallex&amp;frame=v-w372f6", "dát si (v-w372f6)")</f>
        <v>dát si (v-w372f6)</v>
      </c>
    </row>
    <row r="7277" spans="1:3" x14ac:dyDescent="0.2">
      <c r="B7277" t="s">
        <v>1</v>
      </c>
      <c r="C7277" t="s">
        <v>337</v>
      </c>
    </row>
    <row r="7278" spans="1:3" x14ac:dyDescent="0.2">
      <c r="B7278" t="s">
        <v>8</v>
      </c>
      <c r="C7278" t="s">
        <v>338</v>
      </c>
    </row>
    <row r="7280" spans="1:3" x14ac:dyDescent="0.2">
      <c r="A7280" t="s">
        <v>2709</v>
      </c>
      <c r="B7280" t="str">
        <f>HYPERLINK("https://lindat.mff.cuni.cz/services/teitok/pdtc10/index.php?action=vallex&amp;frame=v-w372f3", "dát si (v-w372f3)")</f>
        <v>dát si (v-w372f3)</v>
      </c>
    </row>
    <row r="7281" spans="1:4" x14ac:dyDescent="0.2">
      <c r="B7281" t="s">
        <v>1</v>
      </c>
    </row>
    <row r="7282" spans="1:4" x14ac:dyDescent="0.2">
      <c r="B7282" t="s">
        <v>2624</v>
      </c>
    </row>
    <row r="7283" spans="1:4" x14ac:dyDescent="0.2">
      <c r="B7283" t="s">
        <v>411</v>
      </c>
    </row>
    <row r="7285" spans="1:4" x14ac:dyDescent="0.2">
      <c r="A7285" t="s">
        <v>2710</v>
      </c>
      <c r="B7285" t="str">
        <f>HYPERLINK("https://lindat.mff.cuni.cz/services/teitok/pdtc10/index.php?action=vallex&amp;frame=v-w372f7", "dát si (v-w372f7)")</f>
        <v>dát si (v-w372f7)</v>
      </c>
    </row>
    <row r="7286" spans="1:4" x14ac:dyDescent="0.2">
      <c r="B7286" t="s">
        <v>1</v>
      </c>
    </row>
    <row r="7287" spans="1:4" x14ac:dyDescent="0.2">
      <c r="B7287" t="s">
        <v>2711</v>
      </c>
    </row>
    <row r="7288" spans="1:4" x14ac:dyDescent="0.2">
      <c r="B7288" t="s">
        <v>2712</v>
      </c>
    </row>
    <row r="7290" spans="1:4" x14ac:dyDescent="0.2">
      <c r="A7290" t="s">
        <v>2713</v>
      </c>
      <c r="B7290" t="str">
        <f>HYPERLINK("https://lindat.mff.cuni.cz/services/teitok/pdtc10/index.php?action=vallex&amp;frame=v-w372f9_ZU", "dát si (v-w372f9_ZU)")</f>
        <v>dát si (v-w372f9_ZU)</v>
      </c>
    </row>
    <row r="7291" spans="1:4" x14ac:dyDescent="0.2">
      <c r="B7291" t="s">
        <v>1</v>
      </c>
      <c r="C7291" t="s">
        <v>140</v>
      </c>
      <c r="D7291" t="s">
        <v>80</v>
      </c>
    </row>
    <row r="7292" spans="1:4" x14ac:dyDescent="0.2">
      <c r="B7292" t="s">
        <v>2611</v>
      </c>
    </row>
    <row r="7293" spans="1:4" x14ac:dyDescent="0.2">
      <c r="B7293" t="s">
        <v>46</v>
      </c>
      <c r="C7293" t="s">
        <v>34</v>
      </c>
      <c r="D7293" t="s">
        <v>23277</v>
      </c>
    </row>
    <row r="7295" spans="1:4" x14ac:dyDescent="0.2">
      <c r="A7295" t="s">
        <v>2713</v>
      </c>
      <c r="B7295" t="str">
        <f>HYPERLINK("https://lindat.mff.cuni.cz/services/teitok/pdtc10/index.php?action=vallex&amp;frame=v-w372f2", "dát si (v-w372f2) - substituted with v-w372f9_ZU")</f>
        <v>dát si (v-w372f2) - substituted with v-w372f9_ZU</v>
      </c>
    </row>
    <row r="7296" spans="1:4" x14ac:dyDescent="0.2">
      <c r="B7296" t="s">
        <v>1</v>
      </c>
    </row>
    <row r="7297" spans="1:3" x14ac:dyDescent="0.2">
      <c r="B7297" t="s">
        <v>2611</v>
      </c>
    </row>
    <row r="7298" spans="1:3" x14ac:dyDescent="0.2">
      <c r="B7298" t="s">
        <v>46</v>
      </c>
    </row>
    <row r="7300" spans="1:3" x14ac:dyDescent="0.2">
      <c r="A7300" t="s">
        <v>2714</v>
      </c>
      <c r="B7300" t="str">
        <f>HYPERLINK("https://lindat.mff.cuni.cz/services/teitok/pdtc10/index.php?action=vallex&amp;frame=v-w372f8", "dát si (v-w372f8)")</f>
        <v>dát si (v-w372f8)</v>
      </c>
    </row>
    <row r="7301" spans="1:3" x14ac:dyDescent="0.2">
      <c r="B7301" t="s">
        <v>1</v>
      </c>
    </row>
    <row r="7302" spans="1:3" x14ac:dyDescent="0.2">
      <c r="B7302" t="s">
        <v>2715</v>
      </c>
    </row>
    <row r="7304" spans="1:3" x14ac:dyDescent="0.2">
      <c r="A7304" t="s">
        <v>2716</v>
      </c>
      <c r="B7304" t="str">
        <f>HYPERLINK("https://lindat.mff.cuni.cz/services/teitok/pdtc10/index.php?action=vallex&amp;frame=v-w372f11_ZU", "dát si (v-w372f11_ZU)")</f>
        <v>dát si (v-w372f11_ZU)</v>
      </c>
    </row>
    <row r="7305" spans="1:3" x14ac:dyDescent="0.2">
      <c r="B7305" t="s">
        <v>1</v>
      </c>
      <c r="C7305" t="s">
        <v>2717</v>
      </c>
    </row>
    <row r="7306" spans="1:3" x14ac:dyDescent="0.2">
      <c r="B7306" t="s">
        <v>2718</v>
      </c>
      <c r="C7306" t="s">
        <v>2719</v>
      </c>
    </row>
    <row r="7307" spans="1:3" x14ac:dyDescent="0.2">
      <c r="B7307" t="s">
        <v>411</v>
      </c>
    </row>
    <row r="7309" spans="1:3" x14ac:dyDescent="0.2">
      <c r="A7309" t="s">
        <v>2716</v>
      </c>
      <c r="B7309" t="str">
        <f>HYPERLINK("https://lindat.mff.cuni.cz/services/teitok/pdtc10/index.php?action=vallex&amp;frame=v-w372f10_ZU", "dát si (v-w372f10_ZU) - substituted with v-w372f11_ZU")</f>
        <v>dát si (v-w372f10_ZU) - substituted with v-w372f11_ZU</v>
      </c>
    </row>
    <row r="7310" spans="1:3" x14ac:dyDescent="0.2">
      <c r="B7310" t="s">
        <v>1</v>
      </c>
    </row>
    <row r="7311" spans="1:3" x14ac:dyDescent="0.2">
      <c r="B7311" t="s">
        <v>2718</v>
      </c>
    </row>
    <row r="7312" spans="1:3" x14ac:dyDescent="0.2">
      <c r="B7312" t="s">
        <v>411</v>
      </c>
    </row>
    <row r="7314" spans="1:2" x14ac:dyDescent="0.2">
      <c r="A7314" t="s">
        <v>2716</v>
      </c>
      <c r="B7314" t="str">
        <f>HYPERLINK("https://lindat.mff.cuni.cz/services/teitok/pdtc10/index.php?action=vallex&amp;frame=v-w372f5", "dát si (v-w372f5) - substituted with v-w372f11_ZU")</f>
        <v>dát si (v-w372f5) - substituted with v-w372f11_ZU</v>
      </c>
    </row>
    <row r="7315" spans="1:2" x14ac:dyDescent="0.2">
      <c r="B7315" t="s">
        <v>1</v>
      </c>
    </row>
    <row r="7316" spans="1:2" x14ac:dyDescent="0.2">
      <c r="B7316" t="s">
        <v>2718</v>
      </c>
    </row>
    <row r="7317" spans="1:2" x14ac:dyDescent="0.2">
      <c r="B7317" t="s">
        <v>411</v>
      </c>
    </row>
    <row r="7319" spans="1:2" x14ac:dyDescent="0.2">
      <c r="A7319" t="s">
        <v>2720</v>
      </c>
      <c r="B7319" t="str">
        <f>HYPERLINK("https://lindat.mff.cuni.cz/services/teitok/pdtc10/index.php?action=vallex&amp;frame=v-w372f4", "dát si (v-w372f4)")</f>
        <v>dát si (v-w372f4)</v>
      </c>
    </row>
    <row r="7320" spans="1:2" x14ac:dyDescent="0.2">
      <c r="B7320" t="s">
        <v>1</v>
      </c>
    </row>
    <row r="7321" spans="1:2" x14ac:dyDescent="0.2">
      <c r="B7321" t="s">
        <v>2721</v>
      </c>
    </row>
    <row r="7323" spans="1:2" x14ac:dyDescent="0.2">
      <c r="A7323" t="s">
        <v>2722</v>
      </c>
      <c r="B7323" t="str">
        <f>HYPERLINK("https://lindat.mff.cuni.cz/services/teitok/pdtc10/index.php?action=vallex&amp;frame=v-w372f12_ZU", "dát si (v-w372f12_ZU)")</f>
        <v>dát si (v-w372f12_ZU)</v>
      </c>
    </row>
    <row r="7324" spans="1:2" x14ac:dyDescent="0.2">
      <c r="B7324" t="s">
        <v>1</v>
      </c>
    </row>
    <row r="7325" spans="1:2" x14ac:dyDescent="0.2">
      <c r="B7325" t="s">
        <v>2723</v>
      </c>
    </row>
    <row r="7326" spans="1:2" x14ac:dyDescent="0.2">
      <c r="B7326" t="s">
        <v>2724</v>
      </c>
    </row>
    <row r="7327" spans="1:2" x14ac:dyDescent="0.2">
      <c r="B7327" t="s">
        <v>321</v>
      </c>
    </row>
    <row r="7329" spans="1:2" x14ac:dyDescent="0.2">
      <c r="A7329" t="s">
        <v>2725</v>
      </c>
      <c r="B7329" t="str">
        <f>HYPERLINK("https://lindat.mff.cuni.cz/services/teitok/pdtc10/index.php?action=vallex&amp;frame=v-w372f13_ZU", "dát si (v-w372f13_ZU)")</f>
        <v>dát si (v-w372f13_ZU)</v>
      </c>
    </row>
    <row r="7330" spans="1:2" x14ac:dyDescent="0.2">
      <c r="B7330" t="s">
        <v>1</v>
      </c>
    </row>
    <row r="7331" spans="1:2" x14ac:dyDescent="0.2">
      <c r="B7331" t="s">
        <v>8</v>
      </c>
    </row>
    <row r="7333" spans="1:2" x14ac:dyDescent="0.2">
      <c r="A7333" t="s">
        <v>2726</v>
      </c>
      <c r="B7333" t="str">
        <f>HYPERLINK("https://lindat.mff.cuni.cz/services/teitok/pdtc10/index.php?action=vallex&amp;frame=v-w374f85_ZU", "dávat (v-w374f85_ZU)")</f>
        <v>dávat (v-w374f85_ZU)</v>
      </c>
    </row>
    <row r="7334" spans="1:2" x14ac:dyDescent="0.2">
      <c r="B7334" t="s">
        <v>1</v>
      </c>
    </row>
    <row r="7335" spans="1:2" x14ac:dyDescent="0.2">
      <c r="B7335" t="s">
        <v>1921</v>
      </c>
    </row>
    <row r="7336" spans="1:2" x14ac:dyDescent="0.2">
      <c r="B7336" t="s">
        <v>35</v>
      </c>
    </row>
    <row r="7337" spans="1:2" x14ac:dyDescent="0.2">
      <c r="B7337" t="s">
        <v>2489</v>
      </c>
    </row>
    <row r="7339" spans="1:2" x14ac:dyDescent="0.2">
      <c r="A7339" t="s">
        <v>2726</v>
      </c>
      <c r="B7339" t="str">
        <f>HYPERLINK("https://lindat.mff.cuni.cz/services/teitok/pdtc10/index.php?action=vallex&amp;frame=v-w374f10", "dávat (v-w374f10) - substituted with v-w374f85_ZU")</f>
        <v>dávat (v-w374f10) - substituted with v-w374f85_ZU</v>
      </c>
    </row>
    <row r="7340" spans="1:2" x14ac:dyDescent="0.2">
      <c r="B7340" t="s">
        <v>1</v>
      </c>
    </row>
    <row r="7341" spans="1:2" x14ac:dyDescent="0.2">
      <c r="B7341" t="s">
        <v>1921</v>
      </c>
    </row>
    <row r="7342" spans="1:2" x14ac:dyDescent="0.2">
      <c r="B7342" t="s">
        <v>35</v>
      </c>
    </row>
    <row r="7343" spans="1:2" x14ac:dyDescent="0.2">
      <c r="B7343" t="s">
        <v>2489</v>
      </c>
    </row>
    <row r="7345" spans="1:4" x14ac:dyDescent="0.2">
      <c r="A7345" t="s">
        <v>2727</v>
      </c>
      <c r="B7345" t="str">
        <f>HYPERLINK("https://lindat.mff.cuni.cz/services/teitok/pdtc10/index.php?action=vallex&amp;frame=v-w374f29", "dávat (v-w374f29)")</f>
        <v>dávat (v-w374f29)</v>
      </c>
    </row>
    <row r="7346" spans="1:4" x14ac:dyDescent="0.2">
      <c r="B7346" t="s">
        <v>1</v>
      </c>
      <c r="D7346" t="s">
        <v>23262</v>
      </c>
    </row>
    <row r="7347" spans="1:4" x14ac:dyDescent="0.2">
      <c r="B7347" t="s">
        <v>8</v>
      </c>
      <c r="D7347" t="s">
        <v>23276</v>
      </c>
    </row>
    <row r="7348" spans="1:4" x14ac:dyDescent="0.2">
      <c r="B7348" t="s">
        <v>78</v>
      </c>
      <c r="D7348" t="s">
        <v>23251</v>
      </c>
    </row>
    <row r="7349" spans="1:4" x14ac:dyDescent="0.2">
      <c r="B7349" t="s">
        <v>413</v>
      </c>
    </row>
    <row r="7351" spans="1:4" x14ac:dyDescent="0.2">
      <c r="A7351" t="s">
        <v>2728</v>
      </c>
      <c r="B7351" t="str">
        <f>HYPERLINK("https://lindat.mff.cuni.cz/services/teitok/pdtc10/index.php?action=vallex&amp;frame=v-w374f4", "dávat (v-w374f4)")</f>
        <v>dávat (v-w374f4)</v>
      </c>
    </row>
    <row r="7352" spans="1:4" x14ac:dyDescent="0.2">
      <c r="B7352" t="s">
        <v>1</v>
      </c>
      <c r="C7352" t="s">
        <v>2729</v>
      </c>
      <c r="D7352" t="s">
        <v>23282</v>
      </c>
    </row>
    <row r="7353" spans="1:4" x14ac:dyDescent="0.2">
      <c r="B7353" t="s">
        <v>8</v>
      </c>
      <c r="C7353" t="s">
        <v>2730</v>
      </c>
      <c r="D7353" t="s">
        <v>23283</v>
      </c>
    </row>
    <row r="7354" spans="1:4" x14ac:dyDescent="0.2">
      <c r="B7354" t="s">
        <v>35</v>
      </c>
      <c r="C7354" t="s">
        <v>2731</v>
      </c>
      <c r="D7354" t="s">
        <v>23284</v>
      </c>
    </row>
    <row r="7356" spans="1:4" x14ac:dyDescent="0.2">
      <c r="A7356" t="s">
        <v>2732</v>
      </c>
      <c r="B7356" t="str">
        <f>HYPERLINK("https://lindat.mff.cuni.cz/services/teitok/pdtc10/index.php?action=vallex&amp;frame=v-w374f7", "dávat (v-w374f7)")</f>
        <v>dávat (v-w374f7)</v>
      </c>
    </row>
    <row r="7357" spans="1:4" x14ac:dyDescent="0.2">
      <c r="B7357" t="s">
        <v>1</v>
      </c>
      <c r="C7357" t="s">
        <v>2733</v>
      </c>
      <c r="D7357" t="s">
        <v>23273</v>
      </c>
    </row>
    <row r="7358" spans="1:4" x14ac:dyDescent="0.2">
      <c r="B7358" t="s">
        <v>8</v>
      </c>
      <c r="C7358" t="s">
        <v>2734</v>
      </c>
      <c r="D7358" t="s">
        <v>23285</v>
      </c>
    </row>
    <row r="7359" spans="1:4" x14ac:dyDescent="0.2">
      <c r="B7359" t="s">
        <v>35</v>
      </c>
      <c r="C7359" t="s">
        <v>2735</v>
      </c>
      <c r="D7359" t="s">
        <v>23258</v>
      </c>
    </row>
    <row r="7361" spans="1:3" x14ac:dyDescent="0.2">
      <c r="A7361" t="s">
        <v>2736</v>
      </c>
      <c r="B7361" t="str">
        <f>HYPERLINK("https://lindat.mff.cuni.cz/services/teitok/pdtc10/index.php?action=vallex&amp;frame=v-w374f17", "dávat (v-w374f17)")</f>
        <v>dávat (v-w374f17)</v>
      </c>
    </row>
    <row r="7362" spans="1:3" x14ac:dyDescent="0.2">
      <c r="B7362" t="s">
        <v>1</v>
      </c>
    </row>
    <row r="7363" spans="1:3" x14ac:dyDescent="0.2">
      <c r="B7363" t="s">
        <v>8</v>
      </c>
    </row>
    <row r="7364" spans="1:3" x14ac:dyDescent="0.2">
      <c r="B7364" t="s">
        <v>35</v>
      </c>
    </row>
    <row r="7366" spans="1:3" x14ac:dyDescent="0.2">
      <c r="A7366" t="s">
        <v>2737</v>
      </c>
      <c r="B7366" t="str">
        <f>HYPERLINK("https://lindat.mff.cuni.cz/services/teitok/pdtc10/index.php?action=vallex&amp;frame=v-w374f38", "dávat (v-w374f38)")</f>
        <v>dávat (v-w374f38)</v>
      </c>
    </row>
    <row r="7367" spans="1:3" x14ac:dyDescent="0.2">
      <c r="B7367" t="s">
        <v>1</v>
      </c>
    </row>
    <row r="7368" spans="1:3" x14ac:dyDescent="0.2">
      <c r="B7368" t="s">
        <v>8</v>
      </c>
    </row>
    <row r="7369" spans="1:3" x14ac:dyDescent="0.2">
      <c r="B7369" t="s">
        <v>35</v>
      </c>
    </row>
    <row r="7371" spans="1:3" x14ac:dyDescent="0.2">
      <c r="A7371" t="s">
        <v>2738</v>
      </c>
      <c r="B7371" t="str">
        <f>HYPERLINK("https://lindat.mff.cuni.cz/services/teitok/pdtc10/index.php?action=vallex&amp;frame=v-w374f18", "dávat (v-w374f18)")</f>
        <v>dávat (v-w374f18)</v>
      </c>
    </row>
    <row r="7372" spans="1:3" x14ac:dyDescent="0.2">
      <c r="B7372" t="s">
        <v>1</v>
      </c>
      <c r="C7372" t="s">
        <v>2239</v>
      </c>
    </row>
    <row r="7373" spans="1:3" x14ac:dyDescent="0.2">
      <c r="B7373" t="s">
        <v>557</v>
      </c>
      <c r="C7373" t="s">
        <v>335</v>
      </c>
    </row>
    <row r="7374" spans="1:3" x14ac:dyDescent="0.2">
      <c r="B7374" t="s">
        <v>35</v>
      </c>
    </row>
    <row r="7376" spans="1:3" x14ac:dyDescent="0.2">
      <c r="A7376" t="s">
        <v>2739</v>
      </c>
      <c r="B7376" t="str">
        <f>HYPERLINK("https://lindat.mff.cuni.cz/services/teitok/pdtc10/index.php?action=vallex&amp;frame=v-w374f3", "dávat (v-w374f3)")</f>
        <v>dávat (v-w374f3)</v>
      </c>
    </row>
    <row r="7377" spans="1:4" x14ac:dyDescent="0.2">
      <c r="B7377" t="s">
        <v>1</v>
      </c>
      <c r="C7377" t="s">
        <v>2521</v>
      </c>
      <c r="D7377" t="s">
        <v>23262</v>
      </c>
    </row>
    <row r="7378" spans="1:4" x14ac:dyDescent="0.2">
      <c r="B7378" t="s">
        <v>8</v>
      </c>
      <c r="C7378" t="s">
        <v>2740</v>
      </c>
      <c r="D7378" t="s">
        <v>23276</v>
      </c>
    </row>
    <row r="7379" spans="1:4" x14ac:dyDescent="0.2">
      <c r="B7379" t="s">
        <v>78</v>
      </c>
      <c r="C7379" t="s">
        <v>2563</v>
      </c>
      <c r="D7379" t="s">
        <v>23251</v>
      </c>
    </row>
    <row r="7381" spans="1:4" x14ac:dyDescent="0.2">
      <c r="A7381" t="s">
        <v>2741</v>
      </c>
      <c r="B7381" t="str">
        <f>HYPERLINK("https://lindat.mff.cuni.cz/services/teitok/pdtc10/index.php?action=vallex&amp;frame=v-w374f9", "dávat (v-w374f9)")</f>
        <v>dávat (v-w374f9)</v>
      </c>
    </row>
    <row r="7382" spans="1:4" x14ac:dyDescent="0.2">
      <c r="B7382" t="s">
        <v>1</v>
      </c>
      <c r="C7382" t="s">
        <v>2742</v>
      </c>
      <c r="D7382" t="s">
        <v>7279</v>
      </c>
    </row>
    <row r="7383" spans="1:4" x14ac:dyDescent="0.2">
      <c r="B7383" t="s">
        <v>8</v>
      </c>
      <c r="C7383" t="s">
        <v>2743</v>
      </c>
      <c r="D7383" t="s">
        <v>23286</v>
      </c>
    </row>
    <row r="7384" spans="1:4" x14ac:dyDescent="0.2">
      <c r="B7384" t="s">
        <v>78</v>
      </c>
      <c r="C7384" t="s">
        <v>2488</v>
      </c>
      <c r="D7384" t="s">
        <v>23287</v>
      </c>
    </row>
    <row r="7386" spans="1:4" x14ac:dyDescent="0.2">
      <c r="A7386" t="s">
        <v>2744</v>
      </c>
      <c r="B7386" t="str">
        <f>HYPERLINK("https://lindat.mff.cuni.cz/services/teitok/pdtc10/index.php?action=vallex&amp;frame=v-w374f28", "dávat (v-w374f28)")</f>
        <v>dávat (v-w374f28)</v>
      </c>
    </row>
    <row r="7387" spans="1:4" x14ac:dyDescent="0.2">
      <c r="B7387" t="s">
        <v>1</v>
      </c>
    </row>
    <row r="7388" spans="1:4" x14ac:dyDescent="0.2">
      <c r="B7388" t="s">
        <v>8</v>
      </c>
    </row>
    <row r="7389" spans="1:4" x14ac:dyDescent="0.2">
      <c r="B7389" t="s">
        <v>1084</v>
      </c>
    </row>
    <row r="7391" spans="1:4" x14ac:dyDescent="0.2">
      <c r="A7391" t="s">
        <v>2745</v>
      </c>
      <c r="B7391" t="str">
        <f>HYPERLINK("https://lindat.mff.cuni.cz/services/teitok/pdtc10/index.php?action=vallex&amp;frame=v-w374f37", "dávat (v-w374f37)")</f>
        <v>dávat (v-w374f37)</v>
      </c>
    </row>
    <row r="7392" spans="1:4" x14ac:dyDescent="0.2">
      <c r="B7392" t="s">
        <v>1</v>
      </c>
    </row>
    <row r="7393" spans="1:4" x14ac:dyDescent="0.2">
      <c r="B7393" t="s">
        <v>8</v>
      </c>
    </row>
    <row r="7394" spans="1:4" x14ac:dyDescent="0.2">
      <c r="B7394" t="s">
        <v>5</v>
      </c>
    </row>
    <row r="7396" spans="1:4" x14ac:dyDescent="0.2">
      <c r="A7396" t="s">
        <v>2746</v>
      </c>
      <c r="B7396" t="str">
        <f>HYPERLINK("https://lindat.mff.cuni.cz/services/teitok/pdtc10/index.php?action=vallex&amp;frame=v-w374f84_ZU", "dávat (v-w374f84_ZU)")</f>
        <v>dávat (v-w374f84_ZU)</v>
      </c>
    </row>
    <row r="7397" spans="1:4" x14ac:dyDescent="0.2">
      <c r="B7397" t="s">
        <v>1</v>
      </c>
    </row>
    <row r="7398" spans="1:4" x14ac:dyDescent="0.2">
      <c r="B7398" t="s">
        <v>8</v>
      </c>
    </row>
    <row r="7399" spans="1:4" x14ac:dyDescent="0.2">
      <c r="B7399" t="s">
        <v>205</v>
      </c>
    </row>
    <row r="7401" spans="1:4" x14ac:dyDescent="0.2">
      <c r="A7401" t="s">
        <v>2746</v>
      </c>
      <c r="B7401" t="str">
        <f>HYPERLINK("https://lindat.mff.cuni.cz/services/teitok/pdtc10/index.php?action=vallex&amp;frame=v-w374f8", "dávat (v-w374f8) - substituted with v-w374f84_ZU")</f>
        <v>dávat (v-w374f8) - substituted with v-w374f84_ZU</v>
      </c>
    </row>
    <row r="7402" spans="1:4" x14ac:dyDescent="0.2">
      <c r="B7402" t="s">
        <v>1</v>
      </c>
      <c r="C7402" t="s">
        <v>2555</v>
      </c>
      <c r="D7402" t="s">
        <v>13976</v>
      </c>
    </row>
    <row r="7403" spans="1:4" x14ac:dyDescent="0.2">
      <c r="B7403" t="s">
        <v>8</v>
      </c>
      <c r="C7403" t="s">
        <v>2747</v>
      </c>
      <c r="D7403" t="s">
        <v>10414</v>
      </c>
    </row>
    <row r="7404" spans="1:4" x14ac:dyDescent="0.2">
      <c r="B7404" t="s">
        <v>205</v>
      </c>
      <c r="D7404" t="s">
        <v>23197</v>
      </c>
    </row>
    <row r="7406" spans="1:4" x14ac:dyDescent="0.2">
      <c r="A7406" t="s">
        <v>2748</v>
      </c>
      <c r="B7406" t="str">
        <f>HYPERLINK("https://lindat.mff.cuni.cz/services/teitok/pdtc10/index.php?action=vallex&amp;frame=v-w374f5", "dávat (v-w374f5)")</f>
        <v>dávat (v-w374f5)</v>
      </c>
    </row>
    <row r="7407" spans="1:4" x14ac:dyDescent="0.2">
      <c r="B7407" t="s">
        <v>1</v>
      </c>
      <c r="C7407" t="s">
        <v>2749</v>
      </c>
      <c r="D7407" t="s">
        <v>23181</v>
      </c>
    </row>
    <row r="7408" spans="1:4" x14ac:dyDescent="0.2">
      <c r="B7408" t="s">
        <v>8</v>
      </c>
      <c r="C7408" t="s">
        <v>2750</v>
      </c>
      <c r="D7408" t="s">
        <v>23182</v>
      </c>
    </row>
    <row r="7409" spans="1:4" x14ac:dyDescent="0.2">
      <c r="B7409" t="s">
        <v>90</v>
      </c>
      <c r="D7409" t="s">
        <v>11579</v>
      </c>
    </row>
    <row r="7411" spans="1:4" x14ac:dyDescent="0.2">
      <c r="A7411" t="s">
        <v>2751</v>
      </c>
      <c r="B7411" t="str">
        <f>HYPERLINK("https://lindat.mff.cuni.cz/services/teitok/pdtc10/index.php?action=vallex&amp;frame=v-w374f34", "dávat (v-w374f34)")</f>
        <v>dávat (v-w374f34)</v>
      </c>
    </row>
    <row r="7412" spans="1:4" x14ac:dyDescent="0.2">
      <c r="B7412" t="s">
        <v>1</v>
      </c>
      <c r="C7412" t="s">
        <v>2752</v>
      </c>
      <c r="D7412" t="s">
        <v>23181</v>
      </c>
    </row>
    <row r="7413" spans="1:4" x14ac:dyDescent="0.2">
      <c r="B7413" t="s">
        <v>8</v>
      </c>
      <c r="C7413" t="s">
        <v>2753</v>
      </c>
      <c r="D7413" t="s">
        <v>23182</v>
      </c>
    </row>
    <row r="7414" spans="1:4" x14ac:dyDescent="0.2">
      <c r="B7414" t="s">
        <v>90</v>
      </c>
      <c r="C7414" t="s">
        <v>2519</v>
      </c>
      <c r="D7414" t="s">
        <v>11579</v>
      </c>
    </row>
    <row r="7416" spans="1:4" x14ac:dyDescent="0.2">
      <c r="A7416" t="s">
        <v>2754</v>
      </c>
      <c r="B7416" t="str">
        <f>HYPERLINK("https://lindat.mff.cuni.cz/services/teitok/pdtc10/index.php?action=vallex&amp;frame=v-w374f27", "dávat (v-w374f27)")</f>
        <v>dávat (v-w374f27)</v>
      </c>
    </row>
    <row r="7417" spans="1:4" x14ac:dyDescent="0.2">
      <c r="B7417" t="s">
        <v>1</v>
      </c>
      <c r="C7417" t="s">
        <v>83</v>
      </c>
      <c r="D7417" t="s">
        <v>23261</v>
      </c>
    </row>
    <row r="7418" spans="1:4" x14ac:dyDescent="0.2">
      <c r="B7418" t="s">
        <v>41</v>
      </c>
      <c r="C7418" t="s">
        <v>2755</v>
      </c>
      <c r="D7418" t="s">
        <v>9548</v>
      </c>
    </row>
    <row r="7420" spans="1:4" x14ac:dyDescent="0.2">
      <c r="A7420" t="s">
        <v>2756</v>
      </c>
      <c r="B7420" t="str">
        <f>HYPERLINK("https://lindat.mff.cuni.cz/services/teitok/pdtc10/index.php?action=vallex&amp;frame=v-w374f30", "dávat (v-w374f30)")</f>
        <v>dávat (v-w374f30)</v>
      </c>
    </row>
    <row r="7421" spans="1:4" x14ac:dyDescent="0.2">
      <c r="B7421" t="s">
        <v>1</v>
      </c>
    </row>
    <row r="7422" spans="1:4" x14ac:dyDescent="0.2">
      <c r="B7422" t="s">
        <v>8</v>
      </c>
    </row>
    <row r="7424" spans="1:4" x14ac:dyDescent="0.2">
      <c r="A7424" t="s">
        <v>2757</v>
      </c>
      <c r="B7424" t="str">
        <f>HYPERLINK("https://lindat.mff.cuni.cz/services/teitok/pdtc10/index.php?action=vallex&amp;frame=v-w374f12", "dávat (v-w374f12)")</f>
        <v>dávat (v-w374f12)</v>
      </c>
    </row>
    <row r="7425" spans="1:4" x14ac:dyDescent="0.2">
      <c r="B7425" t="s">
        <v>1</v>
      </c>
      <c r="D7425" t="s">
        <v>154</v>
      </c>
    </row>
    <row r="7426" spans="1:4" x14ac:dyDescent="0.2">
      <c r="B7426" t="s">
        <v>557</v>
      </c>
      <c r="D7426" t="s">
        <v>5868</v>
      </c>
    </row>
    <row r="7428" spans="1:4" x14ac:dyDescent="0.2">
      <c r="A7428" t="s">
        <v>2758</v>
      </c>
      <c r="B7428" t="str">
        <f>HYPERLINK("https://lindat.mff.cuni.cz/services/teitok/pdtc10/index.php?action=vallex&amp;frame=v-w374f31", "dávat (v-w374f31)")</f>
        <v>dávat (v-w374f31)</v>
      </c>
    </row>
    <row r="7429" spans="1:4" x14ac:dyDescent="0.2">
      <c r="B7429" t="s">
        <v>1</v>
      </c>
    </row>
    <row r="7430" spans="1:4" x14ac:dyDescent="0.2">
      <c r="B7430" t="s">
        <v>28</v>
      </c>
    </row>
    <row r="7432" spans="1:4" x14ac:dyDescent="0.2">
      <c r="A7432" t="s">
        <v>2759</v>
      </c>
      <c r="B7432" t="str">
        <f>HYPERLINK("https://lindat.mff.cuni.cz/services/teitok/pdtc10/index.php?action=vallex&amp;frame=v-w374f36", "dávat (v-w374f36)")</f>
        <v>dávat (v-w374f36)</v>
      </c>
    </row>
    <row r="7433" spans="1:4" x14ac:dyDescent="0.2">
      <c r="B7433" t="s">
        <v>1</v>
      </c>
      <c r="C7433" t="s">
        <v>2486</v>
      </c>
    </row>
    <row r="7434" spans="1:4" x14ac:dyDescent="0.2">
      <c r="B7434" t="s">
        <v>524</v>
      </c>
      <c r="C7434" t="s">
        <v>2536</v>
      </c>
    </row>
    <row r="7435" spans="1:4" x14ac:dyDescent="0.2">
      <c r="B7435" t="s">
        <v>1382</v>
      </c>
    </row>
    <row r="7436" spans="1:4" x14ac:dyDescent="0.2">
      <c r="B7436" t="s">
        <v>78</v>
      </c>
      <c r="C7436" t="s">
        <v>2488</v>
      </c>
    </row>
    <row r="7438" spans="1:4" x14ac:dyDescent="0.2">
      <c r="A7438" t="s">
        <v>2760</v>
      </c>
      <c r="B7438" t="str">
        <f>HYPERLINK("https://lindat.mff.cuni.cz/services/teitok/pdtc10/index.php?action=vallex&amp;frame=v-w374f75_ZU", "dávat (v-w374f75_ZU)")</f>
        <v>dávat (v-w374f75_ZU)</v>
      </c>
    </row>
    <row r="7439" spans="1:4" x14ac:dyDescent="0.2">
      <c r="B7439" t="s">
        <v>1</v>
      </c>
    </row>
    <row r="7440" spans="1:4" x14ac:dyDescent="0.2">
      <c r="B7440" t="s">
        <v>2761</v>
      </c>
    </row>
    <row r="7441" spans="1:2" x14ac:dyDescent="0.2">
      <c r="B7441" t="s">
        <v>35</v>
      </c>
    </row>
    <row r="7443" spans="1:2" x14ac:dyDescent="0.2">
      <c r="A7443" t="s">
        <v>2760</v>
      </c>
      <c r="B7443" t="str">
        <f>HYPERLINK("https://lindat.mff.cuni.cz/services/teitok/pdtc10/index.php?action=vallex&amp;frame=v-w374f15", "dávat (v-w374f15) - substituted with v-w374f75_ZU")</f>
        <v>dávat (v-w374f15) - substituted with v-w374f75_ZU</v>
      </c>
    </row>
    <row r="7444" spans="1:2" x14ac:dyDescent="0.2">
      <c r="B7444" t="s">
        <v>1</v>
      </c>
    </row>
    <row r="7445" spans="1:2" x14ac:dyDescent="0.2">
      <c r="B7445" t="s">
        <v>2761</v>
      </c>
    </row>
    <row r="7446" spans="1:2" x14ac:dyDescent="0.2">
      <c r="B7446" t="s">
        <v>35</v>
      </c>
    </row>
    <row r="7448" spans="1:2" x14ac:dyDescent="0.2">
      <c r="A7448" t="s">
        <v>2760</v>
      </c>
      <c r="B7448" t="str">
        <f>HYPERLINK("https://lindat.mff.cuni.cz/services/teitok/pdtc10/index.php?action=vallex&amp;frame=v-w374f62_ZU", "dávat (v-w374f62_ZU) - substituted with v-w374f75_ZU")</f>
        <v>dávat (v-w374f62_ZU) - substituted with v-w374f75_ZU</v>
      </c>
    </row>
    <row r="7449" spans="1:2" x14ac:dyDescent="0.2">
      <c r="B7449" t="s">
        <v>1</v>
      </c>
    </row>
    <row r="7450" spans="1:2" x14ac:dyDescent="0.2">
      <c r="B7450" t="s">
        <v>2761</v>
      </c>
    </row>
    <row r="7451" spans="1:2" x14ac:dyDescent="0.2">
      <c r="B7451" t="s">
        <v>35</v>
      </c>
    </row>
    <row r="7453" spans="1:2" x14ac:dyDescent="0.2">
      <c r="A7453" t="s">
        <v>2762</v>
      </c>
      <c r="B7453" t="str">
        <f>HYPERLINK("https://lindat.mff.cuni.cz/services/teitok/pdtc10/index.php?action=vallex&amp;frame=v-w374f82_ZU", "dávat (v-w374f82_ZU)")</f>
        <v>dávat (v-w374f82_ZU)</v>
      </c>
    </row>
    <row r="7454" spans="1:2" x14ac:dyDescent="0.2">
      <c r="B7454" t="s">
        <v>1</v>
      </c>
    </row>
    <row r="7455" spans="1:2" x14ac:dyDescent="0.2">
      <c r="B7455" t="s">
        <v>2763</v>
      </c>
    </row>
    <row r="7456" spans="1:2" x14ac:dyDescent="0.2">
      <c r="B7456" t="s">
        <v>35</v>
      </c>
    </row>
    <row r="7458" spans="1:4" x14ac:dyDescent="0.2">
      <c r="A7458" t="s">
        <v>2762</v>
      </c>
      <c r="B7458" t="str">
        <f>HYPERLINK("https://lindat.mff.cuni.cz/services/teitok/pdtc10/index.php?action=vallex&amp;frame=v-w374f35", "dávat (v-w374f35) - substituted with v-w374f82_ZU")</f>
        <v>dávat (v-w374f35) - substituted with v-w374f82_ZU</v>
      </c>
    </row>
    <row r="7459" spans="1:4" x14ac:dyDescent="0.2">
      <c r="B7459" t="s">
        <v>1</v>
      </c>
    </row>
    <row r="7460" spans="1:4" x14ac:dyDescent="0.2">
      <c r="B7460" t="s">
        <v>2763</v>
      </c>
    </row>
    <row r="7461" spans="1:4" x14ac:dyDescent="0.2">
      <c r="B7461" t="s">
        <v>35</v>
      </c>
    </row>
    <row r="7463" spans="1:4" x14ac:dyDescent="0.2">
      <c r="A7463" t="s">
        <v>2762</v>
      </c>
      <c r="B7463" t="str">
        <f>HYPERLINK("https://lindat.mff.cuni.cz/services/teitok/pdtc10/index.php?action=vallex&amp;frame=v-w374f67_ZU", "dávat (v-w374f67_ZU) - substituted with v-w374f82_ZU")</f>
        <v>dávat (v-w374f67_ZU) - substituted with v-w374f82_ZU</v>
      </c>
    </row>
    <row r="7464" spans="1:4" x14ac:dyDescent="0.2">
      <c r="B7464" t="s">
        <v>1</v>
      </c>
      <c r="C7464" t="s">
        <v>33</v>
      </c>
    </row>
    <row r="7465" spans="1:4" x14ac:dyDescent="0.2">
      <c r="B7465" t="s">
        <v>2763</v>
      </c>
      <c r="C7465" t="s">
        <v>2764</v>
      </c>
    </row>
    <row r="7466" spans="1:4" x14ac:dyDescent="0.2">
      <c r="B7466" t="s">
        <v>35</v>
      </c>
    </row>
    <row r="7468" spans="1:4" x14ac:dyDescent="0.2">
      <c r="A7468" t="s">
        <v>2762</v>
      </c>
      <c r="B7468" t="str">
        <f>HYPERLINK("https://lindat.mff.cuni.cz/services/teitok/pdtc10/index.php?action=vallex&amp;frame=v-w374f69_ZU", "dávat (v-w374f69_ZU) - substituted with v-w374f82_ZU")</f>
        <v>dávat (v-w374f69_ZU) - substituted with v-w374f82_ZU</v>
      </c>
    </row>
    <row r="7469" spans="1:4" x14ac:dyDescent="0.2">
      <c r="B7469" t="s">
        <v>1</v>
      </c>
      <c r="D7469" t="s">
        <v>23288</v>
      </c>
    </row>
    <row r="7470" spans="1:4" x14ac:dyDescent="0.2">
      <c r="B7470" t="s">
        <v>2763</v>
      </c>
      <c r="D7470" t="s">
        <v>23289</v>
      </c>
    </row>
    <row r="7471" spans="1:4" x14ac:dyDescent="0.2">
      <c r="B7471" t="s">
        <v>35</v>
      </c>
      <c r="D7471" t="s">
        <v>23290</v>
      </c>
    </row>
    <row r="7473" spans="1:4" x14ac:dyDescent="0.2">
      <c r="A7473" t="s">
        <v>2765</v>
      </c>
      <c r="B7473" t="str">
        <f>HYPERLINK("https://lindat.mff.cuni.cz/services/teitok/pdtc10/index.php?action=vallex&amp;frame=v-w374hsa_21", "dávat (v-w374hsa_21)")</f>
        <v>dávat (v-w374hsa_21)</v>
      </c>
    </row>
    <row r="7474" spans="1:4" x14ac:dyDescent="0.2">
      <c r="B7474" t="s">
        <v>1</v>
      </c>
    </row>
    <row r="7475" spans="1:4" x14ac:dyDescent="0.2">
      <c r="B7475" t="s">
        <v>2766</v>
      </c>
    </row>
    <row r="7476" spans="1:4" x14ac:dyDescent="0.2">
      <c r="B7476" t="s">
        <v>35</v>
      </c>
    </row>
    <row r="7478" spans="1:4" x14ac:dyDescent="0.2">
      <c r="A7478" t="s">
        <v>2765</v>
      </c>
      <c r="B7478" t="str">
        <f>HYPERLINK("https://lindat.mff.cuni.cz/services/teitok/pdtc10/index.php?action=vallex&amp;frame=v-w374f23", "dávat (v-w374f23) - substituted with v-w374hsa_21")</f>
        <v>dávat (v-w374f23) - substituted with v-w374hsa_21</v>
      </c>
    </row>
    <row r="7479" spans="1:4" x14ac:dyDescent="0.2">
      <c r="B7479" t="s">
        <v>1</v>
      </c>
    </row>
    <row r="7480" spans="1:4" x14ac:dyDescent="0.2">
      <c r="B7480" t="s">
        <v>2766</v>
      </c>
    </row>
    <row r="7481" spans="1:4" x14ac:dyDescent="0.2">
      <c r="B7481" t="s">
        <v>35</v>
      </c>
    </row>
    <row r="7483" spans="1:4" x14ac:dyDescent="0.2">
      <c r="A7483" t="s">
        <v>2767</v>
      </c>
      <c r="B7483" t="str">
        <f>HYPERLINK("https://lindat.mff.cuni.cz/services/teitok/pdtc10/index.php?action=vallex&amp;frame=v-w374f65_ZU", "dávat (v-w374f65_ZU)")</f>
        <v>dávat (v-w374f65_ZU)</v>
      </c>
    </row>
    <row r="7484" spans="1:4" x14ac:dyDescent="0.2">
      <c r="B7484" t="s">
        <v>1</v>
      </c>
      <c r="C7484" t="s">
        <v>2486</v>
      </c>
      <c r="D7484" t="s">
        <v>23291</v>
      </c>
    </row>
    <row r="7485" spans="1:4" x14ac:dyDescent="0.2">
      <c r="B7485" t="s">
        <v>2768</v>
      </c>
      <c r="C7485" t="s">
        <v>2539</v>
      </c>
    </row>
    <row r="7486" spans="1:4" x14ac:dyDescent="0.2">
      <c r="B7486" t="s">
        <v>35</v>
      </c>
      <c r="C7486" t="s">
        <v>2488</v>
      </c>
      <c r="D7486" t="s">
        <v>23292</v>
      </c>
    </row>
    <row r="7488" spans="1:4" x14ac:dyDescent="0.2">
      <c r="A7488" t="s">
        <v>2767</v>
      </c>
      <c r="B7488" t="str">
        <f>HYPERLINK("https://lindat.mff.cuni.cz/services/teitok/pdtc10/index.php?action=vallex&amp;frame=v-w374f2", "dávat (v-w374f2) - substituted with v-w374f65_ZU")</f>
        <v>dávat (v-w374f2) - substituted with v-w374f65_ZU</v>
      </c>
    </row>
    <row r="7489" spans="1:3" x14ac:dyDescent="0.2">
      <c r="B7489" t="s">
        <v>1</v>
      </c>
      <c r="C7489" t="s">
        <v>2400</v>
      </c>
    </row>
    <row r="7490" spans="1:3" x14ac:dyDescent="0.2">
      <c r="B7490" t="s">
        <v>2768</v>
      </c>
    </row>
    <row r="7491" spans="1:3" x14ac:dyDescent="0.2">
      <c r="B7491" t="s">
        <v>35</v>
      </c>
      <c r="C7491" t="s">
        <v>2769</v>
      </c>
    </row>
    <row r="7493" spans="1:3" x14ac:dyDescent="0.2">
      <c r="A7493" t="s">
        <v>2770</v>
      </c>
      <c r="B7493" t="str">
        <f>HYPERLINK("https://lindat.mff.cuni.cz/services/teitok/pdtc10/index.php?action=vallex&amp;frame=v-w374f78_ZU", "dávat (v-w374f78_ZU)")</f>
        <v>dávat (v-w374f78_ZU)</v>
      </c>
    </row>
    <row r="7494" spans="1:3" x14ac:dyDescent="0.2">
      <c r="B7494" t="s">
        <v>1</v>
      </c>
    </row>
    <row r="7495" spans="1:3" x14ac:dyDescent="0.2">
      <c r="B7495" t="s">
        <v>2771</v>
      </c>
    </row>
    <row r="7496" spans="1:3" x14ac:dyDescent="0.2">
      <c r="B7496" t="s">
        <v>35</v>
      </c>
    </row>
    <row r="7498" spans="1:3" x14ac:dyDescent="0.2">
      <c r="A7498" t="s">
        <v>2770</v>
      </c>
      <c r="B7498" t="str">
        <f>HYPERLINK("https://lindat.mff.cuni.cz/services/teitok/pdtc10/index.php?action=vallex&amp;frame=v-w374f1", "dávat (v-w374f1) - substituted with v-w374f78_ZU")</f>
        <v>dávat (v-w374f1) - substituted with v-w374f78_ZU</v>
      </c>
    </row>
    <row r="7499" spans="1:3" x14ac:dyDescent="0.2">
      <c r="B7499" t="s">
        <v>1</v>
      </c>
      <c r="C7499" t="s">
        <v>2772</v>
      </c>
    </row>
    <row r="7500" spans="1:3" x14ac:dyDescent="0.2">
      <c r="B7500" t="s">
        <v>2771</v>
      </c>
      <c r="C7500" t="s">
        <v>2773</v>
      </c>
    </row>
    <row r="7501" spans="1:3" x14ac:dyDescent="0.2">
      <c r="B7501" t="s">
        <v>35</v>
      </c>
      <c r="C7501" t="s">
        <v>2563</v>
      </c>
    </row>
    <row r="7503" spans="1:3" x14ac:dyDescent="0.2">
      <c r="A7503" t="s">
        <v>2770</v>
      </c>
      <c r="B7503" t="str">
        <f>HYPERLINK("https://lindat.mff.cuni.cz/services/teitok/pdtc10/index.php?action=vallex&amp;frame=v-w374f40_ZU", "dávat (v-w374f40_ZU) - substituted with v-w374f78_ZU")</f>
        <v>dávat (v-w374f40_ZU) - substituted with v-w374f78_ZU</v>
      </c>
    </row>
    <row r="7504" spans="1:3" x14ac:dyDescent="0.2">
      <c r="B7504" t="s">
        <v>1</v>
      </c>
      <c r="C7504" t="s">
        <v>2486</v>
      </c>
    </row>
    <row r="7505" spans="1:3" x14ac:dyDescent="0.2">
      <c r="B7505" t="s">
        <v>2771</v>
      </c>
      <c r="C7505" t="s">
        <v>2539</v>
      </c>
    </row>
    <row r="7506" spans="1:3" x14ac:dyDescent="0.2">
      <c r="B7506" t="s">
        <v>35</v>
      </c>
      <c r="C7506" t="s">
        <v>2488</v>
      </c>
    </row>
    <row r="7508" spans="1:3" x14ac:dyDescent="0.2">
      <c r="A7508" t="s">
        <v>2770</v>
      </c>
      <c r="B7508" t="str">
        <f>HYPERLINK("https://lindat.mff.cuni.cz/services/teitok/pdtc10/index.php?action=vallex&amp;frame=v-w374f44_ZU", "dávat (v-w374f44_ZU) - substituted with v-w374f78_ZU")</f>
        <v>dávat (v-w374f44_ZU) - substituted with v-w374f78_ZU</v>
      </c>
    </row>
    <row r="7509" spans="1:3" x14ac:dyDescent="0.2">
      <c r="B7509" t="s">
        <v>1</v>
      </c>
    </row>
    <row r="7510" spans="1:3" x14ac:dyDescent="0.2">
      <c r="B7510" t="s">
        <v>2771</v>
      </c>
    </row>
    <row r="7511" spans="1:3" x14ac:dyDescent="0.2">
      <c r="B7511" t="s">
        <v>35</v>
      </c>
    </row>
    <row r="7513" spans="1:3" x14ac:dyDescent="0.2">
      <c r="A7513" t="s">
        <v>2770</v>
      </c>
      <c r="B7513" t="str">
        <f>HYPERLINK("https://lindat.mff.cuni.cz/services/teitok/pdtc10/index.php?action=vallex&amp;frame=v-w374f48_ZU", "dávat (v-w374f48_ZU) - substituted with v-w374f78_ZU")</f>
        <v>dávat (v-w374f48_ZU) - substituted with v-w374f78_ZU</v>
      </c>
    </row>
    <row r="7514" spans="1:3" x14ac:dyDescent="0.2">
      <c r="B7514" t="s">
        <v>1</v>
      </c>
    </row>
    <row r="7515" spans="1:3" x14ac:dyDescent="0.2">
      <c r="B7515" t="s">
        <v>2771</v>
      </c>
    </row>
    <row r="7516" spans="1:3" x14ac:dyDescent="0.2">
      <c r="B7516" t="s">
        <v>35</v>
      </c>
    </row>
    <row r="7518" spans="1:3" x14ac:dyDescent="0.2">
      <c r="A7518" t="s">
        <v>2770</v>
      </c>
      <c r="B7518" t="str">
        <f>HYPERLINK("https://lindat.mff.cuni.cz/services/teitok/pdtc10/index.php?action=vallex&amp;frame=v-w374f49_ZU", "dávat (v-w374f49_ZU) - substituted with v-w374f78_ZU")</f>
        <v>dávat (v-w374f49_ZU) - substituted with v-w374f78_ZU</v>
      </c>
    </row>
    <row r="7519" spans="1:3" x14ac:dyDescent="0.2">
      <c r="B7519" t="s">
        <v>1</v>
      </c>
      <c r="C7519" t="s">
        <v>2486</v>
      </c>
    </row>
    <row r="7520" spans="1:3" x14ac:dyDescent="0.2">
      <c r="B7520" t="s">
        <v>2771</v>
      </c>
      <c r="C7520" t="s">
        <v>2539</v>
      </c>
    </row>
    <row r="7521" spans="1:3" x14ac:dyDescent="0.2">
      <c r="B7521" t="s">
        <v>35</v>
      </c>
      <c r="C7521" t="s">
        <v>2488</v>
      </c>
    </row>
    <row r="7523" spans="1:3" x14ac:dyDescent="0.2">
      <c r="A7523" t="s">
        <v>2770</v>
      </c>
      <c r="B7523" t="str">
        <f>HYPERLINK("https://lindat.mff.cuni.cz/services/teitok/pdtc10/index.php?action=vallex&amp;frame=v-w374f52_ZU", "dávat (v-w374f52_ZU) - substituted with v-w374f78_ZU")</f>
        <v>dávat (v-w374f52_ZU) - substituted with v-w374f78_ZU</v>
      </c>
    </row>
    <row r="7524" spans="1:3" x14ac:dyDescent="0.2">
      <c r="B7524" t="s">
        <v>1</v>
      </c>
      <c r="C7524" t="s">
        <v>2774</v>
      </c>
    </row>
    <row r="7525" spans="1:3" x14ac:dyDescent="0.2">
      <c r="B7525" t="s">
        <v>2771</v>
      </c>
      <c r="C7525" t="s">
        <v>2775</v>
      </c>
    </row>
    <row r="7526" spans="1:3" x14ac:dyDescent="0.2">
      <c r="B7526" t="s">
        <v>35</v>
      </c>
      <c r="C7526" t="s">
        <v>2776</v>
      </c>
    </row>
    <row r="7528" spans="1:3" x14ac:dyDescent="0.2">
      <c r="A7528" t="s">
        <v>2770</v>
      </c>
      <c r="B7528" t="str">
        <f>HYPERLINK("https://lindat.mff.cuni.cz/services/teitok/pdtc10/index.php?action=vallex&amp;frame=v-w374f57_ZU", "dávat (v-w374f57_ZU) - substituted with v-w374f78_ZU")</f>
        <v>dávat (v-w374f57_ZU) - substituted with v-w374f78_ZU</v>
      </c>
    </row>
    <row r="7529" spans="1:3" x14ac:dyDescent="0.2">
      <c r="B7529" t="s">
        <v>1</v>
      </c>
    </row>
    <row r="7530" spans="1:3" x14ac:dyDescent="0.2">
      <c r="B7530" t="s">
        <v>2771</v>
      </c>
    </row>
    <row r="7531" spans="1:3" x14ac:dyDescent="0.2">
      <c r="B7531" t="s">
        <v>35</v>
      </c>
    </row>
    <row r="7533" spans="1:3" x14ac:dyDescent="0.2">
      <c r="A7533" t="s">
        <v>2770</v>
      </c>
      <c r="B7533" t="str">
        <f>HYPERLINK("https://lindat.mff.cuni.cz/services/teitok/pdtc10/index.php?action=vallex&amp;frame=v-w374f58_ZU", "dávat (v-w374f58_ZU) - substituted with v-w374f78_ZU")</f>
        <v>dávat (v-w374f58_ZU) - substituted with v-w374f78_ZU</v>
      </c>
    </row>
    <row r="7534" spans="1:3" x14ac:dyDescent="0.2">
      <c r="B7534" t="s">
        <v>1</v>
      </c>
    </row>
    <row r="7535" spans="1:3" x14ac:dyDescent="0.2">
      <c r="B7535" t="s">
        <v>2771</v>
      </c>
    </row>
    <row r="7536" spans="1:3" x14ac:dyDescent="0.2">
      <c r="B7536" t="s">
        <v>35</v>
      </c>
    </row>
    <row r="7538" spans="1:3" x14ac:dyDescent="0.2">
      <c r="A7538" t="s">
        <v>2770</v>
      </c>
      <c r="B7538" t="str">
        <f>HYPERLINK("https://lindat.mff.cuni.cz/services/teitok/pdtc10/index.php?action=vallex&amp;frame=v-w374f59_ZU", "dávat (v-w374f59_ZU) - substituted with v-w374f78_ZU")</f>
        <v>dávat (v-w374f59_ZU) - substituted with v-w374f78_ZU</v>
      </c>
    </row>
    <row r="7539" spans="1:3" x14ac:dyDescent="0.2">
      <c r="B7539" t="s">
        <v>1</v>
      </c>
      <c r="C7539" t="s">
        <v>2530</v>
      </c>
    </row>
    <row r="7540" spans="1:3" x14ac:dyDescent="0.2">
      <c r="B7540" t="s">
        <v>2771</v>
      </c>
      <c r="C7540" t="s">
        <v>2545</v>
      </c>
    </row>
    <row r="7541" spans="1:3" x14ac:dyDescent="0.2">
      <c r="B7541" t="s">
        <v>35</v>
      </c>
      <c r="C7541" t="s">
        <v>2546</v>
      </c>
    </row>
    <row r="7543" spans="1:3" x14ac:dyDescent="0.2">
      <c r="A7543" t="s">
        <v>2770</v>
      </c>
      <c r="B7543" t="str">
        <f>HYPERLINK("https://lindat.mff.cuni.cz/services/teitok/pdtc10/index.php?action=vallex&amp;frame=v-w374f60_ZU", "dávat (v-w374f60_ZU) - substituted with v-w374f78_ZU")</f>
        <v>dávat (v-w374f60_ZU) - substituted with v-w374f78_ZU</v>
      </c>
    </row>
    <row r="7544" spans="1:3" x14ac:dyDescent="0.2">
      <c r="B7544" t="s">
        <v>1</v>
      </c>
      <c r="C7544" t="s">
        <v>2530</v>
      </c>
    </row>
    <row r="7545" spans="1:3" x14ac:dyDescent="0.2">
      <c r="B7545" t="s">
        <v>2771</v>
      </c>
      <c r="C7545" t="s">
        <v>2545</v>
      </c>
    </row>
    <row r="7546" spans="1:3" x14ac:dyDescent="0.2">
      <c r="B7546" t="s">
        <v>35</v>
      </c>
      <c r="C7546" t="s">
        <v>2546</v>
      </c>
    </row>
    <row r="7548" spans="1:3" x14ac:dyDescent="0.2">
      <c r="A7548" t="s">
        <v>2770</v>
      </c>
      <c r="B7548" t="str">
        <f>HYPERLINK("https://lindat.mff.cuni.cz/services/teitok/pdtc10/index.php?action=vallex&amp;frame=v-w374f61_ZU", "dávat (v-w374f61_ZU) - substituted with v-w374f78_ZU")</f>
        <v>dávat (v-w374f61_ZU) - substituted with v-w374f78_ZU</v>
      </c>
    </row>
    <row r="7549" spans="1:3" x14ac:dyDescent="0.2">
      <c r="B7549" t="s">
        <v>1</v>
      </c>
      <c r="C7549" t="s">
        <v>2530</v>
      </c>
    </row>
    <row r="7550" spans="1:3" x14ac:dyDescent="0.2">
      <c r="B7550" t="s">
        <v>2771</v>
      </c>
      <c r="C7550" t="s">
        <v>2545</v>
      </c>
    </row>
    <row r="7551" spans="1:3" x14ac:dyDescent="0.2">
      <c r="B7551" t="s">
        <v>35</v>
      </c>
      <c r="C7551" t="s">
        <v>2546</v>
      </c>
    </row>
    <row r="7553" spans="1:4" x14ac:dyDescent="0.2">
      <c r="A7553" t="s">
        <v>2770</v>
      </c>
      <c r="B7553" t="str">
        <f>HYPERLINK("https://lindat.mff.cuni.cz/services/teitok/pdtc10/index.php?action=vallex&amp;frame=v-w374f66_ZU", "dávat (v-w374f66_ZU) - substituted with v-w374f78_ZU")</f>
        <v>dávat (v-w374f66_ZU) - substituted with v-w374f78_ZU</v>
      </c>
    </row>
    <row r="7554" spans="1:4" x14ac:dyDescent="0.2">
      <c r="B7554" t="s">
        <v>1</v>
      </c>
    </row>
    <row r="7555" spans="1:4" x14ac:dyDescent="0.2">
      <c r="B7555" t="s">
        <v>2771</v>
      </c>
    </row>
    <row r="7556" spans="1:4" x14ac:dyDescent="0.2">
      <c r="B7556" t="s">
        <v>35</v>
      </c>
    </row>
    <row r="7558" spans="1:4" x14ac:dyDescent="0.2">
      <c r="A7558" t="s">
        <v>2770</v>
      </c>
      <c r="B7558" t="str">
        <f>HYPERLINK("https://lindat.mff.cuni.cz/services/teitok/pdtc10/index.php?action=vallex&amp;frame=v-w374f68_ZU", "dávat (v-w374f68_ZU) - substituted with v-w374f78_ZU")</f>
        <v>dávat (v-w374f68_ZU) - substituted with v-w374f78_ZU</v>
      </c>
    </row>
    <row r="7559" spans="1:4" x14ac:dyDescent="0.2">
      <c r="B7559" t="s">
        <v>1</v>
      </c>
      <c r="C7559" t="s">
        <v>2521</v>
      </c>
      <c r="D7559" t="s">
        <v>23293</v>
      </c>
    </row>
    <row r="7560" spans="1:4" x14ac:dyDescent="0.2">
      <c r="B7560" t="s">
        <v>2771</v>
      </c>
      <c r="C7560" t="s">
        <v>2565</v>
      </c>
      <c r="D7560" t="s">
        <v>23294</v>
      </c>
    </row>
    <row r="7561" spans="1:4" x14ac:dyDescent="0.2">
      <c r="B7561" t="s">
        <v>35</v>
      </c>
      <c r="C7561" t="s">
        <v>2563</v>
      </c>
      <c r="D7561" t="s">
        <v>23295</v>
      </c>
    </row>
    <row r="7563" spans="1:4" x14ac:dyDescent="0.2">
      <c r="A7563" t="s">
        <v>2770</v>
      </c>
      <c r="B7563" t="str">
        <f>HYPERLINK("https://lindat.mff.cuni.cz/services/teitok/pdtc10/index.php?action=vallex&amp;frame=v-w374f71_ZU", "dávat (v-w374f71_ZU) - substituted with v-w374f78_ZU")</f>
        <v>dávat (v-w374f71_ZU) - substituted with v-w374f78_ZU</v>
      </c>
    </row>
    <row r="7564" spans="1:4" x14ac:dyDescent="0.2">
      <c r="B7564" t="s">
        <v>1</v>
      </c>
    </row>
    <row r="7565" spans="1:4" x14ac:dyDescent="0.2">
      <c r="B7565" t="s">
        <v>2771</v>
      </c>
    </row>
    <row r="7566" spans="1:4" x14ac:dyDescent="0.2">
      <c r="B7566" t="s">
        <v>35</v>
      </c>
    </row>
    <row r="7568" spans="1:4" x14ac:dyDescent="0.2">
      <c r="A7568" t="s">
        <v>2770</v>
      </c>
      <c r="B7568" t="str">
        <f>HYPERLINK("https://lindat.mff.cuni.cz/services/teitok/pdtc10/index.php?action=vallex&amp;frame=v-w374hsa_12", "dávat (v-w374hsa_12) - substituted with v-w374f78_ZU")</f>
        <v>dávat (v-w374hsa_12) - substituted with v-w374f78_ZU</v>
      </c>
    </row>
    <row r="7569" spans="1:4" x14ac:dyDescent="0.2">
      <c r="B7569" t="s">
        <v>1</v>
      </c>
    </row>
    <row r="7570" spans="1:4" x14ac:dyDescent="0.2">
      <c r="B7570" t="s">
        <v>2771</v>
      </c>
    </row>
    <row r="7571" spans="1:4" x14ac:dyDescent="0.2">
      <c r="B7571" t="s">
        <v>35</v>
      </c>
    </row>
    <row r="7573" spans="1:4" x14ac:dyDescent="0.2">
      <c r="A7573" t="s">
        <v>2770</v>
      </c>
      <c r="B7573" t="str">
        <f>HYPERLINK("https://lindat.mff.cuni.cz/services/teitok/pdtc10/index.php?action=vallex&amp;frame=v-w374hsa_13", "dávat (v-w374hsa_13) - substituted with v-w374f78_ZU")</f>
        <v>dávat (v-w374hsa_13) - substituted with v-w374f78_ZU</v>
      </c>
    </row>
    <row r="7574" spans="1:4" x14ac:dyDescent="0.2">
      <c r="B7574" t="s">
        <v>1</v>
      </c>
      <c r="C7574" t="s">
        <v>2777</v>
      </c>
    </row>
    <row r="7575" spans="1:4" x14ac:dyDescent="0.2">
      <c r="B7575" t="s">
        <v>2771</v>
      </c>
      <c r="C7575" t="s">
        <v>2778</v>
      </c>
    </row>
    <row r="7576" spans="1:4" x14ac:dyDescent="0.2">
      <c r="B7576" t="s">
        <v>35</v>
      </c>
    </row>
    <row r="7578" spans="1:4" x14ac:dyDescent="0.2">
      <c r="A7578" t="s">
        <v>2770</v>
      </c>
      <c r="B7578" t="str">
        <f>HYPERLINK("https://lindat.mff.cuni.cz/services/teitok/pdtc10/index.php?action=vallex&amp;frame=v-w374hsa_20", "dávat (v-w374hsa_20) - substituted with v-w374f78_ZU")</f>
        <v>dávat (v-w374hsa_20) - substituted with v-w374f78_ZU</v>
      </c>
    </row>
    <row r="7579" spans="1:4" x14ac:dyDescent="0.2">
      <c r="B7579" t="s">
        <v>1</v>
      </c>
    </row>
    <row r="7580" spans="1:4" x14ac:dyDescent="0.2">
      <c r="B7580" t="s">
        <v>2771</v>
      </c>
    </row>
    <row r="7581" spans="1:4" x14ac:dyDescent="0.2">
      <c r="B7581" t="s">
        <v>35</v>
      </c>
    </row>
    <row r="7583" spans="1:4" x14ac:dyDescent="0.2">
      <c r="A7583" t="s">
        <v>2779</v>
      </c>
      <c r="B7583" t="str">
        <f>HYPERLINK("https://lindat.mff.cuni.cz/services/teitok/pdtc10/index.php?action=vallex&amp;frame=v-w374f47_ZU", "dávat (v-w374f47_ZU)")</f>
        <v>dávat (v-w374f47_ZU)</v>
      </c>
    </row>
    <row r="7584" spans="1:4" x14ac:dyDescent="0.2">
      <c r="B7584" t="s">
        <v>1</v>
      </c>
      <c r="D7584" t="s">
        <v>21490</v>
      </c>
    </row>
    <row r="7585" spans="1:4" x14ac:dyDescent="0.2">
      <c r="B7585" t="s">
        <v>2780</v>
      </c>
    </row>
    <row r="7586" spans="1:4" x14ac:dyDescent="0.2">
      <c r="B7586" t="s">
        <v>35</v>
      </c>
      <c r="D7586" t="s">
        <v>23296</v>
      </c>
    </row>
    <row r="7588" spans="1:4" x14ac:dyDescent="0.2">
      <c r="A7588" t="s">
        <v>2781</v>
      </c>
      <c r="B7588" t="str">
        <f>HYPERLINK("https://lindat.mff.cuni.cz/services/teitok/pdtc10/index.php?action=vallex&amp;frame=v-w374f42_ZU", "dávat (v-w374f42_ZU)")</f>
        <v>dávat (v-w374f42_ZU)</v>
      </c>
    </row>
    <row r="7589" spans="1:4" x14ac:dyDescent="0.2">
      <c r="B7589" t="s">
        <v>1</v>
      </c>
      <c r="D7589" t="s">
        <v>317</v>
      </c>
    </row>
    <row r="7590" spans="1:4" x14ac:dyDescent="0.2">
      <c r="B7590" t="s">
        <v>2782</v>
      </c>
      <c r="D7590" t="s">
        <v>23297</v>
      </c>
    </row>
    <row r="7591" spans="1:4" x14ac:dyDescent="0.2">
      <c r="B7591" t="s">
        <v>35</v>
      </c>
      <c r="D7591" t="s">
        <v>3185</v>
      </c>
    </row>
    <row r="7593" spans="1:4" x14ac:dyDescent="0.2">
      <c r="A7593" t="s">
        <v>2783</v>
      </c>
      <c r="B7593" t="str">
        <f>HYPERLINK("https://lindat.mff.cuni.cz/services/teitok/pdtc10/index.php?action=vallex&amp;frame=v-w374f32", "dávat (v-w374f32)")</f>
        <v>dávat (v-w374f32)</v>
      </c>
    </row>
    <row r="7594" spans="1:4" x14ac:dyDescent="0.2">
      <c r="B7594" t="s">
        <v>1</v>
      </c>
    </row>
    <row r="7595" spans="1:4" x14ac:dyDescent="0.2">
      <c r="B7595" t="s">
        <v>2578</v>
      </c>
    </row>
    <row r="7596" spans="1:4" x14ac:dyDescent="0.2">
      <c r="B7596" t="s">
        <v>5</v>
      </c>
    </row>
    <row r="7598" spans="1:4" x14ac:dyDescent="0.2">
      <c r="A7598" t="s">
        <v>2784</v>
      </c>
      <c r="B7598" t="str">
        <f>HYPERLINK("https://lindat.mff.cuni.cz/services/teitok/pdtc10/index.php?action=vallex&amp;frame=v-w374f33", "dávat (v-w374f33)")</f>
        <v>dávat (v-w374f33)</v>
      </c>
    </row>
    <row r="7599" spans="1:4" x14ac:dyDescent="0.2">
      <c r="B7599" t="s">
        <v>1</v>
      </c>
    </row>
    <row r="7600" spans="1:4" x14ac:dyDescent="0.2">
      <c r="B7600" t="s">
        <v>2578</v>
      </c>
    </row>
    <row r="7601" spans="1:4" x14ac:dyDescent="0.2">
      <c r="B7601" t="s">
        <v>90</v>
      </c>
    </row>
    <row r="7603" spans="1:4" x14ac:dyDescent="0.2">
      <c r="A7603" t="s">
        <v>2785</v>
      </c>
      <c r="B7603" t="str">
        <f>HYPERLINK("https://lindat.mff.cuni.cz/services/teitok/pdtc10/index.php?action=vallex&amp;frame=v-w374f19", "dávat (v-w374f19)")</f>
        <v>dávat (v-w374f19)</v>
      </c>
    </row>
    <row r="7604" spans="1:4" x14ac:dyDescent="0.2">
      <c r="B7604" t="s">
        <v>1</v>
      </c>
    </row>
    <row r="7605" spans="1:4" x14ac:dyDescent="0.2">
      <c r="B7605" t="s">
        <v>2582</v>
      </c>
    </row>
    <row r="7607" spans="1:4" x14ac:dyDescent="0.2">
      <c r="A7607" t="s">
        <v>2786</v>
      </c>
      <c r="B7607" t="str">
        <f>HYPERLINK("https://lindat.mff.cuni.cz/services/teitok/pdtc10/index.php?action=vallex&amp;frame=v-w374f24", "dávat (v-w374f24)")</f>
        <v>dávat (v-w374f24)</v>
      </c>
    </row>
    <row r="7608" spans="1:4" x14ac:dyDescent="0.2">
      <c r="B7608" t="s">
        <v>1</v>
      </c>
      <c r="C7608" t="s">
        <v>2787</v>
      </c>
      <c r="D7608" t="s">
        <v>23298</v>
      </c>
    </row>
    <row r="7609" spans="1:4" x14ac:dyDescent="0.2">
      <c r="B7609" t="s">
        <v>615</v>
      </c>
      <c r="C7609" t="s">
        <v>2587</v>
      </c>
    </row>
    <row r="7610" spans="1:4" x14ac:dyDescent="0.2">
      <c r="B7610" t="s">
        <v>8</v>
      </c>
      <c r="C7610" t="s">
        <v>2788</v>
      </c>
      <c r="D7610" t="s">
        <v>23299</v>
      </c>
    </row>
    <row r="7611" spans="1:4" x14ac:dyDescent="0.2">
      <c r="B7611" t="s">
        <v>35</v>
      </c>
      <c r="D7611" t="s">
        <v>23300</v>
      </c>
    </row>
    <row r="7613" spans="1:4" x14ac:dyDescent="0.2">
      <c r="A7613" t="s">
        <v>2789</v>
      </c>
      <c r="B7613" t="str">
        <f>HYPERLINK("https://lindat.mff.cuni.cz/services/teitok/pdtc10/index.php?action=vallex&amp;frame=v-w374f20", "dávat (v-w374f20)")</f>
        <v>dávat (v-w374f20)</v>
      </c>
    </row>
    <row r="7614" spans="1:4" x14ac:dyDescent="0.2">
      <c r="B7614" t="s">
        <v>1</v>
      </c>
    </row>
    <row r="7615" spans="1:4" x14ac:dyDescent="0.2">
      <c r="B7615" t="s">
        <v>2590</v>
      </c>
    </row>
    <row r="7616" spans="1:4" x14ac:dyDescent="0.2">
      <c r="B7616" t="s">
        <v>41</v>
      </c>
    </row>
    <row r="7617" spans="1:4" x14ac:dyDescent="0.2">
      <c r="B7617" t="s">
        <v>35</v>
      </c>
    </row>
    <row r="7619" spans="1:4" x14ac:dyDescent="0.2">
      <c r="A7619" t="s">
        <v>2790</v>
      </c>
      <c r="B7619" t="str">
        <f>HYPERLINK("https://lindat.mff.cuni.cz/services/teitok/pdtc10/index.php?action=vallex&amp;frame=v-w374f14", "dávat (v-w374f14)")</f>
        <v>dávat (v-w374f14)</v>
      </c>
    </row>
    <row r="7620" spans="1:4" x14ac:dyDescent="0.2">
      <c r="B7620" t="s">
        <v>1</v>
      </c>
    </row>
    <row r="7621" spans="1:4" x14ac:dyDescent="0.2">
      <c r="B7621" t="s">
        <v>377</v>
      </c>
    </row>
    <row r="7622" spans="1:4" x14ac:dyDescent="0.2">
      <c r="B7622" t="s">
        <v>41</v>
      </c>
    </row>
    <row r="7623" spans="1:4" x14ac:dyDescent="0.2">
      <c r="B7623" t="s">
        <v>35</v>
      </c>
    </row>
    <row r="7625" spans="1:4" x14ac:dyDescent="0.2">
      <c r="A7625" t="s">
        <v>2791</v>
      </c>
      <c r="B7625" t="str">
        <f>HYPERLINK("https://lindat.mff.cuni.cz/services/teitok/pdtc10/index.php?action=vallex&amp;frame=v-w374f6", "dávat (v-w374f6)")</f>
        <v>dávat (v-w374f6)</v>
      </c>
    </row>
    <row r="7626" spans="1:4" x14ac:dyDescent="0.2">
      <c r="B7626" t="s">
        <v>1</v>
      </c>
      <c r="D7626" t="s">
        <v>22967</v>
      </c>
    </row>
    <row r="7627" spans="1:4" x14ac:dyDescent="0.2">
      <c r="B7627" t="s">
        <v>2595</v>
      </c>
    </row>
    <row r="7628" spans="1:4" x14ac:dyDescent="0.2">
      <c r="B7628" t="s">
        <v>2597</v>
      </c>
      <c r="D7628" t="s">
        <v>22968</v>
      </c>
    </row>
    <row r="7629" spans="1:4" x14ac:dyDescent="0.2">
      <c r="B7629" t="s">
        <v>35</v>
      </c>
      <c r="D7629" t="s">
        <v>22969</v>
      </c>
    </row>
    <row r="7631" spans="1:4" x14ac:dyDescent="0.2">
      <c r="A7631" t="s">
        <v>2792</v>
      </c>
      <c r="B7631" t="str">
        <f>HYPERLINK("https://lindat.mff.cuni.cz/services/teitok/pdtc10/index.php?action=vallex&amp;frame=v-w374f25", "dávat (v-w374f25)")</f>
        <v>dávat (v-w374f25)</v>
      </c>
    </row>
    <row r="7632" spans="1:4" x14ac:dyDescent="0.2">
      <c r="B7632" t="s">
        <v>1</v>
      </c>
    </row>
    <row r="7633" spans="1:4" x14ac:dyDescent="0.2">
      <c r="B7633" t="s">
        <v>2640</v>
      </c>
    </row>
    <row r="7634" spans="1:4" x14ac:dyDescent="0.2">
      <c r="B7634" t="s">
        <v>183</v>
      </c>
    </row>
    <row r="7635" spans="1:4" x14ac:dyDescent="0.2">
      <c r="B7635" t="s">
        <v>35</v>
      </c>
    </row>
    <row r="7637" spans="1:4" x14ac:dyDescent="0.2">
      <c r="A7637" t="s">
        <v>2793</v>
      </c>
      <c r="B7637" t="str">
        <f>HYPERLINK("https://lindat.mff.cuni.cz/services/teitok/pdtc10/index.php?action=vallex&amp;frame=v-w374f46_ZU", "dávat (v-w374f46_ZU)")</f>
        <v>dávat (v-w374f46_ZU)</v>
      </c>
    </row>
    <row r="7638" spans="1:4" x14ac:dyDescent="0.2">
      <c r="B7638" t="s">
        <v>1</v>
      </c>
      <c r="C7638" t="s">
        <v>1566</v>
      </c>
      <c r="D7638" t="s">
        <v>6301</v>
      </c>
    </row>
    <row r="7639" spans="1:4" x14ac:dyDescent="0.2">
      <c r="B7639" t="s">
        <v>2794</v>
      </c>
    </row>
    <row r="7640" spans="1:4" x14ac:dyDescent="0.2">
      <c r="B7640" t="s">
        <v>41</v>
      </c>
      <c r="C7640" t="s">
        <v>2795</v>
      </c>
      <c r="D7640" t="s">
        <v>23301</v>
      </c>
    </row>
    <row r="7641" spans="1:4" x14ac:dyDescent="0.2">
      <c r="B7641" t="s">
        <v>35</v>
      </c>
      <c r="C7641" t="s">
        <v>2796</v>
      </c>
      <c r="D7641" t="s">
        <v>23302</v>
      </c>
    </row>
    <row r="7643" spans="1:4" x14ac:dyDescent="0.2">
      <c r="A7643" t="s">
        <v>2797</v>
      </c>
      <c r="B7643" t="str">
        <f>HYPERLINK("https://lindat.mff.cuni.cz/services/teitok/pdtc10/index.php?action=vallex&amp;frame=v-w374f22", "dávat (v-w374f22)")</f>
        <v>dávat (v-w374f22)</v>
      </c>
    </row>
    <row r="7644" spans="1:4" x14ac:dyDescent="0.2">
      <c r="B7644" t="s">
        <v>1</v>
      </c>
      <c r="D7644" t="s">
        <v>16226</v>
      </c>
    </row>
    <row r="7645" spans="1:4" x14ac:dyDescent="0.2">
      <c r="B7645" t="s">
        <v>2606</v>
      </c>
    </row>
    <row r="7646" spans="1:4" x14ac:dyDescent="0.2">
      <c r="B7646" t="s">
        <v>8</v>
      </c>
      <c r="D7646" t="s">
        <v>3270</v>
      </c>
    </row>
    <row r="7648" spans="1:4" x14ac:dyDescent="0.2">
      <c r="A7648" t="s">
        <v>2798</v>
      </c>
      <c r="B7648" t="str">
        <f>HYPERLINK("https://lindat.mff.cuni.cz/services/teitok/pdtc10/index.php?action=vallex&amp;frame=v-w374f64_ZU", "dávat (v-w374f64_ZU)")</f>
        <v>dávat (v-w374f64_ZU)</v>
      </c>
    </row>
    <row r="7649" spans="1:4" x14ac:dyDescent="0.2">
      <c r="B7649" t="s">
        <v>1</v>
      </c>
      <c r="D7649" t="s">
        <v>80</v>
      </c>
    </row>
    <row r="7650" spans="1:4" x14ac:dyDescent="0.2">
      <c r="B7650" t="s">
        <v>2611</v>
      </c>
    </row>
    <row r="7651" spans="1:4" x14ac:dyDescent="0.2">
      <c r="B7651" t="s">
        <v>2799</v>
      </c>
      <c r="D7651" t="s">
        <v>23277</v>
      </c>
    </row>
    <row r="7653" spans="1:4" x14ac:dyDescent="0.2">
      <c r="A7653" t="s">
        <v>2798</v>
      </c>
      <c r="B7653" t="str">
        <f>HYPERLINK("https://lindat.mff.cuni.cz/services/teitok/pdtc10/index.php?action=vallex&amp;frame=v-w374f13", "dávat (v-w374f13) - substituted with v-w374f64_ZU")</f>
        <v>dávat (v-w374f13) - substituted with v-w374f64_ZU</v>
      </c>
    </row>
    <row r="7654" spans="1:4" x14ac:dyDescent="0.2">
      <c r="B7654" t="s">
        <v>1</v>
      </c>
      <c r="C7654" t="s">
        <v>373</v>
      </c>
    </row>
    <row r="7655" spans="1:4" x14ac:dyDescent="0.2">
      <c r="B7655" t="s">
        <v>2611</v>
      </c>
      <c r="C7655" t="s">
        <v>2800</v>
      </c>
    </row>
    <row r="7656" spans="1:4" x14ac:dyDescent="0.2">
      <c r="B7656" t="s">
        <v>2799</v>
      </c>
      <c r="C7656" t="s">
        <v>2801</v>
      </c>
    </row>
    <row r="7658" spans="1:4" x14ac:dyDescent="0.2">
      <c r="A7658" t="s">
        <v>2798</v>
      </c>
      <c r="B7658" t="str">
        <f>HYPERLINK("https://lindat.mff.cuni.cz/services/teitok/pdtc10/index.php?action=vallex&amp;frame=v-w374f63_ZU", "dávat (v-w374f63_ZU) - substituted with v-w374f64_ZU")</f>
        <v>dávat (v-w374f63_ZU) - substituted with v-w374f64_ZU</v>
      </c>
    </row>
    <row r="7659" spans="1:4" x14ac:dyDescent="0.2">
      <c r="B7659" t="s">
        <v>1</v>
      </c>
    </row>
    <row r="7660" spans="1:4" x14ac:dyDescent="0.2">
      <c r="B7660" t="s">
        <v>2611</v>
      </c>
    </row>
    <row r="7661" spans="1:4" x14ac:dyDescent="0.2">
      <c r="B7661" t="s">
        <v>2799</v>
      </c>
    </row>
    <row r="7663" spans="1:4" x14ac:dyDescent="0.2">
      <c r="A7663" t="s">
        <v>2802</v>
      </c>
      <c r="B7663" t="str">
        <f>HYPERLINK("https://lindat.mff.cuni.cz/services/teitok/pdtc10/index.php?action=vallex&amp;frame=v-w374f39", "dávat (v-w374f39)")</f>
        <v>dávat (v-w374f39)</v>
      </c>
    </row>
    <row r="7664" spans="1:4" x14ac:dyDescent="0.2">
      <c r="B7664" t="s">
        <v>1</v>
      </c>
    </row>
    <row r="7665" spans="1:2" x14ac:dyDescent="0.2">
      <c r="B7665" t="s">
        <v>2803</v>
      </c>
    </row>
    <row r="7666" spans="1:2" x14ac:dyDescent="0.2">
      <c r="B7666" t="s">
        <v>103</v>
      </c>
    </row>
    <row r="7668" spans="1:2" x14ac:dyDescent="0.2">
      <c r="A7668" t="s">
        <v>2804</v>
      </c>
      <c r="B7668" t="str">
        <f>HYPERLINK("https://lindat.mff.cuni.cz/services/teitok/pdtc10/index.php?action=vallex&amp;frame=v-w374f21", "dávat (v-w374f21)")</f>
        <v>dávat (v-w374f21)</v>
      </c>
    </row>
    <row r="7669" spans="1:2" x14ac:dyDescent="0.2">
      <c r="B7669" t="s">
        <v>1</v>
      </c>
    </row>
    <row r="7670" spans="1:2" x14ac:dyDescent="0.2">
      <c r="B7670" t="s">
        <v>2805</v>
      </c>
    </row>
    <row r="7671" spans="1:2" x14ac:dyDescent="0.2">
      <c r="B7671" t="s">
        <v>103</v>
      </c>
    </row>
    <row r="7673" spans="1:2" x14ac:dyDescent="0.2">
      <c r="A7673" t="s">
        <v>2806</v>
      </c>
      <c r="B7673" t="str">
        <f>HYPERLINK("https://lindat.mff.cuni.cz/services/teitok/pdtc10/index.php?action=vallex&amp;frame=v-w374f26", "dávat (v-w374f26)")</f>
        <v>dávat (v-w374f26)</v>
      </c>
    </row>
    <row r="7674" spans="1:2" x14ac:dyDescent="0.2">
      <c r="B7674" t="s">
        <v>1</v>
      </c>
    </row>
    <row r="7675" spans="1:2" x14ac:dyDescent="0.2">
      <c r="B7675" t="s">
        <v>2807</v>
      </c>
    </row>
    <row r="7676" spans="1:2" x14ac:dyDescent="0.2">
      <c r="B7676" t="s">
        <v>103</v>
      </c>
    </row>
    <row r="7678" spans="1:2" x14ac:dyDescent="0.2">
      <c r="A7678" t="s">
        <v>2808</v>
      </c>
      <c r="B7678" t="str">
        <f>HYPERLINK("https://lindat.mff.cuni.cz/services/teitok/pdtc10/index.php?action=vallex&amp;frame=v-w374f45_ZU", "dávat (v-w374f45_ZU)")</f>
        <v>dávat (v-w374f45_ZU)</v>
      </c>
    </row>
    <row r="7679" spans="1:2" x14ac:dyDescent="0.2">
      <c r="B7679" t="s">
        <v>1</v>
      </c>
    </row>
    <row r="7680" spans="1:2" x14ac:dyDescent="0.2">
      <c r="B7680" t="s">
        <v>1972</v>
      </c>
    </row>
    <row r="7681" spans="1:4" x14ac:dyDescent="0.2">
      <c r="B7681" t="s">
        <v>103</v>
      </c>
    </row>
    <row r="7683" spans="1:4" x14ac:dyDescent="0.2">
      <c r="A7683" t="s">
        <v>2809</v>
      </c>
      <c r="B7683" t="str">
        <f>HYPERLINK("https://lindat.mff.cuni.cz/services/teitok/pdtc10/index.php?action=vallex&amp;frame=v-w374f11", "dávat (v-w374f11)")</f>
        <v>dávat (v-w374f11)</v>
      </c>
    </row>
    <row r="7684" spans="1:4" x14ac:dyDescent="0.2">
      <c r="B7684" t="s">
        <v>1</v>
      </c>
      <c r="C7684" t="s">
        <v>140</v>
      </c>
      <c r="D7684" t="s">
        <v>23303</v>
      </c>
    </row>
    <row r="7685" spans="1:4" x14ac:dyDescent="0.2">
      <c r="B7685" t="s">
        <v>2637</v>
      </c>
    </row>
    <row r="7686" spans="1:4" x14ac:dyDescent="0.2">
      <c r="B7686" t="s">
        <v>35</v>
      </c>
      <c r="C7686" t="s">
        <v>2810</v>
      </c>
      <c r="D7686" t="s">
        <v>23304</v>
      </c>
    </row>
    <row r="7687" spans="1:4" x14ac:dyDescent="0.2">
      <c r="B7687" t="s">
        <v>587</v>
      </c>
      <c r="D7687" t="s">
        <v>23305</v>
      </c>
    </row>
    <row r="7689" spans="1:4" x14ac:dyDescent="0.2">
      <c r="A7689" t="s">
        <v>2811</v>
      </c>
      <c r="B7689" t="str">
        <f>HYPERLINK("https://lindat.mff.cuni.cz/services/teitok/pdtc10/index.php?action=vallex&amp;frame=v-w374f16", "dávat (v-w374f16)")</f>
        <v>dávat (v-w374f16)</v>
      </c>
    </row>
    <row r="7690" spans="1:4" x14ac:dyDescent="0.2">
      <c r="B7690" t="s">
        <v>1</v>
      </c>
      <c r="D7690" t="s">
        <v>22967</v>
      </c>
    </row>
    <row r="7691" spans="1:4" x14ac:dyDescent="0.2">
      <c r="B7691" t="s">
        <v>2640</v>
      </c>
    </row>
    <row r="7692" spans="1:4" x14ac:dyDescent="0.2">
      <c r="B7692" t="s">
        <v>35</v>
      </c>
      <c r="D7692" t="s">
        <v>22969</v>
      </c>
    </row>
    <row r="7693" spans="1:4" x14ac:dyDescent="0.2">
      <c r="B7693" t="s">
        <v>1609</v>
      </c>
      <c r="D7693" t="s">
        <v>23120</v>
      </c>
    </row>
    <row r="7694" spans="1:4" x14ac:dyDescent="0.2">
      <c r="B7694" t="s">
        <v>269</v>
      </c>
      <c r="D7694" t="s">
        <v>22968</v>
      </c>
    </row>
    <row r="7696" spans="1:4" x14ac:dyDescent="0.2">
      <c r="A7696" t="s">
        <v>2812</v>
      </c>
      <c r="B7696" t="str">
        <f>HYPERLINK("https://lindat.mff.cuni.cz/services/teitok/pdtc10/index.php?action=vallex&amp;frame=v-w374f51_ZU", "dávat (v-w374f51_ZU)")</f>
        <v>dávat (v-w374f51_ZU)</v>
      </c>
    </row>
    <row r="7697" spans="1:3" x14ac:dyDescent="0.2">
      <c r="B7697" t="s">
        <v>196</v>
      </c>
      <c r="C7697" t="s">
        <v>2813</v>
      </c>
    </row>
    <row r="7698" spans="1:3" x14ac:dyDescent="0.2">
      <c r="B7698" t="s">
        <v>2814</v>
      </c>
      <c r="C7698" t="s">
        <v>2815</v>
      </c>
    </row>
    <row r="7700" spans="1:3" x14ac:dyDescent="0.2">
      <c r="A7700" t="s">
        <v>2812</v>
      </c>
      <c r="B7700" t="str">
        <f>HYPERLINK("https://lindat.mff.cuni.cz/services/teitok/pdtc10/index.php?action=vallex&amp;frame=v-w374f41_ZU", "dávat (v-w374f41_ZU) - substituted with v-w374f51_ZU")</f>
        <v>dávat (v-w374f41_ZU) - substituted with v-w374f51_ZU</v>
      </c>
    </row>
    <row r="7701" spans="1:3" x14ac:dyDescent="0.2">
      <c r="B7701" t="s">
        <v>196</v>
      </c>
    </row>
    <row r="7702" spans="1:3" x14ac:dyDescent="0.2">
      <c r="B7702" t="s">
        <v>2814</v>
      </c>
    </row>
    <row r="7704" spans="1:3" x14ac:dyDescent="0.2">
      <c r="A7704" t="s">
        <v>2812</v>
      </c>
      <c r="B7704" t="str">
        <f>HYPERLINK("https://lindat.mff.cuni.cz/services/teitok/pdtc10/index.php?action=vallex&amp;frame=v-w374f43_ZU", "dávat (v-w374f43_ZU) - substituted with v-w374f51_ZU")</f>
        <v>dávat (v-w374f43_ZU) - substituted with v-w374f51_ZU</v>
      </c>
    </row>
    <row r="7705" spans="1:3" x14ac:dyDescent="0.2">
      <c r="B7705" t="s">
        <v>196</v>
      </c>
    </row>
    <row r="7706" spans="1:3" x14ac:dyDescent="0.2">
      <c r="B7706" t="s">
        <v>2814</v>
      </c>
    </row>
    <row r="7708" spans="1:3" x14ac:dyDescent="0.2">
      <c r="A7708" t="s">
        <v>2812</v>
      </c>
      <c r="B7708" t="str">
        <f>HYPERLINK("https://lindat.mff.cuni.cz/services/teitok/pdtc10/index.php?action=vallex&amp;frame=v-w374f50_ZU", "dávat (v-w374f50_ZU) - substituted with v-w374f51_ZU")</f>
        <v>dávat (v-w374f50_ZU) - substituted with v-w374f51_ZU</v>
      </c>
    </row>
    <row r="7709" spans="1:3" x14ac:dyDescent="0.2">
      <c r="B7709" t="s">
        <v>196</v>
      </c>
    </row>
    <row r="7710" spans="1:3" x14ac:dyDescent="0.2">
      <c r="B7710" t="s">
        <v>2814</v>
      </c>
    </row>
    <row r="7712" spans="1:3" x14ac:dyDescent="0.2">
      <c r="A7712" t="s">
        <v>2816</v>
      </c>
      <c r="B7712" t="str">
        <f>HYPERLINK("https://lindat.mff.cuni.cz/services/teitok/pdtc10/index.php?action=vallex&amp;frame=v-w374hsa_10", "dávat (v-w374hsa_10)")</f>
        <v>dávat (v-w374hsa_10)</v>
      </c>
    </row>
    <row r="7713" spans="1:4" x14ac:dyDescent="0.2">
      <c r="B7713" t="s">
        <v>1</v>
      </c>
      <c r="C7713" t="s">
        <v>33</v>
      </c>
    </row>
    <row r="7714" spans="1:4" x14ac:dyDescent="0.2">
      <c r="B7714" t="s">
        <v>8</v>
      </c>
      <c r="C7714" t="s">
        <v>1190</v>
      </c>
    </row>
    <row r="7715" spans="1:4" x14ac:dyDescent="0.2">
      <c r="B7715" t="s">
        <v>35</v>
      </c>
      <c r="C7715" t="s">
        <v>2817</v>
      </c>
    </row>
    <row r="7717" spans="1:4" x14ac:dyDescent="0.2">
      <c r="A7717" t="s">
        <v>2818</v>
      </c>
      <c r="B7717" t="str">
        <f>HYPERLINK("https://lindat.mff.cuni.cz/services/teitok/pdtc10/index.php?action=vallex&amp;frame=v-w374f56_ZU", "dávat (v-w374f56_ZU)")</f>
        <v>dávat (v-w374f56_ZU)</v>
      </c>
    </row>
    <row r="7718" spans="1:4" x14ac:dyDescent="0.2">
      <c r="B7718" t="s">
        <v>1</v>
      </c>
      <c r="C7718" t="s">
        <v>2749</v>
      </c>
      <c r="D7718" t="s">
        <v>23066</v>
      </c>
    </row>
    <row r="7719" spans="1:4" x14ac:dyDescent="0.2">
      <c r="B7719" t="s">
        <v>8</v>
      </c>
      <c r="C7719" t="s">
        <v>2750</v>
      </c>
      <c r="D7719" t="s">
        <v>23067</v>
      </c>
    </row>
    <row r="7720" spans="1:4" x14ac:dyDescent="0.2">
      <c r="B7720" t="s">
        <v>486</v>
      </c>
      <c r="D7720" t="s">
        <v>23252</v>
      </c>
    </row>
    <row r="7722" spans="1:4" x14ac:dyDescent="0.2">
      <c r="A7722" t="s">
        <v>2818</v>
      </c>
      <c r="B7722" t="str">
        <f>HYPERLINK("https://lindat.mff.cuni.cz/services/teitok/pdtc10/index.php?action=vallex&amp;frame=v-w374hsa_11", "dávat (v-w374hsa_11) - substituted with v-w374f56_ZU")</f>
        <v>dávat (v-w374hsa_11) - substituted with v-w374f56_ZU</v>
      </c>
    </row>
    <row r="7723" spans="1:4" x14ac:dyDescent="0.2">
      <c r="B7723" t="s">
        <v>1</v>
      </c>
    </row>
    <row r="7724" spans="1:4" x14ac:dyDescent="0.2">
      <c r="B7724" t="s">
        <v>8</v>
      </c>
    </row>
    <row r="7725" spans="1:4" x14ac:dyDescent="0.2">
      <c r="B7725" t="s">
        <v>486</v>
      </c>
    </row>
    <row r="7727" spans="1:4" x14ac:dyDescent="0.2">
      <c r="A7727" t="s">
        <v>2819</v>
      </c>
      <c r="B7727" t="str">
        <f>HYPERLINK("https://lindat.mff.cuni.cz/services/teitok/pdtc10/index.php?action=vallex&amp;frame=v-w374f53_ZU", "dávat (v-w374f53_ZU)")</f>
        <v>dávat (v-w374f53_ZU)</v>
      </c>
    </row>
    <row r="7728" spans="1:4" x14ac:dyDescent="0.2">
      <c r="B7728" t="s">
        <v>1</v>
      </c>
    </row>
    <row r="7729" spans="1:2" x14ac:dyDescent="0.2">
      <c r="B7729" t="s">
        <v>2820</v>
      </c>
    </row>
    <row r="7730" spans="1:2" x14ac:dyDescent="0.2">
      <c r="B7730" t="s">
        <v>2821</v>
      </c>
    </row>
    <row r="7731" spans="1:2" x14ac:dyDescent="0.2">
      <c r="B7731" t="s">
        <v>35</v>
      </c>
    </row>
    <row r="7733" spans="1:2" x14ac:dyDescent="0.2">
      <c r="A7733" t="s">
        <v>2819</v>
      </c>
      <c r="B7733" t="str">
        <f>HYPERLINK("https://lindat.mff.cuni.cz/services/teitok/pdtc10/index.php?action=vallex&amp;frame=v-w374hsa_14", "dávat (v-w374hsa_14) - substituted with v-w374f53_ZU")</f>
        <v>dávat (v-w374hsa_14) - substituted with v-w374f53_ZU</v>
      </c>
    </row>
    <row r="7734" spans="1:2" x14ac:dyDescent="0.2">
      <c r="B7734" t="s">
        <v>1</v>
      </c>
    </row>
    <row r="7735" spans="1:2" x14ac:dyDescent="0.2">
      <c r="B7735" t="s">
        <v>2820</v>
      </c>
    </row>
    <row r="7736" spans="1:2" x14ac:dyDescent="0.2">
      <c r="B7736" t="s">
        <v>2821</v>
      </c>
    </row>
    <row r="7737" spans="1:2" x14ac:dyDescent="0.2">
      <c r="B7737" t="s">
        <v>35</v>
      </c>
    </row>
    <row r="7739" spans="1:2" x14ac:dyDescent="0.2">
      <c r="A7739" t="s">
        <v>2822</v>
      </c>
      <c r="B7739" t="str">
        <f>HYPERLINK("https://lindat.mff.cuni.cz/services/teitok/pdtc10/index.php?action=vallex&amp;frame=v-w374f54_ZU", "dávat (v-w374f54_ZU)")</f>
        <v>dávat (v-w374f54_ZU)</v>
      </c>
    </row>
    <row r="7740" spans="1:2" x14ac:dyDescent="0.2">
      <c r="B7740" t="s">
        <v>1</v>
      </c>
    </row>
    <row r="7741" spans="1:2" x14ac:dyDescent="0.2">
      <c r="B7741" t="s">
        <v>2663</v>
      </c>
    </row>
    <row r="7742" spans="1:2" x14ac:dyDescent="0.2">
      <c r="B7742" t="s">
        <v>8</v>
      </c>
    </row>
    <row r="7744" spans="1:2" x14ac:dyDescent="0.2">
      <c r="A7744" t="s">
        <v>2822</v>
      </c>
      <c r="B7744" t="str">
        <f>HYPERLINK("https://lindat.mff.cuni.cz/services/teitok/pdtc10/index.php?action=vallex&amp;frame=v-w374hsa_15", "dávat (v-w374hsa_15) - substituted with v-w374f54_ZU")</f>
        <v>dávat (v-w374hsa_15) - substituted with v-w374f54_ZU</v>
      </c>
    </row>
    <row r="7745" spans="1:4" x14ac:dyDescent="0.2">
      <c r="B7745" t="s">
        <v>1</v>
      </c>
    </row>
    <row r="7746" spans="1:4" x14ac:dyDescent="0.2">
      <c r="B7746" t="s">
        <v>2663</v>
      </c>
    </row>
    <row r="7747" spans="1:4" x14ac:dyDescent="0.2">
      <c r="B7747" t="s">
        <v>8</v>
      </c>
    </row>
    <row r="7749" spans="1:4" x14ac:dyDescent="0.2">
      <c r="A7749" t="s">
        <v>2823</v>
      </c>
      <c r="B7749" t="str">
        <f>HYPERLINK("https://lindat.mff.cuni.cz/services/teitok/pdtc10/index.php?action=vallex&amp;frame=v-w374f55_ZU", "dávat (v-w374f55_ZU)")</f>
        <v>dávat (v-w374f55_ZU)</v>
      </c>
    </row>
    <row r="7750" spans="1:4" x14ac:dyDescent="0.2">
      <c r="B7750" t="s">
        <v>1</v>
      </c>
      <c r="C7750" t="s">
        <v>2530</v>
      </c>
      <c r="D7750" t="s">
        <v>23273</v>
      </c>
    </row>
    <row r="7751" spans="1:4" x14ac:dyDescent="0.2">
      <c r="B7751" t="s">
        <v>2824</v>
      </c>
      <c r="C7751" t="s">
        <v>2825</v>
      </c>
      <c r="D7751" t="s">
        <v>23306</v>
      </c>
    </row>
    <row r="7752" spans="1:4" x14ac:dyDescent="0.2">
      <c r="B7752" t="s">
        <v>103</v>
      </c>
      <c r="C7752" t="s">
        <v>2826</v>
      </c>
      <c r="D7752" t="s">
        <v>23307</v>
      </c>
    </row>
    <row r="7754" spans="1:4" x14ac:dyDescent="0.2">
      <c r="A7754" t="s">
        <v>2823</v>
      </c>
      <c r="B7754" t="str">
        <f>HYPERLINK("https://lindat.mff.cuni.cz/services/teitok/pdtc10/index.php?action=vallex&amp;frame=v-w374hsa_16", "dávat (v-w374hsa_16) - substituted with v-w374f55_ZU")</f>
        <v>dávat (v-w374hsa_16) - substituted with v-w374f55_ZU</v>
      </c>
    </row>
    <row r="7755" spans="1:4" x14ac:dyDescent="0.2">
      <c r="B7755" t="s">
        <v>1</v>
      </c>
    </row>
    <row r="7756" spans="1:4" x14ac:dyDescent="0.2">
      <c r="B7756" t="s">
        <v>2824</v>
      </c>
    </row>
    <row r="7757" spans="1:4" x14ac:dyDescent="0.2">
      <c r="B7757" t="s">
        <v>103</v>
      </c>
    </row>
    <row r="7759" spans="1:4" x14ac:dyDescent="0.2">
      <c r="A7759" t="s">
        <v>2827</v>
      </c>
      <c r="B7759" t="str">
        <f>HYPERLINK("https://lindat.mff.cuni.cz/services/teitok/pdtc10/index.php?action=vallex&amp;frame=v-w374hsa_19", "dávat (v-w374hsa_19)")</f>
        <v>dávat (v-w374hsa_19)</v>
      </c>
    </row>
    <row r="7760" spans="1:4" x14ac:dyDescent="0.2">
      <c r="B7760" t="s">
        <v>1</v>
      </c>
    </row>
    <row r="7761" spans="1:2" x14ac:dyDescent="0.2">
      <c r="B7761" t="s">
        <v>2828</v>
      </c>
    </row>
    <row r="7762" spans="1:2" x14ac:dyDescent="0.2">
      <c r="B7762" t="s">
        <v>35</v>
      </c>
    </row>
    <row r="7764" spans="1:2" x14ac:dyDescent="0.2">
      <c r="A7764" t="s">
        <v>2829</v>
      </c>
      <c r="B7764" t="str">
        <f>HYPERLINK("https://lindat.mff.cuni.cz/services/teitok/pdtc10/index.php?action=vallex&amp;frame=v-w374f70_ZU", "dávat (v-w374f70_ZU)")</f>
        <v>dávat (v-w374f70_ZU)</v>
      </c>
    </row>
    <row r="7765" spans="1:2" x14ac:dyDescent="0.2">
      <c r="B7765" t="s">
        <v>1</v>
      </c>
    </row>
    <row r="7766" spans="1:2" x14ac:dyDescent="0.2">
      <c r="B7766" t="s">
        <v>8</v>
      </c>
    </row>
    <row r="7767" spans="1:2" x14ac:dyDescent="0.2">
      <c r="B7767" t="s">
        <v>90</v>
      </c>
    </row>
    <row r="7769" spans="1:2" x14ac:dyDescent="0.2">
      <c r="A7769" t="s">
        <v>2829</v>
      </c>
      <c r="B7769" t="str">
        <f>HYPERLINK("https://lindat.mff.cuni.cz/services/teitok/pdtc10/index.php?action=vallex&amp;frame=v-w374hsa_18", "dávat (v-w374hsa_18) - substituted with v-w374f70_ZU")</f>
        <v>dávat (v-w374hsa_18) - substituted with v-w374f70_ZU</v>
      </c>
    </row>
    <row r="7770" spans="1:2" x14ac:dyDescent="0.2">
      <c r="B7770" t="s">
        <v>1</v>
      </c>
    </row>
    <row r="7771" spans="1:2" x14ac:dyDescent="0.2">
      <c r="B7771" t="s">
        <v>8</v>
      </c>
    </row>
    <row r="7772" spans="1:2" x14ac:dyDescent="0.2">
      <c r="B7772" t="s">
        <v>90</v>
      </c>
    </row>
    <row r="7774" spans="1:2" x14ac:dyDescent="0.2">
      <c r="A7774" t="s">
        <v>2830</v>
      </c>
      <c r="B7774" t="str">
        <f>HYPERLINK("https://lindat.mff.cuni.cz/services/teitok/pdtc10/index.php?action=vallex&amp;frame=v-w374f72_ZU", "dávat (v-w374f72_ZU)")</f>
        <v>dávat (v-w374f72_ZU)</v>
      </c>
    </row>
    <row r="7775" spans="1:2" x14ac:dyDescent="0.2">
      <c r="B7775" t="s">
        <v>1</v>
      </c>
    </row>
    <row r="7776" spans="1:2" x14ac:dyDescent="0.2">
      <c r="B7776" t="s">
        <v>2831</v>
      </c>
    </row>
    <row r="7777" spans="1:2" x14ac:dyDescent="0.2">
      <c r="B7777" t="s">
        <v>41</v>
      </c>
    </row>
    <row r="7779" spans="1:2" x14ac:dyDescent="0.2">
      <c r="A7779" t="s">
        <v>2830</v>
      </c>
      <c r="B7779" t="str">
        <f>HYPERLINK("https://lindat.mff.cuni.cz/services/teitok/pdtc10/index.php?action=vallex&amp;frame=v-w374hsa_22", "dávat (v-w374hsa_22) - substituted with v-w374f72_ZU")</f>
        <v>dávat (v-w374hsa_22) - substituted with v-w374f72_ZU</v>
      </c>
    </row>
    <row r="7780" spans="1:2" x14ac:dyDescent="0.2">
      <c r="B7780" t="s">
        <v>1</v>
      </c>
    </row>
    <row r="7781" spans="1:2" x14ac:dyDescent="0.2">
      <c r="B7781" t="s">
        <v>2831</v>
      </c>
    </row>
    <row r="7782" spans="1:2" x14ac:dyDescent="0.2">
      <c r="B7782" t="s">
        <v>41</v>
      </c>
    </row>
    <row r="7784" spans="1:2" x14ac:dyDescent="0.2">
      <c r="A7784" t="s">
        <v>2832</v>
      </c>
      <c r="B7784" t="str">
        <f>HYPERLINK("https://lindat.mff.cuni.cz/services/teitok/pdtc10/index.php?action=vallex&amp;frame=v-w374f73_ZU", "dávat (v-w374f73_ZU)")</f>
        <v>dávat (v-w374f73_ZU)</v>
      </c>
    </row>
    <row r="7785" spans="1:2" x14ac:dyDescent="0.2">
      <c r="B7785" t="s">
        <v>455</v>
      </c>
    </row>
    <row r="7786" spans="1:2" x14ac:dyDescent="0.2">
      <c r="B7786" t="s">
        <v>2833</v>
      </c>
    </row>
    <row r="7787" spans="1:2" x14ac:dyDescent="0.2">
      <c r="B7787" t="s">
        <v>2834</v>
      </c>
    </row>
    <row r="7789" spans="1:2" x14ac:dyDescent="0.2">
      <c r="A7789" t="s">
        <v>2832</v>
      </c>
      <c r="B7789" t="str">
        <f>HYPERLINK("https://lindat.mff.cuni.cz/services/teitok/pdtc10/index.php?action=vallex&amp;frame=v-w374hsa_23", "dávat (v-w374hsa_23) - substituted with v-w374f73_ZU")</f>
        <v>dávat (v-w374hsa_23) - substituted with v-w374f73_ZU</v>
      </c>
    </row>
    <row r="7790" spans="1:2" x14ac:dyDescent="0.2">
      <c r="B7790" t="s">
        <v>455</v>
      </c>
    </row>
    <row r="7791" spans="1:2" x14ac:dyDescent="0.2">
      <c r="B7791" t="s">
        <v>2833</v>
      </c>
    </row>
    <row r="7792" spans="1:2" x14ac:dyDescent="0.2">
      <c r="B7792" t="s">
        <v>2834</v>
      </c>
    </row>
    <row r="7794" spans="1:2" x14ac:dyDescent="0.2">
      <c r="A7794" t="s">
        <v>2835</v>
      </c>
      <c r="B7794" t="str">
        <f>HYPERLINK("https://lindat.mff.cuni.cz/services/teitok/pdtc10/index.php?action=vallex&amp;frame=v-w374f74_ZU", "dávat (v-w374f74_ZU)")</f>
        <v>dávat (v-w374f74_ZU)</v>
      </c>
    </row>
    <row r="7795" spans="1:2" x14ac:dyDescent="0.2">
      <c r="B7795" t="s">
        <v>1</v>
      </c>
    </row>
    <row r="7796" spans="1:2" x14ac:dyDescent="0.2">
      <c r="B7796" t="s">
        <v>8</v>
      </c>
    </row>
    <row r="7797" spans="1:2" x14ac:dyDescent="0.2">
      <c r="B7797" t="s">
        <v>252</v>
      </c>
    </row>
    <row r="7799" spans="1:2" x14ac:dyDescent="0.2">
      <c r="A7799" t="s">
        <v>2836</v>
      </c>
      <c r="B7799" t="str">
        <f>HYPERLINK("https://lindat.mff.cuni.cz/services/teitok/pdtc10/index.php?action=vallex&amp;frame=v-w374f77_ZU", "dávat (v-w374f77_ZU)")</f>
        <v>dávat (v-w374f77_ZU)</v>
      </c>
    </row>
    <row r="7800" spans="1:2" x14ac:dyDescent="0.2">
      <c r="B7800" t="s">
        <v>1</v>
      </c>
    </row>
    <row r="7801" spans="1:2" x14ac:dyDescent="0.2">
      <c r="B7801" t="s">
        <v>1982</v>
      </c>
    </row>
    <row r="7802" spans="1:2" x14ac:dyDescent="0.2">
      <c r="B7802" t="s">
        <v>103</v>
      </c>
    </row>
    <row r="7804" spans="1:2" x14ac:dyDescent="0.2">
      <c r="A7804" t="s">
        <v>2836</v>
      </c>
      <c r="B7804" t="str">
        <f>HYPERLINK("https://lindat.mff.cuni.cz/services/teitok/pdtc10/index.php?action=vallex&amp;frame=v-w374f76_ZU", "dávat (v-w374f76_ZU) - substituted with v-w374f77_ZU")</f>
        <v>dávat (v-w374f76_ZU) - substituted with v-w374f77_ZU</v>
      </c>
    </row>
    <row r="7805" spans="1:2" x14ac:dyDescent="0.2">
      <c r="B7805" t="s">
        <v>1</v>
      </c>
    </row>
    <row r="7806" spans="1:2" x14ac:dyDescent="0.2">
      <c r="B7806" t="s">
        <v>1982</v>
      </c>
    </row>
    <row r="7807" spans="1:2" x14ac:dyDescent="0.2">
      <c r="B7807" t="s">
        <v>103</v>
      </c>
    </row>
    <row r="7809" spans="1:2" x14ac:dyDescent="0.2">
      <c r="A7809" t="s">
        <v>2837</v>
      </c>
      <c r="B7809" t="str">
        <f>HYPERLINK("https://lindat.mff.cuni.cz/services/teitok/pdtc10/index.php?action=vallex&amp;frame=v-w374f79_ZU", "dávat (v-w374f79_ZU)")</f>
        <v>dávat (v-w374f79_ZU)</v>
      </c>
    </row>
    <row r="7810" spans="1:2" x14ac:dyDescent="0.2">
      <c r="B7810" t="s">
        <v>2838</v>
      </c>
    </row>
    <row r="7812" spans="1:2" x14ac:dyDescent="0.2">
      <c r="A7812" t="s">
        <v>2839</v>
      </c>
      <c r="B7812" t="str">
        <f>HYPERLINK("https://lindat.mff.cuni.cz/services/teitok/pdtc10/index.php?action=vallex&amp;frame=v-w374f81_ZU", "dávat (v-w374f81_ZU)")</f>
        <v>dávat (v-w374f81_ZU)</v>
      </c>
    </row>
    <row r="7813" spans="1:2" x14ac:dyDescent="0.2">
      <c r="B7813" t="s">
        <v>1</v>
      </c>
    </row>
    <row r="7814" spans="1:2" x14ac:dyDescent="0.2">
      <c r="B7814" t="s">
        <v>2840</v>
      </c>
    </row>
    <row r="7815" spans="1:2" x14ac:dyDescent="0.2">
      <c r="B7815" t="s">
        <v>8</v>
      </c>
    </row>
    <row r="7817" spans="1:2" x14ac:dyDescent="0.2">
      <c r="A7817" t="s">
        <v>2839</v>
      </c>
      <c r="B7817" t="str">
        <f>HYPERLINK("https://lindat.mff.cuni.cz/services/teitok/pdtc10/index.php?action=vallex&amp;frame=v-w374f80_ZU", "dávat (v-w374f80_ZU) - substituted with v-w374f81_ZU")</f>
        <v>dávat (v-w374f80_ZU) - substituted with v-w374f81_ZU</v>
      </c>
    </row>
    <row r="7818" spans="1:2" x14ac:dyDescent="0.2">
      <c r="B7818" t="s">
        <v>1</v>
      </c>
    </row>
    <row r="7819" spans="1:2" x14ac:dyDescent="0.2">
      <c r="B7819" t="s">
        <v>2840</v>
      </c>
    </row>
    <row r="7820" spans="1:2" x14ac:dyDescent="0.2">
      <c r="B7820" t="s">
        <v>8</v>
      </c>
    </row>
    <row r="7822" spans="1:2" x14ac:dyDescent="0.2">
      <c r="A7822" t="s">
        <v>2841</v>
      </c>
      <c r="B7822" t="str">
        <f>HYPERLINK("https://lindat.mff.cuni.cz/services/teitok/pdtc10/index.php?action=vallex&amp;frame=v-w374f83_ZU", "dávat (v-w374f83_ZU)")</f>
        <v>dávat (v-w374f83_ZU)</v>
      </c>
    </row>
    <row r="7823" spans="1:2" x14ac:dyDescent="0.2">
      <c r="B7823" t="s">
        <v>1</v>
      </c>
    </row>
    <row r="7824" spans="1:2" x14ac:dyDescent="0.2">
      <c r="B7824" t="s">
        <v>8</v>
      </c>
    </row>
    <row r="7825" spans="1:4" x14ac:dyDescent="0.2">
      <c r="B7825" t="s">
        <v>35</v>
      </c>
    </row>
    <row r="7827" spans="1:4" x14ac:dyDescent="0.2">
      <c r="A7827" t="s">
        <v>2842</v>
      </c>
      <c r="B7827" t="str">
        <f>HYPERLINK("https://lindat.mff.cuni.cz/services/teitok/pdtc10/index.php?action=vallex&amp;frame=v-w374f86_MM", "dávat (v-w374f86_MM)")</f>
        <v>dávat (v-w374f86_MM)</v>
      </c>
    </row>
    <row r="7828" spans="1:4" x14ac:dyDescent="0.2">
      <c r="B7828" t="s">
        <v>1</v>
      </c>
    </row>
    <row r="7829" spans="1:4" x14ac:dyDescent="0.2">
      <c r="B7829" t="s">
        <v>103</v>
      </c>
    </row>
    <row r="7830" spans="1:4" x14ac:dyDescent="0.2">
      <c r="B7830" t="s">
        <v>2843</v>
      </c>
    </row>
    <row r="7832" spans="1:4" x14ac:dyDescent="0.2">
      <c r="A7832" t="s">
        <v>2844</v>
      </c>
      <c r="B7832" t="str">
        <f>HYPERLINK("https://lindat.mff.cuni.cz/services/teitok/pdtc10/index.php?action=vallex&amp;frame=v-w375f5", "dávat se (v-w375f5)")</f>
        <v>dávat se (v-w375f5)</v>
      </c>
    </row>
    <row r="7833" spans="1:4" x14ac:dyDescent="0.2">
      <c r="B7833" t="s">
        <v>1</v>
      </c>
      <c r="D7833" t="s">
        <v>23278</v>
      </c>
    </row>
    <row r="7834" spans="1:4" x14ac:dyDescent="0.2">
      <c r="B7834" t="s">
        <v>817</v>
      </c>
      <c r="D7834" t="s">
        <v>23279</v>
      </c>
    </row>
    <row r="7836" spans="1:4" x14ac:dyDescent="0.2">
      <c r="A7836" t="s">
        <v>2845</v>
      </c>
      <c r="B7836" t="str">
        <f>HYPERLINK("https://lindat.mff.cuni.cz/services/teitok/pdtc10/index.php?action=vallex&amp;frame=v-w375f4", "dávat se (v-w375f4)")</f>
        <v>dávat se (v-w375f4)</v>
      </c>
    </row>
    <row r="7837" spans="1:4" x14ac:dyDescent="0.2">
      <c r="B7837" t="s">
        <v>1</v>
      </c>
    </row>
    <row r="7838" spans="1:4" x14ac:dyDescent="0.2">
      <c r="B7838" t="s">
        <v>28</v>
      </c>
    </row>
    <row r="7840" spans="1:4" x14ac:dyDescent="0.2">
      <c r="A7840" t="s">
        <v>2846</v>
      </c>
      <c r="B7840" t="str">
        <f>HYPERLINK("https://lindat.mff.cuni.cz/services/teitok/pdtc10/index.php?action=vallex&amp;frame=v-w375f3", "dávat se (v-w375f3)")</f>
        <v>dávat se (v-w375f3)</v>
      </c>
    </row>
    <row r="7841" spans="1:2" x14ac:dyDescent="0.2">
      <c r="B7841" t="s">
        <v>1</v>
      </c>
    </row>
    <row r="7842" spans="1:2" x14ac:dyDescent="0.2">
      <c r="B7842" t="s">
        <v>90</v>
      </c>
    </row>
    <row r="7844" spans="1:2" x14ac:dyDescent="0.2">
      <c r="A7844" t="s">
        <v>2847</v>
      </c>
      <c r="B7844" t="str">
        <f>HYPERLINK("https://lindat.mff.cuni.cz/services/teitok/pdtc10/index.php?action=vallex&amp;frame=v-w375f2", "dávat se (v-w375f2)")</f>
        <v>dávat se (v-w375f2)</v>
      </c>
    </row>
    <row r="7845" spans="1:2" x14ac:dyDescent="0.2">
      <c r="B7845" t="s">
        <v>1</v>
      </c>
    </row>
    <row r="7846" spans="1:2" x14ac:dyDescent="0.2">
      <c r="B7846" t="s">
        <v>90</v>
      </c>
    </row>
    <row r="7848" spans="1:2" x14ac:dyDescent="0.2">
      <c r="A7848" t="s">
        <v>2848</v>
      </c>
      <c r="B7848" t="str">
        <f>HYPERLINK("https://lindat.mff.cuni.cz/services/teitok/pdtc10/index.php?action=vallex&amp;frame=v-w375f1", "dávat se (v-w375f1)")</f>
        <v>dávat se (v-w375f1)</v>
      </c>
    </row>
    <row r="7849" spans="1:2" x14ac:dyDescent="0.2">
      <c r="B7849" t="s">
        <v>1</v>
      </c>
    </row>
    <row r="7850" spans="1:2" x14ac:dyDescent="0.2">
      <c r="B7850" t="s">
        <v>2849</v>
      </c>
    </row>
    <row r="7852" spans="1:2" x14ac:dyDescent="0.2">
      <c r="A7852" t="s">
        <v>2850</v>
      </c>
      <c r="B7852" t="str">
        <f>HYPERLINK("https://lindat.mff.cuni.cz/services/teitok/pdtc10/index.php?action=vallex&amp;frame=v-w375f6_ZU", "dávat se (v-w375f6_ZU)")</f>
        <v>dávat se (v-w375f6_ZU)</v>
      </c>
    </row>
    <row r="7853" spans="1:2" x14ac:dyDescent="0.2">
      <c r="B7853" t="s">
        <v>1</v>
      </c>
    </row>
    <row r="7854" spans="1:2" x14ac:dyDescent="0.2">
      <c r="B7854" t="s">
        <v>2606</v>
      </c>
    </row>
    <row r="7855" spans="1:2" x14ac:dyDescent="0.2">
      <c r="B7855" t="s">
        <v>411</v>
      </c>
    </row>
    <row r="7857" spans="1:2" x14ac:dyDescent="0.2">
      <c r="A7857" t="s">
        <v>2851</v>
      </c>
      <c r="B7857" t="str">
        <f>HYPERLINK("https://lindat.mff.cuni.cz/services/teitok/pdtc10/index.php?action=vallex&amp;frame=v-w376f10_ZU", "dávat si (v-w376f10_ZU)")</f>
        <v>dávat si (v-w376f10_ZU)</v>
      </c>
    </row>
    <row r="7858" spans="1:2" x14ac:dyDescent="0.2">
      <c r="B7858" t="s">
        <v>1</v>
      </c>
    </row>
    <row r="7859" spans="1:2" x14ac:dyDescent="0.2">
      <c r="B7859" t="s">
        <v>2852</v>
      </c>
    </row>
    <row r="7861" spans="1:2" x14ac:dyDescent="0.2">
      <c r="A7861" t="s">
        <v>2851</v>
      </c>
      <c r="B7861" t="str">
        <f>HYPERLINK("https://lindat.mff.cuni.cz/services/teitok/pdtc10/index.php?action=vallex&amp;frame=v-w376f5_ZU", "dávat si (v-w376f5_ZU) - substituted with v-w376f10_ZU")</f>
        <v>dávat si (v-w376f5_ZU) - substituted with v-w376f10_ZU</v>
      </c>
    </row>
    <row r="7862" spans="1:2" x14ac:dyDescent="0.2">
      <c r="B7862" t="s">
        <v>1</v>
      </c>
    </row>
    <row r="7863" spans="1:2" x14ac:dyDescent="0.2">
      <c r="B7863" t="s">
        <v>2852</v>
      </c>
    </row>
    <row r="7865" spans="1:2" x14ac:dyDescent="0.2">
      <c r="A7865" t="s">
        <v>2851</v>
      </c>
      <c r="B7865" t="str">
        <f>HYPERLINK("https://lindat.mff.cuni.cz/services/teitok/pdtc10/index.php?action=vallex&amp;frame=v-w376f6_ZU", "dávat si (v-w376f6_ZU) - substituted with v-w376f10_ZU")</f>
        <v>dávat si (v-w376f6_ZU) - substituted with v-w376f10_ZU</v>
      </c>
    </row>
    <row r="7866" spans="1:2" x14ac:dyDescent="0.2">
      <c r="B7866" t="s">
        <v>1</v>
      </c>
    </row>
    <row r="7867" spans="1:2" x14ac:dyDescent="0.2">
      <c r="B7867" t="s">
        <v>2852</v>
      </c>
    </row>
    <row r="7869" spans="1:2" x14ac:dyDescent="0.2">
      <c r="A7869" t="s">
        <v>2853</v>
      </c>
      <c r="B7869" t="str">
        <f>HYPERLINK("https://lindat.mff.cuni.cz/services/teitok/pdtc10/index.php?action=vallex&amp;frame=v-w376f2", "dávat si (v-w376f2)")</f>
        <v>dávat si (v-w376f2)</v>
      </c>
    </row>
    <row r="7870" spans="1:2" x14ac:dyDescent="0.2">
      <c r="B7870" t="s">
        <v>1</v>
      </c>
    </row>
    <row r="7871" spans="1:2" x14ac:dyDescent="0.2">
      <c r="B7871" t="s">
        <v>2854</v>
      </c>
    </row>
    <row r="7872" spans="1:2" x14ac:dyDescent="0.2">
      <c r="B7872" t="s">
        <v>41</v>
      </c>
    </row>
    <row r="7874" spans="1:4" x14ac:dyDescent="0.2">
      <c r="A7874" t="s">
        <v>2855</v>
      </c>
      <c r="B7874" t="str">
        <f>HYPERLINK("https://lindat.mff.cuni.cz/services/teitok/pdtc10/index.php?action=vallex&amp;frame=v-w376f3_ZU", "dávat si (v-w376f3_ZU)")</f>
        <v>dávat si (v-w376f3_ZU)</v>
      </c>
    </row>
    <row r="7875" spans="1:4" x14ac:dyDescent="0.2">
      <c r="B7875" t="s">
        <v>1</v>
      </c>
      <c r="C7875" t="s">
        <v>364</v>
      </c>
      <c r="D7875" t="s">
        <v>80</v>
      </c>
    </row>
    <row r="7876" spans="1:4" x14ac:dyDescent="0.2">
      <c r="B7876" t="s">
        <v>2611</v>
      </c>
      <c r="C7876" t="s">
        <v>552</v>
      </c>
    </row>
    <row r="7877" spans="1:4" x14ac:dyDescent="0.2">
      <c r="B7877" t="s">
        <v>2613</v>
      </c>
      <c r="D7877" t="s">
        <v>23277</v>
      </c>
    </row>
    <row r="7879" spans="1:4" x14ac:dyDescent="0.2">
      <c r="A7879" t="s">
        <v>2856</v>
      </c>
      <c r="B7879" t="str">
        <f>HYPERLINK("https://lindat.mff.cuni.cz/services/teitok/pdtc10/index.php?action=vallex&amp;frame=v-w376f1", "dávat si (v-w376f1)")</f>
        <v>dávat si (v-w376f1)</v>
      </c>
    </row>
    <row r="7880" spans="1:4" x14ac:dyDescent="0.2">
      <c r="B7880" t="s">
        <v>1</v>
      </c>
    </row>
    <row r="7881" spans="1:4" x14ac:dyDescent="0.2">
      <c r="B7881" t="s">
        <v>2857</v>
      </c>
    </row>
    <row r="7883" spans="1:4" x14ac:dyDescent="0.2">
      <c r="A7883" t="s">
        <v>2858</v>
      </c>
      <c r="B7883" t="str">
        <f>HYPERLINK("https://lindat.mff.cuni.cz/services/teitok/pdtc10/index.php?action=vallex&amp;frame=v-w376f7_ZU", "dávat si (v-w376f7_ZU)")</f>
        <v>dávat si (v-w376f7_ZU)</v>
      </c>
    </row>
    <row r="7884" spans="1:4" x14ac:dyDescent="0.2">
      <c r="B7884" t="s">
        <v>1</v>
      </c>
    </row>
    <row r="7885" spans="1:4" x14ac:dyDescent="0.2">
      <c r="B7885" t="s">
        <v>2859</v>
      </c>
    </row>
    <row r="7887" spans="1:4" x14ac:dyDescent="0.2">
      <c r="A7887" t="s">
        <v>2858</v>
      </c>
      <c r="B7887" t="str">
        <f>HYPERLINK("https://lindat.mff.cuni.cz/services/teitok/pdtc10/index.php?action=vallex&amp;frame=v-w376hsa_421", "dávat si (v-w376hsa_421) - substituted with v-w376f7_ZU")</f>
        <v>dávat si (v-w376hsa_421) - substituted with v-w376f7_ZU</v>
      </c>
    </row>
    <row r="7888" spans="1:4" x14ac:dyDescent="0.2">
      <c r="B7888" t="s">
        <v>1</v>
      </c>
    </row>
    <row r="7889" spans="1:2" x14ac:dyDescent="0.2">
      <c r="B7889" t="s">
        <v>2859</v>
      </c>
    </row>
    <row r="7891" spans="1:2" x14ac:dyDescent="0.2">
      <c r="A7891" t="s">
        <v>2860</v>
      </c>
      <c r="B7891" t="str">
        <f>HYPERLINK("https://lindat.mff.cuni.cz/services/teitok/pdtc10/index.php?action=vallex&amp;frame=v-w376f8_ZU", "dávat si (v-w376f8_ZU)")</f>
        <v>dávat si (v-w376f8_ZU)</v>
      </c>
    </row>
    <row r="7892" spans="1:2" x14ac:dyDescent="0.2">
      <c r="B7892" t="s">
        <v>1</v>
      </c>
    </row>
    <row r="7893" spans="1:2" x14ac:dyDescent="0.2">
      <c r="B7893" t="s">
        <v>2861</v>
      </c>
    </row>
    <row r="7894" spans="1:2" x14ac:dyDescent="0.2">
      <c r="B7894" t="s">
        <v>28</v>
      </c>
    </row>
    <row r="7896" spans="1:2" x14ac:dyDescent="0.2">
      <c r="A7896" t="s">
        <v>2860</v>
      </c>
      <c r="B7896" t="str">
        <f>HYPERLINK("https://lindat.mff.cuni.cz/services/teitok/pdtc10/index.php?action=vallex&amp;frame=v-w376hsa_422", "dávat si (v-w376hsa_422) - substituted with v-w376f8_ZU")</f>
        <v>dávat si (v-w376hsa_422) - substituted with v-w376f8_ZU</v>
      </c>
    </row>
    <row r="7897" spans="1:2" x14ac:dyDescent="0.2">
      <c r="B7897" t="s">
        <v>1</v>
      </c>
    </row>
    <row r="7898" spans="1:2" x14ac:dyDescent="0.2">
      <c r="B7898" t="s">
        <v>2861</v>
      </c>
    </row>
    <row r="7899" spans="1:2" x14ac:dyDescent="0.2">
      <c r="B7899" t="s">
        <v>28</v>
      </c>
    </row>
    <row r="7901" spans="1:2" x14ac:dyDescent="0.2">
      <c r="A7901" t="s">
        <v>2862</v>
      </c>
      <c r="B7901" t="str">
        <f>HYPERLINK("https://lindat.mff.cuni.cz/services/teitok/pdtc10/index.php?action=vallex&amp;frame=v-w376hsa_1441", "dávat si (v-w376hsa_1441)")</f>
        <v>dávat si (v-w376hsa_1441)</v>
      </c>
    </row>
    <row r="7902" spans="1:2" x14ac:dyDescent="0.2">
      <c r="B7902" t="s">
        <v>1</v>
      </c>
    </row>
    <row r="7903" spans="1:2" x14ac:dyDescent="0.2">
      <c r="B7903" t="s">
        <v>8</v>
      </c>
    </row>
    <row r="7905" spans="1:4" x14ac:dyDescent="0.2">
      <c r="A7905" t="s">
        <v>2863</v>
      </c>
      <c r="B7905" t="str">
        <f>HYPERLINK("https://lindat.mff.cuni.cz/services/teitok/pdtc10/index.php?action=vallex&amp;frame=v-w379f1", "dávkovat (v-w379f1)")</f>
        <v>dávkovat (v-w379f1)</v>
      </c>
    </row>
    <row r="7906" spans="1:4" x14ac:dyDescent="0.2">
      <c r="B7906" t="s">
        <v>1</v>
      </c>
    </row>
    <row r="7907" spans="1:4" x14ac:dyDescent="0.2">
      <c r="B7907" t="s">
        <v>8</v>
      </c>
    </row>
    <row r="7908" spans="1:4" x14ac:dyDescent="0.2">
      <c r="B7908" t="s">
        <v>35</v>
      </c>
    </row>
    <row r="7910" spans="1:4" x14ac:dyDescent="0.2">
      <c r="A7910" t="s">
        <v>2864</v>
      </c>
      <c r="B7910" t="str">
        <f>HYPERLINK("https://lindat.mff.cuni.cz/services/teitok/pdtc10/index.php?action=vallex&amp;frame=v-w428f1", "démonizovat (v-w428f1)")</f>
        <v>démonizovat (v-w428f1)</v>
      </c>
    </row>
    <row r="7911" spans="1:4" x14ac:dyDescent="0.2">
      <c r="B7911" t="s">
        <v>1</v>
      </c>
    </row>
    <row r="7912" spans="1:4" x14ac:dyDescent="0.2">
      <c r="B7912" t="s">
        <v>8</v>
      </c>
    </row>
    <row r="7914" spans="1:4" x14ac:dyDescent="0.2">
      <c r="A7914" t="s">
        <v>2865</v>
      </c>
      <c r="B7914" t="str">
        <f>HYPERLINK("https://lindat.mff.cuni.cz/services/teitok/pdtc10/index.php?action=vallex&amp;frame=v-w491f1", "dít (v-w491f1)")</f>
        <v>dít (v-w491f1)</v>
      </c>
    </row>
    <row r="7915" spans="1:4" x14ac:dyDescent="0.2">
      <c r="B7915" t="s">
        <v>1</v>
      </c>
    </row>
    <row r="7916" spans="1:4" x14ac:dyDescent="0.2">
      <c r="B7916" t="s">
        <v>1688</v>
      </c>
    </row>
    <row r="7917" spans="1:4" x14ac:dyDescent="0.2">
      <c r="B7917" t="s">
        <v>269</v>
      </c>
    </row>
    <row r="7919" spans="1:4" x14ac:dyDescent="0.2">
      <c r="A7919" t="s">
        <v>2866</v>
      </c>
      <c r="B7919" t="str">
        <f>HYPERLINK("https://lindat.mff.cuni.cz/services/teitok/pdtc10/index.php?action=vallex&amp;frame=v-w492f2", "dít se (v-w492f2)")</f>
        <v>dít se (v-w492f2)</v>
      </c>
    </row>
    <row r="7920" spans="1:4" x14ac:dyDescent="0.2">
      <c r="B7920" t="s">
        <v>1</v>
      </c>
      <c r="C7920" t="s">
        <v>2867</v>
      </c>
      <c r="D7920" t="s">
        <v>20058</v>
      </c>
    </row>
    <row r="7921" spans="1:4" x14ac:dyDescent="0.2">
      <c r="B7921" t="s">
        <v>411</v>
      </c>
      <c r="C7921" t="s">
        <v>2868</v>
      </c>
      <c r="D7921" t="s">
        <v>2868</v>
      </c>
    </row>
    <row r="7923" spans="1:4" x14ac:dyDescent="0.2">
      <c r="A7923" t="s">
        <v>2869</v>
      </c>
      <c r="B7923" t="str">
        <f>HYPERLINK("https://lindat.mff.cuni.cz/services/teitok/pdtc10/index.php?action=vallex&amp;frame=v-w492f3", "dít se (v-w492f3)")</f>
        <v>dít se (v-w492f3)</v>
      </c>
    </row>
    <row r="7924" spans="1:4" x14ac:dyDescent="0.2">
      <c r="B7924" t="s">
        <v>488</v>
      </c>
      <c r="C7924" t="s">
        <v>1586</v>
      </c>
    </row>
    <row r="7925" spans="1:4" x14ac:dyDescent="0.2">
      <c r="B7925" t="s">
        <v>86</v>
      </c>
    </row>
    <row r="7927" spans="1:4" x14ac:dyDescent="0.2">
      <c r="A7927" t="s">
        <v>2870</v>
      </c>
      <c r="B7927" t="str">
        <f>HYPERLINK("https://lindat.mff.cuni.cz/services/teitok/pdtc10/index.php?action=vallex&amp;frame=v-w492f1", "dít se (v-w492f1)")</f>
        <v>dít se (v-w492f1)</v>
      </c>
    </row>
    <row r="7928" spans="1:4" x14ac:dyDescent="0.2">
      <c r="B7928" t="s">
        <v>2871</v>
      </c>
      <c r="C7928" t="s">
        <v>2872</v>
      </c>
      <c r="D7928" t="s">
        <v>22988</v>
      </c>
    </row>
    <row r="7930" spans="1:4" x14ac:dyDescent="0.2">
      <c r="A7930" t="s">
        <v>2873</v>
      </c>
      <c r="B7930" t="str">
        <f>HYPERLINK("https://lindat.mff.cuni.cz/services/teitok/pdtc10/index.php?action=vallex&amp;frame=v-w494f11_ZU", "dívat se (v-w494f11_ZU)")</f>
        <v>dívat se (v-w494f11_ZU)</v>
      </c>
    </row>
    <row r="7931" spans="1:4" x14ac:dyDescent="0.2">
      <c r="B7931" t="s">
        <v>1</v>
      </c>
    </row>
    <row r="7932" spans="1:4" x14ac:dyDescent="0.2">
      <c r="B7932" t="s">
        <v>2874</v>
      </c>
    </row>
    <row r="7934" spans="1:4" x14ac:dyDescent="0.2">
      <c r="A7934" t="s">
        <v>2873</v>
      </c>
      <c r="B7934" t="str">
        <f>HYPERLINK("https://lindat.mff.cuni.cz/services/teitok/pdtc10/index.php?action=vallex&amp;frame=v-w494f1", "dívat se (v-w494f1) - substituted with v-w494f11_ZU")</f>
        <v>dívat se (v-w494f1) - substituted with v-w494f11_ZU</v>
      </c>
    </row>
    <row r="7935" spans="1:4" x14ac:dyDescent="0.2">
      <c r="B7935" t="s">
        <v>1</v>
      </c>
      <c r="C7935" t="s">
        <v>2875</v>
      </c>
      <c r="D7935" t="s">
        <v>8689</v>
      </c>
    </row>
    <row r="7936" spans="1:4" x14ac:dyDescent="0.2">
      <c r="B7936" t="s">
        <v>2874</v>
      </c>
      <c r="C7936" t="s">
        <v>2876</v>
      </c>
      <c r="D7936" t="s">
        <v>3233</v>
      </c>
    </row>
    <row r="7938" spans="1:4" x14ac:dyDescent="0.2">
      <c r="A7938" t="s">
        <v>2873</v>
      </c>
      <c r="B7938" t="str">
        <f>HYPERLINK("https://lindat.mff.cuni.cz/services/teitok/pdtc10/index.php?action=vallex&amp;frame=v-w494f7_ZU", "dívat se (v-w494f7_ZU) - substituted with v-w494f11_ZU")</f>
        <v>dívat se (v-w494f7_ZU) - substituted with v-w494f11_ZU</v>
      </c>
    </row>
    <row r="7939" spans="1:4" x14ac:dyDescent="0.2">
      <c r="B7939" t="s">
        <v>1</v>
      </c>
    </row>
    <row r="7940" spans="1:4" x14ac:dyDescent="0.2">
      <c r="B7940" t="s">
        <v>2874</v>
      </c>
    </row>
    <row r="7942" spans="1:4" x14ac:dyDescent="0.2">
      <c r="A7942" t="s">
        <v>2873</v>
      </c>
      <c r="B7942" t="str">
        <f>HYPERLINK("https://lindat.mff.cuni.cz/services/teitok/pdtc10/index.php?action=vallex&amp;frame=v-w494f8_ZU", "dívat se (v-w494f8_ZU) - substituted with v-w494f11_ZU")</f>
        <v>dívat se (v-w494f8_ZU) - substituted with v-w494f11_ZU</v>
      </c>
    </row>
    <row r="7943" spans="1:4" x14ac:dyDescent="0.2">
      <c r="B7943" t="s">
        <v>1</v>
      </c>
    </row>
    <row r="7944" spans="1:4" x14ac:dyDescent="0.2">
      <c r="B7944" t="s">
        <v>2874</v>
      </c>
    </row>
    <row r="7946" spans="1:4" x14ac:dyDescent="0.2">
      <c r="A7946" t="s">
        <v>2873</v>
      </c>
      <c r="B7946" t="str">
        <f>HYPERLINK("https://lindat.mff.cuni.cz/services/teitok/pdtc10/index.php?action=vallex&amp;frame=v-w494f9_ZU", "dívat se (v-w494f9_ZU) - substituted with v-w494f11_ZU")</f>
        <v>dívat se (v-w494f9_ZU) - substituted with v-w494f11_ZU</v>
      </c>
    </row>
    <row r="7947" spans="1:4" x14ac:dyDescent="0.2">
      <c r="B7947" t="s">
        <v>1</v>
      </c>
    </row>
    <row r="7948" spans="1:4" x14ac:dyDescent="0.2">
      <c r="B7948" t="s">
        <v>2874</v>
      </c>
    </row>
    <row r="7950" spans="1:4" x14ac:dyDescent="0.2">
      <c r="A7950" t="s">
        <v>2877</v>
      </c>
      <c r="B7950" t="str">
        <f>HYPERLINK("https://lindat.mff.cuni.cz/services/teitok/pdtc10/index.php?action=vallex&amp;frame=v-w494f2", "dívat se (v-w494f2)")</f>
        <v>dívat se (v-w494f2)</v>
      </c>
    </row>
    <row r="7951" spans="1:4" x14ac:dyDescent="0.2">
      <c r="B7951" t="s">
        <v>1</v>
      </c>
      <c r="C7951" t="s">
        <v>2878</v>
      </c>
      <c r="D7951" t="s">
        <v>23008</v>
      </c>
    </row>
    <row r="7952" spans="1:4" x14ac:dyDescent="0.2">
      <c r="B7952" t="s">
        <v>28</v>
      </c>
      <c r="C7952" t="s">
        <v>2879</v>
      </c>
      <c r="D7952" t="s">
        <v>17729</v>
      </c>
    </row>
    <row r="7953" spans="1:4" x14ac:dyDescent="0.2">
      <c r="B7953" t="s">
        <v>2880</v>
      </c>
      <c r="D7953" t="s">
        <v>23308</v>
      </c>
    </row>
    <row r="7954" spans="1:4" x14ac:dyDescent="0.2">
      <c r="B7954" t="s">
        <v>346</v>
      </c>
      <c r="C7954" t="s">
        <v>2881</v>
      </c>
      <c r="D7954" t="s">
        <v>23309</v>
      </c>
    </row>
    <row r="7955" spans="1:4" x14ac:dyDescent="0.2">
      <c r="B7955" t="s">
        <v>349</v>
      </c>
      <c r="D7955" t="s">
        <v>23310</v>
      </c>
    </row>
    <row r="7956" spans="1:4" x14ac:dyDescent="0.2">
      <c r="B7956" t="s">
        <v>350</v>
      </c>
      <c r="D7956" t="s">
        <v>23311</v>
      </c>
    </row>
    <row r="7957" spans="1:4" x14ac:dyDescent="0.2">
      <c r="B7957" t="s">
        <v>351</v>
      </c>
      <c r="C7957" t="s">
        <v>2882</v>
      </c>
      <c r="D7957" t="s">
        <v>23312</v>
      </c>
    </row>
    <row r="7959" spans="1:4" x14ac:dyDescent="0.2">
      <c r="A7959" t="s">
        <v>2883</v>
      </c>
      <c r="B7959" t="str">
        <f>HYPERLINK("https://lindat.mff.cuni.cz/services/teitok/pdtc10/index.php?action=vallex&amp;frame=v-w494f4", "dívat se (v-w494f4)")</f>
        <v>dívat se (v-w494f4)</v>
      </c>
    </row>
    <row r="7960" spans="1:4" x14ac:dyDescent="0.2">
      <c r="B7960" t="s">
        <v>1</v>
      </c>
      <c r="C7960" t="s">
        <v>976</v>
      </c>
    </row>
    <row r="7961" spans="1:4" x14ac:dyDescent="0.2">
      <c r="B7961" t="s">
        <v>28</v>
      </c>
      <c r="C7961" t="s">
        <v>2884</v>
      </c>
    </row>
    <row r="7963" spans="1:4" x14ac:dyDescent="0.2">
      <c r="A7963" t="s">
        <v>2885</v>
      </c>
      <c r="B7963" t="str">
        <f>HYPERLINK("https://lindat.mff.cuni.cz/services/teitok/pdtc10/index.php?action=vallex&amp;frame=v-w494f5_ZU", "dívat se (v-w494f5_ZU)")</f>
        <v>dívat se (v-w494f5_ZU)</v>
      </c>
    </row>
    <row r="7964" spans="1:4" x14ac:dyDescent="0.2">
      <c r="B7964" t="s">
        <v>1</v>
      </c>
      <c r="C7964" t="s">
        <v>1065</v>
      </c>
      <c r="D7964" t="s">
        <v>23125</v>
      </c>
    </row>
    <row r="7965" spans="1:4" x14ac:dyDescent="0.2">
      <c r="B7965" t="s">
        <v>1165</v>
      </c>
      <c r="C7965" t="s">
        <v>2886</v>
      </c>
      <c r="D7965" t="s">
        <v>23126</v>
      </c>
    </row>
    <row r="7967" spans="1:4" x14ac:dyDescent="0.2">
      <c r="A7967" t="s">
        <v>2887</v>
      </c>
      <c r="B7967" t="str">
        <f>HYPERLINK("https://lindat.mff.cuni.cz/services/teitok/pdtc10/index.php?action=vallex&amp;frame=v-w494f13_ZU", "dívat se (v-w494f13_ZU)")</f>
        <v>dívat se (v-w494f13_ZU)</v>
      </c>
    </row>
    <row r="7968" spans="1:4" x14ac:dyDescent="0.2">
      <c r="B7968" t="s">
        <v>1</v>
      </c>
    </row>
    <row r="7969" spans="1:4" x14ac:dyDescent="0.2">
      <c r="B7969" t="s">
        <v>90</v>
      </c>
    </row>
    <row r="7971" spans="1:4" x14ac:dyDescent="0.2">
      <c r="A7971" t="s">
        <v>2887</v>
      </c>
      <c r="B7971" t="str">
        <f>HYPERLINK("https://lindat.mff.cuni.cz/services/teitok/pdtc10/index.php?action=vallex&amp;frame=v-w494f3", "dívat se (v-w494f3) - substituted with v-w494f13_ZU")</f>
        <v>dívat se (v-w494f3) - substituted with v-w494f13_ZU</v>
      </c>
    </row>
    <row r="7972" spans="1:4" x14ac:dyDescent="0.2">
      <c r="B7972" t="s">
        <v>1</v>
      </c>
      <c r="C7972" t="s">
        <v>66</v>
      </c>
      <c r="D7972" t="s">
        <v>317</v>
      </c>
    </row>
    <row r="7973" spans="1:4" x14ac:dyDescent="0.2">
      <c r="B7973" t="s">
        <v>90</v>
      </c>
      <c r="C7973" t="s">
        <v>2888</v>
      </c>
      <c r="D7973" t="s">
        <v>23313</v>
      </c>
    </row>
    <row r="7975" spans="1:4" x14ac:dyDescent="0.2">
      <c r="A7975" t="s">
        <v>2889</v>
      </c>
      <c r="B7975" t="str">
        <f>HYPERLINK("https://lindat.mff.cuni.cz/services/teitok/pdtc10/index.php?action=vallex&amp;frame=v-w494f6_ZU", "dívat se (v-w494f6_ZU)")</f>
        <v>dívat se (v-w494f6_ZU)</v>
      </c>
    </row>
    <row r="7976" spans="1:4" x14ac:dyDescent="0.2">
      <c r="B7976" t="s">
        <v>1</v>
      </c>
      <c r="C7976" t="s">
        <v>2303</v>
      </c>
    </row>
    <row r="7977" spans="1:4" x14ac:dyDescent="0.2">
      <c r="B7977" t="s">
        <v>103</v>
      </c>
    </row>
    <row r="7978" spans="1:4" x14ac:dyDescent="0.2">
      <c r="B7978" t="s">
        <v>2890</v>
      </c>
    </row>
    <row r="7980" spans="1:4" x14ac:dyDescent="0.2">
      <c r="A7980" t="s">
        <v>2889</v>
      </c>
      <c r="B7980" t="str">
        <f>HYPERLINK("https://lindat.mff.cuni.cz/services/teitok/pdtc10/index.php?action=vallex&amp;frame=v-w494hsa_1065", "dívat se (v-w494hsa_1065) - substituted with v-w494f6_ZU")</f>
        <v>dívat se (v-w494hsa_1065) - substituted with v-w494f6_ZU</v>
      </c>
    </row>
    <row r="7981" spans="1:4" x14ac:dyDescent="0.2">
      <c r="B7981" t="s">
        <v>1</v>
      </c>
    </row>
    <row r="7982" spans="1:4" x14ac:dyDescent="0.2">
      <c r="B7982" t="s">
        <v>103</v>
      </c>
    </row>
    <row r="7983" spans="1:4" x14ac:dyDescent="0.2">
      <c r="B7983" t="s">
        <v>2890</v>
      </c>
    </row>
    <row r="7985" spans="1:2" x14ac:dyDescent="0.2">
      <c r="A7985" t="s">
        <v>2891</v>
      </c>
      <c r="B7985" t="str">
        <f>HYPERLINK("https://lindat.mff.cuni.cz/services/teitok/pdtc10/index.php?action=vallex&amp;frame=v-w494f12_ZU", "dívat se (v-w494f12_ZU)")</f>
        <v>dívat se (v-w494f12_ZU)</v>
      </c>
    </row>
    <row r="7986" spans="1:2" x14ac:dyDescent="0.2">
      <c r="B7986" t="s">
        <v>1</v>
      </c>
    </row>
    <row r="7987" spans="1:2" x14ac:dyDescent="0.2">
      <c r="B7987" t="s">
        <v>28</v>
      </c>
    </row>
    <row r="7988" spans="1:2" x14ac:dyDescent="0.2">
      <c r="B7988" t="s">
        <v>2892</v>
      </c>
    </row>
    <row r="7990" spans="1:2" x14ac:dyDescent="0.2">
      <c r="A7990" t="s">
        <v>2891</v>
      </c>
      <c r="B7990" t="str">
        <f>HYPERLINK("https://lindat.mff.cuni.cz/services/teitok/pdtc10/index.php?action=vallex&amp;frame=v-w494f10_ZU", "dívat se (v-w494f10_ZU) - substituted with v-w494f12_ZU")</f>
        <v>dívat se (v-w494f10_ZU) - substituted with v-w494f12_ZU</v>
      </c>
    </row>
    <row r="7991" spans="1:2" x14ac:dyDescent="0.2">
      <c r="B7991" t="s">
        <v>1</v>
      </c>
    </row>
    <row r="7992" spans="1:2" x14ac:dyDescent="0.2">
      <c r="B7992" t="s">
        <v>28</v>
      </c>
    </row>
    <row r="7993" spans="1:2" x14ac:dyDescent="0.2">
      <c r="B7993" t="s">
        <v>2892</v>
      </c>
    </row>
    <row r="7995" spans="1:2" x14ac:dyDescent="0.2">
      <c r="A7995" t="s">
        <v>2893</v>
      </c>
      <c r="B7995" t="str">
        <f>HYPERLINK("https://lindat.mff.cuni.cz/services/teitok/pdtc10/index.php?action=vallex&amp;frame=v-w862f2", "dýchat (v-w862f2)")</f>
        <v>dýchat (v-w862f2)</v>
      </c>
    </row>
    <row r="7996" spans="1:2" x14ac:dyDescent="0.2">
      <c r="B7996" t="s">
        <v>1</v>
      </c>
    </row>
    <row r="7997" spans="1:2" x14ac:dyDescent="0.2">
      <c r="B7997" t="s">
        <v>8</v>
      </c>
    </row>
    <row r="7999" spans="1:2" x14ac:dyDescent="0.2">
      <c r="A7999" t="s">
        <v>2894</v>
      </c>
      <c r="B7999" t="str">
        <f>HYPERLINK("https://lindat.mff.cuni.cz/services/teitok/pdtc10/index.php?action=vallex&amp;frame=v-w862f5_ZU", "dýchat (v-w862f5_ZU)")</f>
        <v>dýchat (v-w862f5_ZU)</v>
      </c>
    </row>
    <row r="8000" spans="1:2" x14ac:dyDescent="0.2">
      <c r="B8000" t="s">
        <v>1</v>
      </c>
    </row>
    <row r="8002" spans="1:4" x14ac:dyDescent="0.2">
      <c r="A8002" t="s">
        <v>2894</v>
      </c>
      <c r="B8002" t="str">
        <f>HYPERLINK("https://lindat.mff.cuni.cz/services/teitok/pdtc10/index.php?action=vallex&amp;frame=v-w862f1", "dýchat (v-w862f1) - substituted with v-w862f5_ZU")</f>
        <v>dýchat (v-w862f1) - substituted with v-w862f5_ZU</v>
      </c>
    </row>
    <row r="8003" spans="1:4" x14ac:dyDescent="0.2">
      <c r="B8003" t="s">
        <v>1</v>
      </c>
      <c r="C8003" t="s">
        <v>430</v>
      </c>
      <c r="D8003" t="s">
        <v>430</v>
      </c>
    </row>
    <row r="8005" spans="1:4" x14ac:dyDescent="0.2">
      <c r="A8005" t="s">
        <v>2894</v>
      </c>
      <c r="B8005" t="str">
        <f>HYPERLINK("https://lindat.mff.cuni.cz/services/teitok/pdtc10/index.php?action=vallex&amp;frame=v-w862f4_ZU", "dýchat (v-w862f4_ZU) - substituted with v-w862f5_ZU")</f>
        <v>dýchat (v-w862f4_ZU) - substituted with v-w862f5_ZU</v>
      </c>
    </row>
    <row r="8006" spans="1:4" x14ac:dyDescent="0.2">
      <c r="B8006" t="s">
        <v>1</v>
      </c>
    </row>
    <row r="8008" spans="1:4" x14ac:dyDescent="0.2">
      <c r="A8008" t="s">
        <v>2895</v>
      </c>
      <c r="B8008" t="str">
        <f>HYPERLINK("https://lindat.mff.cuni.cz/services/teitok/pdtc10/index.php?action=vallex&amp;frame=v-w862f3_ZU", "dýchat (v-w862f3_ZU)")</f>
        <v>dýchat (v-w862f3_ZU)</v>
      </c>
    </row>
    <row r="8009" spans="1:4" x14ac:dyDescent="0.2">
      <c r="B8009" t="s">
        <v>1</v>
      </c>
      <c r="C8009" t="s">
        <v>430</v>
      </c>
    </row>
    <row r="8010" spans="1:4" x14ac:dyDescent="0.2">
      <c r="B8010" t="s">
        <v>2896</v>
      </c>
    </row>
    <row r="8011" spans="1:4" x14ac:dyDescent="0.2">
      <c r="B8011" t="s">
        <v>103</v>
      </c>
    </row>
    <row r="8013" spans="1:4" x14ac:dyDescent="0.2">
      <c r="A8013" t="s">
        <v>2895</v>
      </c>
      <c r="B8013" t="str">
        <f>HYPERLINK("https://lindat.mff.cuni.cz/services/teitok/pdtc10/index.php?action=vallex&amp;frame=v-w862hsa_75", "dýchat (v-w862hsa_75) - substituted with v-w862f3_ZU")</f>
        <v>dýchat (v-w862hsa_75) - substituted with v-w862f3_ZU</v>
      </c>
    </row>
    <row r="8014" spans="1:4" x14ac:dyDescent="0.2">
      <c r="B8014" t="s">
        <v>1</v>
      </c>
    </row>
    <row r="8015" spans="1:4" x14ac:dyDescent="0.2">
      <c r="B8015" t="s">
        <v>2896</v>
      </c>
    </row>
    <row r="8016" spans="1:4" x14ac:dyDescent="0.2">
      <c r="B8016" t="s">
        <v>103</v>
      </c>
    </row>
    <row r="8018" spans="1:4" x14ac:dyDescent="0.2">
      <c r="A8018" t="s">
        <v>2897</v>
      </c>
      <c r="B8018" t="str">
        <f>HYPERLINK("https://lindat.mff.cuni.cz/services/teitok/pdtc10/index.php?action=vallex&amp;frame=v-w862hsa_1182", "dýchat (v-w862hsa_1182)")</f>
        <v>dýchat (v-w862hsa_1182)</v>
      </c>
    </row>
    <row r="8019" spans="1:4" x14ac:dyDescent="0.2">
      <c r="B8019" t="s">
        <v>1</v>
      </c>
    </row>
    <row r="8020" spans="1:4" x14ac:dyDescent="0.2">
      <c r="B8020" t="s">
        <v>28</v>
      </c>
    </row>
    <row r="8022" spans="1:4" x14ac:dyDescent="0.2">
      <c r="A8022" t="s">
        <v>2898</v>
      </c>
      <c r="B8022" t="str">
        <f>HYPERLINK("https://lindat.mff.cuni.cz/services/teitok/pdtc10/index.php?action=vallex&amp;frame=v-w862hsa_1183", "dýchat (v-w862hsa_1183)")</f>
        <v>dýchat (v-w862hsa_1183)</v>
      </c>
    </row>
    <row r="8023" spans="1:4" x14ac:dyDescent="0.2">
      <c r="B8023" t="s">
        <v>1</v>
      </c>
    </row>
    <row r="8024" spans="1:4" x14ac:dyDescent="0.2">
      <c r="B8024" t="s">
        <v>158</v>
      </c>
    </row>
    <row r="8026" spans="1:4" x14ac:dyDescent="0.2">
      <c r="A8026" t="s">
        <v>2899</v>
      </c>
      <c r="B8026" t="str">
        <f>HYPERLINK("https://lindat.mff.cuni.cz/services/teitok/pdtc10/index.php?action=vallex&amp;frame=v-w10147f3_ZU", "dědit (v-w10147f3_ZU)")</f>
        <v>dědit (v-w10147f3_ZU)</v>
      </c>
    </row>
    <row r="8027" spans="1:4" x14ac:dyDescent="0.2">
      <c r="B8027" t="s">
        <v>1</v>
      </c>
      <c r="C8027" t="s">
        <v>2239</v>
      </c>
      <c r="D8027" t="s">
        <v>2239</v>
      </c>
    </row>
    <row r="8028" spans="1:4" x14ac:dyDescent="0.2">
      <c r="B8028" t="s">
        <v>8</v>
      </c>
      <c r="C8028" t="s">
        <v>54</v>
      </c>
      <c r="D8028" t="s">
        <v>54</v>
      </c>
    </row>
    <row r="8030" spans="1:4" x14ac:dyDescent="0.2">
      <c r="A8030" t="s">
        <v>2899</v>
      </c>
      <c r="B8030" t="str">
        <f>HYPERLINK("https://lindat.mff.cuni.cz/services/teitok/pdtc10/index.php?action=vallex&amp;frame=v-w10147f2", "dědit (v-w10147f2) - substituted with v-w10147f3_ZU")</f>
        <v>dědit (v-w10147f2) - substituted with v-w10147f3_ZU</v>
      </c>
    </row>
    <row r="8031" spans="1:4" x14ac:dyDescent="0.2">
      <c r="B8031" t="s">
        <v>1</v>
      </c>
    </row>
    <row r="8032" spans="1:4" x14ac:dyDescent="0.2">
      <c r="B8032" t="s">
        <v>8</v>
      </c>
    </row>
    <row r="8034" spans="1:4" x14ac:dyDescent="0.2">
      <c r="A8034" t="s">
        <v>2900</v>
      </c>
      <c r="B8034" t="str">
        <f>HYPERLINK("https://lindat.mff.cuni.cz/services/teitok/pdtc10/index.php?action=vallex&amp;frame=v-w406f1", "děkovat (v-w406f1)")</f>
        <v>děkovat (v-w406f1)</v>
      </c>
    </row>
    <row r="8035" spans="1:4" x14ac:dyDescent="0.2">
      <c r="B8035" t="s">
        <v>1</v>
      </c>
      <c r="C8035" t="s">
        <v>133</v>
      </c>
      <c r="D8035" t="s">
        <v>133</v>
      </c>
    </row>
    <row r="8036" spans="1:4" x14ac:dyDescent="0.2">
      <c r="B8036" t="s">
        <v>35</v>
      </c>
      <c r="C8036" t="s">
        <v>2901</v>
      </c>
      <c r="D8036" t="s">
        <v>2901</v>
      </c>
    </row>
    <row r="8037" spans="1:4" x14ac:dyDescent="0.2">
      <c r="B8037" t="s">
        <v>178</v>
      </c>
      <c r="C8037" t="s">
        <v>2902</v>
      </c>
      <c r="D8037" t="s">
        <v>2902</v>
      </c>
    </row>
    <row r="8039" spans="1:4" x14ac:dyDescent="0.2">
      <c r="A8039" t="s">
        <v>2903</v>
      </c>
      <c r="B8039" t="str">
        <f>HYPERLINK("https://lindat.mff.cuni.cz/services/teitok/pdtc10/index.php?action=vallex&amp;frame=v-w409f11", "dělat (v-w409f11)")</f>
        <v>dělat (v-w409f11)</v>
      </c>
    </row>
    <row r="8040" spans="1:4" x14ac:dyDescent="0.2">
      <c r="B8040" t="s">
        <v>196</v>
      </c>
      <c r="C8040" t="s">
        <v>2904</v>
      </c>
    </row>
    <row r="8041" spans="1:4" x14ac:dyDescent="0.2">
      <c r="B8041" t="s">
        <v>8</v>
      </c>
      <c r="C8041" t="s">
        <v>2905</v>
      </c>
    </row>
    <row r="8042" spans="1:4" x14ac:dyDescent="0.2">
      <c r="B8042" t="s">
        <v>35</v>
      </c>
      <c r="C8042" t="s">
        <v>2906</v>
      </c>
    </row>
    <row r="8044" spans="1:4" x14ac:dyDescent="0.2">
      <c r="A8044" t="s">
        <v>2907</v>
      </c>
      <c r="B8044" t="str">
        <f>HYPERLINK("https://lindat.mff.cuni.cz/services/teitok/pdtc10/index.php?action=vallex&amp;frame=v-w409f6", "dělat (v-w409f6)")</f>
        <v>dělat (v-w409f6)</v>
      </c>
    </row>
    <row r="8045" spans="1:4" x14ac:dyDescent="0.2">
      <c r="B8045" t="s">
        <v>1</v>
      </c>
    </row>
    <row r="8046" spans="1:4" x14ac:dyDescent="0.2">
      <c r="B8046" t="s">
        <v>8</v>
      </c>
    </row>
    <row r="8047" spans="1:4" x14ac:dyDescent="0.2">
      <c r="B8047" t="s">
        <v>35</v>
      </c>
    </row>
    <row r="8049" spans="1:3" x14ac:dyDescent="0.2">
      <c r="A8049" t="s">
        <v>2908</v>
      </c>
      <c r="B8049" t="str">
        <f>HYPERLINK("https://lindat.mff.cuni.cz/services/teitok/pdtc10/index.php?action=vallex&amp;frame=v-w409f7", "dělat (v-w409f7)")</f>
        <v>dělat (v-w409f7)</v>
      </c>
    </row>
    <row r="8050" spans="1:3" x14ac:dyDescent="0.2">
      <c r="B8050" t="s">
        <v>1</v>
      </c>
      <c r="C8050" t="s">
        <v>2909</v>
      </c>
    </row>
    <row r="8051" spans="1:3" x14ac:dyDescent="0.2">
      <c r="B8051" t="s">
        <v>8</v>
      </c>
      <c r="C8051" t="s">
        <v>2910</v>
      </c>
    </row>
    <row r="8052" spans="1:3" x14ac:dyDescent="0.2">
      <c r="B8052" t="s">
        <v>153</v>
      </c>
      <c r="C8052" t="s">
        <v>2911</v>
      </c>
    </row>
    <row r="8054" spans="1:3" x14ac:dyDescent="0.2">
      <c r="A8054" t="s">
        <v>2912</v>
      </c>
      <c r="B8054" t="str">
        <f>HYPERLINK("https://lindat.mff.cuni.cz/services/teitok/pdtc10/index.php?action=vallex&amp;frame=v-w409f17", "dělat (v-w409f17)")</f>
        <v>dělat (v-w409f17)</v>
      </c>
    </row>
    <row r="8055" spans="1:3" x14ac:dyDescent="0.2">
      <c r="B8055" t="s">
        <v>1</v>
      </c>
      <c r="C8055" t="s">
        <v>2913</v>
      </c>
    </row>
    <row r="8056" spans="1:3" x14ac:dyDescent="0.2">
      <c r="B8056" t="s">
        <v>8</v>
      </c>
      <c r="C8056" t="s">
        <v>2914</v>
      </c>
    </row>
    <row r="8057" spans="1:3" x14ac:dyDescent="0.2">
      <c r="B8057" t="s">
        <v>24</v>
      </c>
      <c r="C8057" t="s">
        <v>2915</v>
      </c>
    </row>
    <row r="8058" spans="1:3" x14ac:dyDescent="0.2">
      <c r="B8058" t="s">
        <v>25</v>
      </c>
    </row>
    <row r="8060" spans="1:3" x14ac:dyDescent="0.2">
      <c r="A8060" t="s">
        <v>2916</v>
      </c>
      <c r="B8060" t="str">
        <f>HYPERLINK("https://lindat.mff.cuni.cz/services/teitok/pdtc10/index.php?action=vallex&amp;frame=v-w409f10", "dělat (v-w409f10)")</f>
        <v>dělat (v-w409f10)</v>
      </c>
    </row>
    <row r="8061" spans="1:3" x14ac:dyDescent="0.2">
      <c r="B8061" t="s">
        <v>1</v>
      </c>
      <c r="C8061" t="s">
        <v>2655</v>
      </c>
    </row>
    <row r="8062" spans="1:3" x14ac:dyDescent="0.2">
      <c r="B8062" t="s">
        <v>8</v>
      </c>
      <c r="C8062" t="s">
        <v>2917</v>
      </c>
    </row>
    <row r="8063" spans="1:3" x14ac:dyDescent="0.2">
      <c r="B8063" t="s">
        <v>2918</v>
      </c>
      <c r="C8063" t="s">
        <v>2915</v>
      </c>
    </row>
    <row r="8065" spans="1:3" x14ac:dyDescent="0.2">
      <c r="A8065" t="s">
        <v>2919</v>
      </c>
      <c r="B8065" t="str">
        <f>HYPERLINK("https://lindat.mff.cuni.cz/services/teitok/pdtc10/index.php?action=vallex&amp;frame=v-w409f80_ZU", "dělat (v-w409f80_ZU)")</f>
        <v>dělat (v-w409f80_ZU)</v>
      </c>
    </row>
    <row r="8066" spans="1:3" x14ac:dyDescent="0.2">
      <c r="B8066" t="s">
        <v>1</v>
      </c>
    </row>
    <row r="8067" spans="1:3" x14ac:dyDescent="0.2">
      <c r="B8067" t="s">
        <v>41</v>
      </c>
    </row>
    <row r="8068" spans="1:3" x14ac:dyDescent="0.2">
      <c r="B8068" t="s">
        <v>24</v>
      </c>
    </row>
    <row r="8070" spans="1:3" x14ac:dyDescent="0.2">
      <c r="A8070" t="s">
        <v>2919</v>
      </c>
      <c r="B8070" t="str">
        <f>HYPERLINK("https://lindat.mff.cuni.cz/services/teitok/pdtc10/index.php?action=vallex&amp;frame=v-w409f2", "dělat (v-w409f2) - substituted with v-w409f80_ZU")</f>
        <v>dělat (v-w409f2) - substituted with v-w409f80_ZU</v>
      </c>
    </row>
    <row r="8071" spans="1:3" x14ac:dyDescent="0.2">
      <c r="B8071" t="s">
        <v>1</v>
      </c>
      <c r="C8071" t="s">
        <v>2920</v>
      </c>
    </row>
    <row r="8072" spans="1:3" x14ac:dyDescent="0.2">
      <c r="B8072" t="s">
        <v>41</v>
      </c>
      <c r="C8072" t="s">
        <v>2921</v>
      </c>
    </row>
    <row r="8073" spans="1:3" x14ac:dyDescent="0.2">
      <c r="B8073" t="s">
        <v>24</v>
      </c>
      <c r="C8073" t="s">
        <v>2922</v>
      </c>
    </row>
    <row r="8075" spans="1:3" x14ac:dyDescent="0.2">
      <c r="A8075" t="s">
        <v>2919</v>
      </c>
      <c r="B8075" t="str">
        <f>HYPERLINK("https://lindat.mff.cuni.cz/services/teitok/pdtc10/index.php?action=vallex&amp;frame=v-w409f70_ZU", "dělat (v-w409f70_ZU) - substituted with v-w409f80_ZU")</f>
        <v>dělat (v-w409f70_ZU) - substituted with v-w409f80_ZU</v>
      </c>
    </row>
    <row r="8076" spans="1:3" x14ac:dyDescent="0.2">
      <c r="B8076" t="s">
        <v>1</v>
      </c>
    </row>
    <row r="8077" spans="1:3" x14ac:dyDescent="0.2">
      <c r="B8077" t="s">
        <v>41</v>
      </c>
    </row>
    <row r="8078" spans="1:3" x14ac:dyDescent="0.2">
      <c r="B8078" t="s">
        <v>24</v>
      </c>
    </row>
    <row r="8080" spans="1:3" x14ac:dyDescent="0.2">
      <c r="A8080" t="s">
        <v>2923</v>
      </c>
      <c r="B8080" t="str">
        <f>HYPERLINK("https://lindat.mff.cuni.cz/services/teitok/pdtc10/index.php?action=vallex&amp;frame=v-w409f18", "dělat (v-w409f18)")</f>
        <v>dělat (v-w409f18)</v>
      </c>
    </row>
    <row r="8081" spans="1:3" x14ac:dyDescent="0.2">
      <c r="B8081" t="s">
        <v>1</v>
      </c>
      <c r="C8081" t="s">
        <v>2787</v>
      </c>
    </row>
    <row r="8082" spans="1:3" x14ac:dyDescent="0.2">
      <c r="B8082" t="s">
        <v>8</v>
      </c>
      <c r="C8082" t="s">
        <v>2788</v>
      </c>
    </row>
    <row r="8083" spans="1:3" x14ac:dyDescent="0.2">
      <c r="B8083" t="s">
        <v>1193</v>
      </c>
      <c r="C8083" t="s">
        <v>2924</v>
      </c>
    </row>
    <row r="8084" spans="1:3" x14ac:dyDescent="0.2">
      <c r="B8084" t="s">
        <v>24</v>
      </c>
    </row>
    <row r="8086" spans="1:3" x14ac:dyDescent="0.2">
      <c r="A8086" t="s">
        <v>2925</v>
      </c>
      <c r="B8086" t="str">
        <f>HYPERLINK("https://lindat.mff.cuni.cz/services/teitok/pdtc10/index.php?action=vallex&amp;frame=v-w409f26", "dělat (v-w409f26)")</f>
        <v>dělat (v-w409f26)</v>
      </c>
    </row>
    <row r="8087" spans="1:3" x14ac:dyDescent="0.2">
      <c r="B8087" t="s">
        <v>1</v>
      </c>
    </row>
    <row r="8088" spans="1:3" x14ac:dyDescent="0.2">
      <c r="B8088" t="s">
        <v>8</v>
      </c>
      <c r="C8088" t="s">
        <v>2926</v>
      </c>
    </row>
    <row r="8089" spans="1:3" x14ac:dyDescent="0.2">
      <c r="B8089" t="s">
        <v>2927</v>
      </c>
      <c r="C8089" t="s">
        <v>2924</v>
      </c>
    </row>
    <row r="8091" spans="1:3" x14ac:dyDescent="0.2">
      <c r="A8091" t="s">
        <v>2928</v>
      </c>
      <c r="B8091" t="str">
        <f>HYPERLINK("https://lindat.mff.cuni.cz/services/teitok/pdtc10/index.php?action=vallex&amp;frame=v-w409f66_ZU", "dělat (v-w409f66_ZU)")</f>
        <v>dělat (v-w409f66_ZU)</v>
      </c>
    </row>
    <row r="8092" spans="1:3" x14ac:dyDescent="0.2">
      <c r="B8092" t="s">
        <v>488</v>
      </c>
    </row>
    <row r="8093" spans="1:3" x14ac:dyDescent="0.2">
      <c r="B8093" t="s">
        <v>103</v>
      </c>
    </row>
    <row r="8094" spans="1:3" x14ac:dyDescent="0.2">
      <c r="B8094" t="s">
        <v>507</v>
      </c>
    </row>
    <row r="8096" spans="1:3" x14ac:dyDescent="0.2">
      <c r="A8096" t="s">
        <v>2928</v>
      </c>
      <c r="B8096" t="str">
        <f>HYPERLINK("https://lindat.mff.cuni.cz/services/teitok/pdtc10/index.php?action=vallex&amp;frame=v-w409f14", "dělat (v-w409f14) - substituted with v-w409f66_ZU")</f>
        <v>dělat (v-w409f14) - substituted with v-w409f66_ZU</v>
      </c>
    </row>
    <row r="8097" spans="1:3" x14ac:dyDescent="0.2">
      <c r="B8097" t="s">
        <v>488</v>
      </c>
      <c r="C8097" t="s">
        <v>306</v>
      </c>
    </row>
    <row r="8098" spans="1:3" x14ac:dyDescent="0.2">
      <c r="B8098" t="s">
        <v>103</v>
      </c>
    </row>
    <row r="8099" spans="1:3" x14ac:dyDescent="0.2">
      <c r="B8099" t="s">
        <v>507</v>
      </c>
      <c r="C8099" t="s">
        <v>2929</v>
      </c>
    </row>
    <row r="8101" spans="1:3" x14ac:dyDescent="0.2">
      <c r="A8101" t="s">
        <v>2930</v>
      </c>
      <c r="B8101" t="str">
        <f>HYPERLINK("https://lindat.mff.cuni.cz/services/teitok/pdtc10/index.php?action=vallex&amp;frame=v-w409f77_ZU", "dělat (v-w409f77_ZU)")</f>
        <v>dělat (v-w409f77_ZU)</v>
      </c>
    </row>
    <row r="8102" spans="1:3" x14ac:dyDescent="0.2">
      <c r="B8102" t="s">
        <v>1</v>
      </c>
    </row>
    <row r="8103" spans="1:3" x14ac:dyDescent="0.2">
      <c r="B8103" t="s">
        <v>172</v>
      </c>
    </row>
    <row r="8105" spans="1:3" x14ac:dyDescent="0.2">
      <c r="A8105" t="s">
        <v>2930</v>
      </c>
      <c r="B8105" t="str">
        <f>HYPERLINK("https://lindat.mff.cuni.cz/services/teitok/pdtc10/index.php?action=vallex&amp;frame=v-w409f1", "dělat (v-w409f1) - substituted with v-w409f77_ZU")</f>
        <v>dělat (v-w409f1) - substituted with v-w409f77_ZU</v>
      </c>
    </row>
    <row r="8106" spans="1:3" x14ac:dyDescent="0.2">
      <c r="B8106" t="s">
        <v>1</v>
      </c>
      <c r="C8106" t="s">
        <v>2931</v>
      </c>
    </row>
    <row r="8107" spans="1:3" x14ac:dyDescent="0.2">
      <c r="B8107" t="s">
        <v>172</v>
      </c>
      <c r="C8107" t="s">
        <v>2932</v>
      </c>
    </row>
    <row r="8109" spans="1:3" x14ac:dyDescent="0.2">
      <c r="A8109" t="s">
        <v>2930</v>
      </c>
      <c r="B8109" t="str">
        <f>HYPERLINK("https://lindat.mff.cuni.cz/services/teitok/pdtc10/index.php?action=vallex&amp;frame=v-w409f53_ZU", "dělat (v-w409f53_ZU) - substituted with v-w409f77_ZU")</f>
        <v>dělat (v-w409f53_ZU) - substituted with v-w409f77_ZU</v>
      </c>
    </row>
    <row r="8110" spans="1:3" x14ac:dyDescent="0.2">
      <c r="B8110" t="s">
        <v>1</v>
      </c>
    </row>
    <row r="8111" spans="1:3" x14ac:dyDescent="0.2">
      <c r="B8111" t="s">
        <v>172</v>
      </c>
    </row>
    <row r="8113" spans="1:2" x14ac:dyDescent="0.2">
      <c r="A8113" t="s">
        <v>2930</v>
      </c>
      <c r="B8113" t="str">
        <f>HYPERLINK("https://lindat.mff.cuni.cz/services/teitok/pdtc10/index.php?action=vallex&amp;frame=v-w409f63_ZU", "dělat (v-w409f63_ZU) - substituted with v-w409f77_ZU")</f>
        <v>dělat (v-w409f63_ZU) - substituted with v-w409f77_ZU</v>
      </c>
    </row>
    <row r="8114" spans="1:2" x14ac:dyDescent="0.2">
      <c r="B8114" t="s">
        <v>1</v>
      </c>
    </row>
    <row r="8115" spans="1:2" x14ac:dyDescent="0.2">
      <c r="B8115" t="s">
        <v>172</v>
      </c>
    </row>
    <row r="8117" spans="1:2" x14ac:dyDescent="0.2">
      <c r="A8117" t="s">
        <v>2930</v>
      </c>
      <c r="B8117" t="str">
        <f>HYPERLINK("https://lindat.mff.cuni.cz/services/teitok/pdtc10/index.php?action=vallex&amp;frame=v-w409f72_ZU", "dělat (v-w409f72_ZU) - substituted with v-w409f77_ZU")</f>
        <v>dělat (v-w409f72_ZU) - substituted with v-w409f77_ZU</v>
      </c>
    </row>
    <row r="8118" spans="1:2" x14ac:dyDescent="0.2">
      <c r="B8118" t="s">
        <v>1</v>
      </c>
    </row>
    <row r="8119" spans="1:2" x14ac:dyDescent="0.2">
      <c r="B8119" t="s">
        <v>172</v>
      </c>
    </row>
    <row r="8121" spans="1:2" x14ac:dyDescent="0.2">
      <c r="A8121" t="s">
        <v>2930</v>
      </c>
      <c r="B8121" t="str">
        <f>HYPERLINK("https://lindat.mff.cuni.cz/services/teitok/pdtc10/index.php?action=vallex&amp;frame=v-w409f76_ZU", "dělat (v-w409f76_ZU) - substituted with v-w409f77_ZU")</f>
        <v>dělat (v-w409f76_ZU) - substituted with v-w409f77_ZU</v>
      </c>
    </row>
    <row r="8122" spans="1:2" x14ac:dyDescent="0.2">
      <c r="B8122" t="s">
        <v>1</v>
      </c>
    </row>
    <row r="8123" spans="1:2" x14ac:dyDescent="0.2">
      <c r="B8123" t="s">
        <v>172</v>
      </c>
    </row>
    <row r="8125" spans="1:2" x14ac:dyDescent="0.2">
      <c r="A8125" t="s">
        <v>2933</v>
      </c>
      <c r="B8125" t="str">
        <f>HYPERLINK("https://lindat.mff.cuni.cz/services/teitok/pdtc10/index.php?action=vallex&amp;frame=v-w409f75_ZU", "dělat (v-w409f75_ZU)")</f>
        <v>dělat (v-w409f75_ZU)</v>
      </c>
    </row>
    <row r="8126" spans="1:2" x14ac:dyDescent="0.2">
      <c r="B8126" t="s">
        <v>1</v>
      </c>
    </row>
    <row r="8127" spans="1:2" x14ac:dyDescent="0.2">
      <c r="B8127" t="s">
        <v>2934</v>
      </c>
    </row>
    <row r="8129" spans="1:3" x14ac:dyDescent="0.2">
      <c r="A8129" t="s">
        <v>2933</v>
      </c>
      <c r="B8129" t="str">
        <f>HYPERLINK("https://lindat.mff.cuni.cz/services/teitok/pdtc10/index.php?action=vallex&amp;frame=v-w409f9", "dělat (v-w409f9) - substituted with v-w409f75_ZU")</f>
        <v>dělat (v-w409f9) - substituted with v-w409f75_ZU</v>
      </c>
    </row>
    <row r="8130" spans="1:3" x14ac:dyDescent="0.2">
      <c r="B8130" t="s">
        <v>1</v>
      </c>
      <c r="C8130" t="s">
        <v>2935</v>
      </c>
    </row>
    <row r="8131" spans="1:3" x14ac:dyDescent="0.2">
      <c r="B8131" t="s">
        <v>2934</v>
      </c>
      <c r="C8131" t="s">
        <v>2936</v>
      </c>
    </row>
    <row r="8133" spans="1:3" x14ac:dyDescent="0.2">
      <c r="A8133" t="s">
        <v>2937</v>
      </c>
      <c r="B8133" t="str">
        <f>HYPERLINK("https://lindat.mff.cuni.cz/services/teitok/pdtc10/index.php?action=vallex&amp;frame=v-w409f88_JS", "dělat (v-w409f88_JS)")</f>
        <v>dělat (v-w409f88_JS)</v>
      </c>
    </row>
    <row r="8134" spans="1:3" x14ac:dyDescent="0.2">
      <c r="B8134" t="s">
        <v>1</v>
      </c>
    </row>
    <row r="8135" spans="1:3" x14ac:dyDescent="0.2">
      <c r="B8135" t="s">
        <v>2938</v>
      </c>
    </row>
    <row r="8137" spans="1:3" x14ac:dyDescent="0.2">
      <c r="A8137" t="s">
        <v>2937</v>
      </c>
      <c r="B8137" t="str">
        <f>HYPERLINK("https://lindat.mff.cuni.cz/services/teitok/pdtc10/index.php?action=vallex&amp;frame=v-w409f8", "dělat (v-w409f8) - substituted with v-w409f88_JS")</f>
        <v>dělat (v-w409f8) - substituted with v-w409f88_JS</v>
      </c>
    </row>
    <row r="8138" spans="1:3" x14ac:dyDescent="0.2">
      <c r="B8138" t="s">
        <v>1</v>
      </c>
    </row>
    <row r="8139" spans="1:3" x14ac:dyDescent="0.2">
      <c r="B8139" t="s">
        <v>2938</v>
      </c>
    </row>
    <row r="8141" spans="1:3" x14ac:dyDescent="0.2">
      <c r="A8141" t="s">
        <v>2937</v>
      </c>
      <c r="B8141" t="str">
        <f>HYPERLINK("https://lindat.mff.cuni.cz/services/teitok/pdtc10/index.php?action=vallex&amp;frame=v-w409hsa_951", "dělat (v-w409hsa_951) - substituted with v-w409f88_JS")</f>
        <v>dělat (v-w409hsa_951) - substituted with v-w409f88_JS</v>
      </c>
    </row>
    <row r="8142" spans="1:3" x14ac:dyDescent="0.2">
      <c r="B8142" t="s">
        <v>1</v>
      </c>
    </row>
    <row r="8143" spans="1:3" x14ac:dyDescent="0.2">
      <c r="B8143" t="s">
        <v>2938</v>
      </c>
    </row>
    <row r="8145" spans="1:3" x14ac:dyDescent="0.2">
      <c r="A8145" t="s">
        <v>2939</v>
      </c>
      <c r="B8145" t="str">
        <f>HYPERLINK("https://lindat.mff.cuni.cz/services/teitok/pdtc10/index.php?action=vallex&amp;frame=v-w409f78_ZU", "dělat (v-w409f78_ZU)")</f>
        <v>dělat (v-w409f78_ZU)</v>
      </c>
    </row>
    <row r="8146" spans="1:3" x14ac:dyDescent="0.2">
      <c r="B8146" t="s">
        <v>1</v>
      </c>
    </row>
    <row r="8147" spans="1:3" x14ac:dyDescent="0.2">
      <c r="B8147" t="s">
        <v>8</v>
      </c>
    </row>
    <row r="8149" spans="1:3" x14ac:dyDescent="0.2">
      <c r="A8149" t="s">
        <v>2939</v>
      </c>
      <c r="B8149" t="str">
        <f>HYPERLINK("https://lindat.mff.cuni.cz/services/teitok/pdtc10/index.php?action=vallex&amp;frame=v-w409f4", "dělat (v-w409f4) - substituted with v-w409f78_ZU")</f>
        <v>dělat (v-w409f4) - substituted with v-w409f78_ZU</v>
      </c>
    </row>
    <row r="8150" spans="1:3" x14ac:dyDescent="0.2">
      <c r="B8150" t="s">
        <v>1</v>
      </c>
      <c r="C8150" t="s">
        <v>294</v>
      </c>
    </row>
    <row r="8151" spans="1:3" x14ac:dyDescent="0.2">
      <c r="B8151" t="s">
        <v>8</v>
      </c>
      <c r="C8151" t="s">
        <v>2213</v>
      </c>
    </row>
    <row r="8153" spans="1:3" x14ac:dyDescent="0.2">
      <c r="A8153" t="s">
        <v>2939</v>
      </c>
      <c r="B8153" t="str">
        <f>HYPERLINK("https://lindat.mff.cuni.cz/services/teitok/pdtc10/index.php?action=vallex&amp;frame=v-w409f57_ZU", "dělat (v-w409f57_ZU) - substituted with v-w409f78_ZU")</f>
        <v>dělat (v-w409f57_ZU) - substituted with v-w409f78_ZU</v>
      </c>
    </row>
    <row r="8154" spans="1:3" x14ac:dyDescent="0.2">
      <c r="B8154" t="s">
        <v>1</v>
      </c>
    </row>
    <row r="8155" spans="1:3" x14ac:dyDescent="0.2">
      <c r="B8155" t="s">
        <v>8</v>
      </c>
    </row>
    <row r="8157" spans="1:3" x14ac:dyDescent="0.2">
      <c r="A8157" t="s">
        <v>2940</v>
      </c>
      <c r="B8157" t="str">
        <f>HYPERLINK("https://lindat.mff.cuni.cz/services/teitok/pdtc10/index.php?action=vallex&amp;frame=v-w409f23", "dělat (v-w409f23)")</f>
        <v>dělat (v-w409f23)</v>
      </c>
    </row>
    <row r="8158" spans="1:3" x14ac:dyDescent="0.2">
      <c r="B8158" t="s">
        <v>1</v>
      </c>
    </row>
    <row r="8159" spans="1:3" x14ac:dyDescent="0.2">
      <c r="B8159" t="s">
        <v>817</v>
      </c>
    </row>
    <row r="8161" spans="1:2" x14ac:dyDescent="0.2">
      <c r="A8161" t="s">
        <v>2941</v>
      </c>
      <c r="B8161" t="str">
        <f>HYPERLINK("https://lindat.mff.cuni.cz/services/teitok/pdtc10/index.php?action=vallex&amp;frame=v-w409f24", "dělat (v-w409f24)")</f>
        <v>dělat (v-w409f24)</v>
      </c>
    </row>
    <row r="8162" spans="1:2" x14ac:dyDescent="0.2">
      <c r="B8162" t="s">
        <v>1</v>
      </c>
    </row>
    <row r="8163" spans="1:2" x14ac:dyDescent="0.2">
      <c r="B8163" t="s">
        <v>817</v>
      </c>
    </row>
    <row r="8165" spans="1:2" x14ac:dyDescent="0.2">
      <c r="A8165" t="s">
        <v>2942</v>
      </c>
      <c r="B8165" t="str">
        <f>HYPERLINK("https://lindat.mff.cuni.cz/services/teitok/pdtc10/index.php?action=vallex&amp;frame=v-w409f12", "dělat (v-w409f12)")</f>
        <v>dělat (v-w409f12)</v>
      </c>
    </row>
    <row r="8166" spans="1:2" x14ac:dyDescent="0.2">
      <c r="B8166" t="s">
        <v>1</v>
      </c>
    </row>
    <row r="8167" spans="1:2" x14ac:dyDescent="0.2">
      <c r="B8167" t="s">
        <v>28</v>
      </c>
    </row>
    <row r="8169" spans="1:2" x14ac:dyDescent="0.2">
      <c r="A8169" t="s">
        <v>2943</v>
      </c>
      <c r="B8169" t="str">
        <f>HYPERLINK("https://lindat.mff.cuni.cz/services/teitok/pdtc10/index.php?action=vallex&amp;frame=v-w409f25", "dělat (v-w409f25)")</f>
        <v>dělat (v-w409f25)</v>
      </c>
    </row>
    <row r="8170" spans="1:2" x14ac:dyDescent="0.2">
      <c r="B8170" t="s">
        <v>1</v>
      </c>
    </row>
    <row r="8171" spans="1:2" x14ac:dyDescent="0.2">
      <c r="B8171" t="s">
        <v>161</v>
      </c>
    </row>
    <row r="8173" spans="1:2" x14ac:dyDescent="0.2">
      <c r="A8173" t="s">
        <v>2944</v>
      </c>
      <c r="B8173" t="str">
        <f>HYPERLINK("https://lindat.mff.cuni.cz/services/teitok/pdtc10/index.php?action=vallex&amp;frame=v-w409f15", "dělat (v-w409f15)")</f>
        <v>dělat (v-w409f15)</v>
      </c>
    </row>
    <row r="8174" spans="1:2" x14ac:dyDescent="0.2">
      <c r="B8174" t="s">
        <v>1</v>
      </c>
    </row>
    <row r="8175" spans="1:2" x14ac:dyDescent="0.2">
      <c r="B8175" t="s">
        <v>524</v>
      </c>
    </row>
    <row r="8177" spans="1:3" x14ac:dyDescent="0.2">
      <c r="A8177" t="s">
        <v>2945</v>
      </c>
      <c r="B8177" t="str">
        <f>HYPERLINK("https://lindat.mff.cuni.cz/services/teitok/pdtc10/index.php?action=vallex&amp;frame=v-w409f5", "dělat (v-w409f5)")</f>
        <v>dělat (v-w409f5)</v>
      </c>
    </row>
    <row r="8178" spans="1:3" x14ac:dyDescent="0.2">
      <c r="B8178" t="s">
        <v>1</v>
      </c>
      <c r="C8178" t="s">
        <v>2946</v>
      </c>
    </row>
    <row r="8180" spans="1:3" x14ac:dyDescent="0.2">
      <c r="A8180" t="s">
        <v>2947</v>
      </c>
      <c r="B8180" t="str">
        <f>HYPERLINK("https://lindat.mff.cuni.cz/services/teitok/pdtc10/index.php?action=vallex&amp;frame=v-w409f22", "dělat (v-w409f22)")</f>
        <v>dělat (v-w409f22)</v>
      </c>
    </row>
    <row r="8181" spans="1:3" x14ac:dyDescent="0.2">
      <c r="B8181" t="s">
        <v>1</v>
      </c>
    </row>
    <row r="8183" spans="1:3" x14ac:dyDescent="0.2">
      <c r="A8183" t="s">
        <v>2948</v>
      </c>
      <c r="B8183" t="str">
        <f>HYPERLINK("https://lindat.mff.cuni.cz/services/teitok/pdtc10/index.php?action=vallex&amp;frame=v-w409f40_ZU", "dělat (v-w409f40_ZU)")</f>
        <v>dělat (v-w409f40_ZU)</v>
      </c>
    </row>
    <row r="8184" spans="1:3" x14ac:dyDescent="0.2">
      <c r="B8184" t="s">
        <v>488</v>
      </c>
    </row>
    <row r="8185" spans="1:3" x14ac:dyDescent="0.2">
      <c r="B8185" t="s">
        <v>2949</v>
      </c>
    </row>
    <row r="8186" spans="1:3" x14ac:dyDescent="0.2">
      <c r="B8186" t="s">
        <v>88</v>
      </c>
    </row>
    <row r="8188" spans="1:3" x14ac:dyDescent="0.2">
      <c r="A8188" t="s">
        <v>2948</v>
      </c>
      <c r="B8188" t="str">
        <f>HYPERLINK("https://lindat.mff.cuni.cz/services/teitok/pdtc10/index.php?action=vallex&amp;frame=v-w409f27", "dělat (v-w409f27) - substituted with v-w409f40_ZU")</f>
        <v>dělat (v-w409f27) - substituted with v-w409f40_ZU</v>
      </c>
    </row>
    <row r="8189" spans="1:3" x14ac:dyDescent="0.2">
      <c r="B8189" t="s">
        <v>488</v>
      </c>
    </row>
    <row r="8190" spans="1:3" x14ac:dyDescent="0.2">
      <c r="B8190" t="s">
        <v>2949</v>
      </c>
    </row>
    <row r="8191" spans="1:3" x14ac:dyDescent="0.2">
      <c r="B8191" t="s">
        <v>88</v>
      </c>
    </row>
    <row r="8193" spans="1:3" x14ac:dyDescent="0.2">
      <c r="A8193" t="s">
        <v>2950</v>
      </c>
      <c r="B8193" t="str">
        <f>HYPERLINK("https://lindat.mff.cuni.cz/services/teitok/pdtc10/index.php?action=vallex&amp;frame=v-w409f50_ZU", "dělat (v-w409f50_ZU)")</f>
        <v>dělat (v-w409f50_ZU)</v>
      </c>
    </row>
    <row r="8194" spans="1:3" x14ac:dyDescent="0.2">
      <c r="B8194" t="s">
        <v>1</v>
      </c>
    </row>
    <row r="8195" spans="1:3" x14ac:dyDescent="0.2">
      <c r="B8195" t="s">
        <v>2951</v>
      </c>
    </row>
    <row r="8196" spans="1:3" x14ac:dyDescent="0.2">
      <c r="B8196" t="s">
        <v>2918</v>
      </c>
    </row>
    <row r="8198" spans="1:3" x14ac:dyDescent="0.2">
      <c r="A8198" t="s">
        <v>2950</v>
      </c>
      <c r="B8198" t="str">
        <f>HYPERLINK("https://lindat.mff.cuni.cz/services/teitok/pdtc10/index.php?action=vallex&amp;frame=v-w409f20", "dělat (v-w409f20) - substituted with v-w409f50_ZU")</f>
        <v>dělat (v-w409f20) - substituted with v-w409f50_ZU</v>
      </c>
    </row>
    <row r="8199" spans="1:3" x14ac:dyDescent="0.2">
      <c r="B8199" t="s">
        <v>1</v>
      </c>
    </row>
    <row r="8200" spans="1:3" x14ac:dyDescent="0.2">
      <c r="B8200" t="s">
        <v>2951</v>
      </c>
    </row>
    <row r="8201" spans="1:3" x14ac:dyDescent="0.2">
      <c r="B8201" t="s">
        <v>2918</v>
      </c>
    </row>
    <row r="8203" spans="1:3" x14ac:dyDescent="0.2">
      <c r="A8203" t="s">
        <v>2950</v>
      </c>
      <c r="B8203" t="str">
        <f>HYPERLINK("https://lindat.mff.cuni.cz/services/teitok/pdtc10/index.php?action=vallex&amp;frame=v-w409hsa_1101", "dělat (v-w409hsa_1101) - substituted with v-w409f50_ZU")</f>
        <v>dělat (v-w409hsa_1101) - substituted with v-w409f50_ZU</v>
      </c>
    </row>
    <row r="8204" spans="1:3" x14ac:dyDescent="0.2">
      <c r="B8204" t="s">
        <v>1</v>
      </c>
      <c r="C8204" t="s">
        <v>2031</v>
      </c>
    </row>
    <row r="8205" spans="1:3" x14ac:dyDescent="0.2">
      <c r="B8205" t="s">
        <v>2951</v>
      </c>
      <c r="C8205" t="s">
        <v>2952</v>
      </c>
    </row>
    <row r="8206" spans="1:3" x14ac:dyDescent="0.2">
      <c r="B8206" t="s">
        <v>2918</v>
      </c>
    </row>
    <row r="8208" spans="1:3" x14ac:dyDescent="0.2">
      <c r="A8208" t="s">
        <v>2953</v>
      </c>
      <c r="B8208" t="str">
        <f>HYPERLINK("https://lindat.mff.cuni.cz/services/teitok/pdtc10/index.php?action=vallex&amp;frame=v-w409f89_MM", "dělat (v-w409f89_MM)")</f>
        <v>dělat (v-w409f89_MM)</v>
      </c>
    </row>
    <row r="8209" spans="1:3" x14ac:dyDescent="0.2">
      <c r="B8209" t="s">
        <v>1</v>
      </c>
    </row>
    <row r="8210" spans="1:3" x14ac:dyDescent="0.2">
      <c r="B8210" t="s">
        <v>2954</v>
      </c>
    </row>
    <row r="8212" spans="1:3" x14ac:dyDescent="0.2">
      <c r="A8212" t="s">
        <v>2953</v>
      </c>
      <c r="B8212" t="str">
        <f>HYPERLINK("https://lindat.mff.cuni.cz/services/teitok/pdtc10/index.php?action=vallex&amp;frame=v-w409f28_ZU", "dělat (v-w409f28_ZU) - substituted with v-w409f89_MM")</f>
        <v>dělat (v-w409f28_ZU) - substituted with v-w409f89_MM</v>
      </c>
    </row>
    <row r="8213" spans="1:3" x14ac:dyDescent="0.2">
      <c r="B8213" t="s">
        <v>1</v>
      </c>
      <c r="C8213" t="s">
        <v>964</v>
      </c>
    </row>
    <row r="8214" spans="1:3" x14ac:dyDescent="0.2">
      <c r="B8214" t="s">
        <v>2954</v>
      </c>
      <c r="C8214" t="s">
        <v>2955</v>
      </c>
    </row>
    <row r="8216" spans="1:3" x14ac:dyDescent="0.2">
      <c r="A8216" t="s">
        <v>2953</v>
      </c>
      <c r="B8216" t="str">
        <f>HYPERLINK("https://lindat.mff.cuni.cz/services/teitok/pdtc10/index.php?action=vallex&amp;frame=v-w409f3", "dělat (v-w409f3) - substituted with v-w409f89_MM")</f>
        <v>dělat (v-w409f3) - substituted with v-w409f89_MM</v>
      </c>
    </row>
    <row r="8217" spans="1:3" x14ac:dyDescent="0.2">
      <c r="B8217" t="s">
        <v>1</v>
      </c>
      <c r="C8217" t="s">
        <v>2956</v>
      </c>
    </row>
    <row r="8218" spans="1:3" x14ac:dyDescent="0.2">
      <c r="B8218" t="s">
        <v>2954</v>
      </c>
      <c r="C8218" t="s">
        <v>2957</v>
      </c>
    </row>
    <row r="8220" spans="1:3" x14ac:dyDescent="0.2">
      <c r="A8220" t="s">
        <v>2953</v>
      </c>
      <c r="B8220" t="str">
        <f>HYPERLINK("https://lindat.mff.cuni.cz/services/teitok/pdtc10/index.php?action=vallex&amp;frame=v-w409f31_ZU", "dělat (v-w409f31_ZU) - substituted with v-w409f89_MM")</f>
        <v>dělat (v-w409f31_ZU) - substituted with v-w409f89_MM</v>
      </c>
    </row>
    <row r="8221" spans="1:3" x14ac:dyDescent="0.2">
      <c r="B8221" t="s">
        <v>1</v>
      </c>
      <c r="C8221" t="s">
        <v>2958</v>
      </c>
    </row>
    <row r="8222" spans="1:3" x14ac:dyDescent="0.2">
      <c r="B8222" t="s">
        <v>2954</v>
      </c>
      <c r="C8222" t="s">
        <v>2959</v>
      </c>
    </row>
    <row r="8224" spans="1:3" x14ac:dyDescent="0.2">
      <c r="A8224" t="s">
        <v>2953</v>
      </c>
      <c r="B8224" t="str">
        <f>HYPERLINK("https://lindat.mff.cuni.cz/services/teitok/pdtc10/index.php?action=vallex&amp;frame=v-w409f44_ZU", "dělat (v-w409f44_ZU) - substituted with v-w409f89_MM")</f>
        <v>dělat (v-w409f44_ZU) - substituted with v-w409f89_MM</v>
      </c>
    </row>
    <row r="8225" spans="1:2" x14ac:dyDescent="0.2">
      <c r="B8225" t="s">
        <v>1</v>
      </c>
    </row>
    <row r="8226" spans="1:2" x14ac:dyDescent="0.2">
      <c r="B8226" t="s">
        <v>2954</v>
      </c>
    </row>
    <row r="8228" spans="1:2" x14ac:dyDescent="0.2">
      <c r="A8228" t="s">
        <v>2953</v>
      </c>
      <c r="B8228" t="str">
        <f>HYPERLINK("https://lindat.mff.cuni.cz/services/teitok/pdtc10/index.php?action=vallex&amp;frame=v-w409f47_ZU", "dělat (v-w409f47_ZU) - substituted with v-w409f89_MM")</f>
        <v>dělat (v-w409f47_ZU) - substituted with v-w409f89_MM</v>
      </c>
    </row>
    <row r="8229" spans="1:2" x14ac:dyDescent="0.2">
      <c r="B8229" t="s">
        <v>1</v>
      </c>
    </row>
    <row r="8230" spans="1:2" x14ac:dyDescent="0.2">
      <c r="B8230" t="s">
        <v>2954</v>
      </c>
    </row>
    <row r="8232" spans="1:2" x14ac:dyDescent="0.2">
      <c r="A8232" t="s">
        <v>2953</v>
      </c>
      <c r="B8232" t="str">
        <f>HYPERLINK("https://lindat.mff.cuni.cz/services/teitok/pdtc10/index.php?action=vallex&amp;frame=v-w409f51_ZU", "dělat (v-w409f51_ZU) - substituted with v-w409f89_MM")</f>
        <v>dělat (v-w409f51_ZU) - substituted with v-w409f89_MM</v>
      </c>
    </row>
    <row r="8233" spans="1:2" x14ac:dyDescent="0.2">
      <c r="B8233" t="s">
        <v>1</v>
      </c>
    </row>
    <row r="8234" spans="1:2" x14ac:dyDescent="0.2">
      <c r="B8234" t="s">
        <v>2954</v>
      </c>
    </row>
    <row r="8236" spans="1:2" x14ac:dyDescent="0.2">
      <c r="A8236" t="s">
        <v>2953</v>
      </c>
      <c r="B8236" t="str">
        <f>HYPERLINK("https://lindat.mff.cuni.cz/services/teitok/pdtc10/index.php?action=vallex&amp;frame=v-w409f52_ZU", "dělat (v-w409f52_ZU) - substituted with v-w409f89_MM")</f>
        <v>dělat (v-w409f52_ZU) - substituted with v-w409f89_MM</v>
      </c>
    </row>
    <row r="8237" spans="1:2" x14ac:dyDescent="0.2">
      <c r="B8237" t="s">
        <v>1</v>
      </c>
    </row>
    <row r="8238" spans="1:2" x14ac:dyDescent="0.2">
      <c r="B8238" t="s">
        <v>2954</v>
      </c>
    </row>
    <row r="8240" spans="1:2" x14ac:dyDescent="0.2">
      <c r="A8240" t="s">
        <v>2953</v>
      </c>
      <c r="B8240" t="str">
        <f>HYPERLINK("https://lindat.mff.cuni.cz/services/teitok/pdtc10/index.php?action=vallex&amp;frame=v-w409f58_ZU", "dělat (v-w409f58_ZU) - substituted with v-w409f89_MM")</f>
        <v>dělat (v-w409f58_ZU) - substituted with v-w409f89_MM</v>
      </c>
    </row>
    <row r="8241" spans="1:2" x14ac:dyDescent="0.2">
      <c r="B8241" t="s">
        <v>1</v>
      </c>
    </row>
    <row r="8242" spans="1:2" x14ac:dyDescent="0.2">
      <c r="B8242" t="s">
        <v>2954</v>
      </c>
    </row>
    <row r="8244" spans="1:2" x14ac:dyDescent="0.2">
      <c r="A8244" t="s">
        <v>2953</v>
      </c>
      <c r="B8244" t="str">
        <f>HYPERLINK("https://lindat.mff.cuni.cz/services/teitok/pdtc10/index.php?action=vallex&amp;frame=v-w409f59_ZU", "dělat (v-w409f59_ZU) - substituted with v-w409f89_MM")</f>
        <v>dělat (v-w409f59_ZU) - substituted with v-w409f89_MM</v>
      </c>
    </row>
    <row r="8245" spans="1:2" x14ac:dyDescent="0.2">
      <c r="B8245" t="s">
        <v>1</v>
      </c>
    </row>
    <row r="8246" spans="1:2" x14ac:dyDescent="0.2">
      <c r="B8246" t="s">
        <v>2954</v>
      </c>
    </row>
    <row r="8248" spans="1:2" x14ac:dyDescent="0.2">
      <c r="A8248" t="s">
        <v>2953</v>
      </c>
      <c r="B8248" t="str">
        <f>HYPERLINK("https://lindat.mff.cuni.cz/services/teitok/pdtc10/index.php?action=vallex&amp;frame=v-w409f60_ZU", "dělat (v-w409f60_ZU) - substituted with v-w409f89_MM")</f>
        <v>dělat (v-w409f60_ZU) - substituted with v-w409f89_MM</v>
      </c>
    </row>
    <row r="8249" spans="1:2" x14ac:dyDescent="0.2">
      <c r="B8249" t="s">
        <v>1</v>
      </c>
    </row>
    <row r="8250" spans="1:2" x14ac:dyDescent="0.2">
      <c r="B8250" t="s">
        <v>2954</v>
      </c>
    </row>
    <row r="8252" spans="1:2" x14ac:dyDescent="0.2">
      <c r="A8252" t="s">
        <v>2953</v>
      </c>
      <c r="B8252" t="str">
        <f>HYPERLINK("https://lindat.mff.cuni.cz/services/teitok/pdtc10/index.php?action=vallex&amp;frame=v-w409f61_ZU", "dělat (v-w409f61_ZU) - substituted with v-w409f89_MM")</f>
        <v>dělat (v-w409f61_ZU) - substituted with v-w409f89_MM</v>
      </c>
    </row>
    <row r="8253" spans="1:2" x14ac:dyDescent="0.2">
      <c r="B8253" t="s">
        <v>1</v>
      </c>
    </row>
    <row r="8254" spans="1:2" x14ac:dyDescent="0.2">
      <c r="B8254" t="s">
        <v>2954</v>
      </c>
    </row>
    <row r="8256" spans="1:2" x14ac:dyDescent="0.2">
      <c r="A8256" t="s">
        <v>2953</v>
      </c>
      <c r="B8256" t="str">
        <f>HYPERLINK("https://lindat.mff.cuni.cz/services/teitok/pdtc10/index.php?action=vallex&amp;frame=v-w409f62_ZU", "dělat (v-w409f62_ZU) - substituted with v-w409f89_MM")</f>
        <v>dělat (v-w409f62_ZU) - substituted with v-w409f89_MM</v>
      </c>
    </row>
    <row r="8257" spans="1:2" x14ac:dyDescent="0.2">
      <c r="B8257" t="s">
        <v>1</v>
      </c>
    </row>
    <row r="8258" spans="1:2" x14ac:dyDescent="0.2">
      <c r="B8258" t="s">
        <v>2954</v>
      </c>
    </row>
    <row r="8260" spans="1:2" x14ac:dyDescent="0.2">
      <c r="A8260" t="s">
        <v>2953</v>
      </c>
      <c r="B8260" t="str">
        <f>HYPERLINK("https://lindat.mff.cuni.cz/services/teitok/pdtc10/index.php?action=vallex&amp;frame=v-w409f65_ZU", "dělat (v-w409f65_ZU) - substituted with v-w409f89_MM")</f>
        <v>dělat (v-w409f65_ZU) - substituted with v-w409f89_MM</v>
      </c>
    </row>
    <row r="8261" spans="1:2" x14ac:dyDescent="0.2">
      <c r="B8261" t="s">
        <v>1</v>
      </c>
    </row>
    <row r="8262" spans="1:2" x14ac:dyDescent="0.2">
      <c r="B8262" t="s">
        <v>2954</v>
      </c>
    </row>
    <row r="8264" spans="1:2" x14ac:dyDescent="0.2">
      <c r="A8264" t="s">
        <v>2953</v>
      </c>
      <c r="B8264" t="str">
        <f>HYPERLINK("https://lindat.mff.cuni.cz/services/teitok/pdtc10/index.php?action=vallex&amp;frame=v-w409f68_ZU", "dělat (v-w409f68_ZU) - substituted with v-w409f89_MM")</f>
        <v>dělat (v-w409f68_ZU) - substituted with v-w409f89_MM</v>
      </c>
    </row>
    <row r="8265" spans="1:2" x14ac:dyDescent="0.2">
      <c r="B8265" t="s">
        <v>1</v>
      </c>
    </row>
    <row r="8266" spans="1:2" x14ac:dyDescent="0.2">
      <c r="B8266" t="s">
        <v>2954</v>
      </c>
    </row>
    <row r="8268" spans="1:2" x14ac:dyDescent="0.2">
      <c r="A8268" t="s">
        <v>2953</v>
      </c>
      <c r="B8268" t="str">
        <f>HYPERLINK("https://lindat.mff.cuni.cz/services/teitok/pdtc10/index.php?action=vallex&amp;frame=v-w409f69_ZU", "dělat (v-w409f69_ZU) - substituted with v-w409f89_MM")</f>
        <v>dělat (v-w409f69_ZU) - substituted with v-w409f89_MM</v>
      </c>
    </row>
    <row r="8269" spans="1:2" x14ac:dyDescent="0.2">
      <c r="B8269" t="s">
        <v>1</v>
      </c>
    </row>
    <row r="8270" spans="1:2" x14ac:dyDescent="0.2">
      <c r="B8270" t="s">
        <v>2954</v>
      </c>
    </row>
    <row r="8272" spans="1:2" x14ac:dyDescent="0.2">
      <c r="A8272" t="s">
        <v>2953</v>
      </c>
      <c r="B8272" t="str">
        <f>HYPERLINK("https://lindat.mff.cuni.cz/services/teitok/pdtc10/index.php?action=vallex&amp;frame=v-w409f71_ZU", "dělat (v-w409f71_ZU) - substituted with v-w409f89_MM")</f>
        <v>dělat (v-w409f71_ZU) - substituted with v-w409f89_MM</v>
      </c>
    </row>
    <row r="8273" spans="1:2" x14ac:dyDescent="0.2">
      <c r="B8273" t="s">
        <v>1</v>
      </c>
    </row>
    <row r="8274" spans="1:2" x14ac:dyDescent="0.2">
      <c r="B8274" t="s">
        <v>2954</v>
      </c>
    </row>
    <row r="8276" spans="1:2" x14ac:dyDescent="0.2">
      <c r="A8276" t="s">
        <v>2953</v>
      </c>
      <c r="B8276" t="str">
        <f>HYPERLINK("https://lindat.mff.cuni.cz/services/teitok/pdtc10/index.php?action=vallex&amp;frame=v-w409f73_ZU", "dělat (v-w409f73_ZU) - substituted with v-w409f89_MM")</f>
        <v>dělat (v-w409f73_ZU) - substituted with v-w409f89_MM</v>
      </c>
    </row>
    <row r="8277" spans="1:2" x14ac:dyDescent="0.2">
      <c r="B8277" t="s">
        <v>1</v>
      </c>
    </row>
    <row r="8278" spans="1:2" x14ac:dyDescent="0.2">
      <c r="B8278" t="s">
        <v>2954</v>
      </c>
    </row>
    <row r="8280" spans="1:2" x14ac:dyDescent="0.2">
      <c r="A8280" t="s">
        <v>2953</v>
      </c>
      <c r="B8280" t="str">
        <f>HYPERLINK("https://lindat.mff.cuni.cz/services/teitok/pdtc10/index.php?action=vallex&amp;frame=v-w409f81_ZU", "dělat (v-w409f81_ZU) - substituted with v-w409f89_MM")</f>
        <v>dělat (v-w409f81_ZU) - substituted with v-w409f89_MM</v>
      </c>
    </row>
    <row r="8281" spans="1:2" x14ac:dyDescent="0.2">
      <c r="B8281" t="s">
        <v>1</v>
      </c>
    </row>
    <row r="8282" spans="1:2" x14ac:dyDescent="0.2">
      <c r="B8282" t="s">
        <v>2954</v>
      </c>
    </row>
    <row r="8284" spans="1:2" x14ac:dyDescent="0.2">
      <c r="A8284" t="s">
        <v>2953</v>
      </c>
      <c r="B8284" t="str">
        <f>HYPERLINK("https://lindat.mff.cuni.cz/services/teitok/pdtc10/index.php?action=vallex&amp;frame=v-w409f82_ZU", "dělat (v-w409f82_ZU) - substituted with v-w409f89_MM")</f>
        <v>dělat (v-w409f82_ZU) - substituted with v-w409f89_MM</v>
      </c>
    </row>
    <row r="8285" spans="1:2" x14ac:dyDescent="0.2">
      <c r="B8285" t="s">
        <v>1</v>
      </c>
    </row>
    <row r="8286" spans="1:2" x14ac:dyDescent="0.2">
      <c r="B8286" t="s">
        <v>2954</v>
      </c>
    </row>
    <row r="8288" spans="1:2" x14ac:dyDescent="0.2">
      <c r="A8288" t="s">
        <v>2953</v>
      </c>
      <c r="B8288" t="str">
        <f>HYPERLINK("https://lindat.mff.cuni.cz/services/teitok/pdtc10/index.php?action=vallex&amp;frame=v-w409f83_ZU", "dělat (v-w409f83_ZU) - substituted with v-w409f89_MM")</f>
        <v>dělat (v-w409f83_ZU) - substituted with v-w409f89_MM</v>
      </c>
    </row>
    <row r="8289" spans="1:3" x14ac:dyDescent="0.2">
      <c r="B8289" t="s">
        <v>1</v>
      </c>
    </row>
    <row r="8290" spans="1:3" x14ac:dyDescent="0.2">
      <c r="B8290" t="s">
        <v>2954</v>
      </c>
    </row>
    <row r="8292" spans="1:3" x14ac:dyDescent="0.2">
      <c r="A8292" t="s">
        <v>2953</v>
      </c>
      <c r="B8292" t="str">
        <f>HYPERLINK("https://lindat.mff.cuni.cz/services/teitok/pdtc10/index.php?action=vallex&amp;frame=v-w409f84_ZU", "dělat (v-w409f84_ZU) - substituted with v-w409f89_MM")</f>
        <v>dělat (v-w409f84_ZU) - substituted with v-w409f89_MM</v>
      </c>
    </row>
    <row r="8293" spans="1:3" x14ac:dyDescent="0.2">
      <c r="B8293" t="s">
        <v>1</v>
      </c>
    </row>
    <row r="8294" spans="1:3" x14ac:dyDescent="0.2">
      <c r="B8294" t="s">
        <v>2954</v>
      </c>
    </row>
    <row r="8296" spans="1:3" x14ac:dyDescent="0.2">
      <c r="A8296" t="s">
        <v>2953</v>
      </c>
      <c r="B8296" t="str">
        <f>HYPERLINK("https://lindat.mff.cuni.cz/services/teitok/pdtc10/index.php?action=vallex&amp;frame=v-w409f86_MM", "dělat (v-w409f86_MM) - substituted with v-w409f89_MM")</f>
        <v>dělat (v-w409f86_MM) - substituted with v-w409f89_MM</v>
      </c>
    </row>
    <row r="8297" spans="1:3" x14ac:dyDescent="0.2">
      <c r="B8297" t="s">
        <v>1</v>
      </c>
    </row>
    <row r="8298" spans="1:3" x14ac:dyDescent="0.2">
      <c r="B8298" t="s">
        <v>2954</v>
      </c>
    </row>
    <row r="8300" spans="1:3" x14ac:dyDescent="0.2">
      <c r="A8300" t="s">
        <v>2953</v>
      </c>
      <c r="B8300" t="str">
        <f>HYPERLINK("https://lindat.mff.cuni.cz/services/teitok/pdtc10/index.php?action=vallex&amp;frame=v-w409hsa_1100", "dělat (v-w409hsa_1100) - substituted with v-w409f89_MM")</f>
        <v>dělat (v-w409hsa_1100) - substituted with v-w409f89_MM</v>
      </c>
    </row>
    <row r="8301" spans="1:3" x14ac:dyDescent="0.2">
      <c r="B8301" t="s">
        <v>1</v>
      </c>
      <c r="C8301" t="s">
        <v>2960</v>
      </c>
    </row>
    <row r="8302" spans="1:3" x14ac:dyDescent="0.2">
      <c r="B8302" t="s">
        <v>2954</v>
      </c>
      <c r="C8302" t="s">
        <v>2961</v>
      </c>
    </row>
    <row r="8304" spans="1:3" x14ac:dyDescent="0.2">
      <c r="A8304" t="s">
        <v>2953</v>
      </c>
      <c r="B8304" t="str">
        <f>HYPERLINK("https://lindat.mff.cuni.cz/services/teitok/pdtc10/index.php?action=vallex&amp;frame=v-w409hsa_952", "dělat (v-w409hsa_952) - substituted with v-w409f89_MM")</f>
        <v>dělat (v-w409hsa_952) - substituted with v-w409f89_MM</v>
      </c>
    </row>
    <row r="8305" spans="1:3" x14ac:dyDescent="0.2">
      <c r="B8305" t="s">
        <v>1</v>
      </c>
    </row>
    <row r="8306" spans="1:3" x14ac:dyDescent="0.2">
      <c r="B8306" t="s">
        <v>2954</v>
      </c>
    </row>
    <row r="8308" spans="1:3" x14ac:dyDescent="0.2">
      <c r="A8308" t="s">
        <v>2962</v>
      </c>
      <c r="B8308" t="str">
        <f>HYPERLINK("https://lindat.mff.cuni.cz/services/teitok/pdtc10/index.php?action=vallex&amp;frame=v-w409f30_ZU", "dělat (v-w409f30_ZU)")</f>
        <v>dělat (v-w409f30_ZU)</v>
      </c>
    </row>
    <row r="8309" spans="1:3" x14ac:dyDescent="0.2">
      <c r="B8309" t="s">
        <v>1</v>
      </c>
      <c r="C8309" t="s">
        <v>2566</v>
      </c>
    </row>
    <row r="8310" spans="1:3" x14ac:dyDescent="0.2">
      <c r="B8310" t="s">
        <v>2963</v>
      </c>
      <c r="C8310" t="s">
        <v>2567</v>
      </c>
    </row>
    <row r="8312" spans="1:3" x14ac:dyDescent="0.2">
      <c r="A8312" t="s">
        <v>2962</v>
      </c>
      <c r="B8312" t="str">
        <f>HYPERLINK("https://lindat.mff.cuni.cz/services/teitok/pdtc10/index.php?action=vallex&amp;frame=v-w409f29_ZU", "dělat (v-w409f29_ZU) - substituted with v-w409f30_ZU")</f>
        <v>dělat (v-w409f29_ZU) - substituted with v-w409f30_ZU</v>
      </c>
    </row>
    <row r="8313" spans="1:3" x14ac:dyDescent="0.2">
      <c r="B8313" t="s">
        <v>1</v>
      </c>
    </row>
    <row r="8314" spans="1:3" x14ac:dyDescent="0.2">
      <c r="B8314" t="s">
        <v>2963</v>
      </c>
    </row>
    <row r="8316" spans="1:3" x14ac:dyDescent="0.2">
      <c r="A8316" t="s">
        <v>2964</v>
      </c>
      <c r="B8316" t="str">
        <f>HYPERLINK("https://lindat.mff.cuni.cz/services/teitok/pdtc10/index.php?action=vallex&amp;frame=v-w409f32_ZU", "dělat (v-w409f32_ZU)")</f>
        <v>dělat (v-w409f32_ZU)</v>
      </c>
    </row>
    <row r="8317" spans="1:3" x14ac:dyDescent="0.2">
      <c r="B8317" t="s">
        <v>1</v>
      </c>
    </row>
    <row r="8318" spans="1:3" x14ac:dyDescent="0.2">
      <c r="B8318" t="s">
        <v>2965</v>
      </c>
    </row>
    <row r="8320" spans="1:3" x14ac:dyDescent="0.2">
      <c r="A8320" t="s">
        <v>2966</v>
      </c>
      <c r="B8320" t="str">
        <f>HYPERLINK("https://lindat.mff.cuni.cz/services/teitok/pdtc10/index.php?action=vallex&amp;frame=v-w409f56_ZU", "dělat (v-w409f56_ZU)")</f>
        <v>dělat (v-w409f56_ZU)</v>
      </c>
    </row>
    <row r="8321" spans="1:3" x14ac:dyDescent="0.2">
      <c r="B8321" t="s">
        <v>1</v>
      </c>
    </row>
    <row r="8322" spans="1:3" x14ac:dyDescent="0.2">
      <c r="B8322" t="s">
        <v>2967</v>
      </c>
    </row>
    <row r="8324" spans="1:3" x14ac:dyDescent="0.2">
      <c r="A8324" t="s">
        <v>2966</v>
      </c>
      <c r="B8324" t="str">
        <f>HYPERLINK("https://lindat.mff.cuni.cz/services/teitok/pdtc10/index.php?action=vallex&amp;frame=v-w409f33_ZU", "dělat (v-w409f33_ZU) - substituted with v-w409f56_ZU")</f>
        <v>dělat (v-w409f33_ZU) - substituted with v-w409f56_ZU</v>
      </c>
    </row>
    <row r="8325" spans="1:3" x14ac:dyDescent="0.2">
      <c r="B8325" t="s">
        <v>1</v>
      </c>
      <c r="C8325" t="s">
        <v>364</v>
      </c>
    </row>
    <row r="8326" spans="1:3" x14ac:dyDescent="0.2">
      <c r="B8326" t="s">
        <v>2967</v>
      </c>
      <c r="C8326" t="s">
        <v>366</v>
      </c>
    </row>
    <row r="8328" spans="1:3" x14ac:dyDescent="0.2">
      <c r="A8328" t="s">
        <v>2966</v>
      </c>
      <c r="B8328" t="str">
        <f>HYPERLINK("https://lindat.mff.cuni.cz/services/teitok/pdtc10/index.php?action=vallex&amp;frame=v-w409hsa_953", "dělat (v-w409hsa_953) - substituted with v-w409f56_ZU")</f>
        <v>dělat (v-w409hsa_953) - substituted with v-w409f56_ZU</v>
      </c>
    </row>
    <row r="8329" spans="1:3" x14ac:dyDescent="0.2">
      <c r="B8329" t="s">
        <v>1</v>
      </c>
    </row>
    <row r="8330" spans="1:3" x14ac:dyDescent="0.2">
      <c r="B8330" t="s">
        <v>2967</v>
      </c>
    </row>
    <row r="8332" spans="1:3" x14ac:dyDescent="0.2">
      <c r="A8332" t="s">
        <v>2968</v>
      </c>
      <c r="B8332" t="str">
        <f>HYPERLINK("https://lindat.mff.cuni.cz/services/teitok/pdtc10/index.php?action=vallex&amp;frame=v-w409f16", "dělat (v-w409f16)")</f>
        <v>dělat (v-w409f16)</v>
      </c>
    </row>
    <row r="8333" spans="1:3" x14ac:dyDescent="0.2">
      <c r="B8333" t="s">
        <v>2969</v>
      </c>
    </row>
    <row r="8334" spans="1:3" x14ac:dyDescent="0.2">
      <c r="B8334" t="s">
        <v>2970</v>
      </c>
    </row>
    <row r="8336" spans="1:3" x14ac:dyDescent="0.2">
      <c r="A8336" t="s">
        <v>2971</v>
      </c>
      <c r="B8336" t="str">
        <f>HYPERLINK("https://lindat.mff.cuni.cz/services/teitok/pdtc10/index.php?action=vallex&amp;frame=v-w409f21", "dělat (v-w409f21)")</f>
        <v>dělat (v-w409f21)</v>
      </c>
    </row>
    <row r="8337" spans="1:2" x14ac:dyDescent="0.2">
      <c r="B8337" t="s">
        <v>1</v>
      </c>
    </row>
    <row r="8338" spans="1:2" x14ac:dyDescent="0.2">
      <c r="B8338" t="s">
        <v>2972</v>
      </c>
    </row>
    <row r="8340" spans="1:2" x14ac:dyDescent="0.2">
      <c r="A8340" t="s">
        <v>2973</v>
      </c>
      <c r="B8340" t="str">
        <f>HYPERLINK("https://lindat.mff.cuni.cz/services/teitok/pdtc10/index.php?action=vallex&amp;frame=v-w409f19", "dělat (v-w409f19)")</f>
        <v>dělat (v-w409f19)</v>
      </c>
    </row>
    <row r="8341" spans="1:2" x14ac:dyDescent="0.2">
      <c r="B8341" t="s">
        <v>1</v>
      </c>
    </row>
    <row r="8342" spans="1:2" x14ac:dyDescent="0.2">
      <c r="B8342" t="s">
        <v>2974</v>
      </c>
    </row>
    <row r="8344" spans="1:2" x14ac:dyDescent="0.2">
      <c r="A8344" t="s">
        <v>2975</v>
      </c>
      <c r="B8344" t="str">
        <f>HYPERLINK("https://lindat.mff.cuni.cz/services/teitok/pdtc10/index.php?action=vallex&amp;frame=v-w409f13", "dělat (v-w409f13)")</f>
        <v>dělat (v-w409f13)</v>
      </c>
    </row>
    <row r="8345" spans="1:2" x14ac:dyDescent="0.2">
      <c r="B8345" t="s">
        <v>1</v>
      </c>
    </row>
    <row r="8346" spans="1:2" x14ac:dyDescent="0.2">
      <c r="B8346" t="s">
        <v>2976</v>
      </c>
    </row>
    <row r="8348" spans="1:2" x14ac:dyDescent="0.2">
      <c r="A8348" t="s">
        <v>2977</v>
      </c>
      <c r="B8348" t="str">
        <f>HYPERLINK("https://lindat.mff.cuni.cz/services/teitok/pdtc10/index.php?action=vallex&amp;frame=v-w409f34_ZU", "dělat (v-w409f34_ZU)")</f>
        <v>dělat (v-w409f34_ZU)</v>
      </c>
    </row>
    <row r="8349" spans="1:2" x14ac:dyDescent="0.2">
      <c r="B8349" t="s">
        <v>1</v>
      </c>
    </row>
    <row r="8350" spans="1:2" x14ac:dyDescent="0.2">
      <c r="B8350" t="s">
        <v>2978</v>
      </c>
    </row>
    <row r="8351" spans="1:2" x14ac:dyDescent="0.2">
      <c r="B8351" t="s">
        <v>28</v>
      </c>
    </row>
    <row r="8353" spans="1:2" x14ac:dyDescent="0.2">
      <c r="A8353" t="s">
        <v>2979</v>
      </c>
      <c r="B8353" t="str">
        <f>HYPERLINK("https://lindat.mff.cuni.cz/services/teitok/pdtc10/index.php?action=vallex&amp;frame=v-w409f35_ZU", "dělat (v-w409f35_ZU)")</f>
        <v>dělat (v-w409f35_ZU)</v>
      </c>
    </row>
    <row r="8354" spans="1:2" x14ac:dyDescent="0.2">
      <c r="B8354" t="s">
        <v>1</v>
      </c>
    </row>
    <row r="8355" spans="1:2" x14ac:dyDescent="0.2">
      <c r="B8355" t="s">
        <v>172</v>
      </c>
    </row>
    <row r="8357" spans="1:2" x14ac:dyDescent="0.2">
      <c r="A8357" t="s">
        <v>2979</v>
      </c>
      <c r="B8357" t="str">
        <f>HYPERLINK("https://lindat.mff.cuni.cz/services/teitok/pdtc10/index.php?action=vallex&amp;frame=v-w409hsa_950", "dělat (v-w409hsa_950) - substituted with v-w409f35_ZU")</f>
        <v>dělat (v-w409hsa_950) - substituted with v-w409f35_ZU</v>
      </c>
    </row>
    <row r="8358" spans="1:2" x14ac:dyDescent="0.2">
      <c r="B8358" t="s">
        <v>1</v>
      </c>
    </row>
    <row r="8359" spans="1:2" x14ac:dyDescent="0.2">
      <c r="B8359" t="s">
        <v>172</v>
      </c>
    </row>
    <row r="8361" spans="1:2" x14ac:dyDescent="0.2">
      <c r="A8361" t="s">
        <v>2980</v>
      </c>
      <c r="B8361" t="str">
        <f>HYPERLINK("https://lindat.mff.cuni.cz/services/teitok/pdtc10/index.php?action=vallex&amp;frame=v-w409f36_ZU", "dělat (v-w409f36_ZU)")</f>
        <v>dělat (v-w409f36_ZU)</v>
      </c>
    </row>
    <row r="8362" spans="1:2" x14ac:dyDescent="0.2">
      <c r="B8362" t="s">
        <v>1</v>
      </c>
    </row>
    <row r="8363" spans="1:2" x14ac:dyDescent="0.2">
      <c r="B8363" t="s">
        <v>2981</v>
      </c>
    </row>
    <row r="8365" spans="1:2" x14ac:dyDescent="0.2">
      <c r="A8365" t="s">
        <v>2980</v>
      </c>
      <c r="B8365" t="str">
        <f>HYPERLINK("https://lindat.mff.cuni.cz/services/teitok/pdtc10/index.php?action=vallex&amp;frame=v-w409hsa_954", "dělat (v-w409hsa_954) - substituted with v-w409f36_ZU")</f>
        <v>dělat (v-w409hsa_954) - substituted with v-w409f36_ZU</v>
      </c>
    </row>
    <row r="8366" spans="1:2" x14ac:dyDescent="0.2">
      <c r="B8366" t="s">
        <v>1</v>
      </c>
    </row>
    <row r="8367" spans="1:2" x14ac:dyDescent="0.2">
      <c r="B8367" t="s">
        <v>2981</v>
      </c>
    </row>
    <row r="8369" spans="1:2" x14ac:dyDescent="0.2">
      <c r="A8369" t="s">
        <v>2982</v>
      </c>
      <c r="B8369" t="str">
        <f>HYPERLINK("https://lindat.mff.cuni.cz/services/teitok/pdtc10/index.php?action=vallex&amp;frame=v-w409f37_ZU", "dělat (v-w409f37_ZU)")</f>
        <v>dělat (v-w409f37_ZU)</v>
      </c>
    </row>
    <row r="8370" spans="1:2" x14ac:dyDescent="0.2">
      <c r="B8370" t="s">
        <v>1</v>
      </c>
    </row>
    <row r="8371" spans="1:2" x14ac:dyDescent="0.2">
      <c r="B8371" t="s">
        <v>2983</v>
      </c>
    </row>
    <row r="8373" spans="1:2" x14ac:dyDescent="0.2">
      <c r="A8373" t="s">
        <v>2982</v>
      </c>
      <c r="B8373" t="str">
        <f>HYPERLINK("https://lindat.mff.cuni.cz/services/teitok/pdtc10/index.php?action=vallex&amp;frame=v-w409hsa_955", "dělat (v-w409hsa_955) - substituted with v-w409f37_ZU")</f>
        <v>dělat (v-w409hsa_955) - substituted with v-w409f37_ZU</v>
      </c>
    </row>
    <row r="8374" spans="1:2" x14ac:dyDescent="0.2">
      <c r="B8374" t="s">
        <v>1</v>
      </c>
    </row>
    <row r="8375" spans="1:2" x14ac:dyDescent="0.2">
      <c r="B8375" t="s">
        <v>2983</v>
      </c>
    </row>
    <row r="8377" spans="1:2" x14ac:dyDescent="0.2">
      <c r="A8377" t="s">
        <v>2984</v>
      </c>
      <c r="B8377" t="str">
        <f>HYPERLINK("https://lindat.mff.cuni.cz/services/teitok/pdtc10/index.php?action=vallex&amp;frame=v-w409f38_ZU", "dělat (v-w409f38_ZU)")</f>
        <v>dělat (v-w409f38_ZU)</v>
      </c>
    </row>
    <row r="8378" spans="1:2" x14ac:dyDescent="0.2">
      <c r="B8378" t="s">
        <v>1</v>
      </c>
    </row>
    <row r="8379" spans="1:2" x14ac:dyDescent="0.2">
      <c r="B8379" t="s">
        <v>2985</v>
      </c>
    </row>
    <row r="8381" spans="1:2" x14ac:dyDescent="0.2">
      <c r="A8381" t="s">
        <v>2984</v>
      </c>
      <c r="B8381" t="str">
        <f>HYPERLINK("https://lindat.mff.cuni.cz/services/teitok/pdtc10/index.php?action=vallex&amp;frame=v-w409hsa_956", "dělat (v-w409hsa_956) - substituted with v-w409f38_ZU")</f>
        <v>dělat (v-w409hsa_956) - substituted with v-w409f38_ZU</v>
      </c>
    </row>
    <row r="8382" spans="1:2" x14ac:dyDescent="0.2">
      <c r="B8382" t="s">
        <v>1</v>
      </c>
    </row>
    <row r="8383" spans="1:2" x14ac:dyDescent="0.2">
      <c r="B8383" t="s">
        <v>2985</v>
      </c>
    </row>
    <row r="8385" spans="1:2" x14ac:dyDescent="0.2">
      <c r="A8385" t="s">
        <v>2986</v>
      </c>
      <c r="B8385" t="str">
        <f>HYPERLINK("https://lindat.mff.cuni.cz/services/teitok/pdtc10/index.php?action=vallex&amp;frame=v-w409f39_ZU", "dělat (v-w409f39_ZU)")</f>
        <v>dělat (v-w409f39_ZU)</v>
      </c>
    </row>
    <row r="8386" spans="1:2" x14ac:dyDescent="0.2">
      <c r="B8386" t="s">
        <v>1</v>
      </c>
    </row>
    <row r="8387" spans="1:2" x14ac:dyDescent="0.2">
      <c r="B8387" t="s">
        <v>2987</v>
      </c>
    </row>
    <row r="8389" spans="1:2" x14ac:dyDescent="0.2">
      <c r="A8389" t="s">
        <v>2986</v>
      </c>
      <c r="B8389" t="str">
        <f>HYPERLINK("https://lindat.mff.cuni.cz/services/teitok/pdtc10/index.php?action=vallex&amp;frame=v-w409hsa_957", "dělat (v-w409hsa_957) - substituted with v-w409f39_ZU")</f>
        <v>dělat (v-w409hsa_957) - substituted with v-w409f39_ZU</v>
      </c>
    </row>
    <row r="8390" spans="1:2" x14ac:dyDescent="0.2">
      <c r="B8390" t="s">
        <v>1</v>
      </c>
    </row>
    <row r="8391" spans="1:2" x14ac:dyDescent="0.2">
      <c r="B8391" t="s">
        <v>2987</v>
      </c>
    </row>
    <row r="8393" spans="1:2" x14ac:dyDescent="0.2">
      <c r="A8393" t="s">
        <v>2988</v>
      </c>
      <c r="B8393" t="str">
        <f>HYPERLINK("https://lindat.mff.cuni.cz/services/teitok/pdtc10/index.php?action=vallex&amp;frame=v-w409f42_ZU", "dělat (v-w409f42_ZU)")</f>
        <v>dělat (v-w409f42_ZU)</v>
      </c>
    </row>
    <row r="8394" spans="1:2" x14ac:dyDescent="0.2">
      <c r="B8394" t="s">
        <v>1</v>
      </c>
    </row>
    <row r="8395" spans="1:2" x14ac:dyDescent="0.2">
      <c r="B8395" t="s">
        <v>8</v>
      </c>
    </row>
    <row r="8397" spans="1:2" x14ac:dyDescent="0.2">
      <c r="A8397" t="s">
        <v>2988</v>
      </c>
      <c r="B8397" t="str">
        <f>HYPERLINK("https://lindat.mff.cuni.cz/services/teitok/pdtc10/index.php?action=vallex&amp;frame=v-w409f41_ZU", "dělat (v-w409f41_ZU) - substituted with v-w409f42_ZU")</f>
        <v>dělat (v-w409f41_ZU) - substituted with v-w409f42_ZU</v>
      </c>
    </row>
    <row r="8398" spans="1:2" x14ac:dyDescent="0.2">
      <c r="B8398" t="s">
        <v>1</v>
      </c>
    </row>
    <row r="8399" spans="1:2" x14ac:dyDescent="0.2">
      <c r="B8399" t="s">
        <v>8</v>
      </c>
    </row>
    <row r="8401" spans="1:2" x14ac:dyDescent="0.2">
      <c r="A8401" t="s">
        <v>2989</v>
      </c>
      <c r="B8401" t="str">
        <f>HYPERLINK("https://lindat.mff.cuni.cz/services/teitok/pdtc10/index.php?action=vallex&amp;frame=v-w409f48_ZU", "dělat (v-w409f48_ZU)")</f>
        <v>dělat (v-w409f48_ZU)</v>
      </c>
    </row>
    <row r="8402" spans="1:2" x14ac:dyDescent="0.2">
      <c r="B8402" t="s">
        <v>1</v>
      </c>
    </row>
    <row r="8403" spans="1:2" x14ac:dyDescent="0.2">
      <c r="B8403" t="s">
        <v>2990</v>
      </c>
    </row>
    <row r="8405" spans="1:2" x14ac:dyDescent="0.2">
      <c r="A8405" t="s">
        <v>2989</v>
      </c>
      <c r="B8405" t="str">
        <f>HYPERLINK("https://lindat.mff.cuni.cz/services/teitok/pdtc10/index.php?action=vallex&amp;frame=v-w409f43_ZU", "dělat (v-w409f43_ZU) - substituted with v-w409f48_ZU")</f>
        <v>dělat (v-w409f43_ZU) - substituted with v-w409f48_ZU</v>
      </c>
    </row>
    <row r="8406" spans="1:2" x14ac:dyDescent="0.2">
      <c r="B8406" t="s">
        <v>1</v>
      </c>
    </row>
    <row r="8407" spans="1:2" x14ac:dyDescent="0.2">
      <c r="B8407" t="s">
        <v>2990</v>
      </c>
    </row>
    <row r="8409" spans="1:2" x14ac:dyDescent="0.2">
      <c r="A8409" t="s">
        <v>2989</v>
      </c>
      <c r="B8409" t="str">
        <f>HYPERLINK("https://lindat.mff.cuni.cz/services/teitok/pdtc10/index.php?action=vallex&amp;frame=v-w409f45_ZU", "dělat (v-w409f45_ZU) - substituted with v-w409f48_ZU")</f>
        <v>dělat (v-w409f45_ZU) - substituted with v-w409f48_ZU</v>
      </c>
    </row>
    <row r="8410" spans="1:2" x14ac:dyDescent="0.2">
      <c r="B8410" t="s">
        <v>1</v>
      </c>
    </row>
    <row r="8411" spans="1:2" x14ac:dyDescent="0.2">
      <c r="B8411" t="s">
        <v>2990</v>
      </c>
    </row>
    <row r="8413" spans="1:2" x14ac:dyDescent="0.2">
      <c r="A8413" t="s">
        <v>2989</v>
      </c>
      <c r="B8413" t="str">
        <f>HYPERLINK("https://lindat.mff.cuni.cz/services/teitok/pdtc10/index.php?action=vallex&amp;frame=v-w409f46_ZU", "dělat (v-w409f46_ZU) - substituted with v-w409f48_ZU")</f>
        <v>dělat (v-w409f46_ZU) - substituted with v-w409f48_ZU</v>
      </c>
    </row>
    <row r="8414" spans="1:2" x14ac:dyDescent="0.2">
      <c r="B8414" t="s">
        <v>1</v>
      </c>
    </row>
    <row r="8415" spans="1:2" x14ac:dyDescent="0.2">
      <c r="B8415" t="s">
        <v>2990</v>
      </c>
    </row>
    <row r="8417" spans="1:2" x14ac:dyDescent="0.2">
      <c r="A8417" t="s">
        <v>2991</v>
      </c>
      <c r="B8417" t="str">
        <f>HYPERLINK("https://lindat.mff.cuni.cz/services/teitok/pdtc10/index.php?action=vallex&amp;frame=v-w409f54_ZU", "dělat (v-w409f54_ZU)")</f>
        <v>dělat (v-w409f54_ZU)</v>
      </c>
    </row>
    <row r="8418" spans="1:2" x14ac:dyDescent="0.2">
      <c r="B8418" t="s">
        <v>1</v>
      </c>
    </row>
    <row r="8419" spans="1:2" x14ac:dyDescent="0.2">
      <c r="B8419" t="s">
        <v>2992</v>
      </c>
    </row>
    <row r="8421" spans="1:2" x14ac:dyDescent="0.2">
      <c r="A8421" t="s">
        <v>2993</v>
      </c>
      <c r="B8421" t="str">
        <f>HYPERLINK("https://lindat.mff.cuni.cz/services/teitok/pdtc10/index.php?action=vallex&amp;frame=v-w409f64_ZU", "dělat (v-w409f64_ZU)")</f>
        <v>dělat (v-w409f64_ZU)</v>
      </c>
    </row>
    <row r="8422" spans="1:2" x14ac:dyDescent="0.2">
      <c r="B8422" t="s">
        <v>1</v>
      </c>
    </row>
    <row r="8423" spans="1:2" x14ac:dyDescent="0.2">
      <c r="B8423" t="s">
        <v>8</v>
      </c>
    </row>
    <row r="8425" spans="1:2" x14ac:dyDescent="0.2">
      <c r="A8425" t="s">
        <v>2993</v>
      </c>
      <c r="B8425" t="str">
        <f>HYPERLINK("https://lindat.mff.cuni.cz/services/teitok/pdtc10/index.php?action=vallex&amp;frame=v-w409f49_ZU", "dělat (v-w409f49_ZU) - substituted with v-w409f64_ZU")</f>
        <v>dělat (v-w409f49_ZU) - substituted with v-w409f64_ZU</v>
      </c>
    </row>
    <row r="8426" spans="1:2" x14ac:dyDescent="0.2">
      <c r="B8426" t="s">
        <v>1</v>
      </c>
    </row>
    <row r="8427" spans="1:2" x14ac:dyDescent="0.2">
      <c r="B8427" t="s">
        <v>8</v>
      </c>
    </row>
    <row r="8429" spans="1:2" x14ac:dyDescent="0.2">
      <c r="A8429" t="s">
        <v>2994</v>
      </c>
      <c r="B8429" t="str">
        <f>HYPERLINK("https://lindat.mff.cuni.cz/services/teitok/pdtc10/index.php?action=vallex&amp;frame=v-w409f67_ZU", "dělat (v-w409f67_ZU)")</f>
        <v>dělat (v-w409f67_ZU)</v>
      </c>
    </row>
    <row r="8430" spans="1:2" x14ac:dyDescent="0.2">
      <c r="B8430" t="s">
        <v>1</v>
      </c>
    </row>
    <row r="8431" spans="1:2" x14ac:dyDescent="0.2">
      <c r="B8431" t="s">
        <v>2995</v>
      </c>
    </row>
    <row r="8432" spans="1:2" x14ac:dyDescent="0.2">
      <c r="B8432" t="s">
        <v>168</v>
      </c>
    </row>
    <row r="8434" spans="1:2" x14ac:dyDescent="0.2">
      <c r="A8434" t="s">
        <v>2996</v>
      </c>
      <c r="B8434" t="str">
        <f>HYPERLINK("https://lindat.mff.cuni.cz/services/teitok/pdtc10/index.php?action=vallex&amp;frame=v-w409f74_ZU", "dělat (v-w409f74_ZU)")</f>
        <v>dělat (v-w409f74_ZU)</v>
      </c>
    </row>
    <row r="8435" spans="1:2" x14ac:dyDescent="0.2">
      <c r="B8435" t="s">
        <v>1</v>
      </c>
    </row>
    <row r="8436" spans="1:2" x14ac:dyDescent="0.2">
      <c r="B8436" t="s">
        <v>2997</v>
      </c>
    </row>
    <row r="8438" spans="1:2" x14ac:dyDescent="0.2">
      <c r="A8438" t="s">
        <v>2998</v>
      </c>
      <c r="B8438" t="str">
        <f>HYPERLINK("https://lindat.mff.cuni.cz/services/teitok/pdtc10/index.php?action=vallex&amp;frame=v-w409f79_ZU", "dělat (v-w409f79_ZU)")</f>
        <v>dělat (v-w409f79_ZU)</v>
      </c>
    </row>
    <row r="8439" spans="1:2" x14ac:dyDescent="0.2">
      <c r="B8439" t="s">
        <v>1</v>
      </c>
    </row>
    <row r="8440" spans="1:2" x14ac:dyDescent="0.2">
      <c r="B8440" t="s">
        <v>8</v>
      </c>
    </row>
    <row r="8442" spans="1:2" x14ac:dyDescent="0.2">
      <c r="A8442" t="s">
        <v>2998</v>
      </c>
      <c r="B8442" t="str">
        <f>HYPERLINK("https://lindat.mff.cuni.cz/services/teitok/pdtc10/index.php?action=vallex&amp;frame=v-w409f55_ZU", "dělat (v-w409f55_ZU) - substituted with v-w409f79_ZU")</f>
        <v>dělat (v-w409f55_ZU) - substituted with v-w409f79_ZU</v>
      </c>
    </row>
    <row r="8443" spans="1:2" x14ac:dyDescent="0.2">
      <c r="B8443" t="s">
        <v>1</v>
      </c>
    </row>
    <row r="8444" spans="1:2" x14ac:dyDescent="0.2">
      <c r="B8444" t="s">
        <v>8</v>
      </c>
    </row>
    <row r="8446" spans="1:2" x14ac:dyDescent="0.2">
      <c r="A8446" t="s">
        <v>2999</v>
      </c>
      <c r="B8446" t="str">
        <f>HYPERLINK("https://lindat.mff.cuni.cz/services/teitok/pdtc10/index.php?action=vallex&amp;frame=v-w409f85_ZU", "dělat (v-w409f85_ZU)")</f>
        <v>dělat (v-w409f85_ZU)</v>
      </c>
    </row>
    <row r="8447" spans="1:2" x14ac:dyDescent="0.2">
      <c r="B8447" t="s">
        <v>1</v>
      </c>
    </row>
    <row r="8448" spans="1:2" x14ac:dyDescent="0.2">
      <c r="B8448" t="s">
        <v>3000</v>
      </c>
    </row>
    <row r="8450" spans="1:2" x14ac:dyDescent="0.2">
      <c r="A8450" t="s">
        <v>3001</v>
      </c>
      <c r="B8450" t="str">
        <f>HYPERLINK("https://lindat.mff.cuni.cz/services/teitok/pdtc10/index.php?action=vallex&amp;frame=v-w409f87_MM", "dělat (v-w409f87_MM)")</f>
        <v>dělat (v-w409f87_MM)</v>
      </c>
    </row>
    <row r="8451" spans="1:2" x14ac:dyDescent="0.2">
      <c r="B8451" t="s">
        <v>1</v>
      </c>
    </row>
    <row r="8452" spans="1:2" x14ac:dyDescent="0.2">
      <c r="B8452" t="s">
        <v>3002</v>
      </c>
    </row>
    <row r="8454" spans="1:2" x14ac:dyDescent="0.2">
      <c r="A8454" t="s">
        <v>3003</v>
      </c>
      <c r="B8454" t="str">
        <f>HYPERLINK("https://lindat.mff.cuni.cz/services/teitok/pdtc10/index.php?action=vallex&amp;frame=v-w409hsa_948", "dělat (v-w409hsa_948)")</f>
        <v>dělat (v-w409hsa_948)</v>
      </c>
    </row>
    <row r="8455" spans="1:2" x14ac:dyDescent="0.2">
      <c r="B8455" t="s">
        <v>1</v>
      </c>
    </row>
    <row r="8456" spans="1:2" x14ac:dyDescent="0.2">
      <c r="B8456" t="s">
        <v>411</v>
      </c>
    </row>
    <row r="8458" spans="1:2" x14ac:dyDescent="0.2">
      <c r="A8458" t="s">
        <v>3004</v>
      </c>
      <c r="B8458" t="str">
        <f>HYPERLINK("https://lindat.mff.cuni.cz/services/teitok/pdtc10/index.php?action=vallex&amp;frame=v-w409hsa_949", "dělat (v-w409hsa_949)")</f>
        <v>dělat (v-w409hsa_949)</v>
      </c>
    </row>
    <row r="8459" spans="1:2" x14ac:dyDescent="0.2">
      <c r="B8459" t="s">
        <v>1</v>
      </c>
    </row>
    <row r="8460" spans="1:2" x14ac:dyDescent="0.2">
      <c r="B8460" t="s">
        <v>8</v>
      </c>
    </row>
    <row r="8462" spans="1:2" x14ac:dyDescent="0.2">
      <c r="A8462" t="s">
        <v>3005</v>
      </c>
      <c r="B8462" t="str">
        <f>HYPERLINK("https://lindat.mff.cuni.cz/services/teitok/pdtc10/index.php?action=vallex&amp;frame=v-w409hsa_1099", "dělat (v-w409hsa_1099)")</f>
        <v>dělat (v-w409hsa_1099)</v>
      </c>
    </row>
    <row r="8463" spans="1:2" x14ac:dyDescent="0.2">
      <c r="B8463" t="s">
        <v>1</v>
      </c>
    </row>
    <row r="8464" spans="1:2" x14ac:dyDescent="0.2">
      <c r="B8464" t="s">
        <v>917</v>
      </c>
    </row>
    <row r="8465" spans="1:4" x14ac:dyDescent="0.2">
      <c r="B8465" t="s">
        <v>524</v>
      </c>
    </row>
    <row r="8467" spans="1:4" x14ac:dyDescent="0.2">
      <c r="A8467" t="s">
        <v>3006</v>
      </c>
      <c r="B8467" t="str">
        <f>HYPERLINK("https://lindat.mff.cuni.cz/services/teitok/pdtc10/index.php?action=vallex&amp;frame=v-w410f1", "dělat se (v-w410f1)")</f>
        <v>dělat se (v-w410f1)</v>
      </c>
    </row>
    <row r="8468" spans="1:4" x14ac:dyDescent="0.2">
      <c r="B8468" t="s">
        <v>1</v>
      </c>
      <c r="D8468" t="s">
        <v>964</v>
      </c>
    </row>
    <row r="8469" spans="1:4" x14ac:dyDescent="0.2">
      <c r="B8469" t="s">
        <v>411</v>
      </c>
      <c r="D8469" t="s">
        <v>5674</v>
      </c>
    </row>
    <row r="8471" spans="1:4" x14ac:dyDescent="0.2">
      <c r="A8471" t="s">
        <v>3007</v>
      </c>
      <c r="B8471" t="str">
        <f>HYPERLINK("https://lindat.mff.cuni.cz/services/teitok/pdtc10/index.php?action=vallex&amp;frame=v-w410f2", "dělat se (v-w410f2)")</f>
        <v>dělat se (v-w410f2)</v>
      </c>
    </row>
    <row r="8472" spans="1:4" x14ac:dyDescent="0.2">
      <c r="B8472" t="s">
        <v>415</v>
      </c>
    </row>
    <row r="8473" spans="1:4" x14ac:dyDescent="0.2">
      <c r="B8473" t="s">
        <v>346</v>
      </c>
    </row>
    <row r="8474" spans="1:4" x14ac:dyDescent="0.2">
      <c r="B8474" t="s">
        <v>348</v>
      </c>
    </row>
    <row r="8475" spans="1:4" x14ac:dyDescent="0.2">
      <c r="B8475" t="s">
        <v>349</v>
      </c>
    </row>
    <row r="8476" spans="1:4" x14ac:dyDescent="0.2">
      <c r="B8476" t="s">
        <v>350</v>
      </c>
    </row>
    <row r="8477" spans="1:4" x14ac:dyDescent="0.2">
      <c r="B8477" t="s">
        <v>351</v>
      </c>
    </row>
    <row r="8479" spans="1:4" x14ac:dyDescent="0.2">
      <c r="A8479" t="s">
        <v>3008</v>
      </c>
      <c r="B8479" t="str">
        <f>HYPERLINK("https://lindat.mff.cuni.cz/services/teitok/pdtc10/index.php?action=vallex&amp;frame=v-w410f3_ZU", "dělat se (v-w410f3_ZU)")</f>
        <v>dělat se (v-w410f3_ZU)</v>
      </c>
    </row>
    <row r="8480" spans="1:4" x14ac:dyDescent="0.2">
      <c r="B8480" t="s">
        <v>1</v>
      </c>
    </row>
    <row r="8482" spans="1:4" x14ac:dyDescent="0.2">
      <c r="A8482" t="s">
        <v>3009</v>
      </c>
      <c r="B8482" t="str">
        <f>HYPERLINK("https://lindat.mff.cuni.cz/services/teitok/pdtc10/index.php?action=vallex&amp;frame=v-w410hsa_1676", "dělat se (v-w410hsa_1676)")</f>
        <v>dělat se (v-w410hsa_1676)</v>
      </c>
    </row>
    <row r="8483" spans="1:4" x14ac:dyDescent="0.2">
      <c r="B8483" t="s">
        <v>455</v>
      </c>
    </row>
    <row r="8484" spans="1:4" x14ac:dyDescent="0.2">
      <c r="B8484" t="s">
        <v>507</v>
      </c>
    </row>
    <row r="8486" spans="1:4" x14ac:dyDescent="0.2">
      <c r="A8486" t="s">
        <v>3010</v>
      </c>
      <c r="B8486" t="str">
        <f>HYPERLINK("https://lindat.mff.cuni.cz/services/teitok/pdtc10/index.php?action=vallex&amp;frame=v-w411f1", "dělat si (v-w411f1)")</f>
        <v>dělat si (v-w411f1)</v>
      </c>
    </row>
    <row r="8487" spans="1:4" x14ac:dyDescent="0.2">
      <c r="B8487" t="s">
        <v>1</v>
      </c>
    </row>
    <row r="8488" spans="1:4" x14ac:dyDescent="0.2">
      <c r="B8488" t="s">
        <v>172</v>
      </c>
    </row>
    <row r="8490" spans="1:4" x14ac:dyDescent="0.2">
      <c r="A8490" t="s">
        <v>3011</v>
      </c>
      <c r="B8490" t="str">
        <f>HYPERLINK("https://lindat.mff.cuni.cz/services/teitok/pdtc10/index.php?action=vallex&amp;frame=v-w411f2", "dělat si (v-w411f2)")</f>
        <v>dělat si (v-w411f2)</v>
      </c>
    </row>
    <row r="8491" spans="1:4" x14ac:dyDescent="0.2">
      <c r="B8491" t="s">
        <v>1</v>
      </c>
      <c r="D8491" t="s">
        <v>23314</v>
      </c>
    </row>
    <row r="8492" spans="1:4" x14ac:dyDescent="0.2">
      <c r="B8492" t="s">
        <v>3012</v>
      </c>
      <c r="D8492" t="s">
        <v>23315</v>
      </c>
    </row>
    <row r="8494" spans="1:4" x14ac:dyDescent="0.2">
      <c r="A8494" t="s">
        <v>3013</v>
      </c>
      <c r="B8494" t="str">
        <f>HYPERLINK("https://lindat.mff.cuni.cz/services/teitok/pdtc10/index.php?action=vallex&amp;frame=v-w411f10_ZU", "dělat si (v-w411f10_ZU)")</f>
        <v>dělat si (v-w411f10_ZU)</v>
      </c>
    </row>
    <row r="8495" spans="1:4" x14ac:dyDescent="0.2">
      <c r="B8495" t="s">
        <v>1</v>
      </c>
      <c r="C8495" t="s">
        <v>364</v>
      </c>
    </row>
    <row r="8496" spans="1:4" x14ac:dyDescent="0.2">
      <c r="B8496" t="s">
        <v>3014</v>
      </c>
      <c r="C8496" t="s">
        <v>366</v>
      </c>
    </row>
    <row r="8498" spans="1:3" x14ac:dyDescent="0.2">
      <c r="A8498" t="s">
        <v>3013</v>
      </c>
      <c r="B8498" t="str">
        <f>HYPERLINK("https://lindat.mff.cuni.cz/services/teitok/pdtc10/index.php?action=vallex&amp;frame=v-w411f7_ZU", "dělat si (v-w411f7_ZU) - substituted with v-w411f10_ZU")</f>
        <v>dělat si (v-w411f7_ZU) - substituted with v-w411f10_ZU</v>
      </c>
    </row>
    <row r="8499" spans="1:3" x14ac:dyDescent="0.2">
      <c r="B8499" t="s">
        <v>1</v>
      </c>
    </row>
    <row r="8500" spans="1:3" x14ac:dyDescent="0.2">
      <c r="B8500" t="s">
        <v>3014</v>
      </c>
    </row>
    <row r="8502" spans="1:3" x14ac:dyDescent="0.2">
      <c r="A8502" t="s">
        <v>3013</v>
      </c>
      <c r="B8502" t="str">
        <f>HYPERLINK("https://lindat.mff.cuni.cz/services/teitok/pdtc10/index.php?action=vallex&amp;frame=v-w411f8_ZU", "dělat si (v-w411f8_ZU) - substituted with v-w411f10_ZU")</f>
        <v>dělat si (v-w411f8_ZU) - substituted with v-w411f10_ZU</v>
      </c>
    </row>
    <row r="8503" spans="1:3" x14ac:dyDescent="0.2">
      <c r="B8503" t="s">
        <v>1</v>
      </c>
      <c r="C8503" t="s">
        <v>364</v>
      </c>
    </row>
    <row r="8504" spans="1:3" x14ac:dyDescent="0.2">
      <c r="B8504" t="s">
        <v>3014</v>
      </c>
      <c r="C8504" t="s">
        <v>366</v>
      </c>
    </row>
    <row r="8506" spans="1:3" x14ac:dyDescent="0.2">
      <c r="A8506" t="s">
        <v>3015</v>
      </c>
      <c r="B8506" t="str">
        <f>HYPERLINK("https://lindat.mff.cuni.cz/services/teitok/pdtc10/index.php?action=vallex&amp;frame=v-w411f6", "dělat si (v-w411f6)")</f>
        <v>dělat si (v-w411f6)</v>
      </c>
    </row>
    <row r="8507" spans="1:3" x14ac:dyDescent="0.2">
      <c r="B8507" t="s">
        <v>1</v>
      </c>
    </row>
    <row r="8508" spans="1:3" x14ac:dyDescent="0.2">
      <c r="B8508" t="s">
        <v>3016</v>
      </c>
    </row>
    <row r="8509" spans="1:3" x14ac:dyDescent="0.2">
      <c r="B8509" t="s">
        <v>168</v>
      </c>
    </row>
    <row r="8511" spans="1:3" x14ac:dyDescent="0.2">
      <c r="A8511" t="s">
        <v>3017</v>
      </c>
      <c r="B8511" t="str">
        <f>HYPERLINK("https://lindat.mff.cuni.cz/services/teitok/pdtc10/index.php?action=vallex&amp;frame=v-w411f3", "dělat si (v-w411f3)")</f>
        <v>dělat si (v-w411f3)</v>
      </c>
    </row>
    <row r="8512" spans="1:3" x14ac:dyDescent="0.2">
      <c r="B8512" t="s">
        <v>1</v>
      </c>
      <c r="C8512" t="s">
        <v>373</v>
      </c>
    </row>
    <row r="8513" spans="1:3" x14ac:dyDescent="0.2">
      <c r="B8513" t="s">
        <v>3018</v>
      </c>
      <c r="C8513" t="s">
        <v>375</v>
      </c>
    </row>
    <row r="8514" spans="1:3" x14ac:dyDescent="0.2">
      <c r="B8514" t="s">
        <v>168</v>
      </c>
      <c r="C8514" t="s">
        <v>335</v>
      </c>
    </row>
    <row r="8516" spans="1:3" x14ac:dyDescent="0.2">
      <c r="A8516" t="s">
        <v>3019</v>
      </c>
      <c r="B8516" t="str">
        <f>HYPERLINK("https://lindat.mff.cuni.cz/services/teitok/pdtc10/index.php?action=vallex&amp;frame=v-w411f16_MM", "dělat si (v-w411f16_MM)")</f>
        <v>dělat si (v-w411f16_MM)</v>
      </c>
    </row>
    <row r="8517" spans="1:3" x14ac:dyDescent="0.2">
      <c r="B8517" t="s">
        <v>1</v>
      </c>
    </row>
    <row r="8518" spans="1:3" x14ac:dyDescent="0.2">
      <c r="B8518" t="s">
        <v>3020</v>
      </c>
    </row>
    <row r="8519" spans="1:3" x14ac:dyDescent="0.2">
      <c r="B8519" t="s">
        <v>168</v>
      </c>
    </row>
    <row r="8520" spans="1:3" x14ac:dyDescent="0.2">
      <c r="B8520" t="s">
        <v>3021</v>
      </c>
    </row>
    <row r="8522" spans="1:3" x14ac:dyDescent="0.2">
      <c r="A8522" t="s">
        <v>3019</v>
      </c>
      <c r="B8522" t="str">
        <f>HYPERLINK("https://lindat.mff.cuni.cz/services/teitok/pdtc10/index.php?action=vallex&amp;frame=v-w411f15_ZU", "dělat si (v-w411f15_ZU) - substituted with v-w411f16_MM")</f>
        <v>dělat si (v-w411f15_ZU) - substituted with v-w411f16_MM</v>
      </c>
    </row>
    <row r="8523" spans="1:3" x14ac:dyDescent="0.2">
      <c r="B8523" t="s">
        <v>1</v>
      </c>
    </row>
    <row r="8524" spans="1:3" x14ac:dyDescent="0.2">
      <c r="B8524" t="s">
        <v>3020</v>
      </c>
    </row>
    <row r="8525" spans="1:3" x14ac:dyDescent="0.2">
      <c r="B8525" t="s">
        <v>168</v>
      </c>
    </row>
    <row r="8526" spans="1:3" x14ac:dyDescent="0.2">
      <c r="B8526" t="s">
        <v>3021</v>
      </c>
    </row>
    <row r="8528" spans="1:3" x14ac:dyDescent="0.2">
      <c r="A8528" t="s">
        <v>3019</v>
      </c>
      <c r="B8528" t="str">
        <f>HYPERLINK("https://lindat.mff.cuni.cz/services/teitok/pdtc10/index.php?action=vallex&amp;frame=v-w411f5", "dělat si (v-w411f5) - substituted with v-w411f16_MM")</f>
        <v>dělat si (v-w411f5) - substituted with v-w411f16_MM</v>
      </c>
    </row>
    <row r="8529" spans="1:3" x14ac:dyDescent="0.2">
      <c r="B8529" t="s">
        <v>1</v>
      </c>
    </row>
    <row r="8530" spans="1:3" x14ac:dyDescent="0.2">
      <c r="B8530" t="s">
        <v>3020</v>
      </c>
    </row>
    <row r="8531" spans="1:3" x14ac:dyDescent="0.2">
      <c r="B8531" t="s">
        <v>168</v>
      </c>
    </row>
    <row r="8532" spans="1:3" x14ac:dyDescent="0.2">
      <c r="B8532" t="s">
        <v>3021</v>
      </c>
    </row>
    <row r="8534" spans="1:3" x14ac:dyDescent="0.2">
      <c r="A8534" t="s">
        <v>3019</v>
      </c>
      <c r="B8534" t="str">
        <f>HYPERLINK("https://lindat.mff.cuni.cz/services/teitok/pdtc10/index.php?action=vallex&amp;frame=v-w411f9_ZU", "dělat si (v-w411f9_ZU) - substituted with v-w411f16_MM")</f>
        <v>dělat si (v-w411f9_ZU) - substituted with v-w411f16_MM</v>
      </c>
    </row>
    <row r="8535" spans="1:3" x14ac:dyDescent="0.2">
      <c r="B8535" t="s">
        <v>1</v>
      </c>
      <c r="C8535" t="s">
        <v>2787</v>
      </c>
    </row>
    <row r="8536" spans="1:3" x14ac:dyDescent="0.2">
      <c r="B8536" t="s">
        <v>3020</v>
      </c>
      <c r="C8536" t="s">
        <v>2587</v>
      </c>
    </row>
    <row r="8537" spans="1:3" x14ac:dyDescent="0.2">
      <c r="B8537" t="s">
        <v>168</v>
      </c>
    </row>
    <row r="8538" spans="1:3" x14ac:dyDescent="0.2">
      <c r="B8538" t="s">
        <v>3021</v>
      </c>
    </row>
    <row r="8540" spans="1:3" x14ac:dyDescent="0.2">
      <c r="A8540" t="s">
        <v>3022</v>
      </c>
      <c r="B8540" t="str">
        <f>HYPERLINK("https://lindat.mff.cuni.cz/services/teitok/pdtc10/index.php?action=vallex&amp;frame=v-w411f4", "dělat si (v-w411f4)")</f>
        <v>dělat si (v-w411f4)</v>
      </c>
    </row>
    <row r="8541" spans="1:3" x14ac:dyDescent="0.2">
      <c r="B8541" t="s">
        <v>331</v>
      </c>
    </row>
    <row r="8542" spans="1:3" x14ac:dyDescent="0.2">
      <c r="B8542" t="s">
        <v>3023</v>
      </c>
    </row>
    <row r="8544" spans="1:3" x14ac:dyDescent="0.2">
      <c r="A8544" t="s">
        <v>3024</v>
      </c>
      <c r="B8544" t="str">
        <f>HYPERLINK("https://lindat.mff.cuni.cz/services/teitok/pdtc10/index.php?action=vallex&amp;frame=v-w411f12_ZU", "dělat si (v-w411f12_ZU)")</f>
        <v>dělat si (v-w411f12_ZU)</v>
      </c>
    </row>
    <row r="8545" spans="1:3" x14ac:dyDescent="0.2">
      <c r="B8545" t="s">
        <v>1</v>
      </c>
    </row>
    <row r="8546" spans="1:3" x14ac:dyDescent="0.2">
      <c r="B8546" t="s">
        <v>3025</v>
      </c>
    </row>
    <row r="8547" spans="1:3" x14ac:dyDescent="0.2">
      <c r="B8547" t="s">
        <v>3026</v>
      </c>
    </row>
    <row r="8549" spans="1:3" x14ac:dyDescent="0.2">
      <c r="A8549" t="s">
        <v>3024</v>
      </c>
      <c r="B8549" t="str">
        <f>HYPERLINK("https://lindat.mff.cuni.cz/services/teitok/pdtc10/index.php?action=vallex&amp;frame=v-w411f11_ZU", "dělat si (v-w411f11_ZU) - substituted with v-w411f12_ZU")</f>
        <v>dělat si (v-w411f11_ZU) - substituted with v-w411f12_ZU</v>
      </c>
    </row>
    <row r="8550" spans="1:3" x14ac:dyDescent="0.2">
      <c r="B8550" t="s">
        <v>1</v>
      </c>
    </row>
    <row r="8551" spans="1:3" x14ac:dyDescent="0.2">
      <c r="B8551" t="s">
        <v>3025</v>
      </c>
    </row>
    <row r="8552" spans="1:3" x14ac:dyDescent="0.2">
      <c r="B8552" t="s">
        <v>3026</v>
      </c>
    </row>
    <row r="8554" spans="1:3" x14ac:dyDescent="0.2">
      <c r="A8554" t="s">
        <v>3024</v>
      </c>
      <c r="B8554" t="str">
        <f>HYPERLINK("https://lindat.mff.cuni.cz/services/teitok/pdtc10/index.php?action=vallex&amp;frame=v-w411hsa_851", "dělat si (v-w411hsa_851) - substituted with v-w411f12_ZU")</f>
        <v>dělat si (v-w411hsa_851) - substituted with v-w411f12_ZU</v>
      </c>
    </row>
    <row r="8555" spans="1:3" x14ac:dyDescent="0.2">
      <c r="B8555" t="s">
        <v>1</v>
      </c>
    </row>
    <row r="8556" spans="1:3" x14ac:dyDescent="0.2">
      <c r="B8556" t="s">
        <v>3025</v>
      </c>
    </row>
    <row r="8557" spans="1:3" x14ac:dyDescent="0.2">
      <c r="B8557" t="s">
        <v>3026</v>
      </c>
    </row>
    <row r="8559" spans="1:3" x14ac:dyDescent="0.2">
      <c r="A8559" t="s">
        <v>3027</v>
      </c>
      <c r="B8559" t="str">
        <f>HYPERLINK("https://lindat.mff.cuni.cz/services/teitok/pdtc10/index.php?action=vallex&amp;frame=v-w411f13_ZU", "dělat si (v-w411f13_ZU)")</f>
        <v>dělat si (v-w411f13_ZU)</v>
      </c>
    </row>
    <row r="8560" spans="1:3" x14ac:dyDescent="0.2">
      <c r="B8560" t="s">
        <v>1</v>
      </c>
      <c r="C8560" t="s">
        <v>1065</v>
      </c>
    </row>
    <row r="8561" spans="1:3" x14ac:dyDescent="0.2">
      <c r="B8561" t="s">
        <v>3028</v>
      </c>
      <c r="C8561" t="s">
        <v>1510</v>
      </c>
    </row>
    <row r="8562" spans="1:3" x14ac:dyDescent="0.2">
      <c r="B8562" t="s">
        <v>153</v>
      </c>
      <c r="C8562" t="s">
        <v>3029</v>
      </c>
    </row>
    <row r="8564" spans="1:3" x14ac:dyDescent="0.2">
      <c r="A8564" t="s">
        <v>3030</v>
      </c>
      <c r="B8564" t="str">
        <f>HYPERLINK("https://lindat.mff.cuni.cz/services/teitok/pdtc10/index.php?action=vallex&amp;frame=v-w411f14_ZU", "dělat si (v-w411f14_ZU)")</f>
        <v>dělat si (v-w411f14_ZU)</v>
      </c>
    </row>
    <row r="8565" spans="1:3" x14ac:dyDescent="0.2">
      <c r="B8565" t="s">
        <v>1</v>
      </c>
    </row>
    <row r="8566" spans="1:3" x14ac:dyDescent="0.2">
      <c r="B8566" t="s">
        <v>3031</v>
      </c>
    </row>
    <row r="8567" spans="1:3" x14ac:dyDescent="0.2">
      <c r="B8567" t="s">
        <v>168</v>
      </c>
    </row>
    <row r="8569" spans="1:3" x14ac:dyDescent="0.2">
      <c r="A8569" t="s">
        <v>3030</v>
      </c>
      <c r="B8569" t="str">
        <f>HYPERLINK("https://lindat.mff.cuni.cz/services/teitok/pdtc10/index.php?action=vallex&amp;frame=v-w411hsa_850", "dělat si (v-w411hsa_850) - substituted with v-w411f14_ZU")</f>
        <v>dělat si (v-w411hsa_850) - substituted with v-w411f14_ZU</v>
      </c>
    </row>
    <row r="8570" spans="1:3" x14ac:dyDescent="0.2">
      <c r="B8570" t="s">
        <v>1</v>
      </c>
    </row>
    <row r="8571" spans="1:3" x14ac:dyDescent="0.2">
      <c r="B8571" t="s">
        <v>3031</v>
      </c>
    </row>
    <row r="8572" spans="1:3" x14ac:dyDescent="0.2">
      <c r="B8572" t="s">
        <v>168</v>
      </c>
    </row>
    <row r="8574" spans="1:3" x14ac:dyDescent="0.2">
      <c r="A8574" t="s">
        <v>3032</v>
      </c>
      <c r="B8574" t="str">
        <f>HYPERLINK("https://lindat.mff.cuni.cz/services/teitok/pdtc10/index.php?action=vallex&amp;frame=v-w411hsa_852", "dělat si (v-w411hsa_852)")</f>
        <v>dělat si (v-w411hsa_852)</v>
      </c>
    </row>
    <row r="8575" spans="1:3" x14ac:dyDescent="0.2">
      <c r="B8575" t="s">
        <v>1</v>
      </c>
    </row>
    <row r="8576" spans="1:3" x14ac:dyDescent="0.2">
      <c r="B8576" t="s">
        <v>3033</v>
      </c>
    </row>
    <row r="8577" spans="1:2" x14ac:dyDescent="0.2">
      <c r="B8577" t="s">
        <v>168</v>
      </c>
    </row>
    <row r="8579" spans="1:2" x14ac:dyDescent="0.2">
      <c r="A8579" t="s">
        <v>3034</v>
      </c>
      <c r="B8579" t="str">
        <f>HYPERLINK("https://lindat.mff.cuni.cz/services/teitok/pdtc10/index.php?action=vallex&amp;frame=v-w417f3", "dělit (v-w417f3)")</f>
        <v>dělit (v-w417f3)</v>
      </c>
    </row>
    <row r="8580" spans="1:2" x14ac:dyDescent="0.2">
      <c r="B8580" t="s">
        <v>1</v>
      </c>
    </row>
    <row r="8581" spans="1:2" x14ac:dyDescent="0.2">
      <c r="B8581" t="s">
        <v>8</v>
      </c>
    </row>
    <row r="8582" spans="1:2" x14ac:dyDescent="0.2">
      <c r="B8582" t="s">
        <v>3035</v>
      </c>
    </row>
    <row r="8584" spans="1:2" x14ac:dyDescent="0.2">
      <c r="A8584" t="s">
        <v>3036</v>
      </c>
      <c r="B8584" t="str">
        <f>HYPERLINK("https://lindat.mff.cuni.cz/services/teitok/pdtc10/index.php?action=vallex&amp;frame=v-w417f2", "dělit (v-w417f2)")</f>
        <v>dělit (v-w417f2)</v>
      </c>
    </row>
    <row r="8585" spans="1:2" x14ac:dyDescent="0.2">
      <c r="B8585" t="s">
        <v>1</v>
      </c>
    </row>
    <row r="8586" spans="1:2" x14ac:dyDescent="0.2">
      <c r="B8586" t="s">
        <v>8</v>
      </c>
    </row>
    <row r="8587" spans="1:2" x14ac:dyDescent="0.2">
      <c r="B8587" t="s">
        <v>321</v>
      </c>
    </row>
    <row r="8589" spans="1:2" x14ac:dyDescent="0.2">
      <c r="A8589" t="s">
        <v>3037</v>
      </c>
      <c r="B8589" t="str">
        <f>HYPERLINK("https://lindat.mff.cuni.cz/services/teitok/pdtc10/index.php?action=vallex&amp;frame=v-w417f4_ZU", "dělit (v-w417f4_ZU)")</f>
        <v>dělit (v-w417f4_ZU)</v>
      </c>
    </row>
    <row r="8590" spans="1:2" x14ac:dyDescent="0.2">
      <c r="B8590" t="s">
        <v>1</v>
      </c>
    </row>
    <row r="8591" spans="1:2" x14ac:dyDescent="0.2">
      <c r="B8591" t="s">
        <v>8</v>
      </c>
    </row>
    <row r="8592" spans="1:2" x14ac:dyDescent="0.2">
      <c r="B8592" t="s">
        <v>1193</v>
      </c>
    </row>
    <row r="8594" spans="1:4" x14ac:dyDescent="0.2">
      <c r="A8594" t="s">
        <v>3038</v>
      </c>
      <c r="B8594" t="str">
        <f>HYPERLINK("https://lindat.mff.cuni.cz/services/teitok/pdtc10/index.php?action=vallex&amp;frame=v-w417f1", "dělit (v-w417f1)")</f>
        <v>dělit (v-w417f1)</v>
      </c>
    </row>
    <row r="8595" spans="1:4" x14ac:dyDescent="0.2">
      <c r="B8595" t="s">
        <v>1</v>
      </c>
    </row>
    <row r="8596" spans="1:4" x14ac:dyDescent="0.2">
      <c r="B8596" t="s">
        <v>8</v>
      </c>
    </row>
    <row r="8597" spans="1:4" x14ac:dyDescent="0.2">
      <c r="B8597" t="s">
        <v>2334</v>
      </c>
    </row>
    <row r="8599" spans="1:4" x14ac:dyDescent="0.2">
      <c r="A8599" t="s">
        <v>3039</v>
      </c>
      <c r="B8599" t="str">
        <f>HYPERLINK("https://lindat.mff.cuni.cz/services/teitok/pdtc10/index.php?action=vallex&amp;frame=v-w419f1", "dělit se (v-w419f1)")</f>
        <v>dělit se (v-w419f1)</v>
      </c>
    </row>
    <row r="8600" spans="1:4" x14ac:dyDescent="0.2">
      <c r="B8600" t="s">
        <v>1</v>
      </c>
      <c r="C8600" t="s">
        <v>2571</v>
      </c>
      <c r="D8600" t="s">
        <v>1106</v>
      </c>
    </row>
    <row r="8601" spans="1:4" x14ac:dyDescent="0.2">
      <c r="B8601" t="s">
        <v>467</v>
      </c>
      <c r="C8601" t="s">
        <v>3040</v>
      </c>
      <c r="D8601" t="s">
        <v>6116</v>
      </c>
    </row>
    <row r="8602" spans="1:4" x14ac:dyDescent="0.2">
      <c r="B8602" t="s">
        <v>153</v>
      </c>
      <c r="C8602" t="s">
        <v>3041</v>
      </c>
      <c r="D8602" t="s">
        <v>3041</v>
      </c>
    </row>
    <row r="8604" spans="1:4" x14ac:dyDescent="0.2">
      <c r="A8604" t="s">
        <v>3042</v>
      </c>
      <c r="B8604" t="str">
        <f>HYPERLINK("https://lindat.mff.cuni.cz/services/teitok/pdtc10/index.php?action=vallex&amp;frame=v-w419f2", "dělit se (v-w419f2)")</f>
        <v>dělit se (v-w419f2)</v>
      </c>
    </row>
    <row r="8605" spans="1:4" x14ac:dyDescent="0.2">
      <c r="B8605" t="s">
        <v>1</v>
      </c>
      <c r="C8605" t="s">
        <v>3043</v>
      </c>
      <c r="D8605" t="s">
        <v>23100</v>
      </c>
    </row>
    <row r="8606" spans="1:4" x14ac:dyDescent="0.2">
      <c r="B8606" t="s">
        <v>3044</v>
      </c>
      <c r="D8606" t="s">
        <v>21785</v>
      </c>
    </row>
    <row r="8608" spans="1:4" x14ac:dyDescent="0.2">
      <c r="A8608" t="s">
        <v>3045</v>
      </c>
      <c r="B8608" t="str">
        <f>HYPERLINK("https://lindat.mff.cuni.cz/services/teitok/pdtc10/index.php?action=vallex&amp;frame=v-whsa_1269hsa_1270", "dělávat (v-whsa_1269hsa_1270)")</f>
        <v>dělávat (v-whsa_1269hsa_1270)</v>
      </c>
    </row>
    <row r="8609" spans="1:2" x14ac:dyDescent="0.2">
      <c r="B8609" t="s">
        <v>1</v>
      </c>
    </row>
    <row r="8610" spans="1:2" x14ac:dyDescent="0.2">
      <c r="B8610" t="s">
        <v>2934</v>
      </c>
    </row>
    <row r="8612" spans="1:2" x14ac:dyDescent="0.2">
      <c r="A8612" t="s">
        <v>3046</v>
      </c>
      <c r="B8612" t="str">
        <f>HYPERLINK("https://lindat.mff.cuni.cz/services/teitok/pdtc10/index.php?action=vallex&amp;frame=v-whsb_1269f1_ZU", "dělávat (v-whsb_1269f1_ZU)")</f>
        <v>dělávat (v-whsb_1269f1_ZU)</v>
      </c>
    </row>
    <row r="8613" spans="1:2" x14ac:dyDescent="0.2">
      <c r="B8613" t="s">
        <v>1</v>
      </c>
    </row>
    <row r="8614" spans="1:2" x14ac:dyDescent="0.2">
      <c r="B8614" t="s">
        <v>889</v>
      </c>
    </row>
    <row r="8616" spans="1:2" x14ac:dyDescent="0.2">
      <c r="A8616" t="s">
        <v>3047</v>
      </c>
      <c r="B8616" t="str">
        <f>HYPERLINK("https://lindat.mff.cuni.cz/services/teitok/pdtc10/index.php?action=vallex&amp;frame=v-whsa_1269hsa_1077", "dělávat (v-whsa_1269hsa_1077)")</f>
        <v>dělávat (v-whsa_1269hsa_1077)</v>
      </c>
    </row>
    <row r="8617" spans="1:2" x14ac:dyDescent="0.2">
      <c r="B8617" t="s">
        <v>1</v>
      </c>
    </row>
    <row r="8618" spans="1:2" x14ac:dyDescent="0.2">
      <c r="B8618" t="s">
        <v>8</v>
      </c>
    </row>
    <row r="8620" spans="1:2" x14ac:dyDescent="0.2">
      <c r="A8620" t="s">
        <v>3048</v>
      </c>
      <c r="B8620" t="str">
        <f>HYPERLINK("https://lindat.mff.cuni.cz/services/teitok/pdtc10/index.php?action=vallex&amp;frame=v-whsa_1269hsa_1078", "dělávat (v-whsa_1269hsa_1078)")</f>
        <v>dělávat (v-whsa_1269hsa_1078)</v>
      </c>
    </row>
    <row r="8621" spans="1:2" x14ac:dyDescent="0.2">
      <c r="B8621" t="s">
        <v>1</v>
      </c>
    </row>
    <row r="8622" spans="1:2" x14ac:dyDescent="0.2">
      <c r="B8622" t="s">
        <v>8</v>
      </c>
    </row>
    <row r="8623" spans="1:2" x14ac:dyDescent="0.2">
      <c r="B8623" t="s">
        <v>24</v>
      </c>
    </row>
    <row r="8625" spans="1:4" x14ac:dyDescent="0.2">
      <c r="A8625" t="s">
        <v>3049</v>
      </c>
      <c r="B8625" t="str">
        <f>HYPERLINK("https://lindat.mff.cuni.cz/services/teitok/pdtc10/index.php?action=vallex&amp;frame=v-whsa_1269hsa_1079", "dělávat (v-whsa_1269hsa_1079)")</f>
        <v>dělávat (v-whsa_1269hsa_1079)</v>
      </c>
    </row>
    <row r="8626" spans="1:4" x14ac:dyDescent="0.2">
      <c r="B8626" t="s">
        <v>1</v>
      </c>
    </row>
    <row r="8627" spans="1:4" x14ac:dyDescent="0.2">
      <c r="B8627" t="s">
        <v>8</v>
      </c>
    </row>
    <row r="8629" spans="1:4" x14ac:dyDescent="0.2">
      <c r="A8629" t="s">
        <v>3050</v>
      </c>
      <c r="B8629" t="str">
        <f>HYPERLINK("https://lindat.mff.cuni.cz/services/teitok/pdtc10/index.php?action=vallex&amp;frame=v-w446f1", "děsit (v-w446f1)")</f>
        <v>děsit (v-w446f1)</v>
      </c>
    </row>
    <row r="8630" spans="1:4" x14ac:dyDescent="0.2">
      <c r="B8630" t="s">
        <v>1</v>
      </c>
      <c r="C8630" t="s">
        <v>3051</v>
      </c>
      <c r="D8630" t="s">
        <v>23316</v>
      </c>
    </row>
    <row r="8631" spans="1:4" x14ac:dyDescent="0.2">
      <c r="B8631" t="s">
        <v>8</v>
      </c>
      <c r="C8631" t="s">
        <v>84</v>
      </c>
      <c r="D8631" t="s">
        <v>2213</v>
      </c>
    </row>
    <row r="8633" spans="1:4" x14ac:dyDescent="0.2">
      <c r="A8633" t="s">
        <v>3052</v>
      </c>
      <c r="B8633" t="str">
        <f>HYPERLINK("https://lindat.mff.cuni.cz/services/teitok/pdtc10/index.php?action=vallex&amp;frame=v-w11782_ZUf1_ZU", "děsit se (v-w11782_ZUf1_ZU)")</f>
        <v>děsit se (v-w11782_ZUf1_ZU)</v>
      </c>
    </row>
    <row r="8634" spans="1:4" x14ac:dyDescent="0.2">
      <c r="B8634" t="s">
        <v>1</v>
      </c>
    </row>
    <row r="8635" spans="1:4" x14ac:dyDescent="0.2">
      <c r="B8635" t="s">
        <v>917</v>
      </c>
    </row>
    <row r="8637" spans="1:4" x14ac:dyDescent="0.2">
      <c r="A8637" t="s">
        <v>3053</v>
      </c>
      <c r="B8637" t="str">
        <f>HYPERLINK("https://lindat.mff.cuni.cz/services/teitok/pdtc10/index.php?action=vallex&amp;frame=v-w11809_ZUf1_ZU", "dřepnout si (v-w11809_ZUf1_ZU)")</f>
        <v>dřepnout si (v-w11809_ZUf1_ZU)</v>
      </c>
    </row>
    <row r="8638" spans="1:4" x14ac:dyDescent="0.2">
      <c r="B8638" t="s">
        <v>1</v>
      </c>
    </row>
    <row r="8639" spans="1:4" x14ac:dyDescent="0.2">
      <c r="B8639" t="s">
        <v>252</v>
      </c>
    </row>
    <row r="8641" spans="1:4" x14ac:dyDescent="0.2">
      <c r="A8641" t="s">
        <v>3054</v>
      </c>
      <c r="B8641" t="str">
        <f>HYPERLINK("https://lindat.mff.cuni.cz/services/teitok/pdtc10/index.php?action=vallex&amp;frame=v-w843f2", "dřímat (v-w843f2)")</f>
        <v>dřímat (v-w843f2)</v>
      </c>
    </row>
    <row r="8642" spans="1:4" x14ac:dyDescent="0.2">
      <c r="B8642" t="s">
        <v>1</v>
      </c>
    </row>
    <row r="8643" spans="1:4" x14ac:dyDescent="0.2">
      <c r="B8643" t="s">
        <v>290</v>
      </c>
    </row>
    <row r="8645" spans="1:4" x14ac:dyDescent="0.2">
      <c r="A8645" t="s">
        <v>3055</v>
      </c>
      <c r="B8645" t="str">
        <f>HYPERLINK("https://lindat.mff.cuni.cz/services/teitok/pdtc10/index.php?action=vallex&amp;frame=v-w843f1", "dřímat (v-w843f1)")</f>
        <v>dřímat (v-w843f1)</v>
      </c>
    </row>
    <row r="8646" spans="1:4" x14ac:dyDescent="0.2">
      <c r="B8646" t="s">
        <v>1</v>
      </c>
    </row>
    <row r="8648" spans="1:4" x14ac:dyDescent="0.2">
      <c r="A8648" t="s">
        <v>3056</v>
      </c>
      <c r="B8648" t="str">
        <f>HYPERLINK("https://lindat.mff.cuni.cz/services/teitok/pdtc10/index.php?action=vallex&amp;frame=v-w11219f2", "dřít (v-w11219f2)")</f>
        <v>dřít (v-w11219f2)</v>
      </c>
    </row>
    <row r="8649" spans="1:4" x14ac:dyDescent="0.2">
      <c r="B8649" t="s">
        <v>1</v>
      </c>
      <c r="C8649" t="s">
        <v>1792</v>
      </c>
      <c r="D8649" t="s">
        <v>23317</v>
      </c>
    </row>
    <row r="8651" spans="1:4" x14ac:dyDescent="0.2">
      <c r="A8651" t="s">
        <v>3057</v>
      </c>
      <c r="B8651" t="str">
        <f>HYPERLINK("https://lindat.mff.cuni.cz/services/teitok/pdtc10/index.php?action=vallex&amp;frame=v-w11500hsa_1529", "dřít se (v-w11500hsa_1529)")</f>
        <v>dřít se (v-w11500hsa_1529)</v>
      </c>
    </row>
    <row r="8652" spans="1:4" x14ac:dyDescent="0.2">
      <c r="B8652" t="s">
        <v>1</v>
      </c>
    </row>
    <row r="8653" spans="1:4" x14ac:dyDescent="0.2">
      <c r="B8653" t="s">
        <v>3058</v>
      </c>
    </row>
    <row r="8655" spans="1:4" x14ac:dyDescent="0.2">
      <c r="A8655" t="s">
        <v>3057</v>
      </c>
      <c r="B8655" t="str">
        <f>HYPERLINK("https://lindat.mff.cuni.cz/services/teitok/pdtc10/index.php?action=vallex&amp;frame=v-w11500f1", "dřít se (v-w11500f1) - substituted with v-w11500hsa_1529")</f>
        <v>dřít se (v-w11500f1) - substituted with v-w11500hsa_1529</v>
      </c>
    </row>
    <row r="8656" spans="1:4" x14ac:dyDescent="0.2">
      <c r="B8656" t="s">
        <v>1</v>
      </c>
      <c r="C8656" t="s">
        <v>249</v>
      </c>
      <c r="D8656" t="s">
        <v>23318</v>
      </c>
    </row>
    <row r="8657" spans="1:4" x14ac:dyDescent="0.2">
      <c r="B8657" t="s">
        <v>3058</v>
      </c>
    </row>
    <row r="8659" spans="1:4" x14ac:dyDescent="0.2">
      <c r="A8659" t="s">
        <v>3059</v>
      </c>
      <c r="B8659" t="str">
        <f>HYPERLINK("https://lindat.mff.cuni.cz/services/teitok/pdtc10/index.php?action=vallex&amp;frame=v-w11500f2_ZU", "dřít se (v-w11500f2_ZU)")</f>
        <v>dřít se (v-w11500f2_ZU)</v>
      </c>
    </row>
    <row r="8660" spans="1:4" x14ac:dyDescent="0.2">
      <c r="B8660" t="s">
        <v>1</v>
      </c>
    </row>
    <row r="8661" spans="1:4" x14ac:dyDescent="0.2">
      <c r="B8661" t="s">
        <v>2287</v>
      </c>
    </row>
    <row r="8663" spans="1:4" x14ac:dyDescent="0.2">
      <c r="A8663" t="s">
        <v>3060</v>
      </c>
      <c r="B8663" t="str">
        <f>HYPERLINK("https://lindat.mff.cuni.cz/services/teitok/pdtc10/index.php?action=vallex&amp;frame=v-w10370f2", "dštít (v-w10370f2)")</f>
        <v>dštít (v-w10370f2)</v>
      </c>
    </row>
    <row r="8664" spans="1:4" x14ac:dyDescent="0.2">
      <c r="B8664" t="s">
        <v>1</v>
      </c>
      <c r="C8664" t="s">
        <v>430</v>
      </c>
    </row>
    <row r="8665" spans="1:4" x14ac:dyDescent="0.2">
      <c r="B8665" t="s">
        <v>3061</v>
      </c>
      <c r="C8665" t="s">
        <v>3062</v>
      </c>
    </row>
    <row r="8667" spans="1:4" x14ac:dyDescent="0.2">
      <c r="A8667" t="s">
        <v>3063</v>
      </c>
      <c r="B8667" t="str">
        <f>HYPERLINK("https://lindat.mff.cuni.cz/services/teitok/pdtc10/index.php?action=vallex&amp;frame=v-w857f2", "důvěřovat (v-w857f2)")</f>
        <v>důvěřovat (v-w857f2)</v>
      </c>
    </row>
    <row r="8668" spans="1:4" x14ac:dyDescent="0.2">
      <c r="B8668" t="s">
        <v>1</v>
      </c>
      <c r="C8668" t="s">
        <v>3064</v>
      </c>
      <c r="D8668" t="s">
        <v>7821</v>
      </c>
    </row>
    <row r="8669" spans="1:4" x14ac:dyDescent="0.2">
      <c r="B8669" t="s">
        <v>3065</v>
      </c>
      <c r="C8669" t="s">
        <v>1109</v>
      </c>
      <c r="D8669" t="s">
        <v>23148</v>
      </c>
    </row>
    <row r="8671" spans="1:4" x14ac:dyDescent="0.2">
      <c r="A8671" t="s">
        <v>3066</v>
      </c>
      <c r="B8671" t="str">
        <f>HYPERLINK("https://lindat.mff.cuni.cz/services/teitok/pdtc10/index.php?action=vallex&amp;frame=v-w857f3", "důvěřovat (v-w857f3)")</f>
        <v>důvěřovat (v-w857f3)</v>
      </c>
    </row>
    <row r="8672" spans="1:4" x14ac:dyDescent="0.2">
      <c r="B8672" t="s">
        <v>1</v>
      </c>
      <c r="C8672" t="s">
        <v>373</v>
      </c>
    </row>
    <row r="8673" spans="1:4" x14ac:dyDescent="0.2">
      <c r="B8673" t="s">
        <v>1889</v>
      </c>
      <c r="C8673" t="s">
        <v>54</v>
      </c>
    </row>
    <row r="8675" spans="1:4" x14ac:dyDescent="0.2">
      <c r="A8675" t="s">
        <v>3067</v>
      </c>
      <c r="B8675" t="str">
        <f>HYPERLINK("https://lindat.mff.cuni.cz/services/teitok/pdtc10/index.php?action=vallex&amp;frame=v-w857f1", "důvěřovat (v-w857f1)")</f>
        <v>důvěřovat (v-w857f1)</v>
      </c>
    </row>
    <row r="8676" spans="1:4" x14ac:dyDescent="0.2">
      <c r="B8676" t="s">
        <v>1</v>
      </c>
      <c r="C8676" t="s">
        <v>2264</v>
      </c>
      <c r="D8676" t="s">
        <v>1774</v>
      </c>
    </row>
    <row r="8677" spans="1:4" x14ac:dyDescent="0.2">
      <c r="B8677" t="s">
        <v>35</v>
      </c>
      <c r="C8677" t="s">
        <v>3068</v>
      </c>
      <c r="D8677" t="s">
        <v>4440</v>
      </c>
    </row>
    <row r="8678" spans="1:4" x14ac:dyDescent="0.2">
      <c r="B8678" t="s">
        <v>587</v>
      </c>
      <c r="D8678" t="s">
        <v>113</v>
      </c>
    </row>
    <row r="8680" spans="1:4" x14ac:dyDescent="0.2">
      <c r="A8680" t="s">
        <v>3069</v>
      </c>
      <c r="B8680" t="str">
        <f>HYPERLINK("https://lindat.mff.cuni.cz/services/teitok/pdtc10/index.php?action=vallex&amp;frame=v-whsa_427hsa_428", "důvěřovat si (v-whsa_427hsa_428)")</f>
        <v>důvěřovat si (v-whsa_427hsa_428)</v>
      </c>
    </row>
    <row r="8681" spans="1:4" x14ac:dyDescent="0.2">
      <c r="B8681" t="s">
        <v>1</v>
      </c>
    </row>
    <row r="8682" spans="1:4" x14ac:dyDescent="0.2">
      <c r="B8682" t="s">
        <v>411</v>
      </c>
    </row>
    <row r="8684" spans="1:4" x14ac:dyDescent="0.2">
      <c r="A8684" t="s">
        <v>3070</v>
      </c>
      <c r="B8684" t="str">
        <f>HYPERLINK("https://lindat.mff.cuni.cz/services/teitok/pdtc10/index.php?action=vallex&amp;frame=v-w868f1", "elektrifikovat (v-w868f1)")</f>
        <v>elektrifikovat (v-w868f1)</v>
      </c>
    </row>
    <row r="8685" spans="1:4" x14ac:dyDescent="0.2">
      <c r="B8685" t="s">
        <v>1</v>
      </c>
    </row>
    <row r="8686" spans="1:4" x14ac:dyDescent="0.2">
      <c r="B8686" t="s">
        <v>8</v>
      </c>
    </row>
    <row r="8688" spans="1:4" x14ac:dyDescent="0.2">
      <c r="A8688" t="s">
        <v>3071</v>
      </c>
      <c r="B8688" t="str">
        <f>HYPERLINK("https://lindat.mff.cuni.cz/services/teitok/pdtc10/index.php?action=vallex&amp;frame=v-w870f1", "eliminovat (v-w870f1)")</f>
        <v>eliminovat (v-w870f1)</v>
      </c>
    </row>
    <row r="8689" spans="1:4" x14ac:dyDescent="0.2">
      <c r="B8689" t="s">
        <v>1</v>
      </c>
      <c r="C8689" t="s">
        <v>1581</v>
      </c>
    </row>
    <row r="8690" spans="1:4" x14ac:dyDescent="0.2">
      <c r="B8690" t="s">
        <v>8</v>
      </c>
      <c r="C8690" t="s">
        <v>3072</v>
      </c>
    </row>
    <row r="8692" spans="1:4" x14ac:dyDescent="0.2">
      <c r="A8692" t="s">
        <v>3073</v>
      </c>
      <c r="B8692" t="str">
        <f>HYPERLINK("https://lindat.mff.cuni.cz/services/teitok/pdtc10/index.php?action=vallex&amp;frame=v-w874f1", "emigrovat (v-w874f1)")</f>
        <v>emigrovat (v-w874f1)</v>
      </c>
    </row>
    <row r="8693" spans="1:4" x14ac:dyDescent="0.2">
      <c r="B8693" t="s">
        <v>1</v>
      </c>
      <c r="C8693" t="s">
        <v>33</v>
      </c>
      <c r="D8693" t="s">
        <v>23319</v>
      </c>
    </row>
    <row r="8694" spans="1:4" x14ac:dyDescent="0.2">
      <c r="B8694" t="s">
        <v>333</v>
      </c>
      <c r="D8694" t="s">
        <v>7666</v>
      </c>
    </row>
    <row r="8696" spans="1:4" x14ac:dyDescent="0.2">
      <c r="A8696" t="s">
        <v>3074</v>
      </c>
      <c r="B8696" t="str">
        <f>HYPERLINK("https://lindat.mff.cuni.cz/services/teitok/pdtc10/index.php?action=vallex&amp;frame=v-w877f1", "emitovat (v-w877f1)")</f>
        <v>emitovat (v-w877f1)</v>
      </c>
    </row>
    <row r="8697" spans="1:4" x14ac:dyDescent="0.2">
      <c r="B8697" t="s">
        <v>1</v>
      </c>
      <c r="C8697" t="s">
        <v>3075</v>
      </c>
    </row>
    <row r="8698" spans="1:4" x14ac:dyDescent="0.2">
      <c r="B8698" t="s">
        <v>8</v>
      </c>
      <c r="C8698" t="s">
        <v>3076</v>
      </c>
    </row>
    <row r="8700" spans="1:4" x14ac:dyDescent="0.2">
      <c r="A8700" t="s">
        <v>3077</v>
      </c>
      <c r="B8700" t="str">
        <f>HYPERLINK("https://lindat.mff.cuni.cz/services/teitok/pdtc10/index.php?action=vallex&amp;frame=v-w880f1", "erodovat (v-w880f1)")</f>
        <v>erodovat (v-w880f1)</v>
      </c>
    </row>
    <row r="8701" spans="1:4" x14ac:dyDescent="0.2">
      <c r="B8701" t="s">
        <v>1</v>
      </c>
      <c r="C8701" t="s">
        <v>553</v>
      </c>
    </row>
    <row r="8703" spans="1:4" x14ac:dyDescent="0.2">
      <c r="A8703" t="s">
        <v>3078</v>
      </c>
      <c r="B8703" t="str">
        <f>HYPERLINK("https://lindat.mff.cuni.cz/services/teitok/pdtc10/index.php?action=vallex&amp;frame=v-w10145f2", "eskalovat (v-w10145f2)")</f>
        <v>eskalovat (v-w10145f2)</v>
      </c>
    </row>
    <row r="8704" spans="1:4" x14ac:dyDescent="0.2">
      <c r="B8704" t="s">
        <v>1</v>
      </c>
    </row>
    <row r="8706" spans="1:4" x14ac:dyDescent="0.2">
      <c r="A8706" t="s">
        <v>3079</v>
      </c>
      <c r="B8706" t="str">
        <f>HYPERLINK("https://lindat.mff.cuni.cz/services/teitok/pdtc10/index.php?action=vallex&amp;frame=v-w885f1", "eskortovat (v-w885f1)")</f>
        <v>eskortovat (v-w885f1)</v>
      </c>
    </row>
    <row r="8707" spans="1:4" x14ac:dyDescent="0.2">
      <c r="B8707" t="s">
        <v>1</v>
      </c>
    </row>
    <row r="8708" spans="1:4" x14ac:dyDescent="0.2">
      <c r="B8708" t="s">
        <v>8</v>
      </c>
    </row>
    <row r="8709" spans="1:4" x14ac:dyDescent="0.2">
      <c r="B8709" t="s">
        <v>90</v>
      </c>
    </row>
    <row r="8711" spans="1:4" x14ac:dyDescent="0.2">
      <c r="A8711" t="s">
        <v>3080</v>
      </c>
      <c r="B8711" t="str">
        <f>HYPERLINK("https://lindat.mff.cuni.cz/services/teitok/pdtc10/index.php?action=vallex&amp;frame=v-w886f1", "etablovat se (v-w886f1)")</f>
        <v>etablovat se (v-w886f1)</v>
      </c>
    </row>
    <row r="8712" spans="1:4" x14ac:dyDescent="0.2">
      <c r="B8712" t="s">
        <v>1</v>
      </c>
      <c r="C8712" t="s">
        <v>3081</v>
      </c>
    </row>
    <row r="8714" spans="1:4" x14ac:dyDescent="0.2">
      <c r="A8714" t="s">
        <v>3082</v>
      </c>
      <c r="B8714" t="str">
        <f>HYPERLINK("https://lindat.mff.cuni.cz/services/teitok/pdtc10/index.php?action=vallex&amp;frame=v-w890f1", "evakuovat (v-w890f1)")</f>
        <v>evakuovat (v-w890f1)</v>
      </c>
    </row>
    <row r="8715" spans="1:4" x14ac:dyDescent="0.2">
      <c r="B8715" t="s">
        <v>1</v>
      </c>
    </row>
    <row r="8716" spans="1:4" x14ac:dyDescent="0.2">
      <c r="B8716" t="s">
        <v>8</v>
      </c>
      <c r="C8716" t="s">
        <v>1301</v>
      </c>
      <c r="D8716" t="s">
        <v>1301</v>
      </c>
    </row>
    <row r="8717" spans="1:4" x14ac:dyDescent="0.2">
      <c r="B8717" t="s">
        <v>333</v>
      </c>
    </row>
    <row r="8719" spans="1:4" x14ac:dyDescent="0.2">
      <c r="A8719" t="s">
        <v>3083</v>
      </c>
      <c r="B8719" t="str">
        <f>HYPERLINK("https://lindat.mff.cuni.cz/services/teitok/pdtc10/index.php?action=vallex&amp;frame=v-w890hsa_1079", "evakuovat (v-w890hsa_1079)")</f>
        <v>evakuovat (v-w890hsa_1079)</v>
      </c>
    </row>
    <row r="8720" spans="1:4" x14ac:dyDescent="0.2">
      <c r="B8720" t="s">
        <v>1</v>
      </c>
    </row>
    <row r="8721" spans="1:4" x14ac:dyDescent="0.2">
      <c r="B8721" t="s">
        <v>8</v>
      </c>
      <c r="C8721" t="s">
        <v>113</v>
      </c>
      <c r="D8721" t="s">
        <v>113</v>
      </c>
    </row>
    <row r="8723" spans="1:4" x14ac:dyDescent="0.2">
      <c r="A8723" t="s">
        <v>3084</v>
      </c>
      <c r="B8723" t="str">
        <f>HYPERLINK("https://lindat.mff.cuni.cz/services/teitok/pdtc10/index.php?action=vallex&amp;frame=v-w892f1", "evaluovat (v-w892f1)")</f>
        <v>evaluovat (v-w892f1)</v>
      </c>
    </row>
    <row r="8724" spans="1:4" x14ac:dyDescent="0.2">
      <c r="B8724" t="s">
        <v>1</v>
      </c>
    </row>
    <row r="8725" spans="1:4" x14ac:dyDescent="0.2">
      <c r="B8725" t="s">
        <v>8</v>
      </c>
    </row>
    <row r="8727" spans="1:4" x14ac:dyDescent="0.2">
      <c r="A8727" t="s">
        <v>3085</v>
      </c>
      <c r="B8727" t="str">
        <f>HYPERLINK("https://lindat.mff.cuni.cz/services/teitok/pdtc10/index.php?action=vallex&amp;frame=v-w895f1", "evidovat (v-w895f1)")</f>
        <v>evidovat (v-w895f1)</v>
      </c>
    </row>
    <row r="8728" spans="1:4" x14ac:dyDescent="0.2">
      <c r="B8728" t="s">
        <v>1</v>
      </c>
      <c r="C8728" t="s">
        <v>33</v>
      </c>
    </row>
    <row r="8729" spans="1:4" x14ac:dyDescent="0.2">
      <c r="B8729" t="s">
        <v>41</v>
      </c>
      <c r="C8729" t="s">
        <v>3086</v>
      </c>
    </row>
    <row r="8731" spans="1:4" x14ac:dyDescent="0.2">
      <c r="A8731" t="s">
        <v>3087</v>
      </c>
      <c r="B8731" t="str">
        <f>HYPERLINK("https://lindat.mff.cuni.cz/services/teitok/pdtc10/index.php?action=vallex&amp;frame=v-w895f2", "evidovat (v-w895f2)")</f>
        <v>evidovat (v-w895f2)</v>
      </c>
    </row>
    <row r="8732" spans="1:4" x14ac:dyDescent="0.2">
      <c r="B8732" t="s">
        <v>1</v>
      </c>
    </row>
    <row r="8733" spans="1:4" x14ac:dyDescent="0.2">
      <c r="B8733" t="s">
        <v>3088</v>
      </c>
    </row>
    <row r="8734" spans="1:4" x14ac:dyDescent="0.2">
      <c r="B8734" t="s">
        <v>269</v>
      </c>
    </row>
    <row r="8736" spans="1:4" x14ac:dyDescent="0.2">
      <c r="A8736" t="s">
        <v>3089</v>
      </c>
      <c r="B8736" t="str">
        <f>HYPERLINK("https://lindat.mff.cuni.cz/services/teitok/pdtc10/index.php?action=vallex&amp;frame=v-w897f1", "evokovat (v-w897f1)")</f>
        <v>evokovat (v-w897f1)</v>
      </c>
    </row>
    <row r="8737" spans="1:4" x14ac:dyDescent="0.2">
      <c r="B8737" t="s">
        <v>1</v>
      </c>
      <c r="C8737" t="s">
        <v>33</v>
      </c>
      <c r="D8737" t="s">
        <v>33</v>
      </c>
    </row>
    <row r="8738" spans="1:4" x14ac:dyDescent="0.2">
      <c r="B8738" t="s">
        <v>8</v>
      </c>
      <c r="C8738" t="s">
        <v>991</v>
      </c>
      <c r="D8738" t="s">
        <v>991</v>
      </c>
    </row>
    <row r="8740" spans="1:4" x14ac:dyDescent="0.2">
      <c r="A8740" t="s">
        <v>3090</v>
      </c>
      <c r="B8740" t="str">
        <f>HYPERLINK("https://lindat.mff.cuni.cz/services/teitok/pdtc10/index.php?action=vallex&amp;frame=v-w899f1", "excelovat (v-w899f1)")</f>
        <v>excelovat (v-w899f1)</v>
      </c>
    </row>
    <row r="8741" spans="1:4" x14ac:dyDescent="0.2">
      <c r="B8741" t="s">
        <v>1</v>
      </c>
    </row>
    <row r="8742" spans="1:4" x14ac:dyDescent="0.2">
      <c r="B8742" t="s">
        <v>3091</v>
      </c>
    </row>
    <row r="8744" spans="1:4" x14ac:dyDescent="0.2">
      <c r="A8744" t="s">
        <v>3092</v>
      </c>
      <c r="B8744" t="str">
        <f>HYPERLINK("https://lindat.mff.cuni.cz/services/teitok/pdtc10/index.php?action=vallex&amp;frame=v-w902f2_ZU", "existovat (v-w902f2_ZU)")</f>
        <v>existovat (v-w902f2_ZU)</v>
      </c>
    </row>
    <row r="8745" spans="1:4" x14ac:dyDescent="0.2">
      <c r="B8745" t="s">
        <v>3093</v>
      </c>
    </row>
    <row r="8747" spans="1:4" x14ac:dyDescent="0.2">
      <c r="A8747" t="s">
        <v>3092</v>
      </c>
      <c r="B8747" t="str">
        <f>HYPERLINK("https://lindat.mff.cuni.cz/services/teitok/pdtc10/index.php?action=vallex&amp;frame=v-w902f1", "existovat (v-w902f1) - substituted with v-w902f2_ZU")</f>
        <v>existovat (v-w902f1) - substituted with v-w902f2_ZU</v>
      </c>
    </row>
    <row r="8748" spans="1:4" x14ac:dyDescent="0.2">
      <c r="B8748" t="s">
        <v>3093</v>
      </c>
      <c r="C8748" t="s">
        <v>3094</v>
      </c>
      <c r="D8748" t="s">
        <v>23031</v>
      </c>
    </row>
    <row r="8750" spans="1:4" x14ac:dyDescent="0.2">
      <c r="A8750" t="s">
        <v>3092</v>
      </c>
      <c r="B8750" t="str">
        <f>HYPERLINK("https://lindat.mff.cuni.cz/services/teitok/pdtc10/index.php?action=vallex&amp;frame=v-w902hsa_1497", "existovat (v-w902hsa_1497) - substituted with v-w902f2_ZU")</f>
        <v>existovat (v-w902hsa_1497) - substituted with v-w902f2_ZU</v>
      </c>
    </row>
    <row r="8751" spans="1:4" x14ac:dyDescent="0.2">
      <c r="B8751" t="s">
        <v>3093</v>
      </c>
    </row>
    <row r="8753" spans="1:4" x14ac:dyDescent="0.2">
      <c r="A8753" t="s">
        <v>3095</v>
      </c>
      <c r="B8753" t="str">
        <f>HYPERLINK("https://lindat.mff.cuni.cz/services/teitok/pdtc10/index.php?action=vallex&amp;frame=v-w10234f2", "expandovat (v-w10234f2)")</f>
        <v>expandovat (v-w10234f2)</v>
      </c>
    </row>
    <row r="8754" spans="1:4" x14ac:dyDescent="0.2">
      <c r="B8754" t="s">
        <v>1</v>
      </c>
      <c r="C8754" t="s">
        <v>3096</v>
      </c>
      <c r="D8754" t="s">
        <v>23320</v>
      </c>
    </row>
    <row r="8756" spans="1:4" x14ac:dyDescent="0.2">
      <c r="A8756" t="s">
        <v>3097</v>
      </c>
      <c r="B8756" t="str">
        <f>HYPERLINK("https://lindat.mff.cuni.cz/services/teitok/pdtc10/index.php?action=vallex&amp;frame=v-w10533f2", "expedovat (v-w10533f2)")</f>
        <v>expedovat (v-w10533f2)</v>
      </c>
    </row>
    <row r="8757" spans="1:4" x14ac:dyDescent="0.2">
      <c r="B8757" t="s">
        <v>1</v>
      </c>
      <c r="C8757" t="s">
        <v>80</v>
      </c>
      <c r="D8757" t="s">
        <v>8003</v>
      </c>
    </row>
    <row r="8758" spans="1:4" x14ac:dyDescent="0.2">
      <c r="B8758" t="s">
        <v>8</v>
      </c>
      <c r="C8758" t="s">
        <v>3098</v>
      </c>
      <c r="D8758" t="s">
        <v>23102</v>
      </c>
    </row>
    <row r="8759" spans="1:4" x14ac:dyDescent="0.2">
      <c r="B8759" t="s">
        <v>90</v>
      </c>
      <c r="D8759" t="s">
        <v>23177</v>
      </c>
    </row>
    <row r="8761" spans="1:4" x14ac:dyDescent="0.2">
      <c r="A8761" t="s">
        <v>3099</v>
      </c>
      <c r="B8761" t="str">
        <f>HYPERLINK("https://lindat.mff.cuni.cz/services/teitok/pdtc10/index.php?action=vallex&amp;frame=v-w908f1", "experimentovat (v-w908f1)")</f>
        <v>experimentovat (v-w908f1)</v>
      </c>
    </row>
    <row r="8762" spans="1:4" x14ac:dyDescent="0.2">
      <c r="B8762" t="s">
        <v>1</v>
      </c>
      <c r="C8762" t="s">
        <v>430</v>
      </c>
      <c r="D8762" t="s">
        <v>430</v>
      </c>
    </row>
    <row r="8763" spans="1:4" x14ac:dyDescent="0.2">
      <c r="B8763" t="s">
        <v>2423</v>
      </c>
      <c r="C8763" t="s">
        <v>3086</v>
      </c>
      <c r="D8763" t="s">
        <v>3086</v>
      </c>
    </row>
    <row r="8765" spans="1:4" x14ac:dyDescent="0.2">
      <c r="A8765" t="s">
        <v>3100</v>
      </c>
      <c r="B8765" t="str">
        <f>HYPERLINK("https://lindat.mff.cuni.cz/services/teitok/pdtc10/index.php?action=vallex&amp;frame=v-w912f1", "explodovat (v-w912f1)")</f>
        <v>explodovat (v-w912f1)</v>
      </c>
    </row>
    <row r="8766" spans="1:4" x14ac:dyDescent="0.2">
      <c r="B8766" t="s">
        <v>1</v>
      </c>
      <c r="C8766" t="s">
        <v>127</v>
      </c>
      <c r="D8766" t="s">
        <v>7870</v>
      </c>
    </row>
    <row r="8768" spans="1:4" x14ac:dyDescent="0.2">
      <c r="A8768" t="s">
        <v>3101</v>
      </c>
      <c r="B8768" t="str">
        <f>HYPERLINK("https://lindat.mff.cuni.cz/services/teitok/pdtc10/index.php?action=vallex&amp;frame=v-w11988_ZUf1_ZU", "exponovat (v-w11988_ZUf1_ZU)")</f>
        <v>exponovat (v-w11988_ZUf1_ZU)</v>
      </c>
    </row>
    <row r="8769" spans="1:3" x14ac:dyDescent="0.2">
      <c r="B8769" t="s">
        <v>1</v>
      </c>
    </row>
    <row r="8770" spans="1:3" x14ac:dyDescent="0.2">
      <c r="B8770" t="s">
        <v>8</v>
      </c>
    </row>
    <row r="8772" spans="1:3" x14ac:dyDescent="0.2">
      <c r="A8772" t="s">
        <v>3102</v>
      </c>
      <c r="B8772" t="str">
        <f>HYPERLINK("https://lindat.mff.cuni.cz/services/teitok/pdtc10/index.php?action=vallex&amp;frame=v-w916f1", "exportovat (v-w916f1)")</f>
        <v>exportovat (v-w916f1)</v>
      </c>
    </row>
    <row r="8773" spans="1:3" x14ac:dyDescent="0.2">
      <c r="B8773" t="s">
        <v>1</v>
      </c>
      <c r="C8773" t="s">
        <v>3103</v>
      </c>
    </row>
    <row r="8774" spans="1:3" x14ac:dyDescent="0.2">
      <c r="B8774" t="s">
        <v>8</v>
      </c>
      <c r="C8774" t="s">
        <v>3104</v>
      </c>
    </row>
    <row r="8775" spans="1:3" x14ac:dyDescent="0.2">
      <c r="B8775" t="s">
        <v>333</v>
      </c>
    </row>
    <row r="8777" spans="1:3" x14ac:dyDescent="0.2">
      <c r="A8777" t="s">
        <v>3105</v>
      </c>
      <c r="B8777" t="str">
        <f>HYPERLINK("https://lindat.mff.cuni.cz/services/teitok/pdtc10/index.php?action=vallex&amp;frame=v-w918f1", "externalizovat (v-w918f1)")</f>
        <v>externalizovat (v-w918f1)</v>
      </c>
    </row>
    <row r="8778" spans="1:3" x14ac:dyDescent="0.2">
      <c r="B8778" t="s">
        <v>1</v>
      </c>
    </row>
    <row r="8779" spans="1:3" x14ac:dyDescent="0.2">
      <c r="B8779" t="s">
        <v>8</v>
      </c>
    </row>
    <row r="8781" spans="1:3" x14ac:dyDescent="0.2">
      <c r="A8781" t="s">
        <v>3106</v>
      </c>
      <c r="B8781" t="str">
        <f>HYPERLINK("https://lindat.mff.cuni.cz/services/teitok/pdtc10/index.php?action=vallex&amp;frame=v-w10751f2", "extradikovat (v-w10751f2)")</f>
        <v>extradikovat (v-w10751f2)</v>
      </c>
    </row>
    <row r="8782" spans="1:3" x14ac:dyDescent="0.2">
      <c r="B8782" t="s">
        <v>1</v>
      </c>
    </row>
    <row r="8783" spans="1:3" x14ac:dyDescent="0.2">
      <c r="B8783" t="s">
        <v>8</v>
      </c>
    </row>
    <row r="8784" spans="1:3" x14ac:dyDescent="0.2">
      <c r="B8784" t="s">
        <v>333</v>
      </c>
    </row>
    <row r="8786" spans="1:4" x14ac:dyDescent="0.2">
      <c r="A8786" t="s">
        <v>3107</v>
      </c>
      <c r="B8786" t="str">
        <f>HYPERLINK("https://lindat.mff.cuni.cz/services/teitok/pdtc10/index.php?action=vallex&amp;frame=v-w10474f3", "extrahovat (v-w10474f3)")</f>
        <v>extrahovat (v-w10474f3)</v>
      </c>
    </row>
    <row r="8787" spans="1:4" x14ac:dyDescent="0.2">
      <c r="B8787" t="s">
        <v>1</v>
      </c>
      <c r="C8787" t="s">
        <v>133</v>
      </c>
      <c r="D8787" t="s">
        <v>133</v>
      </c>
    </row>
    <row r="8788" spans="1:4" x14ac:dyDescent="0.2">
      <c r="B8788" t="s">
        <v>8</v>
      </c>
      <c r="C8788" t="s">
        <v>56</v>
      </c>
      <c r="D8788" t="s">
        <v>56</v>
      </c>
    </row>
    <row r="8789" spans="1:4" x14ac:dyDescent="0.2">
      <c r="B8789" t="s">
        <v>333</v>
      </c>
    </row>
    <row r="8791" spans="1:4" x14ac:dyDescent="0.2">
      <c r="A8791" t="s">
        <v>3108</v>
      </c>
      <c r="B8791" t="str">
        <f>HYPERLINK("https://lindat.mff.cuni.cz/services/teitok/pdtc10/index.php?action=vallex&amp;frame=v-w10474f2", "extrahovat (v-w10474f2)")</f>
        <v>extrahovat (v-w10474f2)</v>
      </c>
    </row>
    <row r="8792" spans="1:4" x14ac:dyDescent="0.2">
      <c r="B8792" t="s">
        <v>1</v>
      </c>
    </row>
    <row r="8793" spans="1:4" x14ac:dyDescent="0.2">
      <c r="B8793" t="s">
        <v>8</v>
      </c>
    </row>
    <row r="8795" spans="1:4" x14ac:dyDescent="0.2">
      <c r="A8795" t="s">
        <v>3109</v>
      </c>
      <c r="B8795" t="str">
        <f>HYPERLINK("https://lindat.mff.cuni.cz/services/teitok/pdtc10/index.php?action=vallex&amp;frame=v-w10493f2", "extrapolovat (v-w10493f2)")</f>
        <v>extrapolovat (v-w10493f2)</v>
      </c>
    </row>
    <row r="8796" spans="1:4" x14ac:dyDescent="0.2">
      <c r="B8796" t="s">
        <v>1</v>
      </c>
    </row>
    <row r="8797" spans="1:4" x14ac:dyDescent="0.2">
      <c r="B8797" t="s">
        <v>8</v>
      </c>
      <c r="C8797" t="s">
        <v>113</v>
      </c>
    </row>
    <row r="8798" spans="1:4" x14ac:dyDescent="0.2">
      <c r="B8798" t="s">
        <v>24</v>
      </c>
    </row>
    <row r="8799" spans="1:4" x14ac:dyDescent="0.2">
      <c r="B8799" t="s">
        <v>61</v>
      </c>
    </row>
    <row r="8801" spans="1:4" x14ac:dyDescent="0.2">
      <c r="A8801" t="s">
        <v>3110</v>
      </c>
      <c r="B8801" t="str">
        <f>HYPERLINK("https://lindat.mff.cuni.cz/services/teitok/pdtc10/index.php?action=vallex&amp;frame=v-w922f1", "fackovat (v-w922f1)")</f>
        <v>fackovat (v-w922f1)</v>
      </c>
    </row>
    <row r="8802" spans="1:4" x14ac:dyDescent="0.2">
      <c r="B8802" t="s">
        <v>1</v>
      </c>
    </row>
    <row r="8803" spans="1:4" x14ac:dyDescent="0.2">
      <c r="B8803" t="s">
        <v>8</v>
      </c>
    </row>
    <row r="8805" spans="1:4" x14ac:dyDescent="0.2">
      <c r="A8805" t="s">
        <v>3111</v>
      </c>
      <c r="B8805" t="str">
        <f>HYPERLINK("https://lindat.mff.cuni.cz/services/teitok/pdtc10/index.php?action=vallex&amp;frame=v-whsa_1848hsa_1849", "fajrat (v-whsa_1848hsa_1849)")</f>
        <v>fajrat (v-whsa_1848hsa_1849)</v>
      </c>
    </row>
    <row r="8806" spans="1:4" x14ac:dyDescent="0.2">
      <c r="B8806" t="s">
        <v>1</v>
      </c>
    </row>
    <row r="8808" spans="1:4" x14ac:dyDescent="0.2">
      <c r="A8808" t="s">
        <v>3112</v>
      </c>
      <c r="B8808" t="str">
        <f>HYPERLINK("https://lindat.mff.cuni.cz/services/teitok/pdtc10/index.php?action=vallex&amp;frame=v-w924f1", "fakturovat (v-w924f1)")</f>
        <v>fakturovat (v-w924f1)</v>
      </c>
    </row>
    <row r="8809" spans="1:4" x14ac:dyDescent="0.2">
      <c r="B8809" t="s">
        <v>1</v>
      </c>
    </row>
    <row r="8810" spans="1:4" x14ac:dyDescent="0.2">
      <c r="B8810" t="s">
        <v>8</v>
      </c>
    </row>
    <row r="8811" spans="1:4" x14ac:dyDescent="0.2">
      <c r="B8811" t="s">
        <v>35</v>
      </c>
    </row>
    <row r="8812" spans="1:4" x14ac:dyDescent="0.2">
      <c r="B8812" t="s">
        <v>413</v>
      </c>
    </row>
    <row r="8814" spans="1:4" x14ac:dyDescent="0.2">
      <c r="A8814" t="s">
        <v>3113</v>
      </c>
      <c r="B8814" t="str">
        <f>HYPERLINK("https://lindat.mff.cuni.cz/services/teitok/pdtc10/index.php?action=vallex&amp;frame=v-w926f1", "falšovat (v-w926f1)")</f>
        <v>falšovat (v-w926f1)</v>
      </c>
    </row>
    <row r="8815" spans="1:4" x14ac:dyDescent="0.2">
      <c r="B8815" t="s">
        <v>1</v>
      </c>
      <c r="C8815" t="s">
        <v>3114</v>
      </c>
      <c r="D8815" t="s">
        <v>80</v>
      </c>
    </row>
    <row r="8816" spans="1:4" x14ac:dyDescent="0.2">
      <c r="B8816" t="s">
        <v>8</v>
      </c>
      <c r="C8816" t="s">
        <v>3115</v>
      </c>
      <c r="D8816" t="s">
        <v>1066</v>
      </c>
    </row>
    <row r="8818" spans="1:2" x14ac:dyDescent="0.2">
      <c r="A8818" t="s">
        <v>3116</v>
      </c>
      <c r="B8818" t="str">
        <f>HYPERLINK("https://lindat.mff.cuni.cz/services/teitok/pdtc10/index.php?action=vallex&amp;frame=v-w928f1", "fandit (v-w928f1)")</f>
        <v>fandit (v-w928f1)</v>
      </c>
    </row>
    <row r="8819" spans="1:2" x14ac:dyDescent="0.2">
      <c r="B8819" t="s">
        <v>1</v>
      </c>
    </row>
    <row r="8820" spans="1:2" x14ac:dyDescent="0.2">
      <c r="B8820" t="s">
        <v>103</v>
      </c>
    </row>
    <row r="8822" spans="1:2" x14ac:dyDescent="0.2">
      <c r="A8822" t="s">
        <v>3117</v>
      </c>
      <c r="B8822" t="str">
        <f>HYPERLINK("https://lindat.mff.cuni.cz/services/teitok/pdtc10/index.php?action=vallex&amp;frame=v-w930f2", "fantazírovat (v-w930f2)")</f>
        <v>fantazírovat (v-w930f2)</v>
      </c>
    </row>
    <row r="8823" spans="1:2" x14ac:dyDescent="0.2">
      <c r="B8823" t="s">
        <v>1</v>
      </c>
    </row>
    <row r="8824" spans="1:2" x14ac:dyDescent="0.2">
      <c r="B8824" t="s">
        <v>3118</v>
      </c>
    </row>
    <row r="8825" spans="1:2" x14ac:dyDescent="0.2">
      <c r="B8825" t="s">
        <v>269</v>
      </c>
    </row>
    <row r="8827" spans="1:2" x14ac:dyDescent="0.2">
      <c r="A8827" t="s">
        <v>3119</v>
      </c>
      <c r="B8827" t="str">
        <f>HYPERLINK("https://lindat.mff.cuni.cz/services/teitok/pdtc10/index.php?action=vallex&amp;frame=v-w930f1", "fantazírovat (v-w930f1)")</f>
        <v>fantazírovat (v-w930f1)</v>
      </c>
    </row>
    <row r="8828" spans="1:2" x14ac:dyDescent="0.2">
      <c r="B8828" t="s">
        <v>1</v>
      </c>
    </row>
    <row r="8830" spans="1:2" x14ac:dyDescent="0.2">
      <c r="A8830" t="s">
        <v>3120</v>
      </c>
      <c r="B8830" t="str">
        <f>HYPERLINK("https://lindat.mff.cuni.cz/services/teitok/pdtc10/index.php?action=vallex&amp;frame=v-w931f1", "farmařit (v-w931f1)")</f>
        <v>farmařit (v-w931f1)</v>
      </c>
    </row>
    <row r="8831" spans="1:2" x14ac:dyDescent="0.2">
      <c r="B8831" t="s">
        <v>1</v>
      </c>
    </row>
    <row r="8833" spans="1:4" x14ac:dyDescent="0.2">
      <c r="A8833" t="s">
        <v>3121</v>
      </c>
      <c r="B8833" t="str">
        <f>HYPERLINK("https://lindat.mff.cuni.cz/services/teitok/pdtc10/index.php?action=vallex&amp;frame=v-w933f2_ZU", "fascinovat (v-w933f2_ZU)")</f>
        <v>fascinovat (v-w933f2_ZU)</v>
      </c>
    </row>
    <row r="8834" spans="1:4" x14ac:dyDescent="0.2">
      <c r="B8834" t="s">
        <v>3122</v>
      </c>
    </row>
    <row r="8835" spans="1:4" x14ac:dyDescent="0.2">
      <c r="B8835" t="s">
        <v>8</v>
      </c>
    </row>
    <row r="8837" spans="1:4" x14ac:dyDescent="0.2">
      <c r="A8837" t="s">
        <v>3121</v>
      </c>
      <c r="B8837" t="str">
        <f>HYPERLINK("https://lindat.mff.cuni.cz/services/teitok/pdtc10/index.php?action=vallex&amp;frame=v-w933f1", "fascinovat (v-w933f1) - substituted with v-w933f2_ZU")</f>
        <v>fascinovat (v-w933f1) - substituted with v-w933f2_ZU</v>
      </c>
    </row>
    <row r="8838" spans="1:4" x14ac:dyDescent="0.2">
      <c r="B8838" t="s">
        <v>3122</v>
      </c>
      <c r="C8838" t="s">
        <v>33</v>
      </c>
      <c r="D8838" t="s">
        <v>22</v>
      </c>
    </row>
    <row r="8839" spans="1:4" x14ac:dyDescent="0.2">
      <c r="B8839" t="s">
        <v>8</v>
      </c>
      <c r="C8839" t="s">
        <v>1128</v>
      </c>
      <c r="D8839" t="s">
        <v>56</v>
      </c>
    </row>
    <row r="8841" spans="1:4" x14ac:dyDescent="0.2">
      <c r="A8841" t="s">
        <v>3123</v>
      </c>
      <c r="B8841" t="str">
        <f>HYPERLINK("https://lindat.mff.cuni.cz/services/teitok/pdtc10/index.php?action=vallex&amp;frame=v-w934f1", "fasovat (v-w934f1)")</f>
        <v>fasovat (v-w934f1)</v>
      </c>
    </row>
    <row r="8842" spans="1:4" x14ac:dyDescent="0.2">
      <c r="B8842" t="s">
        <v>1</v>
      </c>
      <c r="D8842" t="s">
        <v>23201</v>
      </c>
    </row>
    <row r="8843" spans="1:4" x14ac:dyDescent="0.2">
      <c r="B8843" t="s">
        <v>8</v>
      </c>
      <c r="D8843" t="s">
        <v>23202</v>
      </c>
    </row>
    <row r="8844" spans="1:4" x14ac:dyDescent="0.2">
      <c r="B8844" t="s">
        <v>321</v>
      </c>
      <c r="D8844" t="s">
        <v>23321</v>
      </c>
    </row>
    <row r="8846" spans="1:4" x14ac:dyDescent="0.2">
      <c r="A8846" t="s">
        <v>3124</v>
      </c>
      <c r="B8846" t="str">
        <f>HYPERLINK("https://lindat.mff.cuni.cz/services/teitok/pdtc10/index.php?action=vallex&amp;frame=v-w936f1", "faulovat (v-w936f1)")</f>
        <v>faulovat (v-w936f1)</v>
      </c>
    </row>
    <row r="8847" spans="1:4" x14ac:dyDescent="0.2">
      <c r="B8847" t="s">
        <v>1</v>
      </c>
    </row>
    <row r="8848" spans="1:4" x14ac:dyDescent="0.2">
      <c r="B8848" t="s">
        <v>8</v>
      </c>
    </row>
    <row r="8850" spans="1:4" x14ac:dyDescent="0.2">
      <c r="A8850" t="s">
        <v>3125</v>
      </c>
      <c r="B8850" t="str">
        <f>HYPERLINK("https://lindat.mff.cuni.cz/services/teitok/pdtc10/index.php?action=vallex&amp;frame=v-w938f1", "favorizovat (v-w938f1)")</f>
        <v>favorizovat (v-w938f1)</v>
      </c>
    </row>
    <row r="8851" spans="1:4" x14ac:dyDescent="0.2">
      <c r="B8851" t="s">
        <v>1</v>
      </c>
    </row>
    <row r="8852" spans="1:4" x14ac:dyDescent="0.2">
      <c r="B8852" t="s">
        <v>8</v>
      </c>
    </row>
    <row r="8854" spans="1:4" x14ac:dyDescent="0.2">
      <c r="A8854" t="s">
        <v>3126</v>
      </c>
      <c r="B8854" t="str">
        <f>HYPERLINK("https://lindat.mff.cuni.cz/services/teitok/pdtc10/index.php?action=vallex&amp;frame=v-w942f1", "figurovat (v-w942f1)")</f>
        <v>figurovat (v-w942f1)</v>
      </c>
    </row>
    <row r="8855" spans="1:4" x14ac:dyDescent="0.2">
      <c r="B8855" t="s">
        <v>1</v>
      </c>
      <c r="C8855" t="s">
        <v>3127</v>
      </c>
      <c r="D8855" t="s">
        <v>430</v>
      </c>
    </row>
    <row r="8856" spans="1:4" x14ac:dyDescent="0.2">
      <c r="B8856" t="s">
        <v>5</v>
      </c>
      <c r="C8856" t="s">
        <v>3128</v>
      </c>
      <c r="D8856" t="s">
        <v>3128</v>
      </c>
    </row>
    <row r="8858" spans="1:4" x14ac:dyDescent="0.2">
      <c r="A8858" t="s">
        <v>3129</v>
      </c>
      <c r="B8858" t="str">
        <f>HYPERLINK("https://lindat.mff.cuni.cz/services/teitok/pdtc10/index.php?action=vallex&amp;frame=v-w11937_ZUf1_ZU", "fiknout (v-w11937_ZUf1_ZU)")</f>
        <v>fiknout (v-w11937_ZUf1_ZU)</v>
      </c>
    </row>
    <row r="8859" spans="1:4" x14ac:dyDescent="0.2">
      <c r="B8859" t="s">
        <v>1</v>
      </c>
    </row>
    <row r="8861" spans="1:4" x14ac:dyDescent="0.2">
      <c r="A8861" t="s">
        <v>3130</v>
      </c>
      <c r="B8861" t="str">
        <f>HYPERLINK("https://lindat.mff.cuni.cz/services/teitok/pdtc10/index.php?action=vallex&amp;frame=v-w946f1", "filmovat (v-w946f1)")</f>
        <v>filmovat (v-w946f1)</v>
      </c>
    </row>
    <row r="8862" spans="1:4" x14ac:dyDescent="0.2">
      <c r="B8862" t="s">
        <v>1</v>
      </c>
      <c r="C8862" t="s">
        <v>133</v>
      </c>
      <c r="D8862" t="s">
        <v>1106</v>
      </c>
    </row>
    <row r="8863" spans="1:4" x14ac:dyDescent="0.2">
      <c r="B8863" t="s">
        <v>8</v>
      </c>
      <c r="C8863" t="s">
        <v>113</v>
      </c>
      <c r="D8863" t="s">
        <v>9714</v>
      </c>
    </row>
    <row r="8865" spans="1:4" x14ac:dyDescent="0.2">
      <c r="A8865" t="s">
        <v>3131</v>
      </c>
      <c r="B8865" t="str">
        <f>HYPERLINK("https://lindat.mff.cuni.cz/services/teitok/pdtc10/index.php?action=vallex&amp;frame=v-w948f1", "filozofovat (v-w948f1)")</f>
        <v>filozofovat (v-w948f1)</v>
      </c>
    </row>
    <row r="8866" spans="1:4" x14ac:dyDescent="0.2">
      <c r="B8866" t="s">
        <v>1</v>
      </c>
      <c r="D8866" t="s">
        <v>3307</v>
      </c>
    </row>
    <row r="8867" spans="1:4" x14ac:dyDescent="0.2">
      <c r="B8867" t="s">
        <v>2469</v>
      </c>
      <c r="D8867" t="s">
        <v>991</v>
      </c>
    </row>
    <row r="8869" spans="1:4" x14ac:dyDescent="0.2">
      <c r="A8869" t="s">
        <v>3132</v>
      </c>
      <c r="B8869" t="str">
        <f>HYPERLINK("https://lindat.mff.cuni.cz/services/teitok/pdtc10/index.php?action=vallex&amp;frame=v-w951f1", "filtrovat (v-w951f1)")</f>
        <v>filtrovat (v-w951f1)</v>
      </c>
    </row>
    <row r="8870" spans="1:4" x14ac:dyDescent="0.2">
      <c r="B8870" t="s">
        <v>1</v>
      </c>
    </row>
    <row r="8871" spans="1:4" x14ac:dyDescent="0.2">
      <c r="B8871" t="s">
        <v>8</v>
      </c>
    </row>
    <row r="8873" spans="1:4" x14ac:dyDescent="0.2">
      <c r="A8873" t="s">
        <v>3133</v>
      </c>
      <c r="B8873" t="str">
        <f>HYPERLINK("https://lindat.mff.cuni.cz/services/teitok/pdtc10/index.php?action=vallex&amp;frame=v-w951f2_ZU", "filtrovat (v-w951f2_ZU)")</f>
        <v>filtrovat (v-w951f2_ZU)</v>
      </c>
    </row>
    <row r="8874" spans="1:4" x14ac:dyDescent="0.2">
      <c r="B8874" t="s">
        <v>1</v>
      </c>
      <c r="C8874" t="s">
        <v>140</v>
      </c>
    </row>
    <row r="8875" spans="1:4" x14ac:dyDescent="0.2">
      <c r="B8875" t="s">
        <v>8</v>
      </c>
      <c r="C8875" t="s">
        <v>34</v>
      </c>
    </row>
    <row r="8877" spans="1:4" x14ac:dyDescent="0.2">
      <c r="A8877" t="s">
        <v>3133</v>
      </c>
      <c r="B8877" t="str">
        <f>HYPERLINK("https://lindat.mff.cuni.cz/services/teitok/pdtc10/index.php?action=vallex&amp;frame=v-w951hsa_388", "filtrovat (v-w951hsa_388) - substituted with v-w951f2_ZU")</f>
        <v>filtrovat (v-w951hsa_388) - substituted with v-w951f2_ZU</v>
      </c>
    </row>
    <row r="8878" spans="1:4" x14ac:dyDescent="0.2">
      <c r="B8878" t="s">
        <v>1</v>
      </c>
    </row>
    <row r="8879" spans="1:4" x14ac:dyDescent="0.2">
      <c r="B8879" t="s">
        <v>8</v>
      </c>
    </row>
    <row r="8881" spans="1:4" x14ac:dyDescent="0.2">
      <c r="A8881" t="s">
        <v>3134</v>
      </c>
      <c r="B8881" t="str">
        <f>HYPERLINK("https://lindat.mff.cuni.cz/services/teitok/pdtc10/index.php?action=vallex&amp;frame=v-w955f1", "financovat (v-w955f1)")</f>
        <v>financovat (v-w955f1)</v>
      </c>
    </row>
    <row r="8882" spans="1:4" x14ac:dyDescent="0.2">
      <c r="B8882" t="s">
        <v>1</v>
      </c>
      <c r="C8882" t="s">
        <v>3135</v>
      </c>
      <c r="D8882" t="s">
        <v>23322</v>
      </c>
    </row>
    <row r="8883" spans="1:4" x14ac:dyDescent="0.2">
      <c r="B8883" t="s">
        <v>8</v>
      </c>
      <c r="C8883" t="s">
        <v>3136</v>
      </c>
      <c r="D8883" t="s">
        <v>23323</v>
      </c>
    </row>
    <row r="8885" spans="1:4" x14ac:dyDescent="0.2">
      <c r="A8885" t="s">
        <v>3137</v>
      </c>
      <c r="B8885" t="str">
        <f>HYPERLINK("https://lindat.mff.cuni.cz/services/teitok/pdtc10/index.php?action=vallex&amp;frame=v-w956f1", "finišovat (v-w956f1)")</f>
        <v>finišovat (v-w956f1)</v>
      </c>
    </row>
    <row r="8886" spans="1:4" x14ac:dyDescent="0.2">
      <c r="B8886" t="s">
        <v>1</v>
      </c>
      <c r="C8886" t="s">
        <v>3138</v>
      </c>
      <c r="D8886" t="s">
        <v>23324</v>
      </c>
    </row>
    <row r="8888" spans="1:4" x14ac:dyDescent="0.2">
      <c r="A8888" t="s">
        <v>3139</v>
      </c>
      <c r="B8888" t="str">
        <f>HYPERLINK("https://lindat.mff.cuni.cz/services/teitok/pdtc10/index.php?action=vallex&amp;frame=v-w958f1", "fixlovat (v-w958f1)")</f>
        <v>fixlovat (v-w958f1)</v>
      </c>
    </row>
    <row r="8889" spans="1:4" x14ac:dyDescent="0.2">
      <c r="B8889" t="s">
        <v>1</v>
      </c>
    </row>
    <row r="8891" spans="1:4" x14ac:dyDescent="0.2">
      <c r="A8891" t="s">
        <v>3140</v>
      </c>
      <c r="B8891" t="str">
        <f>HYPERLINK("https://lindat.mff.cuni.cz/services/teitok/pdtc10/index.php?action=vallex&amp;frame=v-w959f1", "fixovat (v-w959f1)")</f>
        <v>fixovat (v-w959f1)</v>
      </c>
    </row>
    <row r="8892" spans="1:4" x14ac:dyDescent="0.2">
      <c r="B8892" t="s">
        <v>1</v>
      </c>
      <c r="C8892" t="s">
        <v>133</v>
      </c>
    </row>
    <row r="8893" spans="1:4" x14ac:dyDescent="0.2">
      <c r="B8893" t="s">
        <v>8</v>
      </c>
      <c r="C8893" t="s">
        <v>125</v>
      </c>
    </row>
    <row r="8895" spans="1:4" x14ac:dyDescent="0.2">
      <c r="A8895" t="s">
        <v>3141</v>
      </c>
      <c r="B8895" t="str">
        <f>HYPERLINK("https://lindat.mff.cuni.cz/services/teitok/pdtc10/index.php?action=vallex&amp;frame=v-w12013_ZUf1_ZU", "fičet (v-w12013_ZUf1_ZU)")</f>
        <v>fičet (v-w12013_ZUf1_ZU)</v>
      </c>
    </row>
    <row r="8896" spans="1:4" x14ac:dyDescent="0.2">
      <c r="B8896" t="s">
        <v>1</v>
      </c>
    </row>
    <row r="8898" spans="1:4" x14ac:dyDescent="0.2">
      <c r="A8898" t="s">
        <v>3142</v>
      </c>
      <c r="B8898" t="str">
        <f>HYPERLINK("https://lindat.mff.cuni.cz/services/teitok/pdtc10/index.php?action=vallex&amp;frame=v-w11823_ZUf1_ZU", "flinkat (v-w11823_ZUf1_ZU)")</f>
        <v>flinkat (v-w11823_ZUf1_ZU)</v>
      </c>
    </row>
    <row r="8899" spans="1:4" x14ac:dyDescent="0.2">
      <c r="B8899" t="s">
        <v>1</v>
      </c>
    </row>
    <row r="8900" spans="1:4" x14ac:dyDescent="0.2">
      <c r="B8900" t="s">
        <v>8</v>
      </c>
    </row>
    <row r="8902" spans="1:4" x14ac:dyDescent="0.2">
      <c r="A8902" t="s">
        <v>3143</v>
      </c>
      <c r="B8902" t="str">
        <f>HYPERLINK("https://lindat.mff.cuni.cz/services/teitok/pdtc10/index.php?action=vallex&amp;frame=v-whsa_1193hsa_1194", "flinkat se (v-whsa_1193hsa_1194)")</f>
        <v>flinkat se (v-whsa_1193hsa_1194)</v>
      </c>
    </row>
    <row r="8903" spans="1:4" x14ac:dyDescent="0.2">
      <c r="B8903" t="s">
        <v>1</v>
      </c>
    </row>
    <row r="8905" spans="1:4" x14ac:dyDescent="0.2">
      <c r="A8905" t="s">
        <v>3144</v>
      </c>
      <c r="B8905" t="str">
        <f>HYPERLINK("https://lindat.mff.cuni.cz/services/teitok/pdtc10/index.php?action=vallex&amp;frame=v-w10552f2", "flirtovat (v-w10552f2)")</f>
        <v>flirtovat (v-w10552f2)</v>
      </c>
    </row>
    <row r="8906" spans="1:4" x14ac:dyDescent="0.2">
      <c r="B8906" t="s">
        <v>1</v>
      </c>
    </row>
    <row r="8907" spans="1:4" x14ac:dyDescent="0.2">
      <c r="B8907" t="s">
        <v>3145</v>
      </c>
    </row>
    <row r="8908" spans="1:4" x14ac:dyDescent="0.2">
      <c r="B8908" t="s">
        <v>2328</v>
      </c>
    </row>
    <row r="8910" spans="1:4" x14ac:dyDescent="0.2">
      <c r="A8910" t="s">
        <v>3146</v>
      </c>
      <c r="B8910" t="str">
        <f>HYPERLINK("https://lindat.mff.cuni.cz/services/teitok/pdtc10/index.php?action=vallex&amp;frame=v-w10552f4", "flirtovat (v-w10552f4)")</f>
        <v>flirtovat (v-w10552f4)</v>
      </c>
    </row>
    <row r="8911" spans="1:4" x14ac:dyDescent="0.2">
      <c r="B8911" t="s">
        <v>1</v>
      </c>
      <c r="C8911" t="s">
        <v>22</v>
      </c>
      <c r="D8911" t="s">
        <v>22</v>
      </c>
    </row>
    <row r="8912" spans="1:4" x14ac:dyDescent="0.2">
      <c r="B8912" t="s">
        <v>411</v>
      </c>
      <c r="C8912" t="s">
        <v>54</v>
      </c>
      <c r="D8912" t="s">
        <v>23</v>
      </c>
    </row>
    <row r="8914" spans="1:3" x14ac:dyDescent="0.2">
      <c r="A8914" t="s">
        <v>3147</v>
      </c>
      <c r="B8914" t="str">
        <f>HYPERLINK("https://lindat.mff.cuni.cz/services/teitok/pdtc10/index.php?action=vallex&amp;frame=v-w11116f5", "fluktuovat (v-w11116f5)")</f>
        <v>fluktuovat (v-w11116f5)</v>
      </c>
    </row>
    <row r="8915" spans="1:3" x14ac:dyDescent="0.2">
      <c r="B8915" t="s">
        <v>1</v>
      </c>
      <c r="C8915" t="s">
        <v>1593</v>
      </c>
    </row>
    <row r="8917" spans="1:3" x14ac:dyDescent="0.2">
      <c r="A8917" t="s">
        <v>3148</v>
      </c>
      <c r="B8917" t="str">
        <f>HYPERLINK("https://lindat.mff.cuni.cz/services/teitok/pdtc10/index.php?action=vallex&amp;frame=v-w12244_ZUf1_ZU", "flákat (v-w12244_ZUf1_ZU)")</f>
        <v>flákat (v-w12244_ZUf1_ZU)</v>
      </c>
    </row>
    <row r="8918" spans="1:3" x14ac:dyDescent="0.2">
      <c r="B8918" t="s">
        <v>1</v>
      </c>
    </row>
    <row r="8919" spans="1:3" x14ac:dyDescent="0.2">
      <c r="B8919" t="s">
        <v>8</v>
      </c>
    </row>
    <row r="8921" spans="1:3" x14ac:dyDescent="0.2">
      <c r="A8921" t="s">
        <v>3149</v>
      </c>
      <c r="B8921" t="str">
        <f>HYPERLINK("https://lindat.mff.cuni.cz/services/teitok/pdtc10/index.php?action=vallex&amp;frame=v-w11824_ZUf2_ZU", "flákat se (v-w11824_ZUf2_ZU)")</f>
        <v>flákat se (v-w11824_ZUf2_ZU)</v>
      </c>
    </row>
    <row r="8922" spans="1:3" x14ac:dyDescent="0.2">
      <c r="B8922" t="s">
        <v>1</v>
      </c>
    </row>
    <row r="8924" spans="1:3" x14ac:dyDescent="0.2">
      <c r="A8924" t="s">
        <v>3149</v>
      </c>
      <c r="B8924" t="str">
        <f>HYPERLINK("https://lindat.mff.cuni.cz/services/teitok/pdtc10/index.php?action=vallex&amp;frame=v-w11824_ZUf1_ZU", "flákat se (v-w11824_ZUf1_ZU) - substituted with v-w11824_ZUf2_ZU")</f>
        <v>flákat se (v-w11824_ZUf1_ZU) - substituted with v-w11824_ZUf2_ZU</v>
      </c>
    </row>
    <row r="8925" spans="1:3" x14ac:dyDescent="0.2">
      <c r="B8925" t="s">
        <v>1</v>
      </c>
    </row>
    <row r="8927" spans="1:3" x14ac:dyDescent="0.2">
      <c r="A8927" t="s">
        <v>3150</v>
      </c>
      <c r="B8927" t="str">
        <f>HYPERLINK("https://lindat.mff.cuni.cz/services/teitok/pdtc10/index.php?action=vallex&amp;frame=v-whsa_741hsa_742", "fláknout (v-whsa_741hsa_742)")</f>
        <v>fláknout (v-whsa_741hsa_742)</v>
      </c>
    </row>
    <row r="8928" spans="1:3" x14ac:dyDescent="0.2">
      <c r="B8928" t="s">
        <v>1</v>
      </c>
    </row>
    <row r="8929" spans="1:4" x14ac:dyDescent="0.2">
      <c r="B8929" t="s">
        <v>8</v>
      </c>
    </row>
    <row r="8930" spans="1:4" x14ac:dyDescent="0.2">
      <c r="B8930" t="s">
        <v>35</v>
      </c>
    </row>
    <row r="8932" spans="1:4" x14ac:dyDescent="0.2">
      <c r="A8932" t="s">
        <v>3151</v>
      </c>
      <c r="B8932" t="str">
        <f>HYPERLINK("https://lindat.mff.cuni.cz/services/teitok/pdtc10/index.php?action=vallex&amp;frame=v-w10579f2", "formalizovat (v-w10579f2)")</f>
        <v>formalizovat (v-w10579f2)</v>
      </c>
    </row>
    <row r="8933" spans="1:4" x14ac:dyDescent="0.2">
      <c r="B8933" t="s">
        <v>1</v>
      </c>
    </row>
    <row r="8934" spans="1:4" x14ac:dyDescent="0.2">
      <c r="B8934" t="s">
        <v>8</v>
      </c>
    </row>
    <row r="8936" spans="1:4" x14ac:dyDescent="0.2">
      <c r="A8936" t="s">
        <v>3152</v>
      </c>
      <c r="B8936" t="str">
        <f>HYPERLINK("https://lindat.mff.cuni.cz/services/teitok/pdtc10/index.php?action=vallex&amp;frame=v-w967f1", "formovat (v-w967f1)")</f>
        <v>formovat (v-w967f1)</v>
      </c>
    </row>
    <row r="8937" spans="1:4" x14ac:dyDescent="0.2">
      <c r="B8937" t="s">
        <v>1</v>
      </c>
      <c r="C8937" t="s">
        <v>133</v>
      </c>
      <c r="D8937" t="s">
        <v>249</v>
      </c>
    </row>
    <row r="8938" spans="1:4" x14ac:dyDescent="0.2">
      <c r="B8938" t="s">
        <v>8</v>
      </c>
      <c r="C8938" t="s">
        <v>1025</v>
      </c>
      <c r="D8938" t="s">
        <v>354</v>
      </c>
    </row>
    <row r="8939" spans="1:4" x14ac:dyDescent="0.2">
      <c r="B8939" t="s">
        <v>3153</v>
      </c>
      <c r="C8939" t="s">
        <v>131</v>
      </c>
      <c r="D8939" t="s">
        <v>131</v>
      </c>
    </row>
    <row r="8941" spans="1:4" x14ac:dyDescent="0.2">
      <c r="A8941" t="s">
        <v>3154</v>
      </c>
      <c r="B8941" t="str">
        <f>HYPERLINK("https://lindat.mff.cuni.cz/services/teitok/pdtc10/index.php?action=vallex&amp;frame=v-w968f1", "formovat se (v-w968f1)")</f>
        <v>formovat se (v-w968f1)</v>
      </c>
    </row>
    <row r="8942" spans="1:4" x14ac:dyDescent="0.2">
      <c r="B8942" t="s">
        <v>1</v>
      </c>
      <c r="C8942" t="s">
        <v>3155</v>
      </c>
    </row>
    <row r="8943" spans="1:4" x14ac:dyDescent="0.2">
      <c r="B8943" t="s">
        <v>438</v>
      </c>
      <c r="C8943" t="s">
        <v>3156</v>
      </c>
    </row>
    <row r="8945" spans="1:4" x14ac:dyDescent="0.2">
      <c r="A8945" t="s">
        <v>3157</v>
      </c>
      <c r="B8945" t="str">
        <f>HYPERLINK("https://lindat.mff.cuni.cz/services/teitok/pdtc10/index.php?action=vallex&amp;frame=v-w972f1", "formulovat (v-w972f1)")</f>
        <v>formulovat (v-w972f1)</v>
      </c>
    </row>
    <row r="8946" spans="1:4" x14ac:dyDescent="0.2">
      <c r="B8946" t="s">
        <v>1</v>
      </c>
      <c r="C8946" t="s">
        <v>1805</v>
      </c>
      <c r="D8946" t="s">
        <v>1805</v>
      </c>
    </row>
    <row r="8947" spans="1:4" x14ac:dyDescent="0.2">
      <c r="B8947" t="s">
        <v>8</v>
      </c>
      <c r="C8947" t="s">
        <v>2344</v>
      </c>
      <c r="D8947" t="s">
        <v>17</v>
      </c>
    </row>
    <row r="8949" spans="1:4" x14ac:dyDescent="0.2">
      <c r="A8949" t="s">
        <v>3158</v>
      </c>
      <c r="B8949" t="str">
        <f>HYPERLINK("https://lindat.mff.cuni.cz/services/teitok/pdtc10/index.php?action=vallex&amp;frame=v-w964f1", "formátovat (v-w964f1)")</f>
        <v>formátovat (v-w964f1)</v>
      </c>
    </row>
    <row r="8950" spans="1:4" x14ac:dyDescent="0.2">
      <c r="B8950" t="s">
        <v>1</v>
      </c>
    </row>
    <row r="8951" spans="1:4" x14ac:dyDescent="0.2">
      <c r="B8951" t="s">
        <v>8</v>
      </c>
    </row>
    <row r="8953" spans="1:4" x14ac:dyDescent="0.2">
      <c r="A8953" t="s">
        <v>3159</v>
      </c>
      <c r="B8953" t="str">
        <f>HYPERLINK("https://lindat.mff.cuni.cz/services/teitok/pdtc10/index.php?action=vallex&amp;frame=v-w10185f5_ZU", "fotit (v-w10185f5_ZU)")</f>
        <v>fotit (v-w10185f5_ZU)</v>
      </c>
    </row>
    <row r="8954" spans="1:4" x14ac:dyDescent="0.2">
      <c r="B8954" t="s">
        <v>1</v>
      </c>
    </row>
    <row r="8955" spans="1:4" x14ac:dyDescent="0.2">
      <c r="B8955" t="s">
        <v>8</v>
      </c>
    </row>
    <row r="8957" spans="1:4" x14ac:dyDescent="0.2">
      <c r="A8957" t="s">
        <v>3159</v>
      </c>
      <c r="B8957" t="str">
        <f>HYPERLINK("https://lindat.mff.cuni.cz/services/teitok/pdtc10/index.php?action=vallex&amp;frame=v-w10185f2", "fotit (v-w10185f2) - substituted with v-w10185f5_ZU")</f>
        <v>fotit (v-w10185f2) - substituted with v-w10185f5_ZU</v>
      </c>
    </row>
    <row r="8958" spans="1:4" x14ac:dyDescent="0.2">
      <c r="B8958" t="s">
        <v>1</v>
      </c>
    </row>
    <row r="8959" spans="1:4" x14ac:dyDescent="0.2">
      <c r="B8959" t="s">
        <v>8</v>
      </c>
    </row>
    <row r="8961" spans="1:2" x14ac:dyDescent="0.2">
      <c r="A8961" t="s">
        <v>3159</v>
      </c>
      <c r="B8961" t="str">
        <f>HYPERLINK("https://lindat.mff.cuni.cz/services/teitok/pdtc10/index.php?action=vallex&amp;frame=v-w10185f4_ZU", "fotit (v-w10185f4_ZU) - substituted with v-w10185f5_ZU")</f>
        <v>fotit (v-w10185f4_ZU) - substituted with v-w10185f5_ZU</v>
      </c>
    </row>
    <row r="8962" spans="1:2" x14ac:dyDescent="0.2">
      <c r="B8962" t="s">
        <v>1</v>
      </c>
    </row>
    <row r="8963" spans="1:2" x14ac:dyDescent="0.2">
      <c r="B8963" t="s">
        <v>8</v>
      </c>
    </row>
    <row r="8965" spans="1:2" x14ac:dyDescent="0.2">
      <c r="A8965" t="s">
        <v>3160</v>
      </c>
      <c r="B8965" t="str">
        <f>HYPERLINK("https://lindat.mff.cuni.cz/services/teitok/pdtc10/index.php?action=vallex&amp;frame=v-w10185f3_ZU", "fotit (v-w10185f3_ZU)")</f>
        <v>fotit (v-w10185f3_ZU)</v>
      </c>
    </row>
    <row r="8966" spans="1:2" x14ac:dyDescent="0.2">
      <c r="B8966" t="s">
        <v>1</v>
      </c>
    </row>
    <row r="8967" spans="1:2" x14ac:dyDescent="0.2">
      <c r="B8967" t="s">
        <v>8</v>
      </c>
    </row>
    <row r="8969" spans="1:2" x14ac:dyDescent="0.2">
      <c r="A8969" t="s">
        <v>3161</v>
      </c>
      <c r="B8969" t="str">
        <f>HYPERLINK("https://lindat.mff.cuni.cz/services/teitok/pdtc10/index.php?action=vallex&amp;frame=v-w11902_ZUf2_ZU", "fotit se (v-w11902_ZUf2_ZU)")</f>
        <v>fotit se (v-w11902_ZUf2_ZU)</v>
      </c>
    </row>
    <row r="8970" spans="1:2" x14ac:dyDescent="0.2">
      <c r="B8970" t="s">
        <v>1</v>
      </c>
    </row>
    <row r="8972" spans="1:2" x14ac:dyDescent="0.2">
      <c r="A8972" t="s">
        <v>3161</v>
      </c>
      <c r="B8972" t="str">
        <f>HYPERLINK("https://lindat.mff.cuni.cz/services/teitok/pdtc10/index.php?action=vallex&amp;frame=v-w11902_ZUf1_ZU", "fotit se (v-w11902_ZUf1_ZU) - substituted with v-w11902_ZUf2_ZU")</f>
        <v>fotit se (v-w11902_ZUf1_ZU) - substituted with v-w11902_ZUf2_ZU</v>
      </c>
    </row>
    <row r="8973" spans="1:2" x14ac:dyDescent="0.2">
      <c r="B8973" t="s">
        <v>1</v>
      </c>
    </row>
    <row r="8975" spans="1:2" x14ac:dyDescent="0.2">
      <c r="A8975" t="s">
        <v>3162</v>
      </c>
      <c r="B8975" t="str">
        <f>HYPERLINK("https://lindat.mff.cuni.cz/services/teitok/pdtc10/index.php?action=vallex&amp;frame=v-w975f4_ZU", "fotografovat (v-w975f4_ZU)")</f>
        <v>fotografovat (v-w975f4_ZU)</v>
      </c>
    </row>
    <row r="8976" spans="1:2" x14ac:dyDescent="0.2">
      <c r="B8976" t="s">
        <v>1</v>
      </c>
    </row>
    <row r="8977" spans="1:4" x14ac:dyDescent="0.2">
      <c r="B8977" t="s">
        <v>8</v>
      </c>
    </row>
    <row r="8979" spans="1:4" x14ac:dyDescent="0.2">
      <c r="A8979" t="s">
        <v>3162</v>
      </c>
      <c r="B8979" t="str">
        <f>HYPERLINK("https://lindat.mff.cuni.cz/services/teitok/pdtc10/index.php?action=vallex&amp;frame=v-w975f1", "fotografovat (v-w975f1) - substituted with v-w975f4_ZU")</f>
        <v>fotografovat (v-w975f1) - substituted with v-w975f4_ZU</v>
      </c>
    </row>
    <row r="8980" spans="1:4" x14ac:dyDescent="0.2">
      <c r="B8980" t="s">
        <v>1</v>
      </c>
      <c r="C8980" t="s">
        <v>140</v>
      </c>
      <c r="D8980" t="s">
        <v>23142</v>
      </c>
    </row>
    <row r="8981" spans="1:4" x14ac:dyDescent="0.2">
      <c r="B8981" t="s">
        <v>8</v>
      </c>
      <c r="C8981" t="s">
        <v>113</v>
      </c>
      <c r="D8981" t="s">
        <v>23143</v>
      </c>
    </row>
    <row r="8983" spans="1:4" x14ac:dyDescent="0.2">
      <c r="A8983" t="s">
        <v>3162</v>
      </c>
      <c r="B8983" t="str">
        <f>HYPERLINK("https://lindat.mff.cuni.cz/services/teitok/pdtc10/index.php?action=vallex&amp;frame=v-w975f3_ZU", "fotografovat (v-w975f3_ZU) - substituted with v-w975f4_ZU")</f>
        <v>fotografovat (v-w975f3_ZU) - substituted with v-w975f4_ZU</v>
      </c>
    </row>
    <row r="8984" spans="1:4" x14ac:dyDescent="0.2">
      <c r="B8984" t="s">
        <v>1</v>
      </c>
    </row>
    <row r="8985" spans="1:4" x14ac:dyDescent="0.2">
      <c r="B8985" t="s">
        <v>8</v>
      </c>
    </row>
    <row r="8987" spans="1:4" x14ac:dyDescent="0.2">
      <c r="A8987" t="s">
        <v>3163</v>
      </c>
      <c r="B8987" t="str">
        <f>HYPERLINK("https://lindat.mff.cuni.cz/services/teitok/pdtc10/index.php?action=vallex&amp;frame=v-w975f2_ZU", "fotografovat (v-w975f2_ZU)")</f>
        <v>fotografovat (v-w975f2_ZU)</v>
      </c>
    </row>
    <row r="8988" spans="1:4" x14ac:dyDescent="0.2">
      <c r="B8988" t="s">
        <v>1</v>
      </c>
    </row>
    <row r="8989" spans="1:4" x14ac:dyDescent="0.2">
      <c r="B8989" t="s">
        <v>8</v>
      </c>
    </row>
    <row r="8991" spans="1:4" x14ac:dyDescent="0.2">
      <c r="A8991" t="s">
        <v>3164</v>
      </c>
      <c r="B8991" t="str">
        <f>HYPERLINK("https://lindat.mff.cuni.cz/services/teitok/pdtc10/index.php?action=vallex&amp;frame=v-w11901_ZUf1_ZU", "fotografovat se (v-w11901_ZUf1_ZU)")</f>
        <v>fotografovat se (v-w11901_ZUf1_ZU)</v>
      </c>
    </row>
    <row r="8992" spans="1:4" x14ac:dyDescent="0.2">
      <c r="B8992" t="s">
        <v>1</v>
      </c>
    </row>
    <row r="8994" spans="1:2" x14ac:dyDescent="0.2">
      <c r="A8994" t="s">
        <v>3165</v>
      </c>
      <c r="B8994" t="str">
        <f>HYPERLINK("https://lindat.mff.cuni.cz/services/teitok/pdtc10/index.php?action=vallex&amp;frame=v-w11918_ZUf1_ZU", "fotívat (v-w11918_ZUf1_ZU)")</f>
        <v>fotívat (v-w11918_ZUf1_ZU)</v>
      </c>
    </row>
    <row r="8995" spans="1:2" x14ac:dyDescent="0.2">
      <c r="B8995" t="s">
        <v>1</v>
      </c>
    </row>
    <row r="8996" spans="1:2" x14ac:dyDescent="0.2">
      <c r="B8996" t="s">
        <v>8</v>
      </c>
    </row>
    <row r="8998" spans="1:2" x14ac:dyDescent="0.2">
      <c r="A8998" t="s">
        <v>3166</v>
      </c>
      <c r="B8998" t="str">
        <f>HYPERLINK("https://lindat.mff.cuni.cz/services/teitok/pdtc10/index.php?action=vallex&amp;frame=v-w978f1", "foukat (v-w978f1)")</f>
        <v>foukat (v-w978f1)</v>
      </c>
    </row>
    <row r="8999" spans="1:2" x14ac:dyDescent="0.2">
      <c r="B8999" t="s">
        <v>1</v>
      </c>
    </row>
    <row r="9001" spans="1:2" x14ac:dyDescent="0.2">
      <c r="A9001" t="s">
        <v>3167</v>
      </c>
      <c r="B9001" t="str">
        <f>HYPERLINK("https://lindat.mff.cuni.cz/services/teitok/pdtc10/index.php?action=vallex&amp;frame=v-w978f2", "foukat (v-w978f2)")</f>
        <v>foukat (v-w978f2)</v>
      </c>
    </row>
    <row r="9003" spans="1:2" x14ac:dyDescent="0.2">
      <c r="A9003" t="s">
        <v>3168</v>
      </c>
      <c r="B9003" t="str">
        <f>HYPERLINK("https://lindat.mff.cuni.cz/services/teitok/pdtc10/index.php?action=vallex&amp;frame=v-w978hsa_31", "foukat (v-w978hsa_31)")</f>
        <v>foukat (v-w978hsa_31)</v>
      </c>
    </row>
    <row r="9004" spans="1:2" x14ac:dyDescent="0.2">
      <c r="B9004" t="s">
        <v>1</v>
      </c>
    </row>
    <row r="9005" spans="1:2" x14ac:dyDescent="0.2">
      <c r="B9005" t="s">
        <v>8</v>
      </c>
    </row>
    <row r="9007" spans="1:2" x14ac:dyDescent="0.2">
      <c r="A9007" t="s">
        <v>3169</v>
      </c>
      <c r="B9007" t="str">
        <f>HYPERLINK("https://lindat.mff.cuni.cz/services/teitok/pdtc10/index.php?action=vallex&amp;frame=v-w980f1", "fragmentovat (v-w980f1)")</f>
        <v>fragmentovat (v-w980f1)</v>
      </c>
    </row>
    <row r="9008" spans="1:2" x14ac:dyDescent="0.2">
      <c r="B9008" t="s">
        <v>1</v>
      </c>
    </row>
    <row r="9009" spans="1:4" x14ac:dyDescent="0.2">
      <c r="B9009" t="s">
        <v>8</v>
      </c>
    </row>
    <row r="9010" spans="1:4" x14ac:dyDescent="0.2">
      <c r="B9010" t="s">
        <v>2334</v>
      </c>
    </row>
    <row r="9012" spans="1:4" x14ac:dyDescent="0.2">
      <c r="A9012" t="s">
        <v>3170</v>
      </c>
      <c r="B9012" t="str">
        <f>HYPERLINK("https://lindat.mff.cuni.cz/services/teitok/pdtc10/index.php?action=vallex&amp;frame=v-w987f1", "frustrovat (v-w987f1)")</f>
        <v>frustrovat (v-w987f1)</v>
      </c>
    </row>
    <row r="9013" spans="1:4" x14ac:dyDescent="0.2">
      <c r="B9013" t="s">
        <v>1</v>
      </c>
      <c r="C9013" t="s">
        <v>3171</v>
      </c>
      <c r="D9013" t="s">
        <v>23325</v>
      </c>
    </row>
    <row r="9014" spans="1:4" x14ac:dyDescent="0.2">
      <c r="B9014" t="s">
        <v>8</v>
      </c>
      <c r="C9014" t="s">
        <v>56</v>
      </c>
      <c r="D9014" t="s">
        <v>23326</v>
      </c>
    </row>
    <row r="9016" spans="1:4" x14ac:dyDescent="0.2">
      <c r="A9016" t="s">
        <v>3172</v>
      </c>
      <c r="B9016" t="str">
        <f>HYPERLINK("https://lindat.mff.cuni.cz/services/teitok/pdtc10/index.php?action=vallex&amp;frame=v-w990f1", "fungovat (v-w990f1)")</f>
        <v>fungovat (v-w990f1)</v>
      </c>
    </row>
    <row r="9017" spans="1:4" x14ac:dyDescent="0.2">
      <c r="B9017" t="s">
        <v>1</v>
      </c>
      <c r="C9017" t="s">
        <v>3173</v>
      </c>
      <c r="D9017" t="s">
        <v>23034</v>
      </c>
    </row>
    <row r="9019" spans="1:4" x14ac:dyDescent="0.2">
      <c r="A9019" t="s">
        <v>3174</v>
      </c>
      <c r="B9019" t="str">
        <f>HYPERLINK("https://lindat.mff.cuni.cz/services/teitok/pdtc10/index.php?action=vallex&amp;frame=v-w990f2", "fungovat (v-w990f2)")</f>
        <v>fungovat (v-w990f2)</v>
      </c>
    </row>
    <row r="9020" spans="1:4" x14ac:dyDescent="0.2">
      <c r="B9020" t="s">
        <v>1</v>
      </c>
      <c r="C9020" t="s">
        <v>3175</v>
      </c>
      <c r="D9020" t="s">
        <v>23318</v>
      </c>
    </row>
    <row r="9022" spans="1:4" x14ac:dyDescent="0.2">
      <c r="A9022" t="s">
        <v>3176</v>
      </c>
      <c r="B9022" t="str">
        <f>HYPERLINK("https://lindat.mff.cuni.cz/services/teitok/pdtc10/index.php?action=vallex&amp;frame=v-w990f3", "fungovat (v-w990f3)")</f>
        <v>fungovat (v-w990f3)</v>
      </c>
    </row>
    <row r="9023" spans="1:4" x14ac:dyDescent="0.2">
      <c r="B9023" t="s">
        <v>1</v>
      </c>
      <c r="C9023" t="s">
        <v>1275</v>
      </c>
      <c r="D9023" t="s">
        <v>23034</v>
      </c>
    </row>
    <row r="9025" spans="1:4" x14ac:dyDescent="0.2">
      <c r="A9025" t="s">
        <v>3177</v>
      </c>
      <c r="B9025" t="str">
        <f>HYPERLINK("https://lindat.mff.cuni.cz/services/teitok/pdtc10/index.php?action=vallex&amp;frame=v-w11511_ZUf1_ZU", "funět (v-w11511_ZUf1_ZU)")</f>
        <v>funět (v-w11511_ZUf1_ZU)</v>
      </c>
    </row>
    <row r="9026" spans="1:4" x14ac:dyDescent="0.2">
      <c r="B9026" t="s">
        <v>1</v>
      </c>
    </row>
    <row r="9028" spans="1:4" x14ac:dyDescent="0.2">
      <c r="A9028" t="s">
        <v>3178</v>
      </c>
      <c r="B9028" t="str">
        <f>HYPERLINK("https://lindat.mff.cuni.cz/services/teitok/pdtc10/index.php?action=vallex&amp;frame=v-w11511_ZUf2_ZU", "funět (v-w11511_ZUf2_ZU)")</f>
        <v>funět (v-w11511_ZUf2_ZU)</v>
      </c>
    </row>
    <row r="9029" spans="1:4" x14ac:dyDescent="0.2">
      <c r="B9029" t="s">
        <v>1</v>
      </c>
    </row>
    <row r="9031" spans="1:4" x14ac:dyDescent="0.2">
      <c r="A9031" t="s">
        <v>3179</v>
      </c>
      <c r="B9031" t="str">
        <f>HYPERLINK("https://lindat.mff.cuni.cz/services/teitok/pdtc10/index.php?action=vallex&amp;frame=v-w10507f2", "fušovat (v-w10507f2)")</f>
        <v>fušovat (v-w10507f2)</v>
      </c>
    </row>
    <row r="9032" spans="1:4" x14ac:dyDescent="0.2">
      <c r="B9032" t="s">
        <v>1</v>
      </c>
      <c r="C9032" t="s">
        <v>33</v>
      </c>
      <c r="D9032" t="s">
        <v>33</v>
      </c>
    </row>
    <row r="9033" spans="1:4" x14ac:dyDescent="0.2">
      <c r="B9033" t="s">
        <v>817</v>
      </c>
      <c r="C9033" t="s">
        <v>54</v>
      </c>
      <c r="D9033" t="s">
        <v>56</v>
      </c>
    </row>
    <row r="9035" spans="1:4" x14ac:dyDescent="0.2">
      <c r="A9035" t="s">
        <v>3180</v>
      </c>
      <c r="B9035" t="str">
        <f>HYPERLINK("https://lindat.mff.cuni.cz/services/teitok/pdtc10/index.php?action=vallex&amp;frame=v-w12138_ZUf1_ZU", "fárat (v-w12138_ZUf1_ZU)")</f>
        <v>fárat (v-w12138_ZUf1_ZU)</v>
      </c>
    </row>
    <row r="9036" spans="1:4" x14ac:dyDescent="0.2">
      <c r="B9036" t="s">
        <v>1</v>
      </c>
    </row>
    <row r="9038" spans="1:4" x14ac:dyDescent="0.2">
      <c r="A9038" t="s">
        <v>3181</v>
      </c>
      <c r="B9038" t="str">
        <f>HYPERLINK("https://lindat.mff.cuni.cz/services/teitok/pdtc10/index.php?action=vallex&amp;frame=v-w993f2", "fúzovat (v-w993f2)")</f>
        <v>fúzovat (v-w993f2)</v>
      </c>
    </row>
    <row r="9039" spans="1:4" x14ac:dyDescent="0.2">
      <c r="B9039" t="s">
        <v>1</v>
      </c>
    </row>
    <row r="9040" spans="1:4" x14ac:dyDescent="0.2">
      <c r="B9040" t="s">
        <v>8</v>
      </c>
    </row>
    <row r="9041" spans="1:4" x14ac:dyDescent="0.2">
      <c r="B9041" t="s">
        <v>2604</v>
      </c>
    </row>
    <row r="9043" spans="1:4" x14ac:dyDescent="0.2">
      <c r="A9043" t="s">
        <v>3182</v>
      </c>
      <c r="B9043" t="str">
        <f>HYPERLINK("https://lindat.mff.cuni.cz/services/teitok/pdtc10/index.php?action=vallex&amp;frame=v-w993f1", "fúzovat (v-w993f1)")</f>
        <v>fúzovat (v-w993f1)</v>
      </c>
    </row>
    <row r="9044" spans="1:4" x14ac:dyDescent="0.2">
      <c r="B9044" t="s">
        <v>1</v>
      </c>
    </row>
    <row r="9045" spans="1:4" x14ac:dyDescent="0.2">
      <c r="B9045" t="s">
        <v>411</v>
      </c>
    </row>
    <row r="9046" spans="1:4" x14ac:dyDescent="0.2">
      <c r="B9046" t="s">
        <v>2156</v>
      </c>
    </row>
    <row r="9048" spans="1:4" x14ac:dyDescent="0.2">
      <c r="A9048" t="s">
        <v>3183</v>
      </c>
      <c r="B9048" t="str">
        <f>HYPERLINK("https://lindat.mff.cuni.cz/services/teitok/pdtc10/index.php?action=vallex&amp;frame=v-w997f1", "garantovat (v-w997f1)")</f>
        <v>garantovat (v-w997f1)</v>
      </c>
    </row>
    <row r="9049" spans="1:4" x14ac:dyDescent="0.2">
      <c r="B9049" t="s">
        <v>1</v>
      </c>
      <c r="C9049" t="s">
        <v>30</v>
      </c>
      <c r="D9049" t="s">
        <v>317</v>
      </c>
    </row>
    <row r="9050" spans="1:4" x14ac:dyDescent="0.2">
      <c r="B9050" t="s">
        <v>8</v>
      </c>
      <c r="C9050" t="s">
        <v>3184</v>
      </c>
      <c r="D9050" t="s">
        <v>1241</v>
      </c>
    </row>
    <row r="9051" spans="1:4" x14ac:dyDescent="0.2">
      <c r="B9051" t="s">
        <v>2542</v>
      </c>
      <c r="C9051" t="s">
        <v>3185</v>
      </c>
      <c r="D9051" t="s">
        <v>3185</v>
      </c>
    </row>
    <row r="9053" spans="1:4" x14ac:dyDescent="0.2">
      <c r="A9053" t="s">
        <v>3186</v>
      </c>
      <c r="B9053" t="str">
        <f>HYPERLINK("https://lindat.mff.cuni.cz/services/teitok/pdtc10/index.php?action=vallex&amp;frame=v-w10594f2", "generalizovat (v-w10594f2)")</f>
        <v>generalizovat (v-w10594f2)</v>
      </c>
    </row>
    <row r="9054" spans="1:4" x14ac:dyDescent="0.2">
      <c r="B9054" t="s">
        <v>1</v>
      </c>
    </row>
    <row r="9055" spans="1:4" x14ac:dyDescent="0.2">
      <c r="B9055" t="s">
        <v>8</v>
      </c>
      <c r="D9055" t="s">
        <v>113</v>
      </c>
    </row>
    <row r="9057" spans="1:4" x14ac:dyDescent="0.2">
      <c r="A9057" t="s">
        <v>3187</v>
      </c>
      <c r="B9057" t="str">
        <f>HYPERLINK("https://lindat.mff.cuni.cz/services/teitok/pdtc10/index.php?action=vallex&amp;frame=v-w10732f2", "generovat (v-w10732f2)")</f>
        <v>generovat (v-w10732f2)</v>
      </c>
    </row>
    <row r="9058" spans="1:4" x14ac:dyDescent="0.2">
      <c r="B9058" t="s">
        <v>1</v>
      </c>
      <c r="C9058" t="s">
        <v>3081</v>
      </c>
      <c r="D9058" t="s">
        <v>23327</v>
      </c>
    </row>
    <row r="9059" spans="1:4" x14ac:dyDescent="0.2">
      <c r="B9059" t="s">
        <v>8</v>
      </c>
      <c r="C9059" t="s">
        <v>240</v>
      </c>
      <c r="D9059" t="s">
        <v>23328</v>
      </c>
    </row>
    <row r="9061" spans="1:4" x14ac:dyDescent="0.2">
      <c r="A9061" t="s">
        <v>3188</v>
      </c>
      <c r="B9061" t="str">
        <f>HYPERLINK("https://lindat.mff.cuni.cz/services/teitok/pdtc10/index.php?action=vallex&amp;frame=v-w10169f2", "gestikulovat (v-w10169f2)")</f>
        <v>gestikulovat (v-w10169f2)</v>
      </c>
    </row>
    <row r="9062" spans="1:4" x14ac:dyDescent="0.2">
      <c r="B9062" t="s">
        <v>1</v>
      </c>
      <c r="C9062" t="s">
        <v>140</v>
      </c>
      <c r="D9062" t="s">
        <v>249</v>
      </c>
    </row>
    <row r="9064" spans="1:4" x14ac:dyDescent="0.2">
      <c r="A9064" t="s">
        <v>3189</v>
      </c>
      <c r="B9064" t="str">
        <f>HYPERLINK("https://lindat.mff.cuni.cz/services/teitok/pdtc10/index.php?action=vallex&amp;frame=v-w10169hsa_1120", "gestikulovat (v-w10169hsa_1120)")</f>
        <v>gestikulovat (v-w10169hsa_1120)</v>
      </c>
    </row>
    <row r="9065" spans="1:4" x14ac:dyDescent="0.2">
      <c r="B9065" t="s">
        <v>1</v>
      </c>
    </row>
    <row r="9066" spans="1:4" x14ac:dyDescent="0.2">
      <c r="B9066" t="s">
        <v>88</v>
      </c>
    </row>
    <row r="9067" spans="1:4" x14ac:dyDescent="0.2">
      <c r="B9067" t="s">
        <v>3190</v>
      </c>
    </row>
    <row r="9069" spans="1:4" x14ac:dyDescent="0.2">
      <c r="A9069" t="s">
        <v>3191</v>
      </c>
      <c r="B9069" t="str">
        <f>HYPERLINK("https://lindat.mff.cuni.cz/services/teitok/pdtc10/index.php?action=vallex&amp;frame=v-w1002f1", "glajchšaltovat (v-w1002f1)")</f>
        <v>glajchšaltovat (v-w1002f1)</v>
      </c>
    </row>
    <row r="9070" spans="1:4" x14ac:dyDescent="0.2">
      <c r="B9070" t="s">
        <v>1</v>
      </c>
    </row>
    <row r="9071" spans="1:4" x14ac:dyDescent="0.2">
      <c r="B9071" t="s">
        <v>8</v>
      </c>
    </row>
    <row r="9073" spans="1:4" x14ac:dyDescent="0.2">
      <c r="A9073" t="s">
        <v>3192</v>
      </c>
      <c r="B9073" t="str">
        <f>HYPERLINK("https://lindat.mff.cuni.cz/services/teitok/pdtc10/index.php?action=vallex&amp;frame=v-w1003f1", "globalizovat (v-w1003f1)")</f>
        <v>globalizovat (v-w1003f1)</v>
      </c>
    </row>
    <row r="9074" spans="1:4" x14ac:dyDescent="0.2">
      <c r="B9074" t="s">
        <v>1</v>
      </c>
    </row>
    <row r="9075" spans="1:4" x14ac:dyDescent="0.2">
      <c r="B9075" t="s">
        <v>8</v>
      </c>
    </row>
    <row r="9077" spans="1:4" x14ac:dyDescent="0.2">
      <c r="A9077" t="s">
        <v>3193</v>
      </c>
      <c r="B9077" t="str">
        <f>HYPERLINK("https://lindat.mff.cuni.cz/services/teitok/pdtc10/index.php?action=vallex&amp;frame=v-w1004f1", "glosovat (v-w1004f1)")</f>
        <v>glosovat (v-w1004f1)</v>
      </c>
    </row>
    <row r="9078" spans="1:4" x14ac:dyDescent="0.2">
      <c r="B9078" t="s">
        <v>1</v>
      </c>
    </row>
    <row r="9079" spans="1:4" x14ac:dyDescent="0.2">
      <c r="B9079" t="s">
        <v>273</v>
      </c>
    </row>
    <row r="9081" spans="1:4" x14ac:dyDescent="0.2">
      <c r="A9081" t="s">
        <v>3194</v>
      </c>
      <c r="B9081" t="str">
        <f>HYPERLINK("https://lindat.mff.cuni.cz/services/teitok/pdtc10/index.php?action=vallex&amp;frame=v-w1008f1", "gratulovat (v-w1008f1)")</f>
        <v>gratulovat (v-w1008f1)</v>
      </c>
    </row>
    <row r="9082" spans="1:4" x14ac:dyDescent="0.2">
      <c r="B9082" t="s">
        <v>1</v>
      </c>
      <c r="C9082" t="s">
        <v>33</v>
      </c>
      <c r="D9082" t="s">
        <v>33</v>
      </c>
    </row>
    <row r="9083" spans="1:4" x14ac:dyDescent="0.2">
      <c r="B9083" t="s">
        <v>176</v>
      </c>
      <c r="C9083" t="s">
        <v>1301</v>
      </c>
      <c r="D9083" t="s">
        <v>1301</v>
      </c>
    </row>
    <row r="9084" spans="1:4" x14ac:dyDescent="0.2">
      <c r="B9084" t="s">
        <v>35</v>
      </c>
      <c r="C9084" t="s">
        <v>1672</v>
      </c>
      <c r="D9084" t="s">
        <v>1672</v>
      </c>
    </row>
    <row r="9086" spans="1:4" x14ac:dyDescent="0.2">
      <c r="A9086" t="s">
        <v>3195</v>
      </c>
      <c r="B9086" t="str">
        <f>HYPERLINK("https://lindat.mff.cuni.cz/services/teitok/pdtc10/index.php?action=vallex&amp;frame=v-whsa_1642f1_ZU", "grilovat (v-whsa_1642f1_ZU)")</f>
        <v>grilovat (v-whsa_1642f1_ZU)</v>
      </c>
    </row>
    <row r="9087" spans="1:4" x14ac:dyDescent="0.2">
      <c r="B9087" t="s">
        <v>1</v>
      </c>
    </row>
    <row r="9088" spans="1:4" x14ac:dyDescent="0.2">
      <c r="B9088" t="s">
        <v>8</v>
      </c>
    </row>
    <row r="9090" spans="1:4" x14ac:dyDescent="0.2">
      <c r="A9090" t="s">
        <v>3195</v>
      </c>
      <c r="B9090" t="str">
        <f>HYPERLINK("https://lindat.mff.cuni.cz/services/teitok/pdtc10/index.php?action=vallex&amp;frame=v-whsa_1642hsa_1643", "grilovat (v-whsa_1642hsa_1643) - substituted with v-whsa_1642f1_ZU")</f>
        <v>grilovat (v-whsa_1642hsa_1643) - substituted with v-whsa_1642f1_ZU</v>
      </c>
    </row>
    <row r="9091" spans="1:4" x14ac:dyDescent="0.2">
      <c r="B9091" t="s">
        <v>1</v>
      </c>
    </row>
    <row r="9092" spans="1:4" x14ac:dyDescent="0.2">
      <c r="B9092" t="s">
        <v>8</v>
      </c>
    </row>
    <row r="9094" spans="1:4" x14ac:dyDescent="0.2">
      <c r="A9094" t="s">
        <v>3196</v>
      </c>
      <c r="B9094" t="str">
        <f>HYPERLINK("https://lindat.mff.cuni.cz/services/teitok/pdtc10/index.php?action=vallex&amp;frame=v-w1010f1", "habilitovat (v-w1010f1)")</f>
        <v>habilitovat (v-w1010f1)</v>
      </c>
    </row>
    <row r="9095" spans="1:4" x14ac:dyDescent="0.2">
      <c r="B9095" t="s">
        <v>1</v>
      </c>
    </row>
    <row r="9096" spans="1:4" x14ac:dyDescent="0.2">
      <c r="B9096" t="s">
        <v>8</v>
      </c>
    </row>
    <row r="9098" spans="1:4" x14ac:dyDescent="0.2">
      <c r="A9098" t="s">
        <v>3197</v>
      </c>
      <c r="B9098" t="str">
        <f>HYPERLINK("https://lindat.mff.cuni.cz/services/teitok/pdtc10/index.php?action=vallex&amp;frame=v-w1011f1", "habilitovat se (v-w1011f1)")</f>
        <v>habilitovat se (v-w1011f1)</v>
      </c>
    </row>
    <row r="9099" spans="1:4" x14ac:dyDescent="0.2">
      <c r="B9099" t="s">
        <v>1</v>
      </c>
    </row>
    <row r="9101" spans="1:4" x14ac:dyDescent="0.2">
      <c r="A9101" t="s">
        <v>3198</v>
      </c>
      <c r="B9101" t="str">
        <f>HYPERLINK("https://lindat.mff.cuni.cz/services/teitok/pdtc10/index.php?action=vallex&amp;frame=v-w10416f2", "halit (v-w10416f2)")</f>
        <v>halit (v-w10416f2)</v>
      </c>
    </row>
    <row r="9102" spans="1:4" x14ac:dyDescent="0.2">
      <c r="B9102" t="s">
        <v>1</v>
      </c>
      <c r="C9102" t="s">
        <v>140</v>
      </c>
      <c r="D9102" t="s">
        <v>22201</v>
      </c>
    </row>
    <row r="9103" spans="1:4" x14ac:dyDescent="0.2">
      <c r="B9103" t="s">
        <v>3199</v>
      </c>
      <c r="C9103" t="s">
        <v>113</v>
      </c>
      <c r="D9103" t="s">
        <v>1128</v>
      </c>
    </row>
    <row r="9104" spans="1:4" x14ac:dyDescent="0.2">
      <c r="B9104" t="s">
        <v>3200</v>
      </c>
    </row>
    <row r="9106" spans="1:4" x14ac:dyDescent="0.2">
      <c r="A9106" t="s">
        <v>3201</v>
      </c>
      <c r="B9106" t="str">
        <f>HYPERLINK("https://lindat.mff.cuni.cz/services/teitok/pdtc10/index.php?action=vallex&amp;frame=v-w11712_ZUf1_ZU", "halit se (v-w11712_ZUf1_ZU)")</f>
        <v>halit se (v-w11712_ZUf1_ZU)</v>
      </c>
    </row>
    <row r="9107" spans="1:4" x14ac:dyDescent="0.2">
      <c r="B9107" t="s">
        <v>1</v>
      </c>
    </row>
    <row r="9108" spans="1:4" x14ac:dyDescent="0.2">
      <c r="B9108" t="s">
        <v>3202</v>
      </c>
    </row>
    <row r="9110" spans="1:4" x14ac:dyDescent="0.2">
      <c r="A9110" t="s">
        <v>3203</v>
      </c>
      <c r="B9110" t="str">
        <f>HYPERLINK("https://lindat.mff.cuni.cz/services/teitok/pdtc10/index.php?action=vallex&amp;frame=v-w1020f1", "handicapovat (v-w1020f1)")</f>
        <v>handicapovat (v-w1020f1)</v>
      </c>
    </row>
    <row r="9111" spans="1:4" x14ac:dyDescent="0.2">
      <c r="B9111" t="s">
        <v>1</v>
      </c>
    </row>
    <row r="9112" spans="1:4" x14ac:dyDescent="0.2">
      <c r="B9112" t="s">
        <v>8</v>
      </c>
    </row>
    <row r="9114" spans="1:4" x14ac:dyDescent="0.2">
      <c r="A9114" t="s">
        <v>3204</v>
      </c>
      <c r="B9114" t="str">
        <f>HYPERLINK("https://lindat.mff.cuni.cz/services/teitok/pdtc10/index.php?action=vallex&amp;frame=v-w11467f1", "handrkovat se (v-w11467f1)")</f>
        <v>handrkovat se (v-w11467f1)</v>
      </c>
    </row>
    <row r="9115" spans="1:4" x14ac:dyDescent="0.2">
      <c r="B9115" t="s">
        <v>1</v>
      </c>
      <c r="C9115" t="s">
        <v>990</v>
      </c>
      <c r="D9115" t="s">
        <v>80</v>
      </c>
    </row>
    <row r="9116" spans="1:4" x14ac:dyDescent="0.2">
      <c r="B9116" t="s">
        <v>153</v>
      </c>
    </row>
    <row r="9117" spans="1:4" x14ac:dyDescent="0.2">
      <c r="B9117" t="s">
        <v>3205</v>
      </c>
      <c r="D9117" t="s">
        <v>6439</v>
      </c>
    </row>
    <row r="9119" spans="1:4" x14ac:dyDescent="0.2">
      <c r="A9119" t="s">
        <v>3206</v>
      </c>
      <c r="B9119" t="str">
        <f>HYPERLINK("https://lindat.mff.cuni.cz/services/teitok/pdtc10/index.php?action=vallex&amp;frame=v-w1022f1", "hanobit (v-w1022f1)")</f>
        <v>hanobit (v-w1022f1)</v>
      </c>
    </row>
    <row r="9120" spans="1:4" x14ac:dyDescent="0.2">
      <c r="B9120" t="s">
        <v>1</v>
      </c>
      <c r="D9120" t="s">
        <v>2749</v>
      </c>
    </row>
    <row r="9121" spans="1:4" x14ac:dyDescent="0.2">
      <c r="B9121" t="s">
        <v>8</v>
      </c>
      <c r="D9121" t="s">
        <v>23329</v>
      </c>
    </row>
    <row r="9123" spans="1:4" x14ac:dyDescent="0.2">
      <c r="A9123" t="s">
        <v>3207</v>
      </c>
      <c r="B9123" t="str">
        <f>HYPERLINK("https://lindat.mff.cuni.cz/services/teitok/pdtc10/index.php?action=vallex&amp;frame=v-whsa_455hsa_456", "hanět (v-whsa_455hsa_456)")</f>
        <v>hanět (v-whsa_455hsa_456)</v>
      </c>
    </row>
    <row r="9124" spans="1:4" x14ac:dyDescent="0.2">
      <c r="B9124" t="s">
        <v>1</v>
      </c>
      <c r="D9124" t="s">
        <v>1065</v>
      </c>
    </row>
    <row r="9125" spans="1:4" x14ac:dyDescent="0.2">
      <c r="B9125" t="s">
        <v>8</v>
      </c>
      <c r="C9125" t="s">
        <v>34</v>
      </c>
      <c r="D9125" t="s">
        <v>23330</v>
      </c>
    </row>
    <row r="9127" spans="1:4" x14ac:dyDescent="0.2">
      <c r="A9127" t="s">
        <v>3208</v>
      </c>
      <c r="B9127" t="str">
        <f>HYPERLINK("https://lindat.mff.cuni.cz/services/teitok/pdtc10/index.php?action=vallex&amp;frame=v-w12064_ZUf1_ZU", "haprovat (v-w12064_ZUf1_ZU)")</f>
        <v>haprovat (v-w12064_ZUf1_ZU)</v>
      </c>
    </row>
    <row r="9128" spans="1:4" x14ac:dyDescent="0.2">
      <c r="B9128" t="s">
        <v>1</v>
      </c>
    </row>
    <row r="9129" spans="1:4" x14ac:dyDescent="0.2">
      <c r="B9129" t="s">
        <v>551</v>
      </c>
    </row>
    <row r="9131" spans="1:4" x14ac:dyDescent="0.2">
      <c r="A9131" t="s">
        <v>3209</v>
      </c>
      <c r="B9131" t="str">
        <f>HYPERLINK("https://lindat.mff.cuni.cz/services/teitok/pdtc10/index.php?action=vallex&amp;frame=v-w1025f1", "harmonizovat (v-w1025f1)")</f>
        <v>harmonizovat (v-w1025f1)</v>
      </c>
    </row>
    <row r="9132" spans="1:4" x14ac:dyDescent="0.2">
      <c r="B9132" t="s">
        <v>1</v>
      </c>
    </row>
    <row r="9133" spans="1:4" x14ac:dyDescent="0.2">
      <c r="B9133" t="s">
        <v>8</v>
      </c>
    </row>
    <row r="9134" spans="1:4" x14ac:dyDescent="0.2">
      <c r="B9134" t="s">
        <v>2604</v>
      </c>
    </row>
    <row r="9136" spans="1:4" x14ac:dyDescent="0.2">
      <c r="A9136" t="s">
        <v>3210</v>
      </c>
      <c r="B9136" t="str">
        <f>HYPERLINK("https://lindat.mff.cuni.cz/services/teitok/pdtc10/index.php?action=vallex&amp;frame=v-w1027f1", "harmonovat (v-w1027f1)")</f>
        <v>harmonovat (v-w1027f1)</v>
      </c>
    </row>
    <row r="9137" spans="1:3" x14ac:dyDescent="0.2">
      <c r="B9137" t="s">
        <v>1</v>
      </c>
    </row>
    <row r="9138" spans="1:3" x14ac:dyDescent="0.2">
      <c r="B9138" t="s">
        <v>411</v>
      </c>
    </row>
    <row r="9140" spans="1:3" x14ac:dyDescent="0.2">
      <c r="A9140" t="s">
        <v>3211</v>
      </c>
      <c r="B9140" t="str">
        <f>HYPERLINK("https://lindat.mff.cuni.cz/services/teitok/pdtc10/index.php?action=vallex&amp;frame=v-w1029f1", "hasit (v-w1029f1)")</f>
        <v>hasit (v-w1029f1)</v>
      </c>
    </row>
    <row r="9141" spans="1:3" x14ac:dyDescent="0.2">
      <c r="B9141" t="s">
        <v>1</v>
      </c>
    </row>
    <row r="9142" spans="1:3" x14ac:dyDescent="0.2">
      <c r="B9142" t="s">
        <v>8</v>
      </c>
    </row>
    <row r="9144" spans="1:3" x14ac:dyDescent="0.2">
      <c r="A9144" t="s">
        <v>3212</v>
      </c>
      <c r="B9144" t="str">
        <f>HYPERLINK("https://lindat.mff.cuni.cz/services/teitok/pdtc10/index.php?action=vallex&amp;frame=v-w12007_ZUf1_ZU", "hauzírovat (v-w12007_ZUf1_ZU)")</f>
        <v>hauzírovat (v-w12007_ZUf1_ZU)</v>
      </c>
    </row>
    <row r="9145" spans="1:3" x14ac:dyDescent="0.2">
      <c r="B9145" t="s">
        <v>1</v>
      </c>
    </row>
    <row r="9146" spans="1:3" x14ac:dyDescent="0.2">
      <c r="B9146" t="s">
        <v>411</v>
      </c>
    </row>
    <row r="9148" spans="1:3" x14ac:dyDescent="0.2">
      <c r="A9148" t="s">
        <v>3213</v>
      </c>
      <c r="B9148" t="str">
        <f>HYPERLINK("https://lindat.mff.cuni.cz/services/teitok/pdtc10/index.php?action=vallex&amp;frame=v-w1032f1", "havarovat (v-w1032f1)")</f>
        <v>havarovat (v-w1032f1)</v>
      </c>
    </row>
    <row r="9149" spans="1:3" x14ac:dyDescent="0.2">
      <c r="B9149" t="s">
        <v>1</v>
      </c>
    </row>
    <row r="9151" spans="1:3" x14ac:dyDescent="0.2">
      <c r="A9151" t="s">
        <v>3214</v>
      </c>
      <c r="B9151" t="str">
        <f>HYPERLINK("https://lindat.mff.cuni.cz/services/teitok/pdtc10/index.php?action=vallex&amp;frame=v-w1034f1", "hazardovat (v-w1034f1)")</f>
        <v>hazardovat (v-w1034f1)</v>
      </c>
    </row>
    <row r="9152" spans="1:3" x14ac:dyDescent="0.2">
      <c r="B9152" t="s">
        <v>1</v>
      </c>
      <c r="C9152" t="s">
        <v>715</v>
      </c>
    </row>
    <row r="9153" spans="1:2" x14ac:dyDescent="0.2">
      <c r="B9153" t="s">
        <v>3215</v>
      </c>
    </row>
    <row r="9155" spans="1:2" x14ac:dyDescent="0.2">
      <c r="A9155" t="s">
        <v>3216</v>
      </c>
      <c r="B9155" t="str">
        <f>HYPERLINK("https://lindat.mff.cuni.cz/services/teitok/pdtc10/index.php?action=vallex&amp;frame=v-w11380f1", "hašteřit se (v-w11380f1)")</f>
        <v>hašteřit se (v-w11380f1)</v>
      </c>
    </row>
    <row r="9156" spans="1:2" x14ac:dyDescent="0.2">
      <c r="B9156" t="s">
        <v>1</v>
      </c>
    </row>
    <row r="9157" spans="1:2" x14ac:dyDescent="0.2">
      <c r="B9157" t="s">
        <v>153</v>
      </c>
    </row>
    <row r="9158" spans="1:2" x14ac:dyDescent="0.2">
      <c r="B9158" t="s">
        <v>3205</v>
      </c>
    </row>
    <row r="9160" spans="1:2" x14ac:dyDescent="0.2">
      <c r="A9160" t="s">
        <v>3217</v>
      </c>
      <c r="B9160" t="str">
        <f>HYPERLINK("https://lindat.mff.cuni.cz/services/teitok/pdtc10/index.php?action=vallex&amp;frame=v-w1037f1", "hecovat (v-w1037f1)")</f>
        <v>hecovat (v-w1037f1)</v>
      </c>
    </row>
    <row r="9161" spans="1:2" x14ac:dyDescent="0.2">
      <c r="B9161" t="s">
        <v>1</v>
      </c>
    </row>
    <row r="9162" spans="1:2" x14ac:dyDescent="0.2">
      <c r="B9162" t="s">
        <v>8</v>
      </c>
    </row>
    <row r="9164" spans="1:2" x14ac:dyDescent="0.2">
      <c r="A9164" t="s">
        <v>3218</v>
      </c>
      <c r="B9164" t="str">
        <f>HYPERLINK("https://lindat.mff.cuni.cz/services/teitok/pdtc10/index.php?action=vallex&amp;frame=v-w1037f2_ZU", "hecovat (v-w1037f2_ZU)")</f>
        <v>hecovat (v-w1037f2_ZU)</v>
      </c>
    </row>
    <row r="9165" spans="1:2" x14ac:dyDescent="0.2">
      <c r="B9165" t="s">
        <v>1</v>
      </c>
    </row>
    <row r="9166" spans="1:2" x14ac:dyDescent="0.2">
      <c r="B9166" t="s">
        <v>58</v>
      </c>
    </row>
    <row r="9167" spans="1:2" x14ac:dyDescent="0.2">
      <c r="B9167" t="s">
        <v>3219</v>
      </c>
    </row>
    <row r="9169" spans="1:3" x14ac:dyDescent="0.2">
      <c r="A9169" t="s">
        <v>3220</v>
      </c>
      <c r="B9169" t="str">
        <f>HYPERLINK("https://lindat.mff.cuni.cz/services/teitok/pdtc10/index.php?action=vallex&amp;frame=v-w11512_ZUf1_ZU", "hejbat se (v-w11512_ZUf1_ZU)")</f>
        <v>hejbat se (v-w11512_ZUf1_ZU)</v>
      </c>
    </row>
    <row r="9170" spans="1:3" x14ac:dyDescent="0.2">
      <c r="B9170" t="s">
        <v>1</v>
      </c>
    </row>
    <row r="9172" spans="1:3" x14ac:dyDescent="0.2">
      <c r="A9172" t="s">
        <v>3221</v>
      </c>
      <c r="B9172" t="str">
        <f>HYPERLINK("https://lindat.mff.cuni.cz/services/teitok/pdtc10/index.php?action=vallex&amp;frame=v-w1040f1", "hemžit se (v-w1040f1)")</f>
        <v>hemžit se (v-w1040f1)</v>
      </c>
    </row>
    <row r="9173" spans="1:3" x14ac:dyDescent="0.2">
      <c r="B9173" t="s">
        <v>1</v>
      </c>
    </row>
    <row r="9174" spans="1:3" x14ac:dyDescent="0.2">
      <c r="B9174" t="s">
        <v>158</v>
      </c>
    </row>
    <row r="9176" spans="1:3" x14ac:dyDescent="0.2">
      <c r="A9176" t="s">
        <v>3222</v>
      </c>
      <c r="B9176" t="str">
        <f>HYPERLINK("https://lindat.mff.cuni.cz/services/teitok/pdtc10/index.php?action=vallex&amp;frame=v-w1040f2", "hemžit se (v-w1040f2)")</f>
        <v>hemžit se (v-w1040f2)</v>
      </c>
    </row>
    <row r="9177" spans="1:3" x14ac:dyDescent="0.2">
      <c r="B9177" t="s">
        <v>1</v>
      </c>
    </row>
    <row r="9179" spans="1:3" x14ac:dyDescent="0.2">
      <c r="A9179" t="s">
        <v>3223</v>
      </c>
      <c r="B9179" t="str">
        <f>HYPERLINK("https://lindat.mff.cuni.cz/services/teitok/pdtc10/index.php?action=vallex&amp;frame=v-w1040f3_ZU", "hemžit se (v-w1040f3_ZU)")</f>
        <v>hemžit se (v-w1040f3_ZU)</v>
      </c>
    </row>
    <row r="9180" spans="1:3" x14ac:dyDescent="0.2">
      <c r="B9180" t="s">
        <v>3224</v>
      </c>
    </row>
    <row r="9181" spans="1:3" x14ac:dyDescent="0.2">
      <c r="B9181" t="s">
        <v>3225</v>
      </c>
      <c r="C9181" t="s">
        <v>1343</v>
      </c>
    </row>
    <row r="9183" spans="1:3" x14ac:dyDescent="0.2">
      <c r="A9183" t="s">
        <v>3223</v>
      </c>
      <c r="B9183" t="str">
        <f>HYPERLINK("https://lindat.mff.cuni.cz/services/teitok/pdtc10/index.php?action=vallex&amp;frame=v-w1040hsa_522", "hemžit se (v-w1040hsa_522) - substituted with v-w1040f3_ZU")</f>
        <v>hemžit se (v-w1040hsa_522) - substituted with v-w1040f3_ZU</v>
      </c>
    </row>
    <row r="9184" spans="1:3" x14ac:dyDescent="0.2">
      <c r="B9184" t="s">
        <v>3224</v>
      </c>
    </row>
    <row r="9185" spans="1:2" x14ac:dyDescent="0.2">
      <c r="B9185" t="s">
        <v>3225</v>
      </c>
    </row>
    <row r="9187" spans="1:2" x14ac:dyDescent="0.2">
      <c r="A9187" t="s">
        <v>3226</v>
      </c>
      <c r="B9187" t="str">
        <f>HYPERLINK("https://lindat.mff.cuni.cz/services/teitok/pdtc10/index.php?action=vallex&amp;frame=v-w10949f2", "hladit (v-w10949f2)")</f>
        <v>hladit (v-w10949f2)</v>
      </c>
    </row>
    <row r="9188" spans="1:2" x14ac:dyDescent="0.2">
      <c r="B9188" t="s">
        <v>1</v>
      </c>
    </row>
    <row r="9189" spans="1:2" x14ac:dyDescent="0.2">
      <c r="B9189" t="s">
        <v>8</v>
      </c>
    </row>
    <row r="9191" spans="1:2" x14ac:dyDescent="0.2">
      <c r="A9191" t="s">
        <v>3227</v>
      </c>
      <c r="B9191" t="str">
        <f>HYPERLINK("https://lindat.mff.cuni.cz/services/teitok/pdtc10/index.php?action=vallex&amp;frame=v-w1045f2", "hladovět (v-w1045f2)")</f>
        <v>hladovět (v-w1045f2)</v>
      </c>
    </row>
    <row r="9192" spans="1:2" x14ac:dyDescent="0.2">
      <c r="B9192" t="s">
        <v>1</v>
      </c>
    </row>
    <row r="9193" spans="1:2" x14ac:dyDescent="0.2">
      <c r="B9193" t="s">
        <v>1165</v>
      </c>
    </row>
    <row r="9195" spans="1:2" x14ac:dyDescent="0.2">
      <c r="A9195" t="s">
        <v>3228</v>
      </c>
      <c r="B9195" t="str">
        <f>HYPERLINK("https://lindat.mff.cuni.cz/services/teitok/pdtc10/index.php?action=vallex&amp;frame=v-w1045f1", "hladovět (v-w1045f1)")</f>
        <v>hladovět (v-w1045f1)</v>
      </c>
    </row>
    <row r="9196" spans="1:2" x14ac:dyDescent="0.2">
      <c r="B9196" t="s">
        <v>1</v>
      </c>
    </row>
    <row r="9198" spans="1:2" x14ac:dyDescent="0.2">
      <c r="A9198" t="s">
        <v>3229</v>
      </c>
      <c r="B9198" t="str">
        <f>HYPERLINK("https://lindat.mff.cuni.cz/services/teitok/pdtc10/index.php?action=vallex&amp;frame=v-w1053f3", "hlasovat (v-w1053f3)")</f>
        <v>hlasovat (v-w1053f3)</v>
      </c>
    </row>
    <row r="9199" spans="1:2" x14ac:dyDescent="0.2">
      <c r="B9199" t="s">
        <v>1</v>
      </c>
    </row>
    <row r="9200" spans="1:2" x14ac:dyDescent="0.2">
      <c r="B9200" t="s">
        <v>8</v>
      </c>
    </row>
    <row r="9202" spans="1:4" x14ac:dyDescent="0.2">
      <c r="A9202" t="s">
        <v>3230</v>
      </c>
      <c r="B9202" t="str">
        <f>HYPERLINK("https://lindat.mff.cuni.cz/services/teitok/pdtc10/index.php?action=vallex&amp;frame=v-w1053f4_ZU", "hlasovat (v-w1053f4_ZU)")</f>
        <v>hlasovat (v-w1053f4_ZU)</v>
      </c>
    </row>
    <row r="9203" spans="1:4" x14ac:dyDescent="0.2">
      <c r="B9203" t="s">
        <v>1</v>
      </c>
      <c r="C9203" t="s">
        <v>3231</v>
      </c>
      <c r="D9203" t="s">
        <v>7168</v>
      </c>
    </row>
    <row r="9204" spans="1:4" x14ac:dyDescent="0.2">
      <c r="B9204" t="s">
        <v>3232</v>
      </c>
      <c r="C9204" t="s">
        <v>3233</v>
      </c>
      <c r="D9204" t="s">
        <v>2747</v>
      </c>
    </row>
    <row r="9206" spans="1:4" x14ac:dyDescent="0.2">
      <c r="A9206" t="s">
        <v>3230</v>
      </c>
      <c r="B9206" t="str">
        <f>HYPERLINK("https://lindat.mff.cuni.cz/services/teitok/pdtc10/index.php?action=vallex&amp;frame=v-w1053f2", "hlasovat (v-w1053f2) - substituted with v-w1053f4_ZU")</f>
        <v>hlasovat (v-w1053f2) - substituted with v-w1053f4_ZU</v>
      </c>
    </row>
    <row r="9207" spans="1:4" x14ac:dyDescent="0.2">
      <c r="B9207" t="s">
        <v>1</v>
      </c>
      <c r="C9207" t="s">
        <v>3234</v>
      </c>
    </row>
    <row r="9208" spans="1:4" x14ac:dyDescent="0.2">
      <c r="B9208" t="s">
        <v>3232</v>
      </c>
      <c r="C9208" t="s">
        <v>3235</v>
      </c>
    </row>
    <row r="9210" spans="1:4" x14ac:dyDescent="0.2">
      <c r="A9210" t="s">
        <v>3236</v>
      </c>
      <c r="B9210" t="str">
        <f>HYPERLINK("https://lindat.mff.cuni.cz/services/teitok/pdtc10/index.php?action=vallex&amp;frame=v-w1053f5_ZU", "hlasovat (v-w1053f5_ZU)")</f>
        <v>hlasovat (v-w1053f5_ZU)</v>
      </c>
    </row>
    <row r="9211" spans="1:4" x14ac:dyDescent="0.2">
      <c r="B9211" t="s">
        <v>1</v>
      </c>
      <c r="C9211" t="s">
        <v>3237</v>
      </c>
      <c r="D9211" t="s">
        <v>23331</v>
      </c>
    </row>
    <row r="9212" spans="1:4" x14ac:dyDescent="0.2">
      <c r="B9212" t="s">
        <v>3238</v>
      </c>
      <c r="C9212" t="s">
        <v>3239</v>
      </c>
      <c r="D9212" t="s">
        <v>23332</v>
      </c>
    </row>
    <row r="9214" spans="1:4" x14ac:dyDescent="0.2">
      <c r="A9214" t="s">
        <v>3236</v>
      </c>
      <c r="B9214" t="str">
        <f>HYPERLINK("https://lindat.mff.cuni.cz/services/teitok/pdtc10/index.php?action=vallex&amp;frame=v-w1053f1", "hlasovat (v-w1053f1) - substituted with v-w1053f5_ZU")</f>
        <v>hlasovat (v-w1053f1) - substituted with v-w1053f5_ZU</v>
      </c>
    </row>
    <row r="9215" spans="1:4" x14ac:dyDescent="0.2">
      <c r="B9215" t="s">
        <v>1</v>
      </c>
      <c r="C9215" t="s">
        <v>3240</v>
      </c>
    </row>
    <row r="9216" spans="1:4" x14ac:dyDescent="0.2">
      <c r="B9216" t="s">
        <v>3238</v>
      </c>
      <c r="C9216" t="s">
        <v>986</v>
      </c>
    </row>
    <row r="9218" spans="1:4" x14ac:dyDescent="0.2">
      <c r="A9218" t="s">
        <v>3241</v>
      </c>
      <c r="B9218" t="str">
        <f>HYPERLINK("https://lindat.mff.cuni.cz/services/teitok/pdtc10/index.php?action=vallex&amp;frame=v-w1055f1", "hlavičkovat (v-w1055f1)")</f>
        <v>hlavičkovat (v-w1055f1)</v>
      </c>
    </row>
    <row r="9219" spans="1:4" x14ac:dyDescent="0.2">
      <c r="B9219" t="s">
        <v>1</v>
      </c>
    </row>
    <row r="9221" spans="1:4" x14ac:dyDescent="0.2">
      <c r="A9221" t="s">
        <v>3242</v>
      </c>
      <c r="B9221" t="str">
        <f>HYPERLINK("https://lindat.mff.cuni.cz/services/teitok/pdtc10/index.php?action=vallex&amp;frame=v-w1058f3", "hledat (v-w1058f3)")</f>
        <v>hledat (v-w1058f3)</v>
      </c>
    </row>
    <row r="9222" spans="1:4" x14ac:dyDescent="0.2">
      <c r="B9222" t="s">
        <v>1</v>
      </c>
      <c r="C9222" t="s">
        <v>3243</v>
      </c>
    </row>
    <row r="9223" spans="1:4" x14ac:dyDescent="0.2">
      <c r="B9223" t="s">
        <v>8</v>
      </c>
      <c r="C9223" t="s">
        <v>3244</v>
      </c>
    </row>
    <row r="9224" spans="1:4" x14ac:dyDescent="0.2">
      <c r="B9224" t="s">
        <v>5</v>
      </c>
      <c r="C9224" t="s">
        <v>3245</v>
      </c>
    </row>
    <row r="9226" spans="1:4" x14ac:dyDescent="0.2">
      <c r="A9226" t="s">
        <v>3246</v>
      </c>
      <c r="B9226" t="str">
        <f>HYPERLINK("https://lindat.mff.cuni.cz/services/teitok/pdtc10/index.php?action=vallex&amp;frame=v-w1058f2", "hledat (v-w1058f2)")</f>
        <v>hledat (v-w1058f2)</v>
      </c>
    </row>
    <row r="9227" spans="1:4" x14ac:dyDescent="0.2">
      <c r="B9227" t="s">
        <v>1</v>
      </c>
      <c r="C9227" t="s">
        <v>3247</v>
      </c>
      <c r="D9227" t="s">
        <v>23125</v>
      </c>
    </row>
    <row r="9228" spans="1:4" x14ac:dyDescent="0.2">
      <c r="B9228" t="s">
        <v>3248</v>
      </c>
      <c r="C9228" t="s">
        <v>3249</v>
      </c>
      <c r="D9228" t="s">
        <v>23126</v>
      </c>
    </row>
    <row r="9230" spans="1:4" x14ac:dyDescent="0.2">
      <c r="A9230" t="s">
        <v>3250</v>
      </c>
      <c r="B9230" t="str">
        <f>HYPERLINK("https://lindat.mff.cuni.cz/services/teitok/pdtc10/index.php?action=vallex&amp;frame=v-w1058f4_ZU", "hledat (v-w1058f4_ZU)")</f>
        <v>hledat (v-w1058f4_ZU)</v>
      </c>
    </row>
    <row r="9231" spans="1:4" x14ac:dyDescent="0.2">
      <c r="B9231" t="s">
        <v>1</v>
      </c>
    </row>
    <row r="9232" spans="1:4" x14ac:dyDescent="0.2">
      <c r="B9232" t="s">
        <v>172</v>
      </c>
    </row>
    <row r="9234" spans="1:4" x14ac:dyDescent="0.2">
      <c r="A9234" t="s">
        <v>3250</v>
      </c>
      <c r="B9234" t="str">
        <f>HYPERLINK("https://lindat.mff.cuni.cz/services/teitok/pdtc10/index.php?action=vallex&amp;frame=v-w1058f1", "hledat (v-w1058f1) - substituted with v-w1058f4_ZU")</f>
        <v>hledat (v-w1058f1) - substituted with v-w1058f4_ZU</v>
      </c>
    </row>
    <row r="9235" spans="1:4" x14ac:dyDescent="0.2">
      <c r="B9235" t="s">
        <v>1</v>
      </c>
      <c r="C9235" t="s">
        <v>3251</v>
      </c>
      <c r="D9235" t="s">
        <v>23125</v>
      </c>
    </row>
    <row r="9236" spans="1:4" x14ac:dyDescent="0.2">
      <c r="B9236" t="s">
        <v>172</v>
      </c>
      <c r="C9236" t="s">
        <v>3252</v>
      </c>
      <c r="D9236" t="s">
        <v>23126</v>
      </c>
    </row>
    <row r="9238" spans="1:4" x14ac:dyDescent="0.2">
      <c r="A9238" t="s">
        <v>3253</v>
      </c>
      <c r="B9238" t="str">
        <f>HYPERLINK("https://lindat.mff.cuni.cz/services/teitok/pdtc10/index.php?action=vallex&amp;frame=v-w1059f3", "hledět (v-w1059f3)")</f>
        <v>hledět (v-w1059f3)</v>
      </c>
    </row>
    <row r="9239" spans="1:4" x14ac:dyDescent="0.2">
      <c r="B9239" t="s">
        <v>1</v>
      </c>
      <c r="D9239" t="s">
        <v>8689</v>
      </c>
    </row>
    <row r="9240" spans="1:4" x14ac:dyDescent="0.2">
      <c r="B9240" t="s">
        <v>1178</v>
      </c>
      <c r="D9240" t="s">
        <v>3233</v>
      </c>
    </row>
    <row r="9242" spans="1:4" x14ac:dyDescent="0.2">
      <c r="A9242" t="s">
        <v>3254</v>
      </c>
      <c r="B9242" t="str">
        <f>HYPERLINK("https://lindat.mff.cuni.cz/services/teitok/pdtc10/index.php?action=vallex&amp;frame=v-w1059f2", "hledět (v-w1059f2)")</f>
        <v>hledět (v-w1059f2)</v>
      </c>
    </row>
    <row r="9243" spans="1:4" x14ac:dyDescent="0.2">
      <c r="B9243" t="s">
        <v>1</v>
      </c>
      <c r="C9243" t="s">
        <v>3255</v>
      </c>
    </row>
    <row r="9244" spans="1:4" x14ac:dyDescent="0.2">
      <c r="B9244" t="s">
        <v>28</v>
      </c>
      <c r="C9244" t="s">
        <v>3256</v>
      </c>
    </row>
    <row r="9246" spans="1:4" x14ac:dyDescent="0.2">
      <c r="A9246" t="s">
        <v>3257</v>
      </c>
      <c r="B9246" t="str">
        <f>HYPERLINK("https://lindat.mff.cuni.cz/services/teitok/pdtc10/index.php?action=vallex&amp;frame=v-w1059f4", "hledět (v-w1059f4)")</f>
        <v>hledět (v-w1059f4)</v>
      </c>
    </row>
    <row r="9247" spans="1:4" x14ac:dyDescent="0.2">
      <c r="B9247" t="s">
        <v>1</v>
      </c>
      <c r="D9247" t="s">
        <v>23008</v>
      </c>
    </row>
    <row r="9248" spans="1:4" x14ac:dyDescent="0.2">
      <c r="B9248" t="s">
        <v>28</v>
      </c>
      <c r="C9248" t="s">
        <v>3258</v>
      </c>
      <c r="D9248" t="s">
        <v>17729</v>
      </c>
    </row>
    <row r="9249" spans="1:4" x14ac:dyDescent="0.2">
      <c r="B9249" t="s">
        <v>346</v>
      </c>
      <c r="D9249" t="s">
        <v>23309</v>
      </c>
    </row>
    <row r="9250" spans="1:4" x14ac:dyDescent="0.2">
      <c r="B9250" t="s">
        <v>349</v>
      </c>
      <c r="D9250" t="s">
        <v>23310</v>
      </c>
    </row>
    <row r="9251" spans="1:4" x14ac:dyDescent="0.2">
      <c r="B9251" t="s">
        <v>350</v>
      </c>
      <c r="D9251" t="s">
        <v>23311</v>
      </c>
    </row>
    <row r="9252" spans="1:4" x14ac:dyDescent="0.2">
      <c r="B9252" t="s">
        <v>351</v>
      </c>
      <c r="D9252" t="s">
        <v>23312</v>
      </c>
    </row>
    <row r="9254" spans="1:4" x14ac:dyDescent="0.2">
      <c r="A9254" t="s">
        <v>3259</v>
      </c>
      <c r="B9254" t="str">
        <f>HYPERLINK("https://lindat.mff.cuni.cz/services/teitok/pdtc10/index.php?action=vallex&amp;frame=v-w1059f1", "hledět (v-w1059f1)")</f>
        <v>hledět (v-w1059f1)</v>
      </c>
    </row>
    <row r="9255" spans="1:4" x14ac:dyDescent="0.2">
      <c r="B9255" t="s">
        <v>1</v>
      </c>
      <c r="D9255" t="s">
        <v>317</v>
      </c>
    </row>
    <row r="9256" spans="1:4" x14ac:dyDescent="0.2">
      <c r="B9256" t="s">
        <v>90</v>
      </c>
      <c r="D9256" t="s">
        <v>23313</v>
      </c>
    </row>
    <row r="9258" spans="1:4" x14ac:dyDescent="0.2">
      <c r="A9258" t="s">
        <v>3260</v>
      </c>
      <c r="B9258" t="str">
        <f>HYPERLINK("https://lindat.mff.cuni.cz/services/teitok/pdtc10/index.php?action=vallex&amp;frame=v-w1059hsa_593", "hledět (v-w1059hsa_593)")</f>
        <v>hledět (v-w1059hsa_593)</v>
      </c>
    </row>
    <row r="9259" spans="1:4" x14ac:dyDescent="0.2">
      <c r="B9259" t="s">
        <v>1</v>
      </c>
    </row>
    <row r="9260" spans="1:4" x14ac:dyDescent="0.2">
      <c r="B9260" t="s">
        <v>3261</v>
      </c>
    </row>
    <row r="9262" spans="1:4" x14ac:dyDescent="0.2">
      <c r="A9262" t="s">
        <v>3262</v>
      </c>
      <c r="B9262" t="str">
        <f>HYPERLINK("https://lindat.mff.cuni.cz/services/teitok/pdtc10/index.php?action=vallex&amp;frame=v-w1060f1", "hledět si (v-w1060f1)")</f>
        <v>hledět si (v-w1060f1)</v>
      </c>
    </row>
    <row r="9263" spans="1:4" x14ac:dyDescent="0.2">
      <c r="B9263" t="s">
        <v>1</v>
      </c>
    </row>
    <row r="9264" spans="1:4" x14ac:dyDescent="0.2">
      <c r="B9264" t="s">
        <v>917</v>
      </c>
    </row>
    <row r="9266" spans="1:4" x14ac:dyDescent="0.2">
      <c r="A9266" t="s">
        <v>3263</v>
      </c>
      <c r="B9266" t="str">
        <f>HYPERLINK("https://lindat.mff.cuni.cz/services/teitok/pdtc10/index.php?action=vallex&amp;frame=v-w10577f2", "hloubat (v-w10577f2)")</f>
        <v>hloubat (v-w10577f2)</v>
      </c>
    </row>
    <row r="9267" spans="1:4" x14ac:dyDescent="0.2">
      <c r="B9267" t="s">
        <v>1</v>
      </c>
      <c r="C9267" t="s">
        <v>133</v>
      </c>
    </row>
    <row r="9268" spans="1:4" x14ac:dyDescent="0.2">
      <c r="B9268" t="s">
        <v>2469</v>
      </c>
      <c r="C9268" t="s">
        <v>34</v>
      </c>
    </row>
    <row r="9270" spans="1:4" x14ac:dyDescent="0.2">
      <c r="A9270" t="s">
        <v>3264</v>
      </c>
      <c r="B9270" t="str">
        <f>HYPERLINK("https://lindat.mff.cuni.cz/services/teitok/pdtc10/index.php?action=vallex&amp;frame=v-w12340_MMf1_MM", "hloubit (v-w12340_MMf1_MM)")</f>
        <v>hloubit (v-w12340_MMf1_MM)</v>
      </c>
    </row>
    <row r="9271" spans="1:4" x14ac:dyDescent="0.2">
      <c r="B9271" t="s">
        <v>1</v>
      </c>
    </row>
    <row r="9272" spans="1:4" x14ac:dyDescent="0.2">
      <c r="B9272" t="s">
        <v>8</v>
      </c>
    </row>
    <row r="9274" spans="1:4" x14ac:dyDescent="0.2">
      <c r="A9274" t="s">
        <v>3265</v>
      </c>
      <c r="B9274" t="str">
        <f>HYPERLINK("https://lindat.mff.cuni.cz/services/teitok/pdtc10/index.php?action=vallex&amp;frame=v-w1064f1", "hltat (v-w1064f1)")</f>
        <v>hltat (v-w1064f1)</v>
      </c>
    </row>
    <row r="9275" spans="1:4" x14ac:dyDescent="0.2">
      <c r="B9275" t="s">
        <v>1</v>
      </c>
    </row>
    <row r="9276" spans="1:4" x14ac:dyDescent="0.2">
      <c r="B9276" t="s">
        <v>8</v>
      </c>
    </row>
    <row r="9278" spans="1:4" x14ac:dyDescent="0.2">
      <c r="A9278" t="s">
        <v>3266</v>
      </c>
      <c r="B9278" t="str">
        <f>HYPERLINK("https://lindat.mff.cuni.cz/services/teitok/pdtc10/index.php?action=vallex&amp;frame=v-w1064f2", "hltat (v-w1064f2)")</f>
        <v>hltat (v-w1064f2)</v>
      </c>
    </row>
    <row r="9279" spans="1:4" x14ac:dyDescent="0.2">
      <c r="B9279" t="s">
        <v>1</v>
      </c>
      <c r="D9279" t="s">
        <v>23333</v>
      </c>
    </row>
    <row r="9280" spans="1:4" x14ac:dyDescent="0.2">
      <c r="B9280" t="s">
        <v>8</v>
      </c>
      <c r="D9280" t="s">
        <v>4575</v>
      </c>
    </row>
    <row r="9282" spans="1:4" x14ac:dyDescent="0.2">
      <c r="A9282" t="s">
        <v>3267</v>
      </c>
      <c r="B9282" t="str">
        <f>HYPERLINK("https://lindat.mff.cuni.cz/services/teitok/pdtc10/index.php?action=vallex&amp;frame=v-w1047f3", "hlásat (v-w1047f3)")</f>
        <v>hlásat (v-w1047f3)</v>
      </c>
    </row>
    <row r="9283" spans="1:4" x14ac:dyDescent="0.2">
      <c r="B9283" t="s">
        <v>1</v>
      </c>
      <c r="D9283" t="s">
        <v>22967</v>
      </c>
    </row>
    <row r="9284" spans="1:4" x14ac:dyDescent="0.2">
      <c r="B9284" t="s">
        <v>3268</v>
      </c>
      <c r="D9284" t="s">
        <v>22968</v>
      </c>
    </row>
    <row r="9285" spans="1:4" x14ac:dyDescent="0.2">
      <c r="B9285" t="s">
        <v>78</v>
      </c>
      <c r="D9285" t="s">
        <v>22969</v>
      </c>
    </row>
    <row r="9287" spans="1:4" x14ac:dyDescent="0.2">
      <c r="A9287" t="s">
        <v>3269</v>
      </c>
      <c r="B9287" t="str">
        <f>HYPERLINK("https://lindat.mff.cuni.cz/services/teitok/pdtc10/index.php?action=vallex&amp;frame=v-w1047f1", "hlásat (v-w1047f1)")</f>
        <v>hlásat (v-w1047f1)</v>
      </c>
    </row>
    <row r="9288" spans="1:4" x14ac:dyDescent="0.2">
      <c r="B9288" t="s">
        <v>1</v>
      </c>
      <c r="C9288" t="s">
        <v>2031</v>
      </c>
      <c r="D9288" t="s">
        <v>22967</v>
      </c>
    </row>
    <row r="9289" spans="1:4" x14ac:dyDescent="0.2">
      <c r="B9289" t="s">
        <v>124</v>
      </c>
      <c r="C9289" t="s">
        <v>3270</v>
      </c>
      <c r="D9289" t="s">
        <v>22968</v>
      </c>
    </row>
    <row r="9290" spans="1:4" x14ac:dyDescent="0.2">
      <c r="B9290" t="s">
        <v>78</v>
      </c>
      <c r="C9290" t="s">
        <v>156</v>
      </c>
      <c r="D9290" t="s">
        <v>22969</v>
      </c>
    </row>
    <row r="9292" spans="1:4" x14ac:dyDescent="0.2">
      <c r="A9292" t="s">
        <v>3271</v>
      </c>
      <c r="B9292" t="str">
        <f>HYPERLINK("https://lindat.mff.cuni.cz/services/teitok/pdtc10/index.php?action=vallex&amp;frame=v-w1047f2", "hlásat (v-w1047f2)")</f>
        <v>hlásat (v-w1047f2)</v>
      </c>
    </row>
    <row r="9293" spans="1:4" x14ac:dyDescent="0.2">
      <c r="B9293" t="s">
        <v>1</v>
      </c>
      <c r="D9293" t="s">
        <v>22967</v>
      </c>
    </row>
    <row r="9294" spans="1:4" x14ac:dyDescent="0.2">
      <c r="B9294" t="s">
        <v>267</v>
      </c>
      <c r="D9294" t="s">
        <v>23120</v>
      </c>
    </row>
    <row r="9295" spans="1:4" x14ac:dyDescent="0.2">
      <c r="B9295" t="s">
        <v>269</v>
      </c>
      <c r="D9295" t="s">
        <v>22968</v>
      </c>
    </row>
    <row r="9296" spans="1:4" x14ac:dyDescent="0.2">
      <c r="B9296" t="s">
        <v>78</v>
      </c>
      <c r="D9296" t="s">
        <v>22969</v>
      </c>
    </row>
    <row r="9298" spans="1:4" x14ac:dyDescent="0.2">
      <c r="A9298" t="s">
        <v>3272</v>
      </c>
      <c r="B9298" t="str">
        <f>HYPERLINK("https://lindat.mff.cuni.cz/services/teitok/pdtc10/index.php?action=vallex&amp;frame=v-w1050f1", "hlásit (v-w1050f1)")</f>
        <v>hlásit (v-w1050f1)</v>
      </c>
    </row>
    <row r="9299" spans="1:4" x14ac:dyDescent="0.2">
      <c r="B9299" t="s">
        <v>1</v>
      </c>
      <c r="C9299" t="s">
        <v>3273</v>
      </c>
      <c r="D9299" t="s">
        <v>22967</v>
      </c>
    </row>
    <row r="9300" spans="1:4" x14ac:dyDescent="0.2">
      <c r="B9300" t="s">
        <v>124</v>
      </c>
      <c r="C9300" t="s">
        <v>3274</v>
      </c>
      <c r="D9300" t="s">
        <v>22968</v>
      </c>
    </row>
    <row r="9301" spans="1:4" x14ac:dyDescent="0.2">
      <c r="B9301" t="s">
        <v>78</v>
      </c>
      <c r="C9301" t="s">
        <v>3275</v>
      </c>
      <c r="D9301" t="s">
        <v>22969</v>
      </c>
    </row>
    <row r="9303" spans="1:4" x14ac:dyDescent="0.2">
      <c r="A9303" t="s">
        <v>3276</v>
      </c>
      <c r="B9303" t="str">
        <f>HYPERLINK("https://lindat.mff.cuni.cz/services/teitok/pdtc10/index.php?action=vallex&amp;frame=v-w1050f2", "hlásit (v-w1050f2)")</f>
        <v>hlásit (v-w1050f2)</v>
      </c>
    </row>
    <row r="9304" spans="1:4" x14ac:dyDescent="0.2">
      <c r="B9304" t="s">
        <v>1</v>
      </c>
      <c r="C9304" t="s">
        <v>3277</v>
      </c>
      <c r="D9304" t="s">
        <v>22967</v>
      </c>
    </row>
    <row r="9305" spans="1:4" x14ac:dyDescent="0.2">
      <c r="B9305" t="s">
        <v>3278</v>
      </c>
      <c r="C9305" t="s">
        <v>3279</v>
      </c>
      <c r="D9305" t="s">
        <v>23120</v>
      </c>
    </row>
    <row r="9306" spans="1:4" x14ac:dyDescent="0.2">
      <c r="B9306" t="s">
        <v>46</v>
      </c>
      <c r="D9306" t="s">
        <v>22968</v>
      </c>
    </row>
    <row r="9307" spans="1:4" x14ac:dyDescent="0.2">
      <c r="B9307" t="s">
        <v>78</v>
      </c>
      <c r="C9307" t="s">
        <v>3280</v>
      </c>
      <c r="D9307" t="s">
        <v>22969</v>
      </c>
    </row>
    <row r="9309" spans="1:4" x14ac:dyDescent="0.2">
      <c r="A9309" t="s">
        <v>3281</v>
      </c>
      <c r="B9309" t="str">
        <f>HYPERLINK("https://lindat.mff.cuni.cz/services/teitok/pdtc10/index.php?action=vallex&amp;frame=v-w1050f3", "hlásit (v-w1050f3)")</f>
        <v>hlásit (v-w1050f3)</v>
      </c>
    </row>
    <row r="9310" spans="1:4" x14ac:dyDescent="0.2">
      <c r="B9310" t="s">
        <v>1</v>
      </c>
      <c r="C9310" t="s">
        <v>3277</v>
      </c>
      <c r="D9310" t="s">
        <v>22967</v>
      </c>
    </row>
    <row r="9311" spans="1:4" x14ac:dyDescent="0.2">
      <c r="B9311" t="s">
        <v>267</v>
      </c>
      <c r="C9311" t="s">
        <v>3279</v>
      </c>
      <c r="D9311" t="s">
        <v>23120</v>
      </c>
    </row>
    <row r="9312" spans="1:4" x14ac:dyDescent="0.2">
      <c r="B9312" t="s">
        <v>269</v>
      </c>
      <c r="D9312" t="s">
        <v>22968</v>
      </c>
    </row>
    <row r="9313" spans="1:4" x14ac:dyDescent="0.2">
      <c r="B9313" t="s">
        <v>78</v>
      </c>
      <c r="C9313" t="s">
        <v>3280</v>
      </c>
      <c r="D9313" t="s">
        <v>22969</v>
      </c>
    </row>
    <row r="9315" spans="1:4" x14ac:dyDescent="0.2">
      <c r="A9315" t="s">
        <v>3282</v>
      </c>
      <c r="B9315" t="str">
        <f>HYPERLINK("https://lindat.mff.cuni.cz/services/teitok/pdtc10/index.php?action=vallex&amp;frame=v-w1051f3", "hlásit se (v-w1051f3)")</f>
        <v>hlásit se (v-w1051f3)</v>
      </c>
    </row>
    <row r="9316" spans="1:4" x14ac:dyDescent="0.2">
      <c r="B9316" t="s">
        <v>1</v>
      </c>
      <c r="C9316" t="s">
        <v>133</v>
      </c>
      <c r="D9316" t="s">
        <v>373</v>
      </c>
    </row>
    <row r="9317" spans="1:4" x14ac:dyDescent="0.2">
      <c r="B9317" t="s">
        <v>103</v>
      </c>
      <c r="D9317" t="s">
        <v>6681</v>
      </c>
    </row>
    <row r="9319" spans="1:4" x14ac:dyDescent="0.2">
      <c r="A9319" t="s">
        <v>3283</v>
      </c>
      <c r="B9319" t="str">
        <f>HYPERLINK("https://lindat.mff.cuni.cz/services/teitok/pdtc10/index.php?action=vallex&amp;frame=v-w1051f1", "hlásit se (v-w1051f1)")</f>
        <v>hlásit se (v-w1051f1)</v>
      </c>
    </row>
    <row r="9320" spans="1:4" x14ac:dyDescent="0.2">
      <c r="B9320" t="s">
        <v>1</v>
      </c>
      <c r="C9320" t="s">
        <v>22</v>
      </c>
      <c r="D9320" t="s">
        <v>7821</v>
      </c>
    </row>
    <row r="9321" spans="1:4" x14ac:dyDescent="0.2">
      <c r="B9321" t="s">
        <v>176</v>
      </c>
      <c r="C9321" t="s">
        <v>54</v>
      </c>
      <c r="D9321" t="s">
        <v>23148</v>
      </c>
    </row>
    <row r="9323" spans="1:4" x14ac:dyDescent="0.2">
      <c r="A9323" t="s">
        <v>3284</v>
      </c>
      <c r="B9323" t="str">
        <f>HYPERLINK("https://lindat.mff.cuni.cz/services/teitok/pdtc10/index.php?action=vallex&amp;frame=v-w1051f7_ZU", "hlásit se (v-w1051f7_ZU)")</f>
        <v>hlásit se (v-w1051f7_ZU)</v>
      </c>
    </row>
    <row r="9324" spans="1:4" x14ac:dyDescent="0.2">
      <c r="B9324" t="s">
        <v>1</v>
      </c>
    </row>
    <row r="9325" spans="1:4" x14ac:dyDescent="0.2">
      <c r="B9325" t="s">
        <v>3285</v>
      </c>
    </row>
    <row r="9327" spans="1:4" x14ac:dyDescent="0.2">
      <c r="A9327" t="s">
        <v>3284</v>
      </c>
      <c r="B9327" t="str">
        <f>HYPERLINK("https://lindat.mff.cuni.cz/services/teitok/pdtc10/index.php?action=vallex&amp;frame=v-w1051f5", "hlásit se (v-w1051f5) - substituted with v-w1051f7_ZU")</f>
        <v>hlásit se (v-w1051f5) - substituted with v-w1051f7_ZU</v>
      </c>
    </row>
    <row r="9328" spans="1:4" x14ac:dyDescent="0.2">
      <c r="B9328" t="s">
        <v>1</v>
      </c>
    </row>
    <row r="9329" spans="1:4" x14ac:dyDescent="0.2">
      <c r="B9329" t="s">
        <v>3285</v>
      </c>
    </row>
    <row r="9331" spans="1:4" x14ac:dyDescent="0.2">
      <c r="A9331" t="s">
        <v>3284</v>
      </c>
      <c r="B9331" t="str">
        <f>HYPERLINK("https://lindat.mff.cuni.cz/services/teitok/pdtc10/index.php?action=vallex&amp;frame=v-w1051hsa_927", "hlásit se (v-w1051hsa_927) - substituted with v-w1051f7_ZU")</f>
        <v>hlásit se (v-w1051hsa_927) - substituted with v-w1051f7_ZU</v>
      </c>
    </row>
    <row r="9332" spans="1:4" x14ac:dyDescent="0.2">
      <c r="B9332" t="s">
        <v>1</v>
      </c>
    </row>
    <row r="9333" spans="1:4" x14ac:dyDescent="0.2">
      <c r="B9333" t="s">
        <v>3285</v>
      </c>
    </row>
    <row r="9335" spans="1:4" x14ac:dyDescent="0.2">
      <c r="A9335" t="s">
        <v>3286</v>
      </c>
      <c r="B9335" t="str">
        <f>HYPERLINK("https://lindat.mff.cuni.cz/services/teitok/pdtc10/index.php?action=vallex&amp;frame=v-w1051f8_ZU", "hlásit se (v-w1051f8_ZU)")</f>
        <v>hlásit se (v-w1051f8_ZU)</v>
      </c>
    </row>
    <row r="9336" spans="1:4" x14ac:dyDescent="0.2">
      <c r="B9336" t="s">
        <v>1</v>
      </c>
    </row>
    <row r="9337" spans="1:4" x14ac:dyDescent="0.2">
      <c r="B9337" t="s">
        <v>5</v>
      </c>
    </row>
    <row r="9339" spans="1:4" x14ac:dyDescent="0.2">
      <c r="A9339" t="s">
        <v>3286</v>
      </c>
      <c r="B9339" t="str">
        <f>HYPERLINK("https://lindat.mff.cuni.cz/services/teitok/pdtc10/index.php?action=vallex&amp;frame=v-w1051f4", "hlásit se (v-w1051f4) - substituted with v-w1051f8_ZU")</f>
        <v>hlásit se (v-w1051f4) - substituted with v-w1051f8_ZU</v>
      </c>
    </row>
    <row r="9340" spans="1:4" x14ac:dyDescent="0.2">
      <c r="B9340" t="s">
        <v>1</v>
      </c>
      <c r="C9340" t="s">
        <v>249</v>
      </c>
      <c r="D9340" t="s">
        <v>23334</v>
      </c>
    </row>
    <row r="9341" spans="1:4" x14ac:dyDescent="0.2">
      <c r="B9341" t="s">
        <v>5</v>
      </c>
      <c r="D9341" t="s">
        <v>23335</v>
      </c>
    </row>
    <row r="9343" spans="1:4" x14ac:dyDescent="0.2">
      <c r="A9343" t="s">
        <v>3287</v>
      </c>
      <c r="B9343" t="str">
        <f>HYPERLINK("https://lindat.mff.cuni.cz/services/teitok/pdtc10/index.php?action=vallex&amp;frame=v-w1051f2", "hlásit se (v-w1051f2)")</f>
        <v>hlásit se (v-w1051f2)</v>
      </c>
    </row>
    <row r="9344" spans="1:4" x14ac:dyDescent="0.2">
      <c r="B9344" t="s">
        <v>1</v>
      </c>
    </row>
    <row r="9345" spans="1:2" x14ac:dyDescent="0.2">
      <c r="B9345" t="s">
        <v>90</v>
      </c>
    </row>
    <row r="9347" spans="1:2" x14ac:dyDescent="0.2">
      <c r="A9347" t="s">
        <v>3288</v>
      </c>
      <c r="B9347" t="str">
        <f>HYPERLINK("https://lindat.mff.cuni.cz/services/teitok/pdtc10/index.php?action=vallex&amp;frame=v-w1051f6", "hlásit se (v-w1051f6)")</f>
        <v>hlásit se (v-w1051f6)</v>
      </c>
    </row>
    <row r="9348" spans="1:2" x14ac:dyDescent="0.2">
      <c r="B9348" t="s">
        <v>1</v>
      </c>
    </row>
    <row r="9350" spans="1:2" x14ac:dyDescent="0.2">
      <c r="A9350" t="s">
        <v>3289</v>
      </c>
      <c r="B9350" t="str">
        <f>HYPERLINK("https://lindat.mff.cuni.cz/services/teitok/pdtc10/index.php?action=vallex&amp;frame=v-w12063_ZUf2_MM", "hláskovat (v-w12063_ZUf2_MM)")</f>
        <v>hláskovat (v-w12063_ZUf2_MM)</v>
      </c>
    </row>
    <row r="9351" spans="1:2" x14ac:dyDescent="0.2">
      <c r="B9351" t="s">
        <v>1</v>
      </c>
    </row>
    <row r="9352" spans="1:2" x14ac:dyDescent="0.2">
      <c r="B9352" t="s">
        <v>8</v>
      </c>
    </row>
    <row r="9354" spans="1:2" x14ac:dyDescent="0.2">
      <c r="A9354" t="s">
        <v>3289</v>
      </c>
      <c r="B9354" t="str">
        <f>HYPERLINK("https://lindat.mff.cuni.cz/services/teitok/pdtc10/index.php?action=vallex&amp;frame=v-w12063_ZUf1_ZU", "hláskovat (v-w12063_ZUf1_ZU) - substituted with v-w12063_ZUf2_MM")</f>
        <v>hláskovat (v-w12063_ZUf1_ZU) - substituted with v-w12063_ZUf2_MM</v>
      </c>
    </row>
    <row r="9355" spans="1:2" x14ac:dyDescent="0.2">
      <c r="B9355" t="s">
        <v>1</v>
      </c>
    </row>
    <row r="9356" spans="1:2" x14ac:dyDescent="0.2">
      <c r="B9356" t="s">
        <v>8</v>
      </c>
    </row>
    <row r="9358" spans="1:2" x14ac:dyDescent="0.2">
      <c r="A9358" t="s">
        <v>3290</v>
      </c>
      <c r="B9358" t="str">
        <f>HYPERLINK("https://lindat.mff.cuni.cz/services/teitok/pdtc10/index.php?action=vallex&amp;frame=v-w1062hsa_171", "hlídat (v-w1062hsa_171)")</f>
        <v>hlídat (v-w1062hsa_171)</v>
      </c>
    </row>
    <row r="9359" spans="1:2" x14ac:dyDescent="0.2">
      <c r="B9359" t="s">
        <v>1</v>
      </c>
    </row>
    <row r="9360" spans="1:2" x14ac:dyDescent="0.2">
      <c r="B9360" t="s">
        <v>3291</v>
      </c>
    </row>
    <row r="9362" spans="1:4" x14ac:dyDescent="0.2">
      <c r="A9362" t="s">
        <v>3290</v>
      </c>
      <c r="B9362" t="str">
        <f>HYPERLINK("https://lindat.mff.cuni.cz/services/teitok/pdtc10/index.php?action=vallex&amp;frame=v-w1062f1", "hlídat (v-w1062f1) - substituted with v-w1062hsa_171")</f>
        <v>hlídat (v-w1062f1) - substituted with v-w1062hsa_171</v>
      </c>
    </row>
    <row r="9363" spans="1:4" x14ac:dyDescent="0.2">
      <c r="B9363" t="s">
        <v>1</v>
      </c>
      <c r="C9363" t="s">
        <v>3292</v>
      </c>
      <c r="D9363" t="s">
        <v>430</v>
      </c>
    </row>
    <row r="9364" spans="1:4" x14ac:dyDescent="0.2">
      <c r="B9364" t="s">
        <v>3291</v>
      </c>
      <c r="C9364" t="s">
        <v>3293</v>
      </c>
      <c r="D9364" t="s">
        <v>23</v>
      </c>
    </row>
    <row r="9366" spans="1:4" x14ac:dyDescent="0.2">
      <c r="A9366" t="s">
        <v>3294</v>
      </c>
      <c r="B9366" t="str">
        <f>HYPERLINK("https://lindat.mff.cuni.cz/services/teitok/pdtc10/index.php?action=vallex&amp;frame=v-w1063f1", "hlídkovat (v-w1063f1)")</f>
        <v>hlídkovat (v-w1063f1)</v>
      </c>
    </row>
    <row r="9367" spans="1:4" x14ac:dyDescent="0.2">
      <c r="B9367" t="s">
        <v>1</v>
      </c>
      <c r="D9367" t="s">
        <v>234</v>
      </c>
    </row>
    <row r="9369" spans="1:4" x14ac:dyDescent="0.2">
      <c r="A9369" t="s">
        <v>3295</v>
      </c>
      <c r="B9369" t="str">
        <f>HYPERLINK("https://lindat.mff.cuni.cz/services/teitok/pdtc10/index.php?action=vallex&amp;frame=v-whsa_245hsa_246", "hlídávat (v-whsa_245hsa_246)")</f>
        <v>hlídávat (v-whsa_245hsa_246)</v>
      </c>
    </row>
    <row r="9370" spans="1:4" x14ac:dyDescent="0.2">
      <c r="B9370" t="s">
        <v>1</v>
      </c>
    </row>
    <row r="9371" spans="1:4" x14ac:dyDescent="0.2">
      <c r="B9371" t="s">
        <v>8</v>
      </c>
    </row>
    <row r="9373" spans="1:4" x14ac:dyDescent="0.2">
      <c r="A9373" t="s">
        <v>3296</v>
      </c>
      <c r="B9373" t="str">
        <f>HYPERLINK("https://lindat.mff.cuni.cz/services/teitok/pdtc10/index.php?action=vallex&amp;frame=v-w1071f1", "hnisat (v-w1071f1)")</f>
        <v>hnisat (v-w1071f1)</v>
      </c>
    </row>
    <row r="9374" spans="1:4" x14ac:dyDescent="0.2">
      <c r="B9374" t="s">
        <v>1</v>
      </c>
    </row>
    <row r="9376" spans="1:4" x14ac:dyDescent="0.2">
      <c r="A9376" t="s">
        <v>3297</v>
      </c>
      <c r="B9376" t="str">
        <f>HYPERLINK("https://lindat.mff.cuni.cz/services/teitok/pdtc10/index.php?action=vallex&amp;frame=v-w1072f3", "hnout (v-w1072f3)")</f>
        <v>hnout (v-w1072f3)</v>
      </c>
    </row>
    <row r="9377" spans="1:4" x14ac:dyDescent="0.2">
      <c r="B9377" t="s">
        <v>1</v>
      </c>
    </row>
    <row r="9378" spans="1:4" x14ac:dyDescent="0.2">
      <c r="B9378" t="s">
        <v>3215</v>
      </c>
    </row>
    <row r="9380" spans="1:4" x14ac:dyDescent="0.2">
      <c r="A9380" t="s">
        <v>3298</v>
      </c>
      <c r="B9380" t="str">
        <f>HYPERLINK("https://lindat.mff.cuni.cz/services/teitok/pdtc10/index.php?action=vallex&amp;frame=v-w1072f1", "hnout (v-w1072f1)")</f>
        <v>hnout (v-w1072f1)</v>
      </c>
    </row>
    <row r="9381" spans="1:4" x14ac:dyDescent="0.2">
      <c r="B9381" t="s">
        <v>1</v>
      </c>
    </row>
    <row r="9382" spans="1:4" x14ac:dyDescent="0.2">
      <c r="B9382" t="s">
        <v>3299</v>
      </c>
    </row>
    <row r="9383" spans="1:4" x14ac:dyDescent="0.2">
      <c r="B9383" t="s">
        <v>103</v>
      </c>
    </row>
    <row r="9385" spans="1:4" x14ac:dyDescent="0.2">
      <c r="A9385" t="s">
        <v>3300</v>
      </c>
      <c r="B9385" t="str">
        <f>HYPERLINK("https://lindat.mff.cuni.cz/services/teitok/pdtc10/index.php?action=vallex&amp;frame=v-w1072f2", "hnout (v-w1072f2)")</f>
        <v>hnout (v-w1072f2)</v>
      </c>
    </row>
    <row r="9386" spans="1:4" x14ac:dyDescent="0.2">
      <c r="B9386" t="s">
        <v>1</v>
      </c>
    </row>
    <row r="9387" spans="1:4" x14ac:dyDescent="0.2">
      <c r="B9387" t="s">
        <v>3301</v>
      </c>
    </row>
    <row r="9389" spans="1:4" x14ac:dyDescent="0.2">
      <c r="A9389" t="s">
        <v>3302</v>
      </c>
      <c r="B9389" t="str">
        <f>HYPERLINK("https://lindat.mff.cuni.cz/services/teitok/pdtc10/index.php?action=vallex&amp;frame=v-w1073f1", "hnout se (v-w1073f1)")</f>
        <v>hnout se (v-w1073f1)</v>
      </c>
    </row>
    <row r="9390" spans="1:4" x14ac:dyDescent="0.2">
      <c r="B9390" t="s">
        <v>1</v>
      </c>
      <c r="C9390" t="s">
        <v>3303</v>
      </c>
      <c r="D9390" t="s">
        <v>23336</v>
      </c>
    </row>
    <row r="9392" spans="1:4" x14ac:dyDescent="0.2">
      <c r="A9392" t="s">
        <v>3304</v>
      </c>
      <c r="B9392" t="str">
        <f>HYPERLINK("https://lindat.mff.cuni.cz/services/teitok/pdtc10/index.php?action=vallex&amp;frame=v-w1067f2", "hnát (v-w1067f2)")</f>
        <v>hnát (v-w1067f2)</v>
      </c>
    </row>
    <row r="9393" spans="1:4" x14ac:dyDescent="0.2">
      <c r="B9393" t="s">
        <v>1</v>
      </c>
      <c r="C9393" t="s">
        <v>30</v>
      </c>
      <c r="D9393" t="s">
        <v>13976</v>
      </c>
    </row>
    <row r="9394" spans="1:4" x14ac:dyDescent="0.2">
      <c r="B9394" t="s">
        <v>8</v>
      </c>
      <c r="C9394" t="s">
        <v>3305</v>
      </c>
      <c r="D9394" t="s">
        <v>10414</v>
      </c>
    </row>
    <row r="9395" spans="1:4" x14ac:dyDescent="0.2">
      <c r="B9395" t="s">
        <v>205</v>
      </c>
      <c r="D9395" t="s">
        <v>23197</v>
      </c>
    </row>
    <row r="9397" spans="1:4" x14ac:dyDescent="0.2">
      <c r="A9397" t="s">
        <v>3306</v>
      </c>
      <c r="B9397" t="str">
        <f>HYPERLINK("https://lindat.mff.cuni.cz/services/teitok/pdtc10/index.php?action=vallex&amp;frame=v-w1067f1", "hnát (v-w1067f1)")</f>
        <v>hnát (v-w1067f1)</v>
      </c>
    </row>
    <row r="9398" spans="1:4" x14ac:dyDescent="0.2">
      <c r="B9398" t="s">
        <v>1</v>
      </c>
      <c r="C9398" t="s">
        <v>3307</v>
      </c>
    </row>
    <row r="9399" spans="1:4" x14ac:dyDescent="0.2">
      <c r="B9399" t="s">
        <v>8</v>
      </c>
      <c r="C9399" t="s">
        <v>3308</v>
      </c>
    </row>
    <row r="9401" spans="1:4" x14ac:dyDescent="0.2">
      <c r="A9401" t="s">
        <v>3309</v>
      </c>
      <c r="B9401" t="str">
        <f>HYPERLINK("https://lindat.mff.cuni.cz/services/teitok/pdtc10/index.php?action=vallex&amp;frame=v-w1067f3", "hnát (v-w1067f3)")</f>
        <v>hnát (v-w1067f3)</v>
      </c>
    </row>
    <row r="9402" spans="1:4" x14ac:dyDescent="0.2">
      <c r="B9402" t="s">
        <v>1</v>
      </c>
    </row>
    <row r="9404" spans="1:4" x14ac:dyDescent="0.2">
      <c r="A9404" t="s">
        <v>3310</v>
      </c>
      <c r="B9404" t="str">
        <f>HYPERLINK("https://lindat.mff.cuni.cz/services/teitok/pdtc10/index.php?action=vallex&amp;frame=v-w1067f4_ZU", "hnát (v-w1067f4_ZU)")</f>
        <v>hnát (v-w1067f4_ZU)</v>
      </c>
    </row>
    <row r="9405" spans="1:4" x14ac:dyDescent="0.2">
      <c r="B9405" t="s">
        <v>1</v>
      </c>
    </row>
    <row r="9406" spans="1:4" x14ac:dyDescent="0.2">
      <c r="B9406" t="s">
        <v>8</v>
      </c>
    </row>
    <row r="9408" spans="1:4" x14ac:dyDescent="0.2">
      <c r="A9408" t="s">
        <v>3311</v>
      </c>
      <c r="B9408" t="str">
        <f>HYPERLINK("https://lindat.mff.cuni.cz/services/teitok/pdtc10/index.php?action=vallex&amp;frame=v-w1067hsa_2031", "hnát (v-w1067hsa_2031)")</f>
        <v>hnát (v-w1067hsa_2031)</v>
      </c>
    </row>
    <row r="9409" spans="1:4" x14ac:dyDescent="0.2">
      <c r="B9409" t="s">
        <v>1</v>
      </c>
    </row>
    <row r="9410" spans="1:4" x14ac:dyDescent="0.2">
      <c r="B9410" t="s">
        <v>8</v>
      </c>
    </row>
    <row r="9412" spans="1:4" x14ac:dyDescent="0.2">
      <c r="A9412" t="s">
        <v>3312</v>
      </c>
      <c r="B9412" t="str">
        <f>HYPERLINK("https://lindat.mff.cuni.cz/services/teitok/pdtc10/index.php?action=vallex&amp;frame=v-w1067hsa_2032", "hnát (v-w1067hsa_2032)")</f>
        <v>hnát (v-w1067hsa_2032)</v>
      </c>
    </row>
    <row r="9413" spans="1:4" x14ac:dyDescent="0.2">
      <c r="B9413" t="s">
        <v>1</v>
      </c>
    </row>
    <row r="9414" spans="1:4" x14ac:dyDescent="0.2">
      <c r="B9414" t="s">
        <v>176</v>
      </c>
    </row>
    <row r="9415" spans="1:4" x14ac:dyDescent="0.2">
      <c r="B9415" t="s">
        <v>58</v>
      </c>
    </row>
    <row r="9417" spans="1:4" x14ac:dyDescent="0.2">
      <c r="A9417" t="s">
        <v>3313</v>
      </c>
      <c r="B9417" t="str">
        <f>HYPERLINK("https://lindat.mff.cuni.cz/services/teitok/pdtc10/index.php?action=vallex&amp;frame=v-w1068f1", "hnát se (v-w1068f1)")</f>
        <v>hnát se (v-w1068f1)</v>
      </c>
    </row>
    <row r="9418" spans="1:4" x14ac:dyDescent="0.2">
      <c r="B9418" t="s">
        <v>1</v>
      </c>
      <c r="C9418" t="s">
        <v>3314</v>
      </c>
      <c r="D9418" t="s">
        <v>23337</v>
      </c>
    </row>
    <row r="9419" spans="1:4" x14ac:dyDescent="0.2">
      <c r="B9419" t="s">
        <v>205</v>
      </c>
      <c r="D9419" t="s">
        <v>23338</v>
      </c>
    </row>
    <row r="9421" spans="1:4" x14ac:dyDescent="0.2">
      <c r="A9421" t="s">
        <v>3315</v>
      </c>
      <c r="B9421" t="str">
        <f>HYPERLINK("https://lindat.mff.cuni.cz/services/teitok/pdtc10/index.php?action=vallex&amp;frame=v-w1068f2", "hnát se (v-w1068f2)")</f>
        <v>hnát se (v-w1068f2)</v>
      </c>
    </row>
    <row r="9422" spans="1:4" x14ac:dyDescent="0.2">
      <c r="B9422" t="s">
        <v>1</v>
      </c>
    </row>
    <row r="9424" spans="1:4" x14ac:dyDescent="0.2">
      <c r="A9424" t="s">
        <v>3316</v>
      </c>
      <c r="B9424" t="str">
        <f>HYPERLINK("https://lindat.mff.cuni.cz/services/teitok/pdtc10/index.php?action=vallex&amp;frame=v-w1068hsa_1263", "hnát se (v-w1068hsa_1263)")</f>
        <v>hnát se (v-w1068hsa_1263)</v>
      </c>
    </row>
    <row r="9425" spans="1:4" x14ac:dyDescent="0.2">
      <c r="B9425" t="s">
        <v>1</v>
      </c>
      <c r="C9425" t="s">
        <v>186</v>
      </c>
      <c r="D9425" t="s">
        <v>23337</v>
      </c>
    </row>
    <row r="9426" spans="1:4" x14ac:dyDescent="0.2">
      <c r="B9426" t="s">
        <v>3317</v>
      </c>
      <c r="D9426" t="s">
        <v>23339</v>
      </c>
    </row>
    <row r="9428" spans="1:4" x14ac:dyDescent="0.2">
      <c r="A9428" t="s">
        <v>3318</v>
      </c>
      <c r="B9428" t="str">
        <f>HYPERLINK("https://lindat.mff.cuni.cz/services/teitok/pdtc10/index.php?action=vallex&amp;frame=v-w12108_ZUf2_ZU", "hnít (v-w12108_ZUf2_ZU)")</f>
        <v>hnít (v-w12108_ZUf2_ZU)</v>
      </c>
    </row>
    <row r="9429" spans="1:4" x14ac:dyDescent="0.2">
      <c r="B9429" t="s">
        <v>1</v>
      </c>
    </row>
    <row r="9431" spans="1:4" x14ac:dyDescent="0.2">
      <c r="A9431" t="s">
        <v>3318</v>
      </c>
      <c r="B9431" t="str">
        <f>HYPERLINK("https://lindat.mff.cuni.cz/services/teitok/pdtc10/index.php?action=vallex&amp;frame=v-w12108_ZUf1_ZU", "hnít (v-w12108_ZUf1_ZU) - substituted with v-w12108_ZUf2_ZU")</f>
        <v>hnít (v-w12108_ZUf1_ZU) - substituted with v-w12108_ZUf2_ZU</v>
      </c>
    </row>
    <row r="9432" spans="1:4" x14ac:dyDescent="0.2">
      <c r="B9432" t="s">
        <v>1</v>
      </c>
    </row>
    <row r="9434" spans="1:4" x14ac:dyDescent="0.2">
      <c r="A9434" t="s">
        <v>3319</v>
      </c>
      <c r="B9434" t="str">
        <f>HYPERLINK("https://lindat.mff.cuni.cz/services/teitok/pdtc10/index.php?action=vallex&amp;frame=v-w1070f1", "hněvat se (v-w1070f1)")</f>
        <v>hněvat se (v-w1070f1)</v>
      </c>
    </row>
    <row r="9435" spans="1:4" x14ac:dyDescent="0.2">
      <c r="B9435" t="s">
        <v>1</v>
      </c>
    </row>
    <row r="9436" spans="1:4" x14ac:dyDescent="0.2">
      <c r="B9436" t="s">
        <v>46</v>
      </c>
    </row>
    <row r="9438" spans="1:4" x14ac:dyDescent="0.2">
      <c r="A9438" t="s">
        <v>3320</v>
      </c>
      <c r="B9438" t="str">
        <f>HYPERLINK("https://lindat.mff.cuni.cz/services/teitok/pdtc10/index.php?action=vallex&amp;frame=v-w12276_ZUf2_MM", "hoblovat (v-w12276_ZUf2_MM)")</f>
        <v>hoblovat (v-w12276_ZUf2_MM)</v>
      </c>
    </row>
    <row r="9439" spans="1:4" x14ac:dyDescent="0.2">
      <c r="B9439" t="s">
        <v>1</v>
      </c>
    </row>
    <row r="9440" spans="1:4" x14ac:dyDescent="0.2">
      <c r="B9440" t="s">
        <v>8</v>
      </c>
    </row>
    <row r="9442" spans="1:4" x14ac:dyDescent="0.2">
      <c r="A9442" t="s">
        <v>3320</v>
      </c>
      <c r="B9442" t="str">
        <f>HYPERLINK("https://lindat.mff.cuni.cz/services/teitok/pdtc10/index.php?action=vallex&amp;frame=v-w12276_ZUf1_ZU", "hoblovat (v-w12276_ZUf1_ZU) - substituted with v-w12276_ZUf2_MM")</f>
        <v>hoblovat (v-w12276_ZUf1_ZU) - substituted with v-w12276_ZUf2_MM</v>
      </c>
    </row>
    <row r="9443" spans="1:4" x14ac:dyDescent="0.2">
      <c r="B9443" t="s">
        <v>1</v>
      </c>
    </row>
    <row r="9444" spans="1:4" x14ac:dyDescent="0.2">
      <c r="B9444" t="s">
        <v>8</v>
      </c>
    </row>
    <row r="9446" spans="1:4" x14ac:dyDescent="0.2">
      <c r="A9446" t="s">
        <v>3321</v>
      </c>
      <c r="B9446" t="str">
        <f>HYPERLINK("https://lindat.mff.cuni.cz/services/teitok/pdtc10/index.php?action=vallex&amp;frame=v-w1076f5", "hodit (v-w1076f5)")</f>
        <v>hodit (v-w1076f5)</v>
      </c>
    </row>
    <row r="9447" spans="1:4" x14ac:dyDescent="0.2">
      <c r="B9447" t="s">
        <v>1</v>
      </c>
    </row>
    <row r="9448" spans="1:4" x14ac:dyDescent="0.2">
      <c r="B9448" t="s">
        <v>8</v>
      </c>
    </row>
    <row r="9449" spans="1:4" x14ac:dyDescent="0.2">
      <c r="B9449" t="s">
        <v>35</v>
      </c>
    </row>
    <row r="9451" spans="1:4" x14ac:dyDescent="0.2">
      <c r="A9451" t="s">
        <v>3322</v>
      </c>
      <c r="B9451" t="str">
        <f>HYPERLINK("https://lindat.mff.cuni.cz/services/teitok/pdtc10/index.php?action=vallex&amp;frame=v-w1076f8", "hodit (v-w1076f8)")</f>
        <v>hodit (v-w1076f8)</v>
      </c>
    </row>
    <row r="9452" spans="1:4" x14ac:dyDescent="0.2">
      <c r="B9452" t="s">
        <v>1</v>
      </c>
      <c r="C9452" t="s">
        <v>2303</v>
      </c>
      <c r="D9452" t="s">
        <v>4110</v>
      </c>
    </row>
    <row r="9453" spans="1:4" x14ac:dyDescent="0.2">
      <c r="B9453" t="s">
        <v>1532</v>
      </c>
      <c r="C9453" t="s">
        <v>1109</v>
      </c>
      <c r="D9453" t="s">
        <v>81</v>
      </c>
    </row>
    <row r="9454" spans="1:4" x14ac:dyDescent="0.2">
      <c r="B9454" t="s">
        <v>78</v>
      </c>
      <c r="D9454" t="s">
        <v>987</v>
      </c>
    </row>
    <row r="9456" spans="1:4" x14ac:dyDescent="0.2">
      <c r="A9456" t="s">
        <v>3323</v>
      </c>
      <c r="B9456" t="str">
        <f>HYPERLINK("https://lindat.mff.cuni.cz/services/teitok/pdtc10/index.php?action=vallex&amp;frame=v-w1076f1", "hodit (v-w1076f1)")</f>
        <v>hodit (v-w1076f1)</v>
      </c>
    </row>
    <row r="9457" spans="1:4" x14ac:dyDescent="0.2">
      <c r="B9457" t="s">
        <v>1</v>
      </c>
      <c r="C9457" t="s">
        <v>1077</v>
      </c>
      <c r="D9457" t="s">
        <v>1077</v>
      </c>
    </row>
    <row r="9458" spans="1:4" x14ac:dyDescent="0.2">
      <c r="B9458" t="s">
        <v>8</v>
      </c>
      <c r="C9458" t="s">
        <v>3324</v>
      </c>
      <c r="D9458" t="s">
        <v>3324</v>
      </c>
    </row>
    <row r="9459" spans="1:4" x14ac:dyDescent="0.2">
      <c r="B9459" t="s">
        <v>90</v>
      </c>
    </row>
    <row r="9461" spans="1:4" x14ac:dyDescent="0.2">
      <c r="A9461" t="s">
        <v>3325</v>
      </c>
      <c r="B9461" t="str">
        <f>HYPERLINK("https://lindat.mff.cuni.cz/services/teitok/pdtc10/index.php?action=vallex&amp;frame=v-w1076f6", "hodit (v-w1076f6)")</f>
        <v>hodit (v-w1076f6)</v>
      </c>
    </row>
    <row r="9462" spans="1:4" x14ac:dyDescent="0.2">
      <c r="B9462" t="s">
        <v>1</v>
      </c>
    </row>
    <row r="9463" spans="1:4" x14ac:dyDescent="0.2">
      <c r="B9463" t="s">
        <v>158</v>
      </c>
    </row>
    <row r="9465" spans="1:4" x14ac:dyDescent="0.2">
      <c r="A9465" t="s">
        <v>3326</v>
      </c>
      <c r="B9465" t="str">
        <f>HYPERLINK("https://lindat.mff.cuni.cz/services/teitok/pdtc10/index.php?action=vallex&amp;frame=v-w1076f4", "hodit (v-w1076f4)")</f>
        <v>hodit (v-w1076f4)</v>
      </c>
    </row>
    <row r="9466" spans="1:4" x14ac:dyDescent="0.2">
      <c r="B9466" t="s">
        <v>1</v>
      </c>
    </row>
    <row r="9467" spans="1:4" x14ac:dyDescent="0.2">
      <c r="B9467" t="s">
        <v>3327</v>
      </c>
    </row>
    <row r="9468" spans="1:4" x14ac:dyDescent="0.2">
      <c r="B9468" t="s">
        <v>8</v>
      </c>
      <c r="C9468" t="s">
        <v>3328</v>
      </c>
    </row>
    <row r="9470" spans="1:4" x14ac:dyDescent="0.2">
      <c r="A9470" t="s">
        <v>3329</v>
      </c>
      <c r="B9470" t="str">
        <f>HYPERLINK("https://lindat.mff.cuni.cz/services/teitok/pdtc10/index.php?action=vallex&amp;frame=v-w1076f2", "hodit (v-w1076f2)")</f>
        <v>hodit (v-w1076f2)</v>
      </c>
    </row>
    <row r="9471" spans="1:4" x14ac:dyDescent="0.2">
      <c r="B9471" t="s">
        <v>1</v>
      </c>
      <c r="C9471" t="s">
        <v>140</v>
      </c>
      <c r="D9471" t="s">
        <v>2148</v>
      </c>
    </row>
    <row r="9472" spans="1:4" x14ac:dyDescent="0.2">
      <c r="B9472" t="s">
        <v>1103</v>
      </c>
    </row>
    <row r="9473" spans="1:4" x14ac:dyDescent="0.2">
      <c r="B9473" t="s">
        <v>8</v>
      </c>
      <c r="C9473" t="s">
        <v>113</v>
      </c>
      <c r="D9473" t="s">
        <v>8988</v>
      </c>
    </row>
    <row r="9475" spans="1:4" x14ac:dyDescent="0.2">
      <c r="A9475" t="s">
        <v>3330</v>
      </c>
      <c r="B9475" t="str">
        <f>HYPERLINK("https://lindat.mff.cuni.cz/services/teitok/pdtc10/index.php?action=vallex&amp;frame=v-w1076f3", "hodit (v-w1076f3)")</f>
        <v>hodit (v-w1076f3)</v>
      </c>
    </row>
    <row r="9476" spans="1:4" x14ac:dyDescent="0.2">
      <c r="B9476" t="s">
        <v>1</v>
      </c>
    </row>
    <row r="9477" spans="1:4" x14ac:dyDescent="0.2">
      <c r="B9477" t="s">
        <v>3331</v>
      </c>
    </row>
    <row r="9479" spans="1:4" x14ac:dyDescent="0.2">
      <c r="A9479" t="s">
        <v>3332</v>
      </c>
      <c r="B9479" t="str">
        <f>HYPERLINK("https://lindat.mff.cuni.cz/services/teitok/pdtc10/index.php?action=vallex&amp;frame=v-w1076f9_ZU", "hodit (v-w1076f9_ZU)")</f>
        <v>hodit (v-w1076f9_ZU)</v>
      </c>
    </row>
    <row r="9480" spans="1:4" x14ac:dyDescent="0.2">
      <c r="B9480" t="s">
        <v>1</v>
      </c>
      <c r="C9480" t="s">
        <v>33</v>
      </c>
      <c r="D9480" t="s">
        <v>23064</v>
      </c>
    </row>
    <row r="9481" spans="1:4" x14ac:dyDescent="0.2">
      <c r="B9481" t="s">
        <v>3333</v>
      </c>
      <c r="C9481" t="s">
        <v>3334</v>
      </c>
    </row>
    <row r="9483" spans="1:4" x14ac:dyDescent="0.2">
      <c r="A9483" t="s">
        <v>3332</v>
      </c>
      <c r="B9483" t="str">
        <f>HYPERLINK("https://lindat.mff.cuni.cz/services/teitok/pdtc10/index.php?action=vallex&amp;frame=v-w1076hsa_204", "hodit (v-w1076hsa_204) - substituted with v-w1076f9_ZU")</f>
        <v>hodit (v-w1076hsa_204) - substituted with v-w1076f9_ZU</v>
      </c>
    </row>
    <row r="9484" spans="1:4" x14ac:dyDescent="0.2">
      <c r="B9484" t="s">
        <v>1</v>
      </c>
    </row>
    <row r="9485" spans="1:4" x14ac:dyDescent="0.2">
      <c r="B9485" t="s">
        <v>3333</v>
      </c>
    </row>
    <row r="9487" spans="1:4" x14ac:dyDescent="0.2">
      <c r="A9487" t="s">
        <v>3335</v>
      </c>
      <c r="B9487" t="str">
        <f>HYPERLINK("https://lindat.mff.cuni.cz/services/teitok/pdtc10/index.php?action=vallex&amp;frame=v-w1076f10_ZU", "hodit (v-w1076f10_ZU)")</f>
        <v>hodit (v-w1076f10_ZU)</v>
      </c>
    </row>
    <row r="9488" spans="1:4" x14ac:dyDescent="0.2">
      <c r="B9488" t="s">
        <v>1</v>
      </c>
    </row>
    <row r="9489" spans="1:4" x14ac:dyDescent="0.2">
      <c r="B9489" t="s">
        <v>8</v>
      </c>
    </row>
    <row r="9490" spans="1:4" x14ac:dyDescent="0.2">
      <c r="B9490" t="s">
        <v>252</v>
      </c>
    </row>
    <row r="9492" spans="1:4" x14ac:dyDescent="0.2">
      <c r="A9492" t="s">
        <v>3336</v>
      </c>
      <c r="B9492" t="str">
        <f>HYPERLINK("https://lindat.mff.cuni.cz/services/teitok/pdtc10/index.php?action=vallex&amp;frame=v-w1077f4_ZU", "hodit se (v-w1077f4_ZU)")</f>
        <v>hodit se (v-w1077f4_ZU)</v>
      </c>
    </row>
    <row r="9493" spans="1:4" x14ac:dyDescent="0.2">
      <c r="B9493" t="s">
        <v>3337</v>
      </c>
    </row>
    <row r="9494" spans="1:4" x14ac:dyDescent="0.2">
      <c r="B9494" t="s">
        <v>3338</v>
      </c>
    </row>
    <row r="9495" spans="1:4" x14ac:dyDescent="0.2">
      <c r="B9495" t="s">
        <v>3339</v>
      </c>
    </row>
    <row r="9497" spans="1:4" x14ac:dyDescent="0.2">
      <c r="A9497" t="s">
        <v>3336</v>
      </c>
      <c r="B9497" t="str">
        <f>HYPERLINK("https://lindat.mff.cuni.cz/services/teitok/pdtc10/index.php?action=vallex&amp;frame=v-w1077f1", "hodit se (v-w1077f1) - substituted with v-w1077f4_ZU")</f>
        <v>hodit se (v-w1077f1) - substituted with v-w1077f4_ZU</v>
      </c>
    </row>
    <row r="9498" spans="1:4" x14ac:dyDescent="0.2">
      <c r="B9498" t="s">
        <v>3337</v>
      </c>
      <c r="C9498" t="s">
        <v>3340</v>
      </c>
      <c r="D9498" t="s">
        <v>23340</v>
      </c>
    </row>
    <row r="9499" spans="1:4" x14ac:dyDescent="0.2">
      <c r="B9499" t="s">
        <v>3338</v>
      </c>
      <c r="C9499" t="s">
        <v>3341</v>
      </c>
      <c r="D9499" t="s">
        <v>23341</v>
      </c>
    </row>
    <row r="9500" spans="1:4" x14ac:dyDescent="0.2">
      <c r="B9500" t="s">
        <v>3339</v>
      </c>
    </row>
    <row r="9502" spans="1:4" x14ac:dyDescent="0.2">
      <c r="A9502" t="s">
        <v>3336</v>
      </c>
      <c r="B9502" t="str">
        <f>HYPERLINK("https://lindat.mff.cuni.cz/services/teitok/pdtc10/index.php?action=vallex&amp;frame=v-w1077f3_ZU", "hodit se (v-w1077f3_ZU) - substituted with v-w1077f4_ZU")</f>
        <v>hodit se (v-w1077f3_ZU) - substituted with v-w1077f4_ZU</v>
      </c>
    </row>
    <row r="9503" spans="1:4" x14ac:dyDescent="0.2">
      <c r="B9503" t="s">
        <v>3337</v>
      </c>
    </row>
    <row r="9504" spans="1:4" x14ac:dyDescent="0.2">
      <c r="B9504" t="s">
        <v>3338</v>
      </c>
    </row>
    <row r="9505" spans="1:4" x14ac:dyDescent="0.2">
      <c r="B9505" t="s">
        <v>3339</v>
      </c>
    </row>
    <row r="9507" spans="1:4" x14ac:dyDescent="0.2">
      <c r="A9507" t="s">
        <v>3342</v>
      </c>
      <c r="B9507" t="str">
        <f>HYPERLINK("https://lindat.mff.cuni.cz/services/teitok/pdtc10/index.php?action=vallex&amp;frame=v-w1077f2", "hodit se (v-w1077f2)")</f>
        <v>hodit se (v-w1077f2)</v>
      </c>
    </row>
    <row r="9508" spans="1:4" x14ac:dyDescent="0.2">
      <c r="B9508" t="s">
        <v>331</v>
      </c>
      <c r="D9508" t="s">
        <v>23342</v>
      </c>
    </row>
    <row r="9509" spans="1:4" x14ac:dyDescent="0.2">
      <c r="B9509" t="s">
        <v>90</v>
      </c>
      <c r="D9509" t="s">
        <v>23343</v>
      </c>
    </row>
    <row r="9511" spans="1:4" x14ac:dyDescent="0.2">
      <c r="A9511" t="s">
        <v>3343</v>
      </c>
      <c r="B9511" t="str">
        <f>HYPERLINK("https://lindat.mff.cuni.cz/services/teitok/pdtc10/index.php?action=vallex&amp;frame=v-w1077f5_ZU", "hodit se (v-w1077f5_ZU)")</f>
        <v>hodit se (v-w1077f5_ZU)</v>
      </c>
    </row>
    <row r="9512" spans="1:4" x14ac:dyDescent="0.2">
      <c r="B9512" t="s">
        <v>1</v>
      </c>
    </row>
    <row r="9513" spans="1:4" x14ac:dyDescent="0.2">
      <c r="B9513" t="s">
        <v>3344</v>
      </c>
    </row>
    <row r="9515" spans="1:4" x14ac:dyDescent="0.2">
      <c r="A9515" t="s">
        <v>3343</v>
      </c>
      <c r="B9515" t="str">
        <f>HYPERLINK("https://lindat.mff.cuni.cz/services/teitok/pdtc10/index.php?action=vallex&amp;frame=v-w1077hsa_367", "hodit se (v-w1077hsa_367) - substituted with v-w1077f5_ZU")</f>
        <v>hodit se (v-w1077hsa_367) - substituted with v-w1077f5_ZU</v>
      </c>
    </row>
    <row r="9516" spans="1:4" x14ac:dyDescent="0.2">
      <c r="B9516" t="s">
        <v>1</v>
      </c>
      <c r="C9516" t="s">
        <v>3345</v>
      </c>
      <c r="D9516" t="s">
        <v>23344</v>
      </c>
    </row>
    <row r="9517" spans="1:4" x14ac:dyDescent="0.2">
      <c r="B9517" t="s">
        <v>3344</v>
      </c>
      <c r="C9517" t="s">
        <v>2240</v>
      </c>
      <c r="D9517" t="s">
        <v>23345</v>
      </c>
    </row>
    <row r="9519" spans="1:4" x14ac:dyDescent="0.2">
      <c r="A9519" t="s">
        <v>3346</v>
      </c>
      <c r="B9519" t="str">
        <f>HYPERLINK("https://lindat.mff.cuni.cz/services/teitok/pdtc10/index.php?action=vallex&amp;frame=v-w1081f2", "hodnotit (v-w1081f2)")</f>
        <v>hodnotit (v-w1081f2)</v>
      </c>
    </row>
    <row r="9520" spans="1:4" x14ac:dyDescent="0.2">
      <c r="B9520" t="s">
        <v>1</v>
      </c>
      <c r="C9520" t="s">
        <v>2148</v>
      </c>
      <c r="D9520" t="s">
        <v>3307</v>
      </c>
    </row>
    <row r="9521" spans="1:4" x14ac:dyDescent="0.2">
      <c r="B9521" t="s">
        <v>8</v>
      </c>
      <c r="C9521" t="s">
        <v>2113</v>
      </c>
      <c r="D9521" t="s">
        <v>732</v>
      </c>
    </row>
    <row r="9522" spans="1:4" x14ac:dyDescent="0.2">
      <c r="B9522" t="s">
        <v>3347</v>
      </c>
      <c r="C9522" t="s">
        <v>3348</v>
      </c>
    </row>
    <row r="9524" spans="1:4" x14ac:dyDescent="0.2">
      <c r="A9524" t="s">
        <v>3349</v>
      </c>
      <c r="B9524" t="str">
        <f>HYPERLINK("https://lindat.mff.cuni.cz/services/teitok/pdtc10/index.php?action=vallex&amp;frame=v-w1081f3_ZU", "hodnotit (v-w1081f3_ZU)")</f>
        <v>hodnotit (v-w1081f3_ZU)</v>
      </c>
    </row>
    <row r="9525" spans="1:4" x14ac:dyDescent="0.2">
      <c r="B9525" t="s">
        <v>1</v>
      </c>
      <c r="C9525" t="s">
        <v>967</v>
      </c>
      <c r="D9525" t="s">
        <v>23042</v>
      </c>
    </row>
    <row r="9526" spans="1:4" x14ac:dyDescent="0.2">
      <c r="B9526" t="s">
        <v>8</v>
      </c>
      <c r="C9526" t="s">
        <v>969</v>
      </c>
      <c r="D9526" t="s">
        <v>23043</v>
      </c>
    </row>
    <row r="9527" spans="1:4" x14ac:dyDescent="0.2">
      <c r="B9527" t="s">
        <v>1462</v>
      </c>
      <c r="C9527" t="s">
        <v>970</v>
      </c>
      <c r="D9527" t="s">
        <v>23044</v>
      </c>
    </row>
    <row r="9529" spans="1:4" x14ac:dyDescent="0.2">
      <c r="A9529" t="s">
        <v>3350</v>
      </c>
      <c r="B9529" t="str">
        <f>HYPERLINK("https://lindat.mff.cuni.cz/services/teitok/pdtc10/index.php?action=vallex&amp;frame=v-w1081hsa_1847", "hodnotit (v-w1081hsa_1847)")</f>
        <v>hodnotit (v-w1081hsa_1847)</v>
      </c>
    </row>
    <row r="9530" spans="1:4" x14ac:dyDescent="0.2">
      <c r="B9530" t="s">
        <v>1</v>
      </c>
    </row>
    <row r="9531" spans="1:4" x14ac:dyDescent="0.2">
      <c r="B9531" t="s">
        <v>3351</v>
      </c>
    </row>
    <row r="9533" spans="1:4" x14ac:dyDescent="0.2">
      <c r="A9533" t="s">
        <v>3350</v>
      </c>
      <c r="B9533" t="str">
        <f>HYPERLINK("https://lindat.mff.cuni.cz/services/teitok/pdtc10/index.php?action=vallex&amp;frame=v-w1081f1", "hodnotit (v-w1081f1) - substituted with v-w1081hsa_1847")</f>
        <v>hodnotit (v-w1081f1) - substituted with v-w1081hsa_1847</v>
      </c>
    </row>
    <row r="9534" spans="1:4" x14ac:dyDescent="0.2">
      <c r="B9534" t="s">
        <v>1</v>
      </c>
      <c r="C9534" t="s">
        <v>3352</v>
      </c>
      <c r="D9534" t="s">
        <v>3307</v>
      </c>
    </row>
    <row r="9535" spans="1:4" x14ac:dyDescent="0.2">
      <c r="B9535" t="s">
        <v>3351</v>
      </c>
      <c r="C9535" t="s">
        <v>3353</v>
      </c>
      <c r="D9535" t="s">
        <v>732</v>
      </c>
    </row>
    <row r="9537" spans="1:4" x14ac:dyDescent="0.2">
      <c r="A9537" t="s">
        <v>3354</v>
      </c>
      <c r="B9537" t="str">
        <f>HYPERLINK("https://lindat.mff.cuni.cz/services/teitok/pdtc10/index.php?action=vallex&amp;frame=v-whsb_1009hsa_1010", "hodovat (v-whsb_1009hsa_1010)")</f>
        <v>hodovat (v-whsb_1009hsa_1010)</v>
      </c>
    </row>
    <row r="9538" spans="1:4" x14ac:dyDescent="0.2">
      <c r="B9538" t="s">
        <v>1</v>
      </c>
    </row>
    <row r="9540" spans="1:4" x14ac:dyDescent="0.2">
      <c r="A9540" t="s">
        <v>3355</v>
      </c>
      <c r="B9540" t="str">
        <f>HYPERLINK("https://lindat.mff.cuni.cz/services/teitok/pdtc10/index.php?action=vallex&amp;frame=v-w1083f1", "hojit se (v-w1083f1)")</f>
        <v>hojit se (v-w1083f1)</v>
      </c>
    </row>
    <row r="9541" spans="1:4" x14ac:dyDescent="0.2">
      <c r="B9541" t="s">
        <v>1</v>
      </c>
    </row>
    <row r="9543" spans="1:4" x14ac:dyDescent="0.2">
      <c r="A9543" t="s">
        <v>3356</v>
      </c>
      <c r="B9543" t="str">
        <f>HYPERLINK("https://lindat.mff.cuni.cz/services/teitok/pdtc10/index.php?action=vallex&amp;frame=v-w1084f1", "holdovat (v-w1084f1)")</f>
        <v>holdovat (v-w1084f1)</v>
      </c>
    </row>
    <row r="9544" spans="1:4" x14ac:dyDescent="0.2">
      <c r="B9544" t="s">
        <v>1</v>
      </c>
    </row>
    <row r="9545" spans="1:4" x14ac:dyDescent="0.2">
      <c r="B9545" t="s">
        <v>103</v>
      </c>
    </row>
    <row r="9547" spans="1:4" x14ac:dyDescent="0.2">
      <c r="A9547" t="s">
        <v>3357</v>
      </c>
      <c r="B9547" t="str">
        <f>HYPERLINK("https://lindat.mff.cuni.cz/services/teitok/pdtc10/index.php?action=vallex&amp;frame=v-w1085f1", "holedbat se (v-w1085f1)")</f>
        <v>holedbat se (v-w1085f1)</v>
      </c>
    </row>
    <row r="9548" spans="1:4" x14ac:dyDescent="0.2">
      <c r="B9548" t="s">
        <v>1</v>
      </c>
      <c r="C9548" t="s">
        <v>3358</v>
      </c>
      <c r="D9548" t="s">
        <v>4110</v>
      </c>
    </row>
    <row r="9549" spans="1:4" x14ac:dyDescent="0.2">
      <c r="B9549" t="s">
        <v>215</v>
      </c>
      <c r="C9549" t="s">
        <v>1109</v>
      </c>
      <c r="D9549" t="s">
        <v>17</v>
      </c>
    </row>
    <row r="9550" spans="1:4" x14ac:dyDescent="0.2">
      <c r="B9550" t="s">
        <v>3200</v>
      </c>
      <c r="D9550" t="s">
        <v>987</v>
      </c>
    </row>
    <row r="9552" spans="1:4" x14ac:dyDescent="0.2">
      <c r="A9552" t="s">
        <v>3359</v>
      </c>
      <c r="B9552" t="str">
        <f>HYPERLINK("https://lindat.mff.cuni.cz/services/teitok/pdtc10/index.php?action=vallex&amp;frame=v-w1086f1", "holit (v-w1086f1)")</f>
        <v>holit (v-w1086f1)</v>
      </c>
    </row>
    <row r="9553" spans="1:4" x14ac:dyDescent="0.2">
      <c r="B9553" t="s">
        <v>1</v>
      </c>
    </row>
    <row r="9554" spans="1:4" x14ac:dyDescent="0.2">
      <c r="B9554" t="s">
        <v>8</v>
      </c>
    </row>
    <row r="9556" spans="1:4" x14ac:dyDescent="0.2">
      <c r="A9556" t="s">
        <v>3360</v>
      </c>
      <c r="B9556" t="str">
        <f>HYPERLINK("https://lindat.mff.cuni.cz/services/teitok/pdtc10/index.php?action=vallex&amp;frame=v-w1088f1", "homologovat (v-w1088f1)")</f>
        <v>homologovat (v-w1088f1)</v>
      </c>
    </row>
    <row r="9557" spans="1:4" x14ac:dyDescent="0.2">
      <c r="B9557" t="s">
        <v>1</v>
      </c>
    </row>
    <row r="9558" spans="1:4" x14ac:dyDescent="0.2">
      <c r="B9558" t="s">
        <v>8</v>
      </c>
    </row>
    <row r="9560" spans="1:4" x14ac:dyDescent="0.2">
      <c r="A9560" t="s">
        <v>3361</v>
      </c>
      <c r="B9560" t="str">
        <f>HYPERLINK("https://lindat.mff.cuni.cz/services/teitok/pdtc10/index.php?action=vallex&amp;frame=v-w1091f1", "honit (v-w1091f1)")</f>
        <v>honit (v-w1091f1)</v>
      </c>
    </row>
    <row r="9561" spans="1:4" x14ac:dyDescent="0.2">
      <c r="B9561" t="s">
        <v>1</v>
      </c>
      <c r="C9561" t="s">
        <v>3362</v>
      </c>
      <c r="D9561" t="s">
        <v>109</v>
      </c>
    </row>
    <row r="9562" spans="1:4" x14ac:dyDescent="0.2">
      <c r="B9562" t="s">
        <v>8</v>
      </c>
      <c r="C9562" t="s">
        <v>56</v>
      </c>
      <c r="D9562" t="s">
        <v>1190</v>
      </c>
    </row>
    <row r="9564" spans="1:4" x14ac:dyDescent="0.2">
      <c r="A9564" t="s">
        <v>3363</v>
      </c>
      <c r="B9564" t="str">
        <f>HYPERLINK("https://lindat.mff.cuni.cz/services/teitok/pdtc10/index.php?action=vallex&amp;frame=v-w1091f3_ZU", "honit (v-w1091f3_ZU)")</f>
        <v>honit (v-w1091f3_ZU)</v>
      </c>
    </row>
    <row r="9565" spans="1:4" x14ac:dyDescent="0.2">
      <c r="B9565" t="s">
        <v>1</v>
      </c>
    </row>
    <row r="9566" spans="1:4" x14ac:dyDescent="0.2">
      <c r="B9566" t="s">
        <v>3364</v>
      </c>
    </row>
    <row r="9567" spans="1:4" x14ac:dyDescent="0.2">
      <c r="B9567" t="s">
        <v>58</v>
      </c>
    </row>
    <row r="9569" spans="1:2" x14ac:dyDescent="0.2">
      <c r="A9569" t="s">
        <v>3363</v>
      </c>
      <c r="B9569" t="str">
        <f>HYPERLINK("https://lindat.mff.cuni.cz/services/teitok/pdtc10/index.php?action=vallex&amp;frame=v-w1091f2_ZU", "honit (v-w1091f2_ZU) - substituted with v-w1091f3_ZU")</f>
        <v>honit (v-w1091f2_ZU) - substituted with v-w1091f3_ZU</v>
      </c>
    </row>
    <row r="9570" spans="1:2" x14ac:dyDescent="0.2">
      <c r="B9570" t="s">
        <v>1</v>
      </c>
    </row>
    <row r="9571" spans="1:2" x14ac:dyDescent="0.2">
      <c r="B9571" t="s">
        <v>3364</v>
      </c>
    </row>
    <row r="9572" spans="1:2" x14ac:dyDescent="0.2">
      <c r="B9572" t="s">
        <v>58</v>
      </c>
    </row>
    <row r="9574" spans="1:2" x14ac:dyDescent="0.2">
      <c r="A9574" t="s">
        <v>3363</v>
      </c>
      <c r="B9574" t="str">
        <f>HYPERLINK("https://lindat.mff.cuni.cz/services/teitok/pdtc10/index.php?action=vallex&amp;frame=v-w1091hsa_1817", "honit (v-w1091hsa_1817) - substituted with v-w1091f3_ZU")</f>
        <v>honit (v-w1091hsa_1817) - substituted with v-w1091f3_ZU</v>
      </c>
    </row>
    <row r="9575" spans="1:2" x14ac:dyDescent="0.2">
      <c r="B9575" t="s">
        <v>1</v>
      </c>
    </row>
    <row r="9576" spans="1:2" x14ac:dyDescent="0.2">
      <c r="B9576" t="s">
        <v>3364</v>
      </c>
    </row>
    <row r="9577" spans="1:2" x14ac:dyDescent="0.2">
      <c r="B9577" t="s">
        <v>58</v>
      </c>
    </row>
    <row r="9579" spans="1:2" x14ac:dyDescent="0.2">
      <c r="A9579" t="s">
        <v>3365</v>
      </c>
      <c r="B9579" t="str">
        <f>HYPERLINK("https://lindat.mff.cuni.cz/services/teitok/pdtc10/index.php?action=vallex&amp;frame=v-w1091hsa_1815", "honit (v-w1091hsa_1815)")</f>
        <v>honit (v-w1091hsa_1815)</v>
      </c>
    </row>
    <row r="9580" spans="1:2" x14ac:dyDescent="0.2">
      <c r="B9580" t="s">
        <v>1</v>
      </c>
    </row>
    <row r="9581" spans="1:2" x14ac:dyDescent="0.2">
      <c r="B9581" t="s">
        <v>8</v>
      </c>
    </row>
    <row r="9583" spans="1:2" x14ac:dyDescent="0.2">
      <c r="A9583" t="s">
        <v>3366</v>
      </c>
      <c r="B9583" t="str">
        <f>HYPERLINK("https://lindat.mff.cuni.cz/services/teitok/pdtc10/index.php?action=vallex&amp;frame=v-w1091hsa_1816", "honit (v-w1091hsa_1816)")</f>
        <v>honit (v-w1091hsa_1816)</v>
      </c>
    </row>
    <row r="9584" spans="1:2" x14ac:dyDescent="0.2">
      <c r="B9584" t="s">
        <v>1</v>
      </c>
    </row>
    <row r="9585" spans="1:4" x14ac:dyDescent="0.2">
      <c r="B9585" t="s">
        <v>8</v>
      </c>
    </row>
    <row r="9587" spans="1:4" x14ac:dyDescent="0.2">
      <c r="A9587" t="s">
        <v>3367</v>
      </c>
      <c r="B9587" t="str">
        <f>HYPERLINK("https://lindat.mff.cuni.cz/services/teitok/pdtc10/index.php?action=vallex&amp;frame=v-w1092f1", "honit se (v-w1092f1)")</f>
        <v>honit se (v-w1092f1)</v>
      </c>
    </row>
    <row r="9588" spans="1:4" x14ac:dyDescent="0.2">
      <c r="B9588" t="s">
        <v>1</v>
      </c>
      <c r="C9588" t="s">
        <v>140</v>
      </c>
      <c r="D9588" t="s">
        <v>109</v>
      </c>
    </row>
    <row r="9589" spans="1:4" x14ac:dyDescent="0.2">
      <c r="B9589" t="s">
        <v>3368</v>
      </c>
      <c r="D9589" t="s">
        <v>1190</v>
      </c>
    </row>
    <row r="9591" spans="1:4" x14ac:dyDescent="0.2">
      <c r="A9591" t="s">
        <v>3369</v>
      </c>
      <c r="B9591" t="str">
        <f>HYPERLINK("https://lindat.mff.cuni.cz/services/teitok/pdtc10/index.php?action=vallex&amp;frame=v-w1092f4", "honit se (v-w1092f4)")</f>
        <v>honit se (v-w1092f4)</v>
      </c>
    </row>
    <row r="9592" spans="1:4" x14ac:dyDescent="0.2">
      <c r="B9592" t="s">
        <v>1</v>
      </c>
    </row>
    <row r="9593" spans="1:4" x14ac:dyDescent="0.2">
      <c r="B9593" t="s">
        <v>3368</v>
      </c>
    </row>
    <row r="9595" spans="1:4" x14ac:dyDescent="0.2">
      <c r="A9595" t="s">
        <v>3370</v>
      </c>
      <c r="B9595" t="str">
        <f>HYPERLINK("https://lindat.mff.cuni.cz/services/teitok/pdtc10/index.php?action=vallex&amp;frame=v-w1092f2", "honit se (v-w1092f2)")</f>
        <v>honit se (v-w1092f2)</v>
      </c>
    </row>
    <row r="9596" spans="1:4" x14ac:dyDescent="0.2">
      <c r="B9596" t="s">
        <v>1</v>
      </c>
    </row>
    <row r="9598" spans="1:4" x14ac:dyDescent="0.2">
      <c r="A9598" t="s">
        <v>3371</v>
      </c>
      <c r="B9598" t="str">
        <f>HYPERLINK("https://lindat.mff.cuni.cz/services/teitok/pdtc10/index.php?action=vallex&amp;frame=v-w1092f3", "honit se (v-w1092f3)")</f>
        <v>honit se (v-w1092f3)</v>
      </c>
    </row>
    <row r="9599" spans="1:4" x14ac:dyDescent="0.2">
      <c r="B9599" t="s">
        <v>1</v>
      </c>
    </row>
    <row r="9601" spans="1:2" x14ac:dyDescent="0.2">
      <c r="A9601" t="s">
        <v>3372</v>
      </c>
      <c r="B9601" t="str">
        <f>HYPERLINK("https://lindat.mff.cuni.cz/services/teitok/pdtc10/index.php?action=vallex&amp;frame=v-w1093f1", "honorovat (v-w1093f1)")</f>
        <v>honorovat (v-w1093f1)</v>
      </c>
    </row>
    <row r="9602" spans="1:2" x14ac:dyDescent="0.2">
      <c r="B9602" t="s">
        <v>1</v>
      </c>
    </row>
    <row r="9603" spans="1:2" x14ac:dyDescent="0.2">
      <c r="B9603" t="s">
        <v>8</v>
      </c>
    </row>
    <row r="9605" spans="1:2" x14ac:dyDescent="0.2">
      <c r="A9605" t="s">
        <v>3373</v>
      </c>
      <c r="B9605" t="str">
        <f>HYPERLINK("https://lindat.mff.cuni.cz/services/teitok/pdtc10/index.php?action=vallex&amp;frame=v-w1094f1", "honosit se (v-w1094f1)")</f>
        <v>honosit se (v-w1094f1)</v>
      </c>
    </row>
    <row r="9606" spans="1:2" x14ac:dyDescent="0.2">
      <c r="B9606" t="s">
        <v>1</v>
      </c>
    </row>
    <row r="9607" spans="1:2" x14ac:dyDescent="0.2">
      <c r="B9607" t="s">
        <v>3374</v>
      </c>
    </row>
    <row r="9608" spans="1:2" x14ac:dyDescent="0.2">
      <c r="B9608" t="s">
        <v>3375</v>
      </c>
    </row>
    <row r="9610" spans="1:2" x14ac:dyDescent="0.2">
      <c r="A9610" t="s">
        <v>3376</v>
      </c>
      <c r="B9610" t="str">
        <f>HYPERLINK("https://lindat.mff.cuni.cz/services/teitok/pdtc10/index.php?action=vallex&amp;frame=v-whsa_226hsa_227", "hopsat (v-whsa_226hsa_227)")</f>
        <v>hopsat (v-whsa_226hsa_227)</v>
      </c>
    </row>
    <row r="9611" spans="1:2" x14ac:dyDescent="0.2">
      <c r="B9611" t="s">
        <v>1</v>
      </c>
    </row>
    <row r="9613" spans="1:2" x14ac:dyDescent="0.2">
      <c r="A9613" t="s">
        <v>3377</v>
      </c>
      <c r="B9613" t="str">
        <f>HYPERLINK("https://lindat.mff.cuni.cz/services/teitok/pdtc10/index.php?action=vallex&amp;frame=v-w1095f1", "horlit (v-w1095f1)")</f>
        <v>horlit (v-w1095f1)</v>
      </c>
    </row>
    <row r="9614" spans="1:2" x14ac:dyDescent="0.2">
      <c r="B9614" t="s">
        <v>1</v>
      </c>
    </row>
    <row r="9615" spans="1:2" x14ac:dyDescent="0.2">
      <c r="B9615" t="s">
        <v>277</v>
      </c>
    </row>
    <row r="9617" spans="1:4" x14ac:dyDescent="0.2">
      <c r="A9617" t="s">
        <v>3378</v>
      </c>
      <c r="B9617" t="str">
        <f>HYPERLINK("https://lindat.mff.cuni.cz/services/teitok/pdtc10/index.php?action=vallex&amp;frame=v-w1095f2", "horlit (v-w1095f2)")</f>
        <v>horlit (v-w1095f2)</v>
      </c>
    </row>
    <row r="9618" spans="1:4" x14ac:dyDescent="0.2">
      <c r="B9618" t="s">
        <v>1</v>
      </c>
    </row>
    <row r="9619" spans="1:4" x14ac:dyDescent="0.2">
      <c r="B9619" t="s">
        <v>3379</v>
      </c>
    </row>
    <row r="9621" spans="1:4" x14ac:dyDescent="0.2">
      <c r="A9621" t="s">
        <v>3380</v>
      </c>
      <c r="B9621" t="str">
        <f>HYPERLINK("https://lindat.mff.cuni.cz/services/teitok/pdtc10/index.php?action=vallex&amp;frame=v-w10907f2", "horovat (v-w10907f2)")</f>
        <v>horovat (v-w10907f2)</v>
      </c>
    </row>
    <row r="9622" spans="1:4" x14ac:dyDescent="0.2">
      <c r="B9622" t="s">
        <v>1</v>
      </c>
    </row>
    <row r="9623" spans="1:4" x14ac:dyDescent="0.2">
      <c r="B9623" t="s">
        <v>183</v>
      </c>
    </row>
    <row r="9625" spans="1:4" x14ac:dyDescent="0.2">
      <c r="A9625" t="s">
        <v>3381</v>
      </c>
      <c r="B9625" t="str">
        <f>HYPERLINK("https://lindat.mff.cuni.cz/services/teitok/pdtc10/index.php?action=vallex&amp;frame=v-w12045_ZUf1_ZU", "horšit se (v-w12045_ZUf1_ZU)")</f>
        <v>horšit se (v-w12045_ZUf1_ZU)</v>
      </c>
    </row>
    <row r="9626" spans="1:4" x14ac:dyDescent="0.2">
      <c r="B9626" t="s">
        <v>1</v>
      </c>
    </row>
    <row r="9628" spans="1:4" x14ac:dyDescent="0.2">
      <c r="A9628" t="s">
        <v>3382</v>
      </c>
      <c r="B9628" t="str">
        <f>HYPERLINK("https://lindat.mff.cuni.cz/services/teitok/pdtc10/index.php?action=vallex&amp;frame=v-w1098f1", "hospitalizovat (v-w1098f1)")</f>
        <v>hospitalizovat (v-w1098f1)</v>
      </c>
    </row>
    <row r="9629" spans="1:4" x14ac:dyDescent="0.2">
      <c r="B9629" t="s">
        <v>1</v>
      </c>
    </row>
    <row r="9630" spans="1:4" x14ac:dyDescent="0.2">
      <c r="B9630" t="s">
        <v>8</v>
      </c>
      <c r="C9630" t="s">
        <v>84</v>
      </c>
      <c r="D9630" t="s">
        <v>84</v>
      </c>
    </row>
    <row r="9632" spans="1:4" x14ac:dyDescent="0.2">
      <c r="A9632" t="s">
        <v>3383</v>
      </c>
      <c r="B9632" t="str">
        <f>HYPERLINK("https://lindat.mff.cuni.cz/services/teitok/pdtc10/index.php?action=vallex&amp;frame=v-w1100f2", "hospodařit (v-w1100f2)")</f>
        <v>hospodařit (v-w1100f2)</v>
      </c>
    </row>
    <row r="9633" spans="1:4" x14ac:dyDescent="0.2">
      <c r="B9633" t="s">
        <v>1</v>
      </c>
      <c r="C9633" t="s">
        <v>3384</v>
      </c>
      <c r="D9633" t="s">
        <v>23101</v>
      </c>
    </row>
    <row r="9634" spans="1:4" x14ac:dyDescent="0.2">
      <c r="B9634" t="s">
        <v>1358</v>
      </c>
      <c r="C9634" t="s">
        <v>1107</v>
      </c>
      <c r="D9634" t="s">
        <v>5714</v>
      </c>
    </row>
    <row r="9635" spans="1:4" x14ac:dyDescent="0.2">
      <c r="B9635" t="s">
        <v>346</v>
      </c>
    </row>
    <row r="9636" spans="1:4" x14ac:dyDescent="0.2">
      <c r="B9636" t="s">
        <v>349</v>
      </c>
    </row>
    <row r="9637" spans="1:4" x14ac:dyDescent="0.2">
      <c r="B9637" t="s">
        <v>350</v>
      </c>
    </row>
    <row r="9638" spans="1:4" x14ac:dyDescent="0.2">
      <c r="B9638" t="s">
        <v>351</v>
      </c>
    </row>
    <row r="9640" spans="1:4" x14ac:dyDescent="0.2">
      <c r="A9640" t="s">
        <v>3385</v>
      </c>
      <c r="B9640" t="str">
        <f>HYPERLINK("https://lindat.mff.cuni.cz/services/teitok/pdtc10/index.php?action=vallex&amp;frame=v-w1100f1", "hospodařit (v-w1100f1)")</f>
        <v>hospodařit (v-w1100f1)</v>
      </c>
    </row>
    <row r="9641" spans="1:4" x14ac:dyDescent="0.2">
      <c r="B9641" t="s">
        <v>1</v>
      </c>
    </row>
    <row r="9643" spans="1:4" x14ac:dyDescent="0.2">
      <c r="A9643" t="s">
        <v>3386</v>
      </c>
      <c r="B9643" t="str">
        <f>HYPERLINK("https://lindat.mff.cuni.cz/services/teitok/pdtc10/index.php?action=vallex&amp;frame=v-w1101f1", "hostit (v-w1101f1)")</f>
        <v>hostit (v-w1101f1)</v>
      </c>
    </row>
    <row r="9644" spans="1:4" x14ac:dyDescent="0.2">
      <c r="B9644" t="s">
        <v>1</v>
      </c>
      <c r="C9644" t="s">
        <v>83</v>
      </c>
      <c r="D9644" t="s">
        <v>83</v>
      </c>
    </row>
    <row r="9645" spans="1:4" x14ac:dyDescent="0.2">
      <c r="B9645" t="s">
        <v>8</v>
      </c>
      <c r="C9645" t="s">
        <v>1044</v>
      </c>
      <c r="D9645" t="s">
        <v>1044</v>
      </c>
    </row>
    <row r="9647" spans="1:4" x14ac:dyDescent="0.2">
      <c r="A9647" t="s">
        <v>3387</v>
      </c>
      <c r="B9647" t="str">
        <f>HYPERLINK("https://lindat.mff.cuni.cz/services/teitok/pdtc10/index.php?action=vallex&amp;frame=v-w1104f1", "hostovat (v-w1104f1)")</f>
        <v>hostovat (v-w1104f1)</v>
      </c>
    </row>
    <row r="9648" spans="1:4" x14ac:dyDescent="0.2">
      <c r="B9648" t="s">
        <v>1</v>
      </c>
      <c r="D9648" t="s">
        <v>22</v>
      </c>
    </row>
    <row r="9649" spans="1:4" x14ac:dyDescent="0.2">
      <c r="B9649" t="s">
        <v>5</v>
      </c>
    </row>
    <row r="9651" spans="1:4" x14ac:dyDescent="0.2">
      <c r="A9651" t="s">
        <v>3388</v>
      </c>
      <c r="B9651" t="str">
        <f>HYPERLINK("https://lindat.mff.cuni.cz/services/teitok/pdtc10/index.php?action=vallex&amp;frame=v-whsa_1171hsa_1172", "houbařit (v-whsa_1171hsa_1172)")</f>
        <v>houbařit (v-whsa_1171hsa_1172)</v>
      </c>
    </row>
    <row r="9652" spans="1:4" x14ac:dyDescent="0.2">
      <c r="B9652" t="s">
        <v>1</v>
      </c>
    </row>
    <row r="9654" spans="1:4" x14ac:dyDescent="0.2">
      <c r="A9654" t="s">
        <v>3389</v>
      </c>
      <c r="B9654" t="str">
        <f>HYPERLINK("https://lindat.mff.cuni.cz/services/teitok/pdtc10/index.php?action=vallex&amp;frame=v-w1106f1", "houfovat se (v-w1106f1)")</f>
        <v>houfovat se (v-w1106f1)</v>
      </c>
    </row>
    <row r="9655" spans="1:4" x14ac:dyDescent="0.2">
      <c r="B9655" t="s">
        <v>1</v>
      </c>
    </row>
    <row r="9656" spans="1:4" x14ac:dyDescent="0.2">
      <c r="B9656" t="s">
        <v>3390</v>
      </c>
    </row>
    <row r="9658" spans="1:4" x14ac:dyDescent="0.2">
      <c r="A9658" t="s">
        <v>3391</v>
      </c>
      <c r="B9658" t="str">
        <f>HYPERLINK("https://lindat.mff.cuni.cz/services/teitok/pdtc10/index.php?action=vallex&amp;frame=v-w1107hsa_454", "houkat (v-w1107hsa_454)")</f>
        <v>houkat (v-w1107hsa_454)</v>
      </c>
    </row>
    <row r="9659" spans="1:4" x14ac:dyDescent="0.2">
      <c r="B9659" t="s">
        <v>1</v>
      </c>
    </row>
    <row r="9660" spans="1:4" x14ac:dyDescent="0.2">
      <c r="B9660" t="s">
        <v>220</v>
      </c>
    </row>
    <row r="9662" spans="1:4" x14ac:dyDescent="0.2">
      <c r="A9662" t="s">
        <v>3391</v>
      </c>
      <c r="B9662" t="str">
        <f>HYPERLINK("https://lindat.mff.cuni.cz/services/teitok/pdtc10/index.php?action=vallex&amp;frame=v-w1107f1", "houkat (v-w1107f1) - substituted with v-w1107hsa_454")</f>
        <v>houkat (v-w1107f1) - substituted with v-w1107hsa_454</v>
      </c>
    </row>
    <row r="9663" spans="1:4" x14ac:dyDescent="0.2">
      <c r="B9663" t="s">
        <v>1</v>
      </c>
      <c r="D9663" t="s">
        <v>1709</v>
      </c>
    </row>
    <row r="9664" spans="1:4" x14ac:dyDescent="0.2">
      <c r="B9664" t="s">
        <v>220</v>
      </c>
    </row>
    <row r="9666" spans="1:4" x14ac:dyDescent="0.2">
      <c r="A9666" t="s">
        <v>3392</v>
      </c>
      <c r="B9666" t="str">
        <f>HYPERLINK("https://lindat.mff.cuni.cz/services/teitok/pdtc10/index.php?action=vallex&amp;frame=v-whsa_168hsa_169", "houpat (v-whsa_168hsa_169)")</f>
        <v>houpat (v-whsa_168hsa_169)</v>
      </c>
    </row>
    <row r="9667" spans="1:4" x14ac:dyDescent="0.2">
      <c r="B9667" t="s">
        <v>1</v>
      </c>
    </row>
    <row r="9668" spans="1:4" x14ac:dyDescent="0.2">
      <c r="B9668" t="s">
        <v>8</v>
      </c>
    </row>
    <row r="9670" spans="1:4" x14ac:dyDescent="0.2">
      <c r="A9670" t="s">
        <v>3393</v>
      </c>
      <c r="B9670" t="str">
        <f>HYPERLINK("https://lindat.mff.cuni.cz/services/teitok/pdtc10/index.php?action=vallex&amp;frame=v-w1108f1", "houpat se (v-w1108f1)")</f>
        <v>houpat se (v-w1108f1)</v>
      </c>
    </row>
    <row r="9671" spans="1:4" x14ac:dyDescent="0.2">
      <c r="B9671" t="s">
        <v>1</v>
      </c>
      <c r="C9671" t="s">
        <v>201</v>
      </c>
      <c r="D9671" t="s">
        <v>23346</v>
      </c>
    </row>
    <row r="9673" spans="1:4" x14ac:dyDescent="0.2">
      <c r="A9673" t="s">
        <v>3394</v>
      </c>
      <c r="B9673" t="str">
        <f>HYPERLINK("https://lindat.mff.cuni.cz/services/teitok/pdtc10/index.php?action=vallex&amp;frame=v-w1108hsa_1075", "houpat se (v-w1108hsa_1075)")</f>
        <v>houpat se (v-w1108hsa_1075)</v>
      </c>
    </row>
    <row r="9674" spans="1:4" x14ac:dyDescent="0.2">
      <c r="B9674" t="s">
        <v>1</v>
      </c>
      <c r="C9674" t="s">
        <v>2172</v>
      </c>
      <c r="D9674" t="s">
        <v>23346</v>
      </c>
    </row>
    <row r="9676" spans="1:4" x14ac:dyDescent="0.2">
      <c r="A9676" t="s">
        <v>3395</v>
      </c>
      <c r="B9676" t="str">
        <f>HYPERLINK("https://lindat.mff.cuni.cz/services/teitok/pdtc10/index.php?action=vallex&amp;frame=v-w11088f3_ZU", "houstnout (v-w11088f3_ZU)")</f>
        <v>houstnout (v-w11088f3_ZU)</v>
      </c>
    </row>
    <row r="9677" spans="1:4" x14ac:dyDescent="0.2">
      <c r="B9677" t="s">
        <v>1</v>
      </c>
      <c r="C9677" t="s">
        <v>186</v>
      </c>
      <c r="D9677" t="s">
        <v>23347</v>
      </c>
    </row>
    <row r="9679" spans="1:4" x14ac:dyDescent="0.2">
      <c r="A9679" t="s">
        <v>3395</v>
      </c>
      <c r="B9679" t="str">
        <f>HYPERLINK("https://lindat.mff.cuni.cz/services/teitok/pdtc10/index.php?action=vallex&amp;frame=v-w11088f2", "houstnout (v-w11088f2) - substituted with v-w11088f3_ZU")</f>
        <v>houstnout (v-w11088f2) - substituted with v-w11088f3_ZU</v>
      </c>
    </row>
    <row r="9680" spans="1:4" x14ac:dyDescent="0.2">
      <c r="B9680" t="s">
        <v>1</v>
      </c>
    </row>
    <row r="9682" spans="1:4" x14ac:dyDescent="0.2">
      <c r="A9682" t="s">
        <v>3396</v>
      </c>
      <c r="B9682" t="str">
        <f>HYPERLINK("https://lindat.mff.cuni.cz/services/teitok/pdtc10/index.php?action=vallex&amp;frame=v-w1111f1", "hovořit (v-w1111f1)")</f>
        <v>hovořit (v-w1111f1)</v>
      </c>
    </row>
    <row r="9683" spans="1:4" x14ac:dyDescent="0.2">
      <c r="B9683" t="s">
        <v>1</v>
      </c>
      <c r="C9683" t="s">
        <v>3397</v>
      </c>
      <c r="D9683" t="s">
        <v>22973</v>
      </c>
    </row>
    <row r="9684" spans="1:4" x14ac:dyDescent="0.2">
      <c r="B9684" t="s">
        <v>3398</v>
      </c>
      <c r="C9684" t="s">
        <v>3399</v>
      </c>
      <c r="D9684" t="s">
        <v>22974</v>
      </c>
    </row>
    <row r="9685" spans="1:4" x14ac:dyDescent="0.2">
      <c r="B9685" t="s">
        <v>2328</v>
      </c>
      <c r="C9685" t="s">
        <v>3400</v>
      </c>
      <c r="D9685" t="s">
        <v>22975</v>
      </c>
    </row>
    <row r="9687" spans="1:4" x14ac:dyDescent="0.2">
      <c r="A9687" t="s">
        <v>3401</v>
      </c>
      <c r="B9687" t="str">
        <f>HYPERLINK("https://lindat.mff.cuni.cz/services/teitok/pdtc10/index.php?action=vallex&amp;frame=v-w1111f13_ZU", "hovořit (v-w1111f13_ZU)")</f>
        <v>hovořit (v-w1111f13_ZU)</v>
      </c>
    </row>
    <row r="9688" spans="1:4" x14ac:dyDescent="0.2">
      <c r="B9688" t="s">
        <v>1</v>
      </c>
    </row>
    <row r="9689" spans="1:4" x14ac:dyDescent="0.2">
      <c r="B9689" t="s">
        <v>3402</v>
      </c>
    </row>
    <row r="9690" spans="1:4" x14ac:dyDescent="0.2">
      <c r="B9690" t="s">
        <v>949</v>
      </c>
    </row>
    <row r="9692" spans="1:4" x14ac:dyDescent="0.2">
      <c r="A9692" t="s">
        <v>3401</v>
      </c>
      <c r="B9692" t="str">
        <f>HYPERLINK("https://lindat.mff.cuni.cz/services/teitok/pdtc10/index.php?action=vallex&amp;frame=v-w1111f5", "hovořit (v-w1111f5) - substituted with v-w1111f13_ZU")</f>
        <v>hovořit (v-w1111f5) - substituted with v-w1111f13_ZU</v>
      </c>
    </row>
    <row r="9693" spans="1:4" x14ac:dyDescent="0.2">
      <c r="B9693" t="s">
        <v>1</v>
      </c>
      <c r="C9693" t="s">
        <v>234</v>
      </c>
      <c r="D9693" t="s">
        <v>22973</v>
      </c>
    </row>
    <row r="9694" spans="1:4" x14ac:dyDescent="0.2">
      <c r="B9694" t="s">
        <v>3402</v>
      </c>
      <c r="C9694" t="s">
        <v>3403</v>
      </c>
      <c r="D9694" t="s">
        <v>22974</v>
      </c>
    </row>
    <row r="9695" spans="1:4" x14ac:dyDescent="0.2">
      <c r="B9695" t="s">
        <v>949</v>
      </c>
      <c r="C9695" t="s">
        <v>3404</v>
      </c>
      <c r="D9695" t="s">
        <v>22975</v>
      </c>
    </row>
    <row r="9697" spans="1:4" x14ac:dyDescent="0.2">
      <c r="A9697" t="s">
        <v>3405</v>
      </c>
      <c r="B9697" t="str">
        <f>HYPERLINK("https://lindat.mff.cuni.cz/services/teitok/pdtc10/index.php?action=vallex&amp;frame=v-w1111f10", "hovořit (v-w1111f10)")</f>
        <v>hovořit (v-w1111f10)</v>
      </c>
    </row>
    <row r="9698" spans="1:4" x14ac:dyDescent="0.2">
      <c r="B9698" t="s">
        <v>1</v>
      </c>
    </row>
    <row r="9699" spans="1:4" x14ac:dyDescent="0.2">
      <c r="B9699" t="s">
        <v>8</v>
      </c>
    </row>
    <row r="9701" spans="1:4" x14ac:dyDescent="0.2">
      <c r="A9701" t="s">
        <v>3406</v>
      </c>
      <c r="B9701" t="str">
        <f>HYPERLINK("https://lindat.mff.cuni.cz/services/teitok/pdtc10/index.php?action=vallex&amp;frame=v-w1111f9", "hovořit (v-w1111f9)")</f>
        <v>hovořit (v-w1111f9)</v>
      </c>
    </row>
    <row r="9702" spans="1:4" x14ac:dyDescent="0.2">
      <c r="B9702" t="s">
        <v>1</v>
      </c>
      <c r="C9702" t="s">
        <v>133</v>
      </c>
    </row>
    <row r="9703" spans="1:4" x14ac:dyDescent="0.2">
      <c r="B9703" t="s">
        <v>8</v>
      </c>
    </row>
    <row r="9705" spans="1:4" x14ac:dyDescent="0.2">
      <c r="A9705" t="s">
        <v>3407</v>
      </c>
      <c r="B9705" t="str">
        <f>HYPERLINK("https://lindat.mff.cuni.cz/services/teitok/pdtc10/index.php?action=vallex&amp;frame=v-w1111f2", "hovořit (v-w1111f2)")</f>
        <v>hovořit (v-w1111f2)</v>
      </c>
    </row>
    <row r="9706" spans="1:4" x14ac:dyDescent="0.2">
      <c r="B9706" t="s">
        <v>1</v>
      </c>
      <c r="C9706" t="s">
        <v>3408</v>
      </c>
    </row>
    <row r="9707" spans="1:4" x14ac:dyDescent="0.2">
      <c r="B9707" t="s">
        <v>183</v>
      </c>
      <c r="C9707" t="s">
        <v>3409</v>
      </c>
    </row>
    <row r="9709" spans="1:4" x14ac:dyDescent="0.2">
      <c r="A9709" t="s">
        <v>3410</v>
      </c>
      <c r="B9709" t="str">
        <f>HYPERLINK("https://lindat.mff.cuni.cz/services/teitok/pdtc10/index.php?action=vallex&amp;frame=v-w1111f12_ZU", "hovořit (v-w1111f12_ZU)")</f>
        <v>hovořit (v-w1111f12_ZU)</v>
      </c>
    </row>
    <row r="9710" spans="1:4" x14ac:dyDescent="0.2">
      <c r="B9710" t="s">
        <v>1</v>
      </c>
      <c r="C9710" t="s">
        <v>33</v>
      </c>
      <c r="D9710" t="s">
        <v>109</v>
      </c>
    </row>
    <row r="9711" spans="1:4" x14ac:dyDescent="0.2">
      <c r="B9711" t="s">
        <v>3411</v>
      </c>
      <c r="D9711" t="s">
        <v>23348</v>
      </c>
    </row>
    <row r="9713" spans="1:4" x14ac:dyDescent="0.2">
      <c r="A9713" t="s">
        <v>3410</v>
      </c>
      <c r="B9713" t="str">
        <f>HYPERLINK("https://lindat.mff.cuni.cz/services/teitok/pdtc10/index.php?action=vallex&amp;frame=v-w1111f3", "hovořit (v-w1111f3) - substituted with v-w1111f12_ZU")</f>
        <v>hovořit (v-w1111f3) - substituted with v-w1111f12_ZU</v>
      </c>
    </row>
    <row r="9714" spans="1:4" x14ac:dyDescent="0.2">
      <c r="B9714" t="s">
        <v>1</v>
      </c>
    </row>
    <row r="9715" spans="1:4" x14ac:dyDescent="0.2">
      <c r="B9715" t="s">
        <v>3411</v>
      </c>
    </row>
    <row r="9717" spans="1:4" x14ac:dyDescent="0.2">
      <c r="A9717" t="s">
        <v>3412</v>
      </c>
      <c r="B9717" t="str">
        <f>HYPERLINK("https://lindat.mff.cuni.cz/services/teitok/pdtc10/index.php?action=vallex&amp;frame=v-w1111f6", "hovořit (v-w1111f6)")</f>
        <v>hovořit (v-w1111f6)</v>
      </c>
    </row>
    <row r="9718" spans="1:4" x14ac:dyDescent="0.2">
      <c r="B9718" t="s">
        <v>1</v>
      </c>
      <c r="C9718" t="s">
        <v>3413</v>
      </c>
    </row>
    <row r="9719" spans="1:4" x14ac:dyDescent="0.2">
      <c r="B9719" t="s">
        <v>3414</v>
      </c>
      <c r="C9719" t="s">
        <v>3415</v>
      </c>
    </row>
    <row r="9720" spans="1:4" x14ac:dyDescent="0.2">
      <c r="B9720" t="s">
        <v>269</v>
      </c>
      <c r="C9720" t="s">
        <v>1472</v>
      </c>
    </row>
    <row r="9722" spans="1:4" x14ac:dyDescent="0.2">
      <c r="A9722" t="s">
        <v>3416</v>
      </c>
      <c r="B9722" t="str">
        <f>HYPERLINK("https://lindat.mff.cuni.cz/services/teitok/pdtc10/index.php?action=vallex&amp;frame=v-w1111f4", "hovořit (v-w1111f4)")</f>
        <v>hovořit (v-w1111f4)</v>
      </c>
    </row>
    <row r="9723" spans="1:4" x14ac:dyDescent="0.2">
      <c r="B9723" t="s">
        <v>1</v>
      </c>
      <c r="C9723" t="s">
        <v>3417</v>
      </c>
      <c r="D9723" t="s">
        <v>3417</v>
      </c>
    </row>
    <row r="9725" spans="1:4" x14ac:dyDescent="0.2">
      <c r="A9725" t="s">
        <v>3418</v>
      </c>
      <c r="B9725" t="str">
        <f>HYPERLINK("https://lindat.mff.cuni.cz/services/teitok/pdtc10/index.php?action=vallex&amp;frame=v-w1111f11", "hovořit (v-w1111f11)")</f>
        <v>hovořit (v-w1111f11)</v>
      </c>
    </row>
    <row r="9726" spans="1:4" x14ac:dyDescent="0.2">
      <c r="B9726" t="s">
        <v>1</v>
      </c>
    </row>
    <row r="9727" spans="1:4" x14ac:dyDescent="0.2">
      <c r="B9727" t="s">
        <v>3419</v>
      </c>
    </row>
    <row r="9728" spans="1:4" x14ac:dyDescent="0.2">
      <c r="B9728" t="s">
        <v>103</v>
      </c>
    </row>
    <row r="9730" spans="1:2" x14ac:dyDescent="0.2">
      <c r="A9730" t="s">
        <v>3420</v>
      </c>
      <c r="B9730" t="str">
        <f>HYPERLINK("https://lindat.mff.cuni.cz/services/teitok/pdtc10/index.php?action=vallex&amp;frame=v-w1111f8", "hovořit (v-w1111f8)")</f>
        <v>hovořit (v-w1111f8)</v>
      </c>
    </row>
    <row r="9731" spans="1:2" x14ac:dyDescent="0.2">
      <c r="B9731" t="s">
        <v>1</v>
      </c>
    </row>
    <row r="9732" spans="1:2" x14ac:dyDescent="0.2">
      <c r="B9732" t="s">
        <v>3421</v>
      </c>
    </row>
    <row r="9734" spans="1:2" x14ac:dyDescent="0.2">
      <c r="A9734" t="s">
        <v>3422</v>
      </c>
      <c r="B9734" t="str">
        <f>HYPERLINK("https://lindat.mff.cuni.cz/services/teitok/pdtc10/index.php?action=vallex&amp;frame=v-w1111f7", "hovořit (v-w1111f7)")</f>
        <v>hovořit (v-w1111f7)</v>
      </c>
    </row>
    <row r="9735" spans="1:2" x14ac:dyDescent="0.2">
      <c r="B9735" t="s">
        <v>1</v>
      </c>
    </row>
    <row r="9736" spans="1:2" x14ac:dyDescent="0.2">
      <c r="B9736" t="s">
        <v>3423</v>
      </c>
    </row>
    <row r="9738" spans="1:2" x14ac:dyDescent="0.2">
      <c r="A9738" t="s">
        <v>3424</v>
      </c>
      <c r="B9738" t="str">
        <f>HYPERLINK("https://lindat.mff.cuni.cz/services/teitok/pdtc10/index.php?action=vallex&amp;frame=v-w1109f1", "hovět si (v-w1109f1)")</f>
        <v>hovět si (v-w1109f1)</v>
      </c>
    </row>
    <row r="9739" spans="1:2" x14ac:dyDescent="0.2">
      <c r="B9739" t="s">
        <v>1</v>
      </c>
    </row>
    <row r="9741" spans="1:2" x14ac:dyDescent="0.2">
      <c r="A9741" t="s">
        <v>3425</v>
      </c>
      <c r="B9741" t="str">
        <f>HYPERLINK("https://lindat.mff.cuni.cz/services/teitok/pdtc10/index.php?action=vallex&amp;frame=v-w1096f5_ZU", "hořet (v-w1096f5_ZU)")</f>
        <v>hořet (v-w1096f5_ZU)</v>
      </c>
    </row>
    <row r="9742" spans="1:2" x14ac:dyDescent="0.2">
      <c r="B9742" t="s">
        <v>1</v>
      </c>
    </row>
    <row r="9744" spans="1:2" x14ac:dyDescent="0.2">
      <c r="A9744" t="s">
        <v>3425</v>
      </c>
      <c r="B9744" t="str">
        <f>HYPERLINK("https://lindat.mff.cuni.cz/services/teitok/pdtc10/index.php?action=vallex&amp;frame=v-w1096f1", "hořet (v-w1096f1) - substituted with v-w1096f5_ZU")</f>
        <v>hořet (v-w1096f1) - substituted with v-w1096f5_ZU</v>
      </c>
    </row>
    <row r="9745" spans="1:4" x14ac:dyDescent="0.2">
      <c r="B9745" t="s">
        <v>1</v>
      </c>
      <c r="C9745" t="s">
        <v>147</v>
      </c>
      <c r="D9745" t="s">
        <v>147</v>
      </c>
    </row>
    <row r="9747" spans="1:4" x14ac:dyDescent="0.2">
      <c r="A9747" t="s">
        <v>3426</v>
      </c>
      <c r="B9747" t="str">
        <f>HYPERLINK("https://lindat.mff.cuni.cz/services/teitok/pdtc10/index.php?action=vallex&amp;frame=v-w1096f3", "hořet (v-w1096f3)")</f>
        <v>hořet (v-w1096f3)</v>
      </c>
    </row>
    <row r="9748" spans="1:4" x14ac:dyDescent="0.2">
      <c r="B9748" t="s">
        <v>1</v>
      </c>
    </row>
    <row r="9750" spans="1:4" x14ac:dyDescent="0.2">
      <c r="A9750" t="s">
        <v>3427</v>
      </c>
      <c r="B9750" t="str">
        <f>HYPERLINK("https://lindat.mff.cuni.cz/services/teitok/pdtc10/index.php?action=vallex&amp;frame=v-w1096f4_ZU", "hořet (v-w1096f4_ZU)")</f>
        <v>hořet (v-w1096f4_ZU)</v>
      </c>
    </row>
    <row r="9751" spans="1:4" x14ac:dyDescent="0.2">
      <c r="B9751" t="s">
        <v>1</v>
      </c>
    </row>
    <row r="9753" spans="1:4" x14ac:dyDescent="0.2">
      <c r="A9753" t="s">
        <v>3428</v>
      </c>
      <c r="B9753" t="str">
        <f>HYPERLINK("https://lindat.mff.cuni.cz/services/teitok/pdtc10/index.php?action=vallex&amp;frame=v-w1096f2", "hořet (v-w1096f2)")</f>
        <v>hořet (v-w1096f2)</v>
      </c>
    </row>
    <row r="9754" spans="1:4" x14ac:dyDescent="0.2">
      <c r="B9754" t="s">
        <v>1</v>
      </c>
    </row>
    <row r="9755" spans="1:4" x14ac:dyDescent="0.2">
      <c r="B9755" t="s">
        <v>3429</v>
      </c>
    </row>
    <row r="9757" spans="1:4" x14ac:dyDescent="0.2">
      <c r="A9757" t="s">
        <v>3430</v>
      </c>
      <c r="B9757" t="str">
        <f>HYPERLINK("https://lindat.mff.cuni.cz/services/teitok/pdtc10/index.php?action=vallex&amp;frame=v-w10638f3_ZU", "hrabat (v-w10638f3_ZU)")</f>
        <v>hrabat (v-w10638f3_ZU)</v>
      </c>
    </row>
    <row r="9758" spans="1:4" x14ac:dyDescent="0.2">
      <c r="B9758" t="s">
        <v>1</v>
      </c>
    </row>
    <row r="9759" spans="1:4" x14ac:dyDescent="0.2">
      <c r="B9759" t="s">
        <v>8</v>
      </c>
    </row>
    <row r="9760" spans="1:4" x14ac:dyDescent="0.2">
      <c r="B9760" t="s">
        <v>3431</v>
      </c>
    </row>
    <row r="9762" spans="1:4" x14ac:dyDescent="0.2">
      <c r="A9762" t="s">
        <v>3430</v>
      </c>
      <c r="B9762" t="str">
        <f>HYPERLINK("https://lindat.mff.cuni.cz/services/teitok/pdtc10/index.php?action=vallex&amp;frame=v-w10638f2", "hrabat (v-w10638f2) - substituted with v-w10638f3_ZU")</f>
        <v>hrabat (v-w10638f2) - substituted with v-w10638f3_ZU</v>
      </c>
    </row>
    <row r="9763" spans="1:4" x14ac:dyDescent="0.2">
      <c r="B9763" t="s">
        <v>1</v>
      </c>
      <c r="C9763" t="s">
        <v>3432</v>
      </c>
    </row>
    <row r="9764" spans="1:4" x14ac:dyDescent="0.2">
      <c r="B9764" t="s">
        <v>8</v>
      </c>
      <c r="C9764" t="s">
        <v>3433</v>
      </c>
    </row>
    <row r="9765" spans="1:4" x14ac:dyDescent="0.2">
      <c r="B9765" t="s">
        <v>3431</v>
      </c>
    </row>
    <row r="9767" spans="1:4" x14ac:dyDescent="0.2">
      <c r="A9767" t="s">
        <v>3434</v>
      </c>
      <c r="B9767" t="str">
        <f>HYPERLINK("https://lindat.mff.cuni.cz/services/teitok/pdtc10/index.php?action=vallex&amp;frame=v-w11356f1", "hrabat se (v-w11356f1)")</f>
        <v>hrabat se (v-w11356f1)</v>
      </c>
    </row>
    <row r="9768" spans="1:4" x14ac:dyDescent="0.2">
      <c r="B9768" t="s">
        <v>1</v>
      </c>
      <c r="C9768" t="s">
        <v>140</v>
      </c>
      <c r="D9768" t="s">
        <v>83</v>
      </c>
    </row>
    <row r="9769" spans="1:4" x14ac:dyDescent="0.2">
      <c r="B9769" t="s">
        <v>889</v>
      </c>
      <c r="C9769" t="s">
        <v>3435</v>
      </c>
      <c r="D9769" t="s">
        <v>23349</v>
      </c>
    </row>
    <row r="9771" spans="1:4" x14ac:dyDescent="0.2">
      <c r="A9771" t="s">
        <v>3436</v>
      </c>
      <c r="B9771" t="str">
        <f>HYPERLINK("https://lindat.mff.cuni.cz/services/teitok/pdtc10/index.php?action=vallex&amp;frame=v-w1116f1", "hradit (v-w1116f1)")</f>
        <v>hradit (v-w1116f1)</v>
      </c>
    </row>
    <row r="9772" spans="1:4" x14ac:dyDescent="0.2">
      <c r="B9772" t="s">
        <v>1</v>
      </c>
      <c r="C9772" t="s">
        <v>3437</v>
      </c>
      <c r="D9772" t="s">
        <v>23350</v>
      </c>
    </row>
    <row r="9773" spans="1:4" x14ac:dyDescent="0.2">
      <c r="B9773" t="s">
        <v>8</v>
      </c>
      <c r="C9773" t="s">
        <v>3438</v>
      </c>
      <c r="D9773" t="s">
        <v>23351</v>
      </c>
    </row>
    <row r="9774" spans="1:4" x14ac:dyDescent="0.2">
      <c r="B9774" t="s">
        <v>78</v>
      </c>
      <c r="C9774" t="s">
        <v>3439</v>
      </c>
      <c r="D9774" t="s">
        <v>23352</v>
      </c>
    </row>
    <row r="9775" spans="1:4" x14ac:dyDescent="0.2">
      <c r="B9775" t="s">
        <v>413</v>
      </c>
    </row>
    <row r="9777" spans="1:2" x14ac:dyDescent="0.2">
      <c r="A9777" t="s">
        <v>3440</v>
      </c>
      <c r="B9777" t="str">
        <f>HYPERLINK("https://lindat.mff.cuni.cz/services/teitok/pdtc10/index.php?action=vallex&amp;frame=v-w1116f2", "hradit (v-w1116f2)")</f>
        <v>hradit (v-w1116f2)</v>
      </c>
    </row>
    <row r="9778" spans="1:2" x14ac:dyDescent="0.2">
      <c r="B9778" t="s">
        <v>1</v>
      </c>
    </row>
    <row r="9779" spans="1:2" x14ac:dyDescent="0.2">
      <c r="B9779" t="s">
        <v>524</v>
      </c>
    </row>
    <row r="9780" spans="1:2" x14ac:dyDescent="0.2">
      <c r="B9780" t="s">
        <v>1382</v>
      </c>
    </row>
    <row r="9781" spans="1:2" x14ac:dyDescent="0.2">
      <c r="B9781" t="s">
        <v>78</v>
      </c>
    </row>
    <row r="9783" spans="1:2" x14ac:dyDescent="0.2">
      <c r="A9783" t="s">
        <v>3441</v>
      </c>
      <c r="B9783" t="str">
        <f>HYPERLINK("https://lindat.mff.cuni.cz/services/teitok/pdtc10/index.php?action=vallex&amp;frame=v-w1121f1", "hraničit (v-w1121f1)")</f>
        <v>hraničit (v-w1121f1)</v>
      </c>
    </row>
    <row r="9784" spans="1:2" x14ac:dyDescent="0.2">
      <c r="B9784" t="s">
        <v>1</v>
      </c>
    </row>
    <row r="9785" spans="1:2" x14ac:dyDescent="0.2">
      <c r="B9785" t="s">
        <v>411</v>
      </c>
    </row>
    <row r="9787" spans="1:2" x14ac:dyDescent="0.2">
      <c r="A9787" t="s">
        <v>3442</v>
      </c>
      <c r="B9787" t="str">
        <f>HYPERLINK("https://lindat.mff.cuni.cz/services/teitok/pdtc10/index.php?action=vallex&amp;frame=v-w1121f2", "hraničit (v-w1121f2)")</f>
        <v>hraničit (v-w1121f2)</v>
      </c>
    </row>
    <row r="9788" spans="1:2" x14ac:dyDescent="0.2">
      <c r="B9788" t="s">
        <v>1</v>
      </c>
    </row>
    <row r="9789" spans="1:2" x14ac:dyDescent="0.2">
      <c r="B9789" t="s">
        <v>411</v>
      </c>
    </row>
    <row r="9791" spans="1:2" x14ac:dyDescent="0.2">
      <c r="A9791" t="s">
        <v>3443</v>
      </c>
      <c r="B9791" t="str">
        <f>HYPERLINK("https://lindat.mff.cuni.cz/services/teitok/pdtc10/index.php?action=vallex&amp;frame=v-w11720_ZUf1_ZU", "hrkat (v-w11720_ZUf1_ZU)")</f>
        <v>hrkat (v-w11720_ZUf1_ZU)</v>
      </c>
    </row>
    <row r="9792" spans="1:2" x14ac:dyDescent="0.2">
      <c r="B9792" t="s">
        <v>1</v>
      </c>
    </row>
    <row r="9794" spans="1:4" x14ac:dyDescent="0.2">
      <c r="A9794" t="s">
        <v>3444</v>
      </c>
      <c r="B9794" t="str">
        <f>HYPERLINK("https://lindat.mff.cuni.cz/services/teitok/pdtc10/index.php?action=vallex&amp;frame=v-w1129f1", "hrknout (v-w1129f1)")</f>
        <v>hrknout (v-w1129f1)</v>
      </c>
    </row>
    <row r="9795" spans="1:4" x14ac:dyDescent="0.2">
      <c r="B9795" t="s">
        <v>1</v>
      </c>
    </row>
    <row r="9797" spans="1:4" x14ac:dyDescent="0.2">
      <c r="A9797" t="s">
        <v>3445</v>
      </c>
      <c r="B9797" t="str">
        <f>HYPERLINK("https://lindat.mff.cuni.cz/services/teitok/pdtc10/index.php?action=vallex&amp;frame=v-w1129f2", "hrknout (v-w1129f2)")</f>
        <v>hrknout (v-w1129f2)</v>
      </c>
    </row>
    <row r="9798" spans="1:4" x14ac:dyDescent="0.2">
      <c r="B9798" t="s">
        <v>5</v>
      </c>
    </row>
    <row r="9800" spans="1:4" x14ac:dyDescent="0.2">
      <c r="A9800" t="s">
        <v>3446</v>
      </c>
      <c r="B9800" t="str">
        <f>HYPERLINK("https://lindat.mff.cuni.cz/services/teitok/pdtc10/index.php?action=vallex&amp;frame=v-w1130f1", "hrnout (v-w1130f1)")</f>
        <v>hrnout (v-w1130f1)</v>
      </c>
    </row>
    <row r="9801" spans="1:4" x14ac:dyDescent="0.2">
      <c r="B9801" t="s">
        <v>1</v>
      </c>
    </row>
    <row r="9802" spans="1:4" x14ac:dyDescent="0.2">
      <c r="B9802" t="s">
        <v>8</v>
      </c>
    </row>
    <row r="9803" spans="1:4" x14ac:dyDescent="0.2">
      <c r="B9803" t="s">
        <v>130</v>
      </c>
    </row>
    <row r="9805" spans="1:4" x14ac:dyDescent="0.2">
      <c r="A9805" t="s">
        <v>3447</v>
      </c>
      <c r="B9805" t="str">
        <f>HYPERLINK("https://lindat.mff.cuni.cz/services/teitok/pdtc10/index.php?action=vallex&amp;frame=v-w1131f1", "hrnout se (v-w1131f1)")</f>
        <v>hrnout se (v-w1131f1)</v>
      </c>
    </row>
    <row r="9806" spans="1:4" x14ac:dyDescent="0.2">
      <c r="B9806" t="s">
        <v>1</v>
      </c>
      <c r="C9806" t="s">
        <v>3448</v>
      </c>
      <c r="D9806" t="s">
        <v>23353</v>
      </c>
    </row>
    <row r="9807" spans="1:4" x14ac:dyDescent="0.2">
      <c r="B9807" t="s">
        <v>90</v>
      </c>
      <c r="C9807" t="s">
        <v>3449</v>
      </c>
      <c r="D9807" t="s">
        <v>23354</v>
      </c>
    </row>
    <row r="9809" spans="1:4" x14ac:dyDescent="0.2">
      <c r="A9809" t="s">
        <v>3450</v>
      </c>
      <c r="B9809" t="str">
        <f>HYPERLINK("https://lindat.mff.cuni.cz/services/teitok/pdtc10/index.php?action=vallex&amp;frame=v-w1132f1", "hromadit (v-w1132f1)")</f>
        <v>hromadit (v-w1132f1)</v>
      </c>
    </row>
    <row r="9810" spans="1:4" x14ac:dyDescent="0.2">
      <c r="B9810" t="s">
        <v>1</v>
      </c>
      <c r="C9810" t="s">
        <v>334</v>
      </c>
      <c r="D9810" t="s">
        <v>16226</v>
      </c>
    </row>
    <row r="9811" spans="1:4" x14ac:dyDescent="0.2">
      <c r="B9811" t="s">
        <v>8</v>
      </c>
      <c r="C9811" t="s">
        <v>2240</v>
      </c>
      <c r="D9811" t="s">
        <v>3270</v>
      </c>
    </row>
    <row r="9813" spans="1:4" x14ac:dyDescent="0.2">
      <c r="A9813" t="s">
        <v>3451</v>
      </c>
      <c r="B9813" t="str">
        <f>HYPERLINK("https://lindat.mff.cuni.cz/services/teitok/pdtc10/index.php?action=vallex&amp;frame=v-w1133f1", "hromadit se (v-w1133f1)")</f>
        <v>hromadit se (v-w1133f1)</v>
      </c>
    </row>
    <row r="9814" spans="1:4" x14ac:dyDescent="0.2">
      <c r="B9814" t="s">
        <v>1</v>
      </c>
      <c r="C9814" t="s">
        <v>2444</v>
      </c>
      <c r="D9814" t="s">
        <v>23355</v>
      </c>
    </row>
    <row r="9816" spans="1:4" x14ac:dyDescent="0.2">
      <c r="A9816" t="s">
        <v>3452</v>
      </c>
      <c r="B9816" t="str">
        <f>HYPERLINK("https://lindat.mff.cuni.cz/services/teitok/pdtc10/index.php?action=vallex&amp;frame=v-w1134f3_ZU", "hroutit se (v-w1134f3_ZU)")</f>
        <v>hroutit se (v-w1134f3_ZU)</v>
      </c>
    </row>
    <row r="9817" spans="1:4" x14ac:dyDescent="0.2">
      <c r="B9817" t="s">
        <v>1</v>
      </c>
    </row>
    <row r="9819" spans="1:4" x14ac:dyDescent="0.2">
      <c r="A9819" t="s">
        <v>3452</v>
      </c>
      <c r="B9819" t="str">
        <f>HYPERLINK("https://lindat.mff.cuni.cz/services/teitok/pdtc10/index.php?action=vallex&amp;frame=v-w1134f1", "hroutit se (v-w1134f1) - substituted with v-w1134f3_ZU")</f>
        <v>hroutit se (v-w1134f1) - substituted with v-w1134f3_ZU</v>
      </c>
    </row>
    <row r="9820" spans="1:4" x14ac:dyDescent="0.2">
      <c r="B9820" t="s">
        <v>1</v>
      </c>
      <c r="C9820" t="s">
        <v>2451</v>
      </c>
      <c r="D9820" t="s">
        <v>1593</v>
      </c>
    </row>
    <row r="9822" spans="1:4" x14ac:dyDescent="0.2">
      <c r="A9822" t="s">
        <v>3453</v>
      </c>
      <c r="B9822" t="str">
        <f>HYPERLINK("https://lindat.mff.cuni.cz/services/teitok/pdtc10/index.php?action=vallex&amp;frame=v-w1134f2", "hroutit se (v-w1134f2)")</f>
        <v>hroutit se (v-w1134f2)</v>
      </c>
    </row>
    <row r="9823" spans="1:4" x14ac:dyDescent="0.2">
      <c r="B9823" t="s">
        <v>1</v>
      </c>
    </row>
    <row r="9825" spans="1:4" x14ac:dyDescent="0.2">
      <c r="A9825" t="s">
        <v>3454</v>
      </c>
      <c r="B9825" t="str">
        <f>HYPERLINK("https://lindat.mff.cuni.cz/services/teitok/pdtc10/index.php?action=vallex&amp;frame=v-w1136f2", "hrozit (v-w1136f2)")</f>
        <v>hrozit (v-w1136f2)</v>
      </c>
    </row>
    <row r="9826" spans="1:4" x14ac:dyDescent="0.2">
      <c r="B9826" t="s">
        <v>1</v>
      </c>
      <c r="C9826" t="s">
        <v>2227</v>
      </c>
      <c r="D9826" t="s">
        <v>373</v>
      </c>
    </row>
    <row r="9827" spans="1:4" x14ac:dyDescent="0.2">
      <c r="B9827" t="s">
        <v>3455</v>
      </c>
      <c r="C9827" t="s">
        <v>3456</v>
      </c>
      <c r="D9827" t="s">
        <v>5853</v>
      </c>
    </row>
    <row r="9828" spans="1:4" x14ac:dyDescent="0.2">
      <c r="B9828" t="s">
        <v>35</v>
      </c>
      <c r="C9828" t="s">
        <v>1255</v>
      </c>
      <c r="D9828" t="s">
        <v>1255</v>
      </c>
    </row>
    <row r="9830" spans="1:4" x14ac:dyDescent="0.2">
      <c r="A9830" t="s">
        <v>3457</v>
      </c>
      <c r="B9830" t="str">
        <f>HYPERLINK("https://lindat.mff.cuni.cz/services/teitok/pdtc10/index.php?action=vallex&amp;frame=v-w1136f1", "hrozit (v-w1136f1)")</f>
        <v>hrozit (v-w1136f1)</v>
      </c>
    </row>
    <row r="9831" spans="1:4" x14ac:dyDescent="0.2">
      <c r="B9831" t="s">
        <v>604</v>
      </c>
      <c r="C9831" t="s">
        <v>3458</v>
      </c>
      <c r="D9831" t="s">
        <v>2383</v>
      </c>
    </row>
    <row r="9832" spans="1:4" x14ac:dyDescent="0.2">
      <c r="B9832" t="s">
        <v>103</v>
      </c>
      <c r="C9832" t="s">
        <v>3459</v>
      </c>
      <c r="D9832" t="s">
        <v>23356</v>
      </c>
    </row>
    <row r="9834" spans="1:4" x14ac:dyDescent="0.2">
      <c r="A9834" t="s">
        <v>3460</v>
      </c>
      <c r="B9834" t="str">
        <f>HYPERLINK("https://lindat.mff.cuni.cz/services/teitok/pdtc10/index.php?action=vallex&amp;frame=v-w1136f3", "hrozit (v-w1136f3)")</f>
        <v>hrozit (v-w1136f3)</v>
      </c>
    </row>
    <row r="9835" spans="1:4" x14ac:dyDescent="0.2">
      <c r="B9835" t="s">
        <v>1</v>
      </c>
    </row>
    <row r="9836" spans="1:4" x14ac:dyDescent="0.2">
      <c r="B9836" t="s">
        <v>86</v>
      </c>
    </row>
    <row r="9838" spans="1:4" x14ac:dyDescent="0.2">
      <c r="A9838" t="s">
        <v>3461</v>
      </c>
      <c r="B9838" t="str">
        <f>HYPERLINK("https://lindat.mff.cuni.cz/services/teitok/pdtc10/index.php?action=vallex&amp;frame=v-w1137f1", "hrozit se (v-w1137f1)")</f>
        <v>hrozit se (v-w1137f1)</v>
      </c>
    </row>
    <row r="9839" spans="1:4" x14ac:dyDescent="0.2">
      <c r="B9839" t="s">
        <v>1</v>
      </c>
    </row>
    <row r="9840" spans="1:4" x14ac:dyDescent="0.2">
      <c r="B9840" t="s">
        <v>3462</v>
      </c>
    </row>
    <row r="9842" spans="1:4" x14ac:dyDescent="0.2">
      <c r="A9842" t="s">
        <v>3463</v>
      </c>
      <c r="B9842" t="str">
        <f>HYPERLINK("https://lindat.mff.cuni.cz/services/teitok/pdtc10/index.php?action=vallex&amp;frame=v-w1138f1", "hrrr (v-w1138f1)")</f>
        <v>hrrr (v-w1138f1)</v>
      </c>
    </row>
    <row r="9843" spans="1:4" x14ac:dyDescent="0.2">
      <c r="B9843" t="s">
        <v>90</v>
      </c>
    </row>
    <row r="9845" spans="1:4" x14ac:dyDescent="0.2">
      <c r="A9845" t="s">
        <v>3464</v>
      </c>
      <c r="B9845" t="str">
        <f>HYPERLINK("https://lindat.mff.cuni.cz/services/teitok/pdtc10/index.php?action=vallex&amp;frame=v-whsa_299hsa_300", "hrábnout (v-whsa_299hsa_300)")</f>
        <v>hrábnout (v-whsa_299hsa_300)</v>
      </c>
    </row>
    <row r="9846" spans="1:4" x14ac:dyDescent="0.2">
      <c r="B9846" t="s">
        <v>1</v>
      </c>
      <c r="C9846" t="s">
        <v>140</v>
      </c>
      <c r="D9846" t="s">
        <v>373</v>
      </c>
    </row>
    <row r="9847" spans="1:4" x14ac:dyDescent="0.2">
      <c r="B9847" t="s">
        <v>90</v>
      </c>
      <c r="D9847" t="s">
        <v>10652</v>
      </c>
    </row>
    <row r="9849" spans="1:4" x14ac:dyDescent="0.2">
      <c r="A9849" t="s">
        <v>3465</v>
      </c>
      <c r="B9849" t="str">
        <f>HYPERLINK("https://lindat.mff.cuni.cz/services/teitok/pdtc10/index.php?action=vallex&amp;frame=v-w1122f15_ZU", "hrát (v-w1122f15_ZU)")</f>
        <v>hrát (v-w1122f15_ZU)</v>
      </c>
    </row>
    <row r="9850" spans="1:4" x14ac:dyDescent="0.2">
      <c r="B9850" t="s">
        <v>1</v>
      </c>
    </row>
    <row r="9851" spans="1:4" x14ac:dyDescent="0.2">
      <c r="B9851" t="s">
        <v>3466</v>
      </c>
    </row>
    <row r="9852" spans="1:4" x14ac:dyDescent="0.2">
      <c r="B9852" t="s">
        <v>2288</v>
      </c>
    </row>
    <row r="9853" spans="1:4" x14ac:dyDescent="0.2">
      <c r="B9853" t="s">
        <v>1632</v>
      </c>
    </row>
    <row r="9855" spans="1:4" x14ac:dyDescent="0.2">
      <c r="A9855" t="s">
        <v>3465</v>
      </c>
      <c r="B9855" t="str">
        <f>HYPERLINK("https://lindat.mff.cuni.cz/services/teitok/pdtc10/index.php?action=vallex&amp;frame=v-w1122f1", "hrát (v-w1122f1) - substituted with v-w1122f15_ZU")</f>
        <v>hrát (v-w1122f1) - substituted with v-w1122f15_ZU</v>
      </c>
    </row>
    <row r="9856" spans="1:4" x14ac:dyDescent="0.2">
      <c r="B9856" t="s">
        <v>1</v>
      </c>
      <c r="C9856" t="s">
        <v>3467</v>
      </c>
      <c r="D9856" t="s">
        <v>10460</v>
      </c>
    </row>
    <row r="9857" spans="1:4" x14ac:dyDescent="0.2">
      <c r="B9857" t="s">
        <v>3466</v>
      </c>
      <c r="C9857" t="s">
        <v>2747</v>
      </c>
      <c r="D9857" t="s">
        <v>338</v>
      </c>
    </row>
    <row r="9858" spans="1:4" x14ac:dyDescent="0.2">
      <c r="B9858" t="s">
        <v>2288</v>
      </c>
    </row>
    <row r="9859" spans="1:4" x14ac:dyDescent="0.2">
      <c r="B9859" t="s">
        <v>1632</v>
      </c>
    </row>
    <row r="9861" spans="1:4" x14ac:dyDescent="0.2">
      <c r="A9861" t="s">
        <v>3468</v>
      </c>
      <c r="B9861" t="str">
        <f>HYPERLINK("https://lindat.mff.cuni.cz/services/teitok/pdtc10/index.php?action=vallex&amp;frame=v-w1122f5", "hrát (v-w1122f5)")</f>
        <v>hrát (v-w1122f5)</v>
      </c>
    </row>
    <row r="9862" spans="1:4" x14ac:dyDescent="0.2">
      <c r="B9862" t="s">
        <v>1</v>
      </c>
    </row>
    <row r="9863" spans="1:4" x14ac:dyDescent="0.2">
      <c r="B9863" t="s">
        <v>124</v>
      </c>
    </row>
    <row r="9865" spans="1:4" x14ac:dyDescent="0.2">
      <c r="A9865" t="s">
        <v>3469</v>
      </c>
      <c r="B9865" t="str">
        <f>HYPERLINK("https://lindat.mff.cuni.cz/services/teitok/pdtc10/index.php?action=vallex&amp;frame=v-w1122f2", "hrát (v-w1122f2)")</f>
        <v>hrát (v-w1122f2)</v>
      </c>
    </row>
    <row r="9866" spans="1:4" x14ac:dyDescent="0.2">
      <c r="B9866" t="s">
        <v>1</v>
      </c>
      <c r="C9866" t="s">
        <v>3470</v>
      </c>
      <c r="D9866" t="s">
        <v>23083</v>
      </c>
    </row>
    <row r="9867" spans="1:4" x14ac:dyDescent="0.2">
      <c r="B9867" t="s">
        <v>8</v>
      </c>
      <c r="C9867" t="s">
        <v>3471</v>
      </c>
      <c r="D9867" t="s">
        <v>6116</v>
      </c>
    </row>
    <row r="9869" spans="1:4" x14ac:dyDescent="0.2">
      <c r="A9869" t="s">
        <v>3472</v>
      </c>
      <c r="B9869" t="str">
        <f>HYPERLINK("https://lindat.mff.cuni.cz/services/teitok/pdtc10/index.php?action=vallex&amp;frame=v-w1122f4", "hrát (v-w1122f4)")</f>
        <v>hrát (v-w1122f4)</v>
      </c>
    </row>
    <row r="9870" spans="1:4" x14ac:dyDescent="0.2">
      <c r="B9870" t="s">
        <v>1</v>
      </c>
      <c r="C9870" t="s">
        <v>3473</v>
      </c>
    </row>
    <row r="9871" spans="1:4" x14ac:dyDescent="0.2">
      <c r="B9871" t="s">
        <v>8</v>
      </c>
      <c r="C9871" t="s">
        <v>3474</v>
      </c>
    </row>
    <row r="9873" spans="1:2" x14ac:dyDescent="0.2">
      <c r="A9873" t="s">
        <v>3475</v>
      </c>
      <c r="B9873" t="str">
        <f>HYPERLINK("https://lindat.mff.cuni.cz/services/teitok/pdtc10/index.php?action=vallex&amp;frame=v-w1122f6", "hrát (v-w1122f6)")</f>
        <v>hrát (v-w1122f6)</v>
      </c>
    </row>
    <row r="9874" spans="1:2" x14ac:dyDescent="0.2">
      <c r="B9874" t="s">
        <v>1</v>
      </c>
    </row>
    <row r="9875" spans="1:2" x14ac:dyDescent="0.2">
      <c r="B9875" t="s">
        <v>1410</v>
      </c>
    </row>
    <row r="9877" spans="1:2" x14ac:dyDescent="0.2">
      <c r="A9877" t="s">
        <v>3476</v>
      </c>
      <c r="B9877" t="str">
        <f>HYPERLINK("https://lindat.mff.cuni.cz/services/teitok/pdtc10/index.php?action=vallex&amp;frame=v-w1122f9", "hrát (v-w1122f9)")</f>
        <v>hrát (v-w1122f9)</v>
      </c>
    </row>
    <row r="9878" spans="1:2" x14ac:dyDescent="0.2">
      <c r="B9878" t="s">
        <v>1</v>
      </c>
    </row>
    <row r="9879" spans="1:2" x14ac:dyDescent="0.2">
      <c r="B9879" t="s">
        <v>3477</v>
      </c>
    </row>
    <row r="9880" spans="1:2" x14ac:dyDescent="0.2">
      <c r="B9880" t="s">
        <v>103</v>
      </c>
    </row>
    <row r="9882" spans="1:2" x14ac:dyDescent="0.2">
      <c r="A9882" t="s">
        <v>3478</v>
      </c>
      <c r="B9882" t="str">
        <f>HYPERLINK("https://lindat.mff.cuni.cz/services/teitok/pdtc10/index.php?action=vallex&amp;frame=v-w1122f10", "hrát (v-w1122f10)")</f>
        <v>hrát (v-w1122f10)</v>
      </c>
    </row>
    <row r="9883" spans="1:2" x14ac:dyDescent="0.2">
      <c r="B9883" t="s">
        <v>1</v>
      </c>
    </row>
    <row r="9884" spans="1:2" x14ac:dyDescent="0.2">
      <c r="B9884" t="s">
        <v>874</v>
      </c>
    </row>
    <row r="9885" spans="1:2" x14ac:dyDescent="0.2">
      <c r="B9885" t="s">
        <v>103</v>
      </c>
    </row>
    <row r="9887" spans="1:2" x14ac:dyDescent="0.2">
      <c r="A9887" t="s">
        <v>3479</v>
      </c>
      <c r="B9887" t="str">
        <f>HYPERLINK("https://lindat.mff.cuni.cz/services/teitok/pdtc10/index.php?action=vallex&amp;frame=v-w1122f11", "hrát (v-w1122f11)")</f>
        <v>hrát (v-w1122f11)</v>
      </c>
    </row>
    <row r="9888" spans="1:2" x14ac:dyDescent="0.2">
      <c r="B9888" t="s">
        <v>331</v>
      </c>
    </row>
    <row r="9889" spans="1:3" x14ac:dyDescent="0.2">
      <c r="B9889" t="s">
        <v>3480</v>
      </c>
    </row>
    <row r="9891" spans="1:3" x14ac:dyDescent="0.2">
      <c r="A9891" t="s">
        <v>3481</v>
      </c>
      <c r="B9891" t="str">
        <f>HYPERLINK("https://lindat.mff.cuni.cz/services/teitok/pdtc10/index.php?action=vallex&amp;frame=v-w1122f3", "hrát (v-w1122f3)")</f>
        <v>hrát (v-w1122f3)</v>
      </c>
    </row>
    <row r="9892" spans="1:3" x14ac:dyDescent="0.2">
      <c r="B9892" t="s">
        <v>3482</v>
      </c>
      <c r="C9892" t="s">
        <v>3483</v>
      </c>
    </row>
    <row r="9893" spans="1:3" x14ac:dyDescent="0.2">
      <c r="B9893" t="s">
        <v>3484</v>
      </c>
      <c r="C9893" t="s">
        <v>3485</v>
      </c>
    </row>
    <row r="9895" spans="1:3" x14ac:dyDescent="0.2">
      <c r="A9895" t="s">
        <v>3486</v>
      </c>
      <c r="B9895" t="str">
        <f>HYPERLINK("https://lindat.mff.cuni.cz/services/teitok/pdtc10/index.php?action=vallex&amp;frame=v-w1122f8", "hrát (v-w1122f8)")</f>
        <v>hrát (v-w1122f8)</v>
      </c>
    </row>
    <row r="9896" spans="1:3" x14ac:dyDescent="0.2">
      <c r="B9896" t="s">
        <v>3487</v>
      </c>
      <c r="C9896" t="s">
        <v>1077</v>
      </c>
    </row>
    <row r="9897" spans="1:3" x14ac:dyDescent="0.2">
      <c r="B9897" t="s">
        <v>3488</v>
      </c>
      <c r="C9897" t="s">
        <v>3489</v>
      </c>
    </row>
    <row r="9899" spans="1:3" x14ac:dyDescent="0.2">
      <c r="A9899" t="s">
        <v>3490</v>
      </c>
      <c r="B9899" t="str">
        <f>HYPERLINK("https://lindat.mff.cuni.cz/services/teitok/pdtc10/index.php?action=vallex&amp;frame=v-w1122f7", "hrát (v-w1122f7)")</f>
        <v>hrát (v-w1122f7)</v>
      </c>
    </row>
    <row r="9900" spans="1:3" x14ac:dyDescent="0.2">
      <c r="B9900" t="s">
        <v>1</v>
      </c>
    </row>
    <row r="9901" spans="1:3" x14ac:dyDescent="0.2">
      <c r="B9901" t="s">
        <v>3491</v>
      </c>
    </row>
    <row r="9903" spans="1:3" x14ac:dyDescent="0.2">
      <c r="A9903" t="s">
        <v>3492</v>
      </c>
      <c r="B9903" t="str">
        <f>HYPERLINK("https://lindat.mff.cuni.cz/services/teitok/pdtc10/index.php?action=vallex&amp;frame=v-w1122f12_ZU", "hrát (v-w1122f12_ZU)")</f>
        <v>hrát (v-w1122f12_ZU)</v>
      </c>
    </row>
    <row r="9904" spans="1:3" x14ac:dyDescent="0.2">
      <c r="B9904" t="s">
        <v>1</v>
      </c>
    </row>
    <row r="9905" spans="1:3" x14ac:dyDescent="0.2">
      <c r="B9905" t="s">
        <v>3493</v>
      </c>
      <c r="C9905" t="s">
        <v>397</v>
      </c>
    </row>
    <row r="9907" spans="1:3" x14ac:dyDescent="0.2">
      <c r="A9907" t="s">
        <v>3494</v>
      </c>
      <c r="B9907" t="str">
        <f>HYPERLINK("https://lindat.mff.cuni.cz/services/teitok/pdtc10/index.php?action=vallex&amp;frame=v-w1122f14_ZU", "hrát (v-w1122f14_ZU)")</f>
        <v>hrát (v-w1122f14_ZU)</v>
      </c>
    </row>
    <row r="9908" spans="1:3" x14ac:dyDescent="0.2">
      <c r="B9908" t="s">
        <v>1</v>
      </c>
      <c r="C9908" t="s">
        <v>1549</v>
      </c>
    </row>
    <row r="9909" spans="1:3" x14ac:dyDescent="0.2">
      <c r="B9909" t="s">
        <v>2288</v>
      </c>
    </row>
    <row r="9910" spans="1:3" x14ac:dyDescent="0.2">
      <c r="B9910" t="s">
        <v>220</v>
      </c>
      <c r="C9910" t="s">
        <v>338</v>
      </c>
    </row>
    <row r="9911" spans="1:3" x14ac:dyDescent="0.2">
      <c r="B9911" t="s">
        <v>3495</v>
      </c>
    </row>
    <row r="9912" spans="1:3" x14ac:dyDescent="0.2">
      <c r="B9912" t="s">
        <v>3496</v>
      </c>
    </row>
    <row r="9914" spans="1:3" x14ac:dyDescent="0.2">
      <c r="A9914" t="s">
        <v>3494</v>
      </c>
      <c r="B9914" t="str">
        <f>HYPERLINK("https://lindat.mff.cuni.cz/services/teitok/pdtc10/index.php?action=vallex&amp;frame=v-w1122hsa_254", "hrát (v-w1122hsa_254) - substituted with v-w1122f14_ZU")</f>
        <v>hrát (v-w1122hsa_254) - substituted with v-w1122f14_ZU</v>
      </c>
    </row>
    <row r="9915" spans="1:3" x14ac:dyDescent="0.2">
      <c r="B9915" t="s">
        <v>1</v>
      </c>
      <c r="C9915" t="s">
        <v>33</v>
      </c>
    </row>
    <row r="9916" spans="1:3" x14ac:dyDescent="0.2">
      <c r="B9916" t="s">
        <v>2288</v>
      </c>
    </row>
    <row r="9917" spans="1:3" x14ac:dyDescent="0.2">
      <c r="B9917" t="s">
        <v>220</v>
      </c>
      <c r="C9917" t="s">
        <v>1331</v>
      </c>
    </row>
    <row r="9918" spans="1:3" x14ac:dyDescent="0.2">
      <c r="B9918" t="s">
        <v>3495</v>
      </c>
    </row>
    <row r="9919" spans="1:3" x14ac:dyDescent="0.2">
      <c r="B9919" t="s">
        <v>3496</v>
      </c>
    </row>
    <row r="9921" spans="1:2" x14ac:dyDescent="0.2">
      <c r="A9921" t="s">
        <v>3497</v>
      </c>
      <c r="B9921" t="str">
        <f>HYPERLINK("https://lindat.mff.cuni.cz/services/teitok/pdtc10/index.php?action=vallex&amp;frame=v-w1122f13_ZU", "hrát (v-w1122f13_ZU)")</f>
        <v>hrát (v-w1122f13_ZU)</v>
      </c>
    </row>
    <row r="9922" spans="1:2" x14ac:dyDescent="0.2">
      <c r="B9922" t="s">
        <v>1</v>
      </c>
    </row>
    <row r="9923" spans="1:2" x14ac:dyDescent="0.2">
      <c r="B9923" t="s">
        <v>3498</v>
      </c>
    </row>
    <row r="9924" spans="1:2" x14ac:dyDescent="0.2">
      <c r="B9924" t="s">
        <v>103</v>
      </c>
    </row>
    <row r="9926" spans="1:2" x14ac:dyDescent="0.2">
      <c r="A9926" t="s">
        <v>3497</v>
      </c>
      <c r="B9926" t="str">
        <f>HYPERLINK("https://lindat.mff.cuni.cz/services/teitok/pdtc10/index.php?action=vallex&amp;frame=v-w1122hsa_255", "hrát (v-w1122hsa_255) - substituted with v-w1122f13_ZU")</f>
        <v>hrát (v-w1122hsa_255) - substituted with v-w1122f13_ZU</v>
      </c>
    </row>
    <row r="9927" spans="1:2" x14ac:dyDescent="0.2">
      <c r="B9927" t="s">
        <v>1</v>
      </c>
    </row>
    <row r="9928" spans="1:2" x14ac:dyDescent="0.2">
      <c r="B9928" t="s">
        <v>3498</v>
      </c>
    </row>
    <row r="9929" spans="1:2" x14ac:dyDescent="0.2">
      <c r="B9929" t="s">
        <v>103</v>
      </c>
    </row>
    <row r="9931" spans="1:2" x14ac:dyDescent="0.2">
      <c r="A9931" t="s">
        <v>3499</v>
      </c>
      <c r="B9931" t="str">
        <f>HYPERLINK("https://lindat.mff.cuni.cz/services/teitok/pdtc10/index.php?action=vallex&amp;frame=v-w1122f16_ZU", "hrát (v-w1122f16_ZU)")</f>
        <v>hrát (v-w1122f16_ZU)</v>
      </c>
    </row>
    <row r="9932" spans="1:2" x14ac:dyDescent="0.2">
      <c r="B9932" t="s">
        <v>1</v>
      </c>
    </row>
    <row r="9933" spans="1:2" x14ac:dyDescent="0.2">
      <c r="B9933" t="s">
        <v>411</v>
      </c>
    </row>
    <row r="9935" spans="1:2" x14ac:dyDescent="0.2">
      <c r="A9935" t="s">
        <v>3500</v>
      </c>
      <c r="B9935" t="str">
        <f>HYPERLINK("https://lindat.mff.cuni.cz/services/teitok/pdtc10/index.php?action=vallex&amp;frame=v-w1122hsa_1307", "hrát (v-w1122hsa_1307)")</f>
        <v>hrát (v-w1122hsa_1307)</v>
      </c>
    </row>
    <row r="9936" spans="1:2" x14ac:dyDescent="0.2">
      <c r="B9936" t="s">
        <v>1</v>
      </c>
    </row>
    <row r="9938" spans="1:4" x14ac:dyDescent="0.2">
      <c r="A9938" t="s">
        <v>3501</v>
      </c>
      <c r="B9938" t="str">
        <f>HYPERLINK("https://lindat.mff.cuni.cz/services/teitok/pdtc10/index.php?action=vallex&amp;frame=v-w1122hsa_1308", "hrát (v-w1122hsa_1308)")</f>
        <v>hrát (v-w1122hsa_1308)</v>
      </c>
    </row>
    <row r="9939" spans="1:4" x14ac:dyDescent="0.2">
      <c r="B9939" t="s">
        <v>1</v>
      </c>
    </row>
    <row r="9940" spans="1:4" x14ac:dyDescent="0.2">
      <c r="B9940" t="s">
        <v>8</v>
      </c>
    </row>
    <row r="9942" spans="1:4" x14ac:dyDescent="0.2">
      <c r="A9942" t="s">
        <v>3502</v>
      </c>
      <c r="B9942" t="str">
        <f>HYPERLINK("https://lindat.mff.cuni.cz/services/teitok/pdtc10/index.php?action=vallex&amp;frame=v-w1122hsa_1309", "hrát (v-w1122hsa_1309)")</f>
        <v>hrát (v-w1122hsa_1309)</v>
      </c>
    </row>
    <row r="9943" spans="1:4" x14ac:dyDescent="0.2">
      <c r="B9943" t="s">
        <v>1</v>
      </c>
    </row>
    <row r="9944" spans="1:4" x14ac:dyDescent="0.2">
      <c r="B9944" t="s">
        <v>28</v>
      </c>
    </row>
    <row r="9946" spans="1:4" x14ac:dyDescent="0.2">
      <c r="A9946" t="s">
        <v>3503</v>
      </c>
      <c r="B9946" t="str">
        <f>HYPERLINK("https://lindat.mff.cuni.cz/services/teitok/pdtc10/index.php?action=vallex&amp;frame=v-w1123f6_MM", "hrát si (v-w1123f6_MM)")</f>
        <v>hrát si (v-w1123f6_MM)</v>
      </c>
    </row>
    <row r="9947" spans="1:4" x14ac:dyDescent="0.2">
      <c r="B9947" t="s">
        <v>1</v>
      </c>
    </row>
    <row r="9948" spans="1:4" x14ac:dyDescent="0.2">
      <c r="B9948" t="s">
        <v>2423</v>
      </c>
    </row>
    <row r="9949" spans="1:4" x14ac:dyDescent="0.2">
      <c r="B9949" t="s">
        <v>3504</v>
      </c>
    </row>
    <row r="9951" spans="1:4" x14ac:dyDescent="0.2">
      <c r="A9951" t="s">
        <v>3503</v>
      </c>
      <c r="B9951" t="str">
        <f>HYPERLINK("https://lindat.mff.cuni.cz/services/teitok/pdtc10/index.php?action=vallex&amp;frame=v-w1123f1", "hrát si (v-w1123f1) - substituted with v-w1123f6_MM")</f>
        <v>hrát si (v-w1123f1) - substituted with v-w1123f6_MM</v>
      </c>
    </row>
    <row r="9952" spans="1:4" x14ac:dyDescent="0.2">
      <c r="B9952" t="s">
        <v>1</v>
      </c>
      <c r="C9952" t="s">
        <v>373</v>
      </c>
      <c r="D9952" t="s">
        <v>33</v>
      </c>
    </row>
    <row r="9953" spans="1:4" x14ac:dyDescent="0.2">
      <c r="B9953" t="s">
        <v>2423</v>
      </c>
      <c r="C9953" t="s">
        <v>3505</v>
      </c>
      <c r="D9953" t="s">
        <v>84</v>
      </c>
    </row>
    <row r="9954" spans="1:4" x14ac:dyDescent="0.2">
      <c r="B9954" t="s">
        <v>3504</v>
      </c>
    </row>
    <row r="9956" spans="1:4" x14ac:dyDescent="0.2">
      <c r="A9956" t="s">
        <v>3506</v>
      </c>
      <c r="B9956" t="str">
        <f>HYPERLINK("https://lindat.mff.cuni.cz/services/teitok/pdtc10/index.php?action=vallex&amp;frame=v-w1123f2", "hrát si (v-w1123f2)")</f>
        <v>hrát si (v-w1123f2)</v>
      </c>
    </row>
    <row r="9957" spans="1:4" x14ac:dyDescent="0.2">
      <c r="B9957" t="s">
        <v>1</v>
      </c>
      <c r="C9957" t="s">
        <v>1549</v>
      </c>
    </row>
    <row r="9958" spans="1:4" x14ac:dyDescent="0.2">
      <c r="B9958" t="s">
        <v>28</v>
      </c>
      <c r="C9958" t="s">
        <v>338</v>
      </c>
    </row>
    <row r="9960" spans="1:4" x14ac:dyDescent="0.2">
      <c r="A9960" t="s">
        <v>3507</v>
      </c>
      <c r="B9960" t="str">
        <f>HYPERLINK("https://lindat.mff.cuni.cz/services/teitok/pdtc10/index.php?action=vallex&amp;frame=v-w1123f3_ZU", "hrát si (v-w1123f3_ZU)")</f>
        <v>hrát si (v-w1123f3_ZU)</v>
      </c>
    </row>
    <row r="9961" spans="1:4" x14ac:dyDescent="0.2">
      <c r="B9961" t="s">
        <v>1</v>
      </c>
    </row>
    <row r="9962" spans="1:4" x14ac:dyDescent="0.2">
      <c r="B9962" t="s">
        <v>3508</v>
      </c>
    </row>
    <row r="9964" spans="1:4" x14ac:dyDescent="0.2">
      <c r="A9964" t="s">
        <v>3507</v>
      </c>
      <c r="B9964" t="str">
        <f>HYPERLINK("https://lindat.mff.cuni.cz/services/teitok/pdtc10/index.php?action=vallex&amp;frame=v-w1123hsa_1198", "hrát si (v-w1123hsa_1198) - substituted with v-w1123f3_ZU")</f>
        <v>hrát si (v-w1123hsa_1198) - substituted with v-w1123f3_ZU</v>
      </c>
    </row>
    <row r="9965" spans="1:4" x14ac:dyDescent="0.2">
      <c r="B9965" t="s">
        <v>1</v>
      </c>
    </row>
    <row r="9966" spans="1:4" x14ac:dyDescent="0.2">
      <c r="B9966" t="s">
        <v>3508</v>
      </c>
    </row>
    <row r="9968" spans="1:4" x14ac:dyDescent="0.2">
      <c r="A9968" t="s">
        <v>3509</v>
      </c>
      <c r="B9968" t="str">
        <f>HYPERLINK("https://lindat.mff.cuni.cz/services/teitok/pdtc10/index.php?action=vallex&amp;frame=v-w1123f4_ZU", "hrát si (v-w1123f4_ZU)")</f>
        <v>hrát si (v-w1123f4_ZU)</v>
      </c>
    </row>
    <row r="9969" spans="1:4" x14ac:dyDescent="0.2">
      <c r="B9969" t="s">
        <v>1</v>
      </c>
      <c r="C9969" t="s">
        <v>140</v>
      </c>
    </row>
    <row r="9970" spans="1:4" x14ac:dyDescent="0.2">
      <c r="B9970" t="s">
        <v>3510</v>
      </c>
      <c r="C9970" t="s">
        <v>397</v>
      </c>
    </row>
    <row r="9972" spans="1:4" x14ac:dyDescent="0.2">
      <c r="A9972" t="s">
        <v>3509</v>
      </c>
      <c r="B9972" t="str">
        <f>HYPERLINK("https://lindat.mff.cuni.cz/services/teitok/pdtc10/index.php?action=vallex&amp;frame=v-w1123hsa_1199", "hrát si (v-w1123hsa_1199) - substituted with v-w1123f4_ZU")</f>
        <v>hrát si (v-w1123hsa_1199) - substituted with v-w1123f4_ZU</v>
      </c>
    </row>
    <row r="9973" spans="1:4" x14ac:dyDescent="0.2">
      <c r="B9973" t="s">
        <v>1</v>
      </c>
    </row>
    <row r="9974" spans="1:4" x14ac:dyDescent="0.2">
      <c r="B9974" t="s">
        <v>3510</v>
      </c>
    </row>
    <row r="9976" spans="1:4" x14ac:dyDescent="0.2">
      <c r="A9976" t="s">
        <v>3511</v>
      </c>
      <c r="B9976" t="str">
        <f>HYPERLINK("https://lindat.mff.cuni.cz/services/teitok/pdtc10/index.php?action=vallex&amp;frame=v-w1123f5_ZU", "hrát si (v-w1123f5_ZU)")</f>
        <v>hrát si (v-w1123f5_ZU)</v>
      </c>
    </row>
    <row r="9977" spans="1:4" x14ac:dyDescent="0.2">
      <c r="B9977" t="s">
        <v>1</v>
      </c>
    </row>
    <row r="9978" spans="1:4" x14ac:dyDescent="0.2">
      <c r="B9978" t="s">
        <v>411</v>
      </c>
    </row>
    <row r="9980" spans="1:4" x14ac:dyDescent="0.2">
      <c r="A9980" t="s">
        <v>3512</v>
      </c>
      <c r="B9980" t="str">
        <f>HYPERLINK("https://lindat.mff.cuni.cz/services/teitok/pdtc10/index.php?action=vallex&amp;frame=v-w1124f1", "hrávat (v-w1124f1)")</f>
        <v>hrávat (v-w1124f1)</v>
      </c>
    </row>
    <row r="9981" spans="1:4" x14ac:dyDescent="0.2">
      <c r="B9981" t="s">
        <v>1</v>
      </c>
      <c r="D9981" t="s">
        <v>10460</v>
      </c>
    </row>
    <row r="9982" spans="1:4" x14ac:dyDescent="0.2">
      <c r="B9982" t="s">
        <v>3513</v>
      </c>
      <c r="D9982" t="s">
        <v>338</v>
      </c>
    </row>
    <row r="9983" spans="1:4" x14ac:dyDescent="0.2">
      <c r="B9983" t="s">
        <v>2288</v>
      </c>
    </row>
    <row r="9984" spans="1:4" x14ac:dyDescent="0.2">
      <c r="B9984" t="s">
        <v>1632</v>
      </c>
    </row>
    <row r="9986" spans="1:2" x14ac:dyDescent="0.2">
      <c r="A9986" t="s">
        <v>3514</v>
      </c>
      <c r="B9986" t="str">
        <f>HYPERLINK("https://lindat.mff.cuni.cz/services/teitok/pdtc10/index.php?action=vallex&amp;frame=v-w1124f2", "hrávat (v-w1124f2)")</f>
        <v>hrávat (v-w1124f2)</v>
      </c>
    </row>
    <row r="9987" spans="1:2" x14ac:dyDescent="0.2">
      <c r="B9987" t="s">
        <v>3487</v>
      </c>
    </row>
    <row r="9988" spans="1:2" x14ac:dyDescent="0.2">
      <c r="B9988" t="s">
        <v>3488</v>
      </c>
    </row>
    <row r="9990" spans="1:2" x14ac:dyDescent="0.2">
      <c r="A9990" t="s">
        <v>3515</v>
      </c>
      <c r="B9990" t="str">
        <f>HYPERLINK("https://lindat.mff.cuni.cz/services/teitok/pdtc10/index.php?action=vallex&amp;frame=v-w1124f3_ZU", "hrávat (v-w1124f3_ZU)")</f>
        <v>hrávat (v-w1124f3_ZU)</v>
      </c>
    </row>
    <row r="9991" spans="1:2" x14ac:dyDescent="0.2">
      <c r="B9991" t="s">
        <v>1</v>
      </c>
    </row>
    <row r="9992" spans="1:2" x14ac:dyDescent="0.2">
      <c r="B9992" t="s">
        <v>8</v>
      </c>
    </row>
    <row r="9994" spans="1:2" x14ac:dyDescent="0.2">
      <c r="A9994" t="s">
        <v>3515</v>
      </c>
      <c r="B9994" t="str">
        <f>HYPERLINK("https://lindat.mff.cuni.cz/services/teitok/pdtc10/index.php?action=vallex&amp;frame=v-w1124hsa_272", "hrávat (v-w1124hsa_272) - substituted with v-w1124f3_ZU")</f>
        <v>hrávat (v-w1124hsa_272) - substituted with v-w1124f3_ZU</v>
      </c>
    </row>
    <row r="9995" spans="1:2" x14ac:dyDescent="0.2">
      <c r="B9995" t="s">
        <v>1</v>
      </c>
    </row>
    <row r="9996" spans="1:2" x14ac:dyDescent="0.2">
      <c r="B9996" t="s">
        <v>8</v>
      </c>
    </row>
    <row r="9998" spans="1:2" x14ac:dyDescent="0.2">
      <c r="A9998" t="s">
        <v>3516</v>
      </c>
      <c r="B9998" t="str">
        <f>HYPERLINK("https://lindat.mff.cuni.cz/services/teitok/pdtc10/index.php?action=vallex&amp;frame=v-w1124f4_ZU", "hrávat (v-w1124f4_ZU)")</f>
        <v>hrávat (v-w1124f4_ZU)</v>
      </c>
    </row>
    <row r="9999" spans="1:2" x14ac:dyDescent="0.2">
      <c r="B9999" t="s">
        <v>1</v>
      </c>
    </row>
    <row r="10000" spans="1:2" x14ac:dyDescent="0.2">
      <c r="B10000" t="s">
        <v>8</v>
      </c>
    </row>
    <row r="10002" spans="1:2" x14ac:dyDescent="0.2">
      <c r="A10002" t="s">
        <v>3517</v>
      </c>
      <c r="B10002" t="str">
        <f>HYPERLINK("https://lindat.mff.cuni.cz/services/teitok/pdtc10/index.php?action=vallex&amp;frame=v-w1124hsa_271", "hrávat (v-w1124hsa_271)")</f>
        <v>hrávat (v-w1124hsa_271)</v>
      </c>
    </row>
    <row r="10003" spans="1:2" x14ac:dyDescent="0.2">
      <c r="B10003" t="s">
        <v>1</v>
      </c>
    </row>
    <row r="10004" spans="1:2" x14ac:dyDescent="0.2">
      <c r="B10004" t="s">
        <v>8</v>
      </c>
    </row>
    <row r="10006" spans="1:2" x14ac:dyDescent="0.2">
      <c r="A10006" t="s">
        <v>3518</v>
      </c>
      <c r="B10006" t="str">
        <f>HYPERLINK("https://lindat.mff.cuni.cz/services/teitok/pdtc10/index.php?action=vallex&amp;frame=v-w1124hsa_273", "hrávat (v-w1124hsa_273)")</f>
        <v>hrávat (v-w1124hsa_273)</v>
      </c>
    </row>
    <row r="10007" spans="1:2" x14ac:dyDescent="0.2">
      <c r="B10007" t="s">
        <v>1</v>
      </c>
    </row>
    <row r="10008" spans="1:2" x14ac:dyDescent="0.2">
      <c r="B10008" t="s">
        <v>3513</v>
      </c>
    </row>
    <row r="10009" spans="1:2" x14ac:dyDescent="0.2">
      <c r="B10009" t="s">
        <v>2288</v>
      </c>
    </row>
    <row r="10010" spans="1:2" x14ac:dyDescent="0.2">
      <c r="B10010" t="s">
        <v>1632</v>
      </c>
    </row>
    <row r="10012" spans="1:2" x14ac:dyDescent="0.2">
      <c r="A10012" t="s">
        <v>3519</v>
      </c>
      <c r="B10012" t="str">
        <f>HYPERLINK("https://lindat.mff.cuni.cz/services/teitok/pdtc10/index.php?action=vallex&amp;frame=v-whsa_1540hsa_1541", "hrávat si (v-whsa_1540hsa_1541)")</f>
        <v>hrávat si (v-whsa_1540hsa_1541)</v>
      </c>
    </row>
    <row r="10013" spans="1:2" x14ac:dyDescent="0.2">
      <c r="B10013" t="s">
        <v>1</v>
      </c>
    </row>
    <row r="10014" spans="1:2" x14ac:dyDescent="0.2">
      <c r="B10014" t="s">
        <v>2423</v>
      </c>
    </row>
    <row r="10015" spans="1:2" x14ac:dyDescent="0.2">
      <c r="B10015" t="s">
        <v>61</v>
      </c>
    </row>
    <row r="10017" spans="1:3" x14ac:dyDescent="0.2">
      <c r="A10017" t="s">
        <v>3520</v>
      </c>
      <c r="B10017" t="str">
        <f>HYPERLINK("https://lindat.mff.cuni.cz/services/teitok/pdtc10/index.php?action=vallex&amp;frame=v-w1144f1", "hubnout (v-w1144f1)")</f>
        <v>hubnout (v-w1144f1)</v>
      </c>
    </row>
    <row r="10018" spans="1:3" x14ac:dyDescent="0.2">
      <c r="B10018" t="s">
        <v>1</v>
      </c>
      <c r="C10018" t="s">
        <v>83</v>
      </c>
    </row>
    <row r="10020" spans="1:3" x14ac:dyDescent="0.2">
      <c r="A10020" t="s">
        <v>3521</v>
      </c>
      <c r="B10020" t="str">
        <f>HYPERLINK("https://lindat.mff.cuni.cz/services/teitok/pdtc10/index.php?action=vallex&amp;frame=v-whsa_1027f1_MM", "hubovat (v-whsa_1027f1_MM)")</f>
        <v>hubovat (v-whsa_1027f1_MM)</v>
      </c>
    </row>
    <row r="10021" spans="1:3" x14ac:dyDescent="0.2">
      <c r="B10021" t="s">
        <v>1</v>
      </c>
    </row>
    <row r="10022" spans="1:3" x14ac:dyDescent="0.2">
      <c r="B10022" t="s">
        <v>8</v>
      </c>
    </row>
    <row r="10024" spans="1:3" x14ac:dyDescent="0.2">
      <c r="A10024" t="s">
        <v>3522</v>
      </c>
      <c r="B10024" t="str">
        <f>HYPERLINK("https://lindat.mff.cuni.cz/services/teitok/pdtc10/index.php?action=vallex&amp;frame=v-whsa_1027hsa_1028", "hubovat (v-whsa_1027hsa_1028)")</f>
        <v>hubovat (v-whsa_1027hsa_1028)</v>
      </c>
    </row>
    <row r="10025" spans="1:3" x14ac:dyDescent="0.2">
      <c r="B10025" t="s">
        <v>1</v>
      </c>
    </row>
    <row r="10026" spans="1:3" x14ac:dyDescent="0.2">
      <c r="B10026" t="s">
        <v>452</v>
      </c>
    </row>
    <row r="10028" spans="1:3" x14ac:dyDescent="0.2">
      <c r="A10028" t="s">
        <v>3523</v>
      </c>
      <c r="B10028" t="str">
        <f>HYPERLINK("https://lindat.mff.cuni.cz/services/teitok/pdtc10/index.php?action=vallex&amp;frame=v-w12260_ZUf1_ZU", "huhňat (v-w12260_ZUf1_ZU)")</f>
        <v>huhňat (v-w12260_ZUf1_ZU)</v>
      </c>
    </row>
    <row r="10029" spans="1:3" x14ac:dyDescent="0.2">
      <c r="B10029" t="s">
        <v>1</v>
      </c>
    </row>
    <row r="10031" spans="1:3" x14ac:dyDescent="0.2">
      <c r="A10031" t="s">
        <v>3524</v>
      </c>
      <c r="B10031" t="str">
        <f>HYPERLINK("https://lindat.mff.cuni.cz/services/teitok/pdtc10/index.php?action=vallex&amp;frame=v-w1147f1", "hulit (v-w1147f1)")</f>
        <v>hulit (v-w1147f1)</v>
      </c>
    </row>
    <row r="10032" spans="1:3" x14ac:dyDescent="0.2">
      <c r="B10032" t="s">
        <v>1</v>
      </c>
    </row>
    <row r="10033" spans="1:2" x14ac:dyDescent="0.2">
      <c r="B10033" t="s">
        <v>8</v>
      </c>
    </row>
    <row r="10035" spans="1:2" x14ac:dyDescent="0.2">
      <c r="A10035" t="s">
        <v>3525</v>
      </c>
      <c r="B10035" t="str">
        <f>HYPERLINK("https://lindat.mff.cuni.cz/services/teitok/pdtc10/index.php?action=vallex&amp;frame=v-w11680_ZUf1_ZU", "hulákat (v-w11680_ZUf1_ZU)")</f>
        <v>hulákat (v-w11680_ZUf1_ZU)</v>
      </c>
    </row>
    <row r="10036" spans="1:2" x14ac:dyDescent="0.2">
      <c r="B10036" t="s">
        <v>1</v>
      </c>
    </row>
    <row r="10037" spans="1:2" x14ac:dyDescent="0.2">
      <c r="B10037" t="s">
        <v>3526</v>
      </c>
    </row>
    <row r="10038" spans="1:2" x14ac:dyDescent="0.2">
      <c r="B10038" t="s">
        <v>3527</v>
      </c>
    </row>
    <row r="10040" spans="1:2" x14ac:dyDescent="0.2">
      <c r="A10040" t="s">
        <v>3528</v>
      </c>
      <c r="B10040" t="str">
        <f>HYPERLINK("https://lindat.mff.cuni.cz/services/teitok/pdtc10/index.php?action=vallex&amp;frame=v-whsa_686hsa_687", "hupnout (v-whsa_686hsa_687)")</f>
        <v>hupnout (v-whsa_686hsa_687)</v>
      </c>
    </row>
    <row r="10041" spans="1:2" x14ac:dyDescent="0.2">
      <c r="B10041" t="s">
        <v>1</v>
      </c>
    </row>
    <row r="10042" spans="1:2" x14ac:dyDescent="0.2">
      <c r="B10042" t="s">
        <v>90</v>
      </c>
    </row>
    <row r="10044" spans="1:2" x14ac:dyDescent="0.2">
      <c r="A10044" t="s">
        <v>3529</v>
      </c>
      <c r="B10044" t="str">
        <f>HYPERLINK("https://lindat.mff.cuni.cz/services/teitok/pdtc10/index.php?action=vallex&amp;frame=v-w1145f1", "hučet (v-w1145f1)")</f>
        <v>hučet (v-w1145f1)</v>
      </c>
    </row>
    <row r="10045" spans="1:2" x14ac:dyDescent="0.2">
      <c r="B10045" t="s">
        <v>1</v>
      </c>
    </row>
    <row r="10047" spans="1:2" x14ac:dyDescent="0.2">
      <c r="A10047" t="s">
        <v>3530</v>
      </c>
      <c r="B10047" t="str">
        <f>HYPERLINK("https://lindat.mff.cuni.cz/services/teitok/pdtc10/index.php?action=vallex&amp;frame=v-w1145f2", "hučet (v-w1145f2)")</f>
        <v>hučet (v-w1145f2)</v>
      </c>
    </row>
    <row r="10048" spans="1:2" x14ac:dyDescent="0.2">
      <c r="B10048" t="s">
        <v>5</v>
      </c>
    </row>
    <row r="10050" spans="1:4" x14ac:dyDescent="0.2">
      <c r="A10050" t="s">
        <v>3531</v>
      </c>
      <c r="B10050" t="str">
        <f>HYPERLINK("https://lindat.mff.cuni.cz/services/teitok/pdtc10/index.php?action=vallex&amp;frame=v-w1145f3_ZU", "hučet (v-w1145f3_ZU)")</f>
        <v>hučet (v-w1145f3_ZU)</v>
      </c>
    </row>
    <row r="10051" spans="1:4" x14ac:dyDescent="0.2">
      <c r="B10051" t="s">
        <v>1</v>
      </c>
    </row>
    <row r="10052" spans="1:4" x14ac:dyDescent="0.2">
      <c r="B10052" t="s">
        <v>817</v>
      </c>
    </row>
    <row r="10054" spans="1:4" x14ac:dyDescent="0.2">
      <c r="A10054" t="s">
        <v>3532</v>
      </c>
      <c r="B10054" t="str">
        <f>HYPERLINK("https://lindat.mff.cuni.cz/services/teitok/pdtc10/index.php?action=vallex&amp;frame=v-w1149f1", "hvízdat (v-w1149f1)")</f>
        <v>hvízdat (v-w1149f1)</v>
      </c>
    </row>
    <row r="10055" spans="1:4" x14ac:dyDescent="0.2">
      <c r="B10055" t="s">
        <v>1</v>
      </c>
      <c r="D10055" t="s">
        <v>140</v>
      </c>
    </row>
    <row r="10056" spans="1:4" x14ac:dyDescent="0.2">
      <c r="B10056" t="s">
        <v>3533</v>
      </c>
      <c r="D10056" t="s">
        <v>991</v>
      </c>
    </row>
    <row r="10057" spans="1:4" x14ac:dyDescent="0.2">
      <c r="B10057" t="s">
        <v>3527</v>
      </c>
    </row>
    <row r="10059" spans="1:4" x14ac:dyDescent="0.2">
      <c r="A10059" t="s">
        <v>3534</v>
      </c>
      <c r="B10059" t="str">
        <f>HYPERLINK("https://lindat.mff.cuni.cz/services/teitok/pdtc10/index.php?action=vallex&amp;frame=v-w1149f2", "hvízdat (v-w1149f2)")</f>
        <v>hvízdat (v-w1149f2)</v>
      </c>
    </row>
    <row r="10060" spans="1:4" x14ac:dyDescent="0.2">
      <c r="B10060" t="s">
        <v>1</v>
      </c>
    </row>
    <row r="10062" spans="1:4" x14ac:dyDescent="0.2">
      <c r="A10062" t="s">
        <v>3535</v>
      </c>
      <c r="B10062" t="str">
        <f>HYPERLINK("https://lindat.mff.cuni.cz/services/teitok/pdtc10/index.php?action=vallex&amp;frame=v-w11350f3_ZU", "hvízdat si (v-w11350f3_ZU)")</f>
        <v>hvízdat si (v-w11350f3_ZU)</v>
      </c>
    </row>
    <row r="10063" spans="1:4" x14ac:dyDescent="0.2">
      <c r="B10063" t="s">
        <v>1</v>
      </c>
      <c r="C10063" t="s">
        <v>140</v>
      </c>
      <c r="D10063" t="s">
        <v>140</v>
      </c>
    </row>
    <row r="10064" spans="1:4" x14ac:dyDescent="0.2">
      <c r="B10064" t="s">
        <v>220</v>
      </c>
      <c r="C10064" t="s">
        <v>991</v>
      </c>
      <c r="D10064" t="s">
        <v>991</v>
      </c>
    </row>
    <row r="10066" spans="1:2" x14ac:dyDescent="0.2">
      <c r="A10066" t="s">
        <v>3535</v>
      </c>
      <c r="B10066" t="str">
        <f>HYPERLINK("https://lindat.mff.cuni.cz/services/teitok/pdtc10/index.php?action=vallex&amp;frame=v-w11350f2", "hvízdat si (v-w11350f2) - substituted with v-w11350f3_ZU")</f>
        <v>hvízdat si (v-w11350f2) - substituted with v-w11350f3_ZU</v>
      </c>
    </row>
    <row r="10067" spans="1:2" x14ac:dyDescent="0.2">
      <c r="B10067" t="s">
        <v>1</v>
      </c>
    </row>
    <row r="10068" spans="1:2" x14ac:dyDescent="0.2">
      <c r="B10068" t="s">
        <v>220</v>
      </c>
    </row>
    <row r="10070" spans="1:2" x14ac:dyDescent="0.2">
      <c r="A10070" t="s">
        <v>3536</v>
      </c>
      <c r="B10070" t="str">
        <f>HYPERLINK("https://lindat.mff.cuni.cz/services/teitok/pdtc10/index.php?action=vallex&amp;frame=v-w1150f1", "hvízdnout (v-w1150f1)")</f>
        <v>hvízdnout (v-w1150f1)</v>
      </c>
    </row>
    <row r="10071" spans="1:2" x14ac:dyDescent="0.2">
      <c r="B10071" t="s">
        <v>1</v>
      </c>
    </row>
    <row r="10073" spans="1:2" x14ac:dyDescent="0.2">
      <c r="A10073" t="s">
        <v>3537</v>
      </c>
      <c r="B10073" t="str">
        <f>HYPERLINK("https://lindat.mff.cuni.cz/services/teitok/pdtc10/index.php?action=vallex&amp;frame=v-w1154f1", "hynout (v-w1154f1)")</f>
        <v>hynout (v-w1154f1)</v>
      </c>
    </row>
    <row r="10074" spans="1:2" x14ac:dyDescent="0.2">
      <c r="B10074" t="s">
        <v>1</v>
      </c>
    </row>
    <row r="10076" spans="1:2" x14ac:dyDescent="0.2">
      <c r="A10076" t="s">
        <v>3538</v>
      </c>
      <c r="B10076" t="str">
        <f>HYPERLINK("https://lindat.mff.cuni.cz/services/teitok/pdtc10/index.php?action=vallex&amp;frame=v-w1156f1", "hypertrofovat (v-w1156f1)")</f>
        <v>hypertrofovat (v-w1156f1)</v>
      </c>
    </row>
    <row r="10077" spans="1:2" x14ac:dyDescent="0.2">
      <c r="B10077" t="s">
        <v>1</v>
      </c>
    </row>
    <row r="10078" spans="1:2" x14ac:dyDescent="0.2">
      <c r="B10078" t="s">
        <v>46</v>
      </c>
    </row>
    <row r="10079" spans="1:2" x14ac:dyDescent="0.2">
      <c r="B10079" t="s">
        <v>24</v>
      </c>
    </row>
    <row r="10081" spans="1:4" x14ac:dyDescent="0.2">
      <c r="A10081" t="s">
        <v>3539</v>
      </c>
      <c r="B10081" t="str">
        <f>HYPERLINK("https://lindat.mff.cuni.cz/services/teitok/pdtc10/index.php?action=vallex&amp;frame=v-w10687f2", "hypnotizovat (v-w10687f2)")</f>
        <v>hypnotizovat (v-w10687f2)</v>
      </c>
    </row>
    <row r="10082" spans="1:4" x14ac:dyDescent="0.2">
      <c r="B10082" t="s">
        <v>1</v>
      </c>
    </row>
    <row r="10083" spans="1:4" x14ac:dyDescent="0.2">
      <c r="B10083" t="s">
        <v>8</v>
      </c>
    </row>
    <row r="10085" spans="1:4" x14ac:dyDescent="0.2">
      <c r="A10085" t="s">
        <v>3540</v>
      </c>
      <c r="B10085" t="str">
        <f>HYPERLINK("https://lindat.mff.cuni.cz/services/teitok/pdtc10/index.php?action=vallex&amp;frame=v-w1160f1", "hyzdit (v-w1160f1)")</f>
        <v>hyzdit (v-w1160f1)</v>
      </c>
    </row>
    <row r="10086" spans="1:4" x14ac:dyDescent="0.2">
      <c r="B10086" t="s">
        <v>1</v>
      </c>
    </row>
    <row r="10087" spans="1:4" x14ac:dyDescent="0.2">
      <c r="B10087" t="s">
        <v>8</v>
      </c>
    </row>
    <row r="10089" spans="1:4" x14ac:dyDescent="0.2">
      <c r="A10089" t="s">
        <v>3541</v>
      </c>
      <c r="B10089" t="str">
        <f>HYPERLINK("https://lindat.mff.cuni.cz/services/teitok/pdtc10/index.php?action=vallex&amp;frame=v-w1013f1", "hádat (v-w1013f1)")</f>
        <v>hádat (v-w1013f1)</v>
      </c>
    </row>
    <row r="10090" spans="1:4" x14ac:dyDescent="0.2">
      <c r="B10090" t="s">
        <v>1</v>
      </c>
      <c r="C10090" t="s">
        <v>3542</v>
      </c>
      <c r="D10090" t="s">
        <v>7388</v>
      </c>
    </row>
    <row r="10091" spans="1:4" x14ac:dyDescent="0.2">
      <c r="B10091" t="s">
        <v>3543</v>
      </c>
      <c r="C10091" t="s">
        <v>1078</v>
      </c>
      <c r="D10091" t="s">
        <v>5591</v>
      </c>
    </row>
    <row r="10093" spans="1:4" x14ac:dyDescent="0.2">
      <c r="A10093" t="s">
        <v>3544</v>
      </c>
      <c r="B10093" t="str">
        <f>HYPERLINK("https://lindat.mff.cuni.cz/services/teitok/pdtc10/index.php?action=vallex&amp;frame=v-w1014f1", "hádat se (v-w1014f1)")</f>
        <v>hádat se (v-w1014f1)</v>
      </c>
    </row>
    <row r="10094" spans="1:4" x14ac:dyDescent="0.2">
      <c r="B10094" t="s">
        <v>1</v>
      </c>
    </row>
    <row r="10095" spans="1:4" x14ac:dyDescent="0.2">
      <c r="B10095" t="s">
        <v>153</v>
      </c>
    </row>
    <row r="10096" spans="1:4" x14ac:dyDescent="0.2">
      <c r="B10096" t="s">
        <v>3205</v>
      </c>
    </row>
    <row r="10098" spans="1:4" x14ac:dyDescent="0.2">
      <c r="A10098" t="s">
        <v>3545</v>
      </c>
      <c r="B10098" t="str">
        <f>HYPERLINK("https://lindat.mff.cuni.cz/services/teitok/pdtc10/index.php?action=vallex&amp;frame=v-w1018f1", "hájit (v-w1018f1)")</f>
        <v>hájit (v-w1018f1)</v>
      </c>
    </row>
    <row r="10099" spans="1:4" x14ac:dyDescent="0.2">
      <c r="B10099" t="s">
        <v>1</v>
      </c>
      <c r="C10099" t="s">
        <v>306</v>
      </c>
      <c r="D10099" t="s">
        <v>1504</v>
      </c>
    </row>
    <row r="10100" spans="1:4" x14ac:dyDescent="0.2">
      <c r="B10100" t="s">
        <v>8</v>
      </c>
      <c r="C10100" t="s">
        <v>307</v>
      </c>
      <c r="D10100" t="s">
        <v>3233</v>
      </c>
    </row>
    <row r="10101" spans="1:4" x14ac:dyDescent="0.2">
      <c r="B10101" t="s">
        <v>308</v>
      </c>
      <c r="C10101" t="s">
        <v>268</v>
      </c>
      <c r="D10101" t="s">
        <v>268</v>
      </c>
    </row>
    <row r="10103" spans="1:4" x14ac:dyDescent="0.2">
      <c r="A10103" t="s">
        <v>3546</v>
      </c>
      <c r="B10103" t="str">
        <f>HYPERLINK("https://lindat.mff.cuni.cz/services/teitok/pdtc10/index.php?action=vallex&amp;frame=v-w1019f1", "hájit se (v-w1019f1)")</f>
        <v>hájit se (v-w1019f1)</v>
      </c>
    </row>
    <row r="10104" spans="1:4" x14ac:dyDescent="0.2">
      <c r="B10104" t="s">
        <v>1</v>
      </c>
      <c r="C10104" t="s">
        <v>306</v>
      </c>
      <c r="D10104" t="s">
        <v>23002</v>
      </c>
    </row>
    <row r="10105" spans="1:4" x14ac:dyDescent="0.2">
      <c r="B10105" t="s">
        <v>3547</v>
      </c>
      <c r="C10105" t="s">
        <v>113</v>
      </c>
      <c r="D10105" t="s">
        <v>23003</v>
      </c>
    </row>
    <row r="10107" spans="1:4" x14ac:dyDescent="0.2">
      <c r="A10107" t="s">
        <v>3548</v>
      </c>
      <c r="B10107" t="str">
        <f>HYPERLINK("https://lindat.mff.cuni.cz/services/teitok/pdtc10/index.php?action=vallex&amp;frame=v-w1036f7_ZU", "házet (v-w1036f7_ZU)")</f>
        <v>házet (v-w1036f7_ZU)</v>
      </c>
    </row>
    <row r="10108" spans="1:4" x14ac:dyDescent="0.2">
      <c r="B10108" t="s">
        <v>1</v>
      </c>
    </row>
    <row r="10109" spans="1:4" x14ac:dyDescent="0.2">
      <c r="B10109" t="s">
        <v>8</v>
      </c>
    </row>
    <row r="10110" spans="1:4" x14ac:dyDescent="0.2">
      <c r="B10110" t="s">
        <v>3549</v>
      </c>
    </row>
    <row r="10112" spans="1:4" x14ac:dyDescent="0.2">
      <c r="A10112" t="s">
        <v>3548</v>
      </c>
      <c r="B10112" t="str">
        <f>HYPERLINK("https://lindat.mff.cuni.cz/services/teitok/pdtc10/index.php?action=vallex&amp;frame=v-w1036f5", "házet (v-w1036f5) - substituted with v-w1036f7_ZU")</f>
        <v>házet (v-w1036f5) - substituted with v-w1036f7_ZU</v>
      </c>
    </row>
    <row r="10113" spans="1:4" x14ac:dyDescent="0.2">
      <c r="B10113" t="s">
        <v>1</v>
      </c>
    </row>
    <row r="10114" spans="1:4" x14ac:dyDescent="0.2">
      <c r="B10114" t="s">
        <v>8</v>
      </c>
    </row>
    <row r="10115" spans="1:4" x14ac:dyDescent="0.2">
      <c r="B10115" t="s">
        <v>3549</v>
      </c>
    </row>
    <row r="10117" spans="1:4" x14ac:dyDescent="0.2">
      <c r="A10117" t="s">
        <v>3550</v>
      </c>
      <c r="B10117" t="str">
        <f>HYPERLINK("https://lindat.mff.cuni.cz/services/teitok/pdtc10/index.php?action=vallex&amp;frame=v-w1036f6", "házet (v-w1036f6)")</f>
        <v>házet (v-w1036f6)</v>
      </c>
    </row>
    <row r="10118" spans="1:4" x14ac:dyDescent="0.2">
      <c r="B10118" t="s">
        <v>1</v>
      </c>
      <c r="C10118" t="s">
        <v>16</v>
      </c>
      <c r="D10118" t="s">
        <v>4110</v>
      </c>
    </row>
    <row r="10119" spans="1:4" x14ac:dyDescent="0.2">
      <c r="B10119" t="s">
        <v>1532</v>
      </c>
      <c r="C10119" t="s">
        <v>1109</v>
      </c>
      <c r="D10119" t="s">
        <v>81</v>
      </c>
    </row>
    <row r="10120" spans="1:4" x14ac:dyDescent="0.2">
      <c r="B10120" t="s">
        <v>78</v>
      </c>
      <c r="D10120" t="s">
        <v>987</v>
      </c>
    </row>
    <row r="10122" spans="1:4" x14ac:dyDescent="0.2">
      <c r="A10122" t="s">
        <v>3550</v>
      </c>
      <c r="B10122" t="str">
        <f>HYPERLINK("https://lindat.mff.cuni.cz/services/teitok/pdtc10/index.php?action=vallex&amp;frame=v-w1036f2", "házet (v-w1036f2) - substituted with v-w1036f6")</f>
        <v>házet (v-w1036f2) - substituted with v-w1036f6</v>
      </c>
    </row>
    <row r="10123" spans="1:4" x14ac:dyDescent="0.2">
      <c r="B10123" t="s">
        <v>1</v>
      </c>
    </row>
    <row r="10124" spans="1:4" x14ac:dyDescent="0.2">
      <c r="B10124" t="s">
        <v>1532</v>
      </c>
    </row>
    <row r="10125" spans="1:4" x14ac:dyDescent="0.2">
      <c r="B10125" t="s">
        <v>78</v>
      </c>
    </row>
    <row r="10127" spans="1:4" x14ac:dyDescent="0.2">
      <c r="A10127" t="s">
        <v>3551</v>
      </c>
      <c r="B10127" t="str">
        <f>HYPERLINK("https://lindat.mff.cuni.cz/services/teitok/pdtc10/index.php?action=vallex&amp;frame=v-w1036f8_ZU", "házet (v-w1036f8_ZU)")</f>
        <v>házet (v-w1036f8_ZU)</v>
      </c>
    </row>
    <row r="10128" spans="1:4" x14ac:dyDescent="0.2">
      <c r="B10128" t="s">
        <v>1</v>
      </c>
    </row>
    <row r="10129" spans="1:4" x14ac:dyDescent="0.2">
      <c r="B10129" t="s">
        <v>8</v>
      </c>
    </row>
    <row r="10130" spans="1:4" x14ac:dyDescent="0.2">
      <c r="B10130" t="s">
        <v>90</v>
      </c>
    </row>
    <row r="10132" spans="1:4" x14ac:dyDescent="0.2">
      <c r="A10132" t="s">
        <v>3551</v>
      </c>
      <c r="B10132" t="str">
        <f>HYPERLINK("https://lindat.mff.cuni.cz/services/teitok/pdtc10/index.php?action=vallex&amp;frame=v-w1036f1", "házet (v-w1036f1) - substituted with v-w1036f8_ZU")</f>
        <v>házet (v-w1036f1) - substituted with v-w1036f8_ZU</v>
      </c>
    </row>
    <row r="10133" spans="1:4" x14ac:dyDescent="0.2">
      <c r="B10133" t="s">
        <v>1</v>
      </c>
      <c r="C10133" t="s">
        <v>83</v>
      </c>
      <c r="D10133" t="s">
        <v>2571</v>
      </c>
    </row>
    <row r="10134" spans="1:4" x14ac:dyDescent="0.2">
      <c r="B10134" t="s">
        <v>8</v>
      </c>
      <c r="C10134" t="s">
        <v>1044</v>
      </c>
      <c r="D10134" t="s">
        <v>1343</v>
      </c>
    </row>
    <row r="10135" spans="1:4" x14ac:dyDescent="0.2">
      <c r="B10135" t="s">
        <v>90</v>
      </c>
      <c r="D10135" t="s">
        <v>4392</v>
      </c>
    </row>
    <row r="10137" spans="1:4" x14ac:dyDescent="0.2">
      <c r="A10137" t="s">
        <v>3552</v>
      </c>
      <c r="B10137" t="str">
        <f>HYPERLINK("https://lindat.mff.cuni.cz/services/teitok/pdtc10/index.php?action=vallex&amp;frame=v-w1036f4", "házet (v-w1036f4)")</f>
        <v>házet (v-w1036f4)</v>
      </c>
    </row>
    <row r="10138" spans="1:4" x14ac:dyDescent="0.2">
      <c r="B10138" t="s">
        <v>1</v>
      </c>
    </row>
    <row r="10139" spans="1:4" x14ac:dyDescent="0.2">
      <c r="B10139" t="s">
        <v>158</v>
      </c>
    </row>
    <row r="10141" spans="1:4" x14ac:dyDescent="0.2">
      <c r="A10141" t="s">
        <v>3553</v>
      </c>
      <c r="B10141" t="str">
        <f>HYPERLINK("https://lindat.mff.cuni.cz/services/teitok/pdtc10/index.php?action=vallex&amp;frame=v-w1036f3", "házet (v-w1036f3)")</f>
        <v>házet (v-w1036f3)</v>
      </c>
    </row>
    <row r="10142" spans="1:4" x14ac:dyDescent="0.2">
      <c r="B10142" t="s">
        <v>1</v>
      </c>
    </row>
    <row r="10143" spans="1:4" x14ac:dyDescent="0.2">
      <c r="B10143" t="s">
        <v>3554</v>
      </c>
    </row>
    <row r="10144" spans="1:4" x14ac:dyDescent="0.2">
      <c r="B10144" t="s">
        <v>103</v>
      </c>
    </row>
    <row r="10146" spans="1:2" x14ac:dyDescent="0.2">
      <c r="A10146" t="s">
        <v>3555</v>
      </c>
      <c r="B10146" t="str">
        <f>HYPERLINK("https://lindat.mff.cuni.cz/services/teitok/pdtc10/index.php?action=vallex&amp;frame=v-w1036hsa_305", "házet (v-w1036hsa_305)")</f>
        <v>házet (v-w1036hsa_305)</v>
      </c>
    </row>
    <row r="10147" spans="1:2" x14ac:dyDescent="0.2">
      <c r="B10147" t="s">
        <v>1</v>
      </c>
    </row>
    <row r="10148" spans="1:2" x14ac:dyDescent="0.2">
      <c r="B10148" t="s">
        <v>8</v>
      </c>
    </row>
    <row r="10149" spans="1:2" x14ac:dyDescent="0.2">
      <c r="B10149" t="s">
        <v>88</v>
      </c>
    </row>
    <row r="10151" spans="1:2" x14ac:dyDescent="0.2">
      <c r="A10151" t="s">
        <v>3556</v>
      </c>
      <c r="B10151" t="str">
        <f>HYPERLINK("https://lindat.mff.cuni.cz/services/teitok/pdtc10/index.php?action=vallex&amp;frame=v-w1036hsa_242", "házet (v-w1036hsa_242)")</f>
        <v>házet (v-w1036hsa_242)</v>
      </c>
    </row>
    <row r="10152" spans="1:2" x14ac:dyDescent="0.2">
      <c r="B10152" t="s">
        <v>1</v>
      </c>
    </row>
    <row r="10153" spans="1:2" x14ac:dyDescent="0.2">
      <c r="B10153" t="s">
        <v>8</v>
      </c>
    </row>
    <row r="10155" spans="1:2" x14ac:dyDescent="0.2">
      <c r="A10155" t="s">
        <v>3557</v>
      </c>
      <c r="B10155" t="str">
        <f>HYPERLINK("https://lindat.mff.cuni.cz/services/teitok/pdtc10/index.php?action=vallex&amp;frame=v-whsa_1728f1_ZU", "háčkovat (v-whsa_1728f1_ZU)")</f>
        <v>háčkovat (v-whsa_1728f1_ZU)</v>
      </c>
    </row>
    <row r="10156" spans="1:2" x14ac:dyDescent="0.2">
      <c r="B10156" t="s">
        <v>1</v>
      </c>
    </row>
    <row r="10157" spans="1:2" x14ac:dyDescent="0.2">
      <c r="B10157" t="s">
        <v>8</v>
      </c>
    </row>
    <row r="10158" spans="1:2" x14ac:dyDescent="0.2">
      <c r="B10158" t="s">
        <v>24</v>
      </c>
    </row>
    <row r="10160" spans="1:2" x14ac:dyDescent="0.2">
      <c r="A10160" t="s">
        <v>3557</v>
      </c>
      <c r="B10160" t="str">
        <f>HYPERLINK("https://lindat.mff.cuni.cz/services/teitok/pdtc10/index.php?action=vallex&amp;frame=v-whsa_1728hsa_1729", "háčkovat (v-whsa_1728hsa_1729) - substituted with v-whsa_1728f1_ZU")</f>
        <v>háčkovat (v-whsa_1728hsa_1729) - substituted with v-whsa_1728f1_ZU</v>
      </c>
    </row>
    <row r="10161" spans="1:4" x14ac:dyDescent="0.2">
      <c r="B10161" t="s">
        <v>1</v>
      </c>
    </row>
    <row r="10162" spans="1:4" x14ac:dyDescent="0.2">
      <c r="B10162" t="s">
        <v>8</v>
      </c>
    </row>
    <row r="10163" spans="1:4" x14ac:dyDescent="0.2">
      <c r="B10163" t="s">
        <v>24</v>
      </c>
    </row>
    <row r="10165" spans="1:4" x14ac:dyDescent="0.2">
      <c r="A10165" t="s">
        <v>3558</v>
      </c>
      <c r="B10165" t="str">
        <f>HYPERLINK("https://lindat.mff.cuni.cz/services/teitok/pdtc10/index.php?action=vallex&amp;frame=v-w1151f2", "hýbat (v-w1151f2)")</f>
        <v>hýbat (v-w1151f2)</v>
      </c>
    </row>
    <row r="10166" spans="1:4" x14ac:dyDescent="0.2">
      <c r="B10166" t="s">
        <v>1</v>
      </c>
    </row>
    <row r="10167" spans="1:4" x14ac:dyDescent="0.2">
      <c r="B10167" t="s">
        <v>3215</v>
      </c>
    </row>
    <row r="10169" spans="1:4" x14ac:dyDescent="0.2">
      <c r="A10169" t="s">
        <v>3559</v>
      </c>
      <c r="B10169" t="str">
        <f>HYPERLINK("https://lindat.mff.cuni.cz/services/teitok/pdtc10/index.php?action=vallex&amp;frame=v-w1151f1", "hýbat (v-w1151f1)")</f>
        <v>hýbat (v-w1151f1)</v>
      </c>
    </row>
    <row r="10170" spans="1:4" x14ac:dyDescent="0.2">
      <c r="B10170" t="s">
        <v>1</v>
      </c>
      <c r="C10170" t="s">
        <v>3560</v>
      </c>
    </row>
    <row r="10171" spans="1:4" x14ac:dyDescent="0.2">
      <c r="B10171" t="s">
        <v>158</v>
      </c>
      <c r="C10171" t="s">
        <v>341</v>
      </c>
    </row>
    <row r="10173" spans="1:4" x14ac:dyDescent="0.2">
      <c r="A10173" t="s">
        <v>3561</v>
      </c>
      <c r="B10173" t="str">
        <f>HYPERLINK("https://lindat.mff.cuni.cz/services/teitok/pdtc10/index.php?action=vallex&amp;frame=v-w1152f1", "hýbat se (v-w1152f1)")</f>
        <v>hýbat se (v-w1152f1)</v>
      </c>
    </row>
    <row r="10174" spans="1:4" x14ac:dyDescent="0.2">
      <c r="B10174" t="s">
        <v>1</v>
      </c>
      <c r="C10174" t="s">
        <v>3562</v>
      </c>
      <c r="D10174" t="s">
        <v>23346</v>
      </c>
    </row>
    <row r="10176" spans="1:4" x14ac:dyDescent="0.2">
      <c r="A10176" t="s">
        <v>3563</v>
      </c>
      <c r="B10176" t="str">
        <f>HYPERLINK("https://lindat.mff.cuni.cz/services/teitok/pdtc10/index.php?action=vallex&amp;frame=v-w1153f1", "hýčkat (v-w1153f1)")</f>
        <v>hýčkat (v-w1153f1)</v>
      </c>
    </row>
    <row r="10177" spans="1:2" x14ac:dyDescent="0.2">
      <c r="B10177" t="s">
        <v>1</v>
      </c>
    </row>
    <row r="10178" spans="1:2" x14ac:dyDescent="0.2">
      <c r="B10178" t="s">
        <v>8</v>
      </c>
    </row>
    <row r="10180" spans="1:2" x14ac:dyDescent="0.2">
      <c r="A10180" t="s">
        <v>3564</v>
      </c>
      <c r="B10180" t="str">
        <f>HYPERLINK("https://lindat.mff.cuni.cz/services/teitok/pdtc10/index.php?action=vallex&amp;frame=v-w1159f1", "hýřit (v-w1159f1)")</f>
        <v>hýřit (v-w1159f1)</v>
      </c>
    </row>
    <row r="10181" spans="1:2" x14ac:dyDescent="0.2">
      <c r="B10181" t="s">
        <v>1</v>
      </c>
    </row>
    <row r="10182" spans="1:2" x14ac:dyDescent="0.2">
      <c r="B10182" t="s">
        <v>158</v>
      </c>
    </row>
    <row r="10184" spans="1:2" x14ac:dyDescent="0.2">
      <c r="A10184" t="s">
        <v>3565</v>
      </c>
      <c r="B10184" t="str">
        <f>HYPERLINK("https://lindat.mff.cuni.cz/services/teitok/pdtc10/index.php?action=vallex&amp;frame=v-w1159f2", "hýřit (v-w1159f2)")</f>
        <v>hýřit (v-w1159f2)</v>
      </c>
    </row>
    <row r="10185" spans="1:2" x14ac:dyDescent="0.2">
      <c r="B10185" t="s">
        <v>1</v>
      </c>
    </row>
    <row r="10187" spans="1:2" x14ac:dyDescent="0.2">
      <c r="A10187" t="s">
        <v>3566</v>
      </c>
      <c r="B10187" t="str">
        <f>HYPERLINK("https://lindat.mff.cuni.cz/services/teitok/pdtc10/index.php?action=vallex&amp;frame=v-whsa_1856hsa_1857", "hřebelcovat (v-whsa_1856hsa_1857)")</f>
        <v>hřebelcovat (v-whsa_1856hsa_1857)</v>
      </c>
    </row>
    <row r="10188" spans="1:2" x14ac:dyDescent="0.2">
      <c r="B10188" t="s">
        <v>1</v>
      </c>
    </row>
    <row r="10189" spans="1:2" x14ac:dyDescent="0.2">
      <c r="B10189" t="s">
        <v>8</v>
      </c>
    </row>
    <row r="10191" spans="1:2" x14ac:dyDescent="0.2">
      <c r="A10191" t="s">
        <v>3567</v>
      </c>
      <c r="B10191" t="str">
        <f>HYPERLINK("https://lindat.mff.cuni.cz/services/teitok/pdtc10/index.php?action=vallex&amp;frame=v-w1141f1", "hřešit (v-w1141f1)")</f>
        <v>hřešit (v-w1141f1)</v>
      </c>
    </row>
    <row r="10192" spans="1:2" x14ac:dyDescent="0.2">
      <c r="B10192" t="s">
        <v>1</v>
      </c>
    </row>
    <row r="10193" spans="1:4" x14ac:dyDescent="0.2">
      <c r="B10193" t="s">
        <v>28</v>
      </c>
    </row>
    <row r="10195" spans="1:4" x14ac:dyDescent="0.2">
      <c r="A10195" t="s">
        <v>3568</v>
      </c>
      <c r="B10195" t="str">
        <f>HYPERLINK("https://lindat.mff.cuni.cz/services/teitok/pdtc10/index.php?action=vallex&amp;frame=v-w1141f2", "hřešit (v-w1141f2)")</f>
        <v>hřešit (v-w1141f2)</v>
      </c>
    </row>
    <row r="10196" spans="1:4" x14ac:dyDescent="0.2">
      <c r="B10196" t="s">
        <v>1</v>
      </c>
    </row>
    <row r="10198" spans="1:4" x14ac:dyDescent="0.2">
      <c r="A10198" t="s">
        <v>3569</v>
      </c>
      <c r="B10198" t="str">
        <f>HYPERLINK("https://lindat.mff.cuni.cz/services/teitok/pdtc10/index.php?action=vallex&amp;frame=v-w1143f2", "hřmět (v-w1143f2)")</f>
        <v>hřmět (v-w1143f2)</v>
      </c>
    </row>
    <row r="10199" spans="1:4" x14ac:dyDescent="0.2">
      <c r="B10199" t="s">
        <v>1</v>
      </c>
      <c r="C10199" t="s">
        <v>186</v>
      </c>
      <c r="D10199" t="s">
        <v>10614</v>
      </c>
    </row>
    <row r="10201" spans="1:4" x14ac:dyDescent="0.2">
      <c r="A10201" t="s">
        <v>3570</v>
      </c>
      <c r="B10201" t="str">
        <f>HYPERLINK("https://lindat.mff.cuni.cz/services/teitok/pdtc10/index.php?action=vallex&amp;frame=v-w1143f3", "hřmět (v-w1143f3)")</f>
        <v>hřmět (v-w1143f3)</v>
      </c>
    </row>
    <row r="10202" spans="1:4" x14ac:dyDescent="0.2">
      <c r="B10202" t="s">
        <v>1</v>
      </c>
      <c r="D10202" t="s">
        <v>1709</v>
      </c>
    </row>
    <row r="10204" spans="1:4" x14ac:dyDescent="0.2">
      <c r="A10204" t="s">
        <v>3571</v>
      </c>
      <c r="B10204" t="str">
        <f>HYPERLINK("https://lindat.mff.cuni.cz/services/teitok/pdtc10/index.php?action=vallex&amp;frame=v-w1143f1", "hřmět (v-w1143f1)")</f>
        <v>hřmět (v-w1143f1)</v>
      </c>
    </row>
    <row r="10206" spans="1:4" x14ac:dyDescent="0.2">
      <c r="A10206" t="s">
        <v>3572</v>
      </c>
      <c r="B10206" t="str">
        <f>HYPERLINK("https://lindat.mff.cuni.cz/services/teitok/pdtc10/index.php?action=vallex&amp;frame=v-w1140f1", "hřát (v-w1140f1)")</f>
        <v>hřát (v-w1140f1)</v>
      </c>
    </row>
    <row r="10207" spans="1:4" x14ac:dyDescent="0.2">
      <c r="B10207" t="s">
        <v>1</v>
      </c>
    </row>
    <row r="10208" spans="1:4" x14ac:dyDescent="0.2">
      <c r="B10208" t="s">
        <v>8</v>
      </c>
    </row>
    <row r="10210" spans="1:4" x14ac:dyDescent="0.2">
      <c r="A10210" t="s">
        <v>3573</v>
      </c>
      <c r="B10210" t="str">
        <f>HYPERLINK("https://lindat.mff.cuni.cz/services/teitok/pdtc10/index.php?action=vallex&amp;frame=v-w1142f1", "hřímat (v-w1142f1)")</f>
        <v>hřímat (v-w1142f1)</v>
      </c>
    </row>
    <row r="10211" spans="1:4" x14ac:dyDescent="0.2">
      <c r="B10211" t="s">
        <v>1</v>
      </c>
      <c r="D10211" t="s">
        <v>2571</v>
      </c>
    </row>
    <row r="10212" spans="1:4" x14ac:dyDescent="0.2">
      <c r="B10212" t="s">
        <v>3574</v>
      </c>
      <c r="D10212" t="s">
        <v>23357</v>
      </c>
    </row>
    <row r="10213" spans="1:4" x14ac:dyDescent="0.2">
      <c r="B10213" t="s">
        <v>269</v>
      </c>
    </row>
    <row r="10214" spans="1:4" x14ac:dyDescent="0.2">
      <c r="B10214" t="s">
        <v>78</v>
      </c>
      <c r="D10214" t="s">
        <v>3728</v>
      </c>
    </row>
    <row r="10216" spans="1:4" x14ac:dyDescent="0.2">
      <c r="A10216" t="s">
        <v>3575</v>
      </c>
      <c r="B10216" t="str">
        <f>HYPERLINK("https://lindat.mff.cuni.cz/services/teitok/pdtc10/index.php?action=vallex&amp;frame=v-w1216f1", "idealizovat si (v-w1216f1)")</f>
        <v>idealizovat si (v-w1216f1)</v>
      </c>
    </row>
    <row r="10217" spans="1:4" x14ac:dyDescent="0.2">
      <c r="B10217" t="s">
        <v>1</v>
      </c>
    </row>
    <row r="10218" spans="1:4" x14ac:dyDescent="0.2">
      <c r="B10218" t="s">
        <v>8</v>
      </c>
    </row>
    <row r="10220" spans="1:4" x14ac:dyDescent="0.2">
      <c r="A10220" t="s">
        <v>3576</v>
      </c>
      <c r="B10220" t="str">
        <f>HYPERLINK("https://lindat.mff.cuni.cz/services/teitok/pdtc10/index.php?action=vallex&amp;frame=v-w1218f2", "identifikovat (v-w1218f2)")</f>
        <v>identifikovat (v-w1218f2)</v>
      </c>
    </row>
    <row r="10221" spans="1:4" x14ac:dyDescent="0.2">
      <c r="B10221" t="s">
        <v>1</v>
      </c>
    </row>
    <row r="10222" spans="1:4" x14ac:dyDescent="0.2">
      <c r="B10222" t="s">
        <v>8</v>
      </c>
    </row>
    <row r="10223" spans="1:4" x14ac:dyDescent="0.2">
      <c r="B10223" t="s">
        <v>153</v>
      </c>
    </row>
    <row r="10225" spans="1:4" x14ac:dyDescent="0.2">
      <c r="A10225" t="s">
        <v>3577</v>
      </c>
      <c r="B10225" t="str">
        <f>HYPERLINK("https://lindat.mff.cuni.cz/services/teitok/pdtc10/index.php?action=vallex&amp;frame=v-w1218f1", "identifikovat (v-w1218f1)")</f>
        <v>identifikovat (v-w1218f1)</v>
      </c>
    </row>
    <row r="10226" spans="1:4" x14ac:dyDescent="0.2">
      <c r="B10226" t="s">
        <v>1</v>
      </c>
      <c r="C10226" t="s">
        <v>337</v>
      </c>
      <c r="D10226" t="s">
        <v>2749</v>
      </c>
    </row>
    <row r="10227" spans="1:4" x14ac:dyDescent="0.2">
      <c r="B10227" t="s">
        <v>8</v>
      </c>
      <c r="C10227" t="s">
        <v>328</v>
      </c>
      <c r="D10227" t="s">
        <v>23358</v>
      </c>
    </row>
    <row r="10229" spans="1:4" x14ac:dyDescent="0.2">
      <c r="A10229" t="s">
        <v>3578</v>
      </c>
      <c r="B10229" t="str">
        <f>HYPERLINK("https://lindat.mff.cuni.cz/services/teitok/pdtc10/index.php?action=vallex&amp;frame=v-w1222f1", "ideologizovat (v-w1222f1)")</f>
        <v>ideologizovat (v-w1222f1)</v>
      </c>
    </row>
    <row r="10230" spans="1:4" x14ac:dyDescent="0.2">
      <c r="B10230" t="s">
        <v>1</v>
      </c>
      <c r="C10230" t="s">
        <v>186</v>
      </c>
      <c r="D10230" t="s">
        <v>1065</v>
      </c>
    </row>
    <row r="10231" spans="1:4" x14ac:dyDescent="0.2">
      <c r="B10231" t="s">
        <v>8</v>
      </c>
      <c r="D10231" t="s">
        <v>2235</v>
      </c>
    </row>
    <row r="10233" spans="1:4" x14ac:dyDescent="0.2">
      <c r="A10233" t="s">
        <v>3579</v>
      </c>
      <c r="B10233" t="str">
        <f>HYPERLINK("https://lindat.mff.cuni.cz/services/teitok/pdtc10/index.php?action=vallex&amp;frame=v-w1225f1", "ignorovat (v-w1225f1)")</f>
        <v>ignorovat (v-w1225f1)</v>
      </c>
    </row>
    <row r="10234" spans="1:4" x14ac:dyDescent="0.2">
      <c r="B10234" t="s">
        <v>1</v>
      </c>
      <c r="C10234" t="s">
        <v>3580</v>
      </c>
      <c r="D10234" t="s">
        <v>306</v>
      </c>
    </row>
    <row r="10235" spans="1:4" x14ac:dyDescent="0.2">
      <c r="B10235" t="s">
        <v>124</v>
      </c>
      <c r="C10235" t="s">
        <v>3581</v>
      </c>
      <c r="D10235" t="s">
        <v>7127</v>
      </c>
    </row>
    <row r="10237" spans="1:4" x14ac:dyDescent="0.2">
      <c r="A10237" t="s">
        <v>3582</v>
      </c>
      <c r="B10237" t="str">
        <f>HYPERLINK("https://lindat.mff.cuni.cz/services/teitok/pdtc10/index.php?action=vallex&amp;frame=v-w1228f1", "ilustrovat (v-w1228f1)")</f>
        <v>ilustrovat (v-w1228f1)</v>
      </c>
    </row>
    <row r="10238" spans="1:4" x14ac:dyDescent="0.2">
      <c r="B10238" t="s">
        <v>1</v>
      </c>
      <c r="C10238" t="s">
        <v>3583</v>
      </c>
      <c r="D10238" t="s">
        <v>23089</v>
      </c>
    </row>
    <row r="10239" spans="1:4" x14ac:dyDescent="0.2">
      <c r="B10239" t="s">
        <v>124</v>
      </c>
      <c r="C10239" t="s">
        <v>359</v>
      </c>
      <c r="D10239" t="s">
        <v>8880</v>
      </c>
    </row>
    <row r="10241" spans="1:4" x14ac:dyDescent="0.2">
      <c r="A10241" t="s">
        <v>3584</v>
      </c>
      <c r="B10241" t="str">
        <f>HYPERLINK("https://lindat.mff.cuni.cz/services/teitok/pdtc10/index.php?action=vallex&amp;frame=v-w1228f2", "ilustrovat (v-w1228f2)")</f>
        <v>ilustrovat (v-w1228f2)</v>
      </c>
    </row>
    <row r="10242" spans="1:4" x14ac:dyDescent="0.2">
      <c r="B10242" t="s">
        <v>1</v>
      </c>
      <c r="C10242" t="s">
        <v>140</v>
      </c>
      <c r="D10242" t="s">
        <v>140</v>
      </c>
    </row>
    <row r="10243" spans="1:4" x14ac:dyDescent="0.2">
      <c r="B10243" t="s">
        <v>8</v>
      </c>
      <c r="C10243" t="s">
        <v>34</v>
      </c>
      <c r="D10243" t="s">
        <v>34</v>
      </c>
    </row>
    <row r="10245" spans="1:4" x14ac:dyDescent="0.2">
      <c r="A10245" t="s">
        <v>3585</v>
      </c>
      <c r="B10245" t="str">
        <f>HYPERLINK("https://lindat.mff.cuni.cz/services/teitok/pdtc10/index.php?action=vallex&amp;frame=v-w1232f1", "imitovat (v-w1232f1)")</f>
        <v>imitovat (v-w1232f1)</v>
      </c>
    </row>
    <row r="10246" spans="1:4" x14ac:dyDescent="0.2">
      <c r="B10246" t="s">
        <v>1</v>
      </c>
    </row>
    <row r="10247" spans="1:4" x14ac:dyDescent="0.2">
      <c r="B10247" t="s">
        <v>67</v>
      </c>
    </row>
    <row r="10249" spans="1:4" x14ac:dyDescent="0.2">
      <c r="A10249" t="s">
        <v>3586</v>
      </c>
      <c r="B10249" t="str">
        <f>HYPERLINK("https://lindat.mff.cuni.cz/services/teitok/pdtc10/index.php?action=vallex&amp;frame=v-w11191f2", "implantovat (v-w11191f2)")</f>
        <v>implantovat (v-w11191f2)</v>
      </c>
    </row>
    <row r="10250" spans="1:4" x14ac:dyDescent="0.2">
      <c r="B10250" t="s">
        <v>1</v>
      </c>
      <c r="C10250" t="s">
        <v>140</v>
      </c>
      <c r="D10250" t="s">
        <v>140</v>
      </c>
    </row>
    <row r="10251" spans="1:4" x14ac:dyDescent="0.2">
      <c r="B10251" t="s">
        <v>8</v>
      </c>
      <c r="C10251" t="s">
        <v>991</v>
      </c>
      <c r="D10251" t="s">
        <v>991</v>
      </c>
    </row>
    <row r="10252" spans="1:4" x14ac:dyDescent="0.2">
      <c r="B10252" t="s">
        <v>90</v>
      </c>
    </row>
    <row r="10254" spans="1:4" x14ac:dyDescent="0.2">
      <c r="A10254" t="s">
        <v>3587</v>
      </c>
      <c r="B10254" t="str">
        <f>HYPERLINK("https://lindat.mff.cuni.cz/services/teitok/pdtc10/index.php?action=vallex&amp;frame=v-w10686f2", "implementovat (v-w10686f2)")</f>
        <v>implementovat (v-w10686f2)</v>
      </c>
    </row>
    <row r="10255" spans="1:4" x14ac:dyDescent="0.2">
      <c r="B10255" t="s">
        <v>1</v>
      </c>
    </row>
    <row r="10256" spans="1:4" x14ac:dyDescent="0.2">
      <c r="B10256" t="s">
        <v>8</v>
      </c>
    </row>
    <row r="10258" spans="1:3" x14ac:dyDescent="0.2">
      <c r="A10258" t="s">
        <v>3588</v>
      </c>
      <c r="B10258" t="str">
        <f>HYPERLINK("https://lindat.mff.cuni.cz/services/teitok/pdtc10/index.php?action=vallex&amp;frame=v-w1233f1", "implikovat (v-w1233f1)")</f>
        <v>implikovat (v-w1233f1)</v>
      </c>
    </row>
    <row r="10259" spans="1:3" x14ac:dyDescent="0.2">
      <c r="B10259" t="s">
        <v>1</v>
      </c>
    </row>
    <row r="10260" spans="1:3" x14ac:dyDescent="0.2">
      <c r="B10260" t="s">
        <v>8</v>
      </c>
    </row>
    <row r="10262" spans="1:3" x14ac:dyDescent="0.2">
      <c r="A10262" t="s">
        <v>3589</v>
      </c>
      <c r="B10262" t="str">
        <f>HYPERLINK("https://lindat.mff.cuni.cz/services/teitok/pdtc10/index.php?action=vallex&amp;frame=v-w1234f1", "imponovat (v-w1234f1)")</f>
        <v>imponovat (v-w1234f1)</v>
      </c>
    </row>
    <row r="10263" spans="1:3" x14ac:dyDescent="0.2">
      <c r="B10263" t="s">
        <v>1</v>
      </c>
      <c r="C10263" t="s">
        <v>3590</v>
      </c>
    </row>
    <row r="10264" spans="1:3" x14ac:dyDescent="0.2">
      <c r="B10264" t="s">
        <v>103</v>
      </c>
      <c r="C10264" t="s">
        <v>2747</v>
      </c>
    </row>
    <row r="10266" spans="1:3" x14ac:dyDescent="0.2">
      <c r="A10266" t="s">
        <v>3591</v>
      </c>
      <c r="B10266" t="str">
        <f>HYPERLINK("https://lindat.mff.cuni.cz/services/teitok/pdtc10/index.php?action=vallex&amp;frame=v-w1237f1", "importovat (v-w1237f1)")</f>
        <v>importovat (v-w1237f1)</v>
      </c>
    </row>
    <row r="10267" spans="1:3" x14ac:dyDescent="0.2">
      <c r="B10267" t="s">
        <v>1</v>
      </c>
    </row>
    <row r="10268" spans="1:3" x14ac:dyDescent="0.2">
      <c r="B10268" t="s">
        <v>8</v>
      </c>
    </row>
    <row r="10269" spans="1:3" x14ac:dyDescent="0.2">
      <c r="B10269" t="s">
        <v>90</v>
      </c>
    </row>
    <row r="10271" spans="1:3" x14ac:dyDescent="0.2">
      <c r="A10271" t="s">
        <v>3592</v>
      </c>
      <c r="B10271" t="str">
        <f>HYPERLINK("https://lindat.mff.cuni.cz/services/teitok/pdtc10/index.php?action=vallex&amp;frame=v-whsa_12hsa_13", "impregnovat (v-whsa_12hsa_13)")</f>
        <v>impregnovat (v-whsa_12hsa_13)</v>
      </c>
    </row>
    <row r="10272" spans="1:3" x14ac:dyDescent="0.2">
      <c r="B10272" t="s">
        <v>1</v>
      </c>
    </row>
    <row r="10273" spans="1:2" x14ac:dyDescent="0.2">
      <c r="B10273" t="s">
        <v>8</v>
      </c>
    </row>
    <row r="10275" spans="1:2" x14ac:dyDescent="0.2">
      <c r="A10275" t="s">
        <v>3593</v>
      </c>
      <c r="B10275" t="str">
        <f>HYPERLINK("https://lindat.mff.cuni.cz/services/teitok/pdtc10/index.php?action=vallex&amp;frame=v-w1238f1", "improvizovat (v-w1238f1)")</f>
        <v>improvizovat (v-w1238f1)</v>
      </c>
    </row>
    <row r="10276" spans="1:2" x14ac:dyDescent="0.2">
      <c r="B10276" t="s">
        <v>1</v>
      </c>
    </row>
    <row r="10277" spans="1:2" x14ac:dyDescent="0.2">
      <c r="B10277" t="s">
        <v>8</v>
      </c>
    </row>
    <row r="10279" spans="1:2" x14ac:dyDescent="0.2">
      <c r="A10279" t="s">
        <v>3594</v>
      </c>
      <c r="B10279" t="str">
        <f>HYPERLINK("https://lindat.mff.cuni.cz/services/teitok/pdtc10/index.php?action=vallex&amp;frame=v-w1240f1", "imunizovat (v-w1240f1)")</f>
        <v>imunizovat (v-w1240f1)</v>
      </c>
    </row>
    <row r="10280" spans="1:2" x14ac:dyDescent="0.2">
      <c r="B10280" t="s">
        <v>1</v>
      </c>
    </row>
    <row r="10281" spans="1:2" x14ac:dyDescent="0.2">
      <c r="B10281" t="s">
        <v>8</v>
      </c>
    </row>
    <row r="10282" spans="1:2" x14ac:dyDescent="0.2">
      <c r="B10282" t="s">
        <v>308</v>
      </c>
    </row>
    <row r="10284" spans="1:2" x14ac:dyDescent="0.2">
      <c r="A10284" t="s">
        <v>3595</v>
      </c>
      <c r="B10284" t="str">
        <f>HYPERLINK("https://lindat.mff.cuni.cz/services/teitok/pdtc10/index.php?action=vallex&amp;frame=v-w1242f1", "inaugurovat (v-w1242f1)")</f>
        <v>inaugurovat (v-w1242f1)</v>
      </c>
    </row>
    <row r="10285" spans="1:2" x14ac:dyDescent="0.2">
      <c r="B10285" t="s">
        <v>1</v>
      </c>
    </row>
    <row r="10286" spans="1:2" x14ac:dyDescent="0.2">
      <c r="B10286" t="s">
        <v>8</v>
      </c>
    </row>
    <row r="10288" spans="1:2" x14ac:dyDescent="0.2">
      <c r="A10288" t="s">
        <v>3596</v>
      </c>
      <c r="B10288" t="str">
        <f>HYPERLINK("https://lindat.mff.cuni.cz/services/teitok/pdtc10/index.php?action=vallex&amp;frame=v-w11031f3", "indikovat (v-w11031f3)")</f>
        <v>indikovat (v-w11031f3)</v>
      </c>
    </row>
    <row r="10289" spans="1:4" x14ac:dyDescent="0.2">
      <c r="B10289" t="s">
        <v>1</v>
      </c>
      <c r="C10289" t="s">
        <v>3597</v>
      </c>
      <c r="D10289" t="s">
        <v>13243</v>
      </c>
    </row>
    <row r="10290" spans="1:4" x14ac:dyDescent="0.2">
      <c r="B10290" t="s">
        <v>41</v>
      </c>
      <c r="C10290" t="s">
        <v>3598</v>
      </c>
      <c r="D10290" t="s">
        <v>23359</v>
      </c>
    </row>
    <row r="10292" spans="1:4" x14ac:dyDescent="0.2">
      <c r="A10292" t="s">
        <v>3599</v>
      </c>
      <c r="B10292" t="str">
        <f>HYPERLINK("https://lindat.mff.cuni.cz/services/teitok/pdtc10/index.php?action=vallex&amp;frame=v-w11053f2", "infikovat (v-w11053f2)")</f>
        <v>infikovat (v-w11053f2)</v>
      </c>
    </row>
    <row r="10293" spans="1:4" x14ac:dyDescent="0.2">
      <c r="B10293" t="s">
        <v>1</v>
      </c>
      <c r="C10293" t="s">
        <v>3600</v>
      </c>
      <c r="D10293" t="s">
        <v>1425</v>
      </c>
    </row>
    <row r="10294" spans="1:4" x14ac:dyDescent="0.2">
      <c r="B10294" t="s">
        <v>8</v>
      </c>
      <c r="C10294" t="s">
        <v>129</v>
      </c>
      <c r="D10294" t="s">
        <v>3086</v>
      </c>
    </row>
    <row r="10296" spans="1:4" x14ac:dyDescent="0.2">
      <c r="A10296" t="s">
        <v>3601</v>
      </c>
      <c r="B10296" t="str">
        <f>HYPERLINK("https://lindat.mff.cuni.cz/services/teitok/pdtc10/index.php?action=vallex&amp;frame=v-w1249f1", "infiltrovat (v-w1249f1)")</f>
        <v>infiltrovat (v-w1249f1)</v>
      </c>
    </row>
    <row r="10297" spans="1:4" x14ac:dyDescent="0.2">
      <c r="B10297" t="s">
        <v>1</v>
      </c>
      <c r="C10297" t="s">
        <v>33</v>
      </c>
    </row>
    <row r="10298" spans="1:4" x14ac:dyDescent="0.2">
      <c r="B10298" t="s">
        <v>8</v>
      </c>
      <c r="C10298" t="s">
        <v>991</v>
      </c>
    </row>
    <row r="10300" spans="1:4" x14ac:dyDescent="0.2">
      <c r="A10300" t="s">
        <v>3602</v>
      </c>
      <c r="B10300" t="str">
        <f>HYPERLINK("https://lindat.mff.cuni.cz/services/teitok/pdtc10/index.php?action=vallex&amp;frame=v-w1254f1", "informovat (v-w1254f1)")</f>
        <v>informovat (v-w1254f1)</v>
      </c>
    </row>
    <row r="10301" spans="1:4" x14ac:dyDescent="0.2">
      <c r="B10301" t="s">
        <v>1</v>
      </c>
      <c r="C10301" t="s">
        <v>3603</v>
      </c>
      <c r="D10301" t="s">
        <v>22967</v>
      </c>
    </row>
    <row r="10302" spans="1:4" x14ac:dyDescent="0.2">
      <c r="B10302" t="s">
        <v>3604</v>
      </c>
      <c r="C10302" t="s">
        <v>3605</v>
      </c>
      <c r="D10302" t="s">
        <v>22968</v>
      </c>
    </row>
    <row r="10303" spans="1:4" x14ac:dyDescent="0.2">
      <c r="B10303" t="s">
        <v>58</v>
      </c>
      <c r="C10303" t="s">
        <v>3606</v>
      </c>
      <c r="D10303" t="s">
        <v>22969</v>
      </c>
    </row>
    <row r="10305" spans="1:4" x14ac:dyDescent="0.2">
      <c r="A10305" t="s">
        <v>3607</v>
      </c>
      <c r="B10305" t="str">
        <f>HYPERLINK("https://lindat.mff.cuni.cz/services/teitok/pdtc10/index.php?action=vallex&amp;frame=v-w1255f1", "informovat se (v-w1255f1)")</f>
        <v>informovat se (v-w1255f1)</v>
      </c>
    </row>
    <row r="10306" spans="1:4" x14ac:dyDescent="0.2">
      <c r="B10306" t="s">
        <v>1</v>
      </c>
      <c r="D10306" t="s">
        <v>23213</v>
      </c>
    </row>
    <row r="10307" spans="1:4" x14ac:dyDescent="0.2">
      <c r="B10307" t="s">
        <v>3608</v>
      </c>
      <c r="D10307" t="s">
        <v>23214</v>
      </c>
    </row>
    <row r="10309" spans="1:4" x14ac:dyDescent="0.2">
      <c r="A10309" t="s">
        <v>3609</v>
      </c>
      <c r="B10309" t="str">
        <f>HYPERLINK("https://lindat.mff.cuni.cz/services/teitok/pdtc10/index.php?action=vallex&amp;frame=v-w1260f1", "iniciovat (v-w1260f1)")</f>
        <v>iniciovat (v-w1260f1)</v>
      </c>
    </row>
    <row r="10310" spans="1:4" x14ac:dyDescent="0.2">
      <c r="B10310" t="s">
        <v>1</v>
      </c>
      <c r="C10310" t="s">
        <v>3610</v>
      </c>
      <c r="D10310" t="s">
        <v>22950</v>
      </c>
    </row>
    <row r="10311" spans="1:4" x14ac:dyDescent="0.2">
      <c r="B10311" t="s">
        <v>8</v>
      </c>
      <c r="C10311" t="s">
        <v>3611</v>
      </c>
      <c r="D10311" t="s">
        <v>22951</v>
      </c>
    </row>
    <row r="10313" spans="1:4" x14ac:dyDescent="0.2">
      <c r="A10313" t="s">
        <v>3612</v>
      </c>
      <c r="B10313" t="str">
        <f>HYPERLINK("https://lindat.mff.cuni.cz/services/teitok/pdtc10/index.php?action=vallex&amp;frame=v-w1261f1", "inkasovat (v-w1261f1)")</f>
        <v>inkasovat (v-w1261f1)</v>
      </c>
    </row>
    <row r="10314" spans="1:4" x14ac:dyDescent="0.2">
      <c r="B10314" t="s">
        <v>1</v>
      </c>
      <c r="C10314" t="s">
        <v>109</v>
      </c>
      <c r="D10314" t="s">
        <v>23111</v>
      </c>
    </row>
    <row r="10315" spans="1:4" x14ac:dyDescent="0.2">
      <c r="B10315" t="s">
        <v>8</v>
      </c>
      <c r="C10315" t="s">
        <v>2344</v>
      </c>
      <c r="D10315" t="s">
        <v>23112</v>
      </c>
    </row>
    <row r="10316" spans="1:4" x14ac:dyDescent="0.2">
      <c r="B10316" t="s">
        <v>321</v>
      </c>
      <c r="D10316" t="s">
        <v>23113</v>
      </c>
    </row>
    <row r="10318" spans="1:4" x14ac:dyDescent="0.2">
      <c r="A10318" t="s">
        <v>3613</v>
      </c>
      <c r="B10318" t="str">
        <f>HYPERLINK("https://lindat.mff.cuni.cz/services/teitok/pdtc10/index.php?action=vallex&amp;frame=v-w1262f1", "inklinovat (v-w1262f1)")</f>
        <v>inklinovat (v-w1262f1)</v>
      </c>
    </row>
    <row r="10319" spans="1:4" x14ac:dyDescent="0.2">
      <c r="B10319" t="s">
        <v>1</v>
      </c>
      <c r="C10319" t="s">
        <v>3614</v>
      </c>
      <c r="D10319" t="s">
        <v>23360</v>
      </c>
    </row>
    <row r="10320" spans="1:4" x14ac:dyDescent="0.2">
      <c r="B10320" t="s">
        <v>176</v>
      </c>
      <c r="C10320" t="s">
        <v>3615</v>
      </c>
      <c r="D10320" t="s">
        <v>23361</v>
      </c>
    </row>
    <row r="10322" spans="1:4" x14ac:dyDescent="0.2">
      <c r="A10322" t="s">
        <v>3616</v>
      </c>
      <c r="B10322" t="str">
        <f>HYPERLINK("https://lindat.mff.cuni.cz/services/teitok/pdtc10/index.php?action=vallex&amp;frame=v-w1264f1", "inovovat (v-w1264f1)")</f>
        <v>inovovat (v-w1264f1)</v>
      </c>
    </row>
    <row r="10323" spans="1:4" x14ac:dyDescent="0.2">
      <c r="B10323" t="s">
        <v>1</v>
      </c>
      <c r="C10323" t="s">
        <v>33</v>
      </c>
      <c r="D10323" t="s">
        <v>3742</v>
      </c>
    </row>
    <row r="10324" spans="1:4" x14ac:dyDescent="0.2">
      <c r="B10324" t="s">
        <v>8</v>
      </c>
      <c r="C10324" t="s">
        <v>84</v>
      </c>
      <c r="D10324" t="s">
        <v>5571</v>
      </c>
    </row>
    <row r="10326" spans="1:4" x14ac:dyDescent="0.2">
      <c r="A10326" t="s">
        <v>3617</v>
      </c>
      <c r="B10326" t="str">
        <f>HYPERLINK("https://lindat.mff.cuni.cz/services/teitok/pdtc10/index.php?action=vallex&amp;frame=v-w1267f2", "inscenovat (v-w1267f2)")</f>
        <v>inscenovat (v-w1267f2)</v>
      </c>
    </row>
    <row r="10327" spans="1:4" x14ac:dyDescent="0.2">
      <c r="B10327" t="s">
        <v>1</v>
      </c>
    </row>
    <row r="10328" spans="1:4" x14ac:dyDescent="0.2">
      <c r="B10328" t="s">
        <v>8</v>
      </c>
    </row>
    <row r="10329" spans="1:4" x14ac:dyDescent="0.2">
      <c r="B10329" t="s">
        <v>24</v>
      </c>
    </row>
    <row r="10331" spans="1:4" x14ac:dyDescent="0.2">
      <c r="A10331" t="s">
        <v>3618</v>
      </c>
      <c r="B10331" t="str">
        <f>HYPERLINK("https://lindat.mff.cuni.cz/services/teitok/pdtc10/index.php?action=vallex&amp;frame=v-w1267f1", "inscenovat (v-w1267f1)")</f>
        <v>inscenovat (v-w1267f1)</v>
      </c>
    </row>
    <row r="10332" spans="1:4" x14ac:dyDescent="0.2">
      <c r="B10332" t="s">
        <v>1</v>
      </c>
      <c r="C10332" t="s">
        <v>3358</v>
      </c>
      <c r="D10332" t="s">
        <v>23083</v>
      </c>
    </row>
    <row r="10333" spans="1:4" x14ac:dyDescent="0.2">
      <c r="B10333" t="s">
        <v>8</v>
      </c>
      <c r="C10333" t="s">
        <v>110</v>
      </c>
      <c r="D10333" t="s">
        <v>6116</v>
      </c>
    </row>
    <row r="10335" spans="1:4" x14ac:dyDescent="0.2">
      <c r="A10335" t="s">
        <v>3619</v>
      </c>
      <c r="B10335" t="str">
        <f>HYPERLINK("https://lindat.mff.cuni.cz/services/teitok/pdtc10/index.php?action=vallex&amp;frame=v-w1270f1", "inspirovat (v-w1270f1)")</f>
        <v>inspirovat (v-w1270f1)</v>
      </c>
    </row>
    <row r="10336" spans="1:4" x14ac:dyDescent="0.2">
      <c r="B10336" t="s">
        <v>1</v>
      </c>
      <c r="C10336" t="s">
        <v>294</v>
      </c>
      <c r="D10336" t="s">
        <v>1106</v>
      </c>
    </row>
    <row r="10337" spans="1:4" x14ac:dyDescent="0.2">
      <c r="B10337" t="s">
        <v>8</v>
      </c>
      <c r="C10337" t="s">
        <v>338</v>
      </c>
      <c r="D10337" t="s">
        <v>23362</v>
      </c>
    </row>
    <row r="10339" spans="1:4" x14ac:dyDescent="0.2">
      <c r="A10339" t="s">
        <v>3620</v>
      </c>
      <c r="B10339" t="str">
        <f>HYPERLINK("https://lindat.mff.cuni.cz/services/teitok/pdtc10/index.php?action=vallex&amp;frame=v-w1271f1", "inspirovat se (v-w1271f1)")</f>
        <v>inspirovat se (v-w1271f1)</v>
      </c>
    </row>
    <row r="10340" spans="1:4" x14ac:dyDescent="0.2">
      <c r="B10340" t="s">
        <v>1</v>
      </c>
      <c r="C10340" t="s">
        <v>3307</v>
      </c>
    </row>
    <row r="10342" spans="1:4" x14ac:dyDescent="0.2">
      <c r="A10342" t="s">
        <v>3621</v>
      </c>
      <c r="B10342" t="str">
        <f>HYPERLINK("https://lindat.mff.cuni.cz/services/teitok/pdtc10/index.php?action=vallex&amp;frame=v-w1274f1", "instalovat (v-w1274f1)")</f>
        <v>instalovat (v-w1274f1)</v>
      </c>
    </row>
    <row r="10343" spans="1:4" x14ac:dyDescent="0.2">
      <c r="B10343" t="s">
        <v>1</v>
      </c>
      <c r="C10343" t="s">
        <v>3622</v>
      </c>
      <c r="D10343" t="s">
        <v>2555</v>
      </c>
    </row>
    <row r="10344" spans="1:4" x14ac:dyDescent="0.2">
      <c r="B10344" t="s">
        <v>8</v>
      </c>
      <c r="C10344" t="s">
        <v>155</v>
      </c>
      <c r="D10344" t="s">
        <v>7921</v>
      </c>
    </row>
    <row r="10346" spans="1:4" x14ac:dyDescent="0.2">
      <c r="A10346" t="s">
        <v>3623</v>
      </c>
      <c r="B10346" t="str">
        <f>HYPERLINK("https://lindat.mff.cuni.cz/services/teitok/pdtc10/index.php?action=vallex&amp;frame=v-w1276f1", "institucionalizovat (v-w1276f1)")</f>
        <v>institucionalizovat (v-w1276f1)</v>
      </c>
    </row>
    <row r="10347" spans="1:4" x14ac:dyDescent="0.2">
      <c r="B10347" t="s">
        <v>1</v>
      </c>
    </row>
    <row r="10348" spans="1:4" x14ac:dyDescent="0.2">
      <c r="B10348" t="s">
        <v>8</v>
      </c>
    </row>
    <row r="10350" spans="1:4" x14ac:dyDescent="0.2">
      <c r="A10350" t="s">
        <v>3624</v>
      </c>
      <c r="B10350" t="str">
        <f>HYPERLINK("https://lindat.mff.cuni.cz/services/teitok/pdtc10/index.php?action=vallex&amp;frame=v-w1279f1", "instruovat (v-w1279f1)")</f>
        <v>instruovat (v-w1279f1)</v>
      </c>
    </row>
    <row r="10351" spans="1:4" x14ac:dyDescent="0.2">
      <c r="B10351" t="s">
        <v>1</v>
      </c>
      <c r="C10351" t="s">
        <v>373</v>
      </c>
      <c r="D10351" t="s">
        <v>1667</v>
      </c>
    </row>
    <row r="10352" spans="1:4" x14ac:dyDescent="0.2">
      <c r="B10352" t="s">
        <v>3625</v>
      </c>
      <c r="C10352" t="s">
        <v>3626</v>
      </c>
      <c r="D10352" t="s">
        <v>23363</v>
      </c>
    </row>
    <row r="10353" spans="1:4" x14ac:dyDescent="0.2">
      <c r="B10353" t="s">
        <v>58</v>
      </c>
      <c r="C10353" t="s">
        <v>3627</v>
      </c>
      <c r="D10353" t="s">
        <v>3627</v>
      </c>
    </row>
    <row r="10355" spans="1:4" x14ac:dyDescent="0.2">
      <c r="A10355" t="s">
        <v>3628</v>
      </c>
      <c r="B10355" t="str">
        <f>HYPERLINK("https://lindat.mff.cuni.cz/services/teitok/pdtc10/index.php?action=vallex&amp;frame=v-w11821_ZUf1_ZU", "intarzovat (v-w11821_ZUf1_ZU)")</f>
        <v>intarzovat (v-w11821_ZUf1_ZU)</v>
      </c>
    </row>
    <row r="10356" spans="1:4" x14ac:dyDescent="0.2">
      <c r="B10356" t="s">
        <v>1</v>
      </c>
    </row>
    <row r="10357" spans="1:4" x14ac:dyDescent="0.2">
      <c r="B10357" t="s">
        <v>8</v>
      </c>
    </row>
    <row r="10359" spans="1:4" x14ac:dyDescent="0.2">
      <c r="A10359" t="s">
        <v>3629</v>
      </c>
      <c r="B10359" t="str">
        <f>HYPERLINK("https://lindat.mff.cuni.cz/services/teitok/pdtc10/index.php?action=vallex&amp;frame=v-w1281f1", "integrovat (v-w1281f1)")</f>
        <v>integrovat (v-w1281f1)</v>
      </c>
    </row>
    <row r="10360" spans="1:4" x14ac:dyDescent="0.2">
      <c r="B10360" t="s">
        <v>1</v>
      </c>
      <c r="C10360" t="s">
        <v>249</v>
      </c>
      <c r="D10360" t="s">
        <v>373</v>
      </c>
    </row>
    <row r="10361" spans="1:4" x14ac:dyDescent="0.2">
      <c r="B10361" t="s">
        <v>8</v>
      </c>
      <c r="C10361" t="s">
        <v>354</v>
      </c>
      <c r="D10361" t="s">
        <v>17</v>
      </c>
    </row>
    <row r="10362" spans="1:4" x14ac:dyDescent="0.2">
      <c r="B10362" t="s">
        <v>2328</v>
      </c>
      <c r="C10362" t="s">
        <v>987</v>
      </c>
      <c r="D10362" t="s">
        <v>23364</v>
      </c>
    </row>
    <row r="10363" spans="1:4" x14ac:dyDescent="0.2">
      <c r="B10363" t="s">
        <v>2156</v>
      </c>
      <c r="C10363" t="s">
        <v>131</v>
      </c>
      <c r="D10363" t="s">
        <v>14051</v>
      </c>
    </row>
    <row r="10365" spans="1:4" x14ac:dyDescent="0.2">
      <c r="A10365" t="s">
        <v>3630</v>
      </c>
      <c r="B10365" t="str">
        <f>HYPERLINK("https://lindat.mff.cuni.cz/services/teitok/pdtc10/index.php?action=vallex&amp;frame=v-w11656_ZUf1_ZU", "integrovat se (v-w11656_ZUf1_ZU)")</f>
        <v>integrovat se (v-w11656_ZUf1_ZU)</v>
      </c>
    </row>
    <row r="10366" spans="1:4" x14ac:dyDescent="0.2">
      <c r="B10366" t="s">
        <v>1</v>
      </c>
      <c r="C10366" t="s">
        <v>33</v>
      </c>
      <c r="D10366" t="s">
        <v>23365</v>
      </c>
    </row>
    <row r="10367" spans="1:4" x14ac:dyDescent="0.2">
      <c r="B10367" t="s">
        <v>252</v>
      </c>
      <c r="D10367" t="s">
        <v>23366</v>
      </c>
    </row>
    <row r="10369" spans="1:2" x14ac:dyDescent="0.2">
      <c r="A10369" t="s">
        <v>3631</v>
      </c>
      <c r="B10369" t="str">
        <f>HYPERLINK("https://lindat.mff.cuni.cz/services/teitok/pdtc10/index.php?action=vallex&amp;frame=v-whsa_1931hsa_1932", "interagovat (v-whsa_1931hsa_1932)")</f>
        <v>interagovat (v-whsa_1931hsa_1932)</v>
      </c>
    </row>
    <row r="10370" spans="1:2" x14ac:dyDescent="0.2">
      <c r="B10370" t="s">
        <v>1</v>
      </c>
    </row>
    <row r="10371" spans="1:2" x14ac:dyDescent="0.2">
      <c r="B10371" t="s">
        <v>411</v>
      </c>
    </row>
    <row r="10373" spans="1:2" x14ac:dyDescent="0.2">
      <c r="A10373" t="s">
        <v>3632</v>
      </c>
      <c r="B10373" t="str">
        <f>HYPERLINK("https://lindat.mff.cuni.cz/services/teitok/pdtc10/index.php?action=vallex&amp;frame=v-w1287f1", "internacionalizovat (v-w1287f1)")</f>
        <v>internacionalizovat (v-w1287f1)</v>
      </c>
    </row>
    <row r="10374" spans="1:2" x14ac:dyDescent="0.2">
      <c r="B10374" t="s">
        <v>1</v>
      </c>
    </row>
    <row r="10375" spans="1:2" x14ac:dyDescent="0.2">
      <c r="B10375" t="s">
        <v>8</v>
      </c>
    </row>
    <row r="10377" spans="1:2" x14ac:dyDescent="0.2">
      <c r="A10377" t="s">
        <v>3633</v>
      </c>
      <c r="B10377" t="str">
        <f>HYPERLINK("https://lindat.mff.cuni.cz/services/teitok/pdtc10/index.php?action=vallex&amp;frame=v-w1288f1", "internalizovat (v-w1288f1)")</f>
        <v>internalizovat (v-w1288f1)</v>
      </c>
    </row>
    <row r="10378" spans="1:2" x14ac:dyDescent="0.2">
      <c r="B10378" t="s">
        <v>1</v>
      </c>
    </row>
    <row r="10379" spans="1:2" x14ac:dyDescent="0.2">
      <c r="B10379" t="s">
        <v>8</v>
      </c>
    </row>
    <row r="10381" spans="1:2" x14ac:dyDescent="0.2">
      <c r="A10381" t="s">
        <v>3634</v>
      </c>
      <c r="B10381" t="str">
        <f>HYPERLINK("https://lindat.mff.cuni.cz/services/teitok/pdtc10/index.php?action=vallex&amp;frame=v-w1289f1", "internovat (v-w1289f1)")</f>
        <v>internovat (v-w1289f1)</v>
      </c>
    </row>
    <row r="10382" spans="1:2" x14ac:dyDescent="0.2">
      <c r="B10382" t="s">
        <v>1</v>
      </c>
    </row>
    <row r="10383" spans="1:2" x14ac:dyDescent="0.2">
      <c r="B10383" t="s">
        <v>8</v>
      </c>
    </row>
    <row r="10385" spans="1:4" x14ac:dyDescent="0.2">
      <c r="A10385" t="s">
        <v>3635</v>
      </c>
      <c r="B10385" t="str">
        <f>HYPERLINK("https://lindat.mff.cuni.cz/services/teitok/pdtc10/index.php?action=vallex&amp;frame=v-w1291f1", "interpelovat (v-w1291f1)")</f>
        <v>interpelovat (v-w1291f1)</v>
      </c>
    </row>
    <row r="10386" spans="1:4" x14ac:dyDescent="0.2">
      <c r="B10386" t="s">
        <v>1</v>
      </c>
    </row>
    <row r="10387" spans="1:4" x14ac:dyDescent="0.2">
      <c r="B10387" t="s">
        <v>8</v>
      </c>
    </row>
    <row r="10389" spans="1:4" x14ac:dyDescent="0.2">
      <c r="A10389" t="s">
        <v>3636</v>
      </c>
      <c r="B10389" t="str">
        <f>HYPERLINK("https://lindat.mff.cuni.cz/services/teitok/pdtc10/index.php?action=vallex&amp;frame=v-w1295f1", "interpretovat (v-w1295f1)")</f>
        <v>interpretovat (v-w1295f1)</v>
      </c>
    </row>
    <row r="10390" spans="1:4" x14ac:dyDescent="0.2">
      <c r="B10390" t="s">
        <v>1</v>
      </c>
      <c r="C10390" t="s">
        <v>3637</v>
      </c>
      <c r="D10390" t="s">
        <v>23008</v>
      </c>
    </row>
    <row r="10391" spans="1:4" x14ac:dyDescent="0.2">
      <c r="B10391" t="s">
        <v>8</v>
      </c>
      <c r="C10391" t="s">
        <v>3638</v>
      </c>
      <c r="D10391" t="s">
        <v>17729</v>
      </c>
    </row>
    <row r="10393" spans="1:4" x14ac:dyDescent="0.2">
      <c r="A10393" t="s">
        <v>3639</v>
      </c>
      <c r="B10393" t="str">
        <f>HYPERLINK("https://lindat.mff.cuni.cz/services/teitok/pdtc10/index.php?action=vallex&amp;frame=v-w1298f1", "intervenovat (v-w1298f1)")</f>
        <v>intervenovat (v-w1298f1)</v>
      </c>
    </row>
    <row r="10394" spans="1:4" x14ac:dyDescent="0.2">
      <c r="B10394" t="s">
        <v>1</v>
      </c>
      <c r="C10394" t="s">
        <v>3358</v>
      </c>
      <c r="D10394" t="s">
        <v>23367</v>
      </c>
    </row>
    <row r="10395" spans="1:4" x14ac:dyDescent="0.2">
      <c r="B10395" t="s">
        <v>3640</v>
      </c>
      <c r="D10395" t="s">
        <v>23368</v>
      </c>
    </row>
    <row r="10397" spans="1:4" x14ac:dyDescent="0.2">
      <c r="A10397" t="s">
        <v>3641</v>
      </c>
      <c r="B10397" t="str">
        <f>HYPERLINK("https://lindat.mff.cuni.cz/services/teitok/pdtc10/index.php?action=vallex&amp;frame=v-w1301f1", "intrikovat (v-w1301f1)")</f>
        <v>intrikovat (v-w1301f1)</v>
      </c>
    </row>
    <row r="10398" spans="1:4" x14ac:dyDescent="0.2">
      <c r="B10398" t="s">
        <v>1</v>
      </c>
    </row>
    <row r="10400" spans="1:4" x14ac:dyDescent="0.2">
      <c r="A10400" t="s">
        <v>3642</v>
      </c>
      <c r="B10400" t="str">
        <f>HYPERLINK("https://lindat.mff.cuni.cz/services/teitok/pdtc10/index.php?action=vallex&amp;frame=v-w1307f1", "inventarizovat (v-w1307f1)")</f>
        <v>inventarizovat (v-w1307f1)</v>
      </c>
    </row>
    <row r="10401" spans="1:4" x14ac:dyDescent="0.2">
      <c r="B10401" t="s">
        <v>1</v>
      </c>
    </row>
    <row r="10402" spans="1:4" x14ac:dyDescent="0.2">
      <c r="B10402" t="s">
        <v>8</v>
      </c>
    </row>
    <row r="10404" spans="1:4" x14ac:dyDescent="0.2">
      <c r="A10404" t="s">
        <v>3643</v>
      </c>
      <c r="B10404" t="str">
        <f>HYPERLINK("https://lindat.mff.cuni.cz/services/teitok/pdtc10/index.php?action=vallex&amp;frame=v-w1312f1", "investovat (v-w1312f1)")</f>
        <v>investovat (v-w1312f1)</v>
      </c>
    </row>
    <row r="10405" spans="1:4" x14ac:dyDescent="0.2">
      <c r="B10405" t="s">
        <v>1</v>
      </c>
      <c r="C10405" t="s">
        <v>3644</v>
      </c>
      <c r="D10405" t="s">
        <v>23066</v>
      </c>
    </row>
    <row r="10406" spans="1:4" x14ac:dyDescent="0.2">
      <c r="B10406" t="s">
        <v>8</v>
      </c>
      <c r="C10406" t="s">
        <v>3645</v>
      </c>
      <c r="D10406" t="s">
        <v>23067</v>
      </c>
    </row>
    <row r="10407" spans="1:4" x14ac:dyDescent="0.2">
      <c r="B10407" t="s">
        <v>413</v>
      </c>
      <c r="C10407" t="s">
        <v>3646</v>
      </c>
      <c r="D10407" t="s">
        <v>23252</v>
      </c>
    </row>
    <row r="10409" spans="1:4" x14ac:dyDescent="0.2">
      <c r="A10409" t="s">
        <v>3647</v>
      </c>
      <c r="B10409" t="str">
        <f>HYPERLINK("https://lindat.mff.cuni.cz/services/teitok/pdtc10/index.php?action=vallex&amp;frame=v-w1312hsa_1007", "investovat (v-w1312hsa_1007)")</f>
        <v>investovat (v-w1312hsa_1007)</v>
      </c>
    </row>
    <row r="10410" spans="1:4" x14ac:dyDescent="0.2">
      <c r="B10410" t="s">
        <v>1</v>
      </c>
      <c r="C10410" t="s">
        <v>3648</v>
      </c>
      <c r="D10410" t="s">
        <v>23066</v>
      </c>
    </row>
    <row r="10411" spans="1:4" x14ac:dyDescent="0.2">
      <c r="B10411" t="s">
        <v>8</v>
      </c>
      <c r="C10411" t="s">
        <v>3649</v>
      </c>
      <c r="D10411" t="s">
        <v>23067</v>
      </c>
    </row>
    <row r="10412" spans="1:4" x14ac:dyDescent="0.2">
      <c r="B10412" t="s">
        <v>3650</v>
      </c>
      <c r="C10412" t="s">
        <v>3651</v>
      </c>
      <c r="D10412" t="s">
        <v>23252</v>
      </c>
    </row>
    <row r="10414" spans="1:4" x14ac:dyDescent="0.2">
      <c r="A10414" t="s">
        <v>3652</v>
      </c>
      <c r="B10414" t="str">
        <f>HYPERLINK("https://lindat.mff.cuni.cz/services/teitok/pdtc10/index.php?action=vallex&amp;frame=v-w1314f1", "inzerovat (v-w1314f1)")</f>
        <v>inzerovat (v-w1314f1)</v>
      </c>
    </row>
    <row r="10415" spans="1:4" x14ac:dyDescent="0.2">
      <c r="B10415" t="s">
        <v>1</v>
      </c>
      <c r="C10415" t="s">
        <v>83</v>
      </c>
      <c r="D10415" t="s">
        <v>83</v>
      </c>
    </row>
    <row r="10416" spans="1:4" x14ac:dyDescent="0.2">
      <c r="B10416" t="s">
        <v>41</v>
      </c>
    </row>
    <row r="10418" spans="1:4" x14ac:dyDescent="0.2">
      <c r="A10418" t="s">
        <v>3653</v>
      </c>
      <c r="B10418" t="str">
        <f>HYPERLINK("https://lindat.mff.cuni.cz/services/teitok/pdtc10/index.php?action=vallex&amp;frame=v-w1315f1", "iritovat (v-w1315f1)")</f>
        <v>iritovat (v-w1315f1)</v>
      </c>
    </row>
    <row r="10419" spans="1:4" x14ac:dyDescent="0.2">
      <c r="B10419" t="s">
        <v>1</v>
      </c>
    </row>
    <row r="10420" spans="1:4" x14ac:dyDescent="0.2">
      <c r="B10420" t="s">
        <v>8</v>
      </c>
    </row>
    <row r="10422" spans="1:4" x14ac:dyDescent="0.2">
      <c r="A10422" t="s">
        <v>3654</v>
      </c>
      <c r="B10422" t="str">
        <f>HYPERLINK("https://lindat.mff.cuni.cz/services/teitok/pdtc10/index.php?action=vallex&amp;frame=v-w1317f1", "izolovat (v-w1317f1)")</f>
        <v>izolovat (v-w1317f1)</v>
      </c>
    </row>
    <row r="10423" spans="1:4" x14ac:dyDescent="0.2">
      <c r="B10423" t="s">
        <v>1</v>
      </c>
      <c r="C10423" t="s">
        <v>3655</v>
      </c>
      <c r="D10423" t="s">
        <v>1480</v>
      </c>
    </row>
    <row r="10424" spans="1:4" x14ac:dyDescent="0.2">
      <c r="B10424" t="s">
        <v>8</v>
      </c>
      <c r="C10424" t="s">
        <v>1190</v>
      </c>
      <c r="D10424" t="s">
        <v>23369</v>
      </c>
    </row>
    <row r="10425" spans="1:4" x14ac:dyDescent="0.2">
      <c r="B10425" t="s">
        <v>321</v>
      </c>
      <c r="C10425" t="s">
        <v>3656</v>
      </c>
      <c r="D10425" t="s">
        <v>2079</v>
      </c>
    </row>
    <row r="10427" spans="1:4" x14ac:dyDescent="0.2">
      <c r="A10427" t="s">
        <v>3657</v>
      </c>
      <c r="B10427" t="str">
        <f>HYPERLINK("https://lindat.mff.cuni.cz/services/teitok/pdtc10/index.php?action=vallex&amp;frame=v-w1317hsa_617", "izolovat (v-w1317hsa_617)")</f>
        <v>izolovat (v-w1317hsa_617)</v>
      </c>
    </row>
    <row r="10428" spans="1:4" x14ac:dyDescent="0.2">
      <c r="B10428" t="s">
        <v>1</v>
      </c>
      <c r="C10428" t="s">
        <v>3658</v>
      </c>
      <c r="D10428" t="s">
        <v>23370</v>
      </c>
    </row>
    <row r="10429" spans="1:4" x14ac:dyDescent="0.2">
      <c r="B10429" t="s">
        <v>8</v>
      </c>
      <c r="C10429" t="s">
        <v>84</v>
      </c>
      <c r="D10429" t="s">
        <v>23371</v>
      </c>
    </row>
    <row r="10431" spans="1:4" x14ac:dyDescent="0.2">
      <c r="A10431" t="s">
        <v>3659</v>
      </c>
      <c r="B10431" t="str">
        <f>HYPERLINK("https://lindat.mff.cuni.cz/services/teitok/pdtc10/index.php?action=vallex&amp;frame=v-w1323f1", "jednat (v-w1323f1)")</f>
        <v>jednat (v-w1323f1)</v>
      </c>
    </row>
    <row r="10432" spans="1:4" x14ac:dyDescent="0.2">
      <c r="B10432" t="s">
        <v>1</v>
      </c>
      <c r="C10432" t="s">
        <v>3660</v>
      </c>
      <c r="D10432" t="s">
        <v>6039</v>
      </c>
    </row>
    <row r="10433" spans="1:4" x14ac:dyDescent="0.2">
      <c r="B10433" t="s">
        <v>3661</v>
      </c>
      <c r="C10433" t="s">
        <v>3662</v>
      </c>
      <c r="D10433" t="s">
        <v>23123</v>
      </c>
    </row>
    <row r="10434" spans="1:4" x14ac:dyDescent="0.2">
      <c r="B10434" t="s">
        <v>153</v>
      </c>
      <c r="C10434" t="s">
        <v>3663</v>
      </c>
      <c r="D10434" t="s">
        <v>23124</v>
      </c>
    </row>
    <row r="10436" spans="1:4" x14ac:dyDescent="0.2">
      <c r="A10436" t="s">
        <v>3664</v>
      </c>
      <c r="B10436" t="str">
        <f>HYPERLINK("https://lindat.mff.cuni.cz/services/teitok/pdtc10/index.php?action=vallex&amp;frame=v-w1323f4", "jednat (v-w1323f4)")</f>
        <v>jednat (v-w1323f4)</v>
      </c>
    </row>
    <row r="10437" spans="1:4" x14ac:dyDescent="0.2">
      <c r="B10437" t="s">
        <v>1</v>
      </c>
    </row>
    <row r="10438" spans="1:4" x14ac:dyDescent="0.2">
      <c r="B10438" t="s">
        <v>183</v>
      </c>
    </row>
    <row r="10440" spans="1:4" x14ac:dyDescent="0.2">
      <c r="A10440" t="s">
        <v>3665</v>
      </c>
      <c r="B10440" t="str">
        <f>HYPERLINK("https://lindat.mff.cuni.cz/services/teitok/pdtc10/index.php?action=vallex&amp;frame=v-w1323f3", "jednat (v-w1323f3)")</f>
        <v>jednat (v-w1323f3)</v>
      </c>
    </row>
    <row r="10441" spans="1:4" x14ac:dyDescent="0.2">
      <c r="B10441" t="s">
        <v>1</v>
      </c>
      <c r="C10441" t="s">
        <v>3637</v>
      </c>
    </row>
    <row r="10442" spans="1:4" x14ac:dyDescent="0.2">
      <c r="B10442" t="s">
        <v>411</v>
      </c>
      <c r="C10442" t="s">
        <v>3666</v>
      </c>
    </row>
    <row r="10443" spans="1:4" x14ac:dyDescent="0.2">
      <c r="B10443" t="s">
        <v>346</v>
      </c>
    </row>
    <row r="10444" spans="1:4" x14ac:dyDescent="0.2">
      <c r="B10444" t="s">
        <v>349</v>
      </c>
    </row>
    <row r="10445" spans="1:4" x14ac:dyDescent="0.2">
      <c r="B10445" t="s">
        <v>350</v>
      </c>
    </row>
    <row r="10446" spans="1:4" x14ac:dyDescent="0.2">
      <c r="B10446" t="s">
        <v>351</v>
      </c>
    </row>
    <row r="10448" spans="1:4" x14ac:dyDescent="0.2">
      <c r="A10448" t="s">
        <v>3667</v>
      </c>
      <c r="B10448" t="str">
        <f>HYPERLINK("https://lindat.mff.cuni.cz/services/teitok/pdtc10/index.php?action=vallex&amp;frame=v-w1323f2", "jednat (v-w1323f2)")</f>
        <v>jednat (v-w1323f2)</v>
      </c>
    </row>
    <row r="10449" spans="1:4" x14ac:dyDescent="0.2">
      <c r="B10449" t="s">
        <v>1</v>
      </c>
      <c r="C10449" t="s">
        <v>3668</v>
      </c>
      <c r="D10449" t="s">
        <v>23372</v>
      </c>
    </row>
    <row r="10450" spans="1:4" x14ac:dyDescent="0.2">
      <c r="B10450" t="s">
        <v>415</v>
      </c>
    </row>
    <row r="10451" spans="1:4" x14ac:dyDescent="0.2">
      <c r="B10451" t="s">
        <v>346</v>
      </c>
      <c r="C10451" t="s">
        <v>3669</v>
      </c>
    </row>
    <row r="10452" spans="1:4" x14ac:dyDescent="0.2">
      <c r="B10452" t="s">
        <v>349</v>
      </c>
    </row>
    <row r="10453" spans="1:4" x14ac:dyDescent="0.2">
      <c r="B10453" t="s">
        <v>350</v>
      </c>
      <c r="C10453" t="s">
        <v>3670</v>
      </c>
    </row>
    <row r="10454" spans="1:4" x14ac:dyDescent="0.2">
      <c r="B10454" t="s">
        <v>351</v>
      </c>
    </row>
    <row r="10455" spans="1:4" x14ac:dyDescent="0.2">
      <c r="B10455" t="s">
        <v>3671</v>
      </c>
    </row>
    <row r="10457" spans="1:4" x14ac:dyDescent="0.2">
      <c r="A10457" t="s">
        <v>3672</v>
      </c>
      <c r="B10457" t="str">
        <f>HYPERLINK("https://lindat.mff.cuni.cz/services/teitok/pdtc10/index.php?action=vallex&amp;frame=v-w1324f2", "jednat se (v-w1324f2)")</f>
        <v>jednat se (v-w1324f2)</v>
      </c>
    </row>
    <row r="10458" spans="1:4" x14ac:dyDescent="0.2">
      <c r="B10458" t="s">
        <v>455</v>
      </c>
    </row>
    <row r="10459" spans="1:4" x14ac:dyDescent="0.2">
      <c r="B10459" t="s">
        <v>467</v>
      </c>
    </row>
    <row r="10461" spans="1:4" x14ac:dyDescent="0.2">
      <c r="A10461" t="s">
        <v>3673</v>
      </c>
      <c r="B10461" t="str">
        <f>HYPERLINK("https://lindat.mff.cuni.cz/services/teitok/pdtc10/index.php?action=vallex&amp;frame=v-w1324f1", "jednat se (v-w1324f1)")</f>
        <v>jednat se (v-w1324f1)</v>
      </c>
    </row>
    <row r="10462" spans="1:4" x14ac:dyDescent="0.2">
      <c r="B10462" t="s">
        <v>3674</v>
      </c>
      <c r="C10462" t="s">
        <v>3675</v>
      </c>
    </row>
    <row r="10464" spans="1:4" x14ac:dyDescent="0.2">
      <c r="A10464" t="s">
        <v>3676</v>
      </c>
      <c r="B10464" t="str">
        <f>HYPERLINK("https://lindat.mff.cuni.cz/services/teitok/pdtc10/index.php?action=vallex&amp;frame=v-whsa_1680f1_ZU", "jektat (v-whsa_1680f1_ZU)")</f>
        <v>jektat (v-whsa_1680f1_ZU)</v>
      </c>
    </row>
    <row r="10465" spans="1:3" x14ac:dyDescent="0.2">
      <c r="B10465" t="s">
        <v>1</v>
      </c>
    </row>
    <row r="10466" spans="1:3" x14ac:dyDescent="0.2">
      <c r="B10466" t="s">
        <v>158</v>
      </c>
    </row>
    <row r="10468" spans="1:3" x14ac:dyDescent="0.2">
      <c r="A10468" t="s">
        <v>3676</v>
      </c>
      <c r="B10468" t="str">
        <f>HYPERLINK("https://lindat.mff.cuni.cz/services/teitok/pdtc10/index.php?action=vallex&amp;frame=v-whsa_1680hsa_1681", "jektat (v-whsa_1680hsa_1681) - substituted with v-whsa_1680f1_ZU")</f>
        <v>jektat (v-whsa_1680hsa_1681) - substituted with v-whsa_1680f1_ZU</v>
      </c>
    </row>
    <row r="10469" spans="1:3" x14ac:dyDescent="0.2">
      <c r="B10469" t="s">
        <v>1</v>
      </c>
    </row>
    <row r="10470" spans="1:3" x14ac:dyDescent="0.2">
      <c r="B10470" t="s">
        <v>158</v>
      </c>
    </row>
    <row r="10472" spans="1:3" x14ac:dyDescent="0.2">
      <c r="A10472" t="s">
        <v>3677</v>
      </c>
      <c r="B10472" t="str">
        <f>HYPERLINK("https://lindat.mff.cuni.cz/services/teitok/pdtc10/index.php?action=vallex&amp;frame=v-whsa_1680hsa_1682", "jektat (v-whsa_1680hsa_1682)")</f>
        <v>jektat (v-whsa_1680hsa_1682)</v>
      </c>
    </row>
    <row r="10473" spans="1:3" x14ac:dyDescent="0.2">
      <c r="B10473" t="s">
        <v>1</v>
      </c>
    </row>
    <row r="10475" spans="1:3" x14ac:dyDescent="0.2">
      <c r="A10475" t="s">
        <v>3678</v>
      </c>
      <c r="B10475" t="str">
        <f>HYPERLINK("https://lindat.mff.cuni.cz/services/teitok/pdtc10/index.php?action=vallex&amp;frame=v-w1325f2", "jet (v-w1325f2)")</f>
        <v>jet (v-w1325f2)</v>
      </c>
    </row>
    <row r="10476" spans="1:3" x14ac:dyDescent="0.2">
      <c r="B10476" t="s">
        <v>1</v>
      </c>
      <c r="C10476" t="s">
        <v>990</v>
      </c>
    </row>
    <row r="10477" spans="1:3" x14ac:dyDescent="0.2">
      <c r="B10477" t="s">
        <v>8</v>
      </c>
      <c r="C10477" t="s">
        <v>354</v>
      </c>
    </row>
    <row r="10479" spans="1:3" x14ac:dyDescent="0.2">
      <c r="A10479" t="s">
        <v>3679</v>
      </c>
      <c r="B10479" t="str">
        <f>HYPERLINK("https://lindat.mff.cuni.cz/services/teitok/pdtc10/index.php?action=vallex&amp;frame=v-w1325f5", "jet (v-w1325f5)")</f>
        <v>jet (v-w1325f5)</v>
      </c>
    </row>
    <row r="10480" spans="1:3" x14ac:dyDescent="0.2">
      <c r="B10480" t="s">
        <v>1</v>
      </c>
    </row>
    <row r="10481" spans="1:4" x14ac:dyDescent="0.2">
      <c r="B10481" t="s">
        <v>290</v>
      </c>
    </row>
    <row r="10483" spans="1:4" x14ac:dyDescent="0.2">
      <c r="A10483" t="s">
        <v>3680</v>
      </c>
      <c r="B10483" t="str">
        <f>HYPERLINK("https://lindat.mff.cuni.cz/services/teitok/pdtc10/index.php?action=vallex&amp;frame=v-w1325f7", "jet (v-w1325f7)")</f>
        <v>jet (v-w1325f7)</v>
      </c>
    </row>
    <row r="10484" spans="1:4" x14ac:dyDescent="0.2">
      <c r="B10484" t="s">
        <v>3681</v>
      </c>
    </row>
    <row r="10485" spans="1:4" x14ac:dyDescent="0.2">
      <c r="B10485" t="s">
        <v>243</v>
      </c>
    </row>
    <row r="10487" spans="1:4" x14ac:dyDescent="0.2">
      <c r="A10487" t="s">
        <v>3682</v>
      </c>
      <c r="B10487" t="str">
        <f>HYPERLINK("https://lindat.mff.cuni.cz/services/teitok/pdtc10/index.php?action=vallex&amp;frame=v-w1325f1", "jet (v-w1325f1)")</f>
        <v>jet (v-w1325f1)</v>
      </c>
    </row>
    <row r="10488" spans="1:4" x14ac:dyDescent="0.2">
      <c r="B10488" t="s">
        <v>1</v>
      </c>
      <c r="C10488" t="s">
        <v>3683</v>
      </c>
      <c r="D10488" t="s">
        <v>23045</v>
      </c>
    </row>
    <row r="10489" spans="1:4" x14ac:dyDescent="0.2">
      <c r="B10489" t="s">
        <v>90</v>
      </c>
      <c r="C10489" t="s">
        <v>3684</v>
      </c>
      <c r="D10489" t="s">
        <v>15305</v>
      </c>
    </row>
    <row r="10491" spans="1:4" x14ac:dyDescent="0.2">
      <c r="A10491" t="s">
        <v>3685</v>
      </c>
      <c r="B10491" t="str">
        <f>HYPERLINK("https://lindat.mff.cuni.cz/services/teitok/pdtc10/index.php?action=vallex&amp;frame=v-w1325f3", "jet (v-w1325f3)")</f>
        <v>jet (v-w1325f3)</v>
      </c>
    </row>
    <row r="10492" spans="1:4" x14ac:dyDescent="0.2">
      <c r="B10492" t="s">
        <v>1</v>
      </c>
      <c r="C10492" t="s">
        <v>3686</v>
      </c>
      <c r="D10492" t="s">
        <v>1805</v>
      </c>
    </row>
    <row r="10494" spans="1:4" x14ac:dyDescent="0.2">
      <c r="A10494" t="s">
        <v>3687</v>
      </c>
      <c r="B10494" t="str">
        <f>HYPERLINK("https://lindat.mff.cuni.cz/services/teitok/pdtc10/index.php?action=vallex&amp;frame=v-w1325f10_ZU", "jet (v-w1325f10_ZU)")</f>
        <v>jet (v-w1325f10_ZU)</v>
      </c>
    </row>
    <row r="10495" spans="1:4" x14ac:dyDescent="0.2">
      <c r="B10495" t="s">
        <v>1</v>
      </c>
    </row>
    <row r="10497" spans="1:3" x14ac:dyDescent="0.2">
      <c r="A10497" t="s">
        <v>3687</v>
      </c>
      <c r="B10497" t="str">
        <f>HYPERLINK("https://lindat.mff.cuni.cz/services/teitok/pdtc10/index.php?action=vallex&amp;frame=v-w1325f4", "jet (v-w1325f4) - substituted with v-w1325f10_ZU")</f>
        <v>jet (v-w1325f4) - substituted with v-w1325f10_ZU</v>
      </c>
    </row>
    <row r="10498" spans="1:3" x14ac:dyDescent="0.2">
      <c r="B10498" t="s">
        <v>1</v>
      </c>
      <c r="C10498" t="s">
        <v>2172</v>
      </c>
    </row>
    <row r="10500" spans="1:3" x14ac:dyDescent="0.2">
      <c r="A10500" t="s">
        <v>3688</v>
      </c>
      <c r="B10500" t="str">
        <f>HYPERLINK("https://lindat.mff.cuni.cz/services/teitok/pdtc10/index.php?action=vallex&amp;frame=v-w1325f6", "jet (v-w1325f6)")</f>
        <v>jet (v-w1325f6)</v>
      </c>
    </row>
    <row r="10501" spans="1:3" x14ac:dyDescent="0.2">
      <c r="B10501" t="s">
        <v>1</v>
      </c>
    </row>
    <row r="10502" spans="1:3" x14ac:dyDescent="0.2">
      <c r="B10502" t="s">
        <v>3689</v>
      </c>
    </row>
    <row r="10504" spans="1:3" x14ac:dyDescent="0.2">
      <c r="A10504" t="s">
        <v>3690</v>
      </c>
      <c r="B10504" t="str">
        <f>HYPERLINK("https://lindat.mff.cuni.cz/services/teitok/pdtc10/index.php?action=vallex&amp;frame=v-w1325f8_ZU", "jet (v-w1325f8_ZU)")</f>
        <v>jet (v-w1325f8_ZU)</v>
      </c>
    </row>
    <row r="10505" spans="1:3" x14ac:dyDescent="0.2">
      <c r="B10505" t="s">
        <v>1</v>
      </c>
    </row>
    <row r="10506" spans="1:3" x14ac:dyDescent="0.2">
      <c r="B10506" t="s">
        <v>3691</v>
      </c>
    </row>
    <row r="10508" spans="1:3" x14ac:dyDescent="0.2">
      <c r="A10508" t="s">
        <v>3690</v>
      </c>
      <c r="B10508" t="str">
        <f>HYPERLINK("https://lindat.mff.cuni.cz/services/teitok/pdtc10/index.php?action=vallex&amp;frame=v-w1325hsa_263", "jet (v-w1325hsa_263) - substituted with v-w1325f8_ZU")</f>
        <v>jet (v-w1325hsa_263) - substituted with v-w1325f8_ZU</v>
      </c>
    </row>
    <row r="10509" spans="1:3" x14ac:dyDescent="0.2">
      <c r="B10509" t="s">
        <v>1</v>
      </c>
    </row>
    <row r="10510" spans="1:3" x14ac:dyDescent="0.2">
      <c r="B10510" t="s">
        <v>3691</v>
      </c>
    </row>
    <row r="10512" spans="1:3" x14ac:dyDescent="0.2">
      <c r="A10512" t="s">
        <v>3692</v>
      </c>
      <c r="B10512" t="str">
        <f>HYPERLINK("https://lindat.mff.cuni.cz/services/teitok/pdtc10/index.php?action=vallex&amp;frame=v-w1325f11_ZU", "jet (v-w1325f11_ZU)")</f>
        <v>jet (v-w1325f11_ZU)</v>
      </c>
    </row>
    <row r="10513" spans="1:2" x14ac:dyDescent="0.2">
      <c r="B10513" t="s">
        <v>1</v>
      </c>
    </row>
    <row r="10514" spans="1:2" x14ac:dyDescent="0.2">
      <c r="B10514" t="s">
        <v>158</v>
      </c>
    </row>
    <row r="10515" spans="1:2" x14ac:dyDescent="0.2">
      <c r="B10515" t="s">
        <v>889</v>
      </c>
    </row>
    <row r="10517" spans="1:2" x14ac:dyDescent="0.2">
      <c r="A10517" t="s">
        <v>3692</v>
      </c>
      <c r="B10517" t="str">
        <f>HYPERLINK("https://lindat.mff.cuni.cz/services/teitok/pdtc10/index.php?action=vallex&amp;frame=v-w1325f9_ZU", "jet (v-w1325f9_ZU) - substituted with v-w1325f11_ZU")</f>
        <v>jet (v-w1325f9_ZU) - substituted with v-w1325f11_ZU</v>
      </c>
    </row>
    <row r="10518" spans="1:2" x14ac:dyDescent="0.2">
      <c r="B10518" t="s">
        <v>1</v>
      </c>
    </row>
    <row r="10519" spans="1:2" x14ac:dyDescent="0.2">
      <c r="B10519" t="s">
        <v>158</v>
      </c>
    </row>
    <row r="10520" spans="1:2" x14ac:dyDescent="0.2">
      <c r="B10520" t="s">
        <v>889</v>
      </c>
    </row>
    <row r="10522" spans="1:2" x14ac:dyDescent="0.2">
      <c r="A10522" t="s">
        <v>3693</v>
      </c>
      <c r="B10522" t="str">
        <f>HYPERLINK("https://lindat.mff.cuni.cz/services/teitok/pdtc10/index.php?action=vallex&amp;frame=v-w1325f12_ZU", "jet (v-w1325f12_ZU)")</f>
        <v>jet (v-w1325f12_ZU)</v>
      </c>
    </row>
    <row r="10523" spans="1:2" x14ac:dyDescent="0.2">
      <c r="B10523" t="s">
        <v>1</v>
      </c>
    </row>
    <row r="10525" spans="1:2" x14ac:dyDescent="0.2">
      <c r="A10525" t="s">
        <v>3694</v>
      </c>
      <c r="B10525" t="str">
        <f>HYPERLINK("https://lindat.mff.cuni.cz/services/teitok/pdtc10/index.php?action=vallex&amp;frame=v-w1325hsa_264", "jet (v-w1325hsa_264)")</f>
        <v>jet (v-w1325hsa_264)</v>
      </c>
    </row>
    <row r="10526" spans="1:2" x14ac:dyDescent="0.2">
      <c r="B10526" t="s">
        <v>1</v>
      </c>
    </row>
    <row r="10527" spans="1:2" x14ac:dyDescent="0.2">
      <c r="B10527" t="s">
        <v>817</v>
      </c>
    </row>
    <row r="10529" spans="1:4" x14ac:dyDescent="0.2">
      <c r="A10529" t="s">
        <v>3695</v>
      </c>
      <c r="B10529" t="str">
        <f>HYPERLINK("https://lindat.mff.cuni.cz/services/teitok/pdtc10/index.php?action=vallex&amp;frame=v-w1326f1", "jevit (v-w1326f1)")</f>
        <v>jevit (v-w1326f1)</v>
      </c>
    </row>
    <row r="10530" spans="1:4" x14ac:dyDescent="0.2">
      <c r="B10530" t="s">
        <v>1</v>
      </c>
      <c r="C10530" t="s">
        <v>364</v>
      </c>
    </row>
    <row r="10531" spans="1:4" x14ac:dyDescent="0.2">
      <c r="B10531" t="s">
        <v>3696</v>
      </c>
      <c r="C10531" t="s">
        <v>366</v>
      </c>
    </row>
    <row r="10533" spans="1:4" x14ac:dyDescent="0.2">
      <c r="A10533" t="s">
        <v>3697</v>
      </c>
      <c r="B10533" t="str">
        <f>HYPERLINK("https://lindat.mff.cuni.cz/services/teitok/pdtc10/index.php?action=vallex&amp;frame=v-w1326f2_ZU", "jevit (v-w1326f2_ZU)")</f>
        <v>jevit (v-w1326f2_ZU)</v>
      </c>
    </row>
    <row r="10534" spans="1:4" x14ac:dyDescent="0.2">
      <c r="B10534" t="s">
        <v>1</v>
      </c>
    </row>
    <row r="10535" spans="1:4" x14ac:dyDescent="0.2">
      <c r="B10535" t="s">
        <v>3698</v>
      </c>
      <c r="C10535" t="s">
        <v>3699</v>
      </c>
    </row>
    <row r="10537" spans="1:4" x14ac:dyDescent="0.2">
      <c r="A10537" t="s">
        <v>3700</v>
      </c>
      <c r="B10537" t="str">
        <f>HYPERLINK("https://lindat.mff.cuni.cz/services/teitok/pdtc10/index.php?action=vallex&amp;frame=v-w1327f1", "jevit se (v-w1327f1)")</f>
        <v>jevit se (v-w1327f1)</v>
      </c>
    </row>
    <row r="10538" spans="1:4" x14ac:dyDescent="0.2">
      <c r="B10538" t="s">
        <v>455</v>
      </c>
      <c r="C10538" t="s">
        <v>3701</v>
      </c>
      <c r="D10538" t="s">
        <v>23373</v>
      </c>
    </row>
    <row r="10539" spans="1:4" x14ac:dyDescent="0.2">
      <c r="B10539" t="s">
        <v>3702</v>
      </c>
      <c r="C10539" t="s">
        <v>3703</v>
      </c>
      <c r="D10539" t="s">
        <v>23374</v>
      </c>
    </row>
    <row r="10540" spans="1:4" x14ac:dyDescent="0.2">
      <c r="B10540" t="s">
        <v>3704</v>
      </c>
      <c r="C10540" t="s">
        <v>3705</v>
      </c>
      <c r="D10540" t="s">
        <v>23375</v>
      </c>
    </row>
    <row r="10542" spans="1:4" x14ac:dyDescent="0.2">
      <c r="A10542" t="s">
        <v>3706</v>
      </c>
      <c r="B10542" t="str">
        <f>HYPERLINK("https://lindat.mff.cuni.cz/services/teitok/pdtc10/index.php?action=vallex&amp;frame=v-w1327f2", "jevit se (v-w1327f2)")</f>
        <v>jevit se (v-w1327f2)</v>
      </c>
    </row>
    <row r="10543" spans="1:4" x14ac:dyDescent="0.2">
      <c r="B10543" t="s">
        <v>455</v>
      </c>
      <c r="C10543" t="s">
        <v>364</v>
      </c>
      <c r="D10543" t="s">
        <v>23376</v>
      </c>
    </row>
    <row r="10544" spans="1:4" x14ac:dyDescent="0.2">
      <c r="B10544" t="s">
        <v>3702</v>
      </c>
      <c r="C10544" t="s">
        <v>481</v>
      </c>
      <c r="D10544" t="s">
        <v>23377</v>
      </c>
    </row>
    <row r="10545" spans="1:4" x14ac:dyDescent="0.2">
      <c r="B10545" t="s">
        <v>507</v>
      </c>
      <c r="D10545" t="s">
        <v>23378</v>
      </c>
    </row>
    <row r="10547" spans="1:4" x14ac:dyDescent="0.2">
      <c r="A10547" t="s">
        <v>3707</v>
      </c>
      <c r="B10547" t="str">
        <f>HYPERLINK("https://lindat.mff.cuni.cz/services/teitok/pdtc10/index.php?action=vallex&amp;frame=v-w1327f3", "jevit se (v-w1327f3)")</f>
        <v>jevit se (v-w1327f3)</v>
      </c>
    </row>
    <row r="10548" spans="1:4" x14ac:dyDescent="0.2">
      <c r="B10548" t="s">
        <v>455</v>
      </c>
    </row>
    <row r="10549" spans="1:4" x14ac:dyDescent="0.2">
      <c r="B10549" t="s">
        <v>3708</v>
      </c>
    </row>
    <row r="10551" spans="1:4" x14ac:dyDescent="0.2">
      <c r="A10551" t="s">
        <v>3709</v>
      </c>
      <c r="B10551" t="str">
        <f>HYPERLINK("https://lindat.mff.cuni.cz/services/teitok/pdtc10/index.php?action=vallex&amp;frame=v-w1328f3", "jezdit (v-w1328f3)")</f>
        <v>jezdit (v-w1328f3)</v>
      </c>
    </row>
    <row r="10552" spans="1:4" x14ac:dyDescent="0.2">
      <c r="B10552" t="s">
        <v>1</v>
      </c>
    </row>
    <row r="10553" spans="1:4" x14ac:dyDescent="0.2">
      <c r="B10553" t="s">
        <v>8</v>
      </c>
    </row>
    <row r="10555" spans="1:4" x14ac:dyDescent="0.2">
      <c r="A10555" t="s">
        <v>3710</v>
      </c>
      <c r="B10555" t="str">
        <f>HYPERLINK("https://lindat.mff.cuni.cz/services/teitok/pdtc10/index.php?action=vallex&amp;frame=v-w1328f10_ZU", "jezdit (v-w1328f10_ZU)")</f>
        <v>jezdit (v-w1328f10_ZU)</v>
      </c>
    </row>
    <row r="10556" spans="1:4" x14ac:dyDescent="0.2">
      <c r="B10556" t="s">
        <v>1</v>
      </c>
    </row>
    <row r="10557" spans="1:4" x14ac:dyDescent="0.2">
      <c r="B10557" t="s">
        <v>90</v>
      </c>
    </row>
    <row r="10559" spans="1:4" x14ac:dyDescent="0.2">
      <c r="A10559" t="s">
        <v>3710</v>
      </c>
      <c r="B10559" t="str">
        <f>HYPERLINK("https://lindat.mff.cuni.cz/services/teitok/pdtc10/index.php?action=vallex&amp;frame=v-w1328f2", "jezdit (v-w1328f2) - substituted with v-w1328f10_ZU")</f>
        <v>jezdit (v-w1328f2) - substituted with v-w1328f10_ZU</v>
      </c>
    </row>
    <row r="10560" spans="1:4" x14ac:dyDescent="0.2">
      <c r="B10560" t="s">
        <v>1</v>
      </c>
      <c r="C10560" t="s">
        <v>3711</v>
      </c>
      <c r="D10560" t="s">
        <v>23045</v>
      </c>
    </row>
    <row r="10561" spans="1:4" x14ac:dyDescent="0.2">
      <c r="B10561" t="s">
        <v>90</v>
      </c>
      <c r="C10561" t="s">
        <v>3712</v>
      </c>
      <c r="D10561" t="s">
        <v>15305</v>
      </c>
    </row>
    <row r="10563" spans="1:4" x14ac:dyDescent="0.2">
      <c r="A10563" t="s">
        <v>3710</v>
      </c>
      <c r="B10563" t="str">
        <f>HYPERLINK("https://lindat.mff.cuni.cz/services/teitok/pdtc10/index.php?action=vallex&amp;frame=v-w1328f8_ZU", "jezdit (v-w1328f8_ZU) - substituted with v-w1328f10_ZU")</f>
        <v>jezdit (v-w1328f8_ZU) - substituted with v-w1328f10_ZU</v>
      </c>
    </row>
    <row r="10564" spans="1:4" x14ac:dyDescent="0.2">
      <c r="B10564" t="s">
        <v>1</v>
      </c>
    </row>
    <row r="10565" spans="1:4" x14ac:dyDescent="0.2">
      <c r="B10565" t="s">
        <v>90</v>
      </c>
    </row>
    <row r="10567" spans="1:4" x14ac:dyDescent="0.2">
      <c r="A10567" t="s">
        <v>3713</v>
      </c>
      <c r="B10567" t="str">
        <f>HYPERLINK("https://lindat.mff.cuni.cz/services/teitok/pdtc10/index.php?action=vallex&amp;frame=v-w1328f1", "jezdit (v-w1328f1)")</f>
        <v>jezdit (v-w1328f1)</v>
      </c>
    </row>
    <row r="10568" spans="1:4" x14ac:dyDescent="0.2">
      <c r="B10568" t="s">
        <v>1</v>
      </c>
      <c r="C10568" t="s">
        <v>3714</v>
      </c>
      <c r="D10568" t="s">
        <v>1805</v>
      </c>
    </row>
    <row r="10570" spans="1:4" x14ac:dyDescent="0.2">
      <c r="A10570" t="s">
        <v>3715</v>
      </c>
      <c r="B10570" t="str">
        <f>HYPERLINK("https://lindat.mff.cuni.cz/services/teitok/pdtc10/index.php?action=vallex&amp;frame=v-w1328f6_ZU", "jezdit (v-w1328f6_ZU)")</f>
        <v>jezdit (v-w1328f6_ZU)</v>
      </c>
    </row>
    <row r="10571" spans="1:4" x14ac:dyDescent="0.2">
      <c r="B10571" t="s">
        <v>1</v>
      </c>
    </row>
    <row r="10572" spans="1:4" x14ac:dyDescent="0.2">
      <c r="B10572" t="s">
        <v>3716</v>
      </c>
    </row>
    <row r="10574" spans="1:4" x14ac:dyDescent="0.2">
      <c r="A10574" t="s">
        <v>3715</v>
      </c>
      <c r="B10574" t="str">
        <f>HYPERLINK("https://lindat.mff.cuni.cz/services/teitok/pdtc10/index.php?action=vallex&amp;frame=v-w1328f4_ZU", "jezdit (v-w1328f4_ZU) - substituted with v-w1328f6_ZU")</f>
        <v>jezdit (v-w1328f4_ZU) - substituted with v-w1328f6_ZU</v>
      </c>
    </row>
    <row r="10575" spans="1:4" x14ac:dyDescent="0.2">
      <c r="B10575" t="s">
        <v>1</v>
      </c>
    </row>
    <row r="10576" spans="1:4" x14ac:dyDescent="0.2">
      <c r="B10576" t="s">
        <v>3716</v>
      </c>
    </row>
    <row r="10578" spans="1:2" x14ac:dyDescent="0.2">
      <c r="A10578" t="s">
        <v>3717</v>
      </c>
      <c r="B10578" t="str">
        <f>HYPERLINK("https://lindat.mff.cuni.cz/services/teitok/pdtc10/index.php?action=vallex&amp;frame=v-w1328f7_ZU", "jezdit (v-w1328f7_ZU)")</f>
        <v>jezdit (v-w1328f7_ZU)</v>
      </c>
    </row>
    <row r="10579" spans="1:2" x14ac:dyDescent="0.2">
      <c r="B10579" t="s">
        <v>1</v>
      </c>
    </row>
    <row r="10580" spans="1:2" x14ac:dyDescent="0.2">
      <c r="B10580" t="s">
        <v>8</v>
      </c>
    </row>
    <row r="10582" spans="1:2" x14ac:dyDescent="0.2">
      <c r="A10582" t="s">
        <v>3718</v>
      </c>
      <c r="B10582" t="str">
        <f>HYPERLINK("https://lindat.mff.cuni.cz/services/teitok/pdtc10/index.php?action=vallex&amp;frame=v-w1328f11_ZU", "jezdit (v-w1328f11_ZU)")</f>
        <v>jezdit (v-w1328f11_ZU)</v>
      </c>
    </row>
    <row r="10583" spans="1:2" x14ac:dyDescent="0.2">
      <c r="B10583" t="s">
        <v>1</v>
      </c>
    </row>
    <row r="10584" spans="1:2" x14ac:dyDescent="0.2">
      <c r="B10584" t="s">
        <v>889</v>
      </c>
    </row>
    <row r="10586" spans="1:2" x14ac:dyDescent="0.2">
      <c r="A10586" t="s">
        <v>3718</v>
      </c>
      <c r="B10586" t="str">
        <f>HYPERLINK("https://lindat.mff.cuni.cz/services/teitok/pdtc10/index.php?action=vallex&amp;frame=v-w1328f5_ZU", "jezdit (v-w1328f5_ZU) - substituted with v-w1328f11_ZU")</f>
        <v>jezdit (v-w1328f5_ZU) - substituted with v-w1328f11_ZU</v>
      </c>
    </row>
    <row r="10587" spans="1:2" x14ac:dyDescent="0.2">
      <c r="B10587" t="s">
        <v>1</v>
      </c>
    </row>
    <row r="10588" spans="1:2" x14ac:dyDescent="0.2">
      <c r="B10588" t="s">
        <v>889</v>
      </c>
    </row>
    <row r="10590" spans="1:2" x14ac:dyDescent="0.2">
      <c r="A10590" t="s">
        <v>3718</v>
      </c>
      <c r="B10590" t="str">
        <f>HYPERLINK("https://lindat.mff.cuni.cz/services/teitok/pdtc10/index.php?action=vallex&amp;frame=v-w1328f9_ZU", "jezdit (v-w1328f9_ZU) - substituted with v-w1328f11_ZU")</f>
        <v>jezdit (v-w1328f9_ZU) - substituted with v-w1328f11_ZU</v>
      </c>
    </row>
    <row r="10591" spans="1:2" x14ac:dyDescent="0.2">
      <c r="B10591" t="s">
        <v>1</v>
      </c>
    </row>
    <row r="10592" spans="1:2" x14ac:dyDescent="0.2">
      <c r="B10592" t="s">
        <v>889</v>
      </c>
    </row>
    <row r="10594" spans="1:4" x14ac:dyDescent="0.2">
      <c r="A10594" t="s">
        <v>3719</v>
      </c>
      <c r="B10594" t="str">
        <f>HYPERLINK("https://lindat.mff.cuni.cz/services/teitok/pdtc10/index.php?action=vallex&amp;frame=v-w1328hsa_675", "jezdit (v-w1328hsa_675)")</f>
        <v>jezdit (v-w1328hsa_675)</v>
      </c>
    </row>
    <row r="10595" spans="1:4" x14ac:dyDescent="0.2">
      <c r="B10595" t="s">
        <v>1</v>
      </c>
    </row>
    <row r="10596" spans="1:4" x14ac:dyDescent="0.2">
      <c r="B10596" t="s">
        <v>411</v>
      </c>
    </row>
    <row r="10598" spans="1:4" x14ac:dyDescent="0.2">
      <c r="A10598" t="s">
        <v>3720</v>
      </c>
      <c r="B10598" t="str">
        <f>HYPERLINK("https://lindat.mff.cuni.cz/services/teitok/pdtc10/index.php?action=vallex&amp;frame=v-w1329f1", "jezdívat (v-w1329f1)")</f>
        <v>jezdívat (v-w1329f1)</v>
      </c>
    </row>
    <row r="10599" spans="1:4" x14ac:dyDescent="0.2">
      <c r="B10599" t="s">
        <v>1</v>
      </c>
      <c r="D10599" t="s">
        <v>23045</v>
      </c>
    </row>
    <row r="10600" spans="1:4" x14ac:dyDescent="0.2">
      <c r="B10600" t="s">
        <v>90</v>
      </c>
      <c r="D10600" t="s">
        <v>15305</v>
      </c>
    </row>
    <row r="10602" spans="1:4" x14ac:dyDescent="0.2">
      <c r="A10602" t="s">
        <v>3721</v>
      </c>
      <c r="B10602" t="str">
        <f>HYPERLINK("https://lindat.mff.cuni.cz/services/teitok/pdtc10/index.php?action=vallex&amp;frame=v-w1329f2_ZU", "jezdívat (v-w1329f2_ZU)")</f>
        <v>jezdívat (v-w1329f2_ZU)</v>
      </c>
    </row>
    <row r="10603" spans="1:4" x14ac:dyDescent="0.2">
      <c r="B10603" t="s">
        <v>1</v>
      </c>
    </row>
    <row r="10604" spans="1:4" x14ac:dyDescent="0.2">
      <c r="B10604" t="s">
        <v>8</v>
      </c>
    </row>
    <row r="10606" spans="1:4" x14ac:dyDescent="0.2">
      <c r="A10606" t="s">
        <v>3722</v>
      </c>
      <c r="B10606" t="str">
        <f>HYPERLINK("https://lindat.mff.cuni.cz/services/teitok/pdtc10/index.php?action=vallex&amp;frame=v-w1329hsa_249", "jezdívat (v-w1329hsa_249)")</f>
        <v>jezdívat (v-w1329hsa_249)</v>
      </c>
    </row>
    <row r="10607" spans="1:4" x14ac:dyDescent="0.2">
      <c r="B10607" t="s">
        <v>1</v>
      </c>
    </row>
    <row r="10609" spans="1:4" x14ac:dyDescent="0.2">
      <c r="A10609" t="s">
        <v>3723</v>
      </c>
      <c r="B10609" t="str">
        <f>HYPERLINK("https://lindat.mff.cuni.cz/services/teitok/pdtc10/index.php?action=vallex&amp;frame=v-whsa_1426hsa_1427", "jezdívávat (v-whsa_1426hsa_1427)")</f>
        <v>jezdívávat (v-whsa_1426hsa_1427)</v>
      </c>
    </row>
    <row r="10610" spans="1:4" x14ac:dyDescent="0.2">
      <c r="B10610" t="s">
        <v>1</v>
      </c>
    </row>
    <row r="10611" spans="1:4" x14ac:dyDescent="0.2">
      <c r="B10611" t="s">
        <v>8</v>
      </c>
    </row>
    <row r="10613" spans="1:4" x14ac:dyDescent="0.2">
      <c r="A10613" t="s">
        <v>3724</v>
      </c>
      <c r="B10613" t="str">
        <f>HYPERLINK("https://lindat.mff.cuni.cz/services/teitok/pdtc10/index.php?action=vallex&amp;frame=v-whsa_1426hsa_1428", "jezdívávat (v-whsa_1426hsa_1428)")</f>
        <v>jezdívávat (v-whsa_1426hsa_1428)</v>
      </c>
    </row>
    <row r="10614" spans="1:4" x14ac:dyDescent="0.2">
      <c r="B10614" t="s">
        <v>1</v>
      </c>
    </row>
    <row r="10616" spans="1:4" x14ac:dyDescent="0.2">
      <c r="A10616" t="s">
        <v>3725</v>
      </c>
      <c r="B10616" t="str">
        <f>HYPERLINK("https://lindat.mff.cuni.cz/services/teitok/pdtc10/index.php?action=vallex&amp;frame=v-whsa_1426hsa_1429", "jezdívávat (v-whsa_1426hsa_1429)")</f>
        <v>jezdívávat (v-whsa_1426hsa_1429)</v>
      </c>
    </row>
    <row r="10617" spans="1:4" x14ac:dyDescent="0.2">
      <c r="B10617" t="s">
        <v>1</v>
      </c>
    </row>
    <row r="10618" spans="1:4" x14ac:dyDescent="0.2">
      <c r="B10618" t="s">
        <v>90</v>
      </c>
    </row>
    <row r="10620" spans="1:4" x14ac:dyDescent="0.2">
      <c r="A10620" t="s">
        <v>3726</v>
      </c>
      <c r="B10620" t="str">
        <f>HYPERLINK("https://lindat.mff.cuni.cz/services/teitok/pdtc10/index.php?action=vallex&amp;frame=v-w10865f2", "ječet (v-w10865f2)")</f>
        <v>ječet (v-w10865f2)</v>
      </c>
    </row>
    <row r="10621" spans="1:4" x14ac:dyDescent="0.2">
      <c r="B10621" t="s">
        <v>1</v>
      </c>
      <c r="C10621" t="s">
        <v>22</v>
      </c>
      <c r="D10621" t="s">
        <v>2571</v>
      </c>
    </row>
    <row r="10622" spans="1:4" x14ac:dyDescent="0.2">
      <c r="B10622" t="s">
        <v>3727</v>
      </c>
      <c r="C10622" t="s">
        <v>1128</v>
      </c>
      <c r="D10622" t="s">
        <v>338</v>
      </c>
    </row>
    <row r="10623" spans="1:4" x14ac:dyDescent="0.2">
      <c r="B10623" t="s">
        <v>3527</v>
      </c>
      <c r="C10623" t="s">
        <v>3728</v>
      </c>
      <c r="D10623" t="s">
        <v>3728</v>
      </c>
    </row>
    <row r="10625" spans="1:4" x14ac:dyDescent="0.2">
      <c r="A10625" t="s">
        <v>3729</v>
      </c>
      <c r="B10625" t="str">
        <f>HYPERLINK("https://lindat.mff.cuni.cz/services/teitok/pdtc10/index.php?action=vallex&amp;frame=v-w10865hsa_938", "ječet (v-w10865hsa_938)")</f>
        <v>ječet (v-w10865hsa_938)</v>
      </c>
    </row>
    <row r="10626" spans="1:4" x14ac:dyDescent="0.2">
      <c r="B10626" t="s">
        <v>1</v>
      </c>
      <c r="D10626" t="s">
        <v>1709</v>
      </c>
    </row>
    <row r="10628" spans="1:4" x14ac:dyDescent="0.2">
      <c r="A10628" t="s">
        <v>3730</v>
      </c>
      <c r="B10628" t="str">
        <f>HYPERLINK("https://lindat.mff.cuni.cz/services/teitok/pdtc10/index.php?action=vallex&amp;frame=v-w1330f1", "ježit se (v-w1330f1)")</f>
        <v>ježit se (v-w1330f1)</v>
      </c>
    </row>
    <row r="10629" spans="1:4" x14ac:dyDescent="0.2">
      <c r="B10629" t="s">
        <v>1</v>
      </c>
    </row>
    <row r="10630" spans="1:4" x14ac:dyDescent="0.2">
      <c r="B10630" t="s">
        <v>158</v>
      </c>
    </row>
    <row r="10632" spans="1:4" x14ac:dyDescent="0.2">
      <c r="A10632" t="s">
        <v>3731</v>
      </c>
      <c r="B10632" t="str">
        <f>HYPERLINK("https://lindat.mff.cuni.cz/services/teitok/pdtc10/index.php?action=vallex&amp;frame=v-w1330f3", "ježit se (v-w1330f3)")</f>
        <v>ježit se (v-w1330f3)</v>
      </c>
    </row>
    <row r="10633" spans="1:4" x14ac:dyDescent="0.2">
      <c r="B10633" t="s">
        <v>1</v>
      </c>
    </row>
    <row r="10634" spans="1:4" x14ac:dyDescent="0.2">
      <c r="B10634" t="s">
        <v>452</v>
      </c>
    </row>
    <row r="10636" spans="1:4" x14ac:dyDescent="0.2">
      <c r="A10636" t="s">
        <v>3732</v>
      </c>
      <c r="B10636" t="str">
        <f>HYPERLINK("https://lindat.mff.cuni.cz/services/teitok/pdtc10/index.php?action=vallex&amp;frame=v-w1330f2", "ježit se (v-w1330f2)")</f>
        <v>ježit se (v-w1330f2)</v>
      </c>
    </row>
    <row r="10637" spans="1:4" x14ac:dyDescent="0.2">
      <c r="B10637" t="s">
        <v>1</v>
      </c>
    </row>
    <row r="10639" spans="1:4" x14ac:dyDescent="0.2">
      <c r="A10639" t="s">
        <v>3733</v>
      </c>
      <c r="B10639" t="str">
        <f>HYPERLINK("https://lindat.mff.cuni.cz/services/teitok/pdtc10/index.php?action=vallex&amp;frame=v-w1333f1", "jiskřit (v-w1333f1)")</f>
        <v>jiskřit (v-w1333f1)</v>
      </c>
    </row>
    <row r="10640" spans="1:4" x14ac:dyDescent="0.2">
      <c r="B10640" t="s">
        <v>1</v>
      </c>
    </row>
    <row r="10642" spans="1:4" x14ac:dyDescent="0.2">
      <c r="A10642" t="s">
        <v>3734</v>
      </c>
      <c r="B10642" t="str">
        <f>HYPERLINK("https://lindat.mff.cuni.cz/services/teitok/pdtc10/index.php?action=vallex&amp;frame=v-w1335f2_ZU", "jistit (v-w1335f2_ZU)")</f>
        <v>jistit (v-w1335f2_ZU)</v>
      </c>
    </row>
    <row r="10643" spans="1:4" x14ac:dyDescent="0.2">
      <c r="B10643" t="s">
        <v>1</v>
      </c>
    </row>
    <row r="10644" spans="1:4" x14ac:dyDescent="0.2">
      <c r="B10644" t="s">
        <v>8</v>
      </c>
    </row>
    <row r="10645" spans="1:4" x14ac:dyDescent="0.2">
      <c r="B10645" t="s">
        <v>308</v>
      </c>
    </row>
    <row r="10647" spans="1:4" x14ac:dyDescent="0.2">
      <c r="A10647" t="s">
        <v>3734</v>
      </c>
      <c r="B10647" t="str">
        <f>HYPERLINK("https://lindat.mff.cuni.cz/services/teitok/pdtc10/index.php?action=vallex&amp;frame=v-w1335f1", "jistit (v-w1335f1) - substituted with v-w1335f2_ZU")</f>
        <v>jistit (v-w1335f1) - substituted with v-w1335f2_ZU</v>
      </c>
    </row>
    <row r="10648" spans="1:4" x14ac:dyDescent="0.2">
      <c r="B10648" t="s">
        <v>1</v>
      </c>
      <c r="C10648" t="s">
        <v>3735</v>
      </c>
      <c r="D10648" t="s">
        <v>3432</v>
      </c>
    </row>
    <row r="10649" spans="1:4" x14ac:dyDescent="0.2">
      <c r="B10649" t="s">
        <v>8</v>
      </c>
      <c r="C10649" t="s">
        <v>3736</v>
      </c>
      <c r="D10649" t="s">
        <v>2213</v>
      </c>
    </row>
    <row r="10650" spans="1:4" x14ac:dyDescent="0.2">
      <c r="B10650" t="s">
        <v>308</v>
      </c>
      <c r="C10650" t="s">
        <v>3737</v>
      </c>
      <c r="D10650" t="s">
        <v>3737</v>
      </c>
    </row>
    <row r="10652" spans="1:4" x14ac:dyDescent="0.2">
      <c r="A10652" t="s">
        <v>3738</v>
      </c>
      <c r="B10652" t="str">
        <f>HYPERLINK("https://lindat.mff.cuni.cz/services/teitok/pdtc10/index.php?action=vallex&amp;frame=v-w1344f3", "jmenovat (v-w1344f3)")</f>
        <v>jmenovat (v-w1344f3)</v>
      </c>
    </row>
    <row r="10653" spans="1:4" x14ac:dyDescent="0.2">
      <c r="B10653" t="s">
        <v>1</v>
      </c>
      <c r="C10653" t="s">
        <v>3739</v>
      </c>
      <c r="D10653" t="s">
        <v>12528</v>
      </c>
    </row>
    <row r="10654" spans="1:4" x14ac:dyDescent="0.2">
      <c r="B10654" t="s">
        <v>172</v>
      </c>
      <c r="C10654" t="s">
        <v>3740</v>
      </c>
      <c r="D10654" t="s">
        <v>23379</v>
      </c>
    </row>
    <row r="10655" spans="1:4" x14ac:dyDescent="0.2">
      <c r="B10655" t="s">
        <v>78</v>
      </c>
    </row>
    <row r="10657" spans="1:4" x14ac:dyDescent="0.2">
      <c r="A10657" t="s">
        <v>3741</v>
      </c>
      <c r="B10657" t="str">
        <f>HYPERLINK("https://lindat.mff.cuni.cz/services/teitok/pdtc10/index.php?action=vallex&amp;frame=v-w1344f4_ZU", "jmenovat (v-w1344f4_ZU)")</f>
        <v>jmenovat (v-w1344f4_ZU)</v>
      </c>
    </row>
    <row r="10658" spans="1:4" x14ac:dyDescent="0.2">
      <c r="B10658" t="s">
        <v>1</v>
      </c>
      <c r="C10658" t="s">
        <v>3742</v>
      </c>
      <c r="D10658" t="s">
        <v>2264</v>
      </c>
    </row>
    <row r="10659" spans="1:4" x14ac:dyDescent="0.2">
      <c r="B10659" t="s">
        <v>8</v>
      </c>
      <c r="C10659" t="s">
        <v>3743</v>
      </c>
      <c r="D10659" t="s">
        <v>23380</v>
      </c>
    </row>
    <row r="10660" spans="1:4" x14ac:dyDescent="0.2">
      <c r="B10660" t="s">
        <v>3744</v>
      </c>
      <c r="C10660" t="s">
        <v>3745</v>
      </c>
      <c r="D10660" t="s">
        <v>23381</v>
      </c>
    </row>
    <row r="10662" spans="1:4" x14ac:dyDescent="0.2">
      <c r="A10662" t="s">
        <v>3741</v>
      </c>
      <c r="B10662" t="str">
        <f>HYPERLINK("https://lindat.mff.cuni.cz/services/teitok/pdtc10/index.php?action=vallex&amp;frame=v-w1344f2", "jmenovat (v-w1344f2) - substituted with v-w1344f4_ZU")</f>
        <v>jmenovat (v-w1344f2) - substituted with v-w1344f4_ZU</v>
      </c>
    </row>
    <row r="10663" spans="1:4" x14ac:dyDescent="0.2">
      <c r="B10663" t="s">
        <v>1</v>
      </c>
      <c r="C10663" t="s">
        <v>3746</v>
      </c>
    </row>
    <row r="10664" spans="1:4" x14ac:dyDescent="0.2">
      <c r="B10664" t="s">
        <v>8</v>
      </c>
      <c r="C10664" t="s">
        <v>3747</v>
      </c>
    </row>
    <row r="10665" spans="1:4" x14ac:dyDescent="0.2">
      <c r="B10665" t="s">
        <v>3744</v>
      </c>
      <c r="C10665" t="s">
        <v>3748</v>
      </c>
    </row>
    <row r="10667" spans="1:4" x14ac:dyDescent="0.2">
      <c r="A10667" t="s">
        <v>3749</v>
      </c>
      <c r="B10667" t="str">
        <f>HYPERLINK("https://lindat.mff.cuni.cz/services/teitok/pdtc10/index.php?action=vallex&amp;frame=v-w1344f1", "jmenovat (v-w1344f1)")</f>
        <v>jmenovat (v-w1344f1)</v>
      </c>
    </row>
    <row r="10668" spans="1:4" x14ac:dyDescent="0.2">
      <c r="B10668" t="s">
        <v>1</v>
      </c>
      <c r="C10668" t="s">
        <v>3750</v>
      </c>
      <c r="D10668" t="s">
        <v>2264</v>
      </c>
    </row>
    <row r="10669" spans="1:4" x14ac:dyDescent="0.2">
      <c r="B10669" t="s">
        <v>8</v>
      </c>
      <c r="C10669" t="s">
        <v>3751</v>
      </c>
      <c r="D10669" t="s">
        <v>23380</v>
      </c>
    </row>
    <row r="10671" spans="1:4" x14ac:dyDescent="0.2">
      <c r="A10671" t="s">
        <v>3752</v>
      </c>
      <c r="B10671" t="str">
        <f>HYPERLINK("https://lindat.mff.cuni.cz/services/teitok/pdtc10/index.php?action=vallex&amp;frame=v-w1344hsa_778", "jmenovat (v-w1344hsa_778)")</f>
        <v>jmenovat (v-w1344hsa_778)</v>
      </c>
    </row>
    <row r="10672" spans="1:4" x14ac:dyDescent="0.2">
      <c r="B10672" t="s">
        <v>1</v>
      </c>
    </row>
    <row r="10673" spans="1:4" x14ac:dyDescent="0.2">
      <c r="B10673" t="s">
        <v>8</v>
      </c>
    </row>
    <row r="10674" spans="1:4" x14ac:dyDescent="0.2">
      <c r="B10674" t="s">
        <v>507</v>
      </c>
    </row>
    <row r="10676" spans="1:4" x14ac:dyDescent="0.2">
      <c r="A10676" t="s">
        <v>3753</v>
      </c>
      <c r="B10676" t="str">
        <f>HYPERLINK("https://lindat.mff.cuni.cz/services/teitok/pdtc10/index.php?action=vallex&amp;frame=v-w1345f1", "jmenovat se (v-w1345f1)")</f>
        <v>jmenovat se (v-w1345f1)</v>
      </c>
    </row>
    <row r="10677" spans="1:4" x14ac:dyDescent="0.2">
      <c r="B10677" t="s">
        <v>1</v>
      </c>
      <c r="C10677" t="s">
        <v>3754</v>
      </c>
      <c r="D10677" t="s">
        <v>23382</v>
      </c>
    </row>
    <row r="10678" spans="1:4" x14ac:dyDescent="0.2">
      <c r="B10678" t="s">
        <v>243</v>
      </c>
      <c r="C10678" t="s">
        <v>3755</v>
      </c>
      <c r="D10678" t="s">
        <v>23383</v>
      </c>
    </row>
    <row r="10680" spans="1:4" x14ac:dyDescent="0.2">
      <c r="A10680" t="s">
        <v>3756</v>
      </c>
      <c r="B10680" t="str">
        <f>HYPERLINK("https://lindat.mff.cuni.cz/services/teitok/pdtc10/index.php?action=vallex&amp;frame=v-w1345f2", "jmenovat se (v-w1345f2)")</f>
        <v>jmenovat se (v-w1345f2)</v>
      </c>
    </row>
    <row r="10681" spans="1:4" x14ac:dyDescent="0.2">
      <c r="B10681" t="s">
        <v>1</v>
      </c>
    </row>
    <row r="10682" spans="1:4" x14ac:dyDescent="0.2">
      <c r="B10682" t="s">
        <v>507</v>
      </c>
    </row>
    <row r="10684" spans="1:4" x14ac:dyDescent="0.2">
      <c r="A10684" t="s">
        <v>3757</v>
      </c>
      <c r="B10684" t="str">
        <f>HYPERLINK("https://lindat.mff.cuni.cz/services/teitok/pdtc10/index.php?action=vallex&amp;frame=v-w11358f1", "jmout se (v-w11358f1)")</f>
        <v>jmout se (v-w11358f1)</v>
      </c>
    </row>
    <row r="10685" spans="1:4" x14ac:dyDescent="0.2">
      <c r="B10685" t="s">
        <v>1</v>
      </c>
    </row>
    <row r="10686" spans="1:4" x14ac:dyDescent="0.2">
      <c r="B10686" t="s">
        <v>557</v>
      </c>
    </row>
    <row r="10688" spans="1:4" x14ac:dyDescent="0.2">
      <c r="A10688" t="s">
        <v>3758</v>
      </c>
      <c r="B10688" t="str">
        <f>HYPERLINK("https://lindat.mff.cuni.cz/services/teitok/pdtc10/index.php?action=vallex&amp;frame=v-w1346f1", "joggovat (v-w1346f1)")</f>
        <v>joggovat (v-w1346f1)</v>
      </c>
    </row>
    <row r="10689" spans="1:4" x14ac:dyDescent="0.2">
      <c r="B10689" t="s">
        <v>1</v>
      </c>
    </row>
    <row r="10691" spans="1:4" x14ac:dyDescent="0.2">
      <c r="A10691" t="s">
        <v>3759</v>
      </c>
      <c r="B10691" t="str">
        <f>HYPERLINK("https://lindat.mff.cuni.cz/services/teitok/pdtc10/index.php?action=vallex&amp;frame=v-w11039f3", "jásat (v-w11039f3)")</f>
        <v>jásat (v-w11039f3)</v>
      </c>
    </row>
    <row r="10692" spans="1:4" x14ac:dyDescent="0.2">
      <c r="B10692" t="s">
        <v>1</v>
      </c>
      <c r="C10692" t="s">
        <v>83</v>
      </c>
      <c r="D10692" t="s">
        <v>109</v>
      </c>
    </row>
    <row r="10693" spans="1:4" x14ac:dyDescent="0.2">
      <c r="B10693" t="s">
        <v>3091</v>
      </c>
      <c r="C10693" t="s">
        <v>1128</v>
      </c>
      <c r="D10693" t="s">
        <v>1190</v>
      </c>
    </row>
    <row r="10695" spans="1:4" x14ac:dyDescent="0.2">
      <c r="A10695" t="s">
        <v>3760</v>
      </c>
      <c r="B10695" t="str">
        <f>HYPERLINK("https://lindat.mff.cuni.cz/services/teitok/pdtc10/index.php?action=vallex&amp;frame=v-whsa_1872hsa_1873", "jídávat (v-whsa_1872hsa_1873)")</f>
        <v>jídávat (v-whsa_1872hsa_1873)</v>
      </c>
    </row>
    <row r="10696" spans="1:4" x14ac:dyDescent="0.2">
      <c r="B10696" t="s">
        <v>1</v>
      </c>
    </row>
    <row r="10698" spans="1:4" x14ac:dyDescent="0.2">
      <c r="A10698" t="s">
        <v>3761</v>
      </c>
      <c r="B10698" t="str">
        <f>HYPERLINK("https://lindat.mff.cuni.cz/services/teitok/pdtc10/index.php?action=vallex&amp;frame=v-whsa_1872hsa_1874", "jídávat (v-whsa_1872hsa_1874)")</f>
        <v>jídávat (v-whsa_1872hsa_1874)</v>
      </c>
    </row>
    <row r="10699" spans="1:4" x14ac:dyDescent="0.2">
      <c r="B10699" t="s">
        <v>1</v>
      </c>
    </row>
    <row r="10700" spans="1:4" x14ac:dyDescent="0.2">
      <c r="B10700" t="s">
        <v>8</v>
      </c>
    </row>
    <row r="10702" spans="1:4" x14ac:dyDescent="0.2">
      <c r="A10702" t="s">
        <v>3762</v>
      </c>
      <c r="B10702" t="str">
        <f>HYPERLINK("https://lindat.mff.cuni.cz/services/teitok/pdtc10/index.php?action=vallex&amp;frame=v-w1331f1", "jímat (v-w1331f1)")</f>
        <v>jímat (v-w1331f1)</v>
      </c>
    </row>
    <row r="10703" spans="1:4" x14ac:dyDescent="0.2">
      <c r="B10703" t="s">
        <v>3763</v>
      </c>
    </row>
    <row r="10704" spans="1:4" x14ac:dyDescent="0.2">
      <c r="B10704" t="s">
        <v>8</v>
      </c>
    </row>
    <row r="10706" spans="1:4" x14ac:dyDescent="0.2">
      <c r="A10706" t="s">
        <v>3764</v>
      </c>
      <c r="B10706" t="str">
        <f>HYPERLINK("https://lindat.mff.cuni.cz/services/teitok/pdtc10/index.php?action=vallex&amp;frame=v-w1334f1", "jíst (v-w1334f1)")</f>
        <v>jíst (v-w1334f1)</v>
      </c>
    </row>
    <row r="10707" spans="1:4" x14ac:dyDescent="0.2">
      <c r="B10707" t="s">
        <v>1</v>
      </c>
      <c r="C10707" t="s">
        <v>3765</v>
      </c>
      <c r="D10707" t="s">
        <v>15948</v>
      </c>
    </row>
    <row r="10708" spans="1:4" x14ac:dyDescent="0.2">
      <c r="B10708" t="s">
        <v>3766</v>
      </c>
      <c r="C10708" t="s">
        <v>1109</v>
      </c>
      <c r="D10708" t="s">
        <v>110</v>
      </c>
    </row>
    <row r="10710" spans="1:4" x14ac:dyDescent="0.2">
      <c r="A10710" t="s">
        <v>3767</v>
      </c>
      <c r="B10710" t="str">
        <f>HYPERLINK("https://lindat.mff.cuni.cz/services/teitok/pdtc10/index.php?action=vallex&amp;frame=v-w1334f2", "jíst (v-w1334f2)")</f>
        <v>jíst (v-w1334f2)</v>
      </c>
    </row>
    <row r="10711" spans="1:4" x14ac:dyDescent="0.2">
      <c r="B10711" t="s">
        <v>1</v>
      </c>
      <c r="C10711" t="s">
        <v>3765</v>
      </c>
      <c r="D10711" t="s">
        <v>15948</v>
      </c>
    </row>
    <row r="10713" spans="1:4" x14ac:dyDescent="0.2">
      <c r="A10713" t="s">
        <v>3768</v>
      </c>
      <c r="B10713" t="str">
        <f>HYPERLINK("https://lindat.mff.cuni.cz/services/teitok/pdtc10/index.php?action=vallex&amp;frame=v-w1339f40", "jít (v-w1339f40)")</f>
        <v>jít (v-w1339f40)</v>
      </c>
    </row>
    <row r="10714" spans="1:4" x14ac:dyDescent="0.2">
      <c r="B10714" t="s">
        <v>1</v>
      </c>
    </row>
    <row r="10715" spans="1:4" x14ac:dyDescent="0.2">
      <c r="B10715" t="s">
        <v>19</v>
      </c>
    </row>
    <row r="10716" spans="1:4" x14ac:dyDescent="0.2">
      <c r="B10716" t="s">
        <v>3769</v>
      </c>
    </row>
    <row r="10718" spans="1:4" x14ac:dyDescent="0.2">
      <c r="A10718" t="s">
        <v>3770</v>
      </c>
      <c r="B10718" t="str">
        <f>HYPERLINK("https://lindat.mff.cuni.cz/services/teitok/pdtc10/index.php?action=vallex&amp;frame=v-w1339f49_ZU", "jít (v-w1339f49_ZU)")</f>
        <v>jít (v-w1339f49_ZU)</v>
      </c>
    </row>
    <row r="10719" spans="1:4" x14ac:dyDescent="0.2">
      <c r="B10719" t="s">
        <v>1</v>
      </c>
      <c r="C10719" t="s">
        <v>3771</v>
      </c>
    </row>
    <row r="10720" spans="1:4" x14ac:dyDescent="0.2">
      <c r="B10720" t="s">
        <v>411</v>
      </c>
    </row>
    <row r="10721" spans="1:4" x14ac:dyDescent="0.2">
      <c r="B10721" t="s">
        <v>90</v>
      </c>
    </row>
    <row r="10723" spans="1:4" x14ac:dyDescent="0.2">
      <c r="A10723" t="s">
        <v>3772</v>
      </c>
      <c r="B10723" t="str">
        <f>HYPERLINK("https://lindat.mff.cuni.cz/services/teitok/pdtc10/index.php?action=vallex&amp;frame=v-w1339f36", "jít (v-w1339f36)")</f>
        <v>jít (v-w1339f36)</v>
      </c>
    </row>
    <row r="10724" spans="1:4" x14ac:dyDescent="0.2">
      <c r="B10724" t="s">
        <v>331</v>
      </c>
      <c r="C10724" t="s">
        <v>80</v>
      </c>
      <c r="D10724" t="s">
        <v>334</v>
      </c>
    </row>
    <row r="10725" spans="1:4" x14ac:dyDescent="0.2">
      <c r="B10725" t="s">
        <v>1165</v>
      </c>
      <c r="C10725" t="s">
        <v>3773</v>
      </c>
      <c r="D10725" t="s">
        <v>1066</v>
      </c>
    </row>
    <row r="10727" spans="1:4" x14ac:dyDescent="0.2">
      <c r="A10727" t="s">
        <v>3774</v>
      </c>
      <c r="B10727" t="str">
        <f>HYPERLINK("https://lindat.mff.cuni.cz/services/teitok/pdtc10/index.php?action=vallex&amp;frame=v-w1339f26", "jít (v-w1339f26)")</f>
        <v>jít (v-w1339f26)</v>
      </c>
    </row>
    <row r="10728" spans="1:4" x14ac:dyDescent="0.2">
      <c r="B10728" t="s">
        <v>1</v>
      </c>
    </row>
    <row r="10729" spans="1:4" x14ac:dyDescent="0.2">
      <c r="B10729" t="s">
        <v>8</v>
      </c>
    </row>
    <row r="10731" spans="1:4" x14ac:dyDescent="0.2">
      <c r="A10731" t="s">
        <v>3775</v>
      </c>
      <c r="B10731" t="str">
        <f>HYPERLINK("https://lindat.mff.cuni.cz/services/teitok/pdtc10/index.php?action=vallex&amp;frame=v-w1339f45", "jít (v-w1339f45)")</f>
        <v>jít (v-w1339f45)</v>
      </c>
    </row>
    <row r="10732" spans="1:4" x14ac:dyDescent="0.2">
      <c r="B10732" t="s">
        <v>1</v>
      </c>
    </row>
    <row r="10733" spans="1:4" x14ac:dyDescent="0.2">
      <c r="B10733" t="s">
        <v>993</v>
      </c>
    </row>
    <row r="10735" spans="1:4" x14ac:dyDescent="0.2">
      <c r="A10735" t="s">
        <v>3776</v>
      </c>
      <c r="B10735" t="str">
        <f>HYPERLINK("https://lindat.mff.cuni.cz/services/teitok/pdtc10/index.php?action=vallex&amp;frame=v-w1339f10", "jít (v-w1339f10)")</f>
        <v>jít (v-w1339f10)</v>
      </c>
    </row>
    <row r="10736" spans="1:4" x14ac:dyDescent="0.2">
      <c r="B10736" t="s">
        <v>1</v>
      </c>
      <c r="C10736" t="s">
        <v>3777</v>
      </c>
      <c r="D10736" t="s">
        <v>23384</v>
      </c>
    </row>
    <row r="10737" spans="1:4" x14ac:dyDescent="0.2">
      <c r="B10737" t="s">
        <v>817</v>
      </c>
      <c r="C10737" t="s">
        <v>3778</v>
      </c>
      <c r="D10737" t="s">
        <v>23385</v>
      </c>
    </row>
    <row r="10739" spans="1:4" x14ac:dyDescent="0.2">
      <c r="A10739" t="s">
        <v>3779</v>
      </c>
      <c r="B10739" t="str">
        <f>HYPERLINK("https://lindat.mff.cuni.cz/services/teitok/pdtc10/index.php?action=vallex&amp;frame=v-w1339f47", "jít (v-w1339f47)")</f>
        <v>jít (v-w1339f47)</v>
      </c>
    </row>
    <row r="10740" spans="1:4" x14ac:dyDescent="0.2">
      <c r="B10740" t="s">
        <v>1</v>
      </c>
    </row>
    <row r="10741" spans="1:4" x14ac:dyDescent="0.2">
      <c r="B10741" t="s">
        <v>817</v>
      </c>
    </row>
    <row r="10743" spans="1:4" x14ac:dyDescent="0.2">
      <c r="A10743" t="s">
        <v>3780</v>
      </c>
      <c r="B10743" t="str">
        <f>HYPERLINK("https://lindat.mff.cuni.cz/services/teitok/pdtc10/index.php?action=vallex&amp;frame=v-w1339f19", "jít (v-w1339f19)")</f>
        <v>jít (v-w1339f19)</v>
      </c>
    </row>
    <row r="10744" spans="1:4" x14ac:dyDescent="0.2">
      <c r="B10744" t="s">
        <v>1</v>
      </c>
      <c r="C10744" t="s">
        <v>3781</v>
      </c>
      <c r="D10744" t="s">
        <v>3797</v>
      </c>
    </row>
    <row r="10745" spans="1:4" x14ac:dyDescent="0.2">
      <c r="B10745" t="s">
        <v>28</v>
      </c>
      <c r="C10745" t="s">
        <v>3782</v>
      </c>
      <c r="D10745" t="s">
        <v>3798</v>
      </c>
    </row>
    <row r="10747" spans="1:4" x14ac:dyDescent="0.2">
      <c r="A10747" t="s">
        <v>3783</v>
      </c>
      <c r="B10747" t="str">
        <f>HYPERLINK("https://lindat.mff.cuni.cz/services/teitok/pdtc10/index.php?action=vallex&amp;frame=v-w1339f18", "jít (v-w1339f18)")</f>
        <v>jít (v-w1339f18)</v>
      </c>
    </row>
    <row r="10748" spans="1:4" x14ac:dyDescent="0.2">
      <c r="B10748" t="s">
        <v>1</v>
      </c>
    </row>
    <row r="10749" spans="1:4" x14ac:dyDescent="0.2">
      <c r="B10749" t="s">
        <v>28</v>
      </c>
    </row>
    <row r="10751" spans="1:4" x14ac:dyDescent="0.2">
      <c r="A10751" t="s">
        <v>3784</v>
      </c>
      <c r="B10751" t="str">
        <f>HYPERLINK("https://lindat.mff.cuni.cz/services/teitok/pdtc10/index.php?action=vallex&amp;frame=v-w1339f33", "jít (v-w1339f33)")</f>
        <v>jít (v-w1339f33)</v>
      </c>
    </row>
    <row r="10752" spans="1:4" x14ac:dyDescent="0.2">
      <c r="B10752" t="s">
        <v>1</v>
      </c>
    </row>
    <row r="10753" spans="1:3" x14ac:dyDescent="0.2">
      <c r="B10753" t="s">
        <v>28</v>
      </c>
    </row>
    <row r="10755" spans="1:3" x14ac:dyDescent="0.2">
      <c r="A10755" t="s">
        <v>3785</v>
      </c>
      <c r="B10755" t="str">
        <f>HYPERLINK("https://lindat.mff.cuni.cz/services/teitok/pdtc10/index.php?action=vallex&amp;frame=v-w1339f30", "jít (v-w1339f30)")</f>
        <v>jít (v-w1339f30)</v>
      </c>
    </row>
    <row r="10756" spans="1:3" x14ac:dyDescent="0.2">
      <c r="B10756" t="s">
        <v>1</v>
      </c>
    </row>
    <row r="10757" spans="1:3" x14ac:dyDescent="0.2">
      <c r="B10757" t="s">
        <v>1165</v>
      </c>
    </row>
    <row r="10759" spans="1:3" x14ac:dyDescent="0.2">
      <c r="A10759" t="s">
        <v>3786</v>
      </c>
      <c r="B10759" t="str">
        <f>HYPERLINK("https://lindat.mff.cuni.cz/services/teitok/pdtc10/index.php?action=vallex&amp;frame=v-w1339f22", "jít (v-w1339f22)")</f>
        <v>jít (v-w1339f22)</v>
      </c>
    </row>
    <row r="10760" spans="1:3" x14ac:dyDescent="0.2">
      <c r="B10760" t="s">
        <v>1</v>
      </c>
      <c r="C10760" t="s">
        <v>3787</v>
      </c>
    </row>
    <row r="10761" spans="1:3" x14ac:dyDescent="0.2">
      <c r="B10761" t="s">
        <v>3788</v>
      </c>
      <c r="C10761" t="s">
        <v>3789</v>
      </c>
    </row>
    <row r="10763" spans="1:3" x14ac:dyDescent="0.2">
      <c r="A10763" t="s">
        <v>3790</v>
      </c>
      <c r="B10763" t="str">
        <f>HYPERLINK("https://lindat.mff.cuni.cz/services/teitok/pdtc10/index.php?action=vallex&amp;frame=v-w1339f43", "jít (v-w1339f43)")</f>
        <v>jít (v-w1339f43)</v>
      </c>
    </row>
    <row r="10764" spans="1:3" x14ac:dyDescent="0.2">
      <c r="B10764" t="s">
        <v>1</v>
      </c>
    </row>
    <row r="10765" spans="1:3" x14ac:dyDescent="0.2">
      <c r="B10765" t="s">
        <v>996</v>
      </c>
    </row>
    <row r="10767" spans="1:3" x14ac:dyDescent="0.2">
      <c r="A10767" t="s">
        <v>3791</v>
      </c>
      <c r="B10767" t="str">
        <f>HYPERLINK("https://lindat.mff.cuni.cz/services/teitok/pdtc10/index.php?action=vallex&amp;frame=v-w1339f77_ZU", "jít (v-w1339f77_ZU)")</f>
        <v>jít (v-w1339f77_ZU)</v>
      </c>
    </row>
    <row r="10768" spans="1:3" x14ac:dyDescent="0.2">
      <c r="B10768" t="s">
        <v>1</v>
      </c>
    </row>
    <row r="10769" spans="1:4" x14ac:dyDescent="0.2">
      <c r="B10769" t="s">
        <v>3368</v>
      </c>
    </row>
    <row r="10771" spans="1:4" x14ac:dyDescent="0.2">
      <c r="A10771" t="s">
        <v>3791</v>
      </c>
      <c r="B10771" t="str">
        <f>HYPERLINK("https://lindat.mff.cuni.cz/services/teitok/pdtc10/index.php?action=vallex&amp;frame=v-w1339f28", "jít (v-w1339f28) - substituted with v-w1339f77_ZU")</f>
        <v>jít (v-w1339f28) - substituted with v-w1339f77_ZU</v>
      </c>
    </row>
    <row r="10772" spans="1:4" x14ac:dyDescent="0.2">
      <c r="B10772" t="s">
        <v>1</v>
      </c>
      <c r="C10772" t="s">
        <v>3792</v>
      </c>
      <c r="D10772" t="s">
        <v>23360</v>
      </c>
    </row>
    <row r="10773" spans="1:4" x14ac:dyDescent="0.2">
      <c r="B10773" t="s">
        <v>3368</v>
      </c>
      <c r="C10773" t="s">
        <v>155</v>
      </c>
      <c r="D10773" t="s">
        <v>23361</v>
      </c>
    </row>
    <row r="10775" spans="1:4" x14ac:dyDescent="0.2">
      <c r="A10775" t="s">
        <v>3793</v>
      </c>
      <c r="B10775" t="str">
        <f>HYPERLINK("https://lindat.mff.cuni.cz/services/teitok/pdtc10/index.php?action=vallex&amp;frame=v-w1339f17", "jít (v-w1339f17)")</f>
        <v>jít (v-w1339f17)</v>
      </c>
    </row>
    <row r="10776" spans="1:4" x14ac:dyDescent="0.2">
      <c r="B10776" t="s">
        <v>455</v>
      </c>
    </row>
    <row r="10777" spans="1:4" x14ac:dyDescent="0.2">
      <c r="B10777" t="s">
        <v>2625</v>
      </c>
    </row>
    <row r="10779" spans="1:4" x14ac:dyDescent="0.2">
      <c r="A10779" t="s">
        <v>3794</v>
      </c>
      <c r="B10779" t="str">
        <f>HYPERLINK("https://lindat.mff.cuni.cz/services/teitok/pdtc10/index.php?action=vallex&amp;frame=v-w1339f46", "jít (v-w1339f46)")</f>
        <v>jít (v-w1339f46)</v>
      </c>
    </row>
    <row r="10780" spans="1:4" x14ac:dyDescent="0.2">
      <c r="B10780" t="s">
        <v>455</v>
      </c>
    </row>
    <row r="10781" spans="1:4" x14ac:dyDescent="0.2">
      <c r="B10781" t="s">
        <v>28</v>
      </c>
    </row>
    <row r="10783" spans="1:4" x14ac:dyDescent="0.2">
      <c r="A10783" t="s">
        <v>3795</v>
      </c>
      <c r="B10783" t="str">
        <f>HYPERLINK("https://lindat.mff.cuni.cz/services/teitok/pdtc10/index.php?action=vallex&amp;frame=v-w1339f2", "jít (v-w1339f2)")</f>
        <v>jít (v-w1339f2)</v>
      </c>
    </row>
    <row r="10784" spans="1:4" x14ac:dyDescent="0.2">
      <c r="B10784" t="s">
        <v>455</v>
      </c>
      <c r="C10784" t="s">
        <v>140</v>
      </c>
      <c r="D10784" t="s">
        <v>23386</v>
      </c>
    </row>
    <row r="10785" spans="1:4" x14ac:dyDescent="0.2">
      <c r="B10785" t="s">
        <v>467</v>
      </c>
      <c r="C10785" t="s">
        <v>564</v>
      </c>
      <c r="D10785" t="s">
        <v>2439</v>
      </c>
    </row>
    <row r="10787" spans="1:4" x14ac:dyDescent="0.2">
      <c r="A10787" t="s">
        <v>3796</v>
      </c>
      <c r="B10787" t="str">
        <f>HYPERLINK("https://lindat.mff.cuni.cz/services/teitok/pdtc10/index.php?action=vallex&amp;frame=v-w1339f72_ZU", "jít (v-w1339f72_ZU)")</f>
        <v>jít (v-w1339f72_ZU)</v>
      </c>
    </row>
    <row r="10788" spans="1:4" x14ac:dyDescent="0.2">
      <c r="B10788" t="s">
        <v>1</v>
      </c>
    </row>
    <row r="10789" spans="1:4" x14ac:dyDescent="0.2">
      <c r="B10789" t="s">
        <v>3338</v>
      </c>
    </row>
    <row r="10791" spans="1:4" x14ac:dyDescent="0.2">
      <c r="A10791" t="s">
        <v>3796</v>
      </c>
      <c r="B10791" t="str">
        <f>HYPERLINK("https://lindat.mff.cuni.cz/services/teitok/pdtc10/index.php?action=vallex&amp;frame=v-w1339f50_ZU", "jít (v-w1339f50_ZU) - substituted with v-w1339f72_ZU")</f>
        <v>jít (v-w1339f50_ZU) - substituted with v-w1339f72_ZU</v>
      </c>
    </row>
    <row r="10792" spans="1:4" x14ac:dyDescent="0.2">
      <c r="B10792" t="s">
        <v>1</v>
      </c>
      <c r="C10792" t="s">
        <v>3797</v>
      </c>
      <c r="D10792" t="s">
        <v>3797</v>
      </c>
    </row>
    <row r="10793" spans="1:4" x14ac:dyDescent="0.2">
      <c r="B10793" t="s">
        <v>3338</v>
      </c>
      <c r="C10793" t="s">
        <v>3798</v>
      </c>
      <c r="D10793" t="s">
        <v>3798</v>
      </c>
    </row>
    <row r="10795" spans="1:4" x14ac:dyDescent="0.2">
      <c r="A10795" t="s">
        <v>3799</v>
      </c>
      <c r="B10795" t="str">
        <f>HYPERLINK("https://lindat.mff.cuni.cz/services/teitok/pdtc10/index.php?action=vallex&amp;frame=v-w1339f85_ZU", "jít (v-w1339f85_ZU)")</f>
        <v>jít (v-w1339f85_ZU)</v>
      </c>
    </row>
    <row r="10796" spans="1:4" x14ac:dyDescent="0.2">
      <c r="B10796" t="s">
        <v>1</v>
      </c>
    </row>
    <row r="10797" spans="1:4" x14ac:dyDescent="0.2">
      <c r="B10797" t="s">
        <v>333</v>
      </c>
    </row>
    <row r="10799" spans="1:4" x14ac:dyDescent="0.2">
      <c r="A10799" t="s">
        <v>3799</v>
      </c>
      <c r="B10799" t="str">
        <f>HYPERLINK("https://lindat.mff.cuni.cz/services/teitok/pdtc10/index.php?action=vallex&amp;frame=v-w1339f23", "jít (v-w1339f23) - substituted with v-w1339f85_ZU")</f>
        <v>jít (v-w1339f23) - substituted with v-w1339f85_ZU</v>
      </c>
    </row>
    <row r="10800" spans="1:4" x14ac:dyDescent="0.2">
      <c r="B10800" t="s">
        <v>1</v>
      </c>
    </row>
    <row r="10801" spans="1:4" x14ac:dyDescent="0.2">
      <c r="B10801" t="s">
        <v>333</v>
      </c>
    </row>
    <row r="10803" spans="1:4" x14ac:dyDescent="0.2">
      <c r="A10803" t="s">
        <v>3800</v>
      </c>
      <c r="B10803" t="str">
        <f>HYPERLINK("https://lindat.mff.cuni.cz/services/teitok/pdtc10/index.php?action=vallex&amp;frame=v-w1339f5", "jít (v-w1339f5)")</f>
        <v>jít (v-w1339f5)</v>
      </c>
    </row>
    <row r="10804" spans="1:4" x14ac:dyDescent="0.2">
      <c r="B10804" t="s">
        <v>1</v>
      </c>
      <c r="C10804" t="s">
        <v>3801</v>
      </c>
      <c r="D10804" t="s">
        <v>23045</v>
      </c>
    </row>
    <row r="10805" spans="1:4" x14ac:dyDescent="0.2">
      <c r="B10805" t="s">
        <v>192</v>
      </c>
      <c r="C10805" t="s">
        <v>3802</v>
      </c>
      <c r="D10805" t="s">
        <v>23387</v>
      </c>
    </row>
    <row r="10807" spans="1:4" x14ac:dyDescent="0.2">
      <c r="A10807" t="s">
        <v>3803</v>
      </c>
      <c r="B10807" t="str">
        <f>HYPERLINK("https://lindat.mff.cuni.cz/services/teitok/pdtc10/index.php?action=vallex&amp;frame=v-w1339f96_ZU", "jít (v-w1339f96_ZU)")</f>
        <v>jít (v-w1339f96_ZU)</v>
      </c>
    </row>
    <row r="10808" spans="1:4" x14ac:dyDescent="0.2">
      <c r="B10808" t="s">
        <v>1</v>
      </c>
    </row>
    <row r="10809" spans="1:4" x14ac:dyDescent="0.2">
      <c r="B10809" t="s">
        <v>205</v>
      </c>
    </row>
    <row r="10811" spans="1:4" x14ac:dyDescent="0.2">
      <c r="A10811" t="s">
        <v>3803</v>
      </c>
      <c r="B10811" t="str">
        <f>HYPERLINK("https://lindat.mff.cuni.cz/services/teitok/pdtc10/index.php?action=vallex&amp;frame=v-w1339f7", "jít (v-w1339f7) - substituted with v-w1339f96_ZU")</f>
        <v>jít (v-w1339f7) - substituted with v-w1339f96_ZU</v>
      </c>
    </row>
    <row r="10812" spans="1:4" x14ac:dyDescent="0.2">
      <c r="B10812" t="s">
        <v>1</v>
      </c>
      <c r="C10812" t="s">
        <v>3804</v>
      </c>
      <c r="D10812" t="s">
        <v>23388</v>
      </c>
    </row>
    <row r="10813" spans="1:4" x14ac:dyDescent="0.2">
      <c r="B10813" t="s">
        <v>205</v>
      </c>
      <c r="C10813" t="s">
        <v>3805</v>
      </c>
      <c r="D10813" t="s">
        <v>23389</v>
      </c>
    </row>
    <row r="10815" spans="1:4" x14ac:dyDescent="0.2">
      <c r="A10815" t="s">
        <v>3806</v>
      </c>
      <c r="B10815" t="str">
        <f>HYPERLINK("https://lindat.mff.cuni.cz/services/teitok/pdtc10/index.php?action=vallex&amp;frame=v-w1339f84_ZU", "jít (v-w1339f84_ZU)")</f>
        <v>jít (v-w1339f84_ZU)</v>
      </c>
    </row>
    <row r="10816" spans="1:4" x14ac:dyDescent="0.2">
      <c r="B10816" t="s">
        <v>1</v>
      </c>
    </row>
    <row r="10817" spans="1:4" x14ac:dyDescent="0.2">
      <c r="B10817" t="s">
        <v>90</v>
      </c>
    </row>
    <row r="10819" spans="1:4" x14ac:dyDescent="0.2">
      <c r="A10819" t="s">
        <v>3806</v>
      </c>
      <c r="B10819" t="str">
        <f>HYPERLINK("https://lindat.mff.cuni.cz/services/teitok/pdtc10/index.php?action=vallex&amp;frame=v-w1339f3", "jít (v-w1339f3) - substituted with v-w1339f84_ZU")</f>
        <v>jít (v-w1339f3) - substituted with v-w1339f84_ZU</v>
      </c>
    </row>
    <row r="10820" spans="1:4" x14ac:dyDescent="0.2">
      <c r="B10820" t="s">
        <v>1</v>
      </c>
      <c r="C10820" t="s">
        <v>3807</v>
      </c>
      <c r="D10820" t="s">
        <v>23390</v>
      </c>
    </row>
    <row r="10821" spans="1:4" x14ac:dyDescent="0.2">
      <c r="B10821" t="s">
        <v>90</v>
      </c>
      <c r="C10821" t="s">
        <v>3808</v>
      </c>
    </row>
    <row r="10823" spans="1:4" x14ac:dyDescent="0.2">
      <c r="A10823" t="s">
        <v>3806</v>
      </c>
      <c r="B10823" t="str">
        <f>HYPERLINK("https://lindat.mff.cuni.cz/services/teitok/pdtc10/index.php?action=vallex&amp;frame=v-w1339f82_ZU", "jít (v-w1339f82_ZU) - substituted with v-w1339f84_ZU")</f>
        <v>jít (v-w1339f82_ZU) - substituted with v-w1339f84_ZU</v>
      </c>
    </row>
    <row r="10824" spans="1:4" x14ac:dyDescent="0.2">
      <c r="B10824" t="s">
        <v>1</v>
      </c>
    </row>
    <row r="10825" spans="1:4" x14ac:dyDescent="0.2">
      <c r="B10825" t="s">
        <v>90</v>
      </c>
    </row>
    <row r="10827" spans="1:4" x14ac:dyDescent="0.2">
      <c r="A10827" t="s">
        <v>3809</v>
      </c>
      <c r="B10827" t="str">
        <f>HYPERLINK("https://lindat.mff.cuni.cz/services/teitok/pdtc10/index.php?action=vallex&amp;frame=v-w1339f6", "jít (v-w1339f6)")</f>
        <v>jít (v-w1339f6)</v>
      </c>
    </row>
    <row r="10828" spans="1:4" x14ac:dyDescent="0.2">
      <c r="B10828" t="s">
        <v>1</v>
      </c>
      <c r="C10828" t="s">
        <v>3810</v>
      </c>
    </row>
    <row r="10829" spans="1:4" x14ac:dyDescent="0.2">
      <c r="B10829" t="s">
        <v>90</v>
      </c>
      <c r="C10829" t="s">
        <v>3811</v>
      </c>
    </row>
    <row r="10831" spans="1:4" x14ac:dyDescent="0.2">
      <c r="A10831" t="s">
        <v>3812</v>
      </c>
      <c r="B10831" t="str">
        <f>HYPERLINK("https://lindat.mff.cuni.cz/services/teitok/pdtc10/index.php?action=vallex&amp;frame=v-w1339f9", "jít (v-w1339f9)")</f>
        <v>jít (v-w1339f9)</v>
      </c>
    </row>
    <row r="10832" spans="1:4" x14ac:dyDescent="0.2">
      <c r="B10832" t="s">
        <v>1</v>
      </c>
      <c r="C10832" t="s">
        <v>3797</v>
      </c>
      <c r="D10832" t="s">
        <v>3797</v>
      </c>
    </row>
    <row r="10833" spans="1:4" x14ac:dyDescent="0.2">
      <c r="B10833" t="s">
        <v>90</v>
      </c>
      <c r="C10833" t="s">
        <v>3813</v>
      </c>
      <c r="D10833" t="s">
        <v>3813</v>
      </c>
    </row>
    <row r="10835" spans="1:4" x14ac:dyDescent="0.2">
      <c r="A10835" t="s">
        <v>3814</v>
      </c>
      <c r="B10835" t="str">
        <f>HYPERLINK("https://lindat.mff.cuni.cz/services/teitok/pdtc10/index.php?action=vallex&amp;frame=v-w1339f79_ZU", "jít (v-w1339f79_ZU)")</f>
        <v>jít (v-w1339f79_ZU)</v>
      </c>
    </row>
    <row r="10836" spans="1:4" x14ac:dyDescent="0.2">
      <c r="B10836" t="s">
        <v>1</v>
      </c>
    </row>
    <row r="10837" spans="1:4" x14ac:dyDescent="0.2">
      <c r="B10837" t="s">
        <v>90</v>
      </c>
    </row>
    <row r="10839" spans="1:4" x14ac:dyDescent="0.2">
      <c r="A10839" t="s">
        <v>3814</v>
      </c>
      <c r="B10839" t="str">
        <f>HYPERLINK("https://lindat.mff.cuni.cz/services/teitok/pdtc10/index.php?action=vallex&amp;frame=v-w1339f12", "jít (v-w1339f12) - substituted with v-w1339f79_ZU")</f>
        <v>jít (v-w1339f12) - substituted with v-w1339f79_ZU</v>
      </c>
    </row>
    <row r="10840" spans="1:4" x14ac:dyDescent="0.2">
      <c r="B10840" t="s">
        <v>1</v>
      </c>
      <c r="C10840" t="s">
        <v>3815</v>
      </c>
      <c r="D10840" t="s">
        <v>23107</v>
      </c>
    </row>
    <row r="10841" spans="1:4" x14ac:dyDescent="0.2">
      <c r="B10841" t="s">
        <v>90</v>
      </c>
      <c r="C10841" t="s">
        <v>3816</v>
      </c>
      <c r="D10841" t="s">
        <v>23108</v>
      </c>
    </row>
    <row r="10843" spans="1:4" x14ac:dyDescent="0.2">
      <c r="A10843" t="s">
        <v>3817</v>
      </c>
      <c r="B10843" t="str">
        <f>HYPERLINK("https://lindat.mff.cuni.cz/services/teitok/pdtc10/index.php?action=vallex&amp;frame=v-w1339f94_ZU", "jít (v-w1339f94_ZU)")</f>
        <v>jít (v-w1339f94_ZU)</v>
      </c>
    </row>
    <row r="10844" spans="1:4" x14ac:dyDescent="0.2">
      <c r="B10844" t="s">
        <v>1</v>
      </c>
    </row>
    <row r="10845" spans="1:4" x14ac:dyDescent="0.2">
      <c r="B10845" t="s">
        <v>90</v>
      </c>
    </row>
    <row r="10847" spans="1:4" x14ac:dyDescent="0.2">
      <c r="A10847" t="s">
        <v>3817</v>
      </c>
      <c r="B10847" t="str">
        <f>HYPERLINK("https://lindat.mff.cuni.cz/services/teitok/pdtc10/index.php?action=vallex&amp;frame=v-w1339f13", "jít (v-w1339f13) - substituted with v-w1339f94_ZU")</f>
        <v>jít (v-w1339f13) - substituted with v-w1339f94_ZU</v>
      </c>
    </row>
    <row r="10848" spans="1:4" x14ac:dyDescent="0.2">
      <c r="B10848" t="s">
        <v>1</v>
      </c>
      <c r="C10848" t="s">
        <v>3818</v>
      </c>
    </row>
    <row r="10849" spans="1:4" x14ac:dyDescent="0.2">
      <c r="B10849" t="s">
        <v>90</v>
      </c>
      <c r="C10849" t="s">
        <v>3819</v>
      </c>
    </row>
    <row r="10851" spans="1:4" x14ac:dyDescent="0.2">
      <c r="A10851" t="s">
        <v>3820</v>
      </c>
      <c r="B10851" t="str">
        <f>HYPERLINK("https://lindat.mff.cuni.cz/services/teitok/pdtc10/index.php?action=vallex&amp;frame=v-w1339f24", "jít (v-w1339f24)")</f>
        <v>jít (v-w1339f24)</v>
      </c>
    </row>
    <row r="10852" spans="1:4" x14ac:dyDescent="0.2">
      <c r="B10852" t="s">
        <v>1</v>
      </c>
      <c r="C10852" t="s">
        <v>3821</v>
      </c>
      <c r="D10852" t="s">
        <v>23107</v>
      </c>
    </row>
    <row r="10853" spans="1:4" x14ac:dyDescent="0.2">
      <c r="B10853" t="s">
        <v>90</v>
      </c>
      <c r="C10853" t="s">
        <v>3822</v>
      </c>
      <c r="D10853" t="s">
        <v>23108</v>
      </c>
    </row>
    <row r="10855" spans="1:4" x14ac:dyDescent="0.2">
      <c r="A10855" t="s">
        <v>3823</v>
      </c>
      <c r="B10855" t="str">
        <f>HYPERLINK("https://lindat.mff.cuni.cz/services/teitok/pdtc10/index.php?action=vallex&amp;frame=v-w1339f25", "jít (v-w1339f25)")</f>
        <v>jít (v-w1339f25)</v>
      </c>
    </row>
    <row r="10856" spans="1:4" x14ac:dyDescent="0.2">
      <c r="B10856" t="s">
        <v>1</v>
      </c>
      <c r="C10856" t="s">
        <v>3824</v>
      </c>
      <c r="D10856" t="s">
        <v>23107</v>
      </c>
    </row>
    <row r="10857" spans="1:4" x14ac:dyDescent="0.2">
      <c r="B10857" t="s">
        <v>90</v>
      </c>
      <c r="D10857" t="s">
        <v>23108</v>
      </c>
    </row>
    <row r="10859" spans="1:4" x14ac:dyDescent="0.2">
      <c r="A10859" t="s">
        <v>3825</v>
      </c>
      <c r="B10859" t="str">
        <f>HYPERLINK("https://lindat.mff.cuni.cz/services/teitok/pdtc10/index.php?action=vallex&amp;frame=v-w1339f14", "jít (v-w1339f14)")</f>
        <v>jít (v-w1339f14)</v>
      </c>
    </row>
    <row r="10860" spans="1:4" x14ac:dyDescent="0.2">
      <c r="B10860" t="s">
        <v>3826</v>
      </c>
    </row>
    <row r="10862" spans="1:4" x14ac:dyDescent="0.2">
      <c r="A10862" t="s">
        <v>3827</v>
      </c>
      <c r="B10862" t="str">
        <f>HYPERLINK("https://lindat.mff.cuni.cz/services/teitok/pdtc10/index.php?action=vallex&amp;frame=v-w1339f8", "jít (v-w1339f8)")</f>
        <v>jít (v-w1339f8)</v>
      </c>
    </row>
    <row r="10863" spans="1:4" x14ac:dyDescent="0.2">
      <c r="B10863" t="s">
        <v>196</v>
      </c>
      <c r="C10863" t="s">
        <v>2008</v>
      </c>
    </row>
    <row r="10865" spans="1:4" x14ac:dyDescent="0.2">
      <c r="A10865" t="s">
        <v>3828</v>
      </c>
      <c r="B10865" t="str">
        <f>HYPERLINK("https://lindat.mff.cuni.cz/services/teitok/pdtc10/index.php?action=vallex&amp;frame=v-w1339f4", "jít (v-w1339f4)")</f>
        <v>jít (v-w1339f4)</v>
      </c>
    </row>
    <row r="10866" spans="1:4" x14ac:dyDescent="0.2">
      <c r="B10866" t="s">
        <v>1</v>
      </c>
      <c r="C10866" t="s">
        <v>3829</v>
      </c>
      <c r="D10866" t="s">
        <v>23034</v>
      </c>
    </row>
    <row r="10868" spans="1:4" x14ac:dyDescent="0.2">
      <c r="A10868" t="s">
        <v>3830</v>
      </c>
      <c r="B10868" t="str">
        <f>HYPERLINK("https://lindat.mff.cuni.cz/services/teitok/pdtc10/index.php?action=vallex&amp;frame=v-w1339f20", "jít (v-w1339f20)")</f>
        <v>jít (v-w1339f20)</v>
      </c>
    </row>
    <row r="10869" spans="1:4" x14ac:dyDescent="0.2">
      <c r="B10869" t="s">
        <v>1</v>
      </c>
      <c r="C10869" t="s">
        <v>3831</v>
      </c>
    </row>
    <row r="10871" spans="1:4" x14ac:dyDescent="0.2">
      <c r="A10871" t="s">
        <v>3832</v>
      </c>
      <c r="B10871" t="str">
        <f>HYPERLINK("https://lindat.mff.cuni.cz/services/teitok/pdtc10/index.php?action=vallex&amp;frame=v-w1339f35", "jít (v-w1339f35)")</f>
        <v>jít (v-w1339f35)</v>
      </c>
    </row>
    <row r="10872" spans="1:4" x14ac:dyDescent="0.2">
      <c r="B10872" t="s">
        <v>1</v>
      </c>
    </row>
    <row r="10874" spans="1:4" x14ac:dyDescent="0.2">
      <c r="A10874" t="s">
        <v>3833</v>
      </c>
      <c r="B10874" t="str">
        <f>HYPERLINK("https://lindat.mff.cuni.cz/services/teitok/pdtc10/index.php?action=vallex&amp;frame=v-w1339f88_ZU", "jít (v-w1339f88_ZU)")</f>
        <v>jít (v-w1339f88_ZU)</v>
      </c>
    </row>
    <row r="10875" spans="1:4" x14ac:dyDescent="0.2">
      <c r="B10875" t="s">
        <v>1</v>
      </c>
    </row>
    <row r="10877" spans="1:4" x14ac:dyDescent="0.2">
      <c r="A10877" t="s">
        <v>3833</v>
      </c>
      <c r="B10877" t="str">
        <f>HYPERLINK("https://lindat.mff.cuni.cz/services/teitok/pdtc10/index.php?action=vallex&amp;frame=v-w1339f34", "jít (v-w1339f34) - substituted with v-w1339f88_ZU")</f>
        <v>jít (v-w1339f34) - substituted with v-w1339f88_ZU</v>
      </c>
    </row>
    <row r="10878" spans="1:4" x14ac:dyDescent="0.2">
      <c r="B10878" t="s">
        <v>1</v>
      </c>
    </row>
    <row r="10880" spans="1:4" x14ac:dyDescent="0.2">
      <c r="A10880" t="s">
        <v>3834</v>
      </c>
      <c r="B10880" t="str">
        <f>HYPERLINK("https://lindat.mff.cuni.cz/services/teitok/pdtc10/index.php?action=vallex&amp;frame=v-w1339f1", "jít (v-w1339f1)")</f>
        <v>jít (v-w1339f1)</v>
      </c>
    </row>
    <row r="10881" spans="1:3" x14ac:dyDescent="0.2">
      <c r="B10881" t="s">
        <v>3674</v>
      </c>
      <c r="C10881" t="s">
        <v>3835</v>
      </c>
    </row>
    <row r="10883" spans="1:3" x14ac:dyDescent="0.2">
      <c r="A10883" t="s">
        <v>3836</v>
      </c>
      <c r="B10883" t="str">
        <f>HYPERLINK("https://lindat.mff.cuni.cz/services/teitok/pdtc10/index.php?action=vallex&amp;frame=v-w1339f42", "jít (v-w1339f42)")</f>
        <v>jít (v-w1339f42)</v>
      </c>
    </row>
    <row r="10884" spans="1:3" x14ac:dyDescent="0.2">
      <c r="B10884" t="s">
        <v>1</v>
      </c>
    </row>
    <row r="10885" spans="1:3" x14ac:dyDescent="0.2">
      <c r="B10885" t="s">
        <v>2606</v>
      </c>
    </row>
    <row r="10886" spans="1:3" x14ac:dyDescent="0.2">
      <c r="B10886" t="s">
        <v>411</v>
      </c>
    </row>
    <row r="10888" spans="1:3" x14ac:dyDescent="0.2">
      <c r="A10888" t="s">
        <v>3837</v>
      </c>
      <c r="B10888" t="str">
        <f>HYPERLINK("https://lindat.mff.cuni.cz/services/teitok/pdtc10/index.php?action=vallex&amp;frame=v-w1339f29", "jít (v-w1339f29)")</f>
        <v>jít (v-w1339f29)</v>
      </c>
    </row>
    <row r="10889" spans="1:3" x14ac:dyDescent="0.2">
      <c r="B10889" t="s">
        <v>1</v>
      </c>
      <c r="C10889" t="s">
        <v>3838</v>
      </c>
    </row>
    <row r="10890" spans="1:3" x14ac:dyDescent="0.2">
      <c r="B10890" t="s">
        <v>3839</v>
      </c>
    </row>
    <row r="10891" spans="1:3" x14ac:dyDescent="0.2">
      <c r="B10891" t="s">
        <v>103</v>
      </c>
      <c r="C10891" t="s">
        <v>23</v>
      </c>
    </row>
    <row r="10893" spans="1:3" x14ac:dyDescent="0.2">
      <c r="A10893" t="s">
        <v>3840</v>
      </c>
      <c r="B10893" t="str">
        <f>HYPERLINK("https://lindat.mff.cuni.cz/services/teitok/pdtc10/index.php?action=vallex&amp;frame=v-w1339f31", "jít (v-w1339f31)")</f>
        <v>jít (v-w1339f31)</v>
      </c>
    </row>
    <row r="10894" spans="1:3" x14ac:dyDescent="0.2">
      <c r="B10894" t="s">
        <v>1</v>
      </c>
    </row>
    <row r="10895" spans="1:3" x14ac:dyDescent="0.2">
      <c r="B10895" t="s">
        <v>3841</v>
      </c>
    </row>
    <row r="10896" spans="1:3" x14ac:dyDescent="0.2">
      <c r="B10896" t="s">
        <v>103</v>
      </c>
    </row>
    <row r="10898" spans="1:4" x14ac:dyDescent="0.2">
      <c r="A10898" t="s">
        <v>3842</v>
      </c>
      <c r="B10898" t="str">
        <f>HYPERLINK("https://lindat.mff.cuni.cz/services/teitok/pdtc10/index.php?action=vallex&amp;frame=v-w1339f32", "jít (v-w1339f32)")</f>
        <v>jít (v-w1339f32)</v>
      </c>
    </row>
    <row r="10899" spans="1:4" x14ac:dyDescent="0.2">
      <c r="B10899" t="s">
        <v>1</v>
      </c>
    </row>
    <row r="10900" spans="1:4" x14ac:dyDescent="0.2">
      <c r="B10900" t="s">
        <v>3843</v>
      </c>
    </row>
    <row r="10901" spans="1:4" x14ac:dyDescent="0.2">
      <c r="B10901" t="s">
        <v>103</v>
      </c>
    </row>
    <row r="10903" spans="1:4" x14ac:dyDescent="0.2">
      <c r="A10903" t="s">
        <v>3844</v>
      </c>
      <c r="B10903" t="str">
        <f>HYPERLINK("https://lindat.mff.cuni.cz/services/teitok/pdtc10/index.php?action=vallex&amp;frame=v-w1339f60_ZU", "jít (v-w1339f60_ZU)")</f>
        <v>jít (v-w1339f60_ZU)</v>
      </c>
    </row>
    <row r="10904" spans="1:4" x14ac:dyDescent="0.2">
      <c r="B10904" t="s">
        <v>1</v>
      </c>
    </row>
    <row r="10905" spans="1:4" x14ac:dyDescent="0.2">
      <c r="B10905" t="s">
        <v>3845</v>
      </c>
      <c r="D10905" t="s">
        <v>23033</v>
      </c>
    </row>
    <row r="10906" spans="1:4" x14ac:dyDescent="0.2">
      <c r="B10906" t="s">
        <v>411</v>
      </c>
      <c r="D10906" t="s">
        <v>23391</v>
      </c>
    </row>
    <row r="10908" spans="1:4" x14ac:dyDescent="0.2">
      <c r="A10908" t="s">
        <v>3844</v>
      </c>
      <c r="B10908" t="str">
        <f>HYPERLINK("https://lindat.mff.cuni.cz/services/teitok/pdtc10/index.php?action=vallex&amp;frame=v-w1339f38", "jít (v-w1339f38) - substituted with v-w1339f60_ZU")</f>
        <v>jít (v-w1339f38) - substituted with v-w1339f60_ZU</v>
      </c>
    </row>
    <row r="10909" spans="1:4" x14ac:dyDescent="0.2">
      <c r="B10909" t="s">
        <v>1</v>
      </c>
      <c r="C10909" t="s">
        <v>3846</v>
      </c>
    </row>
    <row r="10910" spans="1:4" x14ac:dyDescent="0.2">
      <c r="B10910" t="s">
        <v>3845</v>
      </c>
      <c r="C10910" t="s">
        <v>552</v>
      </c>
    </row>
    <row r="10911" spans="1:4" x14ac:dyDescent="0.2">
      <c r="B10911" t="s">
        <v>411</v>
      </c>
    </row>
    <row r="10913" spans="1:3" x14ac:dyDescent="0.2">
      <c r="A10913" t="s">
        <v>3847</v>
      </c>
      <c r="B10913" t="str">
        <f>HYPERLINK("https://lindat.mff.cuni.cz/services/teitok/pdtc10/index.php?action=vallex&amp;frame=v-w1339f39", "jít (v-w1339f39)")</f>
        <v>jít (v-w1339f39)</v>
      </c>
    </row>
    <row r="10914" spans="1:3" x14ac:dyDescent="0.2">
      <c r="B10914" t="s">
        <v>1</v>
      </c>
    </row>
    <row r="10915" spans="1:3" x14ac:dyDescent="0.2">
      <c r="B10915" t="s">
        <v>3848</v>
      </c>
    </row>
    <row r="10916" spans="1:3" x14ac:dyDescent="0.2">
      <c r="B10916" t="s">
        <v>90</v>
      </c>
    </row>
    <row r="10918" spans="1:3" x14ac:dyDescent="0.2">
      <c r="A10918" t="s">
        <v>3849</v>
      </c>
      <c r="B10918" t="str">
        <f>HYPERLINK("https://lindat.mff.cuni.cz/services/teitok/pdtc10/index.php?action=vallex&amp;frame=v-w1339f11", "jít (v-w1339f11)")</f>
        <v>jít (v-w1339f11)</v>
      </c>
    </row>
    <row r="10919" spans="1:3" x14ac:dyDescent="0.2">
      <c r="B10919" t="s">
        <v>1</v>
      </c>
      <c r="C10919" t="s">
        <v>3850</v>
      </c>
    </row>
    <row r="10920" spans="1:3" x14ac:dyDescent="0.2">
      <c r="B10920" t="s">
        <v>1597</v>
      </c>
    </row>
    <row r="10922" spans="1:3" x14ac:dyDescent="0.2">
      <c r="A10922" t="s">
        <v>3851</v>
      </c>
      <c r="B10922" t="str">
        <f>HYPERLINK("https://lindat.mff.cuni.cz/services/teitok/pdtc10/index.php?action=vallex&amp;frame=v-w1339f41", "jít (v-w1339f41)")</f>
        <v>jít (v-w1339f41)</v>
      </c>
    </row>
    <row r="10923" spans="1:3" x14ac:dyDescent="0.2">
      <c r="B10923" t="s">
        <v>1</v>
      </c>
    </row>
    <row r="10924" spans="1:3" x14ac:dyDescent="0.2">
      <c r="B10924" t="s">
        <v>3852</v>
      </c>
    </row>
    <row r="10926" spans="1:3" x14ac:dyDescent="0.2">
      <c r="A10926" t="s">
        <v>3853</v>
      </c>
      <c r="B10926" t="str">
        <f>HYPERLINK("https://lindat.mff.cuni.cz/services/teitok/pdtc10/index.php?action=vallex&amp;frame=v-w1339f15", "jít (v-w1339f15)")</f>
        <v>jít (v-w1339f15)</v>
      </c>
    </row>
    <row r="10927" spans="1:3" x14ac:dyDescent="0.2">
      <c r="B10927" t="s">
        <v>1</v>
      </c>
      <c r="C10927" t="s">
        <v>3854</v>
      </c>
    </row>
    <row r="10928" spans="1:3" x14ac:dyDescent="0.2">
      <c r="B10928" t="s">
        <v>3855</v>
      </c>
    </row>
    <row r="10930" spans="1:3" x14ac:dyDescent="0.2">
      <c r="A10930" t="s">
        <v>3856</v>
      </c>
      <c r="B10930" t="str">
        <f>HYPERLINK("https://lindat.mff.cuni.cz/services/teitok/pdtc10/index.php?action=vallex&amp;frame=v-w1339f27", "jít (v-w1339f27)")</f>
        <v>jít (v-w1339f27)</v>
      </c>
    </row>
    <row r="10931" spans="1:3" x14ac:dyDescent="0.2">
      <c r="B10931" t="s">
        <v>1</v>
      </c>
    </row>
    <row r="10932" spans="1:3" x14ac:dyDescent="0.2">
      <c r="B10932" t="s">
        <v>3857</v>
      </c>
    </row>
    <row r="10934" spans="1:3" x14ac:dyDescent="0.2">
      <c r="A10934" t="s">
        <v>3858</v>
      </c>
      <c r="B10934" t="str">
        <f>HYPERLINK("https://lindat.mff.cuni.cz/services/teitok/pdtc10/index.php?action=vallex&amp;frame=v-w1339f48", "jít (v-w1339f48)")</f>
        <v>jít (v-w1339f48)</v>
      </c>
    </row>
    <row r="10935" spans="1:3" x14ac:dyDescent="0.2">
      <c r="B10935" t="s">
        <v>1</v>
      </c>
    </row>
    <row r="10936" spans="1:3" x14ac:dyDescent="0.2">
      <c r="B10936" t="s">
        <v>3859</v>
      </c>
    </row>
    <row r="10938" spans="1:3" x14ac:dyDescent="0.2">
      <c r="A10938" t="s">
        <v>3860</v>
      </c>
      <c r="B10938" t="str">
        <f>HYPERLINK("https://lindat.mff.cuni.cz/services/teitok/pdtc10/index.php?action=vallex&amp;frame=v-w1339f58_ZU", "jít (v-w1339f58_ZU)")</f>
        <v>jít (v-w1339f58_ZU)</v>
      </c>
    </row>
    <row r="10939" spans="1:3" x14ac:dyDescent="0.2">
      <c r="B10939" t="s">
        <v>1</v>
      </c>
      <c r="C10939" t="s">
        <v>2008</v>
      </c>
    </row>
    <row r="10940" spans="1:3" x14ac:dyDescent="0.2">
      <c r="B10940" t="s">
        <v>3861</v>
      </c>
    </row>
    <row r="10941" spans="1:3" x14ac:dyDescent="0.2">
      <c r="B10941" t="s">
        <v>411</v>
      </c>
      <c r="C10941" t="s">
        <v>1301</v>
      </c>
    </row>
    <row r="10943" spans="1:3" x14ac:dyDescent="0.2">
      <c r="A10943" t="s">
        <v>3860</v>
      </c>
      <c r="B10943" t="str">
        <f>HYPERLINK("https://lindat.mff.cuni.cz/services/teitok/pdtc10/index.php?action=vallex&amp;frame=v-w1339f21", "jít (v-w1339f21) - substituted with v-w1339f58_ZU")</f>
        <v>jít (v-w1339f21) - substituted with v-w1339f58_ZU</v>
      </c>
    </row>
    <row r="10944" spans="1:3" x14ac:dyDescent="0.2">
      <c r="B10944" t="s">
        <v>1</v>
      </c>
    </row>
    <row r="10945" spans="1:3" x14ac:dyDescent="0.2">
      <c r="B10945" t="s">
        <v>3861</v>
      </c>
    </row>
    <row r="10946" spans="1:3" x14ac:dyDescent="0.2">
      <c r="B10946" t="s">
        <v>411</v>
      </c>
    </row>
    <row r="10948" spans="1:3" x14ac:dyDescent="0.2">
      <c r="A10948" t="s">
        <v>3862</v>
      </c>
      <c r="B10948" t="str">
        <f>HYPERLINK("https://lindat.mff.cuni.cz/services/teitok/pdtc10/index.php?action=vallex&amp;frame=v-w1339f44", "jít (v-w1339f44)")</f>
        <v>jít (v-w1339f44)</v>
      </c>
    </row>
    <row r="10949" spans="1:3" x14ac:dyDescent="0.2">
      <c r="B10949" t="s">
        <v>1</v>
      </c>
    </row>
    <row r="10950" spans="1:3" x14ac:dyDescent="0.2">
      <c r="B10950" t="s">
        <v>3863</v>
      </c>
    </row>
    <row r="10952" spans="1:3" x14ac:dyDescent="0.2">
      <c r="A10952" t="s">
        <v>3864</v>
      </c>
      <c r="B10952" t="str">
        <f>HYPERLINK("https://lindat.mff.cuni.cz/services/teitok/pdtc10/index.php?action=vallex&amp;frame=v-w1339f51_ZU", "jít (v-w1339f51_ZU)")</f>
        <v>jít (v-w1339f51_ZU)</v>
      </c>
    </row>
    <row r="10953" spans="1:3" x14ac:dyDescent="0.2">
      <c r="B10953" t="s">
        <v>1</v>
      </c>
    </row>
    <row r="10954" spans="1:3" x14ac:dyDescent="0.2">
      <c r="B10954" t="s">
        <v>3865</v>
      </c>
      <c r="C10954" t="s">
        <v>3062</v>
      </c>
    </row>
    <row r="10956" spans="1:3" x14ac:dyDescent="0.2">
      <c r="A10956" t="s">
        <v>3866</v>
      </c>
      <c r="B10956" t="str">
        <f>HYPERLINK("https://lindat.mff.cuni.cz/services/teitok/pdtc10/index.php?action=vallex&amp;frame=v-w1339f16", "jít (v-w1339f16)")</f>
        <v>jít (v-w1339f16)</v>
      </c>
    </row>
    <row r="10957" spans="1:3" x14ac:dyDescent="0.2">
      <c r="B10957" t="s">
        <v>3867</v>
      </c>
      <c r="C10957" t="s">
        <v>3868</v>
      </c>
    </row>
    <row r="10959" spans="1:3" x14ac:dyDescent="0.2">
      <c r="A10959" t="s">
        <v>3869</v>
      </c>
      <c r="B10959" t="str">
        <f>HYPERLINK("https://lindat.mff.cuni.cz/services/teitok/pdtc10/index.php?action=vallex&amp;frame=v-w1339f37", "jít (v-w1339f37)")</f>
        <v>jít (v-w1339f37)</v>
      </c>
    </row>
    <row r="10960" spans="1:3" x14ac:dyDescent="0.2">
      <c r="B10960" t="s">
        <v>3870</v>
      </c>
    </row>
    <row r="10962" spans="1:4" x14ac:dyDescent="0.2">
      <c r="A10962" t="s">
        <v>3871</v>
      </c>
      <c r="B10962" t="str">
        <f>HYPERLINK("https://lindat.mff.cuni.cz/services/teitok/pdtc10/index.php?action=vallex&amp;frame=v-w1339f59_ZU", "jít (v-w1339f59_ZU)")</f>
        <v>jít (v-w1339f59_ZU)</v>
      </c>
    </row>
    <row r="10963" spans="1:4" x14ac:dyDescent="0.2">
      <c r="B10963" t="s">
        <v>1</v>
      </c>
    </row>
    <row r="10964" spans="1:4" x14ac:dyDescent="0.2">
      <c r="B10964" t="s">
        <v>411</v>
      </c>
    </row>
    <row r="10966" spans="1:4" x14ac:dyDescent="0.2">
      <c r="A10966" t="s">
        <v>3871</v>
      </c>
      <c r="B10966" t="str">
        <f>HYPERLINK("https://lindat.mff.cuni.cz/services/teitok/pdtc10/index.php?action=vallex&amp;frame=v-w1339hsa_478", "jít (v-w1339hsa_478) - substituted with v-w1339f59_ZU")</f>
        <v>jít (v-w1339hsa_478) - substituted with v-w1339f59_ZU</v>
      </c>
    </row>
    <row r="10967" spans="1:4" x14ac:dyDescent="0.2">
      <c r="B10967" t="s">
        <v>1</v>
      </c>
    </row>
    <row r="10968" spans="1:4" x14ac:dyDescent="0.2">
      <c r="B10968" t="s">
        <v>411</v>
      </c>
    </row>
    <row r="10970" spans="1:4" x14ac:dyDescent="0.2">
      <c r="A10970" t="s">
        <v>3872</v>
      </c>
      <c r="B10970" t="str">
        <f>HYPERLINK("https://lindat.mff.cuni.cz/services/teitok/pdtc10/index.php?action=vallex&amp;frame=v-w1339hsa_479", "jít (v-w1339hsa_479)")</f>
        <v>jít (v-w1339hsa_479)</v>
      </c>
    </row>
    <row r="10971" spans="1:4" x14ac:dyDescent="0.2">
      <c r="B10971" t="s">
        <v>1</v>
      </c>
      <c r="D10971" t="s">
        <v>23392</v>
      </c>
    </row>
    <row r="10972" spans="1:4" x14ac:dyDescent="0.2">
      <c r="B10972" t="s">
        <v>46</v>
      </c>
      <c r="D10972" t="s">
        <v>23393</v>
      </c>
    </row>
    <row r="10973" spans="1:4" x14ac:dyDescent="0.2">
      <c r="B10973" t="s">
        <v>24</v>
      </c>
      <c r="D10973" t="s">
        <v>23394</v>
      </c>
    </row>
    <row r="10975" spans="1:4" x14ac:dyDescent="0.2">
      <c r="A10975" t="s">
        <v>3873</v>
      </c>
      <c r="B10975" t="str">
        <f>HYPERLINK("https://lindat.mff.cuni.cz/services/teitok/pdtc10/index.php?action=vallex&amp;frame=v-w1339f54_ZU", "jít (v-w1339f54_ZU)")</f>
        <v>jít (v-w1339f54_ZU)</v>
      </c>
    </row>
    <row r="10976" spans="1:4" x14ac:dyDescent="0.2">
      <c r="B10976" t="s">
        <v>1</v>
      </c>
    </row>
    <row r="10977" spans="1:2" x14ac:dyDescent="0.2">
      <c r="B10977" t="s">
        <v>3874</v>
      </c>
    </row>
    <row r="10979" spans="1:2" x14ac:dyDescent="0.2">
      <c r="A10979" t="s">
        <v>3873</v>
      </c>
      <c r="B10979" t="str">
        <f>HYPERLINK("https://lindat.mff.cuni.cz/services/teitok/pdtc10/index.php?action=vallex&amp;frame=v-w1339hsa_480", "jít (v-w1339hsa_480) - substituted with v-w1339f54_ZU")</f>
        <v>jít (v-w1339hsa_480) - substituted with v-w1339f54_ZU</v>
      </c>
    </row>
    <row r="10980" spans="1:2" x14ac:dyDescent="0.2">
      <c r="B10980" t="s">
        <v>1</v>
      </c>
    </row>
    <row r="10981" spans="1:2" x14ac:dyDescent="0.2">
      <c r="B10981" t="s">
        <v>3874</v>
      </c>
    </row>
    <row r="10983" spans="1:2" x14ac:dyDescent="0.2">
      <c r="A10983" t="s">
        <v>3875</v>
      </c>
      <c r="B10983" t="str">
        <f>HYPERLINK("https://lindat.mff.cuni.cz/services/teitok/pdtc10/index.php?action=vallex&amp;frame=v-w1339f53_ZU", "jít (v-w1339f53_ZU)")</f>
        <v>jít (v-w1339f53_ZU)</v>
      </c>
    </row>
    <row r="10984" spans="1:2" x14ac:dyDescent="0.2">
      <c r="B10984" t="s">
        <v>1</v>
      </c>
    </row>
    <row r="10985" spans="1:2" x14ac:dyDescent="0.2">
      <c r="B10985" t="s">
        <v>3876</v>
      </c>
    </row>
    <row r="10987" spans="1:2" x14ac:dyDescent="0.2">
      <c r="A10987" t="s">
        <v>3875</v>
      </c>
      <c r="B10987" t="str">
        <f>HYPERLINK("https://lindat.mff.cuni.cz/services/teitok/pdtc10/index.php?action=vallex&amp;frame=v-w1339hsa_481", "jít (v-w1339hsa_481) - substituted with v-w1339f53_ZU")</f>
        <v>jít (v-w1339hsa_481) - substituted with v-w1339f53_ZU</v>
      </c>
    </row>
    <row r="10988" spans="1:2" x14ac:dyDescent="0.2">
      <c r="B10988" t="s">
        <v>1</v>
      </c>
    </row>
    <row r="10989" spans="1:2" x14ac:dyDescent="0.2">
      <c r="B10989" t="s">
        <v>3876</v>
      </c>
    </row>
    <row r="10991" spans="1:2" x14ac:dyDescent="0.2">
      <c r="A10991" t="s">
        <v>3877</v>
      </c>
      <c r="B10991" t="str">
        <f>HYPERLINK("https://lindat.mff.cuni.cz/services/teitok/pdtc10/index.php?action=vallex&amp;frame=v-w1339f55_ZU", "jít (v-w1339f55_ZU)")</f>
        <v>jít (v-w1339f55_ZU)</v>
      </c>
    </row>
    <row r="10992" spans="1:2" x14ac:dyDescent="0.2">
      <c r="B10992" t="s">
        <v>1</v>
      </c>
    </row>
    <row r="10993" spans="1:2" x14ac:dyDescent="0.2">
      <c r="B10993" t="s">
        <v>3878</v>
      </c>
    </row>
    <row r="10995" spans="1:2" x14ac:dyDescent="0.2">
      <c r="A10995" t="s">
        <v>3877</v>
      </c>
      <c r="B10995" t="str">
        <f>HYPERLINK("https://lindat.mff.cuni.cz/services/teitok/pdtc10/index.php?action=vallex&amp;frame=v-w1339hsa_482", "jít (v-w1339hsa_482) - substituted with v-w1339f55_ZU")</f>
        <v>jít (v-w1339hsa_482) - substituted with v-w1339f55_ZU</v>
      </c>
    </row>
    <row r="10996" spans="1:2" x14ac:dyDescent="0.2">
      <c r="B10996" t="s">
        <v>1</v>
      </c>
    </row>
    <row r="10997" spans="1:2" x14ac:dyDescent="0.2">
      <c r="B10997" t="s">
        <v>3878</v>
      </c>
    </row>
    <row r="10999" spans="1:2" x14ac:dyDescent="0.2">
      <c r="A10999" t="s">
        <v>3879</v>
      </c>
      <c r="B10999" t="str">
        <f>HYPERLINK("https://lindat.mff.cuni.cz/services/teitok/pdtc10/index.php?action=vallex&amp;frame=v-w1339f56_ZU", "jít (v-w1339f56_ZU)")</f>
        <v>jít (v-w1339f56_ZU)</v>
      </c>
    </row>
    <row r="11000" spans="1:2" x14ac:dyDescent="0.2">
      <c r="B11000" t="s">
        <v>1</v>
      </c>
    </row>
    <row r="11001" spans="1:2" x14ac:dyDescent="0.2">
      <c r="B11001" t="s">
        <v>874</v>
      </c>
    </row>
    <row r="11002" spans="1:2" x14ac:dyDescent="0.2">
      <c r="B11002" t="s">
        <v>103</v>
      </c>
    </row>
    <row r="11004" spans="1:2" x14ac:dyDescent="0.2">
      <c r="A11004" t="s">
        <v>3879</v>
      </c>
      <c r="B11004" t="str">
        <f>HYPERLINK("https://lindat.mff.cuni.cz/services/teitok/pdtc10/index.php?action=vallex&amp;frame=v-w1339hsa_483", "jít (v-w1339hsa_483) - substituted with v-w1339f56_ZU")</f>
        <v>jít (v-w1339hsa_483) - substituted with v-w1339f56_ZU</v>
      </c>
    </row>
    <row r="11005" spans="1:2" x14ac:dyDescent="0.2">
      <c r="B11005" t="s">
        <v>1</v>
      </c>
    </row>
    <row r="11006" spans="1:2" x14ac:dyDescent="0.2">
      <c r="B11006" t="s">
        <v>874</v>
      </c>
    </row>
    <row r="11007" spans="1:2" x14ac:dyDescent="0.2">
      <c r="B11007" t="s">
        <v>103</v>
      </c>
    </row>
    <row r="11009" spans="1:3" x14ac:dyDescent="0.2">
      <c r="A11009" t="s">
        <v>3880</v>
      </c>
      <c r="B11009" t="str">
        <f>HYPERLINK("https://lindat.mff.cuni.cz/services/teitok/pdtc10/index.php?action=vallex&amp;frame=v-w1339f52_ZU", "jít (v-w1339f52_ZU)")</f>
        <v>jít (v-w1339f52_ZU)</v>
      </c>
    </row>
    <row r="11010" spans="1:3" x14ac:dyDescent="0.2">
      <c r="B11010" t="s">
        <v>1</v>
      </c>
      <c r="C11010" t="s">
        <v>3824</v>
      </c>
    </row>
    <row r="11011" spans="1:3" x14ac:dyDescent="0.2">
      <c r="B11011" t="s">
        <v>3881</v>
      </c>
    </row>
    <row r="11013" spans="1:3" x14ac:dyDescent="0.2">
      <c r="A11013" t="s">
        <v>3880</v>
      </c>
      <c r="B11013" t="str">
        <f>HYPERLINK("https://lindat.mff.cuni.cz/services/teitok/pdtc10/index.php?action=vallex&amp;frame=v-w1339hsa_484", "jít (v-w1339hsa_484) - substituted with v-w1339f52_ZU")</f>
        <v>jít (v-w1339hsa_484) - substituted with v-w1339f52_ZU</v>
      </c>
    </row>
    <row r="11014" spans="1:3" x14ac:dyDescent="0.2">
      <c r="B11014" t="s">
        <v>1</v>
      </c>
    </row>
    <row r="11015" spans="1:3" x14ac:dyDescent="0.2">
      <c r="B11015" t="s">
        <v>3881</v>
      </c>
    </row>
    <row r="11017" spans="1:3" x14ac:dyDescent="0.2">
      <c r="A11017" t="s">
        <v>3882</v>
      </c>
      <c r="B11017" t="str">
        <f>HYPERLINK("https://lindat.mff.cuni.cz/services/teitok/pdtc10/index.php?action=vallex&amp;frame=v-w1339f57_ZU", "jít (v-w1339f57_ZU)")</f>
        <v>jít (v-w1339f57_ZU)</v>
      </c>
    </row>
    <row r="11018" spans="1:3" x14ac:dyDescent="0.2">
      <c r="B11018" t="s">
        <v>1</v>
      </c>
    </row>
    <row r="11019" spans="1:3" x14ac:dyDescent="0.2">
      <c r="B11019" t="s">
        <v>3883</v>
      </c>
    </row>
    <row r="11020" spans="1:3" x14ac:dyDescent="0.2">
      <c r="B11020" t="s">
        <v>103</v>
      </c>
    </row>
    <row r="11022" spans="1:3" x14ac:dyDescent="0.2">
      <c r="A11022" t="s">
        <v>3882</v>
      </c>
      <c r="B11022" t="str">
        <f>HYPERLINK("https://lindat.mff.cuni.cz/services/teitok/pdtc10/index.php?action=vallex&amp;frame=v-w1339hsa_485", "jít (v-w1339hsa_485) - substituted with v-w1339f57_ZU")</f>
        <v>jít (v-w1339hsa_485) - substituted with v-w1339f57_ZU</v>
      </c>
    </row>
    <row r="11023" spans="1:3" x14ac:dyDescent="0.2">
      <c r="B11023" t="s">
        <v>1</v>
      </c>
    </row>
    <row r="11024" spans="1:3" x14ac:dyDescent="0.2">
      <c r="B11024" t="s">
        <v>3883</v>
      </c>
    </row>
    <row r="11025" spans="1:2" x14ac:dyDescent="0.2">
      <c r="B11025" t="s">
        <v>103</v>
      </c>
    </row>
    <row r="11027" spans="1:2" x14ac:dyDescent="0.2">
      <c r="A11027" t="s">
        <v>3884</v>
      </c>
      <c r="B11027" t="str">
        <f>HYPERLINK("https://lindat.mff.cuni.cz/services/teitok/pdtc10/index.php?action=vallex&amp;frame=v-w1339f61_ZU", "jít (v-w1339f61_ZU)")</f>
        <v>jít (v-w1339f61_ZU)</v>
      </c>
    </row>
    <row r="11028" spans="1:2" x14ac:dyDescent="0.2">
      <c r="B11028" t="s">
        <v>1</v>
      </c>
    </row>
    <row r="11029" spans="1:2" x14ac:dyDescent="0.2">
      <c r="B11029" t="s">
        <v>176</v>
      </c>
    </row>
    <row r="11031" spans="1:2" x14ac:dyDescent="0.2">
      <c r="A11031" t="s">
        <v>3884</v>
      </c>
      <c r="B11031" t="str">
        <f>HYPERLINK("https://lindat.mff.cuni.cz/services/teitok/pdtc10/index.php?action=vallex&amp;frame=v-w1339hsa_401", "jít (v-w1339hsa_401) - substituted with v-w1339f61_ZU")</f>
        <v>jít (v-w1339hsa_401) - substituted with v-w1339f61_ZU</v>
      </c>
    </row>
    <row r="11032" spans="1:2" x14ac:dyDescent="0.2">
      <c r="B11032" t="s">
        <v>1</v>
      </c>
    </row>
    <row r="11033" spans="1:2" x14ac:dyDescent="0.2">
      <c r="B11033" t="s">
        <v>176</v>
      </c>
    </row>
    <row r="11035" spans="1:2" x14ac:dyDescent="0.2">
      <c r="A11035" t="s">
        <v>3885</v>
      </c>
      <c r="B11035" t="str">
        <f>HYPERLINK("https://lindat.mff.cuni.cz/services/teitok/pdtc10/index.php?action=vallex&amp;frame=v-w1339f62_ZU", "jít (v-w1339f62_ZU)")</f>
        <v>jít (v-w1339f62_ZU)</v>
      </c>
    </row>
    <row r="11036" spans="1:2" x14ac:dyDescent="0.2">
      <c r="B11036" t="s">
        <v>1</v>
      </c>
    </row>
    <row r="11037" spans="1:2" x14ac:dyDescent="0.2">
      <c r="B11037" t="s">
        <v>3876</v>
      </c>
    </row>
    <row r="11039" spans="1:2" x14ac:dyDescent="0.2">
      <c r="A11039" t="s">
        <v>3885</v>
      </c>
      <c r="B11039" t="str">
        <f>HYPERLINK("https://lindat.mff.cuni.cz/services/teitok/pdtc10/index.php?action=vallex&amp;frame=v-w1339hsa_405", "jít (v-w1339hsa_405) - substituted with v-w1339f62_ZU")</f>
        <v>jít (v-w1339hsa_405) - substituted with v-w1339f62_ZU</v>
      </c>
    </row>
    <row r="11040" spans="1:2" x14ac:dyDescent="0.2">
      <c r="B11040" t="s">
        <v>1</v>
      </c>
    </row>
    <row r="11041" spans="1:2" x14ac:dyDescent="0.2">
      <c r="B11041" t="s">
        <v>3876</v>
      </c>
    </row>
    <row r="11043" spans="1:2" x14ac:dyDescent="0.2">
      <c r="A11043" t="s">
        <v>3886</v>
      </c>
      <c r="B11043" t="str">
        <f>HYPERLINK("https://lindat.mff.cuni.cz/services/teitok/pdtc10/index.php?action=vallex&amp;frame=v-w1339f63_ZU", "jít (v-w1339f63_ZU)")</f>
        <v>jít (v-w1339f63_ZU)</v>
      </c>
    </row>
    <row r="11044" spans="1:2" x14ac:dyDescent="0.2">
      <c r="B11044" t="s">
        <v>1</v>
      </c>
    </row>
    <row r="11045" spans="1:2" x14ac:dyDescent="0.2">
      <c r="B11045" t="s">
        <v>3887</v>
      </c>
    </row>
    <row r="11047" spans="1:2" x14ac:dyDescent="0.2">
      <c r="A11047" t="s">
        <v>3886</v>
      </c>
      <c r="B11047" t="str">
        <f>HYPERLINK("https://lindat.mff.cuni.cz/services/teitok/pdtc10/index.php?action=vallex&amp;frame=v-w1339hsa_406", "jít (v-w1339hsa_406) - substituted with v-w1339f63_ZU")</f>
        <v>jít (v-w1339hsa_406) - substituted with v-w1339f63_ZU</v>
      </c>
    </row>
    <row r="11048" spans="1:2" x14ac:dyDescent="0.2">
      <c r="B11048" t="s">
        <v>1</v>
      </c>
    </row>
    <row r="11049" spans="1:2" x14ac:dyDescent="0.2">
      <c r="B11049" t="s">
        <v>3887</v>
      </c>
    </row>
    <row r="11051" spans="1:2" x14ac:dyDescent="0.2">
      <c r="A11051" t="s">
        <v>3888</v>
      </c>
      <c r="B11051" t="str">
        <f>HYPERLINK("https://lindat.mff.cuni.cz/services/teitok/pdtc10/index.php?action=vallex&amp;frame=v-w1339f64_ZU", "jít (v-w1339f64_ZU)")</f>
        <v>jít (v-w1339f64_ZU)</v>
      </c>
    </row>
    <row r="11052" spans="1:2" x14ac:dyDescent="0.2">
      <c r="B11052" t="s">
        <v>1</v>
      </c>
    </row>
    <row r="11053" spans="1:2" x14ac:dyDescent="0.2">
      <c r="B11053" t="s">
        <v>3889</v>
      </c>
    </row>
    <row r="11055" spans="1:2" x14ac:dyDescent="0.2">
      <c r="A11055" t="s">
        <v>3888</v>
      </c>
      <c r="B11055" t="str">
        <f>HYPERLINK("https://lindat.mff.cuni.cz/services/teitok/pdtc10/index.php?action=vallex&amp;frame=v-w1339hsa_407", "jít (v-w1339hsa_407) - substituted with v-w1339f64_ZU")</f>
        <v>jít (v-w1339hsa_407) - substituted with v-w1339f64_ZU</v>
      </c>
    </row>
    <row r="11056" spans="1:2" x14ac:dyDescent="0.2">
      <c r="B11056" t="s">
        <v>1</v>
      </c>
    </row>
    <row r="11057" spans="1:2" x14ac:dyDescent="0.2">
      <c r="B11057" t="s">
        <v>3889</v>
      </c>
    </row>
    <row r="11059" spans="1:2" x14ac:dyDescent="0.2">
      <c r="A11059" t="s">
        <v>3890</v>
      </c>
      <c r="B11059" t="str">
        <f>HYPERLINK("https://lindat.mff.cuni.cz/services/teitok/pdtc10/index.php?action=vallex&amp;frame=v-w1339f65_ZU", "jít (v-w1339f65_ZU)")</f>
        <v>jít (v-w1339f65_ZU)</v>
      </c>
    </row>
    <row r="11060" spans="1:2" x14ac:dyDescent="0.2">
      <c r="B11060" t="s">
        <v>1</v>
      </c>
    </row>
    <row r="11061" spans="1:2" x14ac:dyDescent="0.2">
      <c r="B11061" t="s">
        <v>3891</v>
      </c>
    </row>
    <row r="11062" spans="1:2" x14ac:dyDescent="0.2">
      <c r="B11062" t="s">
        <v>103</v>
      </c>
    </row>
    <row r="11064" spans="1:2" x14ac:dyDescent="0.2">
      <c r="A11064" t="s">
        <v>3890</v>
      </c>
      <c r="B11064" t="str">
        <f>HYPERLINK("https://lindat.mff.cuni.cz/services/teitok/pdtc10/index.php?action=vallex&amp;frame=v-w1339hsa_408", "jít (v-w1339hsa_408) - substituted with v-w1339f65_ZU")</f>
        <v>jít (v-w1339hsa_408) - substituted with v-w1339f65_ZU</v>
      </c>
    </row>
    <row r="11065" spans="1:2" x14ac:dyDescent="0.2">
      <c r="B11065" t="s">
        <v>1</v>
      </c>
    </row>
    <row r="11066" spans="1:2" x14ac:dyDescent="0.2">
      <c r="B11066" t="s">
        <v>3891</v>
      </c>
    </row>
    <row r="11067" spans="1:2" x14ac:dyDescent="0.2">
      <c r="B11067" t="s">
        <v>103</v>
      </c>
    </row>
    <row r="11069" spans="1:2" x14ac:dyDescent="0.2">
      <c r="A11069" t="s">
        <v>3892</v>
      </c>
      <c r="B11069" t="str">
        <f>HYPERLINK("https://lindat.mff.cuni.cz/services/teitok/pdtc10/index.php?action=vallex&amp;frame=v-w1339f66_ZU", "jít (v-w1339f66_ZU)")</f>
        <v>jít (v-w1339f66_ZU)</v>
      </c>
    </row>
    <row r="11070" spans="1:2" x14ac:dyDescent="0.2">
      <c r="B11070" t="s">
        <v>1</v>
      </c>
    </row>
    <row r="11071" spans="1:2" x14ac:dyDescent="0.2">
      <c r="B11071" t="s">
        <v>3893</v>
      </c>
    </row>
    <row r="11073" spans="1:2" x14ac:dyDescent="0.2">
      <c r="A11073" t="s">
        <v>3892</v>
      </c>
      <c r="B11073" t="str">
        <f>HYPERLINK("https://lindat.mff.cuni.cz/services/teitok/pdtc10/index.php?action=vallex&amp;frame=v-w1339hsa_411", "jít (v-w1339hsa_411) - substituted with v-w1339f66_ZU")</f>
        <v>jít (v-w1339hsa_411) - substituted with v-w1339f66_ZU</v>
      </c>
    </row>
    <row r="11074" spans="1:2" x14ac:dyDescent="0.2">
      <c r="B11074" t="s">
        <v>1</v>
      </c>
    </row>
    <row r="11075" spans="1:2" x14ac:dyDescent="0.2">
      <c r="B11075" t="s">
        <v>3893</v>
      </c>
    </row>
    <row r="11077" spans="1:2" x14ac:dyDescent="0.2">
      <c r="A11077" t="s">
        <v>3894</v>
      </c>
      <c r="B11077" t="str">
        <f>HYPERLINK("https://lindat.mff.cuni.cz/services/teitok/pdtc10/index.php?action=vallex&amp;frame=v-w1339f67_ZU", "jít (v-w1339f67_ZU)")</f>
        <v>jít (v-w1339f67_ZU)</v>
      </c>
    </row>
    <row r="11078" spans="1:2" x14ac:dyDescent="0.2">
      <c r="B11078" t="s">
        <v>455</v>
      </c>
    </row>
    <row r="11079" spans="1:2" x14ac:dyDescent="0.2">
      <c r="B11079" t="s">
        <v>3895</v>
      </c>
    </row>
    <row r="11081" spans="1:2" x14ac:dyDescent="0.2">
      <c r="A11081" t="s">
        <v>3894</v>
      </c>
      <c r="B11081" t="str">
        <f>HYPERLINK("https://lindat.mff.cuni.cz/services/teitok/pdtc10/index.php?action=vallex&amp;frame=v-w1339hsa_412", "jít (v-w1339hsa_412) - substituted with v-w1339f67_ZU")</f>
        <v>jít (v-w1339hsa_412) - substituted with v-w1339f67_ZU</v>
      </c>
    </row>
    <row r="11082" spans="1:2" x14ac:dyDescent="0.2">
      <c r="B11082" t="s">
        <v>455</v>
      </c>
    </row>
    <row r="11083" spans="1:2" x14ac:dyDescent="0.2">
      <c r="B11083" t="s">
        <v>3895</v>
      </c>
    </row>
    <row r="11085" spans="1:2" x14ac:dyDescent="0.2">
      <c r="A11085" t="s">
        <v>3896</v>
      </c>
      <c r="B11085" t="str">
        <f>HYPERLINK("https://lindat.mff.cuni.cz/services/teitok/pdtc10/index.php?action=vallex&amp;frame=v-w1339f68_ZU", "jít (v-w1339f68_ZU)")</f>
        <v>jít (v-w1339f68_ZU)</v>
      </c>
    </row>
    <row r="11086" spans="1:2" x14ac:dyDescent="0.2">
      <c r="B11086" t="s">
        <v>1</v>
      </c>
    </row>
    <row r="11087" spans="1:2" x14ac:dyDescent="0.2">
      <c r="B11087" t="s">
        <v>3897</v>
      </c>
    </row>
    <row r="11088" spans="1:2" x14ac:dyDescent="0.2">
      <c r="B11088" t="s">
        <v>411</v>
      </c>
    </row>
    <row r="11090" spans="1:2" x14ac:dyDescent="0.2">
      <c r="A11090" t="s">
        <v>3896</v>
      </c>
      <c r="B11090" t="str">
        <f>HYPERLINK("https://lindat.mff.cuni.cz/services/teitok/pdtc10/index.php?action=vallex&amp;frame=v-w1339hsa_409", "jít (v-w1339hsa_409) - substituted with v-w1339f68_ZU")</f>
        <v>jít (v-w1339hsa_409) - substituted with v-w1339f68_ZU</v>
      </c>
    </row>
    <row r="11091" spans="1:2" x14ac:dyDescent="0.2">
      <c r="B11091" t="s">
        <v>1</v>
      </c>
    </row>
    <row r="11092" spans="1:2" x14ac:dyDescent="0.2">
      <c r="B11092" t="s">
        <v>3897</v>
      </c>
    </row>
    <row r="11093" spans="1:2" x14ac:dyDescent="0.2">
      <c r="B11093" t="s">
        <v>411</v>
      </c>
    </row>
    <row r="11095" spans="1:2" x14ac:dyDescent="0.2">
      <c r="A11095" t="s">
        <v>3898</v>
      </c>
      <c r="B11095" t="str">
        <f>HYPERLINK("https://lindat.mff.cuni.cz/services/teitok/pdtc10/index.php?action=vallex&amp;frame=v-w1339f69_ZU", "jít (v-w1339f69_ZU)")</f>
        <v>jít (v-w1339f69_ZU)</v>
      </c>
    </row>
    <row r="11096" spans="1:2" x14ac:dyDescent="0.2">
      <c r="B11096" t="s">
        <v>1</v>
      </c>
    </row>
    <row r="11097" spans="1:2" x14ac:dyDescent="0.2">
      <c r="B11097" t="s">
        <v>3899</v>
      </c>
    </row>
    <row r="11099" spans="1:2" x14ac:dyDescent="0.2">
      <c r="A11099" t="s">
        <v>3898</v>
      </c>
      <c r="B11099" t="str">
        <f>HYPERLINK("https://lindat.mff.cuni.cz/services/teitok/pdtc10/index.php?action=vallex&amp;frame=v-w1339hsa_410", "jít (v-w1339hsa_410) - substituted with v-w1339f69_ZU")</f>
        <v>jít (v-w1339hsa_410) - substituted with v-w1339f69_ZU</v>
      </c>
    </row>
    <row r="11100" spans="1:2" x14ac:dyDescent="0.2">
      <c r="B11100" t="s">
        <v>1</v>
      </c>
    </row>
    <row r="11101" spans="1:2" x14ac:dyDescent="0.2">
      <c r="B11101" t="s">
        <v>3899</v>
      </c>
    </row>
    <row r="11103" spans="1:2" x14ac:dyDescent="0.2">
      <c r="A11103" t="s">
        <v>3900</v>
      </c>
      <c r="B11103" t="str">
        <f>HYPERLINK("https://lindat.mff.cuni.cz/services/teitok/pdtc10/index.php?action=vallex&amp;frame=v-w1339f73_ZU", "jít (v-w1339f73_ZU)")</f>
        <v>jít (v-w1339f73_ZU)</v>
      </c>
    </row>
    <row r="11104" spans="1:2" x14ac:dyDescent="0.2">
      <c r="B11104" t="s">
        <v>1</v>
      </c>
    </row>
    <row r="11105" spans="1:2" x14ac:dyDescent="0.2">
      <c r="B11105" t="s">
        <v>3901</v>
      </c>
    </row>
    <row r="11107" spans="1:2" x14ac:dyDescent="0.2">
      <c r="A11107" t="s">
        <v>3902</v>
      </c>
      <c r="B11107" t="str">
        <f>HYPERLINK("https://lindat.mff.cuni.cz/services/teitok/pdtc10/index.php?action=vallex&amp;frame=v-w1339f74_ZU", "jít (v-w1339f74_ZU)")</f>
        <v>jít (v-w1339f74_ZU)</v>
      </c>
    </row>
    <row r="11108" spans="1:2" x14ac:dyDescent="0.2">
      <c r="B11108" t="s">
        <v>1</v>
      </c>
    </row>
    <row r="11109" spans="1:2" x14ac:dyDescent="0.2">
      <c r="B11109" t="s">
        <v>3903</v>
      </c>
    </row>
    <row r="11110" spans="1:2" x14ac:dyDescent="0.2">
      <c r="B11110" t="s">
        <v>511</v>
      </c>
    </row>
    <row r="11112" spans="1:2" x14ac:dyDescent="0.2">
      <c r="A11112" t="s">
        <v>3904</v>
      </c>
      <c r="B11112" t="str">
        <f>HYPERLINK("https://lindat.mff.cuni.cz/services/teitok/pdtc10/index.php?action=vallex&amp;frame=v-w1339f76_ZU", "jít (v-w1339f76_ZU)")</f>
        <v>jít (v-w1339f76_ZU)</v>
      </c>
    </row>
    <row r="11113" spans="1:2" x14ac:dyDescent="0.2">
      <c r="B11113" t="s">
        <v>1</v>
      </c>
    </row>
    <row r="11114" spans="1:2" x14ac:dyDescent="0.2">
      <c r="B11114" t="s">
        <v>28</v>
      </c>
    </row>
    <row r="11116" spans="1:2" x14ac:dyDescent="0.2">
      <c r="A11116" t="s">
        <v>3905</v>
      </c>
      <c r="B11116" t="str">
        <f>HYPERLINK("https://lindat.mff.cuni.cz/services/teitok/pdtc10/index.php?action=vallex&amp;frame=v-w1339f80_ZU", "jít (v-w1339f80_ZU)")</f>
        <v>jít (v-w1339f80_ZU)</v>
      </c>
    </row>
    <row r="11117" spans="1:2" x14ac:dyDescent="0.2">
      <c r="B11117" t="s">
        <v>1</v>
      </c>
    </row>
    <row r="11118" spans="1:2" x14ac:dyDescent="0.2">
      <c r="B11118" t="s">
        <v>252</v>
      </c>
    </row>
    <row r="11120" spans="1:2" x14ac:dyDescent="0.2">
      <c r="A11120" t="s">
        <v>3905</v>
      </c>
      <c r="B11120" t="str">
        <f>HYPERLINK("https://lindat.mff.cuni.cz/services/teitok/pdtc10/index.php?action=vallex&amp;frame=v-w1339f70_ZU", "jít (v-w1339f70_ZU) - substituted with v-w1339f80_ZU")</f>
        <v>jít (v-w1339f70_ZU) - substituted with v-w1339f80_ZU</v>
      </c>
    </row>
    <row r="11121" spans="1:2" x14ac:dyDescent="0.2">
      <c r="B11121" t="s">
        <v>1</v>
      </c>
    </row>
    <row r="11122" spans="1:2" x14ac:dyDescent="0.2">
      <c r="B11122" t="s">
        <v>252</v>
      </c>
    </row>
    <row r="11124" spans="1:2" x14ac:dyDescent="0.2">
      <c r="A11124" t="s">
        <v>3905</v>
      </c>
      <c r="B11124" t="str">
        <f>HYPERLINK("https://lindat.mff.cuni.cz/services/teitok/pdtc10/index.php?action=vallex&amp;frame=v-w1339f71_ZU", "jít (v-w1339f71_ZU) - substituted with v-w1339f80_ZU")</f>
        <v>jít (v-w1339f71_ZU) - substituted with v-w1339f80_ZU</v>
      </c>
    </row>
    <row r="11125" spans="1:2" x14ac:dyDescent="0.2">
      <c r="B11125" t="s">
        <v>1</v>
      </c>
    </row>
    <row r="11126" spans="1:2" x14ac:dyDescent="0.2">
      <c r="B11126" t="s">
        <v>252</v>
      </c>
    </row>
    <row r="11128" spans="1:2" x14ac:dyDescent="0.2">
      <c r="A11128" t="s">
        <v>3905</v>
      </c>
      <c r="B11128" t="str">
        <f>HYPERLINK("https://lindat.mff.cuni.cz/services/teitok/pdtc10/index.php?action=vallex&amp;frame=v-w1339f78_ZU", "jít (v-w1339f78_ZU) - substituted with v-w1339f80_ZU")</f>
        <v>jít (v-w1339f78_ZU) - substituted with v-w1339f80_ZU</v>
      </c>
    </row>
    <row r="11129" spans="1:2" x14ac:dyDescent="0.2">
      <c r="B11129" t="s">
        <v>1</v>
      </c>
    </row>
    <row r="11130" spans="1:2" x14ac:dyDescent="0.2">
      <c r="B11130" t="s">
        <v>252</v>
      </c>
    </row>
    <row r="11132" spans="1:2" x14ac:dyDescent="0.2">
      <c r="A11132" t="s">
        <v>3906</v>
      </c>
      <c r="B11132" t="str">
        <f>HYPERLINK("https://lindat.mff.cuni.cz/services/teitok/pdtc10/index.php?action=vallex&amp;frame=v-w1339f81_ZU", "jít (v-w1339f81_ZU)")</f>
        <v>jít (v-w1339f81_ZU)</v>
      </c>
    </row>
    <row r="11133" spans="1:2" x14ac:dyDescent="0.2">
      <c r="B11133" t="s">
        <v>1</v>
      </c>
    </row>
    <row r="11134" spans="1:2" x14ac:dyDescent="0.2">
      <c r="B11134" t="s">
        <v>252</v>
      </c>
    </row>
    <row r="11136" spans="1:2" x14ac:dyDescent="0.2">
      <c r="A11136" t="s">
        <v>3906</v>
      </c>
      <c r="B11136" t="str">
        <f>HYPERLINK("https://lindat.mff.cuni.cz/services/teitok/pdtc10/index.php?action=vallex&amp;frame=v-w1339f75_ZU", "jít (v-w1339f75_ZU) - substituted with v-w1339f81_ZU")</f>
        <v>jít (v-w1339f75_ZU) - substituted with v-w1339f81_ZU</v>
      </c>
    </row>
    <row r="11137" spans="1:2" x14ac:dyDescent="0.2">
      <c r="B11137" t="s">
        <v>1</v>
      </c>
    </row>
    <row r="11138" spans="1:2" x14ac:dyDescent="0.2">
      <c r="B11138" t="s">
        <v>252</v>
      </c>
    </row>
    <row r="11140" spans="1:2" x14ac:dyDescent="0.2">
      <c r="A11140" t="s">
        <v>3907</v>
      </c>
      <c r="B11140" t="str">
        <f>HYPERLINK("https://lindat.mff.cuni.cz/services/teitok/pdtc10/index.php?action=vallex&amp;frame=v-w1339f83_ZU", "jít (v-w1339f83_ZU)")</f>
        <v>jít (v-w1339f83_ZU)</v>
      </c>
    </row>
    <row r="11141" spans="1:2" x14ac:dyDescent="0.2">
      <c r="B11141" t="s">
        <v>1</v>
      </c>
    </row>
    <row r="11142" spans="1:2" x14ac:dyDescent="0.2">
      <c r="B11142" t="s">
        <v>3908</v>
      </c>
    </row>
    <row r="11144" spans="1:2" x14ac:dyDescent="0.2">
      <c r="A11144" t="s">
        <v>3909</v>
      </c>
      <c r="B11144" t="str">
        <f>HYPERLINK("https://lindat.mff.cuni.cz/services/teitok/pdtc10/index.php?action=vallex&amp;frame=v-w1339f86_ZU", "jít (v-w1339f86_ZU)")</f>
        <v>jít (v-w1339f86_ZU)</v>
      </c>
    </row>
    <row r="11145" spans="1:2" x14ac:dyDescent="0.2">
      <c r="B11145" t="s">
        <v>1</v>
      </c>
    </row>
    <row r="11146" spans="1:2" x14ac:dyDescent="0.2">
      <c r="B11146" t="s">
        <v>3910</v>
      </c>
    </row>
    <row r="11148" spans="1:2" x14ac:dyDescent="0.2">
      <c r="A11148" t="s">
        <v>3909</v>
      </c>
      <c r="B11148" t="str">
        <f>HYPERLINK("https://lindat.mff.cuni.cz/services/teitok/pdtc10/index.php?action=vallex&amp;frame=v-w1339hsa_402", "jít (v-w1339hsa_402) - substituted with v-w1339f86_ZU")</f>
        <v>jít (v-w1339hsa_402) - substituted with v-w1339f86_ZU</v>
      </c>
    </row>
    <row r="11149" spans="1:2" x14ac:dyDescent="0.2">
      <c r="B11149" t="s">
        <v>1</v>
      </c>
    </row>
    <row r="11150" spans="1:2" x14ac:dyDescent="0.2">
      <c r="B11150" t="s">
        <v>3910</v>
      </c>
    </row>
    <row r="11152" spans="1:2" x14ac:dyDescent="0.2">
      <c r="A11152" t="s">
        <v>3911</v>
      </c>
      <c r="B11152" t="str">
        <f>HYPERLINK("https://lindat.mff.cuni.cz/services/teitok/pdtc10/index.php?action=vallex&amp;frame=v-w1339f89_ZU", "jít (v-w1339f89_ZU)")</f>
        <v>jít (v-w1339f89_ZU)</v>
      </c>
    </row>
    <row r="11153" spans="1:2" x14ac:dyDescent="0.2">
      <c r="B11153" t="s">
        <v>1</v>
      </c>
    </row>
    <row r="11155" spans="1:2" x14ac:dyDescent="0.2">
      <c r="A11155" t="s">
        <v>3911</v>
      </c>
      <c r="B11155" t="str">
        <f>HYPERLINK("https://lindat.mff.cuni.cz/services/teitok/pdtc10/index.php?action=vallex&amp;frame=v-w1339f87_ZU", "jít (v-w1339f87_ZU) - substituted with v-w1339f89_ZU")</f>
        <v>jít (v-w1339f87_ZU) - substituted with v-w1339f89_ZU</v>
      </c>
    </row>
    <row r="11156" spans="1:2" x14ac:dyDescent="0.2">
      <c r="B11156" t="s">
        <v>1</v>
      </c>
    </row>
    <row r="11158" spans="1:2" x14ac:dyDescent="0.2">
      <c r="A11158" t="s">
        <v>3912</v>
      </c>
      <c r="B11158" t="str">
        <f>HYPERLINK("https://lindat.mff.cuni.cz/services/teitok/pdtc10/index.php?action=vallex&amp;frame=v-w1339f90_ZU", "jít (v-w1339f90_ZU)")</f>
        <v>jít (v-w1339f90_ZU)</v>
      </c>
    </row>
    <row r="11159" spans="1:2" x14ac:dyDescent="0.2">
      <c r="B11159" t="s">
        <v>1</v>
      </c>
    </row>
    <row r="11161" spans="1:2" x14ac:dyDescent="0.2">
      <c r="A11161" t="s">
        <v>3912</v>
      </c>
      <c r="B11161" t="str">
        <f>HYPERLINK("https://lindat.mff.cuni.cz/services/teitok/pdtc10/index.php?action=vallex&amp;frame=v-w1339hsa_400", "jít (v-w1339hsa_400) - substituted with v-w1339f90_ZU")</f>
        <v>jít (v-w1339hsa_400) - substituted with v-w1339f90_ZU</v>
      </c>
    </row>
    <row r="11162" spans="1:2" x14ac:dyDescent="0.2">
      <c r="B11162" t="s">
        <v>1</v>
      </c>
    </row>
    <row r="11164" spans="1:2" x14ac:dyDescent="0.2">
      <c r="A11164" t="s">
        <v>3913</v>
      </c>
      <c r="B11164" t="str">
        <f>HYPERLINK("https://lindat.mff.cuni.cz/services/teitok/pdtc10/index.php?action=vallex&amp;frame=v-w1339f91_ZU", "jít (v-w1339f91_ZU)")</f>
        <v>jít (v-w1339f91_ZU)</v>
      </c>
    </row>
    <row r="11165" spans="1:2" x14ac:dyDescent="0.2">
      <c r="B11165" t="s">
        <v>1</v>
      </c>
    </row>
    <row r="11167" spans="1:2" x14ac:dyDescent="0.2">
      <c r="A11167" t="s">
        <v>3914</v>
      </c>
      <c r="B11167" t="str">
        <f>HYPERLINK("https://lindat.mff.cuni.cz/services/teitok/pdtc10/index.php?action=vallex&amp;frame=v-w1339f92_ZU", "jít (v-w1339f92_ZU)")</f>
        <v>jít (v-w1339f92_ZU)</v>
      </c>
    </row>
    <row r="11168" spans="1:2" x14ac:dyDescent="0.2">
      <c r="B11168" t="s">
        <v>1</v>
      </c>
    </row>
    <row r="11170" spans="1:2" x14ac:dyDescent="0.2">
      <c r="A11170" t="s">
        <v>3915</v>
      </c>
      <c r="B11170" t="str">
        <f>HYPERLINK("https://lindat.mff.cuni.cz/services/teitok/pdtc10/index.php?action=vallex&amp;frame=v-w1339f93_ZU", "jít (v-w1339f93_ZU)")</f>
        <v>jít (v-w1339f93_ZU)</v>
      </c>
    </row>
    <row r="11171" spans="1:2" x14ac:dyDescent="0.2">
      <c r="B11171" t="s">
        <v>1</v>
      </c>
    </row>
    <row r="11172" spans="1:2" x14ac:dyDescent="0.2">
      <c r="B11172" t="s">
        <v>3916</v>
      </c>
    </row>
    <row r="11174" spans="1:2" x14ac:dyDescent="0.2">
      <c r="A11174" t="s">
        <v>3917</v>
      </c>
      <c r="B11174" t="str">
        <f>HYPERLINK("https://lindat.mff.cuni.cz/services/teitok/pdtc10/index.php?action=vallex&amp;frame=v-w1339f95_ZU", "jít (v-w1339f95_ZU)")</f>
        <v>jít (v-w1339f95_ZU)</v>
      </c>
    </row>
    <row r="11175" spans="1:2" x14ac:dyDescent="0.2">
      <c r="B11175" t="s">
        <v>1</v>
      </c>
    </row>
    <row r="11176" spans="1:2" x14ac:dyDescent="0.2">
      <c r="B11176" t="s">
        <v>3918</v>
      </c>
    </row>
    <row r="11178" spans="1:2" x14ac:dyDescent="0.2">
      <c r="A11178" t="s">
        <v>3919</v>
      </c>
      <c r="B11178" t="str">
        <f>HYPERLINK("https://lindat.mff.cuni.cz/services/teitok/pdtc10/index.php?action=vallex&amp;frame=v-w1339f97_ZU", "jít (v-w1339f97_ZU)")</f>
        <v>jít (v-w1339f97_ZU)</v>
      </c>
    </row>
    <row r="11179" spans="1:2" x14ac:dyDescent="0.2">
      <c r="B11179" t="s">
        <v>1</v>
      </c>
    </row>
    <row r="11180" spans="1:2" x14ac:dyDescent="0.2">
      <c r="B11180" t="s">
        <v>411</v>
      </c>
    </row>
    <row r="11181" spans="1:2" x14ac:dyDescent="0.2">
      <c r="B11181" t="s">
        <v>3920</v>
      </c>
    </row>
    <row r="11183" spans="1:2" x14ac:dyDescent="0.2">
      <c r="A11183" t="s">
        <v>3921</v>
      </c>
      <c r="B11183" t="str">
        <f>HYPERLINK("https://lindat.mff.cuni.cz/services/teitok/pdtc10/index.php?action=vallex&amp;frame=v-w1339hsa_403", "jít (v-w1339hsa_403)")</f>
        <v>jít (v-w1339hsa_403)</v>
      </c>
    </row>
    <row r="11184" spans="1:2" x14ac:dyDescent="0.2">
      <c r="B11184" t="s">
        <v>1</v>
      </c>
    </row>
    <row r="11185" spans="1:2" x14ac:dyDescent="0.2">
      <c r="B11185" t="s">
        <v>411</v>
      </c>
    </row>
    <row r="11187" spans="1:2" x14ac:dyDescent="0.2">
      <c r="A11187" t="s">
        <v>3922</v>
      </c>
      <c r="B11187" t="str">
        <f>HYPERLINK("https://lindat.mff.cuni.cz/services/teitok/pdtc10/index.php?action=vallex&amp;frame=v-w1339hsa_404", "jít (v-w1339hsa_404)")</f>
        <v>jít (v-w1339hsa_404)</v>
      </c>
    </row>
    <row r="11189" spans="1:2" x14ac:dyDescent="0.2">
      <c r="A11189" t="s">
        <v>3923</v>
      </c>
      <c r="B11189" t="str">
        <f>HYPERLINK("https://lindat.mff.cuni.cz/services/teitok/pdtc10/index.php?action=vallex&amp;frame=v-w1339hsa_486", "jít (v-w1339hsa_486)")</f>
        <v>jít (v-w1339hsa_486)</v>
      </c>
    </row>
    <row r="11190" spans="1:2" x14ac:dyDescent="0.2">
      <c r="B11190" t="s">
        <v>1</v>
      </c>
    </row>
    <row r="11191" spans="1:2" x14ac:dyDescent="0.2">
      <c r="B11191" t="s">
        <v>3924</v>
      </c>
    </row>
    <row r="11192" spans="1:2" x14ac:dyDescent="0.2">
      <c r="B11192" t="s">
        <v>411</v>
      </c>
    </row>
    <row r="11194" spans="1:2" x14ac:dyDescent="0.2">
      <c r="A11194" t="s">
        <v>3925</v>
      </c>
      <c r="B11194" t="str">
        <f>HYPERLINK("https://lindat.mff.cuni.cz/services/teitok/pdtc10/index.php?action=vallex&amp;frame=v-w11513_ZUf4_ZU", "jít si (v-w11513_ZUf4_ZU)")</f>
        <v>jít si (v-w11513_ZUf4_ZU)</v>
      </c>
    </row>
    <row r="11195" spans="1:2" x14ac:dyDescent="0.2">
      <c r="B11195" t="s">
        <v>1</v>
      </c>
    </row>
    <row r="11196" spans="1:2" x14ac:dyDescent="0.2">
      <c r="B11196" t="s">
        <v>3926</v>
      </c>
    </row>
    <row r="11198" spans="1:2" x14ac:dyDescent="0.2">
      <c r="A11198" t="s">
        <v>3925</v>
      </c>
      <c r="B11198" t="str">
        <f>HYPERLINK("https://lindat.mff.cuni.cz/services/teitok/pdtc10/index.php?action=vallex&amp;frame=v-w11513_ZUf1_ZU", "jít si (v-w11513_ZUf1_ZU) - substituted with v-w11513_ZUf4_ZU")</f>
        <v>jít si (v-w11513_ZUf1_ZU) - substituted with v-w11513_ZUf4_ZU</v>
      </c>
    </row>
    <row r="11199" spans="1:2" x14ac:dyDescent="0.2">
      <c r="B11199" t="s">
        <v>1</v>
      </c>
    </row>
    <row r="11200" spans="1:2" x14ac:dyDescent="0.2">
      <c r="B11200" t="s">
        <v>3926</v>
      </c>
    </row>
    <row r="11202" spans="1:3" x14ac:dyDescent="0.2">
      <c r="A11202" t="s">
        <v>3925</v>
      </c>
      <c r="B11202" t="str">
        <f>HYPERLINK("https://lindat.mff.cuni.cz/services/teitok/pdtc10/index.php?action=vallex&amp;frame=v-w11513_ZUf2_ZU", "jít si (v-w11513_ZUf2_ZU) - substituted with v-w11513_ZUf4_ZU")</f>
        <v>jít si (v-w11513_ZUf2_ZU) - substituted with v-w11513_ZUf4_ZU</v>
      </c>
    </row>
    <row r="11203" spans="1:3" x14ac:dyDescent="0.2">
      <c r="B11203" t="s">
        <v>1</v>
      </c>
    </row>
    <row r="11204" spans="1:3" x14ac:dyDescent="0.2">
      <c r="B11204" t="s">
        <v>3926</v>
      </c>
    </row>
    <row r="11206" spans="1:3" x14ac:dyDescent="0.2">
      <c r="A11206" t="s">
        <v>3927</v>
      </c>
      <c r="B11206" t="str">
        <f>HYPERLINK("https://lindat.mff.cuni.cz/services/teitok/pdtc10/index.php?action=vallex&amp;frame=v-w11513_ZUf3_ZU", "jít si (v-w11513_ZUf3_ZU)")</f>
        <v>jít si (v-w11513_ZUf3_ZU)</v>
      </c>
    </row>
    <row r="11207" spans="1:3" x14ac:dyDescent="0.2">
      <c r="B11207" t="s">
        <v>1</v>
      </c>
      <c r="C11207" t="s">
        <v>3810</v>
      </c>
    </row>
    <row r="11208" spans="1:3" x14ac:dyDescent="0.2">
      <c r="B11208" t="s">
        <v>3928</v>
      </c>
      <c r="C11208" t="s">
        <v>3929</v>
      </c>
    </row>
    <row r="11210" spans="1:3" x14ac:dyDescent="0.2">
      <c r="A11210" t="s">
        <v>3930</v>
      </c>
      <c r="B11210" t="str">
        <f>HYPERLINK("https://lindat.mff.cuni.cz/services/teitok/pdtc10/index.php?action=vallex&amp;frame=v-w11982_ZUf1_ZU", "kakat (v-w11982_ZUf1_ZU)")</f>
        <v>kakat (v-w11982_ZUf1_ZU)</v>
      </c>
    </row>
    <row r="11211" spans="1:3" x14ac:dyDescent="0.2">
      <c r="B11211" t="s">
        <v>1</v>
      </c>
    </row>
    <row r="11213" spans="1:3" x14ac:dyDescent="0.2">
      <c r="A11213" t="s">
        <v>3931</v>
      </c>
      <c r="B11213" t="str">
        <f>HYPERLINK("https://lindat.mff.cuni.cz/services/teitok/pdtc10/index.php?action=vallex&amp;frame=v-w1347f1", "kalit (v-w1347f1)")</f>
        <v>kalit (v-w1347f1)</v>
      </c>
    </row>
    <row r="11214" spans="1:3" x14ac:dyDescent="0.2">
      <c r="B11214" t="s">
        <v>1</v>
      </c>
    </row>
    <row r="11215" spans="1:3" x14ac:dyDescent="0.2">
      <c r="B11215" t="s">
        <v>8</v>
      </c>
    </row>
    <row r="11217" spans="1:2" x14ac:dyDescent="0.2">
      <c r="A11217" t="s">
        <v>3932</v>
      </c>
      <c r="B11217" t="str">
        <f>HYPERLINK("https://lindat.mff.cuni.cz/services/teitok/pdtc10/index.php?action=vallex&amp;frame=v-w1349f2", "kalkulovat (v-w1349f2)")</f>
        <v>kalkulovat (v-w1349f2)</v>
      </c>
    </row>
    <row r="11218" spans="1:2" x14ac:dyDescent="0.2">
      <c r="B11218" t="s">
        <v>1</v>
      </c>
    </row>
    <row r="11219" spans="1:2" x14ac:dyDescent="0.2">
      <c r="B11219" t="s">
        <v>1284</v>
      </c>
    </row>
    <row r="11220" spans="1:2" x14ac:dyDescent="0.2">
      <c r="B11220" t="s">
        <v>24</v>
      </c>
    </row>
    <row r="11222" spans="1:2" x14ac:dyDescent="0.2">
      <c r="A11222" t="s">
        <v>3933</v>
      </c>
      <c r="B11222" t="str">
        <f>HYPERLINK("https://lindat.mff.cuni.cz/services/teitok/pdtc10/index.php?action=vallex&amp;frame=v-w1349f1", "kalkulovat (v-w1349f1)")</f>
        <v>kalkulovat (v-w1349f1)</v>
      </c>
    </row>
    <row r="11223" spans="1:2" x14ac:dyDescent="0.2">
      <c r="B11223" t="s">
        <v>1</v>
      </c>
    </row>
    <row r="11224" spans="1:2" x14ac:dyDescent="0.2">
      <c r="B11224" t="s">
        <v>3934</v>
      </c>
    </row>
    <row r="11226" spans="1:2" x14ac:dyDescent="0.2">
      <c r="A11226" t="s">
        <v>3935</v>
      </c>
      <c r="B11226" t="str">
        <f>HYPERLINK("https://lindat.mff.cuni.cz/services/teitok/pdtc10/index.php?action=vallex&amp;frame=v-whsb_1178hsa_1179", "kamarádit (v-whsb_1178hsa_1179)")</f>
        <v>kamarádit (v-whsb_1178hsa_1179)</v>
      </c>
    </row>
    <row r="11227" spans="1:2" x14ac:dyDescent="0.2">
      <c r="B11227" t="s">
        <v>1</v>
      </c>
    </row>
    <row r="11228" spans="1:2" x14ac:dyDescent="0.2">
      <c r="B11228" t="s">
        <v>411</v>
      </c>
    </row>
    <row r="11230" spans="1:2" x14ac:dyDescent="0.2">
      <c r="A11230" t="s">
        <v>3936</v>
      </c>
      <c r="B11230" t="str">
        <f>HYPERLINK("https://lindat.mff.cuni.cz/services/teitok/pdtc10/index.php?action=vallex&amp;frame=v-whsa_1760hsa_1761", "kamarádit se (v-whsa_1760hsa_1761)")</f>
        <v>kamarádit se (v-whsa_1760hsa_1761)</v>
      </c>
    </row>
    <row r="11231" spans="1:2" x14ac:dyDescent="0.2">
      <c r="B11231" t="s">
        <v>1</v>
      </c>
    </row>
    <row r="11232" spans="1:2" x14ac:dyDescent="0.2">
      <c r="B11232" t="s">
        <v>411</v>
      </c>
    </row>
    <row r="11234" spans="1:4" x14ac:dyDescent="0.2">
      <c r="A11234" t="s">
        <v>3937</v>
      </c>
      <c r="B11234" t="str">
        <f>HYPERLINK("https://lindat.mff.cuni.cz/services/teitok/pdtc10/index.php?action=vallex&amp;frame=v-w1355f2", "kandidovat (v-w1355f2)")</f>
        <v>kandidovat (v-w1355f2)</v>
      </c>
    </row>
    <row r="11235" spans="1:4" x14ac:dyDescent="0.2">
      <c r="B11235" t="s">
        <v>1</v>
      </c>
    </row>
    <row r="11236" spans="1:4" x14ac:dyDescent="0.2">
      <c r="B11236" t="s">
        <v>8</v>
      </c>
    </row>
    <row r="11237" spans="1:4" x14ac:dyDescent="0.2">
      <c r="B11237" t="s">
        <v>61</v>
      </c>
    </row>
    <row r="11239" spans="1:4" x14ac:dyDescent="0.2">
      <c r="A11239" t="s">
        <v>3938</v>
      </c>
      <c r="B11239" t="str">
        <f>HYPERLINK("https://lindat.mff.cuni.cz/services/teitok/pdtc10/index.php?action=vallex&amp;frame=v-w1355f1", "kandidovat (v-w1355f1)")</f>
        <v>kandidovat (v-w1355f1)</v>
      </c>
    </row>
    <row r="11240" spans="1:4" x14ac:dyDescent="0.2">
      <c r="B11240" t="s">
        <v>1</v>
      </c>
      <c r="C11240" t="s">
        <v>80</v>
      </c>
      <c r="D11240" t="s">
        <v>80</v>
      </c>
    </row>
    <row r="11241" spans="1:4" x14ac:dyDescent="0.2">
      <c r="B11241" t="s">
        <v>46</v>
      </c>
      <c r="C11241" t="s">
        <v>54</v>
      </c>
      <c r="D11241" t="s">
        <v>54</v>
      </c>
    </row>
    <row r="11243" spans="1:4" x14ac:dyDescent="0.2">
      <c r="A11243" t="s">
        <v>3939</v>
      </c>
      <c r="B11243" t="str">
        <f>HYPERLINK("https://lindat.mff.cuni.cz/services/teitok/pdtc10/index.php?action=vallex&amp;frame=v-w1358f1", "kapat (v-w1358f1)")</f>
        <v>kapat (v-w1358f1)</v>
      </c>
    </row>
    <row r="11244" spans="1:4" x14ac:dyDescent="0.2">
      <c r="B11244" t="s">
        <v>1</v>
      </c>
    </row>
    <row r="11246" spans="1:4" x14ac:dyDescent="0.2">
      <c r="A11246" t="s">
        <v>3940</v>
      </c>
      <c r="B11246" t="str">
        <f>HYPERLINK("https://lindat.mff.cuni.cz/services/teitok/pdtc10/index.php?action=vallex&amp;frame=v-w10968f3_ZU", "kapitalizovat (v-w10968f3_ZU)")</f>
        <v>kapitalizovat (v-w10968f3_ZU)</v>
      </c>
    </row>
    <row r="11247" spans="1:4" x14ac:dyDescent="0.2">
      <c r="B11247" t="s">
        <v>1</v>
      </c>
    </row>
    <row r="11248" spans="1:4" x14ac:dyDescent="0.2">
      <c r="B11248" t="s">
        <v>8</v>
      </c>
      <c r="C11248" t="s">
        <v>1044</v>
      </c>
      <c r="D11248" t="s">
        <v>1044</v>
      </c>
    </row>
    <row r="11249" spans="1:4" x14ac:dyDescent="0.2">
      <c r="B11249" t="s">
        <v>61</v>
      </c>
      <c r="C11249" t="s">
        <v>131</v>
      </c>
      <c r="D11249" t="s">
        <v>131</v>
      </c>
    </row>
    <row r="11251" spans="1:4" x14ac:dyDescent="0.2">
      <c r="A11251" t="s">
        <v>3940</v>
      </c>
      <c r="B11251" t="str">
        <f>HYPERLINK("https://lindat.mff.cuni.cz/services/teitok/pdtc10/index.php?action=vallex&amp;frame=v-w10968f2", "kapitalizovat (v-w10968f2) - substituted with v-w10968f3_ZU")</f>
        <v>kapitalizovat (v-w10968f2) - substituted with v-w10968f3_ZU</v>
      </c>
    </row>
    <row r="11252" spans="1:4" x14ac:dyDescent="0.2">
      <c r="B11252" t="s">
        <v>1</v>
      </c>
    </row>
    <row r="11253" spans="1:4" x14ac:dyDescent="0.2">
      <c r="B11253" t="s">
        <v>8</v>
      </c>
    </row>
    <row r="11254" spans="1:4" x14ac:dyDescent="0.2">
      <c r="B11254" t="s">
        <v>61</v>
      </c>
    </row>
    <row r="11256" spans="1:4" x14ac:dyDescent="0.2">
      <c r="A11256" t="s">
        <v>3941</v>
      </c>
      <c r="B11256" t="str">
        <f>HYPERLINK("https://lindat.mff.cuni.cz/services/teitok/pdtc10/index.php?action=vallex&amp;frame=v-w1363f1", "kapitulovat (v-w1363f1)")</f>
        <v>kapitulovat (v-w1363f1)</v>
      </c>
    </row>
    <row r="11257" spans="1:4" x14ac:dyDescent="0.2">
      <c r="B11257" t="s">
        <v>1</v>
      </c>
      <c r="C11257" t="s">
        <v>430</v>
      </c>
      <c r="D11257" t="s">
        <v>9938</v>
      </c>
    </row>
    <row r="11258" spans="1:4" x14ac:dyDescent="0.2">
      <c r="B11258" t="s">
        <v>1186</v>
      </c>
      <c r="C11258" t="s">
        <v>1331</v>
      </c>
      <c r="D11258" t="s">
        <v>4088</v>
      </c>
    </row>
    <row r="11260" spans="1:4" x14ac:dyDescent="0.2">
      <c r="A11260" t="s">
        <v>3942</v>
      </c>
      <c r="B11260" t="str">
        <f>HYPERLINK("https://lindat.mff.cuni.cz/services/teitok/pdtc10/index.php?action=vallex&amp;frame=v-whsa_1324hsa_1325", "karikovat (v-whsa_1324hsa_1325)")</f>
        <v>karikovat (v-whsa_1324hsa_1325)</v>
      </c>
    </row>
    <row r="11261" spans="1:4" x14ac:dyDescent="0.2">
      <c r="B11261" t="s">
        <v>1</v>
      </c>
      <c r="C11261" t="s">
        <v>140</v>
      </c>
      <c r="D11261" t="s">
        <v>140</v>
      </c>
    </row>
    <row r="11262" spans="1:4" x14ac:dyDescent="0.2">
      <c r="B11262" t="s">
        <v>8</v>
      </c>
      <c r="C11262" t="s">
        <v>113</v>
      </c>
      <c r="D11262" t="s">
        <v>113</v>
      </c>
    </row>
    <row r="11264" spans="1:4" x14ac:dyDescent="0.2">
      <c r="A11264" t="s">
        <v>3943</v>
      </c>
      <c r="B11264" t="str">
        <f>HYPERLINK("https://lindat.mff.cuni.cz/services/teitok/pdtc10/index.php?action=vallex&amp;frame=v-w1369f1", "katalyzovat (v-w1369f1)")</f>
        <v>katalyzovat (v-w1369f1)</v>
      </c>
    </row>
    <row r="11265" spans="1:4" x14ac:dyDescent="0.2">
      <c r="B11265" t="s">
        <v>1</v>
      </c>
    </row>
    <row r="11266" spans="1:4" x14ac:dyDescent="0.2">
      <c r="B11266" t="s">
        <v>8</v>
      </c>
    </row>
    <row r="11268" spans="1:4" x14ac:dyDescent="0.2">
      <c r="A11268" t="s">
        <v>3944</v>
      </c>
      <c r="B11268" t="str">
        <f>HYPERLINK("https://lindat.mff.cuni.cz/services/teitok/pdtc10/index.php?action=vallex&amp;frame=v-w1370f1", "katapultovat (v-w1370f1)")</f>
        <v>katapultovat (v-w1370f1)</v>
      </c>
    </row>
    <row r="11269" spans="1:4" x14ac:dyDescent="0.2">
      <c r="B11269" t="s">
        <v>1</v>
      </c>
      <c r="C11269" t="s">
        <v>140</v>
      </c>
      <c r="D11269" t="s">
        <v>140</v>
      </c>
    </row>
    <row r="11270" spans="1:4" x14ac:dyDescent="0.2">
      <c r="B11270" t="s">
        <v>8</v>
      </c>
      <c r="C11270" t="s">
        <v>113</v>
      </c>
      <c r="D11270" t="s">
        <v>113</v>
      </c>
    </row>
    <row r="11272" spans="1:4" x14ac:dyDescent="0.2">
      <c r="A11272" t="s">
        <v>3945</v>
      </c>
      <c r="B11272" t="str">
        <f>HYPERLINK("https://lindat.mff.cuni.cz/services/teitok/pdtc10/index.php?action=vallex&amp;frame=v-w11262f1", "katapultovat se (v-w11262f1)")</f>
        <v>katapultovat se (v-w11262f1)</v>
      </c>
    </row>
    <row r="11273" spans="1:4" x14ac:dyDescent="0.2">
      <c r="B11273" t="s">
        <v>1</v>
      </c>
    </row>
    <row r="11275" spans="1:4" x14ac:dyDescent="0.2">
      <c r="A11275" t="s">
        <v>3946</v>
      </c>
      <c r="B11275" t="str">
        <f>HYPERLINK("https://lindat.mff.cuni.cz/services/teitok/pdtc10/index.php?action=vallex&amp;frame=v-w1376f1", "kazit (v-w1376f1)")</f>
        <v>kazit (v-w1376f1)</v>
      </c>
    </row>
    <row r="11276" spans="1:4" x14ac:dyDescent="0.2">
      <c r="B11276" t="s">
        <v>1</v>
      </c>
      <c r="C11276" t="s">
        <v>3947</v>
      </c>
      <c r="D11276" t="s">
        <v>23088</v>
      </c>
    </row>
    <row r="11277" spans="1:4" x14ac:dyDescent="0.2">
      <c r="B11277" t="s">
        <v>8</v>
      </c>
      <c r="C11277" t="s">
        <v>3948</v>
      </c>
      <c r="D11277" t="s">
        <v>986</v>
      </c>
    </row>
    <row r="11279" spans="1:4" x14ac:dyDescent="0.2">
      <c r="A11279" t="s">
        <v>3949</v>
      </c>
      <c r="B11279" t="str">
        <f>HYPERLINK("https://lindat.mff.cuni.cz/services/teitok/pdtc10/index.php?action=vallex&amp;frame=v-w12364_MMf1_MM", "kazit se (v-w12364_MMf1_MM)")</f>
        <v>kazit se (v-w12364_MMf1_MM)</v>
      </c>
    </row>
    <row r="11280" spans="1:4" x14ac:dyDescent="0.2">
      <c r="B11280" t="s">
        <v>1</v>
      </c>
    </row>
    <row r="11282" spans="1:2" x14ac:dyDescent="0.2">
      <c r="A11282" t="s">
        <v>3950</v>
      </c>
      <c r="B11282" t="str">
        <f>HYPERLINK("https://lindat.mff.cuni.cz/services/teitok/pdtc10/index.php?action=vallex&amp;frame=v-w10866f2", "kašlat (v-w10866f2)")</f>
        <v>kašlat (v-w10866f2)</v>
      </c>
    </row>
    <row r="11283" spans="1:2" x14ac:dyDescent="0.2">
      <c r="B11283" t="s">
        <v>1</v>
      </c>
    </row>
    <row r="11284" spans="1:2" x14ac:dyDescent="0.2">
      <c r="B11284" t="s">
        <v>28</v>
      </c>
    </row>
    <row r="11286" spans="1:2" x14ac:dyDescent="0.2">
      <c r="A11286" t="s">
        <v>3951</v>
      </c>
      <c r="B11286" t="str">
        <f>HYPERLINK("https://lindat.mff.cuni.cz/services/teitok/pdtc10/index.php?action=vallex&amp;frame=v-w10866hsa_730", "kašlat (v-w10866hsa_730)")</f>
        <v>kašlat (v-w10866hsa_730)</v>
      </c>
    </row>
    <row r="11287" spans="1:2" x14ac:dyDescent="0.2">
      <c r="B11287" t="s">
        <v>1</v>
      </c>
    </row>
    <row r="11289" spans="1:2" x14ac:dyDescent="0.2">
      <c r="A11289" t="s">
        <v>3952</v>
      </c>
      <c r="B11289" t="str">
        <f>HYPERLINK("https://lindat.mff.cuni.cz/services/teitok/pdtc10/index.php?action=vallex&amp;frame=v-whsa_771f1_ZU", "kecat (v-whsa_771f1_ZU)")</f>
        <v>kecat (v-whsa_771f1_ZU)</v>
      </c>
    </row>
    <row r="11290" spans="1:2" x14ac:dyDescent="0.2">
      <c r="B11290" t="s">
        <v>1</v>
      </c>
    </row>
    <row r="11291" spans="1:2" x14ac:dyDescent="0.2">
      <c r="B11291" t="s">
        <v>2327</v>
      </c>
    </row>
    <row r="11292" spans="1:2" x14ac:dyDescent="0.2">
      <c r="B11292" t="s">
        <v>2328</v>
      </c>
    </row>
    <row r="11294" spans="1:2" x14ac:dyDescent="0.2">
      <c r="A11294" t="s">
        <v>3952</v>
      </c>
      <c r="B11294" t="str">
        <f>HYPERLINK("https://lindat.mff.cuni.cz/services/teitok/pdtc10/index.php?action=vallex&amp;frame=v-whsa_771hsa_772", "kecat (v-whsa_771hsa_772) - substituted with v-whsa_771f1_ZU")</f>
        <v>kecat (v-whsa_771hsa_772) - substituted with v-whsa_771f1_ZU</v>
      </c>
    </row>
    <row r="11295" spans="1:2" x14ac:dyDescent="0.2">
      <c r="B11295" t="s">
        <v>1</v>
      </c>
    </row>
    <row r="11296" spans="1:2" x14ac:dyDescent="0.2">
      <c r="B11296" t="s">
        <v>2327</v>
      </c>
    </row>
    <row r="11297" spans="1:2" x14ac:dyDescent="0.2">
      <c r="B11297" t="s">
        <v>2328</v>
      </c>
    </row>
    <row r="11299" spans="1:2" x14ac:dyDescent="0.2">
      <c r="A11299" t="s">
        <v>3953</v>
      </c>
      <c r="B11299" t="str">
        <f>HYPERLINK("https://lindat.mff.cuni.cz/services/teitok/pdtc10/index.php?action=vallex&amp;frame=v-whsa_771f2_ZU", "kecat (v-whsa_771f2_ZU)")</f>
        <v>kecat (v-whsa_771f2_ZU)</v>
      </c>
    </row>
    <row r="11300" spans="1:2" x14ac:dyDescent="0.2">
      <c r="B11300" t="s">
        <v>1</v>
      </c>
    </row>
    <row r="11301" spans="1:2" x14ac:dyDescent="0.2">
      <c r="B11301" t="s">
        <v>78</v>
      </c>
    </row>
    <row r="11302" spans="1:2" x14ac:dyDescent="0.2">
      <c r="B11302" t="s">
        <v>220</v>
      </c>
    </row>
    <row r="11304" spans="1:2" x14ac:dyDescent="0.2">
      <c r="A11304" t="s">
        <v>3954</v>
      </c>
      <c r="B11304" t="str">
        <f>HYPERLINK("https://lindat.mff.cuni.cz/services/teitok/pdtc10/index.php?action=vallex&amp;frame=v-whsa_771hsa_773", "kecat (v-whsa_771hsa_773)")</f>
        <v>kecat (v-whsa_771hsa_773)</v>
      </c>
    </row>
    <row r="11305" spans="1:2" x14ac:dyDescent="0.2">
      <c r="B11305" t="s">
        <v>1</v>
      </c>
    </row>
    <row r="11306" spans="1:2" x14ac:dyDescent="0.2">
      <c r="B11306" t="s">
        <v>817</v>
      </c>
    </row>
    <row r="11307" spans="1:2" x14ac:dyDescent="0.2">
      <c r="B11307" t="s">
        <v>78</v>
      </c>
    </row>
    <row r="11309" spans="1:2" x14ac:dyDescent="0.2">
      <c r="A11309" t="s">
        <v>3955</v>
      </c>
      <c r="B11309" t="str">
        <f>HYPERLINK("https://lindat.mff.cuni.cz/services/teitok/pdtc10/index.php?action=vallex&amp;frame=v-w11890_ZUf1_ZU", "kibicovat (v-w11890_ZUf1_ZU)")</f>
        <v>kibicovat (v-w11890_ZUf1_ZU)</v>
      </c>
    </row>
    <row r="11310" spans="1:2" x14ac:dyDescent="0.2">
      <c r="B11310" t="s">
        <v>1</v>
      </c>
    </row>
    <row r="11311" spans="1:2" x14ac:dyDescent="0.2">
      <c r="B11311" t="s">
        <v>86</v>
      </c>
    </row>
    <row r="11313" spans="1:4" x14ac:dyDescent="0.2">
      <c r="A11313" t="s">
        <v>3956</v>
      </c>
      <c r="B11313" t="str">
        <f>HYPERLINK("https://lindat.mff.cuni.cz/services/teitok/pdtc10/index.php?action=vallex&amp;frame=v-w1382f1", "klamat (v-w1382f1)")</f>
        <v>klamat (v-w1382f1)</v>
      </c>
    </row>
    <row r="11314" spans="1:4" x14ac:dyDescent="0.2">
      <c r="B11314" t="s">
        <v>1</v>
      </c>
      <c r="C11314" t="s">
        <v>33</v>
      </c>
      <c r="D11314" t="s">
        <v>3735</v>
      </c>
    </row>
    <row r="11315" spans="1:4" x14ac:dyDescent="0.2">
      <c r="B11315" t="s">
        <v>8</v>
      </c>
      <c r="C11315" t="s">
        <v>23</v>
      </c>
      <c r="D11315" t="s">
        <v>21749</v>
      </c>
    </row>
    <row r="11317" spans="1:4" x14ac:dyDescent="0.2">
      <c r="A11317" t="s">
        <v>3957</v>
      </c>
      <c r="B11317" t="str">
        <f>HYPERLINK("https://lindat.mff.cuni.cz/services/teitok/pdtc10/index.php?action=vallex&amp;frame=v-w11364f1", "klanět se (v-w11364f1)")</f>
        <v>klanět se (v-w11364f1)</v>
      </c>
    </row>
    <row r="11318" spans="1:4" x14ac:dyDescent="0.2">
      <c r="B11318" t="s">
        <v>1</v>
      </c>
    </row>
    <row r="11319" spans="1:4" x14ac:dyDescent="0.2">
      <c r="B11319" t="s">
        <v>86</v>
      </c>
    </row>
    <row r="11321" spans="1:4" x14ac:dyDescent="0.2">
      <c r="A11321" t="s">
        <v>3958</v>
      </c>
      <c r="B11321" t="str">
        <f>HYPERLINK("https://lindat.mff.cuni.cz/services/teitok/pdtc10/index.php?action=vallex&amp;frame=v-w1384f1", "klapat (v-w1384f1)")</f>
        <v>klapat (v-w1384f1)</v>
      </c>
    </row>
    <row r="11322" spans="1:4" x14ac:dyDescent="0.2">
      <c r="B11322" t="s">
        <v>1</v>
      </c>
    </row>
    <row r="11324" spans="1:4" x14ac:dyDescent="0.2">
      <c r="A11324" t="s">
        <v>3959</v>
      </c>
      <c r="B11324" t="str">
        <f>HYPERLINK("https://lindat.mff.cuni.cz/services/teitok/pdtc10/index.php?action=vallex&amp;frame=v-w1384f2_ZU", "klapat (v-w1384f2_ZU)")</f>
        <v>klapat (v-w1384f2_ZU)</v>
      </c>
    </row>
    <row r="11325" spans="1:4" x14ac:dyDescent="0.2">
      <c r="B11325" t="s">
        <v>1</v>
      </c>
    </row>
    <row r="11326" spans="1:4" x14ac:dyDescent="0.2">
      <c r="B11326" t="s">
        <v>158</v>
      </c>
    </row>
    <row r="11328" spans="1:4" x14ac:dyDescent="0.2">
      <c r="A11328" t="s">
        <v>3960</v>
      </c>
      <c r="B11328" t="str">
        <f>HYPERLINK("https://lindat.mff.cuni.cz/services/teitok/pdtc10/index.php?action=vallex&amp;frame=v-w1384hsa_1154", "klapat (v-w1384hsa_1154)")</f>
        <v>klapat (v-w1384hsa_1154)</v>
      </c>
    </row>
    <row r="11329" spans="1:4" x14ac:dyDescent="0.2">
      <c r="B11329" t="s">
        <v>1</v>
      </c>
    </row>
    <row r="11331" spans="1:4" x14ac:dyDescent="0.2">
      <c r="A11331" t="s">
        <v>3961</v>
      </c>
      <c r="B11331" t="str">
        <f>HYPERLINK("https://lindat.mff.cuni.cz/services/teitok/pdtc10/index.php?action=vallex&amp;frame=v-w11732_ZUf1_ZU", "klapnout (v-w11732_ZUf1_ZU)")</f>
        <v>klapnout (v-w11732_ZUf1_ZU)</v>
      </c>
    </row>
    <row r="11332" spans="1:4" x14ac:dyDescent="0.2">
      <c r="B11332" t="s">
        <v>1</v>
      </c>
    </row>
    <row r="11334" spans="1:4" x14ac:dyDescent="0.2">
      <c r="A11334" t="s">
        <v>3962</v>
      </c>
      <c r="B11334" t="str">
        <f>HYPERLINK("https://lindat.mff.cuni.cz/services/teitok/pdtc10/index.php?action=vallex&amp;frame=v-w1386f4_ZU", "klasifikovat (v-w1386f4_ZU)")</f>
        <v>klasifikovat (v-w1386f4_ZU)</v>
      </c>
    </row>
    <row r="11335" spans="1:4" x14ac:dyDescent="0.2">
      <c r="B11335" t="s">
        <v>1</v>
      </c>
      <c r="C11335" t="s">
        <v>373</v>
      </c>
      <c r="D11335" t="s">
        <v>334</v>
      </c>
    </row>
    <row r="11336" spans="1:4" x14ac:dyDescent="0.2">
      <c r="B11336" t="s">
        <v>8</v>
      </c>
      <c r="C11336" t="s">
        <v>3963</v>
      </c>
      <c r="D11336" t="s">
        <v>81</v>
      </c>
    </row>
    <row r="11337" spans="1:4" x14ac:dyDescent="0.2">
      <c r="B11337" t="s">
        <v>1151</v>
      </c>
      <c r="C11337" t="s">
        <v>3964</v>
      </c>
      <c r="D11337" t="s">
        <v>15319</v>
      </c>
    </row>
    <row r="11339" spans="1:4" x14ac:dyDescent="0.2">
      <c r="A11339" t="s">
        <v>3962</v>
      </c>
      <c r="B11339" t="str">
        <f>HYPERLINK("https://lindat.mff.cuni.cz/services/teitok/pdtc10/index.php?action=vallex&amp;frame=v-w1386f3_ZU", "klasifikovat (v-w1386f3_ZU) - substituted with v-w1386f4_ZU")</f>
        <v>klasifikovat (v-w1386f3_ZU) - substituted with v-w1386f4_ZU</v>
      </c>
    </row>
    <row r="11340" spans="1:4" x14ac:dyDescent="0.2">
      <c r="B11340" t="s">
        <v>1</v>
      </c>
    </row>
    <row r="11341" spans="1:4" x14ac:dyDescent="0.2">
      <c r="B11341" t="s">
        <v>8</v>
      </c>
    </row>
    <row r="11342" spans="1:4" x14ac:dyDescent="0.2">
      <c r="B11342" t="s">
        <v>1151</v>
      </c>
    </row>
    <row r="11344" spans="1:4" x14ac:dyDescent="0.2">
      <c r="A11344" t="s">
        <v>3965</v>
      </c>
      <c r="B11344" t="str">
        <f>HYPERLINK("https://lindat.mff.cuni.cz/services/teitok/pdtc10/index.php?action=vallex&amp;frame=v-w1386f1", "klasifikovat (v-w1386f1)")</f>
        <v>klasifikovat (v-w1386f1)</v>
      </c>
    </row>
    <row r="11345" spans="1:4" x14ac:dyDescent="0.2">
      <c r="B11345" t="s">
        <v>1</v>
      </c>
      <c r="C11345" t="s">
        <v>140</v>
      </c>
      <c r="D11345" t="s">
        <v>3583</v>
      </c>
    </row>
    <row r="11346" spans="1:4" x14ac:dyDescent="0.2">
      <c r="B11346" t="s">
        <v>8</v>
      </c>
      <c r="C11346" t="s">
        <v>34</v>
      </c>
      <c r="D11346" t="s">
        <v>2113</v>
      </c>
    </row>
    <row r="11347" spans="1:4" x14ac:dyDescent="0.2">
      <c r="B11347" t="s">
        <v>2334</v>
      </c>
      <c r="C11347" t="s">
        <v>3966</v>
      </c>
      <c r="D11347" t="s">
        <v>23395</v>
      </c>
    </row>
    <row r="11349" spans="1:4" x14ac:dyDescent="0.2">
      <c r="A11349" t="s">
        <v>3967</v>
      </c>
      <c r="B11349" t="str">
        <f>HYPERLINK("https://lindat.mff.cuni.cz/services/teitok/pdtc10/index.php?action=vallex&amp;frame=v-w1386f2", "klasifikovat (v-w1386f2)")</f>
        <v>klasifikovat (v-w1386f2)</v>
      </c>
    </row>
    <row r="11350" spans="1:4" x14ac:dyDescent="0.2">
      <c r="B11350" t="s">
        <v>1</v>
      </c>
    </row>
    <row r="11351" spans="1:4" x14ac:dyDescent="0.2">
      <c r="B11351" t="s">
        <v>8</v>
      </c>
    </row>
    <row r="11353" spans="1:4" x14ac:dyDescent="0.2">
      <c r="A11353" t="s">
        <v>3968</v>
      </c>
      <c r="B11353" t="str">
        <f>HYPERLINK("https://lindat.mff.cuni.cz/services/teitok/pdtc10/index.php?action=vallex&amp;frame=v-w11788_ZUf1_ZU", "klekat si (v-w11788_ZUf1_ZU)")</f>
        <v>klekat si (v-w11788_ZUf1_ZU)</v>
      </c>
    </row>
    <row r="11354" spans="1:4" x14ac:dyDescent="0.2">
      <c r="B11354" t="s">
        <v>1</v>
      </c>
    </row>
    <row r="11355" spans="1:4" x14ac:dyDescent="0.2">
      <c r="B11355" t="s">
        <v>252</v>
      </c>
    </row>
    <row r="11357" spans="1:4" x14ac:dyDescent="0.2">
      <c r="A11357" t="s">
        <v>3969</v>
      </c>
      <c r="B11357" t="str">
        <f>HYPERLINK("https://lindat.mff.cuni.cz/services/teitok/pdtc10/index.php?action=vallex&amp;frame=v-w1390f1", "kleknout (v-w1390f1)")</f>
        <v>kleknout (v-w1390f1)</v>
      </c>
    </row>
    <row r="11358" spans="1:4" x14ac:dyDescent="0.2">
      <c r="B11358" t="s">
        <v>1</v>
      </c>
    </row>
    <row r="11359" spans="1:4" x14ac:dyDescent="0.2">
      <c r="B11359" t="s">
        <v>90</v>
      </c>
    </row>
    <row r="11361" spans="1:4" x14ac:dyDescent="0.2">
      <c r="A11361" t="s">
        <v>3970</v>
      </c>
      <c r="B11361" t="str">
        <f>HYPERLINK("https://lindat.mff.cuni.cz/services/teitok/pdtc10/index.php?action=vallex&amp;frame=v-whsa_1383hsa_1384", "kleknout si (v-whsa_1383hsa_1384)")</f>
        <v>kleknout si (v-whsa_1383hsa_1384)</v>
      </c>
    </row>
    <row r="11362" spans="1:4" x14ac:dyDescent="0.2">
      <c r="B11362" t="s">
        <v>1</v>
      </c>
    </row>
    <row r="11363" spans="1:4" x14ac:dyDescent="0.2">
      <c r="B11363" t="s">
        <v>90</v>
      </c>
    </row>
    <row r="11365" spans="1:4" x14ac:dyDescent="0.2">
      <c r="A11365" t="s">
        <v>3971</v>
      </c>
      <c r="B11365" t="str">
        <f>HYPERLINK("https://lindat.mff.cuni.cz/services/teitok/pdtc10/index.php?action=vallex&amp;frame=v-w1391f1", "klenout se (v-w1391f1)")</f>
        <v>klenout se (v-w1391f1)</v>
      </c>
    </row>
    <row r="11366" spans="1:4" x14ac:dyDescent="0.2">
      <c r="B11366" t="s">
        <v>1</v>
      </c>
      <c r="D11366" t="s">
        <v>140</v>
      </c>
    </row>
    <row r="11368" spans="1:4" x14ac:dyDescent="0.2">
      <c r="A11368" t="s">
        <v>3972</v>
      </c>
      <c r="B11368" t="str">
        <f>HYPERLINK("https://lindat.mff.cuni.cz/services/teitok/pdtc10/index.php?action=vallex&amp;frame=v-w1393f2", "klepat (v-w1393f2)")</f>
        <v>klepat (v-w1393f2)</v>
      </c>
    </row>
    <row r="11369" spans="1:4" x14ac:dyDescent="0.2">
      <c r="B11369" t="s">
        <v>1</v>
      </c>
    </row>
    <row r="11370" spans="1:4" x14ac:dyDescent="0.2">
      <c r="B11370" t="s">
        <v>8</v>
      </c>
    </row>
    <row r="11372" spans="1:4" x14ac:dyDescent="0.2">
      <c r="A11372" t="s">
        <v>3973</v>
      </c>
      <c r="B11372" t="str">
        <f>HYPERLINK("https://lindat.mff.cuni.cz/services/teitok/pdtc10/index.php?action=vallex&amp;frame=v-w1393f1", "klepat (v-w1393f1)")</f>
        <v>klepat (v-w1393f1)</v>
      </c>
    </row>
    <row r="11373" spans="1:4" x14ac:dyDescent="0.2">
      <c r="B11373" t="s">
        <v>1</v>
      </c>
      <c r="C11373" t="s">
        <v>249</v>
      </c>
      <c r="D11373" t="s">
        <v>249</v>
      </c>
    </row>
    <row r="11375" spans="1:4" x14ac:dyDescent="0.2">
      <c r="A11375" t="s">
        <v>3974</v>
      </c>
      <c r="B11375" t="str">
        <f>HYPERLINK("https://lindat.mff.cuni.cz/services/teitok/pdtc10/index.php?action=vallex&amp;frame=v-w1393f3_ZU", "klepat (v-w1393f3_ZU)")</f>
        <v>klepat (v-w1393f3_ZU)</v>
      </c>
    </row>
    <row r="11376" spans="1:4" x14ac:dyDescent="0.2">
      <c r="B11376" t="s">
        <v>1</v>
      </c>
    </row>
    <row r="11377" spans="1:2" x14ac:dyDescent="0.2">
      <c r="B11377" t="s">
        <v>8</v>
      </c>
    </row>
    <row r="11379" spans="1:2" x14ac:dyDescent="0.2">
      <c r="A11379" t="s">
        <v>3975</v>
      </c>
      <c r="B11379" t="str">
        <f>HYPERLINK("https://lindat.mff.cuni.cz/services/teitok/pdtc10/index.php?action=vallex&amp;frame=v-w1393f4_ZU", "klepat (v-w1393f4_ZU)")</f>
        <v>klepat (v-w1393f4_ZU)</v>
      </c>
    </row>
    <row r="11380" spans="1:2" x14ac:dyDescent="0.2">
      <c r="B11380" t="s">
        <v>1</v>
      </c>
    </row>
    <row r="11382" spans="1:2" x14ac:dyDescent="0.2">
      <c r="A11382" t="s">
        <v>3976</v>
      </c>
      <c r="B11382" t="str">
        <f>HYPERLINK("https://lindat.mff.cuni.cz/services/teitok/pdtc10/index.php?action=vallex&amp;frame=v-whsa_433hsa_434", "klepetat (v-whsa_433hsa_434)")</f>
        <v>klepetat (v-whsa_433hsa_434)</v>
      </c>
    </row>
    <row r="11383" spans="1:2" x14ac:dyDescent="0.2">
      <c r="B11383" t="s">
        <v>1</v>
      </c>
    </row>
    <row r="11384" spans="1:2" x14ac:dyDescent="0.2">
      <c r="B11384" t="s">
        <v>158</v>
      </c>
    </row>
    <row r="11386" spans="1:2" x14ac:dyDescent="0.2">
      <c r="A11386" t="s">
        <v>3977</v>
      </c>
      <c r="B11386" t="str">
        <f>HYPERLINK("https://lindat.mff.cuni.cz/services/teitok/pdtc10/index.php?action=vallex&amp;frame=v-w1394f1", "klepnout (v-w1394f1)")</f>
        <v>klepnout (v-w1394f1)</v>
      </c>
    </row>
    <row r="11387" spans="1:2" x14ac:dyDescent="0.2">
      <c r="B11387" t="s">
        <v>1</v>
      </c>
    </row>
    <row r="11388" spans="1:2" x14ac:dyDescent="0.2">
      <c r="B11388" t="s">
        <v>8</v>
      </c>
    </row>
    <row r="11390" spans="1:2" x14ac:dyDescent="0.2">
      <c r="A11390" t="s">
        <v>3978</v>
      </c>
      <c r="B11390" t="str">
        <f>HYPERLINK("https://lindat.mff.cuni.cz/services/teitok/pdtc10/index.php?action=vallex&amp;frame=v-w1394f2_ZU", "klepnout (v-w1394f2_ZU)")</f>
        <v>klepnout (v-w1394f2_ZU)</v>
      </c>
    </row>
    <row r="11391" spans="1:2" x14ac:dyDescent="0.2">
      <c r="B11391" t="s">
        <v>1</v>
      </c>
    </row>
    <row r="11392" spans="1:2" x14ac:dyDescent="0.2">
      <c r="B11392" t="s">
        <v>8</v>
      </c>
    </row>
    <row r="11394" spans="1:4" x14ac:dyDescent="0.2">
      <c r="A11394" t="s">
        <v>3979</v>
      </c>
      <c r="B11394" t="str">
        <f>HYPERLINK("https://lindat.mff.cuni.cz/services/teitok/pdtc10/index.php?action=vallex&amp;frame=v-w1394f3_ZU", "klepnout (v-w1394f3_ZU)")</f>
        <v>klepnout (v-w1394f3_ZU)</v>
      </c>
    </row>
    <row r="11395" spans="1:4" x14ac:dyDescent="0.2">
      <c r="B11395" t="s">
        <v>1</v>
      </c>
    </row>
    <row r="11396" spans="1:4" x14ac:dyDescent="0.2">
      <c r="B11396" t="s">
        <v>252</v>
      </c>
    </row>
    <row r="11398" spans="1:4" x14ac:dyDescent="0.2">
      <c r="A11398" t="s">
        <v>3980</v>
      </c>
      <c r="B11398" t="str">
        <f>HYPERLINK("https://lindat.mff.cuni.cz/services/teitok/pdtc10/index.php?action=vallex&amp;frame=v-w1395f1", "klesat (v-w1395f1)")</f>
        <v>klesat (v-w1395f1)</v>
      </c>
    </row>
    <row r="11399" spans="1:4" x14ac:dyDescent="0.2">
      <c r="B11399" t="s">
        <v>1</v>
      </c>
      <c r="C11399" t="s">
        <v>3981</v>
      </c>
      <c r="D11399" t="s">
        <v>23396</v>
      </c>
    </row>
    <row r="11400" spans="1:4" x14ac:dyDescent="0.2">
      <c r="B11400" t="s">
        <v>46</v>
      </c>
      <c r="C11400" t="s">
        <v>3982</v>
      </c>
      <c r="D11400" t="s">
        <v>23397</v>
      </c>
    </row>
    <row r="11401" spans="1:4" x14ac:dyDescent="0.2">
      <c r="B11401" t="s">
        <v>24</v>
      </c>
      <c r="C11401" t="s">
        <v>3983</v>
      </c>
      <c r="D11401" t="s">
        <v>23398</v>
      </c>
    </row>
    <row r="11403" spans="1:4" x14ac:dyDescent="0.2">
      <c r="A11403" t="s">
        <v>3984</v>
      </c>
      <c r="B11403" t="str">
        <f>HYPERLINK("https://lindat.mff.cuni.cz/services/teitok/pdtc10/index.php?action=vallex&amp;frame=v-w1396f3_ZU", "klesnout (v-w1396f3_ZU)")</f>
        <v>klesnout (v-w1396f3_ZU)</v>
      </c>
    </row>
    <row r="11404" spans="1:4" x14ac:dyDescent="0.2">
      <c r="B11404" t="s">
        <v>1</v>
      </c>
      <c r="C11404" t="s">
        <v>3985</v>
      </c>
      <c r="D11404" t="s">
        <v>23396</v>
      </c>
    </row>
    <row r="11405" spans="1:4" x14ac:dyDescent="0.2">
      <c r="B11405" t="s">
        <v>3986</v>
      </c>
      <c r="C11405" t="s">
        <v>3987</v>
      </c>
      <c r="D11405" t="s">
        <v>23397</v>
      </c>
    </row>
    <row r="11406" spans="1:4" x14ac:dyDescent="0.2">
      <c r="B11406" t="s">
        <v>24</v>
      </c>
      <c r="C11406" t="s">
        <v>3988</v>
      </c>
      <c r="D11406" t="s">
        <v>23398</v>
      </c>
    </row>
    <row r="11408" spans="1:4" x14ac:dyDescent="0.2">
      <c r="A11408" t="s">
        <v>3984</v>
      </c>
      <c r="B11408" t="str">
        <f>HYPERLINK("https://lindat.mff.cuni.cz/services/teitok/pdtc10/index.php?action=vallex&amp;frame=v-w1396f1", "klesnout (v-w1396f1) - substituted with v-w1396f3_ZU")</f>
        <v>klesnout (v-w1396f1) - substituted with v-w1396f3_ZU</v>
      </c>
    </row>
    <row r="11409" spans="1:3" x14ac:dyDescent="0.2">
      <c r="B11409" t="s">
        <v>1</v>
      </c>
      <c r="C11409" t="s">
        <v>3989</v>
      </c>
    </row>
    <row r="11410" spans="1:3" x14ac:dyDescent="0.2">
      <c r="B11410" t="s">
        <v>3986</v>
      </c>
      <c r="C11410" t="s">
        <v>3990</v>
      </c>
    </row>
    <row r="11411" spans="1:3" x14ac:dyDescent="0.2">
      <c r="B11411" t="s">
        <v>24</v>
      </c>
      <c r="C11411" t="s">
        <v>3991</v>
      </c>
    </row>
    <row r="11413" spans="1:3" x14ac:dyDescent="0.2">
      <c r="A11413" t="s">
        <v>3984</v>
      </c>
      <c r="B11413" t="str">
        <f>HYPERLINK("https://lindat.mff.cuni.cz/services/teitok/pdtc10/index.php?action=vallex&amp;frame=v-w1396f2_ZU", "klesnout (v-w1396f2_ZU) - substituted with v-w1396f3_ZU")</f>
        <v>klesnout (v-w1396f2_ZU) - substituted with v-w1396f3_ZU</v>
      </c>
    </row>
    <row r="11414" spans="1:3" x14ac:dyDescent="0.2">
      <c r="B11414" t="s">
        <v>1</v>
      </c>
      <c r="C11414" t="s">
        <v>3992</v>
      </c>
    </row>
    <row r="11415" spans="1:3" x14ac:dyDescent="0.2">
      <c r="B11415" t="s">
        <v>3986</v>
      </c>
      <c r="C11415" t="s">
        <v>3993</v>
      </c>
    </row>
    <row r="11416" spans="1:3" x14ac:dyDescent="0.2">
      <c r="B11416" t="s">
        <v>24</v>
      </c>
      <c r="C11416" t="s">
        <v>3994</v>
      </c>
    </row>
    <row r="11418" spans="1:3" x14ac:dyDescent="0.2">
      <c r="A11418" t="s">
        <v>3995</v>
      </c>
      <c r="B11418" t="str">
        <f>HYPERLINK("https://lindat.mff.cuni.cz/services/teitok/pdtc10/index.php?action=vallex&amp;frame=v-w1396f4_ZU", "klesnout (v-w1396f4_ZU)")</f>
        <v>klesnout (v-w1396f4_ZU)</v>
      </c>
    </row>
    <row r="11419" spans="1:3" x14ac:dyDescent="0.2">
      <c r="B11419" t="s">
        <v>1</v>
      </c>
    </row>
    <row r="11421" spans="1:3" x14ac:dyDescent="0.2">
      <c r="A11421" t="s">
        <v>3996</v>
      </c>
      <c r="B11421" t="str">
        <f>HYPERLINK("https://lindat.mff.cuni.cz/services/teitok/pdtc10/index.php?action=vallex&amp;frame=v-w10164f2", "klestit (v-w10164f2)")</f>
        <v>klestit (v-w10164f2)</v>
      </c>
    </row>
    <row r="11422" spans="1:3" x14ac:dyDescent="0.2">
      <c r="B11422" t="s">
        <v>1</v>
      </c>
    </row>
    <row r="11423" spans="1:3" x14ac:dyDescent="0.2">
      <c r="B11423" t="s">
        <v>1388</v>
      </c>
    </row>
    <row r="11425" spans="1:4" x14ac:dyDescent="0.2">
      <c r="A11425" t="s">
        <v>3997</v>
      </c>
      <c r="B11425" t="str">
        <f>HYPERLINK("https://lindat.mff.cuni.cz/services/teitok/pdtc10/index.php?action=vallex&amp;frame=v-w10188f2", "klečet (v-w10188f2)")</f>
        <v>klečet (v-w10188f2)</v>
      </c>
    </row>
    <row r="11426" spans="1:4" x14ac:dyDescent="0.2">
      <c r="B11426" t="s">
        <v>1</v>
      </c>
      <c r="C11426" t="s">
        <v>83</v>
      </c>
    </row>
    <row r="11428" spans="1:4" x14ac:dyDescent="0.2">
      <c r="A11428" t="s">
        <v>3998</v>
      </c>
      <c r="B11428" t="str">
        <f>HYPERLINK("https://lindat.mff.cuni.cz/services/teitok/pdtc10/index.php?action=vallex&amp;frame=v-w10772f2", "klidit (v-w10772f2)")</f>
        <v>klidit (v-w10772f2)</v>
      </c>
    </row>
    <row r="11429" spans="1:4" x14ac:dyDescent="0.2">
      <c r="B11429" t="s">
        <v>1</v>
      </c>
    </row>
    <row r="11430" spans="1:4" x14ac:dyDescent="0.2">
      <c r="B11430" t="s">
        <v>8</v>
      </c>
    </row>
    <row r="11432" spans="1:4" x14ac:dyDescent="0.2">
      <c r="A11432" t="s">
        <v>3999</v>
      </c>
      <c r="B11432" t="str">
        <f>HYPERLINK("https://lindat.mff.cuni.cz/services/teitok/pdtc10/index.php?action=vallex&amp;frame=v-w1401f1", "klikatit se (v-w1401f1)")</f>
        <v>klikatit se (v-w1401f1)</v>
      </c>
    </row>
    <row r="11433" spans="1:4" x14ac:dyDescent="0.2">
      <c r="B11433" t="s">
        <v>1</v>
      </c>
      <c r="D11433" t="s">
        <v>7838</v>
      </c>
    </row>
    <row r="11435" spans="1:4" x14ac:dyDescent="0.2">
      <c r="A11435" t="s">
        <v>4000</v>
      </c>
      <c r="B11435" t="str">
        <f>HYPERLINK("https://lindat.mff.cuni.cz/services/teitok/pdtc10/index.php?action=vallex&amp;frame=v-whsa_1459hsa_1460", "kliknout (v-whsa_1459hsa_1460)")</f>
        <v>kliknout (v-whsa_1459hsa_1460)</v>
      </c>
    </row>
    <row r="11436" spans="1:4" x14ac:dyDescent="0.2">
      <c r="B11436" t="s">
        <v>1</v>
      </c>
    </row>
    <row r="11437" spans="1:4" x14ac:dyDescent="0.2">
      <c r="B11437" t="s">
        <v>90</v>
      </c>
    </row>
    <row r="11439" spans="1:4" x14ac:dyDescent="0.2">
      <c r="A11439" t="s">
        <v>4001</v>
      </c>
      <c r="B11439" t="str">
        <f>HYPERLINK("https://lindat.mff.cuni.cz/services/teitok/pdtc10/index.php?action=vallex&amp;frame=v-w1398f1", "kličkovat (v-w1398f1)")</f>
        <v>kličkovat (v-w1398f1)</v>
      </c>
    </row>
    <row r="11440" spans="1:4" x14ac:dyDescent="0.2">
      <c r="B11440" t="s">
        <v>1</v>
      </c>
      <c r="C11440" t="s">
        <v>140</v>
      </c>
    </row>
    <row r="11442" spans="1:4" x14ac:dyDescent="0.2">
      <c r="A11442" t="s">
        <v>4002</v>
      </c>
      <c r="B11442" t="str">
        <f>HYPERLINK("https://lindat.mff.cuni.cz/services/teitok/pdtc10/index.php?action=vallex&amp;frame=v-w11496f1", "klonit se (v-w11496f1)")</f>
        <v>klonit se (v-w11496f1)</v>
      </c>
    </row>
    <row r="11443" spans="1:4" x14ac:dyDescent="0.2">
      <c r="B11443" t="s">
        <v>1</v>
      </c>
      <c r="C11443" t="s">
        <v>3614</v>
      </c>
      <c r="D11443" t="s">
        <v>23274</v>
      </c>
    </row>
    <row r="11444" spans="1:4" x14ac:dyDescent="0.2">
      <c r="B11444" t="s">
        <v>176</v>
      </c>
      <c r="C11444" t="s">
        <v>4003</v>
      </c>
      <c r="D11444" t="s">
        <v>3736</v>
      </c>
    </row>
    <row r="11446" spans="1:4" x14ac:dyDescent="0.2">
      <c r="A11446" t="s">
        <v>4004</v>
      </c>
      <c r="B11446" t="str">
        <f>HYPERLINK("https://lindat.mff.cuni.cz/services/teitok/pdtc10/index.php?action=vallex&amp;frame=v-w10139f3", "klonovat (v-w10139f3)")</f>
        <v>klonovat (v-w10139f3)</v>
      </c>
    </row>
    <row r="11447" spans="1:4" x14ac:dyDescent="0.2">
      <c r="B11447" t="s">
        <v>1</v>
      </c>
      <c r="D11447" t="s">
        <v>2363</v>
      </c>
    </row>
    <row r="11448" spans="1:4" x14ac:dyDescent="0.2">
      <c r="B11448" t="s">
        <v>8</v>
      </c>
      <c r="D11448" t="s">
        <v>17592</v>
      </c>
    </row>
    <row r="11449" spans="1:4" x14ac:dyDescent="0.2">
      <c r="B11449" t="s">
        <v>24</v>
      </c>
      <c r="D11449" t="s">
        <v>3656</v>
      </c>
    </row>
    <row r="11451" spans="1:4" x14ac:dyDescent="0.2">
      <c r="A11451" t="s">
        <v>4005</v>
      </c>
      <c r="B11451" t="str">
        <f>HYPERLINK("https://lindat.mff.cuni.cz/services/teitok/pdtc10/index.php?action=vallex&amp;frame=v-w1402f3", "klopýtat (v-w1402f3)")</f>
        <v>klopýtat (v-w1402f3)</v>
      </c>
    </row>
    <row r="11452" spans="1:4" x14ac:dyDescent="0.2">
      <c r="B11452" t="s">
        <v>1</v>
      </c>
      <c r="C11452" t="s">
        <v>22</v>
      </c>
    </row>
    <row r="11453" spans="1:4" x14ac:dyDescent="0.2">
      <c r="B11453" t="s">
        <v>4006</v>
      </c>
    </row>
    <row r="11455" spans="1:4" x14ac:dyDescent="0.2">
      <c r="A11455" t="s">
        <v>4005</v>
      </c>
      <c r="B11455" t="str">
        <f>HYPERLINK("https://lindat.mff.cuni.cz/services/teitok/pdtc10/index.php?action=vallex&amp;frame=v-w1402f1", "klopýtat (v-w1402f1) - substituted with v-w1402f3")</f>
        <v>klopýtat (v-w1402f1) - substituted with v-w1402f3</v>
      </c>
    </row>
    <row r="11456" spans="1:4" x14ac:dyDescent="0.2">
      <c r="B11456" t="s">
        <v>1</v>
      </c>
    </row>
    <row r="11457" spans="1:4" x14ac:dyDescent="0.2">
      <c r="B11457" t="s">
        <v>4006</v>
      </c>
    </row>
    <row r="11459" spans="1:4" x14ac:dyDescent="0.2">
      <c r="A11459" t="s">
        <v>4007</v>
      </c>
      <c r="B11459" t="str">
        <f>HYPERLINK("https://lindat.mff.cuni.cz/services/teitok/pdtc10/index.php?action=vallex&amp;frame=v-w1402f4", "klopýtat (v-w1402f4)")</f>
        <v>klopýtat (v-w1402f4)</v>
      </c>
    </row>
    <row r="11460" spans="1:4" x14ac:dyDescent="0.2">
      <c r="B11460" t="s">
        <v>1</v>
      </c>
      <c r="C11460" t="s">
        <v>4008</v>
      </c>
      <c r="D11460" t="s">
        <v>22</v>
      </c>
    </row>
    <row r="11462" spans="1:4" x14ac:dyDescent="0.2">
      <c r="A11462" t="s">
        <v>4009</v>
      </c>
      <c r="B11462" t="str">
        <f>HYPERLINK("https://lindat.mff.cuni.cz/services/teitok/pdtc10/index.php?action=vallex&amp;frame=v-w10902f2", "klopýtnout (v-w10902f2)")</f>
        <v>klopýtnout (v-w10902f2)</v>
      </c>
    </row>
    <row r="11463" spans="1:4" x14ac:dyDescent="0.2">
      <c r="B11463" t="s">
        <v>1</v>
      </c>
      <c r="C11463" t="s">
        <v>22</v>
      </c>
    </row>
    <row r="11464" spans="1:4" x14ac:dyDescent="0.2">
      <c r="B11464" t="s">
        <v>2287</v>
      </c>
      <c r="C11464" t="s">
        <v>991</v>
      </c>
    </row>
    <row r="11466" spans="1:4" x14ac:dyDescent="0.2">
      <c r="A11466" t="s">
        <v>4010</v>
      </c>
      <c r="B11466" t="str">
        <f>HYPERLINK("https://lindat.mff.cuni.cz/services/teitok/pdtc10/index.php?action=vallex&amp;frame=v-w11397f1", "klouzat (v-w11397f1)")</f>
        <v>klouzat (v-w11397f1)</v>
      </c>
    </row>
    <row r="11467" spans="1:4" x14ac:dyDescent="0.2">
      <c r="B11467" t="s">
        <v>1</v>
      </c>
      <c r="C11467" t="s">
        <v>4011</v>
      </c>
      <c r="D11467" t="s">
        <v>186</v>
      </c>
    </row>
    <row r="11469" spans="1:4" x14ac:dyDescent="0.2">
      <c r="A11469" t="s">
        <v>4012</v>
      </c>
      <c r="B11469" t="str">
        <f>HYPERLINK("https://lindat.mff.cuni.cz/services/teitok/pdtc10/index.php?action=vallex&amp;frame=v-w1404f1", "klouzat se (v-w1404f1)")</f>
        <v>klouzat se (v-w1404f1)</v>
      </c>
    </row>
    <row r="11470" spans="1:4" x14ac:dyDescent="0.2">
      <c r="B11470" t="s">
        <v>1</v>
      </c>
      <c r="D11470" t="s">
        <v>186</v>
      </c>
    </row>
    <row r="11472" spans="1:4" x14ac:dyDescent="0.2">
      <c r="A11472" t="s">
        <v>4013</v>
      </c>
      <c r="B11472" t="str">
        <f>HYPERLINK("https://lindat.mff.cuni.cz/services/teitok/pdtc10/index.php?action=vallex&amp;frame=v-w1405f1", "klubat se (v-w1405f1)")</f>
        <v>klubat se (v-w1405f1)</v>
      </c>
    </row>
    <row r="11473" spans="1:4" x14ac:dyDescent="0.2">
      <c r="B11473" t="s">
        <v>1</v>
      </c>
    </row>
    <row r="11474" spans="1:4" x14ac:dyDescent="0.2">
      <c r="B11474" t="s">
        <v>438</v>
      </c>
    </row>
    <row r="11476" spans="1:4" x14ac:dyDescent="0.2">
      <c r="A11476" t="s">
        <v>4014</v>
      </c>
      <c r="B11476" t="str">
        <f>HYPERLINK("https://lindat.mff.cuni.cz/services/teitok/pdtc10/index.php?action=vallex&amp;frame=v-w12113_ZUf1_ZU", "klábosit (v-w12113_ZUf1_ZU)")</f>
        <v>klábosit (v-w12113_ZUf1_ZU)</v>
      </c>
    </row>
    <row r="11477" spans="1:4" x14ac:dyDescent="0.2">
      <c r="B11477" t="s">
        <v>1</v>
      </c>
    </row>
    <row r="11478" spans="1:4" x14ac:dyDescent="0.2">
      <c r="B11478" t="s">
        <v>269</v>
      </c>
    </row>
    <row r="11479" spans="1:4" x14ac:dyDescent="0.2">
      <c r="B11479" t="s">
        <v>2328</v>
      </c>
    </row>
    <row r="11481" spans="1:4" x14ac:dyDescent="0.2">
      <c r="A11481" t="s">
        <v>4015</v>
      </c>
      <c r="B11481" t="str">
        <f>HYPERLINK("https://lindat.mff.cuni.cz/services/teitok/pdtc10/index.php?action=vallex&amp;frame=v-w1387f3", "klást (v-w1387f3)")</f>
        <v>klást (v-w1387f3)</v>
      </c>
    </row>
    <row r="11482" spans="1:4" x14ac:dyDescent="0.2">
      <c r="B11482" t="s">
        <v>1</v>
      </c>
    </row>
    <row r="11483" spans="1:4" x14ac:dyDescent="0.2">
      <c r="B11483" t="s">
        <v>1921</v>
      </c>
    </row>
    <row r="11484" spans="1:4" x14ac:dyDescent="0.2">
      <c r="B11484" t="s">
        <v>35</v>
      </c>
      <c r="C11484" t="s">
        <v>4016</v>
      </c>
    </row>
    <row r="11485" spans="1:4" x14ac:dyDescent="0.2">
      <c r="B11485" t="s">
        <v>4017</v>
      </c>
      <c r="C11485" t="s">
        <v>4018</v>
      </c>
    </row>
    <row r="11487" spans="1:4" x14ac:dyDescent="0.2">
      <c r="A11487" t="s">
        <v>4019</v>
      </c>
      <c r="B11487" t="str">
        <f>HYPERLINK("https://lindat.mff.cuni.cz/services/teitok/pdtc10/index.php?action=vallex&amp;frame=v-w1387f6", "klást (v-w1387f6)")</f>
        <v>klást (v-w1387f6)</v>
      </c>
    </row>
    <row r="11488" spans="1:4" x14ac:dyDescent="0.2">
      <c r="B11488" t="s">
        <v>1</v>
      </c>
      <c r="C11488" t="s">
        <v>16</v>
      </c>
      <c r="D11488" t="s">
        <v>13976</v>
      </c>
    </row>
    <row r="11489" spans="1:4" x14ac:dyDescent="0.2">
      <c r="B11489" t="s">
        <v>8</v>
      </c>
      <c r="C11489" t="s">
        <v>110</v>
      </c>
      <c r="D11489" t="s">
        <v>10414</v>
      </c>
    </row>
    <row r="11490" spans="1:4" x14ac:dyDescent="0.2">
      <c r="B11490" t="s">
        <v>205</v>
      </c>
      <c r="C11490" t="s">
        <v>4020</v>
      </c>
      <c r="D11490" t="s">
        <v>23197</v>
      </c>
    </row>
    <row r="11492" spans="1:4" x14ac:dyDescent="0.2">
      <c r="A11492" t="s">
        <v>4021</v>
      </c>
      <c r="B11492" t="str">
        <f>HYPERLINK("https://lindat.mff.cuni.cz/services/teitok/pdtc10/index.php?action=vallex&amp;frame=v-w1387f9", "klást (v-w1387f9)")</f>
        <v>klást (v-w1387f9)</v>
      </c>
    </row>
    <row r="11493" spans="1:4" x14ac:dyDescent="0.2">
      <c r="B11493" t="s">
        <v>1</v>
      </c>
      <c r="C11493" t="s">
        <v>964</v>
      </c>
      <c r="D11493" t="s">
        <v>23181</v>
      </c>
    </row>
    <row r="11494" spans="1:4" x14ac:dyDescent="0.2">
      <c r="B11494" t="s">
        <v>8</v>
      </c>
      <c r="C11494" t="s">
        <v>125</v>
      </c>
      <c r="D11494" t="s">
        <v>23182</v>
      </c>
    </row>
    <row r="11495" spans="1:4" x14ac:dyDescent="0.2">
      <c r="B11495" t="s">
        <v>90</v>
      </c>
      <c r="C11495" t="s">
        <v>4020</v>
      </c>
      <c r="D11495" t="s">
        <v>11579</v>
      </c>
    </row>
    <row r="11497" spans="1:4" x14ac:dyDescent="0.2">
      <c r="A11497" t="s">
        <v>4022</v>
      </c>
      <c r="B11497" t="str">
        <f>HYPERLINK("https://lindat.mff.cuni.cz/services/teitok/pdtc10/index.php?action=vallex&amp;frame=v-w1387f7", "klást (v-w1387f7)")</f>
        <v>klást (v-w1387f7)</v>
      </c>
    </row>
    <row r="11498" spans="1:4" x14ac:dyDescent="0.2">
      <c r="B11498" t="s">
        <v>1</v>
      </c>
    </row>
    <row r="11499" spans="1:4" x14ac:dyDescent="0.2">
      <c r="B11499" t="s">
        <v>8</v>
      </c>
    </row>
    <row r="11501" spans="1:4" x14ac:dyDescent="0.2">
      <c r="A11501" t="s">
        <v>4023</v>
      </c>
      <c r="B11501" t="str">
        <f>HYPERLINK("https://lindat.mff.cuni.cz/services/teitok/pdtc10/index.php?action=vallex&amp;frame=v-w1387f8", "klást (v-w1387f8)")</f>
        <v>klást (v-w1387f8)</v>
      </c>
    </row>
    <row r="11502" spans="1:4" x14ac:dyDescent="0.2">
      <c r="B11502" t="s">
        <v>1</v>
      </c>
      <c r="C11502" t="s">
        <v>33</v>
      </c>
      <c r="D11502" t="s">
        <v>33</v>
      </c>
    </row>
    <row r="11503" spans="1:4" x14ac:dyDescent="0.2">
      <c r="B11503" t="s">
        <v>8</v>
      </c>
      <c r="C11503" t="s">
        <v>1044</v>
      </c>
      <c r="D11503" t="s">
        <v>1044</v>
      </c>
    </row>
    <row r="11505" spans="1:4" x14ac:dyDescent="0.2">
      <c r="A11505" t="s">
        <v>4024</v>
      </c>
      <c r="B11505" t="str">
        <f>HYPERLINK("https://lindat.mff.cuni.cz/services/teitok/pdtc10/index.php?action=vallex&amp;frame=v-w1387f5", "klást (v-w1387f5)")</f>
        <v>klást (v-w1387f5)</v>
      </c>
    </row>
    <row r="11506" spans="1:4" x14ac:dyDescent="0.2">
      <c r="B11506" t="s">
        <v>1</v>
      </c>
    </row>
    <row r="11507" spans="1:4" x14ac:dyDescent="0.2">
      <c r="B11507" t="s">
        <v>4025</v>
      </c>
    </row>
    <row r="11508" spans="1:4" x14ac:dyDescent="0.2">
      <c r="B11508" t="s">
        <v>35</v>
      </c>
    </row>
    <row r="11510" spans="1:4" x14ac:dyDescent="0.2">
      <c r="A11510" t="s">
        <v>4026</v>
      </c>
      <c r="B11510" t="str">
        <f>HYPERLINK("https://lindat.mff.cuni.cz/services/teitok/pdtc10/index.php?action=vallex&amp;frame=v-w1387f1", "klást (v-w1387f1)")</f>
        <v>klást (v-w1387f1)</v>
      </c>
    </row>
    <row r="11511" spans="1:4" x14ac:dyDescent="0.2">
      <c r="B11511" t="s">
        <v>1</v>
      </c>
      <c r="C11511" t="s">
        <v>4027</v>
      </c>
      <c r="D11511" t="s">
        <v>23213</v>
      </c>
    </row>
    <row r="11512" spans="1:4" x14ac:dyDescent="0.2">
      <c r="B11512" t="s">
        <v>4028</v>
      </c>
      <c r="C11512" t="s">
        <v>4029</v>
      </c>
      <c r="D11512" t="s">
        <v>23399</v>
      </c>
    </row>
    <row r="11513" spans="1:4" x14ac:dyDescent="0.2">
      <c r="B11513" t="s">
        <v>35</v>
      </c>
      <c r="C11513" t="s">
        <v>4030</v>
      </c>
      <c r="D11513" t="s">
        <v>23215</v>
      </c>
    </row>
    <row r="11515" spans="1:4" x14ac:dyDescent="0.2">
      <c r="A11515" t="s">
        <v>4031</v>
      </c>
      <c r="B11515" t="str">
        <f>HYPERLINK("https://lindat.mff.cuni.cz/services/teitok/pdtc10/index.php?action=vallex&amp;frame=v-w1387hsa_549", "klást (v-w1387hsa_549)")</f>
        <v>klást (v-w1387hsa_549)</v>
      </c>
    </row>
    <row r="11516" spans="1:4" x14ac:dyDescent="0.2">
      <c r="B11516" t="s">
        <v>1</v>
      </c>
      <c r="C11516" t="s">
        <v>2303</v>
      </c>
    </row>
    <row r="11517" spans="1:4" x14ac:dyDescent="0.2">
      <c r="B11517" t="s">
        <v>4032</v>
      </c>
      <c r="C11517" t="s">
        <v>4033</v>
      </c>
    </row>
    <row r="11518" spans="1:4" x14ac:dyDescent="0.2">
      <c r="B11518" t="s">
        <v>88</v>
      </c>
    </row>
    <row r="11520" spans="1:4" x14ac:dyDescent="0.2">
      <c r="A11520" t="s">
        <v>4031</v>
      </c>
      <c r="B11520" t="str">
        <f>HYPERLINK("https://lindat.mff.cuni.cz/services/teitok/pdtc10/index.php?action=vallex&amp;frame=v-w1387f4", "klást (v-w1387f4) - substituted with v-w1387hsa_549")</f>
        <v>klást (v-w1387f4) - substituted with v-w1387hsa_549</v>
      </c>
    </row>
    <row r="11521" spans="1:4" x14ac:dyDescent="0.2">
      <c r="B11521" t="s">
        <v>1</v>
      </c>
      <c r="C11521" t="s">
        <v>2555</v>
      </c>
    </row>
    <row r="11522" spans="1:4" x14ac:dyDescent="0.2">
      <c r="B11522" t="s">
        <v>4032</v>
      </c>
      <c r="C11522" t="s">
        <v>2556</v>
      </c>
    </row>
    <row r="11523" spans="1:4" x14ac:dyDescent="0.2">
      <c r="B11523" t="s">
        <v>88</v>
      </c>
    </row>
    <row r="11525" spans="1:4" x14ac:dyDescent="0.2">
      <c r="A11525" t="s">
        <v>4034</v>
      </c>
      <c r="B11525" t="str">
        <f>HYPERLINK("https://lindat.mff.cuni.cz/services/teitok/pdtc10/index.php?action=vallex&amp;frame=v-w1387f2", "klást (v-w1387f2)")</f>
        <v>klást (v-w1387f2)</v>
      </c>
    </row>
    <row r="11526" spans="1:4" x14ac:dyDescent="0.2">
      <c r="B11526" t="s">
        <v>1</v>
      </c>
      <c r="C11526" t="s">
        <v>4035</v>
      </c>
      <c r="D11526" t="s">
        <v>10977</v>
      </c>
    </row>
    <row r="11527" spans="1:4" x14ac:dyDescent="0.2">
      <c r="B11527" t="s">
        <v>2582</v>
      </c>
      <c r="C11527" t="s">
        <v>4036</v>
      </c>
      <c r="D11527" t="s">
        <v>11123</v>
      </c>
    </row>
    <row r="11529" spans="1:4" x14ac:dyDescent="0.2">
      <c r="A11529" t="s">
        <v>4037</v>
      </c>
      <c r="B11529" t="str">
        <f>HYPERLINK("https://lindat.mff.cuni.cz/services/teitok/pdtc10/index.php?action=vallex&amp;frame=v-w1387hsa_547", "klást (v-w1387hsa_547)")</f>
        <v>klást (v-w1387hsa_547)</v>
      </c>
    </row>
    <row r="11530" spans="1:4" x14ac:dyDescent="0.2">
      <c r="B11530" t="s">
        <v>1</v>
      </c>
      <c r="C11530" t="s">
        <v>140</v>
      </c>
    </row>
    <row r="11531" spans="1:4" x14ac:dyDescent="0.2">
      <c r="B11531" t="s">
        <v>8</v>
      </c>
    </row>
    <row r="11532" spans="1:4" x14ac:dyDescent="0.2">
      <c r="B11532" t="s">
        <v>90</v>
      </c>
      <c r="C11532" t="s">
        <v>4038</v>
      </c>
    </row>
    <row r="11534" spans="1:4" x14ac:dyDescent="0.2">
      <c r="A11534" t="s">
        <v>4039</v>
      </c>
      <c r="B11534" t="str">
        <f>HYPERLINK("https://lindat.mff.cuni.cz/services/teitok/pdtc10/index.php?action=vallex&amp;frame=v-w1387f10_ZU", "klást (v-w1387f10_ZU)")</f>
        <v>klást (v-w1387f10_ZU)</v>
      </c>
    </row>
    <row r="11535" spans="1:4" x14ac:dyDescent="0.2">
      <c r="B11535" t="s">
        <v>1</v>
      </c>
    </row>
    <row r="11536" spans="1:4" x14ac:dyDescent="0.2">
      <c r="B11536" t="s">
        <v>4040</v>
      </c>
    </row>
    <row r="11537" spans="1:2" x14ac:dyDescent="0.2">
      <c r="B11537" t="s">
        <v>90</v>
      </c>
    </row>
    <row r="11539" spans="1:2" x14ac:dyDescent="0.2">
      <c r="A11539" t="s">
        <v>4039</v>
      </c>
      <c r="B11539" t="str">
        <f>HYPERLINK("https://lindat.mff.cuni.cz/services/teitok/pdtc10/index.php?action=vallex&amp;frame=v-w1387hsa_548", "klást (v-w1387hsa_548) - substituted with v-w1387f10_ZU")</f>
        <v>klást (v-w1387hsa_548) - substituted with v-w1387f10_ZU</v>
      </c>
    </row>
    <row r="11540" spans="1:2" x14ac:dyDescent="0.2">
      <c r="B11540" t="s">
        <v>1</v>
      </c>
    </row>
    <row r="11541" spans="1:2" x14ac:dyDescent="0.2">
      <c r="B11541" t="s">
        <v>4040</v>
      </c>
    </row>
    <row r="11542" spans="1:2" x14ac:dyDescent="0.2">
      <c r="B11542" t="s">
        <v>90</v>
      </c>
    </row>
    <row r="11544" spans="1:2" x14ac:dyDescent="0.2">
      <c r="A11544" t="s">
        <v>4041</v>
      </c>
      <c r="B11544" t="str">
        <f>HYPERLINK("https://lindat.mff.cuni.cz/services/teitok/pdtc10/index.php?action=vallex&amp;frame=v-w1387f11_ZU", "klást (v-w1387f11_ZU)")</f>
        <v>klást (v-w1387f11_ZU)</v>
      </c>
    </row>
    <row r="11545" spans="1:2" x14ac:dyDescent="0.2">
      <c r="B11545" t="s">
        <v>1</v>
      </c>
    </row>
    <row r="11546" spans="1:2" x14ac:dyDescent="0.2">
      <c r="B11546" t="s">
        <v>4042</v>
      </c>
    </row>
    <row r="11547" spans="1:2" x14ac:dyDescent="0.2">
      <c r="B11547" t="s">
        <v>41</v>
      </c>
    </row>
    <row r="11549" spans="1:2" x14ac:dyDescent="0.2">
      <c r="A11549" t="s">
        <v>4043</v>
      </c>
      <c r="B11549" t="str">
        <f>HYPERLINK("https://lindat.mff.cuni.cz/services/teitok/pdtc10/index.php?action=vallex&amp;frame=v-w1388f1", "klást se (v-w1388f1)")</f>
        <v>klást se (v-w1388f1)</v>
      </c>
    </row>
    <row r="11550" spans="1:2" x14ac:dyDescent="0.2">
      <c r="B11550" t="s">
        <v>1</v>
      </c>
    </row>
    <row r="11552" spans="1:2" x14ac:dyDescent="0.2">
      <c r="A11552" t="s">
        <v>4044</v>
      </c>
      <c r="B11552" t="str">
        <f>HYPERLINK("https://lindat.mff.cuni.cz/services/teitok/pdtc10/index.php?action=vallex&amp;frame=v-w10591f2", "klátit (v-w10591f2)")</f>
        <v>klátit (v-w10591f2)</v>
      </c>
    </row>
    <row r="11553" spans="1:4" x14ac:dyDescent="0.2">
      <c r="B11553" t="s">
        <v>1</v>
      </c>
    </row>
    <row r="11554" spans="1:4" x14ac:dyDescent="0.2">
      <c r="B11554" t="s">
        <v>3215</v>
      </c>
    </row>
    <row r="11556" spans="1:4" x14ac:dyDescent="0.2">
      <c r="A11556" t="s">
        <v>4045</v>
      </c>
      <c r="B11556" t="str">
        <f>HYPERLINK("https://lindat.mff.cuni.cz/services/teitok/pdtc10/index.php?action=vallex&amp;frame=v-w10591f3_ZU", "klátit (v-w10591f3_ZU)")</f>
        <v>klátit (v-w10591f3_ZU)</v>
      </c>
    </row>
    <row r="11557" spans="1:4" x14ac:dyDescent="0.2">
      <c r="B11557" t="s">
        <v>1</v>
      </c>
    </row>
    <row r="11558" spans="1:4" x14ac:dyDescent="0.2">
      <c r="B11558" t="s">
        <v>8</v>
      </c>
      <c r="C11558" t="s">
        <v>34</v>
      </c>
    </row>
    <row r="11560" spans="1:4" x14ac:dyDescent="0.2">
      <c r="A11560" t="s">
        <v>4046</v>
      </c>
      <c r="B11560" t="str">
        <f>HYPERLINK("https://lindat.mff.cuni.cz/services/teitok/pdtc10/index.php?action=vallex&amp;frame=v-w10967f2", "klít (v-w10967f2)")</f>
        <v>klít (v-w10967f2)</v>
      </c>
    </row>
    <row r="11561" spans="1:4" x14ac:dyDescent="0.2">
      <c r="B11561" t="s">
        <v>1</v>
      </c>
    </row>
    <row r="11562" spans="1:4" x14ac:dyDescent="0.2">
      <c r="B11562" t="s">
        <v>4047</v>
      </c>
    </row>
    <row r="11564" spans="1:4" x14ac:dyDescent="0.2">
      <c r="A11564" t="s">
        <v>4048</v>
      </c>
      <c r="B11564" t="str">
        <f>HYPERLINK("https://lindat.mff.cuni.cz/services/teitok/pdtc10/index.php?action=vallex&amp;frame=v-w10411f2", "kmitat (v-w10411f2)")</f>
        <v>kmitat (v-w10411f2)</v>
      </c>
    </row>
    <row r="11565" spans="1:4" x14ac:dyDescent="0.2">
      <c r="B11565" t="s">
        <v>1</v>
      </c>
    </row>
    <row r="11567" spans="1:4" x14ac:dyDescent="0.2">
      <c r="A11567" t="s">
        <v>4049</v>
      </c>
      <c r="B11567" t="str">
        <f>HYPERLINK("https://lindat.mff.cuni.cz/services/teitok/pdtc10/index.php?action=vallex&amp;frame=v-w10734f2", "knokautovat (v-w10734f2)")</f>
        <v>knokautovat (v-w10734f2)</v>
      </c>
    </row>
    <row r="11568" spans="1:4" x14ac:dyDescent="0.2">
      <c r="B11568" t="s">
        <v>1</v>
      </c>
      <c r="D11568" t="s">
        <v>249</v>
      </c>
    </row>
    <row r="11569" spans="1:4" x14ac:dyDescent="0.2">
      <c r="B11569" t="s">
        <v>8</v>
      </c>
      <c r="C11569" t="s">
        <v>34</v>
      </c>
      <c r="D11569" t="s">
        <v>1025</v>
      </c>
    </row>
    <row r="11571" spans="1:4" x14ac:dyDescent="0.2">
      <c r="A11571" t="s">
        <v>4050</v>
      </c>
      <c r="B11571" t="str">
        <f>HYPERLINK("https://lindat.mff.cuni.cz/services/teitok/pdtc10/index.php?action=vallex&amp;frame=v-w1417f1", "kochat se (v-w1417f1)")</f>
        <v>kochat se (v-w1417f1)</v>
      </c>
    </row>
    <row r="11572" spans="1:4" x14ac:dyDescent="0.2">
      <c r="B11572" t="s">
        <v>1</v>
      </c>
    </row>
    <row r="11573" spans="1:4" x14ac:dyDescent="0.2">
      <c r="B11573" t="s">
        <v>158</v>
      </c>
    </row>
    <row r="11575" spans="1:4" x14ac:dyDescent="0.2">
      <c r="A11575" t="s">
        <v>4051</v>
      </c>
      <c r="B11575" t="str">
        <f>HYPERLINK("https://lindat.mff.cuni.cz/services/teitok/pdtc10/index.php?action=vallex&amp;frame=v-w1414f1", "kodifikovat (v-w1414f1)")</f>
        <v>kodifikovat (v-w1414f1)</v>
      </c>
    </row>
    <row r="11576" spans="1:4" x14ac:dyDescent="0.2">
      <c r="B11576" t="s">
        <v>1</v>
      </c>
      <c r="D11576" t="s">
        <v>23400</v>
      </c>
    </row>
    <row r="11577" spans="1:4" x14ac:dyDescent="0.2">
      <c r="B11577" t="s">
        <v>1284</v>
      </c>
      <c r="C11577" t="s">
        <v>113</v>
      </c>
      <c r="D11577" t="s">
        <v>307</v>
      </c>
    </row>
    <row r="11579" spans="1:4" x14ac:dyDescent="0.2">
      <c r="A11579" t="s">
        <v>4052</v>
      </c>
      <c r="B11579" t="str">
        <f>HYPERLINK("https://lindat.mff.cuni.cz/services/teitok/pdtc10/index.php?action=vallex&amp;frame=v-w10580f2", "kodrcat (v-w10580f2)")</f>
        <v>kodrcat (v-w10580f2)</v>
      </c>
    </row>
    <row r="11580" spans="1:4" x14ac:dyDescent="0.2">
      <c r="B11580" t="s">
        <v>1</v>
      </c>
      <c r="C11580" t="s">
        <v>133</v>
      </c>
    </row>
    <row r="11582" spans="1:4" x14ac:dyDescent="0.2">
      <c r="A11582" t="s">
        <v>4053</v>
      </c>
      <c r="B11582" t="str">
        <f>HYPERLINK("https://lindat.mff.cuni.cz/services/teitok/pdtc10/index.php?action=vallex&amp;frame=v-w10780f2", "koexistovat (v-w10780f2)")</f>
        <v>koexistovat (v-w10780f2)</v>
      </c>
    </row>
    <row r="11583" spans="1:4" x14ac:dyDescent="0.2">
      <c r="B11583" t="s">
        <v>1</v>
      </c>
    </row>
    <row r="11584" spans="1:4" x14ac:dyDescent="0.2">
      <c r="B11584" t="s">
        <v>411</v>
      </c>
    </row>
    <row r="11586" spans="1:4" x14ac:dyDescent="0.2">
      <c r="A11586" t="s">
        <v>4054</v>
      </c>
      <c r="B11586" t="str">
        <f>HYPERLINK("https://lindat.mff.cuni.cz/services/teitok/pdtc10/index.php?action=vallex&amp;frame=v-w1418f1", "kojit (v-w1418f1)")</f>
        <v>kojit (v-w1418f1)</v>
      </c>
    </row>
    <row r="11587" spans="1:4" x14ac:dyDescent="0.2">
      <c r="B11587" t="s">
        <v>1</v>
      </c>
    </row>
    <row r="11588" spans="1:4" x14ac:dyDescent="0.2">
      <c r="B11588" t="s">
        <v>8</v>
      </c>
    </row>
    <row r="11590" spans="1:4" x14ac:dyDescent="0.2">
      <c r="A11590" t="s">
        <v>4055</v>
      </c>
      <c r="B11590" t="str">
        <f>HYPERLINK("https://lindat.mff.cuni.cz/services/teitok/pdtc10/index.php?action=vallex&amp;frame=v-w1420f1", "koketovat (v-w1420f1)")</f>
        <v>koketovat (v-w1420f1)</v>
      </c>
    </row>
    <row r="11591" spans="1:4" x14ac:dyDescent="0.2">
      <c r="B11591" t="s">
        <v>1</v>
      </c>
      <c r="C11591" t="s">
        <v>83</v>
      </c>
      <c r="D11591" t="s">
        <v>22</v>
      </c>
    </row>
    <row r="11592" spans="1:4" x14ac:dyDescent="0.2">
      <c r="B11592" t="s">
        <v>2423</v>
      </c>
      <c r="C11592" t="s">
        <v>23</v>
      </c>
      <c r="D11592" t="s">
        <v>23</v>
      </c>
    </row>
    <row r="11594" spans="1:4" x14ac:dyDescent="0.2">
      <c r="A11594" t="s">
        <v>4056</v>
      </c>
      <c r="B11594" t="str">
        <f>HYPERLINK("https://lindat.mff.cuni.cz/services/teitok/pdtc10/index.php?action=vallex&amp;frame=v-w12101_ZUf1_ZU", "koktat (v-w12101_ZUf1_ZU)")</f>
        <v>koktat (v-w12101_ZUf1_ZU)</v>
      </c>
    </row>
    <row r="11595" spans="1:4" x14ac:dyDescent="0.2">
      <c r="B11595" t="s">
        <v>1</v>
      </c>
    </row>
    <row r="11597" spans="1:4" x14ac:dyDescent="0.2">
      <c r="A11597" t="s">
        <v>4057</v>
      </c>
      <c r="B11597" t="str">
        <f>HYPERLINK("https://lindat.mff.cuni.cz/services/teitok/pdtc10/index.php?action=vallex&amp;frame=v-w10664f2", "kolaborovat (v-w10664f2)")</f>
        <v>kolaborovat (v-w10664f2)</v>
      </c>
    </row>
    <row r="11598" spans="1:4" x14ac:dyDescent="0.2">
      <c r="B11598" t="s">
        <v>1</v>
      </c>
      <c r="C11598" t="s">
        <v>334</v>
      </c>
      <c r="D11598" t="s">
        <v>23401</v>
      </c>
    </row>
    <row r="11599" spans="1:4" x14ac:dyDescent="0.2">
      <c r="B11599" t="s">
        <v>4058</v>
      </c>
      <c r="D11599" t="s">
        <v>23402</v>
      </c>
    </row>
    <row r="11600" spans="1:4" x14ac:dyDescent="0.2">
      <c r="B11600" t="s">
        <v>4059</v>
      </c>
      <c r="C11600" t="s">
        <v>4060</v>
      </c>
      <c r="D11600" t="s">
        <v>14643</v>
      </c>
    </row>
    <row r="11602" spans="1:4" x14ac:dyDescent="0.2">
      <c r="A11602" t="s">
        <v>4061</v>
      </c>
      <c r="B11602" t="str">
        <f>HYPERLINK("https://lindat.mff.cuni.cz/services/teitok/pdtc10/index.php?action=vallex&amp;frame=v-whsa_1628hsa_1629", "koledovat (v-whsa_1628hsa_1629)")</f>
        <v>koledovat (v-whsa_1628hsa_1629)</v>
      </c>
    </row>
    <row r="11603" spans="1:4" x14ac:dyDescent="0.2">
      <c r="B11603" t="s">
        <v>1</v>
      </c>
    </row>
    <row r="11605" spans="1:4" x14ac:dyDescent="0.2">
      <c r="A11605" t="s">
        <v>4062</v>
      </c>
      <c r="B11605" t="str">
        <f>HYPERLINK("https://lindat.mff.cuni.cz/services/teitok/pdtc10/index.php?action=vallex&amp;frame=v-w1429f1", "kolidovat (v-w1429f1)")</f>
        <v>kolidovat (v-w1429f1)</v>
      </c>
    </row>
    <row r="11606" spans="1:4" x14ac:dyDescent="0.2">
      <c r="B11606" t="s">
        <v>1</v>
      </c>
    </row>
    <row r="11607" spans="1:4" x14ac:dyDescent="0.2">
      <c r="B11607" t="s">
        <v>411</v>
      </c>
    </row>
    <row r="11609" spans="1:4" x14ac:dyDescent="0.2">
      <c r="A11609" t="s">
        <v>4063</v>
      </c>
      <c r="B11609" t="str">
        <f>HYPERLINK("https://lindat.mff.cuni.cz/services/teitok/pdtc10/index.php?action=vallex&amp;frame=v-w11856_ZUf1_ZU", "kolorovat (v-w11856_ZUf1_ZU)")</f>
        <v>kolorovat (v-w11856_ZUf1_ZU)</v>
      </c>
    </row>
    <row r="11610" spans="1:4" x14ac:dyDescent="0.2">
      <c r="B11610" t="s">
        <v>1</v>
      </c>
    </row>
    <row r="11611" spans="1:4" x14ac:dyDescent="0.2">
      <c r="B11611" t="s">
        <v>8</v>
      </c>
    </row>
    <row r="11613" spans="1:4" x14ac:dyDescent="0.2">
      <c r="A11613" t="s">
        <v>4064</v>
      </c>
      <c r="B11613" t="str">
        <f>HYPERLINK("https://lindat.mff.cuni.cz/services/teitok/pdtc10/index.php?action=vallex&amp;frame=v-w1435f1", "kolovat (v-w1435f1)")</f>
        <v>kolovat (v-w1435f1)</v>
      </c>
    </row>
    <row r="11614" spans="1:4" x14ac:dyDescent="0.2">
      <c r="B11614" t="s">
        <v>1</v>
      </c>
      <c r="C11614" t="s">
        <v>4065</v>
      </c>
      <c r="D11614" t="s">
        <v>23031</v>
      </c>
    </row>
    <row r="11616" spans="1:4" x14ac:dyDescent="0.2">
      <c r="A11616" t="s">
        <v>4066</v>
      </c>
      <c r="B11616" t="str">
        <f>HYPERLINK("https://lindat.mff.cuni.cz/services/teitok/pdtc10/index.php?action=vallex&amp;frame=v-w11239f1", "kolébat se (v-w11239f1)")</f>
        <v>kolébat se (v-w11239f1)</v>
      </c>
    </row>
    <row r="11617" spans="1:4" x14ac:dyDescent="0.2">
      <c r="B11617" t="s">
        <v>1</v>
      </c>
      <c r="D11617" t="s">
        <v>3810</v>
      </c>
    </row>
    <row r="11619" spans="1:4" x14ac:dyDescent="0.2">
      <c r="A11619" t="s">
        <v>4067</v>
      </c>
      <c r="B11619" t="str">
        <f>HYPERLINK("https://lindat.mff.cuni.cz/services/teitok/pdtc10/index.php?action=vallex&amp;frame=v-w1428f1", "kolíbat (v-w1428f1)")</f>
        <v>kolíbat (v-w1428f1)</v>
      </c>
    </row>
    <row r="11620" spans="1:4" x14ac:dyDescent="0.2">
      <c r="B11620" t="s">
        <v>1</v>
      </c>
    </row>
    <row r="11621" spans="1:4" x14ac:dyDescent="0.2">
      <c r="B11621" t="s">
        <v>8</v>
      </c>
    </row>
    <row r="11623" spans="1:4" x14ac:dyDescent="0.2">
      <c r="A11623" t="s">
        <v>4068</v>
      </c>
      <c r="B11623" t="str">
        <f>HYPERLINK("https://lindat.mff.cuni.cz/services/teitok/pdtc10/index.php?action=vallex&amp;frame=v-w1430f1", "kolísat (v-w1430f1)")</f>
        <v>kolísat (v-w1430f1)</v>
      </c>
    </row>
    <row r="11624" spans="1:4" x14ac:dyDescent="0.2">
      <c r="B11624" t="s">
        <v>1</v>
      </c>
      <c r="C11624" t="s">
        <v>4069</v>
      </c>
      <c r="D11624" t="s">
        <v>23346</v>
      </c>
    </row>
    <row r="11626" spans="1:4" x14ac:dyDescent="0.2">
      <c r="A11626" t="s">
        <v>4070</v>
      </c>
      <c r="B11626" t="str">
        <f>HYPERLINK("https://lindat.mff.cuni.cz/services/teitok/pdtc10/index.php?action=vallex&amp;frame=v-w1430hsa_1800", "kolísat (v-w1430hsa_1800)")</f>
        <v>kolísat (v-w1430hsa_1800)</v>
      </c>
    </row>
    <row r="11627" spans="1:4" x14ac:dyDescent="0.2">
      <c r="B11627" t="s">
        <v>1</v>
      </c>
    </row>
    <row r="11628" spans="1:4" x14ac:dyDescent="0.2">
      <c r="B11628" t="s">
        <v>4071</v>
      </c>
    </row>
    <row r="11630" spans="1:4" x14ac:dyDescent="0.2">
      <c r="A11630" t="s">
        <v>4072</v>
      </c>
      <c r="B11630" t="str">
        <f>HYPERLINK("https://lindat.mff.cuni.cz/services/teitok/pdtc10/index.php?action=vallex&amp;frame=v-whsa_499hsa_500", "komandovat (v-whsa_499hsa_500)")</f>
        <v>komandovat (v-whsa_499hsa_500)</v>
      </c>
    </row>
    <row r="11631" spans="1:4" x14ac:dyDescent="0.2">
      <c r="B11631" t="s">
        <v>1</v>
      </c>
    </row>
    <row r="11632" spans="1:4" x14ac:dyDescent="0.2">
      <c r="B11632" t="s">
        <v>8</v>
      </c>
    </row>
    <row r="11634" spans="1:4" x14ac:dyDescent="0.2">
      <c r="A11634" t="s">
        <v>4073</v>
      </c>
      <c r="B11634" t="str">
        <f>HYPERLINK("https://lindat.mff.cuni.cz/services/teitok/pdtc10/index.php?action=vallex&amp;frame=v-w1437f1", "kombinovat (v-w1437f1)")</f>
        <v>kombinovat (v-w1437f1)</v>
      </c>
    </row>
    <row r="11635" spans="1:4" x14ac:dyDescent="0.2">
      <c r="B11635" t="s">
        <v>1</v>
      </c>
      <c r="C11635" t="s">
        <v>115</v>
      </c>
      <c r="D11635" t="s">
        <v>23403</v>
      </c>
    </row>
    <row r="11636" spans="1:4" x14ac:dyDescent="0.2">
      <c r="B11636" t="s">
        <v>8</v>
      </c>
      <c r="C11636" t="s">
        <v>4074</v>
      </c>
      <c r="D11636" t="s">
        <v>23404</v>
      </c>
    </row>
    <row r="11637" spans="1:4" x14ac:dyDescent="0.2">
      <c r="B11637" t="s">
        <v>2604</v>
      </c>
      <c r="C11637" t="s">
        <v>4075</v>
      </c>
      <c r="D11637" t="s">
        <v>23405</v>
      </c>
    </row>
    <row r="11639" spans="1:4" x14ac:dyDescent="0.2">
      <c r="A11639" t="s">
        <v>4076</v>
      </c>
      <c r="B11639" t="str">
        <f>HYPERLINK("https://lindat.mff.cuni.cz/services/teitok/pdtc10/index.php?action=vallex&amp;frame=v-w1443hsa_395", "komentovat (v-w1443hsa_395)")</f>
        <v>komentovat (v-w1443hsa_395)</v>
      </c>
    </row>
    <row r="11640" spans="1:4" x14ac:dyDescent="0.2">
      <c r="B11640" t="s">
        <v>1</v>
      </c>
      <c r="C11640" t="s">
        <v>2555</v>
      </c>
      <c r="D11640" t="s">
        <v>2237</v>
      </c>
    </row>
    <row r="11641" spans="1:4" x14ac:dyDescent="0.2">
      <c r="B11641" t="s">
        <v>4077</v>
      </c>
      <c r="C11641" t="s">
        <v>341</v>
      </c>
      <c r="D11641" t="s">
        <v>341</v>
      </c>
    </row>
    <row r="11643" spans="1:4" x14ac:dyDescent="0.2">
      <c r="A11643" t="s">
        <v>4076</v>
      </c>
      <c r="B11643" t="str">
        <f>HYPERLINK("https://lindat.mff.cuni.cz/services/teitok/pdtc10/index.php?action=vallex&amp;frame=v-w1443f1", "komentovat (v-w1443f1) - substituted with v-w1443hsa_395")</f>
        <v>komentovat (v-w1443f1) - substituted with v-w1443hsa_395</v>
      </c>
    </row>
    <row r="11644" spans="1:4" x14ac:dyDescent="0.2">
      <c r="B11644" t="s">
        <v>1</v>
      </c>
      <c r="C11644" t="s">
        <v>4078</v>
      </c>
    </row>
    <row r="11645" spans="1:4" x14ac:dyDescent="0.2">
      <c r="B11645" t="s">
        <v>4077</v>
      </c>
      <c r="C11645" t="s">
        <v>4079</v>
      </c>
    </row>
    <row r="11647" spans="1:4" x14ac:dyDescent="0.2">
      <c r="A11647" t="s">
        <v>4080</v>
      </c>
      <c r="B11647" t="str">
        <f>HYPERLINK("https://lindat.mff.cuni.cz/services/teitok/pdtc10/index.php?action=vallex&amp;frame=v-w1446f1", "komolit (v-w1446f1)")</f>
        <v>komolit (v-w1446f1)</v>
      </c>
    </row>
    <row r="11648" spans="1:4" x14ac:dyDescent="0.2">
      <c r="B11648" t="s">
        <v>1</v>
      </c>
    </row>
    <row r="11649" spans="1:4" x14ac:dyDescent="0.2">
      <c r="B11649" t="s">
        <v>41</v>
      </c>
    </row>
    <row r="11651" spans="1:4" x14ac:dyDescent="0.2">
      <c r="A11651" t="s">
        <v>4081</v>
      </c>
      <c r="B11651" t="str">
        <f>HYPERLINK("https://lindat.mff.cuni.cz/services/teitok/pdtc10/index.php?action=vallex&amp;frame=v-w1451f1", "kompenzovat (v-w1451f1)")</f>
        <v>kompenzovat (v-w1451f1)</v>
      </c>
    </row>
    <row r="11652" spans="1:4" x14ac:dyDescent="0.2">
      <c r="B11652" t="s">
        <v>1</v>
      </c>
      <c r="C11652" t="s">
        <v>4082</v>
      </c>
    </row>
    <row r="11653" spans="1:4" x14ac:dyDescent="0.2">
      <c r="B11653" t="s">
        <v>8</v>
      </c>
      <c r="C11653" t="s">
        <v>4083</v>
      </c>
    </row>
    <row r="11654" spans="1:4" x14ac:dyDescent="0.2">
      <c r="B11654" t="s">
        <v>78</v>
      </c>
    </row>
    <row r="11655" spans="1:4" x14ac:dyDescent="0.2">
      <c r="B11655" t="s">
        <v>413</v>
      </c>
    </row>
    <row r="11657" spans="1:4" x14ac:dyDescent="0.2">
      <c r="A11657" t="s">
        <v>4084</v>
      </c>
      <c r="B11657" t="str">
        <f>HYPERLINK("https://lindat.mff.cuni.cz/services/teitok/pdtc10/index.php?action=vallex&amp;frame=v-w1451f2", "kompenzovat (v-w1451f2)")</f>
        <v>kompenzovat (v-w1451f2)</v>
      </c>
    </row>
    <row r="11658" spans="1:4" x14ac:dyDescent="0.2">
      <c r="B11658" t="s">
        <v>1</v>
      </c>
      <c r="C11658" t="s">
        <v>4085</v>
      </c>
      <c r="D11658" t="s">
        <v>4082</v>
      </c>
    </row>
    <row r="11659" spans="1:4" x14ac:dyDescent="0.2">
      <c r="B11659" t="s">
        <v>8</v>
      </c>
      <c r="C11659" t="s">
        <v>4086</v>
      </c>
      <c r="D11659" t="s">
        <v>23406</v>
      </c>
    </row>
    <row r="11661" spans="1:4" x14ac:dyDescent="0.2">
      <c r="A11661" t="s">
        <v>4087</v>
      </c>
      <c r="B11661" t="str">
        <f>HYPERLINK("https://lindat.mff.cuni.cz/services/teitok/pdtc10/index.php?action=vallex&amp;frame=v-w1457f1", "komplikovat (v-w1457f1)")</f>
        <v>komplikovat (v-w1457f1)</v>
      </c>
    </row>
    <row r="11662" spans="1:4" x14ac:dyDescent="0.2">
      <c r="B11662" t="s">
        <v>1</v>
      </c>
      <c r="C11662" t="s">
        <v>1366</v>
      </c>
      <c r="D11662" t="s">
        <v>23407</v>
      </c>
    </row>
    <row r="11663" spans="1:4" x14ac:dyDescent="0.2">
      <c r="B11663" t="s">
        <v>8</v>
      </c>
      <c r="C11663" t="s">
        <v>4088</v>
      </c>
      <c r="D11663" t="s">
        <v>21252</v>
      </c>
    </row>
    <row r="11665" spans="1:4" x14ac:dyDescent="0.2">
      <c r="A11665" t="s">
        <v>4089</v>
      </c>
      <c r="B11665" t="str">
        <f>HYPERLINK("https://lindat.mff.cuni.cz/services/teitok/pdtc10/index.php?action=vallex&amp;frame=v-w1458f1", "komponovat (v-w1458f1)")</f>
        <v>komponovat (v-w1458f1)</v>
      </c>
    </row>
    <row r="11666" spans="1:4" x14ac:dyDescent="0.2">
      <c r="B11666" t="s">
        <v>1</v>
      </c>
    </row>
    <row r="11667" spans="1:4" x14ac:dyDescent="0.2">
      <c r="B11667" t="s">
        <v>8</v>
      </c>
    </row>
    <row r="11669" spans="1:4" x14ac:dyDescent="0.2">
      <c r="A11669" t="s">
        <v>4090</v>
      </c>
      <c r="B11669" t="str">
        <f>HYPERLINK("https://lindat.mff.cuni.cz/services/teitok/pdtc10/index.php?action=vallex&amp;frame=v-w10175f2", "komputerizovat (v-w10175f2)")</f>
        <v>komputerizovat (v-w10175f2)</v>
      </c>
    </row>
    <row r="11670" spans="1:4" x14ac:dyDescent="0.2">
      <c r="B11670" t="s">
        <v>1</v>
      </c>
    </row>
    <row r="11671" spans="1:4" x14ac:dyDescent="0.2">
      <c r="B11671" t="s">
        <v>8</v>
      </c>
    </row>
    <row r="11673" spans="1:4" x14ac:dyDescent="0.2">
      <c r="A11673" t="s">
        <v>4091</v>
      </c>
      <c r="B11673" t="str">
        <f>HYPERLINK("https://lindat.mff.cuni.cz/services/teitok/pdtc10/index.php?action=vallex&amp;frame=v-w1464f1", "komunikovat (v-w1464f1)")</f>
        <v>komunikovat (v-w1464f1)</v>
      </c>
    </row>
    <row r="11674" spans="1:4" x14ac:dyDescent="0.2">
      <c r="B11674" t="s">
        <v>1</v>
      </c>
      <c r="C11674" t="s">
        <v>1232</v>
      </c>
      <c r="D11674" t="s">
        <v>22973</v>
      </c>
    </row>
    <row r="11675" spans="1:4" x14ac:dyDescent="0.2">
      <c r="B11675" t="s">
        <v>153</v>
      </c>
      <c r="C11675" t="s">
        <v>4092</v>
      </c>
      <c r="D11675" t="s">
        <v>22975</v>
      </c>
    </row>
    <row r="11676" spans="1:4" x14ac:dyDescent="0.2">
      <c r="B11676" t="s">
        <v>269</v>
      </c>
      <c r="C11676" t="s">
        <v>1107</v>
      </c>
      <c r="D11676" t="s">
        <v>22974</v>
      </c>
    </row>
    <row r="11678" spans="1:4" x14ac:dyDescent="0.2">
      <c r="A11678" t="s">
        <v>4093</v>
      </c>
      <c r="B11678" t="str">
        <f>HYPERLINK("https://lindat.mff.cuni.cz/services/teitok/pdtc10/index.php?action=vallex&amp;frame=v-w1467f2", "konat (v-w1467f2)")</f>
        <v>konat (v-w1467f2)</v>
      </c>
    </row>
    <row r="11679" spans="1:4" x14ac:dyDescent="0.2">
      <c r="B11679" t="s">
        <v>1</v>
      </c>
      <c r="C11679" t="s">
        <v>337</v>
      </c>
      <c r="D11679" t="s">
        <v>23408</v>
      </c>
    </row>
    <row r="11680" spans="1:4" x14ac:dyDescent="0.2">
      <c r="B11680" t="s">
        <v>2934</v>
      </c>
      <c r="D11680" t="s">
        <v>16380</v>
      </c>
    </row>
    <row r="11682" spans="1:4" x14ac:dyDescent="0.2">
      <c r="A11682" t="s">
        <v>4094</v>
      </c>
      <c r="B11682" t="str">
        <f>HYPERLINK("https://lindat.mff.cuni.cz/services/teitok/pdtc10/index.php?action=vallex&amp;frame=v-w1467hsa_802", "konat (v-w1467hsa_802)")</f>
        <v>konat (v-w1467hsa_802)</v>
      </c>
    </row>
    <row r="11683" spans="1:4" x14ac:dyDescent="0.2">
      <c r="B11683" t="s">
        <v>1</v>
      </c>
      <c r="C11683" t="s">
        <v>2031</v>
      </c>
      <c r="D11683" t="s">
        <v>6686</v>
      </c>
    </row>
    <row r="11684" spans="1:4" x14ac:dyDescent="0.2">
      <c r="B11684" t="s">
        <v>4095</v>
      </c>
      <c r="C11684" t="s">
        <v>2952</v>
      </c>
      <c r="D11684" t="s">
        <v>23409</v>
      </c>
    </row>
    <row r="11686" spans="1:4" x14ac:dyDescent="0.2">
      <c r="A11686" t="s">
        <v>4094</v>
      </c>
      <c r="B11686" t="str">
        <f>HYPERLINK("https://lindat.mff.cuni.cz/services/teitok/pdtc10/index.php?action=vallex&amp;frame=v-w1467f1", "konat (v-w1467f1) - substituted with v-w1467hsa_802")</f>
        <v>konat (v-w1467f1) - substituted with v-w1467hsa_802</v>
      </c>
    </row>
    <row r="11687" spans="1:4" x14ac:dyDescent="0.2">
      <c r="B11687" t="s">
        <v>1</v>
      </c>
    </row>
    <row r="11688" spans="1:4" x14ac:dyDescent="0.2">
      <c r="B11688" t="s">
        <v>4095</v>
      </c>
    </row>
    <row r="11690" spans="1:4" x14ac:dyDescent="0.2">
      <c r="A11690" t="s">
        <v>4094</v>
      </c>
      <c r="B11690" t="str">
        <f>HYPERLINK("https://lindat.mff.cuni.cz/services/teitok/pdtc10/index.php?action=vallex&amp;frame=v-w1467f3_ZU", "konat (v-w1467f3_ZU) - substituted with v-w1467hsa_802")</f>
        <v>konat (v-w1467f3_ZU) - substituted with v-w1467hsa_802</v>
      </c>
    </row>
    <row r="11691" spans="1:4" x14ac:dyDescent="0.2">
      <c r="B11691" t="s">
        <v>1</v>
      </c>
      <c r="C11691" t="s">
        <v>2400</v>
      </c>
    </row>
    <row r="11692" spans="1:4" x14ac:dyDescent="0.2">
      <c r="B11692" t="s">
        <v>4095</v>
      </c>
      <c r="C11692" t="s">
        <v>4096</v>
      </c>
    </row>
    <row r="11694" spans="1:4" x14ac:dyDescent="0.2">
      <c r="A11694" t="s">
        <v>4097</v>
      </c>
      <c r="B11694" t="str">
        <f>HYPERLINK("https://lindat.mff.cuni.cz/services/teitok/pdtc10/index.php?action=vallex&amp;frame=v-w1468f1", "konat se (v-w1468f1)")</f>
        <v>konat se (v-w1468f1)</v>
      </c>
    </row>
    <row r="11695" spans="1:4" x14ac:dyDescent="0.2">
      <c r="B11695" t="s">
        <v>1</v>
      </c>
      <c r="C11695" t="s">
        <v>4098</v>
      </c>
      <c r="D11695" t="s">
        <v>22988</v>
      </c>
    </row>
    <row r="11697" spans="1:4" x14ac:dyDescent="0.2">
      <c r="A11697" t="s">
        <v>4099</v>
      </c>
      <c r="B11697" t="str">
        <f>HYPERLINK("https://lindat.mff.cuni.cz/services/teitok/pdtc10/index.php?action=vallex&amp;frame=v-w1470f1", "koncentrovat (v-w1470f1)")</f>
        <v>koncentrovat (v-w1470f1)</v>
      </c>
    </row>
    <row r="11698" spans="1:4" x14ac:dyDescent="0.2">
      <c r="B11698" t="s">
        <v>1</v>
      </c>
      <c r="C11698" t="s">
        <v>33</v>
      </c>
    </row>
    <row r="11699" spans="1:4" x14ac:dyDescent="0.2">
      <c r="B11699" t="s">
        <v>8</v>
      </c>
      <c r="C11699" t="s">
        <v>4100</v>
      </c>
    </row>
    <row r="11700" spans="1:4" x14ac:dyDescent="0.2">
      <c r="B11700" t="s">
        <v>5</v>
      </c>
      <c r="C11700" t="s">
        <v>4101</v>
      </c>
    </row>
    <row r="11702" spans="1:4" x14ac:dyDescent="0.2">
      <c r="A11702" t="s">
        <v>4102</v>
      </c>
      <c r="B11702" t="str">
        <f>HYPERLINK("https://lindat.mff.cuni.cz/services/teitok/pdtc10/index.php?action=vallex&amp;frame=v-w1470f2", "koncentrovat (v-w1470f2)")</f>
        <v>koncentrovat (v-w1470f2)</v>
      </c>
    </row>
    <row r="11703" spans="1:4" x14ac:dyDescent="0.2">
      <c r="B11703" t="s">
        <v>1</v>
      </c>
    </row>
    <row r="11704" spans="1:4" x14ac:dyDescent="0.2">
      <c r="B11704" t="s">
        <v>8</v>
      </c>
    </row>
    <row r="11705" spans="1:4" x14ac:dyDescent="0.2">
      <c r="B11705" t="s">
        <v>90</v>
      </c>
    </row>
    <row r="11707" spans="1:4" x14ac:dyDescent="0.2">
      <c r="A11707" t="s">
        <v>4103</v>
      </c>
      <c r="B11707" t="str">
        <f>HYPERLINK("https://lindat.mff.cuni.cz/services/teitok/pdtc10/index.php?action=vallex&amp;frame=v-w1471f2", "koncentrovat se (v-w1471f2)")</f>
        <v>koncentrovat se (v-w1471f2)</v>
      </c>
    </row>
    <row r="11708" spans="1:4" x14ac:dyDescent="0.2">
      <c r="B11708" t="s">
        <v>1</v>
      </c>
      <c r="C11708" t="s">
        <v>4104</v>
      </c>
      <c r="D11708" t="s">
        <v>23410</v>
      </c>
    </row>
    <row r="11709" spans="1:4" x14ac:dyDescent="0.2">
      <c r="B11709" t="s">
        <v>28</v>
      </c>
      <c r="C11709" t="s">
        <v>31</v>
      </c>
      <c r="D11709" t="s">
        <v>23411</v>
      </c>
    </row>
    <row r="11711" spans="1:4" x14ac:dyDescent="0.2">
      <c r="A11711" t="s">
        <v>4105</v>
      </c>
      <c r="B11711" t="str">
        <f>HYPERLINK("https://lindat.mff.cuni.cz/services/teitok/pdtc10/index.php?action=vallex&amp;frame=v-w1471f1", "koncentrovat se (v-w1471f1)")</f>
        <v>koncentrovat se (v-w1471f1)</v>
      </c>
    </row>
    <row r="11712" spans="1:4" x14ac:dyDescent="0.2">
      <c r="B11712" t="s">
        <v>1</v>
      </c>
      <c r="C11712" t="s">
        <v>4106</v>
      </c>
      <c r="D11712" t="s">
        <v>10477</v>
      </c>
    </row>
    <row r="11713" spans="1:4" x14ac:dyDescent="0.2">
      <c r="B11713" t="s">
        <v>5</v>
      </c>
      <c r="C11713" t="s">
        <v>4101</v>
      </c>
    </row>
    <row r="11715" spans="1:4" x14ac:dyDescent="0.2">
      <c r="A11715" t="s">
        <v>4107</v>
      </c>
      <c r="B11715" t="str">
        <f>HYPERLINK("https://lindat.mff.cuni.cz/services/teitok/pdtc10/index.php?action=vallex&amp;frame=v-w1471f3", "koncentrovat se (v-w1471f3)")</f>
        <v>koncentrovat se (v-w1471f3)</v>
      </c>
    </row>
    <row r="11716" spans="1:4" x14ac:dyDescent="0.2">
      <c r="B11716" t="s">
        <v>1</v>
      </c>
    </row>
    <row r="11717" spans="1:4" x14ac:dyDescent="0.2">
      <c r="B11717" t="s">
        <v>90</v>
      </c>
    </row>
    <row r="11719" spans="1:4" x14ac:dyDescent="0.2">
      <c r="A11719" t="s">
        <v>4108</v>
      </c>
      <c r="B11719" t="str">
        <f>HYPERLINK("https://lindat.mff.cuni.cz/services/teitok/pdtc10/index.php?action=vallex&amp;frame=v-w1476f1", "koncertovat (v-w1476f1)")</f>
        <v>koncertovat (v-w1476f1)</v>
      </c>
    </row>
    <row r="11720" spans="1:4" x14ac:dyDescent="0.2">
      <c r="B11720" t="s">
        <v>1</v>
      </c>
    </row>
    <row r="11722" spans="1:4" x14ac:dyDescent="0.2">
      <c r="A11722" t="s">
        <v>4109</v>
      </c>
      <c r="B11722" t="str">
        <f>HYPERLINK("https://lindat.mff.cuni.cz/services/teitok/pdtc10/index.php?action=vallex&amp;frame=v-w1478f1", "koncipovat (v-w1478f1)")</f>
        <v>koncipovat (v-w1478f1)</v>
      </c>
    </row>
    <row r="11723" spans="1:4" x14ac:dyDescent="0.2">
      <c r="B11723" t="s">
        <v>1</v>
      </c>
      <c r="C11723" t="s">
        <v>4110</v>
      </c>
      <c r="D11723" t="s">
        <v>23412</v>
      </c>
    </row>
    <row r="11724" spans="1:4" x14ac:dyDescent="0.2">
      <c r="B11724" t="s">
        <v>8</v>
      </c>
      <c r="C11724" t="s">
        <v>4111</v>
      </c>
      <c r="D11724" t="s">
        <v>23413</v>
      </c>
    </row>
    <row r="11726" spans="1:4" x14ac:dyDescent="0.2">
      <c r="A11726" t="s">
        <v>4112</v>
      </c>
      <c r="B11726" t="str">
        <f>HYPERLINK("https://lindat.mff.cuni.cz/services/teitok/pdtc10/index.php?action=vallex&amp;frame=v-w1483f1", "kondolovat (v-w1483f1)")</f>
        <v>kondolovat (v-w1483f1)</v>
      </c>
    </row>
    <row r="11727" spans="1:4" x14ac:dyDescent="0.2">
      <c r="B11727" t="s">
        <v>1</v>
      </c>
    </row>
    <row r="11728" spans="1:4" x14ac:dyDescent="0.2">
      <c r="B11728" t="s">
        <v>176</v>
      </c>
    </row>
    <row r="11729" spans="1:4" x14ac:dyDescent="0.2">
      <c r="B11729" t="s">
        <v>35</v>
      </c>
    </row>
    <row r="11731" spans="1:4" x14ac:dyDescent="0.2">
      <c r="A11731" t="s">
        <v>4113</v>
      </c>
      <c r="B11731" t="str">
        <f>HYPERLINK("https://lindat.mff.cuni.cz/services/teitok/pdtc10/index.php?action=vallex&amp;frame=v-w1485f1", "konejšit (v-w1485f1)")</f>
        <v>konejšit (v-w1485f1)</v>
      </c>
    </row>
    <row r="11732" spans="1:4" x14ac:dyDescent="0.2">
      <c r="B11732" t="s">
        <v>1</v>
      </c>
    </row>
    <row r="11733" spans="1:4" x14ac:dyDescent="0.2">
      <c r="B11733" t="s">
        <v>8</v>
      </c>
    </row>
    <row r="11735" spans="1:4" x14ac:dyDescent="0.2">
      <c r="A11735" t="s">
        <v>4114</v>
      </c>
      <c r="B11735" t="str">
        <f>HYPERLINK("https://lindat.mff.cuni.cz/services/teitok/pdtc10/index.php?action=vallex&amp;frame=v-w1489f1", "konferovat (v-w1489f1)")</f>
        <v>konferovat (v-w1489f1)</v>
      </c>
    </row>
    <row r="11736" spans="1:4" x14ac:dyDescent="0.2">
      <c r="B11736" t="s">
        <v>1</v>
      </c>
    </row>
    <row r="11737" spans="1:4" x14ac:dyDescent="0.2">
      <c r="B11737" t="s">
        <v>8</v>
      </c>
    </row>
    <row r="11739" spans="1:4" x14ac:dyDescent="0.2">
      <c r="A11739" t="s">
        <v>4115</v>
      </c>
      <c r="B11739" t="str">
        <f>HYPERLINK("https://lindat.mff.cuni.cz/services/teitok/pdtc10/index.php?action=vallex&amp;frame=v-w1491f1", "konfiskovat (v-w1491f1)")</f>
        <v>konfiskovat (v-w1491f1)</v>
      </c>
    </row>
    <row r="11740" spans="1:4" x14ac:dyDescent="0.2">
      <c r="B11740" t="s">
        <v>1</v>
      </c>
      <c r="C11740" t="s">
        <v>249</v>
      </c>
      <c r="D11740" t="s">
        <v>2571</v>
      </c>
    </row>
    <row r="11741" spans="1:4" x14ac:dyDescent="0.2">
      <c r="B11741" t="s">
        <v>8</v>
      </c>
      <c r="C11741" t="s">
        <v>1025</v>
      </c>
      <c r="D11741" t="s">
        <v>1996</v>
      </c>
    </row>
    <row r="11742" spans="1:4" x14ac:dyDescent="0.2">
      <c r="B11742" t="s">
        <v>4116</v>
      </c>
      <c r="C11742" t="s">
        <v>987</v>
      </c>
      <c r="D11742" t="s">
        <v>23414</v>
      </c>
    </row>
    <row r="11744" spans="1:4" x14ac:dyDescent="0.2">
      <c r="A11744" t="s">
        <v>4117</v>
      </c>
      <c r="B11744" t="str">
        <f>HYPERLINK("https://lindat.mff.cuni.cz/services/teitok/pdtc10/index.php?action=vallex&amp;frame=v-w1495f2_ZU", "konfrontovat (v-w1495f2_ZU)")</f>
        <v>konfrontovat (v-w1495f2_ZU)</v>
      </c>
    </row>
    <row r="11745" spans="1:4" x14ac:dyDescent="0.2">
      <c r="B11745" t="s">
        <v>1</v>
      </c>
    </row>
    <row r="11746" spans="1:4" x14ac:dyDescent="0.2">
      <c r="B11746" t="s">
        <v>8</v>
      </c>
    </row>
    <row r="11747" spans="1:4" x14ac:dyDescent="0.2">
      <c r="B11747" t="s">
        <v>4118</v>
      </c>
    </row>
    <row r="11749" spans="1:4" x14ac:dyDescent="0.2">
      <c r="A11749" t="s">
        <v>4117</v>
      </c>
      <c r="B11749" t="str">
        <f>HYPERLINK("https://lindat.mff.cuni.cz/services/teitok/pdtc10/index.php?action=vallex&amp;frame=v-w1495f1", "konfrontovat (v-w1495f1) - substituted with v-w1495f2_ZU")</f>
        <v>konfrontovat (v-w1495f1) - substituted with v-w1495f2_ZU</v>
      </c>
    </row>
    <row r="11750" spans="1:4" x14ac:dyDescent="0.2">
      <c r="B11750" t="s">
        <v>1</v>
      </c>
      <c r="C11750" t="s">
        <v>133</v>
      </c>
      <c r="D11750" t="s">
        <v>133</v>
      </c>
    </row>
    <row r="11751" spans="1:4" x14ac:dyDescent="0.2">
      <c r="B11751" t="s">
        <v>8</v>
      </c>
      <c r="C11751" t="s">
        <v>991</v>
      </c>
      <c r="D11751" t="s">
        <v>991</v>
      </c>
    </row>
    <row r="11752" spans="1:4" x14ac:dyDescent="0.2">
      <c r="B11752" t="s">
        <v>4118</v>
      </c>
      <c r="C11752" t="s">
        <v>1045</v>
      </c>
      <c r="D11752" t="s">
        <v>1045</v>
      </c>
    </row>
    <row r="11754" spans="1:4" x14ac:dyDescent="0.2">
      <c r="A11754" t="s">
        <v>4119</v>
      </c>
      <c r="B11754" t="str">
        <f>HYPERLINK("https://lindat.mff.cuni.cz/services/teitok/pdtc10/index.php?action=vallex&amp;frame=v-w1498f1", "konkretizovat (v-w1498f1)")</f>
        <v>konkretizovat (v-w1498f1)</v>
      </c>
    </row>
    <row r="11755" spans="1:4" x14ac:dyDescent="0.2">
      <c r="B11755" t="s">
        <v>1</v>
      </c>
      <c r="D11755" t="s">
        <v>5475</v>
      </c>
    </row>
    <row r="11756" spans="1:4" x14ac:dyDescent="0.2">
      <c r="B11756" t="s">
        <v>172</v>
      </c>
      <c r="D11756" t="s">
        <v>1798</v>
      </c>
    </row>
    <row r="11758" spans="1:4" x14ac:dyDescent="0.2">
      <c r="A11758" t="s">
        <v>4120</v>
      </c>
      <c r="B11758" t="str">
        <f>HYPERLINK("https://lindat.mff.cuni.cz/services/teitok/pdtc10/index.php?action=vallex&amp;frame=v-w1501f1", "konkurovat (v-w1501f1)")</f>
        <v>konkurovat (v-w1501f1)</v>
      </c>
    </row>
    <row r="11759" spans="1:4" x14ac:dyDescent="0.2">
      <c r="B11759" t="s">
        <v>1</v>
      </c>
      <c r="C11759" t="s">
        <v>1524</v>
      </c>
      <c r="D11759" t="s">
        <v>1992</v>
      </c>
    </row>
    <row r="11760" spans="1:4" x14ac:dyDescent="0.2">
      <c r="B11760" t="s">
        <v>103</v>
      </c>
      <c r="C11760" t="s">
        <v>4121</v>
      </c>
      <c r="D11760" t="s">
        <v>23415</v>
      </c>
    </row>
    <row r="11762" spans="1:4" x14ac:dyDescent="0.2">
      <c r="A11762" t="s">
        <v>4122</v>
      </c>
      <c r="B11762" t="str">
        <f>HYPERLINK("https://lindat.mff.cuni.cz/services/teitok/pdtc10/index.php?action=vallex&amp;frame=v-w1504f1", "konsolidovat (v-w1504f1)")</f>
        <v>konsolidovat (v-w1504f1)</v>
      </c>
    </row>
    <row r="11763" spans="1:4" x14ac:dyDescent="0.2">
      <c r="B11763" t="s">
        <v>1</v>
      </c>
      <c r="C11763" t="s">
        <v>1125</v>
      </c>
    </row>
    <row r="11764" spans="1:4" x14ac:dyDescent="0.2">
      <c r="B11764" t="s">
        <v>8</v>
      </c>
      <c r="C11764" t="s">
        <v>3773</v>
      </c>
    </row>
    <row r="11766" spans="1:4" x14ac:dyDescent="0.2">
      <c r="A11766" t="s">
        <v>4123</v>
      </c>
      <c r="B11766" t="str">
        <f>HYPERLINK("https://lindat.mff.cuni.cz/services/teitok/pdtc10/index.php?action=vallex&amp;frame=v-w1505f1", "konspirovat (v-w1505f1)")</f>
        <v>konspirovat (v-w1505f1)</v>
      </c>
    </row>
    <row r="11767" spans="1:4" x14ac:dyDescent="0.2">
      <c r="B11767" t="s">
        <v>1</v>
      </c>
    </row>
    <row r="11769" spans="1:4" x14ac:dyDescent="0.2">
      <c r="A11769" t="s">
        <v>4124</v>
      </c>
      <c r="B11769" t="str">
        <f>HYPERLINK("https://lindat.mff.cuni.cz/services/teitok/pdtc10/index.php?action=vallex&amp;frame=v-w1508f2", "konstatovat (v-w1508f2)")</f>
        <v>konstatovat (v-w1508f2)</v>
      </c>
    </row>
    <row r="11770" spans="1:4" x14ac:dyDescent="0.2">
      <c r="B11770" t="s">
        <v>1</v>
      </c>
    </row>
    <row r="11771" spans="1:4" x14ac:dyDescent="0.2">
      <c r="B11771" t="s">
        <v>8</v>
      </c>
    </row>
    <row r="11773" spans="1:4" x14ac:dyDescent="0.2">
      <c r="A11773" t="s">
        <v>4125</v>
      </c>
      <c r="B11773" t="str">
        <f>HYPERLINK("https://lindat.mff.cuni.cz/services/teitok/pdtc10/index.php?action=vallex&amp;frame=v-w1508f1", "konstatovat (v-w1508f1)")</f>
        <v>konstatovat (v-w1508f1)</v>
      </c>
    </row>
    <row r="11774" spans="1:4" x14ac:dyDescent="0.2">
      <c r="B11774" t="s">
        <v>1</v>
      </c>
      <c r="C11774" t="s">
        <v>4126</v>
      </c>
      <c r="D11774" t="s">
        <v>22967</v>
      </c>
    </row>
    <row r="11775" spans="1:4" x14ac:dyDescent="0.2">
      <c r="B11775" t="s">
        <v>4127</v>
      </c>
      <c r="C11775" t="s">
        <v>4128</v>
      </c>
      <c r="D11775" t="s">
        <v>23120</v>
      </c>
    </row>
    <row r="11776" spans="1:4" x14ac:dyDescent="0.2">
      <c r="B11776" t="s">
        <v>269</v>
      </c>
      <c r="C11776" t="s">
        <v>1472</v>
      </c>
      <c r="D11776" t="s">
        <v>22968</v>
      </c>
    </row>
    <row r="11778" spans="1:4" x14ac:dyDescent="0.2">
      <c r="A11778" t="s">
        <v>4129</v>
      </c>
      <c r="B11778" t="str">
        <f>HYPERLINK("https://lindat.mff.cuni.cz/services/teitok/pdtc10/index.php?action=vallex&amp;frame=v-whsa_1086hsa_1087", "konsternovat (v-whsa_1086hsa_1087)")</f>
        <v>konsternovat (v-whsa_1086hsa_1087)</v>
      </c>
    </row>
    <row r="11779" spans="1:4" x14ac:dyDescent="0.2">
      <c r="B11779" t="s">
        <v>1</v>
      </c>
      <c r="D11779" t="s">
        <v>23416</v>
      </c>
    </row>
    <row r="11780" spans="1:4" x14ac:dyDescent="0.2">
      <c r="B11780" t="s">
        <v>8</v>
      </c>
      <c r="D11780" t="s">
        <v>23417</v>
      </c>
    </row>
    <row r="11782" spans="1:4" x14ac:dyDescent="0.2">
      <c r="A11782" t="s">
        <v>4130</v>
      </c>
      <c r="B11782" t="str">
        <f>HYPERLINK("https://lindat.mff.cuni.cz/services/teitok/pdtc10/index.php?action=vallex&amp;frame=v-w1511f1", "konstituovat (v-w1511f1)")</f>
        <v>konstituovat (v-w1511f1)</v>
      </c>
    </row>
    <row r="11783" spans="1:4" x14ac:dyDescent="0.2">
      <c r="B11783" t="s">
        <v>1</v>
      </c>
    </row>
    <row r="11784" spans="1:4" x14ac:dyDescent="0.2">
      <c r="B11784" t="s">
        <v>41</v>
      </c>
    </row>
    <row r="11786" spans="1:4" x14ac:dyDescent="0.2">
      <c r="A11786" t="s">
        <v>4131</v>
      </c>
      <c r="B11786" t="str">
        <f>HYPERLINK("https://lindat.mff.cuni.cz/services/teitok/pdtc10/index.php?action=vallex&amp;frame=v-w1514f1", "konstruovat (v-w1514f1)")</f>
        <v>konstruovat (v-w1514f1)</v>
      </c>
    </row>
    <row r="11787" spans="1:4" x14ac:dyDescent="0.2">
      <c r="B11787" t="s">
        <v>1</v>
      </c>
      <c r="C11787" t="s">
        <v>381</v>
      </c>
      <c r="D11787" t="s">
        <v>23418</v>
      </c>
    </row>
    <row r="11788" spans="1:4" x14ac:dyDescent="0.2">
      <c r="B11788" t="s">
        <v>8</v>
      </c>
      <c r="C11788" t="s">
        <v>4132</v>
      </c>
      <c r="D11788" t="s">
        <v>23419</v>
      </c>
    </row>
    <row r="11790" spans="1:4" x14ac:dyDescent="0.2">
      <c r="A11790" t="s">
        <v>4133</v>
      </c>
      <c r="B11790" t="str">
        <f>HYPERLINK("https://lindat.mff.cuni.cz/services/teitok/pdtc10/index.php?action=vallex&amp;frame=v-w1518f3_ZU", "kontaktovat (v-w1518f3_ZU)")</f>
        <v>kontaktovat (v-w1518f3_ZU)</v>
      </c>
    </row>
    <row r="11791" spans="1:4" x14ac:dyDescent="0.2">
      <c r="B11791" t="s">
        <v>1</v>
      </c>
    </row>
    <row r="11792" spans="1:4" x14ac:dyDescent="0.2">
      <c r="B11792" t="s">
        <v>411</v>
      </c>
    </row>
    <row r="11793" spans="1:4" x14ac:dyDescent="0.2">
      <c r="B11793" t="s">
        <v>58</v>
      </c>
    </row>
    <row r="11795" spans="1:4" x14ac:dyDescent="0.2">
      <c r="A11795" t="s">
        <v>4133</v>
      </c>
      <c r="B11795" t="str">
        <f>HYPERLINK("https://lindat.mff.cuni.cz/services/teitok/pdtc10/index.php?action=vallex&amp;frame=v-w1518f2", "kontaktovat (v-w1518f2) - substituted with v-w1518f3_ZU")</f>
        <v>kontaktovat (v-w1518f2) - substituted with v-w1518f3_ZU</v>
      </c>
    </row>
    <row r="11796" spans="1:4" x14ac:dyDescent="0.2">
      <c r="B11796" t="s">
        <v>1</v>
      </c>
    </row>
    <row r="11797" spans="1:4" x14ac:dyDescent="0.2">
      <c r="B11797" t="s">
        <v>411</v>
      </c>
    </row>
    <row r="11798" spans="1:4" x14ac:dyDescent="0.2">
      <c r="B11798" t="s">
        <v>58</v>
      </c>
    </row>
    <row r="11800" spans="1:4" x14ac:dyDescent="0.2">
      <c r="A11800" t="s">
        <v>4134</v>
      </c>
      <c r="B11800" t="str">
        <f>HYPERLINK("https://lindat.mff.cuni.cz/services/teitok/pdtc10/index.php?action=vallex&amp;frame=v-w1518f1", "kontaktovat (v-w1518f1)")</f>
        <v>kontaktovat (v-w1518f1)</v>
      </c>
    </row>
    <row r="11801" spans="1:4" x14ac:dyDescent="0.2">
      <c r="B11801" t="s">
        <v>1</v>
      </c>
      <c r="C11801" t="s">
        <v>4135</v>
      </c>
      <c r="D11801" t="s">
        <v>22956</v>
      </c>
    </row>
    <row r="11802" spans="1:4" x14ac:dyDescent="0.2">
      <c r="B11802" t="s">
        <v>8</v>
      </c>
      <c r="C11802" t="s">
        <v>4136</v>
      </c>
      <c r="D11802" t="s">
        <v>22957</v>
      </c>
    </row>
    <row r="11804" spans="1:4" x14ac:dyDescent="0.2">
      <c r="A11804" t="s">
        <v>4137</v>
      </c>
      <c r="B11804" t="str">
        <f>HYPERLINK("https://lindat.mff.cuni.cz/services/teitok/pdtc10/index.php?action=vallex&amp;frame=v-w1521f1", "kontaminovat (v-w1521f1)")</f>
        <v>kontaminovat (v-w1521f1)</v>
      </c>
    </row>
    <row r="11805" spans="1:4" x14ac:dyDescent="0.2">
      <c r="B11805" t="s">
        <v>1</v>
      </c>
    </row>
    <row r="11806" spans="1:4" x14ac:dyDescent="0.2">
      <c r="B11806" t="s">
        <v>8</v>
      </c>
    </row>
    <row r="11808" spans="1:4" x14ac:dyDescent="0.2">
      <c r="A11808" t="s">
        <v>4138</v>
      </c>
      <c r="B11808" t="str">
        <f>HYPERLINK("https://lindat.mff.cuni.cz/services/teitok/pdtc10/index.php?action=vallex&amp;frame=v-w1522f1", "kontinuovat (v-w1522f1)")</f>
        <v>kontinuovat (v-w1522f1)</v>
      </c>
    </row>
    <row r="11809" spans="1:4" x14ac:dyDescent="0.2">
      <c r="B11809" t="s">
        <v>1</v>
      </c>
    </row>
    <row r="11811" spans="1:4" x14ac:dyDescent="0.2">
      <c r="A11811" t="s">
        <v>4139</v>
      </c>
      <c r="B11811" t="str">
        <f>HYPERLINK("https://lindat.mff.cuni.cz/services/teitok/pdtc10/index.php?action=vallex&amp;frame=v-w1523f1", "kontrahovat (v-w1523f1)")</f>
        <v>kontrahovat (v-w1523f1)</v>
      </c>
    </row>
    <row r="11812" spans="1:4" x14ac:dyDescent="0.2">
      <c r="B11812" t="s">
        <v>1</v>
      </c>
    </row>
    <row r="11813" spans="1:4" x14ac:dyDescent="0.2">
      <c r="B11813" t="s">
        <v>8</v>
      </c>
    </row>
    <row r="11815" spans="1:4" x14ac:dyDescent="0.2">
      <c r="A11815" t="s">
        <v>4140</v>
      </c>
      <c r="B11815" t="str">
        <f>HYPERLINK("https://lindat.mff.cuni.cz/services/teitok/pdtc10/index.php?action=vallex&amp;frame=v-w1526f1", "kontrastovat (v-w1526f1)")</f>
        <v>kontrastovat (v-w1526f1)</v>
      </c>
    </row>
    <row r="11816" spans="1:4" x14ac:dyDescent="0.2">
      <c r="B11816" t="s">
        <v>1</v>
      </c>
      <c r="C11816" t="s">
        <v>553</v>
      </c>
      <c r="D11816" t="s">
        <v>23420</v>
      </c>
    </row>
    <row r="11817" spans="1:4" x14ac:dyDescent="0.2">
      <c r="B11817" t="s">
        <v>411</v>
      </c>
      <c r="C11817" t="s">
        <v>4141</v>
      </c>
      <c r="D11817" t="s">
        <v>23421</v>
      </c>
    </row>
    <row r="11819" spans="1:4" x14ac:dyDescent="0.2">
      <c r="A11819" t="s">
        <v>4142</v>
      </c>
      <c r="B11819" t="str">
        <f>HYPERLINK("https://lindat.mff.cuni.cz/services/teitok/pdtc10/index.php?action=vallex&amp;frame=v-w1529f1", "kontrolovat (v-w1529f1)")</f>
        <v>kontrolovat (v-w1529f1)</v>
      </c>
    </row>
    <row r="11820" spans="1:4" x14ac:dyDescent="0.2">
      <c r="B11820" t="s">
        <v>1</v>
      </c>
      <c r="C11820" t="s">
        <v>4143</v>
      </c>
      <c r="D11820" t="s">
        <v>23422</v>
      </c>
    </row>
    <row r="11821" spans="1:4" x14ac:dyDescent="0.2">
      <c r="B11821" t="s">
        <v>1693</v>
      </c>
      <c r="C11821" t="s">
        <v>4144</v>
      </c>
      <c r="D11821" t="s">
        <v>23423</v>
      </c>
    </row>
    <row r="11823" spans="1:4" x14ac:dyDescent="0.2">
      <c r="A11823" t="s">
        <v>4145</v>
      </c>
      <c r="B11823" t="str">
        <f>HYPERLINK("https://lindat.mff.cuni.cz/services/teitok/pdtc10/index.php?action=vallex&amp;frame=v-w1529f2_ZU", "kontrolovat (v-w1529f2_ZU)")</f>
        <v>kontrolovat (v-w1529f2_ZU)</v>
      </c>
    </row>
    <row r="11824" spans="1:4" x14ac:dyDescent="0.2">
      <c r="B11824" t="s">
        <v>1</v>
      </c>
      <c r="C11824" t="s">
        <v>4146</v>
      </c>
      <c r="D11824" t="s">
        <v>23098</v>
      </c>
    </row>
    <row r="11825" spans="1:4" x14ac:dyDescent="0.2">
      <c r="B11825" t="s">
        <v>8</v>
      </c>
      <c r="C11825" t="s">
        <v>4147</v>
      </c>
      <c r="D11825" t="s">
        <v>16830</v>
      </c>
    </row>
    <row r="11827" spans="1:4" x14ac:dyDescent="0.2">
      <c r="A11827" t="s">
        <v>4148</v>
      </c>
      <c r="B11827" t="str">
        <f>HYPERLINK("https://lindat.mff.cuni.cz/services/teitok/pdtc10/index.php?action=vallex&amp;frame=v-w1532f2", "kontrovat (v-w1532f2)")</f>
        <v>kontrovat (v-w1532f2)</v>
      </c>
    </row>
    <row r="11828" spans="1:4" x14ac:dyDescent="0.2">
      <c r="B11828" t="s">
        <v>1</v>
      </c>
      <c r="C11828" t="s">
        <v>334</v>
      </c>
      <c r="D11828" t="s">
        <v>12476</v>
      </c>
    </row>
    <row r="11829" spans="1:4" x14ac:dyDescent="0.2">
      <c r="B11829" t="s">
        <v>35</v>
      </c>
      <c r="D11829" t="s">
        <v>987</v>
      </c>
    </row>
    <row r="11830" spans="1:4" x14ac:dyDescent="0.2">
      <c r="B11830" t="s">
        <v>4149</v>
      </c>
      <c r="C11830" t="s">
        <v>4150</v>
      </c>
      <c r="D11830" t="s">
        <v>268</v>
      </c>
    </row>
    <row r="11831" spans="1:4" x14ac:dyDescent="0.2">
      <c r="B11831" t="s">
        <v>46</v>
      </c>
      <c r="C11831" t="s">
        <v>4151</v>
      </c>
      <c r="D11831" t="s">
        <v>125</v>
      </c>
    </row>
    <row r="11833" spans="1:4" x14ac:dyDescent="0.2">
      <c r="A11833" t="s">
        <v>4152</v>
      </c>
      <c r="B11833" t="str">
        <f>HYPERLINK("https://lindat.mff.cuni.cz/services/teitok/pdtc10/index.php?action=vallex&amp;frame=v-w1532f1", "kontrovat (v-w1532f1)")</f>
        <v>kontrovat (v-w1532f1)</v>
      </c>
    </row>
    <row r="11834" spans="1:4" x14ac:dyDescent="0.2">
      <c r="B11834" t="s">
        <v>1</v>
      </c>
    </row>
    <row r="11836" spans="1:4" x14ac:dyDescent="0.2">
      <c r="A11836" t="s">
        <v>4153</v>
      </c>
      <c r="B11836" t="str">
        <f>HYPERLINK("https://lindat.mff.cuni.cz/services/teitok/pdtc10/index.php?action=vallex&amp;frame=v-w10251f2", "konvertovat (v-w10251f2)")</f>
        <v>konvertovat (v-w10251f2)</v>
      </c>
    </row>
    <row r="11837" spans="1:4" x14ac:dyDescent="0.2">
      <c r="B11837" t="s">
        <v>1</v>
      </c>
      <c r="C11837" t="s">
        <v>115</v>
      </c>
      <c r="D11837" t="s">
        <v>22944</v>
      </c>
    </row>
    <row r="11838" spans="1:4" x14ac:dyDescent="0.2">
      <c r="B11838" t="s">
        <v>8</v>
      </c>
      <c r="C11838" t="s">
        <v>4154</v>
      </c>
      <c r="D11838" t="s">
        <v>22945</v>
      </c>
    </row>
    <row r="11839" spans="1:4" x14ac:dyDescent="0.2">
      <c r="B11839" t="s">
        <v>24</v>
      </c>
      <c r="D11839" t="s">
        <v>22946</v>
      </c>
    </row>
    <row r="11840" spans="1:4" x14ac:dyDescent="0.2">
      <c r="B11840" t="s">
        <v>4155</v>
      </c>
      <c r="C11840" t="s">
        <v>4156</v>
      </c>
      <c r="D11840" t="s">
        <v>22947</v>
      </c>
    </row>
    <row r="11842" spans="1:4" x14ac:dyDescent="0.2">
      <c r="A11842" t="s">
        <v>4157</v>
      </c>
      <c r="B11842" t="str">
        <f>HYPERLINK("https://lindat.mff.cuni.cz/services/teitok/pdtc10/index.php?action=vallex&amp;frame=v-w1537f1", "konverzovat (v-w1537f1)")</f>
        <v>konverzovat (v-w1537f1)</v>
      </c>
    </row>
    <row r="11843" spans="1:4" x14ac:dyDescent="0.2">
      <c r="B11843" t="s">
        <v>1</v>
      </c>
      <c r="D11843" t="s">
        <v>22973</v>
      </c>
    </row>
    <row r="11844" spans="1:4" x14ac:dyDescent="0.2">
      <c r="B11844" t="s">
        <v>153</v>
      </c>
      <c r="D11844" t="s">
        <v>22975</v>
      </c>
    </row>
    <row r="11845" spans="1:4" x14ac:dyDescent="0.2">
      <c r="B11845" t="s">
        <v>269</v>
      </c>
      <c r="D11845" t="s">
        <v>22974</v>
      </c>
    </row>
    <row r="11847" spans="1:4" x14ac:dyDescent="0.2">
      <c r="A11847" t="s">
        <v>4158</v>
      </c>
      <c r="B11847" t="str">
        <f>HYPERLINK("https://lindat.mff.cuni.cz/services/teitok/pdtc10/index.php?action=vallex&amp;frame=v-w1538f1", "konzervovat (v-w1538f1)")</f>
        <v>konzervovat (v-w1538f1)</v>
      </c>
    </row>
    <row r="11848" spans="1:4" x14ac:dyDescent="0.2">
      <c r="B11848" t="s">
        <v>1</v>
      </c>
      <c r="D11848" t="s">
        <v>80</v>
      </c>
    </row>
    <row r="11849" spans="1:4" x14ac:dyDescent="0.2">
      <c r="B11849" t="s">
        <v>8</v>
      </c>
      <c r="C11849" t="s">
        <v>34</v>
      </c>
      <c r="D11849" t="s">
        <v>22227</v>
      </c>
    </row>
    <row r="11850" spans="1:4" x14ac:dyDescent="0.2">
      <c r="B11850" t="s">
        <v>24</v>
      </c>
    </row>
    <row r="11852" spans="1:4" x14ac:dyDescent="0.2">
      <c r="A11852" t="s">
        <v>4159</v>
      </c>
      <c r="B11852" t="str">
        <f>HYPERLINK("https://lindat.mff.cuni.cz/services/teitok/pdtc10/index.php?action=vallex&amp;frame=v-w1540f1", "konzultovat (v-w1540f1)")</f>
        <v>konzultovat (v-w1540f1)</v>
      </c>
    </row>
    <row r="11853" spans="1:4" x14ac:dyDescent="0.2">
      <c r="B11853" t="s">
        <v>1</v>
      </c>
      <c r="D11853" t="s">
        <v>22973</v>
      </c>
    </row>
    <row r="11854" spans="1:4" x14ac:dyDescent="0.2">
      <c r="B11854" t="s">
        <v>153</v>
      </c>
      <c r="D11854" t="s">
        <v>22975</v>
      </c>
    </row>
    <row r="11855" spans="1:4" x14ac:dyDescent="0.2">
      <c r="B11855" t="s">
        <v>4160</v>
      </c>
      <c r="D11855" t="s">
        <v>22974</v>
      </c>
    </row>
    <row r="11857" spans="1:4" x14ac:dyDescent="0.2">
      <c r="A11857" t="s">
        <v>4161</v>
      </c>
      <c r="B11857" t="str">
        <f>HYPERLINK("https://lindat.mff.cuni.cz/services/teitok/pdtc10/index.php?action=vallex&amp;frame=v-w1542f1", "konzumovat (v-w1542f1)")</f>
        <v>konzumovat (v-w1542f1)</v>
      </c>
    </row>
    <row r="11858" spans="1:4" x14ac:dyDescent="0.2">
      <c r="B11858" t="s">
        <v>1</v>
      </c>
    </row>
    <row r="11859" spans="1:4" x14ac:dyDescent="0.2">
      <c r="B11859" t="s">
        <v>8</v>
      </c>
    </row>
    <row r="11861" spans="1:4" x14ac:dyDescent="0.2">
      <c r="A11861" t="s">
        <v>4162</v>
      </c>
      <c r="B11861" t="str">
        <f>HYPERLINK("https://lindat.mff.cuni.cz/services/teitok/pdtc10/index.php?action=vallex&amp;frame=v-w1542hsa_325", "konzumovat (v-w1542hsa_325)")</f>
        <v>konzumovat (v-w1542hsa_325)</v>
      </c>
    </row>
    <row r="11862" spans="1:4" x14ac:dyDescent="0.2">
      <c r="B11862" t="s">
        <v>1</v>
      </c>
    </row>
    <row r="11863" spans="1:4" x14ac:dyDescent="0.2">
      <c r="B11863" t="s">
        <v>8</v>
      </c>
    </row>
    <row r="11865" spans="1:4" x14ac:dyDescent="0.2">
      <c r="A11865" t="s">
        <v>4163</v>
      </c>
      <c r="B11865" t="str">
        <f>HYPERLINK("https://lindat.mff.cuni.cz/services/teitok/pdtc10/index.php?action=vallex&amp;frame=v-w1480f2", "končit (v-w1480f2)")</f>
        <v>končit (v-w1480f2)</v>
      </c>
    </row>
    <row r="11866" spans="1:4" x14ac:dyDescent="0.2">
      <c r="B11866" t="s">
        <v>1</v>
      </c>
      <c r="C11866" t="s">
        <v>4164</v>
      </c>
      <c r="D11866" t="s">
        <v>23140</v>
      </c>
    </row>
    <row r="11867" spans="1:4" x14ac:dyDescent="0.2">
      <c r="B11867" t="s">
        <v>8</v>
      </c>
      <c r="C11867" t="s">
        <v>4165</v>
      </c>
      <c r="D11867" t="s">
        <v>23141</v>
      </c>
    </row>
    <row r="11869" spans="1:4" x14ac:dyDescent="0.2">
      <c r="A11869" t="s">
        <v>4166</v>
      </c>
      <c r="B11869" t="str">
        <f>HYPERLINK("https://lindat.mff.cuni.cz/services/teitok/pdtc10/index.php?action=vallex&amp;frame=v-w1480f3", "končit (v-w1480f3)")</f>
        <v>končit (v-w1480f3)</v>
      </c>
    </row>
    <row r="11870" spans="1:4" x14ac:dyDescent="0.2">
      <c r="B11870" t="s">
        <v>1</v>
      </c>
      <c r="C11870" t="s">
        <v>1581</v>
      </c>
    </row>
    <row r="11871" spans="1:4" x14ac:dyDescent="0.2">
      <c r="B11871" t="s">
        <v>8</v>
      </c>
      <c r="C11871" t="s">
        <v>3072</v>
      </c>
    </row>
    <row r="11873" spans="1:4" x14ac:dyDescent="0.2">
      <c r="A11873" t="s">
        <v>4167</v>
      </c>
      <c r="B11873" t="str">
        <f>HYPERLINK("https://lindat.mff.cuni.cz/services/teitok/pdtc10/index.php?action=vallex&amp;frame=v-w1480f5", "končit (v-w1480f5)")</f>
        <v>končit (v-w1480f5)</v>
      </c>
    </row>
    <row r="11874" spans="1:4" x14ac:dyDescent="0.2">
      <c r="B11874" t="s">
        <v>1</v>
      </c>
      <c r="C11874" t="s">
        <v>4168</v>
      </c>
      <c r="D11874" t="s">
        <v>23140</v>
      </c>
    </row>
    <row r="11875" spans="1:4" x14ac:dyDescent="0.2">
      <c r="B11875" t="s">
        <v>411</v>
      </c>
      <c r="C11875" t="s">
        <v>4169</v>
      </c>
      <c r="D11875" t="s">
        <v>23141</v>
      </c>
    </row>
    <row r="11877" spans="1:4" x14ac:dyDescent="0.2">
      <c r="A11877" t="s">
        <v>4170</v>
      </c>
      <c r="B11877" t="str">
        <f>HYPERLINK("https://lindat.mff.cuni.cz/services/teitok/pdtc10/index.php?action=vallex&amp;frame=v-w1480f1", "končit (v-w1480f1)")</f>
        <v>končit (v-w1480f1)</v>
      </c>
    </row>
    <row r="11878" spans="1:4" x14ac:dyDescent="0.2">
      <c r="B11878" t="s">
        <v>1</v>
      </c>
      <c r="C11878" t="s">
        <v>4171</v>
      </c>
      <c r="D11878" t="s">
        <v>23324</v>
      </c>
    </row>
    <row r="11880" spans="1:4" x14ac:dyDescent="0.2">
      <c r="A11880" t="s">
        <v>4172</v>
      </c>
      <c r="B11880" t="str">
        <f>HYPERLINK("https://lindat.mff.cuni.cz/services/teitok/pdtc10/index.php?action=vallex&amp;frame=v-w1480f4", "končit (v-w1480f4)")</f>
        <v>končit (v-w1480f4)</v>
      </c>
    </row>
    <row r="11881" spans="1:4" x14ac:dyDescent="0.2">
      <c r="B11881" t="s">
        <v>1</v>
      </c>
      <c r="C11881" t="s">
        <v>4173</v>
      </c>
    </row>
    <row r="11882" spans="1:4" x14ac:dyDescent="0.2">
      <c r="B11882" t="s">
        <v>415</v>
      </c>
    </row>
    <row r="11883" spans="1:4" x14ac:dyDescent="0.2">
      <c r="B11883" t="s">
        <v>346</v>
      </c>
      <c r="C11883" t="s">
        <v>4174</v>
      </c>
    </row>
    <row r="11884" spans="1:4" x14ac:dyDescent="0.2">
      <c r="B11884" t="s">
        <v>348</v>
      </c>
      <c r="C11884" t="s">
        <v>4175</v>
      </c>
    </row>
    <row r="11885" spans="1:4" x14ac:dyDescent="0.2">
      <c r="B11885" t="s">
        <v>349</v>
      </c>
      <c r="C11885" t="s">
        <v>1733</v>
      </c>
    </row>
    <row r="11886" spans="1:4" x14ac:dyDescent="0.2">
      <c r="B11886" t="s">
        <v>350</v>
      </c>
    </row>
    <row r="11888" spans="1:4" x14ac:dyDescent="0.2">
      <c r="A11888" t="s">
        <v>4176</v>
      </c>
      <c r="B11888" t="str">
        <f>HYPERLINK("https://lindat.mff.cuni.cz/services/teitok/pdtc10/index.php?action=vallex&amp;frame=v-w1480hsa_1280", "končit (v-w1480hsa_1280)")</f>
        <v>končit (v-w1480hsa_1280)</v>
      </c>
    </row>
    <row r="11889" spans="1:4" x14ac:dyDescent="0.2">
      <c r="B11889" t="s">
        <v>1</v>
      </c>
      <c r="C11889" t="s">
        <v>4177</v>
      </c>
      <c r="D11889" t="s">
        <v>23424</v>
      </c>
    </row>
    <row r="11890" spans="1:4" x14ac:dyDescent="0.2">
      <c r="B11890" t="s">
        <v>1245</v>
      </c>
      <c r="C11890" t="s">
        <v>4178</v>
      </c>
      <c r="D11890" t="s">
        <v>23425</v>
      </c>
    </row>
    <row r="11891" spans="1:4" x14ac:dyDescent="0.2">
      <c r="B11891" t="s">
        <v>346</v>
      </c>
      <c r="D11891" t="s">
        <v>23426</v>
      </c>
    </row>
    <row r="11892" spans="1:4" x14ac:dyDescent="0.2">
      <c r="B11892" t="s">
        <v>349</v>
      </c>
      <c r="D11892" t="s">
        <v>23427</v>
      </c>
    </row>
    <row r="11894" spans="1:4" x14ac:dyDescent="0.2">
      <c r="A11894" t="s">
        <v>4179</v>
      </c>
      <c r="B11894" t="str">
        <f>HYPERLINK("https://lindat.mff.cuni.cz/services/teitok/pdtc10/index.php?action=vallex&amp;frame=v-w1481f1", "končit se (v-w1481f1)")</f>
        <v>končit se (v-w1481f1)</v>
      </c>
    </row>
    <row r="11895" spans="1:4" x14ac:dyDescent="0.2">
      <c r="B11895" t="s">
        <v>1</v>
      </c>
    </row>
    <row r="11897" spans="1:4" x14ac:dyDescent="0.2">
      <c r="A11897" t="s">
        <v>4180</v>
      </c>
      <c r="B11897" t="str">
        <f>HYPERLINK("https://lindat.mff.cuni.cz/services/teitok/pdtc10/index.php?action=vallex&amp;frame=v-w1482f1", "končívat (v-w1482f1)")</f>
        <v>končívat (v-w1482f1)</v>
      </c>
    </row>
    <row r="11898" spans="1:4" x14ac:dyDescent="0.2">
      <c r="B11898" t="s">
        <v>1</v>
      </c>
      <c r="D11898" t="s">
        <v>23324</v>
      </c>
    </row>
    <row r="11900" spans="1:4" x14ac:dyDescent="0.2">
      <c r="A11900" t="s">
        <v>4181</v>
      </c>
      <c r="B11900" t="str">
        <f>HYPERLINK("https://lindat.mff.cuni.cz/services/teitok/pdtc10/index.php?action=vallex&amp;frame=v-w1544f1", "kooperovat (v-w1544f1)")</f>
        <v>kooperovat (v-w1544f1)</v>
      </c>
    </row>
    <row r="11901" spans="1:4" x14ac:dyDescent="0.2">
      <c r="B11901" t="s">
        <v>1</v>
      </c>
    </row>
    <row r="11902" spans="1:4" x14ac:dyDescent="0.2">
      <c r="B11902" t="s">
        <v>4058</v>
      </c>
    </row>
    <row r="11903" spans="1:4" x14ac:dyDescent="0.2">
      <c r="B11903" t="s">
        <v>4182</v>
      </c>
    </row>
    <row r="11905" spans="1:4" x14ac:dyDescent="0.2">
      <c r="A11905" t="s">
        <v>4183</v>
      </c>
      <c r="B11905" t="str">
        <f>HYPERLINK("https://lindat.mff.cuni.cz/services/teitok/pdtc10/index.php?action=vallex&amp;frame=v-w11802_ZUf1_ZU", "kooptovat (v-w11802_ZUf1_ZU)")</f>
        <v>kooptovat (v-w11802_ZUf1_ZU)</v>
      </c>
    </row>
    <row r="11906" spans="1:4" x14ac:dyDescent="0.2">
      <c r="B11906" t="s">
        <v>1</v>
      </c>
    </row>
    <row r="11907" spans="1:4" x14ac:dyDescent="0.2">
      <c r="B11907" t="s">
        <v>8</v>
      </c>
    </row>
    <row r="11909" spans="1:4" x14ac:dyDescent="0.2">
      <c r="A11909" t="s">
        <v>4184</v>
      </c>
      <c r="B11909" t="str">
        <f>HYPERLINK("https://lindat.mff.cuni.cz/services/teitok/pdtc10/index.php?action=vallex&amp;frame=v-w1548f1", "koordinovat (v-w1548f1)")</f>
        <v>koordinovat (v-w1548f1)</v>
      </c>
    </row>
    <row r="11910" spans="1:4" x14ac:dyDescent="0.2">
      <c r="B11910" t="s">
        <v>1</v>
      </c>
      <c r="C11910" t="s">
        <v>373</v>
      </c>
      <c r="D11910" t="s">
        <v>334</v>
      </c>
    </row>
    <row r="11911" spans="1:4" x14ac:dyDescent="0.2">
      <c r="B11911" t="s">
        <v>8</v>
      </c>
      <c r="C11911" t="s">
        <v>4185</v>
      </c>
      <c r="D11911" t="s">
        <v>19345</v>
      </c>
    </row>
    <row r="11912" spans="1:4" x14ac:dyDescent="0.2">
      <c r="B11912" t="s">
        <v>2604</v>
      </c>
      <c r="C11912" t="s">
        <v>26</v>
      </c>
      <c r="D11912" t="s">
        <v>1290</v>
      </c>
    </row>
    <row r="11914" spans="1:4" x14ac:dyDescent="0.2">
      <c r="A11914" t="s">
        <v>4186</v>
      </c>
      <c r="B11914" t="str">
        <f>HYPERLINK("https://lindat.mff.cuni.cz/services/teitok/pdtc10/index.php?action=vallex&amp;frame=v-w1550f2", "kopat (v-w1550f2)")</f>
        <v>kopat (v-w1550f2)</v>
      </c>
    </row>
    <row r="11915" spans="1:4" x14ac:dyDescent="0.2">
      <c r="B11915" t="s">
        <v>1</v>
      </c>
    </row>
    <row r="11916" spans="1:4" x14ac:dyDescent="0.2">
      <c r="B11916" t="s">
        <v>8</v>
      </c>
    </row>
    <row r="11918" spans="1:4" x14ac:dyDescent="0.2">
      <c r="A11918" t="s">
        <v>4187</v>
      </c>
      <c r="B11918" t="str">
        <f>HYPERLINK("https://lindat.mff.cuni.cz/services/teitok/pdtc10/index.php?action=vallex&amp;frame=v-w1550f3", "kopat (v-w1550f3)")</f>
        <v>kopat (v-w1550f3)</v>
      </c>
    </row>
    <row r="11919" spans="1:4" x14ac:dyDescent="0.2">
      <c r="B11919" t="s">
        <v>1</v>
      </c>
      <c r="C11919" t="s">
        <v>140</v>
      </c>
      <c r="D11919" t="s">
        <v>22</v>
      </c>
    </row>
    <row r="11920" spans="1:4" x14ac:dyDescent="0.2">
      <c r="B11920" t="s">
        <v>8</v>
      </c>
      <c r="C11920" t="s">
        <v>84</v>
      </c>
      <c r="D11920" t="s">
        <v>2240</v>
      </c>
    </row>
    <row r="11922" spans="1:4" x14ac:dyDescent="0.2">
      <c r="A11922" t="s">
        <v>4188</v>
      </c>
      <c r="B11922" t="str">
        <f>HYPERLINK("https://lindat.mff.cuni.cz/services/teitok/pdtc10/index.php?action=vallex&amp;frame=v-w1550f1", "kopat (v-w1550f1)")</f>
        <v>kopat (v-w1550f1)</v>
      </c>
    </row>
    <row r="11923" spans="1:4" x14ac:dyDescent="0.2">
      <c r="B11923" t="s">
        <v>1</v>
      </c>
      <c r="C11923" t="s">
        <v>140</v>
      </c>
      <c r="D11923" t="s">
        <v>140</v>
      </c>
    </row>
    <row r="11925" spans="1:4" x14ac:dyDescent="0.2">
      <c r="A11925" t="s">
        <v>4189</v>
      </c>
      <c r="B11925" t="str">
        <f>HYPERLINK("https://lindat.mff.cuni.cz/services/teitok/pdtc10/index.php?action=vallex&amp;frame=v-w1550f5_ZU", "kopat (v-w1550f5_ZU)")</f>
        <v>kopat (v-w1550f5_ZU)</v>
      </c>
    </row>
    <row r="11926" spans="1:4" x14ac:dyDescent="0.2">
      <c r="B11926" t="s">
        <v>1</v>
      </c>
    </row>
    <row r="11927" spans="1:4" x14ac:dyDescent="0.2">
      <c r="B11927" t="s">
        <v>8</v>
      </c>
    </row>
    <row r="11929" spans="1:4" x14ac:dyDescent="0.2">
      <c r="A11929" t="s">
        <v>4189</v>
      </c>
      <c r="B11929" t="str">
        <f>HYPERLINK("https://lindat.mff.cuni.cz/services/teitok/pdtc10/index.php?action=vallex&amp;frame=v-w1550f4_ZU", "kopat (v-w1550f4_ZU) - substituted with v-w1550f5_ZU")</f>
        <v>kopat (v-w1550f4_ZU) - substituted with v-w1550f5_ZU</v>
      </c>
    </row>
    <row r="11930" spans="1:4" x14ac:dyDescent="0.2">
      <c r="B11930" t="s">
        <v>1</v>
      </c>
    </row>
    <row r="11931" spans="1:4" x14ac:dyDescent="0.2">
      <c r="B11931" t="s">
        <v>8</v>
      </c>
    </row>
    <row r="11933" spans="1:4" x14ac:dyDescent="0.2">
      <c r="A11933" t="s">
        <v>4190</v>
      </c>
      <c r="B11933" t="str">
        <f>HYPERLINK("https://lindat.mff.cuni.cz/services/teitok/pdtc10/index.php?action=vallex&amp;frame=v-w1550hsa_1193", "kopat (v-w1550hsa_1193)")</f>
        <v>kopat (v-w1550hsa_1193)</v>
      </c>
    </row>
    <row r="11934" spans="1:4" x14ac:dyDescent="0.2">
      <c r="B11934" t="s">
        <v>1</v>
      </c>
    </row>
    <row r="11935" spans="1:4" x14ac:dyDescent="0.2">
      <c r="B11935" t="s">
        <v>8</v>
      </c>
    </row>
    <row r="11937" spans="1:4" x14ac:dyDescent="0.2">
      <c r="A11937" t="s">
        <v>4191</v>
      </c>
      <c r="B11937" t="str">
        <f>HYPERLINK("https://lindat.mff.cuni.cz/services/teitok/pdtc10/index.php?action=vallex&amp;frame=v-whsa_501hsa_502", "kopat si (v-whsa_501hsa_502)")</f>
        <v>kopat si (v-whsa_501hsa_502)</v>
      </c>
    </row>
    <row r="11938" spans="1:4" x14ac:dyDescent="0.2">
      <c r="B11938" t="s">
        <v>1</v>
      </c>
    </row>
    <row r="11939" spans="1:4" x14ac:dyDescent="0.2">
      <c r="B11939" t="s">
        <v>4192</v>
      </c>
    </row>
    <row r="11941" spans="1:4" x14ac:dyDescent="0.2">
      <c r="A11941" t="s">
        <v>4193</v>
      </c>
      <c r="B11941" t="str">
        <f>HYPERLINK("https://lindat.mff.cuni.cz/services/teitok/pdtc10/index.php?action=vallex&amp;frame=v-w1554f1", "kopnout (v-w1554f1)")</f>
        <v>kopnout (v-w1554f1)</v>
      </c>
    </row>
    <row r="11942" spans="1:4" x14ac:dyDescent="0.2">
      <c r="B11942" t="s">
        <v>1</v>
      </c>
      <c r="D11942" t="s">
        <v>140</v>
      </c>
    </row>
    <row r="11943" spans="1:4" x14ac:dyDescent="0.2">
      <c r="B11943" t="s">
        <v>8</v>
      </c>
      <c r="D11943" t="s">
        <v>84</v>
      </c>
    </row>
    <row r="11945" spans="1:4" x14ac:dyDescent="0.2">
      <c r="A11945" t="s">
        <v>4194</v>
      </c>
      <c r="B11945" t="str">
        <f>HYPERLINK("https://lindat.mff.cuni.cz/services/teitok/pdtc10/index.php?action=vallex&amp;frame=v-w1552f2", "kopírovat (v-w1552f2)")</f>
        <v>kopírovat (v-w1552f2)</v>
      </c>
    </row>
    <row r="11946" spans="1:4" x14ac:dyDescent="0.2">
      <c r="B11946" t="s">
        <v>1</v>
      </c>
      <c r="C11946" t="s">
        <v>4195</v>
      </c>
      <c r="D11946" t="s">
        <v>2303</v>
      </c>
    </row>
    <row r="11947" spans="1:4" x14ac:dyDescent="0.2">
      <c r="B11947" t="s">
        <v>67</v>
      </c>
      <c r="C11947" t="s">
        <v>4196</v>
      </c>
      <c r="D11947" t="s">
        <v>2240</v>
      </c>
    </row>
    <row r="11949" spans="1:4" x14ac:dyDescent="0.2">
      <c r="A11949" t="s">
        <v>4197</v>
      </c>
      <c r="B11949" t="str">
        <f>HYPERLINK("https://lindat.mff.cuni.cz/services/teitok/pdtc10/index.php?action=vallex&amp;frame=v-w1552f1", "kopírovat (v-w1552f1)")</f>
        <v>kopírovat (v-w1552f1)</v>
      </c>
    </row>
    <row r="11950" spans="1:4" x14ac:dyDescent="0.2">
      <c r="B11950" t="s">
        <v>1</v>
      </c>
      <c r="C11950" t="s">
        <v>249</v>
      </c>
      <c r="D11950" t="s">
        <v>83</v>
      </c>
    </row>
    <row r="11951" spans="1:4" x14ac:dyDescent="0.2">
      <c r="B11951" t="s">
        <v>8</v>
      </c>
      <c r="C11951" t="s">
        <v>56</v>
      </c>
      <c r="D11951" t="s">
        <v>2240</v>
      </c>
    </row>
    <row r="11953" spans="1:4" x14ac:dyDescent="0.2">
      <c r="A11953" t="s">
        <v>4198</v>
      </c>
      <c r="B11953" t="str">
        <f>HYPERLINK("https://lindat.mff.cuni.cz/services/teitok/pdtc10/index.php?action=vallex&amp;frame=v-whsa_1878hsa_1879", "korepetovat (v-whsa_1878hsa_1879)")</f>
        <v>korepetovat (v-whsa_1878hsa_1879)</v>
      </c>
    </row>
    <row r="11954" spans="1:4" x14ac:dyDescent="0.2">
      <c r="B11954" t="s">
        <v>1</v>
      </c>
    </row>
    <row r="11955" spans="1:4" x14ac:dyDescent="0.2">
      <c r="B11955" t="s">
        <v>8</v>
      </c>
    </row>
    <row r="11957" spans="1:4" x14ac:dyDescent="0.2">
      <c r="A11957" t="s">
        <v>4199</v>
      </c>
      <c r="B11957" t="str">
        <f>HYPERLINK("https://lindat.mff.cuni.cz/services/teitok/pdtc10/index.php?action=vallex&amp;frame=v-w1559f1", "korespondovat (v-w1559f1)")</f>
        <v>korespondovat (v-w1559f1)</v>
      </c>
    </row>
    <row r="11958" spans="1:4" x14ac:dyDescent="0.2">
      <c r="B11958" t="s">
        <v>1</v>
      </c>
      <c r="C11958" t="s">
        <v>2172</v>
      </c>
      <c r="D11958" t="s">
        <v>2172</v>
      </c>
    </row>
    <row r="11959" spans="1:4" x14ac:dyDescent="0.2">
      <c r="B11959" t="s">
        <v>411</v>
      </c>
      <c r="C11959" t="s">
        <v>3156</v>
      </c>
      <c r="D11959" t="s">
        <v>3156</v>
      </c>
    </row>
    <row r="11961" spans="1:4" x14ac:dyDescent="0.2">
      <c r="A11961" t="s">
        <v>4200</v>
      </c>
      <c r="B11961" t="str">
        <f>HYPERLINK("https://lindat.mff.cuni.cz/services/teitok/pdtc10/index.php?action=vallex&amp;frame=v-w1559f2", "korespondovat (v-w1559f2)")</f>
        <v>korespondovat (v-w1559f2)</v>
      </c>
    </row>
    <row r="11962" spans="1:4" x14ac:dyDescent="0.2">
      <c r="B11962" t="s">
        <v>1</v>
      </c>
    </row>
    <row r="11963" spans="1:4" x14ac:dyDescent="0.2">
      <c r="B11963" t="s">
        <v>153</v>
      </c>
    </row>
    <row r="11964" spans="1:4" x14ac:dyDescent="0.2">
      <c r="B11964" t="s">
        <v>269</v>
      </c>
    </row>
    <row r="11966" spans="1:4" x14ac:dyDescent="0.2">
      <c r="A11966" t="s">
        <v>4201</v>
      </c>
      <c r="B11966" t="str">
        <f>HYPERLINK("https://lindat.mff.cuni.cz/services/teitok/pdtc10/index.php?action=vallex&amp;frame=v-w1559f3_ZU", "korespondovat (v-w1559f3_ZU)")</f>
        <v>korespondovat (v-w1559f3_ZU)</v>
      </c>
    </row>
    <row r="11967" spans="1:4" x14ac:dyDescent="0.2">
      <c r="B11967" t="s">
        <v>1</v>
      </c>
    </row>
    <row r="11968" spans="1:4" x14ac:dyDescent="0.2">
      <c r="B11968" t="s">
        <v>8</v>
      </c>
    </row>
    <row r="11970" spans="1:4" x14ac:dyDescent="0.2">
      <c r="A11970" t="s">
        <v>4202</v>
      </c>
      <c r="B11970" t="str">
        <f>HYPERLINK("https://lindat.mff.cuni.cz/services/teitok/pdtc10/index.php?action=vallex&amp;frame=v-w1560f1", "korigovat (v-w1560f1)")</f>
        <v>korigovat (v-w1560f1)</v>
      </c>
    </row>
    <row r="11971" spans="1:4" x14ac:dyDescent="0.2">
      <c r="B11971" t="s">
        <v>1</v>
      </c>
      <c r="D11971" t="s">
        <v>3081</v>
      </c>
    </row>
    <row r="11972" spans="1:4" x14ac:dyDescent="0.2">
      <c r="B11972" t="s">
        <v>8</v>
      </c>
      <c r="D11972" t="s">
        <v>7164</v>
      </c>
    </row>
    <row r="11973" spans="1:4" x14ac:dyDescent="0.2">
      <c r="B11973" t="s">
        <v>4203</v>
      </c>
    </row>
    <row r="11975" spans="1:4" x14ac:dyDescent="0.2">
      <c r="A11975" t="s">
        <v>4204</v>
      </c>
      <c r="B11975" t="str">
        <f>HYPERLINK("https://lindat.mff.cuni.cz/services/teitok/pdtc10/index.php?action=vallex&amp;frame=v-w10472f2", "kormidlovat (v-w10472f2)")</f>
        <v>kormidlovat (v-w10472f2)</v>
      </c>
    </row>
    <row r="11976" spans="1:4" x14ac:dyDescent="0.2">
      <c r="B11976" t="s">
        <v>1</v>
      </c>
      <c r="C11976" t="s">
        <v>430</v>
      </c>
      <c r="D11976" t="s">
        <v>430</v>
      </c>
    </row>
    <row r="11977" spans="1:4" x14ac:dyDescent="0.2">
      <c r="B11977" t="s">
        <v>8</v>
      </c>
      <c r="C11977" t="s">
        <v>56</v>
      </c>
      <c r="D11977" t="s">
        <v>56</v>
      </c>
    </row>
    <row r="11979" spans="1:4" x14ac:dyDescent="0.2">
      <c r="A11979" t="s">
        <v>4205</v>
      </c>
      <c r="B11979" t="str">
        <f>HYPERLINK("https://lindat.mff.cuni.cz/services/teitok/pdtc10/index.php?action=vallex&amp;frame=v-w1561f1", "korodovat (v-w1561f1)")</f>
        <v>korodovat (v-w1561f1)</v>
      </c>
    </row>
    <row r="11980" spans="1:4" x14ac:dyDescent="0.2">
      <c r="B11980" t="s">
        <v>1</v>
      </c>
    </row>
    <row r="11982" spans="1:4" x14ac:dyDescent="0.2">
      <c r="A11982" t="s">
        <v>4206</v>
      </c>
      <c r="B11982" t="str">
        <f>HYPERLINK("https://lindat.mff.cuni.cz/services/teitok/pdtc10/index.php?action=vallex&amp;frame=v-w1563f1", "korumpovat (v-w1563f1)")</f>
        <v>korumpovat (v-w1563f1)</v>
      </c>
    </row>
    <row r="11983" spans="1:4" x14ac:dyDescent="0.2">
      <c r="B11983" t="s">
        <v>1</v>
      </c>
    </row>
    <row r="11984" spans="1:4" x14ac:dyDescent="0.2">
      <c r="B11984" t="s">
        <v>8</v>
      </c>
    </row>
    <row r="11986" spans="1:2" x14ac:dyDescent="0.2">
      <c r="A11986" t="s">
        <v>4207</v>
      </c>
      <c r="B11986" t="str">
        <f>HYPERLINK("https://lindat.mff.cuni.cz/services/teitok/pdtc10/index.php?action=vallex&amp;frame=v-w11514_ZUf2_ZU", "korunovat (v-w11514_ZUf2_ZU)")</f>
        <v>korunovat (v-w11514_ZUf2_ZU)</v>
      </c>
    </row>
    <row r="11987" spans="1:2" x14ac:dyDescent="0.2">
      <c r="B11987" t="s">
        <v>1</v>
      </c>
    </row>
    <row r="11988" spans="1:2" x14ac:dyDescent="0.2">
      <c r="B11988" t="s">
        <v>8</v>
      </c>
    </row>
    <row r="11989" spans="1:2" x14ac:dyDescent="0.2">
      <c r="B11989" t="s">
        <v>4208</v>
      </c>
    </row>
    <row r="11991" spans="1:2" x14ac:dyDescent="0.2">
      <c r="A11991" t="s">
        <v>4207</v>
      </c>
      <c r="B11991" t="str">
        <f>HYPERLINK("https://lindat.mff.cuni.cz/services/teitok/pdtc10/index.php?action=vallex&amp;frame=v-w11514_ZUf1_ZU", "korunovat (v-w11514_ZUf1_ZU) - substituted with v-w11514_ZUf2_ZU")</f>
        <v>korunovat (v-w11514_ZUf1_ZU) - substituted with v-w11514_ZUf2_ZU</v>
      </c>
    </row>
    <row r="11992" spans="1:2" x14ac:dyDescent="0.2">
      <c r="B11992" t="s">
        <v>1</v>
      </c>
    </row>
    <row r="11993" spans="1:2" x14ac:dyDescent="0.2">
      <c r="B11993" t="s">
        <v>8</v>
      </c>
    </row>
    <row r="11994" spans="1:2" x14ac:dyDescent="0.2">
      <c r="B11994" t="s">
        <v>4208</v>
      </c>
    </row>
    <row r="11996" spans="1:2" x14ac:dyDescent="0.2">
      <c r="A11996" t="s">
        <v>4209</v>
      </c>
      <c r="B11996" t="str">
        <f>HYPERLINK("https://lindat.mff.cuni.cz/services/teitok/pdtc10/index.php?action=vallex&amp;frame=v-w1564f1", "korunovat (v-w1564f1)")</f>
        <v>korunovat (v-w1564f1)</v>
      </c>
    </row>
    <row r="11997" spans="1:2" x14ac:dyDescent="0.2">
      <c r="B11997" t="s">
        <v>1</v>
      </c>
    </row>
    <row r="11998" spans="1:2" x14ac:dyDescent="0.2">
      <c r="B11998" t="s">
        <v>8</v>
      </c>
    </row>
    <row r="12000" spans="1:2" x14ac:dyDescent="0.2">
      <c r="A12000" t="s">
        <v>4210</v>
      </c>
      <c r="B12000" t="str">
        <f>HYPERLINK("https://lindat.mff.cuni.cz/services/teitok/pdtc10/index.php?action=vallex&amp;frame=v-whsa_192hsa_193", "korzovat (v-whsa_192hsa_193)")</f>
        <v>korzovat (v-whsa_192hsa_193)</v>
      </c>
    </row>
    <row r="12001" spans="1:4" x14ac:dyDescent="0.2">
      <c r="B12001" t="s">
        <v>1</v>
      </c>
      <c r="C12001" t="s">
        <v>140</v>
      </c>
      <c r="D12001" t="s">
        <v>92</v>
      </c>
    </row>
    <row r="12003" spans="1:4" x14ac:dyDescent="0.2">
      <c r="A12003" t="s">
        <v>4211</v>
      </c>
      <c r="B12003" t="str">
        <f>HYPERLINK("https://lindat.mff.cuni.cz/services/teitok/pdtc10/index.php?action=vallex&amp;frame=v-whsb_671hsa_672", "kosit (v-whsb_671hsa_672)")</f>
        <v>kosit (v-whsb_671hsa_672)</v>
      </c>
    </row>
    <row r="12004" spans="1:4" x14ac:dyDescent="0.2">
      <c r="B12004" t="s">
        <v>1</v>
      </c>
    </row>
    <row r="12005" spans="1:4" x14ac:dyDescent="0.2">
      <c r="B12005" t="s">
        <v>8</v>
      </c>
    </row>
    <row r="12007" spans="1:4" x14ac:dyDescent="0.2">
      <c r="A12007" t="s">
        <v>4212</v>
      </c>
      <c r="B12007" t="str">
        <f>HYPERLINK("https://lindat.mff.cuni.cz/services/teitok/pdtc10/index.php?action=vallex&amp;frame=v-whsa_126f1_ZU", "kotovat (v-whsa_126f1_ZU)")</f>
        <v>kotovat (v-whsa_126f1_ZU)</v>
      </c>
    </row>
    <row r="12008" spans="1:4" x14ac:dyDescent="0.2">
      <c r="B12008" t="s">
        <v>1</v>
      </c>
      <c r="C12008" t="s">
        <v>4213</v>
      </c>
      <c r="D12008" t="s">
        <v>23042</v>
      </c>
    </row>
    <row r="12009" spans="1:4" x14ac:dyDescent="0.2">
      <c r="B12009" t="s">
        <v>8</v>
      </c>
      <c r="C12009" t="s">
        <v>4214</v>
      </c>
      <c r="D12009" t="s">
        <v>23043</v>
      </c>
    </row>
    <row r="12010" spans="1:4" x14ac:dyDescent="0.2">
      <c r="B12010" t="s">
        <v>61</v>
      </c>
      <c r="C12010" t="s">
        <v>4215</v>
      </c>
      <c r="D12010" t="s">
        <v>23044</v>
      </c>
    </row>
    <row r="12012" spans="1:4" x14ac:dyDescent="0.2">
      <c r="A12012" t="s">
        <v>4212</v>
      </c>
      <c r="B12012" t="str">
        <f>HYPERLINK("https://lindat.mff.cuni.cz/services/teitok/pdtc10/index.php?action=vallex&amp;frame=v-whsa_126hsa_127", "kotovat (v-whsa_126hsa_127) - substituted with v-whsa_126f1_ZU")</f>
        <v>kotovat (v-whsa_126hsa_127) - substituted with v-whsa_126f1_ZU</v>
      </c>
    </row>
    <row r="12013" spans="1:4" x14ac:dyDescent="0.2">
      <c r="B12013" t="s">
        <v>1</v>
      </c>
    </row>
    <row r="12014" spans="1:4" x14ac:dyDescent="0.2">
      <c r="B12014" t="s">
        <v>8</v>
      </c>
    </row>
    <row r="12015" spans="1:4" x14ac:dyDescent="0.2">
      <c r="B12015" t="s">
        <v>61</v>
      </c>
    </row>
    <row r="12017" spans="1:2" x14ac:dyDescent="0.2">
      <c r="A12017" t="s">
        <v>4216</v>
      </c>
      <c r="B12017" t="str">
        <f>HYPERLINK("https://lindat.mff.cuni.cz/services/teitok/pdtc10/index.php?action=vallex&amp;frame=v-w1568f2", "kotvit (v-w1568f2)")</f>
        <v>kotvit (v-w1568f2)</v>
      </c>
    </row>
    <row r="12018" spans="1:2" x14ac:dyDescent="0.2">
      <c r="B12018" t="s">
        <v>1</v>
      </c>
    </row>
    <row r="12019" spans="1:2" x14ac:dyDescent="0.2">
      <c r="B12019" t="s">
        <v>8</v>
      </c>
    </row>
    <row r="12020" spans="1:2" x14ac:dyDescent="0.2">
      <c r="B12020" t="s">
        <v>90</v>
      </c>
    </row>
    <row r="12022" spans="1:2" x14ac:dyDescent="0.2">
      <c r="A12022" t="s">
        <v>4217</v>
      </c>
      <c r="B12022" t="str">
        <f>HYPERLINK("https://lindat.mff.cuni.cz/services/teitok/pdtc10/index.php?action=vallex&amp;frame=v-w1568f1", "kotvit (v-w1568f1)")</f>
        <v>kotvit (v-w1568f1)</v>
      </c>
    </row>
    <row r="12023" spans="1:2" x14ac:dyDescent="0.2">
      <c r="B12023" t="s">
        <v>1</v>
      </c>
    </row>
    <row r="12025" spans="1:2" x14ac:dyDescent="0.2">
      <c r="A12025" t="s">
        <v>4218</v>
      </c>
      <c r="B12025" t="str">
        <f>HYPERLINK("https://lindat.mff.cuni.cz/services/teitok/pdtc10/index.php?action=vallex&amp;frame=v-w1570f5_ZU", "koukat (v-w1570f5_ZU)")</f>
        <v>koukat (v-w1570f5_ZU)</v>
      </c>
    </row>
    <row r="12026" spans="1:2" x14ac:dyDescent="0.2">
      <c r="B12026" t="s">
        <v>1</v>
      </c>
    </row>
    <row r="12027" spans="1:2" x14ac:dyDescent="0.2">
      <c r="B12027" t="s">
        <v>4219</v>
      </c>
    </row>
    <row r="12029" spans="1:2" x14ac:dyDescent="0.2">
      <c r="A12029" t="s">
        <v>4218</v>
      </c>
      <c r="B12029" t="str">
        <f>HYPERLINK("https://lindat.mff.cuni.cz/services/teitok/pdtc10/index.php?action=vallex&amp;frame=v-w1570f2", "koukat (v-w1570f2) - substituted with v-w1570f5_ZU")</f>
        <v>koukat (v-w1570f2) - substituted with v-w1570f5_ZU</v>
      </c>
    </row>
    <row r="12030" spans="1:2" x14ac:dyDescent="0.2">
      <c r="B12030" t="s">
        <v>1</v>
      </c>
    </row>
    <row r="12031" spans="1:2" x14ac:dyDescent="0.2">
      <c r="B12031" t="s">
        <v>4219</v>
      </c>
    </row>
    <row r="12033" spans="1:2" x14ac:dyDescent="0.2">
      <c r="A12033" t="s">
        <v>4220</v>
      </c>
      <c r="B12033" t="str">
        <f>HYPERLINK("https://lindat.mff.cuni.cz/services/teitok/pdtc10/index.php?action=vallex&amp;frame=v-w1570f12_ZU", "koukat (v-w1570f12_ZU)")</f>
        <v>koukat (v-w1570f12_ZU)</v>
      </c>
    </row>
    <row r="12034" spans="1:2" x14ac:dyDescent="0.2">
      <c r="B12034" t="s">
        <v>1</v>
      </c>
    </row>
    <row r="12035" spans="1:2" x14ac:dyDescent="0.2">
      <c r="B12035" t="s">
        <v>4221</v>
      </c>
    </row>
    <row r="12037" spans="1:2" x14ac:dyDescent="0.2">
      <c r="A12037" t="s">
        <v>4220</v>
      </c>
      <c r="B12037" t="str">
        <f>HYPERLINK("https://lindat.mff.cuni.cz/services/teitok/pdtc10/index.php?action=vallex&amp;frame=v-w1570f1", "koukat (v-w1570f1) - substituted with v-w1570f12_ZU")</f>
        <v>koukat (v-w1570f1) - substituted with v-w1570f12_ZU</v>
      </c>
    </row>
    <row r="12038" spans="1:2" x14ac:dyDescent="0.2">
      <c r="B12038" t="s">
        <v>1</v>
      </c>
    </row>
    <row r="12039" spans="1:2" x14ac:dyDescent="0.2">
      <c r="B12039" t="s">
        <v>4221</v>
      </c>
    </row>
    <row r="12041" spans="1:2" x14ac:dyDescent="0.2">
      <c r="A12041" t="s">
        <v>4220</v>
      </c>
      <c r="B12041" t="str">
        <f>HYPERLINK("https://lindat.mff.cuni.cz/services/teitok/pdtc10/index.php?action=vallex&amp;frame=v-w1570f11_ZU", "koukat (v-w1570f11_ZU) - substituted with v-w1570f12_ZU")</f>
        <v>koukat (v-w1570f11_ZU) - substituted with v-w1570f12_ZU</v>
      </c>
    </row>
    <row r="12042" spans="1:2" x14ac:dyDescent="0.2">
      <c r="B12042" t="s">
        <v>1</v>
      </c>
    </row>
    <row r="12043" spans="1:2" x14ac:dyDescent="0.2">
      <c r="B12043" t="s">
        <v>4221</v>
      </c>
    </row>
    <row r="12045" spans="1:2" x14ac:dyDescent="0.2">
      <c r="A12045" t="s">
        <v>4220</v>
      </c>
      <c r="B12045" t="str">
        <f>HYPERLINK("https://lindat.mff.cuni.cz/services/teitok/pdtc10/index.php?action=vallex&amp;frame=v-w1570f4_ZU", "koukat (v-w1570f4_ZU) - substituted with v-w1570f12_ZU")</f>
        <v>koukat (v-w1570f4_ZU) - substituted with v-w1570f12_ZU</v>
      </c>
    </row>
    <row r="12046" spans="1:2" x14ac:dyDescent="0.2">
      <c r="B12046" t="s">
        <v>1</v>
      </c>
    </row>
    <row r="12047" spans="1:2" x14ac:dyDescent="0.2">
      <c r="B12047" t="s">
        <v>4221</v>
      </c>
    </row>
    <row r="12049" spans="1:4" x14ac:dyDescent="0.2">
      <c r="A12049" t="s">
        <v>4220</v>
      </c>
      <c r="B12049" t="str">
        <f>HYPERLINK("https://lindat.mff.cuni.cz/services/teitok/pdtc10/index.php?action=vallex&amp;frame=v-w1570f7_ZU", "koukat (v-w1570f7_ZU) - substituted with v-w1570f12_ZU")</f>
        <v>koukat (v-w1570f7_ZU) - substituted with v-w1570f12_ZU</v>
      </c>
    </row>
    <row r="12050" spans="1:4" x14ac:dyDescent="0.2">
      <c r="B12050" t="s">
        <v>1</v>
      </c>
    </row>
    <row r="12051" spans="1:4" x14ac:dyDescent="0.2">
      <c r="B12051" t="s">
        <v>4221</v>
      </c>
    </row>
    <row r="12053" spans="1:4" x14ac:dyDescent="0.2">
      <c r="A12053" t="s">
        <v>4220</v>
      </c>
      <c r="B12053" t="str">
        <f>HYPERLINK("https://lindat.mff.cuni.cz/services/teitok/pdtc10/index.php?action=vallex&amp;frame=v-w1570f8_ZU", "koukat (v-w1570f8_ZU) - substituted with v-w1570f12_ZU")</f>
        <v>koukat (v-w1570f8_ZU) - substituted with v-w1570f12_ZU</v>
      </c>
    </row>
    <row r="12054" spans="1:4" x14ac:dyDescent="0.2">
      <c r="B12054" t="s">
        <v>1</v>
      </c>
    </row>
    <row r="12055" spans="1:4" x14ac:dyDescent="0.2">
      <c r="B12055" t="s">
        <v>4221</v>
      </c>
    </row>
    <row r="12057" spans="1:4" x14ac:dyDescent="0.2">
      <c r="A12057" t="s">
        <v>4220</v>
      </c>
      <c r="B12057" t="str">
        <f>HYPERLINK("https://lindat.mff.cuni.cz/services/teitok/pdtc10/index.php?action=vallex&amp;frame=v-w1570f9_ZU", "koukat (v-w1570f9_ZU) - substituted with v-w1570f12_ZU")</f>
        <v>koukat (v-w1570f9_ZU) - substituted with v-w1570f12_ZU</v>
      </c>
    </row>
    <row r="12058" spans="1:4" x14ac:dyDescent="0.2">
      <c r="B12058" t="s">
        <v>1</v>
      </c>
    </row>
    <row r="12059" spans="1:4" x14ac:dyDescent="0.2">
      <c r="B12059" t="s">
        <v>4221</v>
      </c>
    </row>
    <row r="12061" spans="1:4" x14ac:dyDescent="0.2">
      <c r="A12061" t="s">
        <v>4222</v>
      </c>
      <c r="B12061" t="str">
        <f>HYPERLINK("https://lindat.mff.cuni.cz/services/teitok/pdtc10/index.php?action=vallex&amp;frame=v-w1570f3", "koukat (v-w1570f3)")</f>
        <v>koukat (v-w1570f3)</v>
      </c>
    </row>
    <row r="12062" spans="1:4" x14ac:dyDescent="0.2">
      <c r="B12062" t="s">
        <v>1</v>
      </c>
      <c r="C12062" t="s">
        <v>2303</v>
      </c>
      <c r="D12062" t="s">
        <v>317</v>
      </c>
    </row>
    <row r="12063" spans="1:4" x14ac:dyDescent="0.2">
      <c r="B12063" t="s">
        <v>90</v>
      </c>
      <c r="D12063" t="s">
        <v>23313</v>
      </c>
    </row>
    <row r="12065" spans="1:2" x14ac:dyDescent="0.2">
      <c r="A12065" t="s">
        <v>4223</v>
      </c>
      <c r="B12065" t="str">
        <f>HYPERLINK("https://lindat.mff.cuni.cz/services/teitok/pdtc10/index.php?action=vallex&amp;frame=v-w1570f6_ZU", "koukat (v-w1570f6_ZU)")</f>
        <v>koukat (v-w1570f6_ZU)</v>
      </c>
    </row>
    <row r="12066" spans="1:2" x14ac:dyDescent="0.2">
      <c r="B12066" t="s">
        <v>1</v>
      </c>
    </row>
    <row r="12067" spans="1:2" x14ac:dyDescent="0.2">
      <c r="B12067" t="s">
        <v>28</v>
      </c>
    </row>
    <row r="12069" spans="1:2" x14ac:dyDescent="0.2">
      <c r="A12069" t="s">
        <v>4224</v>
      </c>
      <c r="B12069" t="str">
        <f>HYPERLINK("https://lindat.mff.cuni.cz/services/teitok/pdtc10/index.php?action=vallex&amp;frame=v-w1570f10_ZU", "koukat (v-w1570f10_ZU)")</f>
        <v>koukat (v-w1570f10_ZU)</v>
      </c>
    </row>
    <row r="12070" spans="1:2" x14ac:dyDescent="0.2">
      <c r="B12070" t="s">
        <v>1</v>
      </c>
    </row>
    <row r="12071" spans="1:2" x14ac:dyDescent="0.2">
      <c r="B12071" t="s">
        <v>1165</v>
      </c>
    </row>
    <row r="12073" spans="1:2" x14ac:dyDescent="0.2">
      <c r="A12073" t="s">
        <v>4224</v>
      </c>
      <c r="B12073" t="str">
        <f>HYPERLINK("https://lindat.mff.cuni.cz/services/teitok/pdtc10/index.php?action=vallex&amp;frame=v-w1570hsa_1671", "koukat (v-w1570hsa_1671) - substituted with v-w1570f10_ZU")</f>
        <v>koukat (v-w1570hsa_1671) - substituted with v-w1570f10_ZU</v>
      </c>
    </row>
    <row r="12074" spans="1:2" x14ac:dyDescent="0.2">
      <c r="B12074" t="s">
        <v>1</v>
      </c>
    </row>
    <row r="12075" spans="1:2" x14ac:dyDescent="0.2">
      <c r="B12075" t="s">
        <v>1165</v>
      </c>
    </row>
    <row r="12077" spans="1:2" x14ac:dyDescent="0.2">
      <c r="A12077" t="s">
        <v>4225</v>
      </c>
      <c r="B12077" t="str">
        <f>HYPERLINK("https://lindat.mff.cuni.cz/services/teitok/pdtc10/index.php?action=vallex&amp;frame=v-w1570f13_MM", "koukat (v-w1570f13_MM)")</f>
        <v>koukat (v-w1570f13_MM)</v>
      </c>
    </row>
    <row r="12078" spans="1:2" x14ac:dyDescent="0.2">
      <c r="B12078" t="s">
        <v>1</v>
      </c>
    </row>
    <row r="12079" spans="1:2" x14ac:dyDescent="0.2">
      <c r="B12079" t="s">
        <v>4226</v>
      </c>
    </row>
    <row r="12081" spans="1:2" x14ac:dyDescent="0.2">
      <c r="A12081" t="s">
        <v>4227</v>
      </c>
      <c r="B12081" t="str">
        <f>HYPERLINK("https://lindat.mff.cuni.cz/services/teitok/pdtc10/index.php?action=vallex&amp;frame=v-w1570hsa_1670", "koukat (v-w1570hsa_1670)")</f>
        <v>koukat (v-w1570hsa_1670)</v>
      </c>
    </row>
    <row r="12082" spans="1:2" x14ac:dyDescent="0.2">
      <c r="B12082" t="s">
        <v>1</v>
      </c>
    </row>
    <row r="12084" spans="1:2" x14ac:dyDescent="0.2">
      <c r="A12084" t="s">
        <v>4228</v>
      </c>
      <c r="B12084" t="str">
        <f>HYPERLINK("https://lindat.mff.cuni.cz/services/teitok/pdtc10/index.php?action=vallex&amp;frame=v-w1570hsa_1672", "koukat (v-w1570hsa_1672)")</f>
        <v>koukat (v-w1570hsa_1672)</v>
      </c>
    </row>
    <row r="12085" spans="1:2" x14ac:dyDescent="0.2">
      <c r="B12085" t="s">
        <v>3261</v>
      </c>
    </row>
    <row r="12087" spans="1:2" x14ac:dyDescent="0.2">
      <c r="A12087" t="s">
        <v>4229</v>
      </c>
      <c r="B12087" t="str">
        <f>HYPERLINK("https://lindat.mff.cuni.cz/services/teitok/pdtc10/index.php?action=vallex&amp;frame=v-w1571hsa_723", "koukat se (v-w1571hsa_723)")</f>
        <v>koukat se (v-w1571hsa_723)</v>
      </c>
    </row>
    <row r="12088" spans="1:2" x14ac:dyDescent="0.2">
      <c r="B12088" t="s">
        <v>1</v>
      </c>
    </row>
    <row r="12089" spans="1:2" x14ac:dyDescent="0.2">
      <c r="B12089" t="s">
        <v>4230</v>
      </c>
    </row>
    <row r="12091" spans="1:2" x14ac:dyDescent="0.2">
      <c r="A12091" t="s">
        <v>4229</v>
      </c>
      <c r="B12091" t="str">
        <f>HYPERLINK("https://lindat.mff.cuni.cz/services/teitok/pdtc10/index.php?action=vallex&amp;frame=v-w1571f2", "koukat se (v-w1571f2) - substituted with v-w1571hsa_723")</f>
        <v>koukat se (v-w1571f2) - substituted with v-w1571hsa_723</v>
      </c>
    </row>
    <row r="12092" spans="1:2" x14ac:dyDescent="0.2">
      <c r="B12092" t="s">
        <v>1</v>
      </c>
    </row>
    <row r="12093" spans="1:2" x14ac:dyDescent="0.2">
      <c r="B12093" t="s">
        <v>4230</v>
      </c>
    </row>
    <row r="12095" spans="1:2" x14ac:dyDescent="0.2">
      <c r="A12095" t="s">
        <v>4231</v>
      </c>
      <c r="B12095" t="str">
        <f>HYPERLINK("https://lindat.mff.cuni.cz/services/teitok/pdtc10/index.php?action=vallex&amp;frame=v-w1571f1", "koukat se (v-w1571f1)")</f>
        <v>koukat se (v-w1571f1)</v>
      </c>
    </row>
    <row r="12096" spans="1:2" x14ac:dyDescent="0.2">
      <c r="B12096" t="s">
        <v>1</v>
      </c>
    </row>
    <row r="12097" spans="1:2" x14ac:dyDescent="0.2">
      <c r="B12097" t="s">
        <v>90</v>
      </c>
    </row>
    <row r="12099" spans="1:2" x14ac:dyDescent="0.2">
      <c r="A12099" t="s">
        <v>4232</v>
      </c>
      <c r="B12099" t="str">
        <f>HYPERLINK("https://lindat.mff.cuni.cz/services/teitok/pdtc10/index.php?action=vallex&amp;frame=v-w11193f2", "kouknout (v-w11193f2)")</f>
        <v>kouknout (v-w11193f2)</v>
      </c>
    </row>
    <row r="12100" spans="1:2" x14ac:dyDescent="0.2">
      <c r="B12100" t="s">
        <v>1</v>
      </c>
    </row>
    <row r="12101" spans="1:2" x14ac:dyDescent="0.2">
      <c r="B12101" t="s">
        <v>1178</v>
      </c>
    </row>
    <row r="12103" spans="1:2" x14ac:dyDescent="0.2">
      <c r="A12103" t="s">
        <v>4233</v>
      </c>
      <c r="B12103" t="str">
        <f>HYPERLINK("https://lindat.mff.cuni.cz/services/teitok/pdtc10/index.php?action=vallex&amp;frame=v-w11193hsa_1001", "kouknout (v-w11193hsa_1001)")</f>
        <v>kouknout (v-w11193hsa_1001)</v>
      </c>
    </row>
    <row r="12104" spans="1:2" x14ac:dyDescent="0.2">
      <c r="B12104" t="s">
        <v>1</v>
      </c>
    </row>
    <row r="12105" spans="1:2" x14ac:dyDescent="0.2">
      <c r="B12105" t="s">
        <v>90</v>
      </c>
    </row>
    <row r="12107" spans="1:2" x14ac:dyDescent="0.2">
      <c r="A12107" t="s">
        <v>4234</v>
      </c>
      <c r="B12107" t="str">
        <f>HYPERLINK("https://lindat.mff.cuni.cz/services/teitok/pdtc10/index.php?action=vallex&amp;frame=v-whsa_1942hsa_1943", "kouknout se (v-whsa_1942hsa_1943)")</f>
        <v>kouknout se (v-whsa_1942hsa_1943)</v>
      </c>
    </row>
    <row r="12108" spans="1:2" x14ac:dyDescent="0.2">
      <c r="B12108" t="s">
        <v>1</v>
      </c>
    </row>
    <row r="12109" spans="1:2" x14ac:dyDescent="0.2">
      <c r="B12109" t="s">
        <v>90</v>
      </c>
    </row>
    <row r="12111" spans="1:2" x14ac:dyDescent="0.2">
      <c r="A12111" t="s">
        <v>4235</v>
      </c>
      <c r="B12111" t="str">
        <f>HYPERLINK("https://lindat.mff.cuni.cz/services/teitok/pdtc10/index.php?action=vallex&amp;frame=v-w12347_MMf1_MM", "koulovat (v-w12347_MMf1_MM)")</f>
        <v>koulovat (v-w12347_MMf1_MM)</v>
      </c>
    </row>
    <row r="12112" spans="1:2" x14ac:dyDescent="0.2">
      <c r="B12112" t="s">
        <v>1</v>
      </c>
    </row>
    <row r="12113" spans="1:4" x14ac:dyDescent="0.2">
      <c r="B12113" t="s">
        <v>8</v>
      </c>
    </row>
    <row r="12115" spans="1:4" x14ac:dyDescent="0.2">
      <c r="A12115" t="s">
        <v>4236</v>
      </c>
      <c r="B12115" t="str">
        <f>HYPERLINK("https://lindat.mff.cuni.cz/services/teitok/pdtc10/index.php?action=vallex&amp;frame=v-w1573f1", "koupat (v-w1573f1)")</f>
        <v>koupat (v-w1573f1)</v>
      </c>
    </row>
    <row r="12116" spans="1:4" x14ac:dyDescent="0.2">
      <c r="B12116" t="s">
        <v>1</v>
      </c>
      <c r="D12116" t="s">
        <v>22</v>
      </c>
    </row>
    <row r="12117" spans="1:4" x14ac:dyDescent="0.2">
      <c r="B12117" t="s">
        <v>8</v>
      </c>
      <c r="D12117" t="s">
        <v>23428</v>
      </c>
    </row>
    <row r="12119" spans="1:4" x14ac:dyDescent="0.2">
      <c r="A12119" t="s">
        <v>4237</v>
      </c>
      <c r="B12119" t="str">
        <f>HYPERLINK("https://lindat.mff.cuni.cz/services/teitok/pdtc10/index.php?action=vallex&amp;frame=v-w1574f1", "koupat se (v-w1574f1)")</f>
        <v>koupat se (v-w1574f1)</v>
      </c>
    </row>
    <row r="12120" spans="1:4" x14ac:dyDescent="0.2">
      <c r="B12120" t="s">
        <v>1</v>
      </c>
    </row>
    <row r="12122" spans="1:4" x14ac:dyDescent="0.2">
      <c r="A12122" t="s">
        <v>4238</v>
      </c>
      <c r="B12122" t="str">
        <f>HYPERLINK("https://lindat.mff.cuni.cz/services/teitok/pdtc10/index.php?action=vallex&amp;frame=v-w1574f2", "koupat se (v-w1574f2)")</f>
        <v>koupat se (v-w1574f2)</v>
      </c>
    </row>
    <row r="12123" spans="1:4" x14ac:dyDescent="0.2">
      <c r="B12123" t="s">
        <v>1</v>
      </c>
      <c r="D12123" t="s">
        <v>23429</v>
      </c>
    </row>
    <row r="12125" spans="1:4" x14ac:dyDescent="0.2">
      <c r="A12125" t="s">
        <v>4239</v>
      </c>
      <c r="B12125" t="str">
        <f>HYPERLINK("https://lindat.mff.cuni.cz/services/teitok/pdtc10/index.php?action=vallex&amp;frame=v-w1578f2_ZU", "koupit (v-w1578f2_ZU)")</f>
        <v>koupit (v-w1578f2_ZU)</v>
      </c>
    </row>
    <row r="12126" spans="1:4" x14ac:dyDescent="0.2">
      <c r="B12126" t="s">
        <v>1</v>
      </c>
    </row>
    <row r="12127" spans="1:4" x14ac:dyDescent="0.2">
      <c r="B12127" t="s">
        <v>172</v>
      </c>
    </row>
    <row r="12128" spans="1:4" x14ac:dyDescent="0.2">
      <c r="B12128" t="s">
        <v>1629</v>
      </c>
    </row>
    <row r="12129" spans="1:4" x14ac:dyDescent="0.2">
      <c r="B12129" t="s">
        <v>321</v>
      </c>
    </row>
    <row r="12131" spans="1:4" x14ac:dyDescent="0.2">
      <c r="A12131" t="s">
        <v>4239</v>
      </c>
      <c r="B12131" t="str">
        <f>HYPERLINK("https://lindat.mff.cuni.cz/services/teitok/pdtc10/index.php?action=vallex&amp;frame=v-w1578f1", "koupit (v-w1578f1) - substituted with v-w1578f2_ZU")</f>
        <v>koupit (v-w1578f1) - substituted with v-w1578f2_ZU</v>
      </c>
    </row>
    <row r="12132" spans="1:4" x14ac:dyDescent="0.2">
      <c r="B12132" t="s">
        <v>1</v>
      </c>
      <c r="C12132" t="s">
        <v>4240</v>
      </c>
      <c r="D12132" t="s">
        <v>23430</v>
      </c>
    </row>
    <row r="12133" spans="1:4" x14ac:dyDescent="0.2">
      <c r="B12133" t="s">
        <v>172</v>
      </c>
      <c r="C12133" t="s">
        <v>4241</v>
      </c>
      <c r="D12133" t="s">
        <v>23431</v>
      </c>
    </row>
    <row r="12134" spans="1:4" x14ac:dyDescent="0.2">
      <c r="B12134" t="s">
        <v>1629</v>
      </c>
      <c r="C12134" t="s">
        <v>4242</v>
      </c>
      <c r="D12134" t="s">
        <v>4242</v>
      </c>
    </row>
    <row r="12135" spans="1:4" x14ac:dyDescent="0.2">
      <c r="B12135" t="s">
        <v>321</v>
      </c>
      <c r="C12135" t="s">
        <v>4243</v>
      </c>
      <c r="D12135" t="s">
        <v>5731</v>
      </c>
    </row>
    <row r="12137" spans="1:4" x14ac:dyDescent="0.2">
      <c r="A12137" t="s">
        <v>4244</v>
      </c>
      <c r="B12137" t="str">
        <f>HYPERLINK("https://lindat.mff.cuni.cz/services/teitok/pdtc10/index.php?action=vallex&amp;frame=v-w1581f1", "kousat (v-w1581f1)")</f>
        <v>kousat (v-w1581f1)</v>
      </c>
    </row>
    <row r="12138" spans="1:4" x14ac:dyDescent="0.2">
      <c r="B12138" t="s">
        <v>1</v>
      </c>
    </row>
    <row r="12139" spans="1:4" x14ac:dyDescent="0.2">
      <c r="B12139" t="s">
        <v>8</v>
      </c>
    </row>
    <row r="12141" spans="1:4" x14ac:dyDescent="0.2">
      <c r="A12141" t="s">
        <v>4245</v>
      </c>
      <c r="B12141" t="str">
        <f>HYPERLINK("https://lindat.mff.cuni.cz/services/teitok/pdtc10/index.php?action=vallex&amp;frame=v-w1581hsa_2058", "kousat (v-w1581hsa_2058)")</f>
        <v>kousat (v-w1581hsa_2058)</v>
      </c>
    </row>
    <row r="12142" spans="1:4" x14ac:dyDescent="0.2">
      <c r="B12142" t="s">
        <v>1</v>
      </c>
    </row>
    <row r="12143" spans="1:4" x14ac:dyDescent="0.2">
      <c r="B12143" t="s">
        <v>4246</v>
      </c>
    </row>
    <row r="12145" spans="1:4" x14ac:dyDescent="0.2">
      <c r="A12145" t="s">
        <v>4247</v>
      </c>
      <c r="B12145" t="str">
        <f>HYPERLINK("https://lindat.mff.cuni.cz/services/teitok/pdtc10/index.php?action=vallex&amp;frame=v-w1582f1", "kousat se (v-w1582f1)")</f>
        <v>kousat se (v-w1582f1)</v>
      </c>
    </row>
    <row r="12146" spans="1:4" x14ac:dyDescent="0.2">
      <c r="B12146" t="s">
        <v>1</v>
      </c>
    </row>
    <row r="12147" spans="1:4" x14ac:dyDescent="0.2">
      <c r="B12147" t="s">
        <v>4248</v>
      </c>
    </row>
    <row r="12149" spans="1:4" x14ac:dyDescent="0.2">
      <c r="A12149" t="s">
        <v>4249</v>
      </c>
      <c r="B12149" t="str">
        <f>HYPERLINK("https://lindat.mff.cuni.cz/services/teitok/pdtc10/index.php?action=vallex&amp;frame=v-w1583f1", "kouskovat (v-w1583f1)")</f>
        <v>kouskovat (v-w1583f1)</v>
      </c>
    </row>
    <row r="12150" spans="1:4" x14ac:dyDescent="0.2">
      <c r="B12150" t="s">
        <v>1</v>
      </c>
      <c r="D12150" t="s">
        <v>23432</v>
      </c>
    </row>
    <row r="12151" spans="1:4" x14ac:dyDescent="0.2">
      <c r="B12151" t="s">
        <v>8</v>
      </c>
      <c r="D12151" t="s">
        <v>23433</v>
      </c>
    </row>
    <row r="12152" spans="1:4" x14ac:dyDescent="0.2">
      <c r="B12152" t="s">
        <v>2334</v>
      </c>
      <c r="D12152" t="s">
        <v>23434</v>
      </c>
    </row>
    <row r="12154" spans="1:4" x14ac:dyDescent="0.2">
      <c r="A12154" t="s">
        <v>4250</v>
      </c>
      <c r="B12154" t="str">
        <f>HYPERLINK("https://lindat.mff.cuni.cz/services/teitok/pdtc10/index.php?action=vallex&amp;frame=v-w1584f1", "kousnout (v-w1584f1)")</f>
        <v>kousnout (v-w1584f1)</v>
      </c>
    </row>
    <row r="12155" spans="1:4" x14ac:dyDescent="0.2">
      <c r="B12155" t="s">
        <v>1</v>
      </c>
      <c r="C12155" t="s">
        <v>249</v>
      </c>
      <c r="D12155" t="s">
        <v>249</v>
      </c>
    </row>
    <row r="12156" spans="1:4" x14ac:dyDescent="0.2">
      <c r="B12156" t="s">
        <v>8</v>
      </c>
      <c r="D12156" t="s">
        <v>991</v>
      </c>
    </row>
    <row r="12158" spans="1:4" x14ac:dyDescent="0.2">
      <c r="A12158" t="s">
        <v>4251</v>
      </c>
      <c r="B12158" t="str">
        <f>HYPERLINK("https://lindat.mff.cuni.cz/services/teitok/pdtc10/index.php?action=vallex&amp;frame=v-w1584f2", "kousnout (v-w1584f2)")</f>
        <v>kousnout (v-w1584f2)</v>
      </c>
    </row>
    <row r="12159" spans="1:4" x14ac:dyDescent="0.2">
      <c r="B12159" t="s">
        <v>1</v>
      </c>
    </row>
    <row r="12160" spans="1:4" x14ac:dyDescent="0.2">
      <c r="B12160" t="s">
        <v>90</v>
      </c>
    </row>
    <row r="12162" spans="1:3" x14ac:dyDescent="0.2">
      <c r="A12162" t="s">
        <v>4252</v>
      </c>
      <c r="B12162" t="str">
        <f>HYPERLINK("https://lindat.mff.cuni.cz/services/teitok/pdtc10/index.php?action=vallex&amp;frame=v-whsb_56hsa_57", "kousnout se (v-whsb_56hsa_57)")</f>
        <v>kousnout se (v-whsb_56hsa_57)</v>
      </c>
    </row>
    <row r="12163" spans="1:3" x14ac:dyDescent="0.2">
      <c r="B12163" t="s">
        <v>1</v>
      </c>
    </row>
    <row r="12165" spans="1:3" x14ac:dyDescent="0.2">
      <c r="A12165" t="s">
        <v>4253</v>
      </c>
      <c r="B12165" t="str">
        <f>HYPERLINK("https://lindat.mff.cuni.cz/services/teitok/pdtc10/index.php?action=vallex&amp;frame=v-w11491f1", "kousnout si (v-w11491f1)")</f>
        <v>kousnout si (v-w11491f1)</v>
      </c>
    </row>
    <row r="12166" spans="1:3" x14ac:dyDescent="0.2">
      <c r="B12166" t="s">
        <v>1</v>
      </c>
      <c r="C12166" t="s">
        <v>249</v>
      </c>
    </row>
    <row r="12167" spans="1:3" x14ac:dyDescent="0.2">
      <c r="B12167" t="s">
        <v>90</v>
      </c>
      <c r="C12167" t="s">
        <v>1713</v>
      </c>
    </row>
    <row r="12169" spans="1:3" x14ac:dyDescent="0.2">
      <c r="A12169" t="s">
        <v>4254</v>
      </c>
      <c r="B12169" t="str">
        <f>HYPERLINK("https://lindat.mff.cuni.cz/services/teitok/pdtc10/index.php?action=vallex&amp;frame=v-w11368f1", "kout (v-w11368f1)")</f>
        <v>kout (v-w11368f1)</v>
      </c>
    </row>
    <row r="12170" spans="1:3" x14ac:dyDescent="0.2">
      <c r="B12170" t="s">
        <v>1</v>
      </c>
      <c r="C12170" t="s">
        <v>80</v>
      </c>
    </row>
    <row r="12171" spans="1:3" x14ac:dyDescent="0.2">
      <c r="B12171" t="s">
        <v>4255</v>
      </c>
      <c r="C12171" t="s">
        <v>725</v>
      </c>
    </row>
    <row r="12173" spans="1:3" x14ac:dyDescent="0.2">
      <c r="A12173" t="s">
        <v>4256</v>
      </c>
      <c r="B12173" t="str">
        <f>HYPERLINK("https://lindat.mff.cuni.cz/services/teitok/pdtc10/index.php?action=vallex&amp;frame=v-whsa_574hsa_575", "kouzlit (v-whsa_574hsa_575)")</f>
        <v>kouzlit (v-whsa_574hsa_575)</v>
      </c>
    </row>
    <row r="12174" spans="1:3" x14ac:dyDescent="0.2">
      <c r="B12174" t="s">
        <v>1</v>
      </c>
    </row>
    <row r="12176" spans="1:3" x14ac:dyDescent="0.2">
      <c r="A12176" t="s">
        <v>4257</v>
      </c>
      <c r="B12176" t="str">
        <f>HYPERLINK("https://lindat.mff.cuni.cz/services/teitok/pdtc10/index.php?action=vallex&amp;frame=v-w1580f1", "kouřit (v-w1580f1)")</f>
        <v>kouřit (v-w1580f1)</v>
      </c>
    </row>
    <row r="12177" spans="1:4" x14ac:dyDescent="0.2">
      <c r="B12177" t="s">
        <v>1</v>
      </c>
      <c r="C12177" t="s">
        <v>83</v>
      </c>
      <c r="D12177" t="s">
        <v>83</v>
      </c>
    </row>
    <row r="12178" spans="1:4" x14ac:dyDescent="0.2">
      <c r="B12178" t="s">
        <v>8</v>
      </c>
      <c r="C12178" t="s">
        <v>113</v>
      </c>
      <c r="D12178" t="s">
        <v>113</v>
      </c>
    </row>
    <row r="12180" spans="1:4" x14ac:dyDescent="0.2">
      <c r="A12180" t="s">
        <v>4258</v>
      </c>
      <c r="B12180" t="str">
        <f>HYPERLINK("https://lindat.mff.cuni.cz/services/teitok/pdtc10/index.php?action=vallex&amp;frame=v-w1580hsa_1245", "kouřit (v-w1580hsa_1245)")</f>
        <v>kouřit (v-w1580hsa_1245)</v>
      </c>
    </row>
    <row r="12181" spans="1:4" x14ac:dyDescent="0.2">
      <c r="B12181" t="s">
        <v>1</v>
      </c>
    </row>
    <row r="12182" spans="1:4" x14ac:dyDescent="0.2">
      <c r="B12182" t="s">
        <v>8</v>
      </c>
    </row>
    <row r="12184" spans="1:4" x14ac:dyDescent="0.2">
      <c r="A12184" t="s">
        <v>4259</v>
      </c>
      <c r="B12184" t="str">
        <f>HYPERLINK("https://lindat.mff.cuni.cz/services/teitok/pdtc10/index.php?action=vallex&amp;frame=v-w1411f1", "kočkovat se (v-w1411f1)")</f>
        <v>kočkovat se (v-w1411f1)</v>
      </c>
    </row>
    <row r="12185" spans="1:4" x14ac:dyDescent="0.2">
      <c r="B12185" t="s">
        <v>1</v>
      </c>
    </row>
    <row r="12186" spans="1:4" x14ac:dyDescent="0.2">
      <c r="B12186" t="s">
        <v>153</v>
      </c>
    </row>
    <row r="12187" spans="1:4" x14ac:dyDescent="0.2">
      <c r="B12187" t="s">
        <v>3205</v>
      </c>
    </row>
    <row r="12189" spans="1:4" x14ac:dyDescent="0.2">
      <c r="A12189" t="s">
        <v>4260</v>
      </c>
      <c r="B12189" t="str">
        <f>HYPERLINK("https://lindat.mff.cuni.cz/services/teitok/pdtc10/index.php?action=vallex&amp;frame=v-w1412f1", "kočovat (v-w1412f1)")</f>
        <v>kočovat (v-w1412f1)</v>
      </c>
    </row>
    <row r="12190" spans="1:4" x14ac:dyDescent="0.2">
      <c r="B12190" t="s">
        <v>1</v>
      </c>
    </row>
    <row r="12192" spans="1:4" x14ac:dyDescent="0.2">
      <c r="A12192" t="s">
        <v>4261</v>
      </c>
      <c r="B12192" t="str">
        <f>HYPERLINK("https://lindat.mff.cuni.cz/services/teitok/pdtc10/index.php?action=vallex&amp;frame=v-w1566f1", "kořenit (v-w1566f1)")</f>
        <v>kořenit (v-w1566f1)</v>
      </c>
    </row>
    <row r="12193" spans="1:4" x14ac:dyDescent="0.2">
      <c r="B12193" t="s">
        <v>1</v>
      </c>
    </row>
    <row r="12194" spans="1:4" x14ac:dyDescent="0.2">
      <c r="B12194" t="s">
        <v>8</v>
      </c>
    </row>
    <row r="12196" spans="1:4" x14ac:dyDescent="0.2">
      <c r="A12196" t="s">
        <v>4262</v>
      </c>
      <c r="B12196" t="str">
        <f>HYPERLINK("https://lindat.mff.cuni.cz/services/teitok/pdtc10/index.php?action=vallex&amp;frame=v-w1590f1", "krachovat (v-w1590f1)")</f>
        <v>krachovat (v-w1590f1)</v>
      </c>
    </row>
    <row r="12197" spans="1:4" x14ac:dyDescent="0.2">
      <c r="B12197" t="s">
        <v>1</v>
      </c>
    </row>
    <row r="12199" spans="1:4" x14ac:dyDescent="0.2">
      <c r="A12199" t="s">
        <v>4263</v>
      </c>
      <c r="B12199" t="str">
        <f>HYPERLINK("https://lindat.mff.cuni.cz/services/teitok/pdtc10/index.php?action=vallex&amp;frame=v-w1599f2_ZU", "kreslit (v-w1599f2_ZU)")</f>
        <v>kreslit (v-w1599f2_ZU)</v>
      </c>
    </row>
    <row r="12200" spans="1:4" x14ac:dyDescent="0.2">
      <c r="B12200" t="s">
        <v>1</v>
      </c>
    </row>
    <row r="12201" spans="1:4" x14ac:dyDescent="0.2">
      <c r="B12201" t="s">
        <v>172</v>
      </c>
    </row>
    <row r="12203" spans="1:4" x14ac:dyDescent="0.2">
      <c r="A12203" t="s">
        <v>4263</v>
      </c>
      <c r="B12203" t="str">
        <f>HYPERLINK("https://lindat.mff.cuni.cz/services/teitok/pdtc10/index.php?action=vallex&amp;frame=v-w1599f1", "kreslit (v-w1599f1) - substituted with v-w1599f2_ZU")</f>
        <v>kreslit (v-w1599f1) - substituted with v-w1599f2_ZU</v>
      </c>
    </row>
    <row r="12204" spans="1:4" x14ac:dyDescent="0.2">
      <c r="B12204" t="s">
        <v>1</v>
      </c>
      <c r="C12204" t="s">
        <v>33</v>
      </c>
      <c r="D12204" t="s">
        <v>83</v>
      </c>
    </row>
    <row r="12205" spans="1:4" x14ac:dyDescent="0.2">
      <c r="B12205" t="s">
        <v>172</v>
      </c>
      <c r="C12205" t="s">
        <v>991</v>
      </c>
      <c r="D12205" t="s">
        <v>56</v>
      </c>
    </row>
    <row r="12207" spans="1:4" x14ac:dyDescent="0.2">
      <c r="A12207" t="s">
        <v>4264</v>
      </c>
      <c r="B12207" t="str">
        <f>HYPERLINK("https://lindat.mff.cuni.cz/services/teitok/pdtc10/index.php?action=vallex&amp;frame=v-w11181f2", "kriminalizovat (v-w11181f2)")</f>
        <v>kriminalizovat (v-w11181f2)</v>
      </c>
    </row>
    <row r="12208" spans="1:4" x14ac:dyDescent="0.2">
      <c r="B12208" t="s">
        <v>1</v>
      </c>
      <c r="C12208" t="s">
        <v>140</v>
      </c>
      <c r="D12208" t="s">
        <v>83</v>
      </c>
    </row>
    <row r="12209" spans="1:4" x14ac:dyDescent="0.2">
      <c r="B12209" t="s">
        <v>8</v>
      </c>
      <c r="C12209" t="s">
        <v>34</v>
      </c>
      <c r="D12209" t="s">
        <v>1190</v>
      </c>
    </row>
    <row r="12211" spans="1:4" x14ac:dyDescent="0.2">
      <c r="A12211" t="s">
        <v>4265</v>
      </c>
      <c r="B12211" t="str">
        <f>HYPERLINK("https://lindat.mff.cuni.cz/services/teitok/pdtc10/index.php?action=vallex&amp;frame=v-w1606f1", "kritizovat (v-w1606f1)")</f>
        <v>kritizovat (v-w1606f1)</v>
      </c>
    </row>
    <row r="12212" spans="1:4" x14ac:dyDescent="0.2">
      <c r="B12212" t="s">
        <v>1</v>
      </c>
      <c r="C12212" t="s">
        <v>4266</v>
      </c>
      <c r="D12212" t="s">
        <v>9612</v>
      </c>
    </row>
    <row r="12213" spans="1:4" x14ac:dyDescent="0.2">
      <c r="B12213" t="s">
        <v>124</v>
      </c>
      <c r="C12213" t="s">
        <v>98</v>
      </c>
      <c r="D12213" t="s">
        <v>1362</v>
      </c>
    </row>
    <row r="12215" spans="1:4" x14ac:dyDescent="0.2">
      <c r="A12215" t="s">
        <v>4267</v>
      </c>
      <c r="B12215" t="str">
        <f>HYPERLINK("https://lindat.mff.cuni.cz/services/teitok/pdtc10/index.php?action=vallex&amp;frame=v-w1610f1", "krmit (v-w1610f1)")</f>
        <v>krmit (v-w1610f1)</v>
      </c>
    </row>
    <row r="12216" spans="1:4" x14ac:dyDescent="0.2">
      <c r="B12216" t="s">
        <v>1</v>
      </c>
      <c r="C12216" t="s">
        <v>22</v>
      </c>
      <c r="D12216" t="s">
        <v>430</v>
      </c>
    </row>
    <row r="12217" spans="1:4" x14ac:dyDescent="0.2">
      <c r="B12217" t="s">
        <v>8</v>
      </c>
      <c r="C12217" t="s">
        <v>4268</v>
      </c>
      <c r="D12217" t="s">
        <v>23435</v>
      </c>
    </row>
    <row r="12219" spans="1:4" x14ac:dyDescent="0.2">
      <c r="A12219" t="s">
        <v>4269</v>
      </c>
      <c r="B12219" t="str">
        <f>HYPERLINK("https://lindat.mff.cuni.cz/services/teitok/pdtc10/index.php?action=vallex&amp;frame=v-whsa_1372hsa_1373", "kropit (v-whsa_1372hsa_1373)")</f>
        <v>kropit (v-whsa_1372hsa_1373)</v>
      </c>
    </row>
    <row r="12220" spans="1:4" x14ac:dyDescent="0.2">
      <c r="B12220" t="s">
        <v>1</v>
      </c>
    </row>
    <row r="12221" spans="1:4" x14ac:dyDescent="0.2">
      <c r="B12221" t="s">
        <v>8</v>
      </c>
    </row>
    <row r="12223" spans="1:4" x14ac:dyDescent="0.2">
      <c r="A12223" t="s">
        <v>4270</v>
      </c>
      <c r="B12223" t="str">
        <f>HYPERLINK("https://lindat.mff.cuni.cz/services/teitok/pdtc10/index.php?action=vallex&amp;frame=v-w10571f2", "krotit (v-w10571f2)")</f>
        <v>krotit (v-w10571f2)</v>
      </c>
    </row>
    <row r="12224" spans="1:4" x14ac:dyDescent="0.2">
      <c r="B12224" t="s">
        <v>1</v>
      </c>
      <c r="D12224" t="s">
        <v>33</v>
      </c>
    </row>
    <row r="12225" spans="1:4" x14ac:dyDescent="0.2">
      <c r="B12225" t="s">
        <v>8</v>
      </c>
      <c r="C12225" t="s">
        <v>991</v>
      </c>
      <c r="D12225" t="s">
        <v>84</v>
      </c>
    </row>
    <row r="12227" spans="1:4" x14ac:dyDescent="0.2">
      <c r="A12227" t="s">
        <v>4271</v>
      </c>
      <c r="B12227" t="str">
        <f>HYPERLINK("https://lindat.mff.cuni.cz/services/teitok/pdtc10/index.php?action=vallex&amp;frame=v-w10571f3_ZU", "krotit (v-w10571f3_ZU)")</f>
        <v>krotit (v-w10571f3_ZU)</v>
      </c>
    </row>
    <row r="12228" spans="1:4" x14ac:dyDescent="0.2">
      <c r="B12228" t="s">
        <v>1</v>
      </c>
    </row>
    <row r="12229" spans="1:4" x14ac:dyDescent="0.2">
      <c r="B12229" t="s">
        <v>58</v>
      </c>
      <c r="C12229" t="s">
        <v>4272</v>
      </c>
    </row>
    <row r="12230" spans="1:4" x14ac:dyDescent="0.2">
      <c r="B12230" t="s">
        <v>551</v>
      </c>
      <c r="C12230" t="s">
        <v>3156</v>
      </c>
    </row>
    <row r="12232" spans="1:4" x14ac:dyDescent="0.2">
      <c r="A12232" t="s">
        <v>4273</v>
      </c>
      <c r="B12232" t="str">
        <f>HYPERLINK("https://lindat.mff.cuni.cz/services/teitok/pdtc10/index.php?action=vallex&amp;frame=v-w11689_ZUf1_ZU", "krouhat (v-w11689_ZUf1_ZU)")</f>
        <v>krouhat (v-w11689_ZUf1_ZU)</v>
      </c>
    </row>
    <row r="12233" spans="1:4" x14ac:dyDescent="0.2">
      <c r="B12233" t="s">
        <v>1</v>
      </c>
    </row>
    <row r="12234" spans="1:4" x14ac:dyDescent="0.2">
      <c r="B12234" t="s">
        <v>8</v>
      </c>
    </row>
    <row r="12235" spans="1:4" x14ac:dyDescent="0.2">
      <c r="B12235" t="s">
        <v>61</v>
      </c>
    </row>
    <row r="12237" spans="1:4" x14ac:dyDescent="0.2">
      <c r="A12237" t="s">
        <v>4274</v>
      </c>
      <c r="B12237" t="str">
        <f>HYPERLINK("https://lindat.mff.cuni.cz/services/teitok/pdtc10/index.php?action=vallex&amp;frame=v-w1613f1", "kroutit (v-w1613f1)")</f>
        <v>kroutit (v-w1613f1)</v>
      </c>
    </row>
    <row r="12238" spans="1:4" x14ac:dyDescent="0.2">
      <c r="B12238" t="s">
        <v>1</v>
      </c>
      <c r="C12238" t="s">
        <v>249</v>
      </c>
      <c r="D12238" t="s">
        <v>140</v>
      </c>
    </row>
    <row r="12239" spans="1:4" x14ac:dyDescent="0.2">
      <c r="B12239" t="s">
        <v>3215</v>
      </c>
      <c r="C12239" t="s">
        <v>84</v>
      </c>
      <c r="D12239" t="s">
        <v>113</v>
      </c>
    </row>
    <row r="12241" spans="1:4" x14ac:dyDescent="0.2">
      <c r="A12241" t="s">
        <v>4275</v>
      </c>
      <c r="B12241" t="str">
        <f>HYPERLINK("https://lindat.mff.cuni.cz/services/teitok/pdtc10/index.php?action=vallex&amp;frame=v-whsa_1190hsa_1191", "kroutit se (v-whsa_1190hsa_1191)")</f>
        <v>kroutit se (v-whsa_1190hsa_1191)</v>
      </c>
    </row>
    <row r="12242" spans="1:4" x14ac:dyDescent="0.2">
      <c r="B12242" t="s">
        <v>1</v>
      </c>
    </row>
    <row r="12244" spans="1:4" x14ac:dyDescent="0.2">
      <c r="A12244" t="s">
        <v>4276</v>
      </c>
      <c r="B12244" t="str">
        <f>HYPERLINK("https://lindat.mff.cuni.cz/services/teitok/pdtc10/index.php?action=vallex&amp;frame=v-w1614f1", "kroužit (v-w1614f1)")</f>
        <v>kroužit (v-w1614f1)</v>
      </c>
    </row>
    <row r="12245" spans="1:4" x14ac:dyDescent="0.2">
      <c r="B12245" t="s">
        <v>1</v>
      </c>
      <c r="C12245" t="s">
        <v>2698</v>
      </c>
      <c r="D12245" t="s">
        <v>2698</v>
      </c>
    </row>
    <row r="12247" spans="1:4" x14ac:dyDescent="0.2">
      <c r="A12247" t="s">
        <v>4277</v>
      </c>
      <c r="B12247" t="str">
        <f>HYPERLINK("https://lindat.mff.cuni.cz/services/teitok/pdtc10/index.php?action=vallex&amp;frame=v-w1615f2", "kručet (v-w1615f2)")</f>
        <v>kručet (v-w1615f2)</v>
      </c>
    </row>
    <row r="12248" spans="1:4" x14ac:dyDescent="0.2">
      <c r="B12248" t="s">
        <v>455</v>
      </c>
    </row>
    <row r="12249" spans="1:4" x14ac:dyDescent="0.2">
      <c r="B12249" t="s">
        <v>243</v>
      </c>
    </row>
    <row r="12251" spans="1:4" x14ac:dyDescent="0.2">
      <c r="A12251" t="s">
        <v>4278</v>
      </c>
      <c r="B12251" t="str">
        <f>HYPERLINK("https://lindat.mff.cuni.cz/services/teitok/pdtc10/index.php?action=vallex&amp;frame=v-w1615f1", "kručet (v-w1615f1)")</f>
        <v>kručet (v-w1615f1)</v>
      </c>
    </row>
    <row r="12252" spans="1:4" x14ac:dyDescent="0.2">
      <c r="B12252" t="s">
        <v>455</v>
      </c>
    </row>
    <row r="12253" spans="1:4" x14ac:dyDescent="0.2">
      <c r="B12253" t="s">
        <v>5</v>
      </c>
    </row>
    <row r="12255" spans="1:4" x14ac:dyDescent="0.2">
      <c r="A12255" t="s">
        <v>4279</v>
      </c>
      <c r="B12255" t="str">
        <f>HYPERLINK("https://lindat.mff.cuni.cz/services/teitok/pdtc10/index.php?action=vallex&amp;frame=v-w10727f2", "krvácet (v-w10727f2)")</f>
        <v>krvácet (v-w10727f2)</v>
      </c>
    </row>
    <row r="12256" spans="1:4" x14ac:dyDescent="0.2">
      <c r="B12256" t="s">
        <v>1</v>
      </c>
    </row>
    <row r="12258" spans="1:4" x14ac:dyDescent="0.2">
      <c r="A12258" t="s">
        <v>4280</v>
      </c>
      <c r="B12258" t="str">
        <f>HYPERLINK("https://lindat.mff.cuni.cz/services/teitok/pdtc10/index.php?action=vallex&amp;frame=v-w10727f3", "krvácet (v-w10727f3)")</f>
        <v>krvácet (v-w10727f3)</v>
      </c>
    </row>
    <row r="12259" spans="1:4" x14ac:dyDescent="0.2">
      <c r="B12259" t="s">
        <v>1</v>
      </c>
      <c r="C12259" t="s">
        <v>4281</v>
      </c>
      <c r="D12259" t="s">
        <v>133</v>
      </c>
    </row>
    <row r="12261" spans="1:4" x14ac:dyDescent="0.2">
      <c r="A12261" t="s">
        <v>4282</v>
      </c>
      <c r="B12261" t="str">
        <f>HYPERLINK("https://lindat.mff.cuni.cz/services/teitok/pdtc10/index.php?action=vallex&amp;frame=v-w1591f1", "krájet (v-w1591f1)")</f>
        <v>krájet (v-w1591f1)</v>
      </c>
    </row>
    <row r="12262" spans="1:4" x14ac:dyDescent="0.2">
      <c r="B12262" t="s">
        <v>1</v>
      </c>
      <c r="D12262" t="s">
        <v>23432</v>
      </c>
    </row>
    <row r="12263" spans="1:4" x14ac:dyDescent="0.2">
      <c r="B12263" t="s">
        <v>8</v>
      </c>
      <c r="D12263" t="s">
        <v>23433</v>
      </c>
    </row>
    <row r="12264" spans="1:4" x14ac:dyDescent="0.2">
      <c r="B12264" t="s">
        <v>4283</v>
      </c>
      <c r="D12264" t="s">
        <v>23434</v>
      </c>
    </row>
    <row r="12266" spans="1:4" x14ac:dyDescent="0.2">
      <c r="A12266" t="s">
        <v>4284</v>
      </c>
      <c r="B12266" t="str">
        <f>HYPERLINK("https://lindat.mff.cuni.cz/services/teitok/pdtc10/index.php?action=vallex&amp;frame=v-w1593f2", "krást (v-w1593f2)")</f>
        <v>krást (v-w1593f2)</v>
      </c>
    </row>
    <row r="12267" spans="1:4" x14ac:dyDescent="0.2">
      <c r="B12267" t="s">
        <v>1</v>
      </c>
      <c r="C12267" t="s">
        <v>334</v>
      </c>
      <c r="D12267" t="s">
        <v>6383</v>
      </c>
    </row>
    <row r="12268" spans="1:4" x14ac:dyDescent="0.2">
      <c r="B12268" t="s">
        <v>8</v>
      </c>
      <c r="C12268" t="s">
        <v>2755</v>
      </c>
      <c r="D12268" t="s">
        <v>14757</v>
      </c>
    </row>
    <row r="12269" spans="1:4" x14ac:dyDescent="0.2">
      <c r="B12269" t="s">
        <v>35</v>
      </c>
      <c r="C12269" t="s">
        <v>3728</v>
      </c>
      <c r="D12269" t="s">
        <v>23004</v>
      </c>
    </row>
    <row r="12271" spans="1:4" x14ac:dyDescent="0.2">
      <c r="A12271" t="s">
        <v>4285</v>
      </c>
      <c r="B12271" t="str">
        <f>HYPERLINK("https://lindat.mff.cuni.cz/services/teitok/pdtc10/index.php?action=vallex&amp;frame=v-w1593f1", "krást (v-w1593f1)")</f>
        <v>krást (v-w1593f1)</v>
      </c>
    </row>
    <row r="12272" spans="1:4" x14ac:dyDescent="0.2">
      <c r="B12272" t="s">
        <v>1</v>
      </c>
      <c r="C12272" t="s">
        <v>334</v>
      </c>
      <c r="D12272" t="s">
        <v>2125</v>
      </c>
    </row>
    <row r="12274" spans="1:4" x14ac:dyDescent="0.2">
      <c r="A12274" t="s">
        <v>4286</v>
      </c>
      <c r="B12274" t="str">
        <f>HYPERLINK("https://lindat.mff.cuni.cz/services/teitok/pdtc10/index.php?action=vallex&amp;frame=v-w1594f1", "krátit (v-w1594f1)")</f>
        <v>krátit (v-w1594f1)</v>
      </c>
    </row>
    <row r="12275" spans="1:4" x14ac:dyDescent="0.2">
      <c r="B12275" t="s">
        <v>1</v>
      </c>
      <c r="C12275" t="s">
        <v>22</v>
      </c>
      <c r="D12275" t="s">
        <v>23436</v>
      </c>
    </row>
    <row r="12276" spans="1:4" x14ac:dyDescent="0.2">
      <c r="B12276" t="s">
        <v>8</v>
      </c>
      <c r="C12276" t="s">
        <v>2886</v>
      </c>
      <c r="D12276" t="s">
        <v>23437</v>
      </c>
    </row>
    <row r="12277" spans="1:4" x14ac:dyDescent="0.2">
      <c r="B12277" t="s">
        <v>24</v>
      </c>
      <c r="D12277" t="s">
        <v>23438</v>
      </c>
    </row>
    <row r="12278" spans="1:4" x14ac:dyDescent="0.2">
      <c r="B12278" t="s">
        <v>61</v>
      </c>
      <c r="D12278" t="s">
        <v>23439</v>
      </c>
    </row>
    <row r="12280" spans="1:4" x14ac:dyDescent="0.2">
      <c r="A12280" t="s">
        <v>4287</v>
      </c>
      <c r="B12280" t="str">
        <f>HYPERLINK("https://lindat.mff.cuni.cz/services/teitok/pdtc10/index.php?action=vallex&amp;frame=v-w12080_ZUf1_ZU", "krátit se (v-w12080_ZUf1_ZU)")</f>
        <v>krátit se (v-w12080_ZUf1_ZU)</v>
      </c>
    </row>
    <row r="12281" spans="1:4" x14ac:dyDescent="0.2">
      <c r="B12281" t="s">
        <v>1</v>
      </c>
    </row>
    <row r="12283" spans="1:4" x14ac:dyDescent="0.2">
      <c r="A12283" t="s">
        <v>4288</v>
      </c>
      <c r="B12283" t="str">
        <f>HYPERLINK("https://lindat.mff.cuni.cz/services/teitok/pdtc10/index.php?action=vallex&amp;frame=v-w1587f1", "kráčet (v-w1587f1)")</f>
        <v>kráčet (v-w1587f1)</v>
      </c>
    </row>
    <row r="12284" spans="1:4" x14ac:dyDescent="0.2">
      <c r="B12284" t="s">
        <v>1</v>
      </c>
      <c r="C12284" t="s">
        <v>370</v>
      </c>
      <c r="D12284" t="s">
        <v>92</v>
      </c>
    </row>
    <row r="12285" spans="1:4" x14ac:dyDescent="0.2">
      <c r="B12285" t="s">
        <v>192</v>
      </c>
      <c r="D12285" t="s">
        <v>3802</v>
      </c>
    </row>
    <row r="12287" spans="1:4" x14ac:dyDescent="0.2">
      <c r="A12287" t="s">
        <v>4289</v>
      </c>
      <c r="B12287" t="str">
        <f>HYPERLINK("https://lindat.mff.cuni.cz/services/teitok/pdtc10/index.php?action=vallex&amp;frame=v-w1587f2", "kráčet (v-w1587f2)")</f>
        <v>kráčet (v-w1587f2)</v>
      </c>
    </row>
    <row r="12288" spans="1:4" x14ac:dyDescent="0.2">
      <c r="B12288" t="s">
        <v>1</v>
      </c>
      <c r="C12288" t="s">
        <v>1524</v>
      </c>
      <c r="D12288" t="s">
        <v>3742</v>
      </c>
    </row>
    <row r="12289" spans="1:4" x14ac:dyDescent="0.2">
      <c r="B12289" t="s">
        <v>90</v>
      </c>
    </row>
    <row r="12291" spans="1:4" x14ac:dyDescent="0.2">
      <c r="A12291" t="s">
        <v>4290</v>
      </c>
      <c r="B12291" t="str">
        <f>HYPERLINK("https://lindat.mff.cuni.cz/services/teitok/pdtc10/index.php?action=vallex&amp;frame=v-w1587f3", "kráčet (v-w1587f3)")</f>
        <v>kráčet (v-w1587f3)</v>
      </c>
    </row>
    <row r="12292" spans="1:4" x14ac:dyDescent="0.2">
      <c r="B12292" t="s">
        <v>1</v>
      </c>
    </row>
    <row r="12293" spans="1:4" x14ac:dyDescent="0.2">
      <c r="B12293" t="s">
        <v>4291</v>
      </c>
    </row>
    <row r="12295" spans="1:4" x14ac:dyDescent="0.2">
      <c r="A12295" t="s">
        <v>4292</v>
      </c>
      <c r="B12295" t="str">
        <f>HYPERLINK("https://lindat.mff.cuni.cz/services/teitok/pdtc10/index.php?action=vallex&amp;frame=v-w1587f4_ZU", "kráčet (v-w1587f4_ZU)")</f>
        <v>kráčet (v-w1587f4_ZU)</v>
      </c>
    </row>
    <row r="12296" spans="1:4" x14ac:dyDescent="0.2">
      <c r="B12296" t="s">
        <v>1</v>
      </c>
    </row>
    <row r="12297" spans="1:4" x14ac:dyDescent="0.2">
      <c r="B12297" t="s">
        <v>4293</v>
      </c>
    </row>
    <row r="12299" spans="1:4" x14ac:dyDescent="0.2">
      <c r="A12299" t="s">
        <v>4294</v>
      </c>
      <c r="B12299" t="str">
        <f>HYPERLINK("https://lindat.mff.cuni.cz/services/teitok/pdtc10/index.php?action=vallex&amp;frame=v-w11933_ZUf1_ZU", "kráčet si (v-w11933_ZUf1_ZU)")</f>
        <v>kráčet si (v-w11933_ZUf1_ZU)</v>
      </c>
    </row>
    <row r="12300" spans="1:4" x14ac:dyDescent="0.2">
      <c r="B12300" t="s">
        <v>1</v>
      </c>
    </row>
    <row r="12302" spans="1:4" x14ac:dyDescent="0.2">
      <c r="A12302" t="s">
        <v>4295</v>
      </c>
      <c r="B12302" t="str">
        <f>HYPERLINK("https://lindat.mff.cuni.cz/services/teitok/pdtc10/index.php?action=vallex&amp;frame=v-w1621f4", "krýt (v-w1621f4)")</f>
        <v>krýt (v-w1621f4)</v>
      </c>
    </row>
    <row r="12303" spans="1:4" x14ac:dyDescent="0.2">
      <c r="B12303" t="s">
        <v>1</v>
      </c>
      <c r="C12303" t="s">
        <v>33</v>
      </c>
      <c r="D12303" t="s">
        <v>23440</v>
      </c>
    </row>
    <row r="12304" spans="1:4" x14ac:dyDescent="0.2">
      <c r="B12304" t="s">
        <v>3199</v>
      </c>
      <c r="C12304" t="s">
        <v>23</v>
      </c>
      <c r="D12304" t="s">
        <v>23441</v>
      </c>
    </row>
    <row r="12305" spans="1:4" x14ac:dyDescent="0.2">
      <c r="B12305" t="s">
        <v>3200</v>
      </c>
      <c r="D12305" t="s">
        <v>14173</v>
      </c>
    </row>
    <row r="12307" spans="1:4" x14ac:dyDescent="0.2">
      <c r="A12307" t="s">
        <v>4296</v>
      </c>
      <c r="B12307" t="str">
        <f>HYPERLINK("https://lindat.mff.cuni.cz/services/teitok/pdtc10/index.php?action=vallex&amp;frame=v-w1621f1", "krýt (v-w1621f1)")</f>
        <v>krýt (v-w1621f1)</v>
      </c>
    </row>
    <row r="12308" spans="1:4" x14ac:dyDescent="0.2">
      <c r="B12308" t="s">
        <v>1</v>
      </c>
    </row>
    <row r="12309" spans="1:4" x14ac:dyDescent="0.2">
      <c r="B12309" t="s">
        <v>8</v>
      </c>
    </row>
    <row r="12311" spans="1:4" x14ac:dyDescent="0.2">
      <c r="A12311" t="s">
        <v>4297</v>
      </c>
      <c r="B12311" t="str">
        <f>HYPERLINK("https://lindat.mff.cuni.cz/services/teitok/pdtc10/index.php?action=vallex&amp;frame=v-w1621f2", "krýt (v-w1621f2)")</f>
        <v>krýt (v-w1621f2)</v>
      </c>
    </row>
    <row r="12312" spans="1:4" x14ac:dyDescent="0.2">
      <c r="B12312" t="s">
        <v>1</v>
      </c>
      <c r="C12312" t="s">
        <v>4298</v>
      </c>
      <c r="D12312" t="s">
        <v>3432</v>
      </c>
    </row>
    <row r="12313" spans="1:4" x14ac:dyDescent="0.2">
      <c r="B12313" t="s">
        <v>8</v>
      </c>
      <c r="C12313" t="s">
        <v>4299</v>
      </c>
      <c r="D12313" t="s">
        <v>2213</v>
      </c>
    </row>
    <row r="12315" spans="1:4" x14ac:dyDescent="0.2">
      <c r="A12315" t="s">
        <v>4300</v>
      </c>
      <c r="B12315" t="str">
        <f>HYPERLINK("https://lindat.mff.cuni.cz/services/teitok/pdtc10/index.php?action=vallex&amp;frame=v-w1621f3", "krýt (v-w1621f3)")</f>
        <v>krýt (v-w1621f3)</v>
      </c>
    </row>
    <row r="12316" spans="1:4" x14ac:dyDescent="0.2">
      <c r="B12316" t="s">
        <v>1</v>
      </c>
      <c r="C12316" t="s">
        <v>4298</v>
      </c>
      <c r="D12316" t="s">
        <v>23164</v>
      </c>
    </row>
    <row r="12317" spans="1:4" x14ac:dyDescent="0.2">
      <c r="B12317" t="s">
        <v>8</v>
      </c>
      <c r="C12317" t="s">
        <v>4301</v>
      </c>
      <c r="D12317" t="s">
        <v>23165</v>
      </c>
    </row>
    <row r="12319" spans="1:4" x14ac:dyDescent="0.2">
      <c r="A12319" t="s">
        <v>4302</v>
      </c>
      <c r="B12319" t="str">
        <f>HYPERLINK("https://lindat.mff.cuni.cz/services/teitok/pdtc10/index.php?action=vallex&amp;frame=v-w1623f1", "krýt se (v-w1623f1)")</f>
        <v>krýt se (v-w1623f1)</v>
      </c>
    </row>
    <row r="12320" spans="1:4" x14ac:dyDescent="0.2">
      <c r="B12320" t="s">
        <v>1</v>
      </c>
      <c r="C12320" t="s">
        <v>186</v>
      </c>
      <c r="D12320" t="s">
        <v>13744</v>
      </c>
    </row>
    <row r="12321" spans="1:4" x14ac:dyDescent="0.2">
      <c r="B12321" t="s">
        <v>411</v>
      </c>
      <c r="C12321" t="s">
        <v>34</v>
      </c>
      <c r="D12321" t="s">
        <v>84</v>
      </c>
    </row>
    <row r="12323" spans="1:4" x14ac:dyDescent="0.2">
      <c r="A12323" t="s">
        <v>4303</v>
      </c>
      <c r="B12323" t="str">
        <f>HYPERLINK("https://lindat.mff.cuni.cz/services/teitok/pdtc10/index.php?action=vallex&amp;frame=v-whsa_800hsa_801", "krčit (v-whsa_800hsa_801)")</f>
        <v>krčit (v-whsa_800hsa_801)</v>
      </c>
    </row>
    <row r="12324" spans="1:4" x14ac:dyDescent="0.2">
      <c r="B12324" t="s">
        <v>1</v>
      </c>
      <c r="C12324" t="s">
        <v>140</v>
      </c>
      <c r="D12324" t="s">
        <v>140</v>
      </c>
    </row>
    <row r="12325" spans="1:4" x14ac:dyDescent="0.2">
      <c r="B12325" t="s">
        <v>158</v>
      </c>
      <c r="D12325" t="s">
        <v>113</v>
      </c>
    </row>
    <row r="12327" spans="1:4" x14ac:dyDescent="0.2">
      <c r="A12327" t="s">
        <v>4304</v>
      </c>
      <c r="B12327" t="str">
        <f>HYPERLINK("https://lindat.mff.cuni.cz/services/teitok/pdtc10/index.php?action=vallex&amp;frame=v-w1596f2", "krčit se (v-w1596f2)")</f>
        <v>krčit se (v-w1596f2)</v>
      </c>
    </row>
    <row r="12328" spans="1:4" x14ac:dyDescent="0.2">
      <c r="B12328" t="s">
        <v>1</v>
      </c>
    </row>
    <row r="12329" spans="1:4" x14ac:dyDescent="0.2">
      <c r="B12329" t="s">
        <v>1186</v>
      </c>
    </row>
    <row r="12331" spans="1:4" x14ac:dyDescent="0.2">
      <c r="A12331" t="s">
        <v>4305</v>
      </c>
      <c r="B12331" t="str">
        <f>HYPERLINK("https://lindat.mff.cuni.cz/services/teitok/pdtc10/index.php?action=vallex&amp;frame=v-w1596f1", "krčit se (v-w1596f1)")</f>
        <v>krčit se (v-w1596f1)</v>
      </c>
    </row>
    <row r="12332" spans="1:4" x14ac:dyDescent="0.2">
      <c r="B12332" t="s">
        <v>1</v>
      </c>
      <c r="C12332" t="s">
        <v>4306</v>
      </c>
    </row>
    <row r="12334" spans="1:4" x14ac:dyDescent="0.2">
      <c r="A12334" t="s">
        <v>4307</v>
      </c>
      <c r="B12334" t="str">
        <f>HYPERLINK("https://lindat.mff.cuni.cz/services/teitok/pdtc10/index.php?action=vallex&amp;frame=v-w12096_ZUf1_ZU", "kuchat (v-w12096_ZUf1_ZU)")</f>
        <v>kuchat (v-w12096_ZUf1_ZU)</v>
      </c>
    </row>
    <row r="12335" spans="1:4" x14ac:dyDescent="0.2">
      <c r="B12335" t="s">
        <v>1</v>
      </c>
    </row>
    <row r="12336" spans="1:4" x14ac:dyDescent="0.2">
      <c r="B12336" t="s">
        <v>8</v>
      </c>
    </row>
    <row r="12338" spans="1:4" x14ac:dyDescent="0.2">
      <c r="A12338" t="s">
        <v>4308</v>
      </c>
      <c r="B12338" t="str">
        <f>HYPERLINK("https://lindat.mff.cuni.cz/services/teitok/pdtc10/index.php?action=vallex&amp;frame=v-w1633f1", "kulminovat (v-w1633f1)")</f>
        <v>kulminovat (v-w1633f1)</v>
      </c>
    </row>
    <row r="12339" spans="1:4" x14ac:dyDescent="0.2">
      <c r="B12339" t="s">
        <v>1</v>
      </c>
    </row>
    <row r="12341" spans="1:4" x14ac:dyDescent="0.2">
      <c r="A12341" t="s">
        <v>4309</v>
      </c>
      <c r="B12341" t="str">
        <f>HYPERLINK("https://lindat.mff.cuni.cz/services/teitok/pdtc10/index.php?action=vallex&amp;frame=v-w1635f1", "kultivovat (v-w1635f1)")</f>
        <v>kultivovat (v-w1635f1)</v>
      </c>
    </row>
    <row r="12342" spans="1:4" x14ac:dyDescent="0.2">
      <c r="B12342" t="s">
        <v>1</v>
      </c>
      <c r="D12342" t="s">
        <v>23442</v>
      </c>
    </row>
    <row r="12343" spans="1:4" x14ac:dyDescent="0.2">
      <c r="B12343" t="s">
        <v>8</v>
      </c>
      <c r="D12343" t="s">
        <v>23443</v>
      </c>
    </row>
    <row r="12345" spans="1:4" x14ac:dyDescent="0.2">
      <c r="A12345" t="s">
        <v>4310</v>
      </c>
      <c r="B12345" t="str">
        <f>HYPERLINK("https://lindat.mff.cuni.cz/services/teitok/pdtc10/index.php?action=vallex&amp;frame=v-w1637f1", "kumulovat se (v-w1637f1)")</f>
        <v>kumulovat se (v-w1637f1)</v>
      </c>
    </row>
    <row r="12346" spans="1:4" x14ac:dyDescent="0.2">
      <c r="B12346" t="s">
        <v>1</v>
      </c>
      <c r="C12346" t="s">
        <v>147</v>
      </c>
    </row>
    <row r="12348" spans="1:4" x14ac:dyDescent="0.2">
      <c r="A12348" t="s">
        <v>4311</v>
      </c>
      <c r="B12348" t="str">
        <f>HYPERLINK("https://lindat.mff.cuni.cz/services/teitok/pdtc10/index.php?action=vallex&amp;frame=v-w11437f1", "kupit se (v-w11437f1)")</f>
        <v>kupit se (v-w11437f1)</v>
      </c>
    </row>
    <row r="12349" spans="1:4" x14ac:dyDescent="0.2">
      <c r="B12349" t="s">
        <v>1</v>
      </c>
      <c r="C12349" t="s">
        <v>381</v>
      </c>
    </row>
    <row r="12351" spans="1:4" x14ac:dyDescent="0.2">
      <c r="A12351" t="s">
        <v>4312</v>
      </c>
      <c r="B12351" t="str">
        <f>HYPERLINK("https://lindat.mff.cuni.cz/services/teitok/pdtc10/index.php?action=vallex&amp;frame=v-w1639f1", "kupovat (v-w1639f1)")</f>
        <v>kupovat (v-w1639f1)</v>
      </c>
    </row>
    <row r="12352" spans="1:4" x14ac:dyDescent="0.2">
      <c r="B12352" t="s">
        <v>1</v>
      </c>
      <c r="C12352" t="s">
        <v>4313</v>
      </c>
      <c r="D12352" t="s">
        <v>23430</v>
      </c>
    </row>
    <row r="12353" spans="1:4" x14ac:dyDescent="0.2">
      <c r="B12353" t="s">
        <v>8</v>
      </c>
      <c r="C12353" t="s">
        <v>4314</v>
      </c>
      <c r="D12353" t="s">
        <v>23431</v>
      </c>
    </row>
    <row r="12354" spans="1:4" x14ac:dyDescent="0.2">
      <c r="B12354" t="s">
        <v>1629</v>
      </c>
      <c r="C12354" t="s">
        <v>4242</v>
      </c>
      <c r="D12354" t="s">
        <v>4242</v>
      </c>
    </row>
    <row r="12355" spans="1:4" x14ac:dyDescent="0.2">
      <c r="B12355" t="s">
        <v>321</v>
      </c>
      <c r="C12355" t="s">
        <v>4315</v>
      </c>
      <c r="D12355" t="s">
        <v>5731</v>
      </c>
    </row>
    <row r="12357" spans="1:4" x14ac:dyDescent="0.2">
      <c r="A12357" t="s">
        <v>4316</v>
      </c>
      <c r="B12357" t="str">
        <f>HYPERLINK("https://lindat.mff.cuni.cz/services/teitok/pdtc10/index.php?action=vallex&amp;frame=v-w1642f1", "kutálet se (v-w1642f1)")</f>
        <v>kutálet se (v-w1642f1)</v>
      </c>
    </row>
    <row r="12358" spans="1:4" x14ac:dyDescent="0.2">
      <c r="B12358" t="s">
        <v>1</v>
      </c>
    </row>
    <row r="12360" spans="1:4" x14ac:dyDescent="0.2">
      <c r="A12360" t="s">
        <v>4317</v>
      </c>
      <c r="B12360" t="str">
        <f>HYPERLINK("https://lindat.mff.cuni.cz/services/teitok/pdtc10/index.php?action=vallex&amp;frame=v-w1645f1", "kvalifikovat (v-w1645f1)")</f>
        <v>kvalifikovat (v-w1645f1)</v>
      </c>
    </row>
    <row r="12361" spans="1:4" x14ac:dyDescent="0.2">
      <c r="B12361" t="s">
        <v>1</v>
      </c>
      <c r="C12361" t="s">
        <v>140</v>
      </c>
      <c r="D12361" t="s">
        <v>23444</v>
      </c>
    </row>
    <row r="12362" spans="1:4" x14ac:dyDescent="0.2">
      <c r="B12362" t="s">
        <v>4318</v>
      </c>
      <c r="D12362" t="s">
        <v>23445</v>
      </c>
    </row>
    <row r="12363" spans="1:4" x14ac:dyDescent="0.2">
      <c r="B12363" t="s">
        <v>58</v>
      </c>
      <c r="C12363" t="s">
        <v>297</v>
      </c>
      <c r="D12363" t="s">
        <v>23446</v>
      </c>
    </row>
    <row r="12365" spans="1:4" x14ac:dyDescent="0.2">
      <c r="A12365" t="s">
        <v>4319</v>
      </c>
      <c r="B12365" t="str">
        <f>HYPERLINK("https://lindat.mff.cuni.cz/services/teitok/pdtc10/index.php?action=vallex&amp;frame=v-w1645f2", "kvalifikovat (v-w1645f2)")</f>
        <v>kvalifikovat (v-w1645f2)</v>
      </c>
    </row>
    <row r="12366" spans="1:4" x14ac:dyDescent="0.2">
      <c r="B12366" t="s">
        <v>1</v>
      </c>
    </row>
    <row r="12367" spans="1:4" x14ac:dyDescent="0.2">
      <c r="B12367" t="s">
        <v>8</v>
      </c>
    </row>
    <row r="12368" spans="1:4" x14ac:dyDescent="0.2">
      <c r="B12368" t="s">
        <v>1151</v>
      </c>
    </row>
    <row r="12370" spans="1:4" x14ac:dyDescent="0.2">
      <c r="A12370" t="s">
        <v>4320</v>
      </c>
      <c r="B12370" t="str">
        <f>HYPERLINK("https://lindat.mff.cuni.cz/services/teitok/pdtc10/index.php?action=vallex&amp;frame=v-w1646f3_ZU", "kvalifikovat se (v-w1646f3_ZU)")</f>
        <v>kvalifikovat se (v-w1646f3_ZU)</v>
      </c>
    </row>
    <row r="12371" spans="1:4" x14ac:dyDescent="0.2">
      <c r="B12371" t="s">
        <v>1</v>
      </c>
      <c r="C12371" t="s">
        <v>1162</v>
      </c>
      <c r="D12371" t="s">
        <v>23447</v>
      </c>
    </row>
    <row r="12372" spans="1:4" x14ac:dyDescent="0.2">
      <c r="B12372" t="s">
        <v>4321</v>
      </c>
      <c r="C12372" t="s">
        <v>2121</v>
      </c>
      <c r="D12372" t="s">
        <v>23445</v>
      </c>
    </row>
    <row r="12374" spans="1:4" x14ac:dyDescent="0.2">
      <c r="A12374" t="s">
        <v>4322</v>
      </c>
      <c r="B12374" t="str">
        <f>HYPERLINK("https://lindat.mff.cuni.cz/services/teitok/pdtc10/index.php?action=vallex&amp;frame=v-w1646f1", "kvalifikovat se (v-w1646f1)")</f>
        <v>kvalifikovat se (v-w1646f1)</v>
      </c>
    </row>
    <row r="12375" spans="1:4" x14ac:dyDescent="0.2">
      <c r="B12375" t="s">
        <v>1</v>
      </c>
    </row>
    <row r="12376" spans="1:4" x14ac:dyDescent="0.2">
      <c r="B12376" t="s">
        <v>90</v>
      </c>
    </row>
    <row r="12378" spans="1:4" x14ac:dyDescent="0.2">
      <c r="A12378" t="s">
        <v>4323</v>
      </c>
      <c r="B12378" t="str">
        <f>HYPERLINK("https://lindat.mff.cuni.cz/services/teitok/pdtc10/index.php?action=vallex&amp;frame=v-w1646f2", "kvalifikovat se (v-w1646f2)")</f>
        <v>kvalifikovat se (v-w1646f2)</v>
      </c>
    </row>
    <row r="12379" spans="1:4" x14ac:dyDescent="0.2">
      <c r="B12379" t="s">
        <v>1</v>
      </c>
      <c r="C12379" t="s">
        <v>1162</v>
      </c>
      <c r="D12379" t="s">
        <v>23447</v>
      </c>
    </row>
    <row r="12380" spans="1:4" x14ac:dyDescent="0.2">
      <c r="B12380" t="s">
        <v>90</v>
      </c>
      <c r="D12380" t="s">
        <v>23448</v>
      </c>
    </row>
    <row r="12382" spans="1:4" x14ac:dyDescent="0.2">
      <c r="A12382" t="s">
        <v>4324</v>
      </c>
      <c r="B12382" t="str">
        <f>HYPERLINK("https://lindat.mff.cuni.cz/services/teitok/pdtc10/index.php?action=vallex&amp;frame=v-whsa_1622hsa_1623", "kvaltovat (v-whsa_1622hsa_1623)")</f>
        <v>kvaltovat (v-whsa_1622hsa_1623)</v>
      </c>
    </row>
    <row r="12383" spans="1:4" x14ac:dyDescent="0.2">
      <c r="B12383" t="s">
        <v>1</v>
      </c>
    </row>
    <row r="12385" spans="1:3" x14ac:dyDescent="0.2">
      <c r="A12385" t="s">
        <v>4325</v>
      </c>
      <c r="B12385" t="str">
        <f>HYPERLINK("https://lindat.mff.cuni.cz/services/teitok/pdtc10/index.php?action=vallex&amp;frame=v-w1648f1", "kvantifikovat (v-w1648f1)")</f>
        <v>kvantifikovat (v-w1648f1)</v>
      </c>
    </row>
    <row r="12386" spans="1:3" x14ac:dyDescent="0.2">
      <c r="B12386" t="s">
        <v>1</v>
      </c>
    </row>
    <row r="12387" spans="1:3" x14ac:dyDescent="0.2">
      <c r="B12387" t="s">
        <v>172</v>
      </c>
    </row>
    <row r="12389" spans="1:3" x14ac:dyDescent="0.2">
      <c r="A12389" t="s">
        <v>4326</v>
      </c>
      <c r="B12389" t="str">
        <f>HYPERLINK("https://lindat.mff.cuni.cz/services/teitok/pdtc10/index.php?action=vallex&amp;frame=v-w1651f1", "kvitovat (v-w1651f1)")</f>
        <v>kvitovat (v-w1651f1)</v>
      </c>
    </row>
    <row r="12390" spans="1:3" x14ac:dyDescent="0.2">
      <c r="B12390" t="s">
        <v>1</v>
      </c>
      <c r="C12390" t="s">
        <v>33</v>
      </c>
    </row>
    <row r="12391" spans="1:3" x14ac:dyDescent="0.2">
      <c r="B12391" t="s">
        <v>1417</v>
      </c>
      <c r="C12391" t="s">
        <v>1044</v>
      </c>
    </row>
    <row r="12393" spans="1:3" x14ac:dyDescent="0.2">
      <c r="A12393" t="s">
        <v>4327</v>
      </c>
      <c r="B12393" t="str">
        <f>HYPERLINK("https://lindat.mff.cuni.cz/services/teitok/pdtc10/index.php?action=vallex&amp;frame=v-w10158f2", "kvákat (v-w10158f2)")</f>
        <v>kvákat (v-w10158f2)</v>
      </c>
    </row>
    <row r="12394" spans="1:3" x14ac:dyDescent="0.2">
      <c r="B12394" t="s">
        <v>1</v>
      </c>
    </row>
    <row r="12396" spans="1:3" x14ac:dyDescent="0.2">
      <c r="A12396" t="s">
        <v>4328</v>
      </c>
      <c r="B12396" t="str">
        <f>HYPERLINK("https://lindat.mff.cuni.cz/services/teitok/pdtc10/index.php?action=vallex&amp;frame=v-whsb_224hsa_225", "kváknout (v-whsb_224hsa_225)")</f>
        <v>kváknout (v-whsb_224hsa_225)</v>
      </c>
    </row>
    <row r="12397" spans="1:3" x14ac:dyDescent="0.2">
      <c r="B12397" t="s">
        <v>1</v>
      </c>
    </row>
    <row r="12399" spans="1:3" x14ac:dyDescent="0.2">
      <c r="A12399" t="s">
        <v>4329</v>
      </c>
      <c r="B12399" t="str">
        <f>HYPERLINK("https://lindat.mff.cuni.cz/services/teitok/pdtc10/index.php?action=vallex&amp;frame=v-w1649f1", "kvést (v-w1649f1)")</f>
        <v>kvést (v-w1649f1)</v>
      </c>
    </row>
    <row r="12400" spans="1:3" x14ac:dyDescent="0.2">
      <c r="B12400" t="s">
        <v>1</v>
      </c>
    </row>
    <row r="12402" spans="1:4" x14ac:dyDescent="0.2">
      <c r="A12402" t="s">
        <v>4330</v>
      </c>
      <c r="B12402" t="str">
        <f>HYPERLINK("https://lindat.mff.cuni.cz/services/teitok/pdtc10/index.php?action=vallex&amp;frame=v-w1649f2_ZU", "kvést (v-w1649f2_ZU)")</f>
        <v>kvést (v-w1649f2_ZU)</v>
      </c>
    </row>
    <row r="12403" spans="1:4" x14ac:dyDescent="0.2">
      <c r="B12403" t="s">
        <v>1</v>
      </c>
      <c r="C12403" t="s">
        <v>4331</v>
      </c>
      <c r="D12403" t="s">
        <v>23449</v>
      </c>
    </row>
    <row r="12405" spans="1:4" x14ac:dyDescent="0.2">
      <c r="A12405" t="s">
        <v>4332</v>
      </c>
      <c r="B12405" t="str">
        <f>HYPERLINK("https://lindat.mff.cuni.cz/services/teitok/pdtc10/index.php?action=vallex&amp;frame=v-w11657_ZUf1_ZU", "kvílet (v-w11657_ZUf1_ZU)")</f>
        <v>kvílet (v-w11657_ZUf1_ZU)</v>
      </c>
    </row>
    <row r="12406" spans="1:4" x14ac:dyDescent="0.2">
      <c r="B12406" t="s">
        <v>1</v>
      </c>
      <c r="C12406" t="s">
        <v>33</v>
      </c>
    </row>
    <row r="12408" spans="1:4" x14ac:dyDescent="0.2">
      <c r="A12408" t="s">
        <v>4333</v>
      </c>
      <c r="B12408" t="str">
        <f>HYPERLINK("https://lindat.mff.cuni.cz/services/teitok/pdtc10/index.php?action=vallex&amp;frame=v-w11657_ZUf2_ZU", "kvílet (v-w11657_ZUf2_ZU)")</f>
        <v>kvílet (v-w11657_ZUf2_ZU)</v>
      </c>
    </row>
    <row r="12409" spans="1:4" x14ac:dyDescent="0.2">
      <c r="B12409" t="s">
        <v>1</v>
      </c>
    </row>
    <row r="12411" spans="1:4" x14ac:dyDescent="0.2">
      <c r="A12411" t="s">
        <v>4334</v>
      </c>
      <c r="B12411" t="str">
        <f>HYPERLINK("https://lindat.mff.cuni.cz/services/teitok/pdtc10/index.php?action=vallex&amp;frame=v-w11515_ZUf1_ZU", "kydat (v-w11515_ZUf1_ZU)")</f>
        <v>kydat (v-w11515_ZUf1_ZU)</v>
      </c>
    </row>
    <row r="12412" spans="1:4" x14ac:dyDescent="0.2">
      <c r="B12412" t="s">
        <v>1</v>
      </c>
      <c r="C12412" t="s">
        <v>140</v>
      </c>
    </row>
    <row r="12413" spans="1:4" x14ac:dyDescent="0.2">
      <c r="B12413" t="s">
        <v>4335</v>
      </c>
      <c r="C12413" t="s">
        <v>283</v>
      </c>
    </row>
    <row r="12414" spans="1:4" x14ac:dyDescent="0.2">
      <c r="B12414" t="s">
        <v>28</v>
      </c>
    </row>
    <row r="12416" spans="1:4" x14ac:dyDescent="0.2">
      <c r="A12416" t="s">
        <v>4336</v>
      </c>
      <c r="B12416" t="str">
        <f>HYPERLINK("https://lindat.mff.cuni.cz/services/teitok/pdtc10/index.php?action=vallex&amp;frame=v-w11515_ZUf2_ZU", "kydat (v-w11515_ZUf2_ZU)")</f>
        <v>kydat (v-w11515_ZUf2_ZU)</v>
      </c>
    </row>
    <row r="12417" spans="1:4" x14ac:dyDescent="0.2">
      <c r="B12417" t="s">
        <v>1</v>
      </c>
    </row>
    <row r="12418" spans="1:4" x14ac:dyDescent="0.2">
      <c r="B12418" t="s">
        <v>8</v>
      </c>
    </row>
    <row r="12420" spans="1:4" x14ac:dyDescent="0.2">
      <c r="A12420" t="s">
        <v>4337</v>
      </c>
      <c r="B12420" t="str">
        <f>HYPERLINK("https://lindat.mff.cuni.cz/services/teitok/pdtc10/index.php?action=vallex&amp;frame=v-w11363f1", "kymácet se (v-w11363f1)")</f>
        <v>kymácet se (v-w11363f1)</v>
      </c>
    </row>
    <row r="12421" spans="1:4" x14ac:dyDescent="0.2">
      <c r="B12421" t="s">
        <v>1</v>
      </c>
      <c r="C12421" t="s">
        <v>2008</v>
      </c>
      <c r="D12421" t="s">
        <v>23346</v>
      </c>
    </row>
    <row r="12423" spans="1:4" x14ac:dyDescent="0.2">
      <c r="A12423" t="s">
        <v>4338</v>
      </c>
      <c r="B12423" t="str">
        <f>HYPERLINK("https://lindat.mff.cuni.cz/services/teitok/pdtc10/index.php?action=vallex&amp;frame=v-w1653f1", "kypět (v-w1653f1)")</f>
        <v>kypět (v-w1653f1)</v>
      </c>
    </row>
    <row r="12424" spans="1:4" x14ac:dyDescent="0.2">
      <c r="B12424" t="s">
        <v>1</v>
      </c>
    </row>
    <row r="12426" spans="1:4" x14ac:dyDescent="0.2">
      <c r="A12426" t="s">
        <v>4339</v>
      </c>
      <c r="B12426" t="str">
        <f>HYPERLINK("https://lindat.mff.cuni.cz/services/teitok/pdtc10/index.php?action=vallex&amp;frame=v-w12377_MMf1_MM", "kácet (v-w12377_MMf1_MM)")</f>
        <v>kácet (v-w12377_MMf1_MM)</v>
      </c>
    </row>
    <row r="12427" spans="1:4" x14ac:dyDescent="0.2">
      <c r="B12427" t="s">
        <v>1</v>
      </c>
    </row>
    <row r="12428" spans="1:4" x14ac:dyDescent="0.2">
      <c r="B12428" t="s">
        <v>8</v>
      </c>
    </row>
    <row r="12430" spans="1:4" x14ac:dyDescent="0.2">
      <c r="A12430" t="s">
        <v>4340</v>
      </c>
      <c r="B12430" t="str">
        <f>HYPERLINK("https://lindat.mff.cuni.cz/services/teitok/pdtc10/index.php?action=vallex&amp;frame=v-w1364f1", "kárat (v-w1364f1)")</f>
        <v>kárat (v-w1364f1)</v>
      </c>
    </row>
    <row r="12431" spans="1:4" x14ac:dyDescent="0.2">
      <c r="B12431" t="s">
        <v>1</v>
      </c>
      <c r="C12431" t="s">
        <v>22</v>
      </c>
      <c r="D12431" t="s">
        <v>11295</v>
      </c>
    </row>
    <row r="12432" spans="1:4" x14ac:dyDescent="0.2">
      <c r="B12432" t="s">
        <v>8</v>
      </c>
      <c r="C12432" t="s">
        <v>1340</v>
      </c>
      <c r="D12432" t="s">
        <v>16283</v>
      </c>
    </row>
    <row r="12434" spans="1:4" x14ac:dyDescent="0.2">
      <c r="A12434" t="s">
        <v>4341</v>
      </c>
      <c r="B12434" t="str">
        <f>HYPERLINK("https://lindat.mff.cuni.cz/services/teitok/pdtc10/index.php?action=vallex&amp;frame=v-w1371f1", "kát se (v-w1371f1)")</f>
        <v>kát se (v-w1371f1)</v>
      </c>
    </row>
    <row r="12435" spans="1:4" x14ac:dyDescent="0.2">
      <c r="B12435" t="s">
        <v>1</v>
      </c>
    </row>
    <row r="12437" spans="1:4" x14ac:dyDescent="0.2">
      <c r="A12437" t="s">
        <v>4342</v>
      </c>
      <c r="B12437" t="str">
        <f>HYPERLINK("https://lindat.mff.cuni.cz/services/teitok/pdtc10/index.php?action=vallex&amp;frame=v-w1374f1", "kázat (v-w1374f1)")</f>
        <v>kázat (v-w1374f1)</v>
      </c>
    </row>
    <row r="12438" spans="1:4" x14ac:dyDescent="0.2">
      <c r="B12438" t="s">
        <v>1</v>
      </c>
      <c r="C12438" t="s">
        <v>33</v>
      </c>
      <c r="D12438" t="s">
        <v>33</v>
      </c>
    </row>
    <row r="12439" spans="1:4" x14ac:dyDescent="0.2">
      <c r="B12439" t="s">
        <v>267</v>
      </c>
      <c r="D12439" t="s">
        <v>22770</v>
      </c>
    </row>
    <row r="12440" spans="1:4" x14ac:dyDescent="0.2">
      <c r="B12440" t="s">
        <v>269</v>
      </c>
      <c r="C12440" t="s">
        <v>1128</v>
      </c>
      <c r="D12440" t="s">
        <v>1128</v>
      </c>
    </row>
    <row r="12441" spans="1:4" x14ac:dyDescent="0.2">
      <c r="B12441" t="s">
        <v>78</v>
      </c>
    </row>
    <row r="12443" spans="1:4" x14ac:dyDescent="0.2">
      <c r="A12443" t="s">
        <v>4343</v>
      </c>
      <c r="B12443" t="str">
        <f>HYPERLINK("https://lindat.mff.cuni.cz/services/teitok/pdtc10/index.php?action=vallex&amp;frame=v-w1567f5_ZU", "kótovat (v-w1567f5_ZU)")</f>
        <v>kótovat (v-w1567f5_ZU)</v>
      </c>
    </row>
    <row r="12444" spans="1:4" x14ac:dyDescent="0.2">
      <c r="B12444" t="s">
        <v>1</v>
      </c>
      <c r="C12444" t="s">
        <v>4344</v>
      </c>
      <c r="D12444" t="s">
        <v>23042</v>
      </c>
    </row>
    <row r="12445" spans="1:4" x14ac:dyDescent="0.2">
      <c r="B12445" t="s">
        <v>8</v>
      </c>
      <c r="C12445" t="s">
        <v>4345</v>
      </c>
      <c r="D12445" t="s">
        <v>23043</v>
      </c>
    </row>
    <row r="12446" spans="1:4" x14ac:dyDescent="0.2">
      <c r="B12446" t="s">
        <v>4346</v>
      </c>
      <c r="C12446" t="s">
        <v>4215</v>
      </c>
      <c r="D12446" t="s">
        <v>23044</v>
      </c>
    </row>
    <row r="12448" spans="1:4" x14ac:dyDescent="0.2">
      <c r="A12448" t="s">
        <v>4343</v>
      </c>
      <c r="B12448" t="str">
        <f>HYPERLINK("https://lindat.mff.cuni.cz/services/teitok/pdtc10/index.php?action=vallex&amp;frame=v-w1567f2_ZU", "kótovat (v-w1567f2_ZU) - substituted with v-w1567f5_ZU")</f>
        <v>kótovat (v-w1567f2_ZU) - substituted with v-w1567f5_ZU</v>
      </c>
    </row>
    <row r="12449" spans="1:3" x14ac:dyDescent="0.2">
      <c r="B12449" t="s">
        <v>1</v>
      </c>
      <c r="C12449" t="s">
        <v>4213</v>
      </c>
    </row>
    <row r="12450" spans="1:3" x14ac:dyDescent="0.2">
      <c r="B12450" t="s">
        <v>8</v>
      </c>
      <c r="C12450" t="s">
        <v>4214</v>
      </c>
    </row>
    <row r="12451" spans="1:3" x14ac:dyDescent="0.2">
      <c r="B12451" t="s">
        <v>4346</v>
      </c>
    </row>
    <row r="12453" spans="1:3" x14ac:dyDescent="0.2">
      <c r="A12453" t="s">
        <v>4343</v>
      </c>
      <c r="B12453" t="str">
        <f>HYPERLINK("https://lindat.mff.cuni.cz/services/teitok/pdtc10/index.php?action=vallex&amp;frame=v-w1567f3_ZU", "kótovat (v-w1567f3_ZU) - substituted with v-w1567f5_ZU")</f>
        <v>kótovat (v-w1567f3_ZU) - substituted with v-w1567f5_ZU</v>
      </c>
    </row>
    <row r="12454" spans="1:3" x14ac:dyDescent="0.2">
      <c r="B12454" t="s">
        <v>1</v>
      </c>
      <c r="C12454" t="s">
        <v>4344</v>
      </c>
    </row>
    <row r="12455" spans="1:3" x14ac:dyDescent="0.2">
      <c r="B12455" t="s">
        <v>8</v>
      </c>
      <c r="C12455" t="s">
        <v>4345</v>
      </c>
    </row>
    <row r="12456" spans="1:3" x14ac:dyDescent="0.2">
      <c r="B12456" t="s">
        <v>4346</v>
      </c>
    </row>
    <row r="12458" spans="1:3" x14ac:dyDescent="0.2">
      <c r="A12458" t="s">
        <v>4343</v>
      </c>
      <c r="B12458" t="str">
        <f>HYPERLINK("https://lindat.mff.cuni.cz/services/teitok/pdtc10/index.php?action=vallex&amp;frame=v-w1567f4_ZU", "kótovat (v-w1567f4_ZU) - substituted with v-w1567f5_ZU")</f>
        <v>kótovat (v-w1567f4_ZU) - substituted with v-w1567f5_ZU</v>
      </c>
    </row>
    <row r="12459" spans="1:3" x14ac:dyDescent="0.2">
      <c r="B12459" t="s">
        <v>1</v>
      </c>
      <c r="C12459" t="s">
        <v>4344</v>
      </c>
    </row>
    <row r="12460" spans="1:3" x14ac:dyDescent="0.2">
      <c r="B12460" t="s">
        <v>8</v>
      </c>
      <c r="C12460" t="s">
        <v>4345</v>
      </c>
    </row>
    <row r="12461" spans="1:3" x14ac:dyDescent="0.2">
      <c r="B12461" t="s">
        <v>4346</v>
      </c>
      <c r="C12461" t="s">
        <v>4215</v>
      </c>
    </row>
    <row r="12463" spans="1:3" x14ac:dyDescent="0.2">
      <c r="A12463" t="s">
        <v>4343</v>
      </c>
      <c r="B12463" t="str">
        <f>HYPERLINK("https://lindat.mff.cuni.cz/services/teitok/pdtc10/index.php?action=vallex&amp;frame=v-w1567hsa_861", "kótovat (v-w1567hsa_861) - substituted with v-w1567f5_ZU")</f>
        <v>kótovat (v-w1567hsa_861) - substituted with v-w1567f5_ZU</v>
      </c>
    </row>
    <row r="12464" spans="1:3" x14ac:dyDescent="0.2">
      <c r="B12464" t="s">
        <v>1</v>
      </c>
      <c r="C12464" t="s">
        <v>4344</v>
      </c>
    </row>
    <row r="12465" spans="1:3" x14ac:dyDescent="0.2">
      <c r="B12465" t="s">
        <v>8</v>
      </c>
      <c r="C12465" t="s">
        <v>4345</v>
      </c>
    </row>
    <row r="12466" spans="1:3" x14ac:dyDescent="0.2">
      <c r="B12466" t="s">
        <v>4346</v>
      </c>
      <c r="C12466" t="s">
        <v>4215</v>
      </c>
    </row>
    <row r="12468" spans="1:3" x14ac:dyDescent="0.2">
      <c r="A12468" t="s">
        <v>4347</v>
      </c>
      <c r="B12468" t="str">
        <f>HYPERLINK("https://lindat.mff.cuni.cz/services/teitok/pdtc10/index.php?action=vallex&amp;frame=v-w1567f1", "kótovat (v-w1567f1)")</f>
        <v>kótovat (v-w1567f1)</v>
      </c>
    </row>
    <row r="12469" spans="1:3" x14ac:dyDescent="0.2">
      <c r="B12469" t="s">
        <v>1</v>
      </c>
      <c r="C12469" t="s">
        <v>4348</v>
      </c>
    </row>
    <row r="12470" spans="1:3" x14ac:dyDescent="0.2">
      <c r="B12470" t="s">
        <v>5</v>
      </c>
      <c r="C12470" t="s">
        <v>4349</v>
      </c>
    </row>
    <row r="12472" spans="1:3" x14ac:dyDescent="0.2">
      <c r="A12472" t="s">
        <v>4350</v>
      </c>
      <c r="B12472" t="str">
        <f>HYPERLINK("https://lindat.mff.cuni.cz/services/teitok/pdtc10/index.php?action=vallex&amp;frame=v-w11728_ZUf1_ZU", "kýchat (v-w11728_ZUf1_ZU)")</f>
        <v>kýchat (v-w11728_ZUf1_ZU)</v>
      </c>
    </row>
    <row r="12473" spans="1:3" x14ac:dyDescent="0.2">
      <c r="B12473" t="s">
        <v>1</v>
      </c>
    </row>
    <row r="12475" spans="1:3" x14ac:dyDescent="0.2">
      <c r="A12475" t="s">
        <v>4351</v>
      </c>
      <c r="B12475" t="str">
        <f>HYPERLINK("https://lindat.mff.cuni.cz/services/teitok/pdtc10/index.php?action=vallex&amp;frame=v-w11839_ZUf1_ZU", "kývat (v-w11839_ZUf1_ZU)")</f>
        <v>kývat (v-w11839_ZUf1_ZU)</v>
      </c>
    </row>
    <row r="12476" spans="1:3" x14ac:dyDescent="0.2">
      <c r="B12476" t="s">
        <v>1</v>
      </c>
    </row>
    <row r="12477" spans="1:3" x14ac:dyDescent="0.2">
      <c r="B12477" t="s">
        <v>158</v>
      </c>
    </row>
    <row r="12479" spans="1:3" x14ac:dyDescent="0.2">
      <c r="A12479" t="s">
        <v>4352</v>
      </c>
      <c r="B12479" t="str">
        <f>HYPERLINK("https://lindat.mff.cuni.cz/services/teitok/pdtc10/index.php?action=vallex&amp;frame=v-w11449f1", "kývat se (v-w11449f1)")</f>
        <v>kývat se (v-w11449f1)</v>
      </c>
    </row>
    <row r="12480" spans="1:3" x14ac:dyDescent="0.2">
      <c r="B12480" t="s">
        <v>1</v>
      </c>
    </row>
    <row r="12482" spans="1:4" x14ac:dyDescent="0.2">
      <c r="A12482" t="s">
        <v>4353</v>
      </c>
      <c r="B12482" t="str">
        <f>HYPERLINK("https://lindat.mff.cuni.cz/services/teitok/pdtc10/index.php?action=vallex&amp;frame=v-whsa_1747hsa_1748", "kývnout (v-whsa_1747hsa_1748)")</f>
        <v>kývnout (v-whsa_1747hsa_1748)</v>
      </c>
    </row>
    <row r="12483" spans="1:4" x14ac:dyDescent="0.2">
      <c r="B12483" t="s">
        <v>1</v>
      </c>
    </row>
    <row r="12484" spans="1:4" x14ac:dyDescent="0.2">
      <c r="B12484" t="s">
        <v>1826</v>
      </c>
    </row>
    <row r="12485" spans="1:4" x14ac:dyDescent="0.2">
      <c r="B12485" t="s">
        <v>78</v>
      </c>
    </row>
    <row r="12487" spans="1:4" x14ac:dyDescent="0.2">
      <c r="A12487" t="s">
        <v>4354</v>
      </c>
      <c r="B12487" t="str">
        <f>HYPERLINK("https://lindat.mff.cuni.cz/services/teitok/pdtc10/index.php?action=vallex&amp;frame=v-w11979_ZUf1_ZU", "kňučet (v-w11979_ZUf1_ZU)")</f>
        <v>kňučet (v-w11979_ZUf1_ZU)</v>
      </c>
    </row>
    <row r="12488" spans="1:4" x14ac:dyDescent="0.2">
      <c r="B12488" t="s">
        <v>1</v>
      </c>
    </row>
    <row r="12490" spans="1:4" x14ac:dyDescent="0.2">
      <c r="A12490" t="s">
        <v>4355</v>
      </c>
      <c r="B12490" t="str">
        <f>HYPERLINK("https://lindat.mff.cuni.cz/services/teitok/pdtc10/index.php?action=vallex&amp;frame=v-w1625f1", "křepčit (v-w1625f1)")</f>
        <v>křepčit (v-w1625f1)</v>
      </c>
    </row>
    <row r="12491" spans="1:4" x14ac:dyDescent="0.2">
      <c r="B12491" t="s">
        <v>1</v>
      </c>
    </row>
    <row r="12493" spans="1:4" x14ac:dyDescent="0.2">
      <c r="A12493" t="s">
        <v>4356</v>
      </c>
      <c r="B12493" t="str">
        <f>HYPERLINK("https://lindat.mff.cuni.cz/services/teitok/pdtc10/index.php?action=vallex&amp;frame=v-w11195f2", "křečkovat (v-w11195f2)")</f>
        <v>křečkovat (v-w11195f2)</v>
      </c>
    </row>
    <row r="12494" spans="1:4" x14ac:dyDescent="0.2">
      <c r="B12494" t="s">
        <v>1</v>
      </c>
      <c r="C12494" t="s">
        <v>33</v>
      </c>
      <c r="D12494" t="s">
        <v>16226</v>
      </c>
    </row>
    <row r="12495" spans="1:4" x14ac:dyDescent="0.2">
      <c r="B12495" t="s">
        <v>8</v>
      </c>
      <c r="C12495" t="s">
        <v>991</v>
      </c>
      <c r="D12495" t="s">
        <v>3270</v>
      </c>
    </row>
    <row r="12497" spans="1:4" x14ac:dyDescent="0.2">
      <c r="A12497" t="s">
        <v>4357</v>
      </c>
      <c r="B12497" t="str">
        <f>HYPERLINK("https://lindat.mff.cuni.cz/services/teitok/pdtc10/index.php?action=vallex&amp;frame=v-w10347f3", "křivit (v-w10347f3)")</f>
        <v>křivit (v-w10347f3)</v>
      </c>
    </row>
    <row r="12498" spans="1:4" x14ac:dyDescent="0.2">
      <c r="B12498" t="s">
        <v>1</v>
      </c>
    </row>
    <row r="12499" spans="1:4" x14ac:dyDescent="0.2">
      <c r="B12499" t="s">
        <v>8</v>
      </c>
    </row>
    <row r="12501" spans="1:4" x14ac:dyDescent="0.2">
      <c r="A12501" t="s">
        <v>4358</v>
      </c>
      <c r="B12501" t="str">
        <f>HYPERLINK("https://lindat.mff.cuni.cz/services/teitok/pdtc10/index.php?action=vallex&amp;frame=v-w1627f1", "křičet (v-w1627f1)")</f>
        <v>křičet (v-w1627f1)</v>
      </c>
    </row>
    <row r="12502" spans="1:4" x14ac:dyDescent="0.2">
      <c r="B12502" t="s">
        <v>1</v>
      </c>
      <c r="C12502" t="s">
        <v>1524</v>
      </c>
      <c r="D12502" t="s">
        <v>2571</v>
      </c>
    </row>
    <row r="12503" spans="1:4" x14ac:dyDescent="0.2">
      <c r="B12503" t="s">
        <v>3727</v>
      </c>
      <c r="C12503" t="s">
        <v>2213</v>
      </c>
      <c r="D12503" t="s">
        <v>338</v>
      </c>
    </row>
    <row r="12504" spans="1:4" x14ac:dyDescent="0.2">
      <c r="B12504" t="s">
        <v>3527</v>
      </c>
      <c r="C12504" t="s">
        <v>3728</v>
      </c>
      <c r="D12504" t="s">
        <v>3728</v>
      </c>
    </row>
    <row r="12506" spans="1:4" x14ac:dyDescent="0.2">
      <c r="A12506" t="s">
        <v>4359</v>
      </c>
      <c r="B12506" t="str">
        <f>HYPERLINK("https://lindat.mff.cuni.cz/services/teitok/pdtc10/index.php?action=vallex&amp;frame=v-w1627f2_ZU", "křičet (v-w1627f2_ZU)")</f>
        <v>křičet (v-w1627f2_ZU)</v>
      </c>
    </row>
    <row r="12507" spans="1:4" x14ac:dyDescent="0.2">
      <c r="B12507" t="s">
        <v>1</v>
      </c>
      <c r="C12507" t="s">
        <v>4110</v>
      </c>
    </row>
    <row r="12509" spans="1:4" x14ac:dyDescent="0.2">
      <c r="A12509" t="s">
        <v>4360</v>
      </c>
      <c r="B12509" t="str">
        <f>HYPERLINK("https://lindat.mff.cuni.cz/services/teitok/pdtc10/index.php?action=vallex&amp;frame=v-whsa_576hsa_577", "křižovat (v-whsa_576hsa_577)")</f>
        <v>křižovat (v-whsa_576hsa_577)</v>
      </c>
    </row>
    <row r="12510" spans="1:4" x14ac:dyDescent="0.2">
      <c r="B12510" t="s">
        <v>1</v>
      </c>
    </row>
    <row r="12511" spans="1:4" x14ac:dyDescent="0.2">
      <c r="B12511" t="s">
        <v>8</v>
      </c>
    </row>
    <row r="12513" spans="1:2" x14ac:dyDescent="0.2">
      <c r="A12513" t="s">
        <v>4361</v>
      </c>
      <c r="B12513" t="str">
        <f>HYPERLINK("https://lindat.mff.cuni.cz/services/teitok/pdtc10/index.php?action=vallex&amp;frame=v-whsa_438hsa_439", "křtít (v-whsa_438hsa_439)")</f>
        <v>křtít (v-whsa_438hsa_439)</v>
      </c>
    </row>
    <row r="12514" spans="1:2" x14ac:dyDescent="0.2">
      <c r="B12514" t="s">
        <v>1</v>
      </c>
    </row>
    <row r="12515" spans="1:2" x14ac:dyDescent="0.2">
      <c r="B12515" t="s">
        <v>8</v>
      </c>
    </row>
    <row r="12517" spans="1:2" x14ac:dyDescent="0.2">
      <c r="A12517" t="s">
        <v>4362</v>
      </c>
      <c r="B12517" t="str">
        <f>HYPERLINK("https://lindat.mff.cuni.cz/services/teitok/pdtc10/index.php?action=vallex&amp;frame=v-w12288_MMf1_MM", "křísit (v-w12288_MMf1_MM)")</f>
        <v>křísit (v-w12288_MMf1_MM)</v>
      </c>
    </row>
    <row r="12518" spans="1:2" x14ac:dyDescent="0.2">
      <c r="B12518" t="s">
        <v>1</v>
      </c>
    </row>
    <row r="12519" spans="1:2" x14ac:dyDescent="0.2">
      <c r="B12519" t="s">
        <v>8</v>
      </c>
    </row>
    <row r="12521" spans="1:2" x14ac:dyDescent="0.2">
      <c r="A12521" t="s">
        <v>4363</v>
      </c>
      <c r="B12521" t="str">
        <f>HYPERLINK("https://lindat.mff.cuni.cz/services/teitok/pdtc10/index.php?action=vallex&amp;frame=v-w1629f1", "křížit (v-w1629f1)")</f>
        <v>křížit (v-w1629f1)</v>
      </c>
    </row>
    <row r="12522" spans="1:2" x14ac:dyDescent="0.2">
      <c r="B12522" t="s">
        <v>1</v>
      </c>
    </row>
    <row r="12523" spans="1:2" x14ac:dyDescent="0.2">
      <c r="B12523" t="s">
        <v>8</v>
      </c>
    </row>
    <row r="12524" spans="1:2" x14ac:dyDescent="0.2">
      <c r="B12524" t="s">
        <v>2604</v>
      </c>
    </row>
    <row r="12526" spans="1:2" x14ac:dyDescent="0.2">
      <c r="A12526" t="s">
        <v>4364</v>
      </c>
      <c r="B12526" t="str">
        <f>HYPERLINK("https://lindat.mff.cuni.cz/services/teitok/pdtc10/index.php?action=vallex&amp;frame=v-w1629hsa_1875", "křížit (v-w1629hsa_1875)")</f>
        <v>křížit (v-w1629hsa_1875)</v>
      </c>
    </row>
    <row r="12527" spans="1:2" x14ac:dyDescent="0.2">
      <c r="B12527" t="s">
        <v>1</v>
      </c>
    </row>
    <row r="12528" spans="1:2" x14ac:dyDescent="0.2">
      <c r="B12528" t="s">
        <v>8</v>
      </c>
    </row>
    <row r="12529" spans="1:2" x14ac:dyDescent="0.2">
      <c r="B12529" t="s">
        <v>2604</v>
      </c>
    </row>
    <row r="12531" spans="1:2" x14ac:dyDescent="0.2">
      <c r="A12531" t="s">
        <v>4365</v>
      </c>
      <c r="B12531" t="str">
        <f>HYPERLINK("https://lindat.mff.cuni.cz/services/teitok/pdtc10/index.php?action=vallex&amp;frame=v-w12127_ZUf1_ZU", "kšeftovat (v-w12127_ZUf1_ZU)")</f>
        <v>kšeftovat (v-w12127_ZUf1_ZU)</v>
      </c>
    </row>
    <row r="12532" spans="1:2" x14ac:dyDescent="0.2">
      <c r="B12532" t="s">
        <v>1</v>
      </c>
    </row>
    <row r="12533" spans="1:2" x14ac:dyDescent="0.2">
      <c r="B12533" t="s">
        <v>63</v>
      </c>
    </row>
    <row r="12534" spans="1:2" x14ac:dyDescent="0.2">
      <c r="B12534" t="s">
        <v>153</v>
      </c>
    </row>
    <row r="12536" spans="1:2" x14ac:dyDescent="0.2">
      <c r="A12536" t="s">
        <v>4366</v>
      </c>
      <c r="B12536" t="str">
        <f>HYPERLINK("https://lindat.mff.cuni.cz/services/teitok/pdtc10/index.php?action=vallex&amp;frame=v-w1654f1", "laborovat (v-w1654f1)")</f>
        <v>laborovat (v-w1654f1)</v>
      </c>
    </row>
    <row r="12537" spans="1:2" x14ac:dyDescent="0.2">
      <c r="B12537" t="s">
        <v>1</v>
      </c>
    </row>
    <row r="12538" spans="1:2" x14ac:dyDescent="0.2">
      <c r="B12538" t="s">
        <v>411</v>
      </c>
    </row>
    <row r="12540" spans="1:2" x14ac:dyDescent="0.2">
      <c r="A12540" t="s">
        <v>4367</v>
      </c>
      <c r="B12540" t="str">
        <f>HYPERLINK("https://lindat.mff.cuni.cz/services/teitok/pdtc10/index.php?action=vallex&amp;frame=v-w1657f2", "ladit (v-w1657f2)")</f>
        <v>ladit (v-w1657f2)</v>
      </c>
    </row>
    <row r="12541" spans="1:2" x14ac:dyDescent="0.2">
      <c r="B12541" t="s">
        <v>1</v>
      </c>
    </row>
    <row r="12542" spans="1:2" x14ac:dyDescent="0.2">
      <c r="B12542" t="s">
        <v>8</v>
      </c>
    </row>
    <row r="12544" spans="1:2" x14ac:dyDescent="0.2">
      <c r="A12544" t="s">
        <v>4368</v>
      </c>
      <c r="B12544" t="str">
        <f>HYPERLINK("https://lindat.mff.cuni.cz/services/teitok/pdtc10/index.php?action=vallex&amp;frame=v-w1657f4", "ladit (v-w1657f4)")</f>
        <v>ladit (v-w1657f4)</v>
      </c>
    </row>
    <row r="12545" spans="1:4" x14ac:dyDescent="0.2">
      <c r="B12545" t="s">
        <v>1</v>
      </c>
    </row>
    <row r="12546" spans="1:4" x14ac:dyDescent="0.2">
      <c r="B12546" t="s">
        <v>8</v>
      </c>
    </row>
    <row r="12548" spans="1:4" x14ac:dyDescent="0.2">
      <c r="A12548" t="s">
        <v>4369</v>
      </c>
      <c r="B12548" t="str">
        <f>HYPERLINK("https://lindat.mff.cuni.cz/services/teitok/pdtc10/index.php?action=vallex&amp;frame=v-w1657f3", "ladit (v-w1657f3)")</f>
        <v>ladit (v-w1657f3)</v>
      </c>
    </row>
    <row r="12549" spans="1:4" x14ac:dyDescent="0.2">
      <c r="B12549" t="s">
        <v>1</v>
      </c>
      <c r="C12549" t="s">
        <v>4370</v>
      </c>
    </row>
    <row r="12550" spans="1:4" x14ac:dyDescent="0.2">
      <c r="B12550" t="s">
        <v>4371</v>
      </c>
      <c r="C12550" t="s">
        <v>4372</v>
      </c>
    </row>
    <row r="12552" spans="1:4" x14ac:dyDescent="0.2">
      <c r="A12552" t="s">
        <v>4369</v>
      </c>
      <c r="B12552" t="str">
        <f>HYPERLINK("https://lindat.mff.cuni.cz/services/teitok/pdtc10/index.php?action=vallex&amp;frame=v-w1657f1", "ladit (v-w1657f1) - substituted with v-w1657f3")</f>
        <v>ladit (v-w1657f1) - substituted with v-w1657f3</v>
      </c>
    </row>
    <row r="12553" spans="1:4" x14ac:dyDescent="0.2">
      <c r="B12553" t="s">
        <v>1</v>
      </c>
    </row>
    <row r="12554" spans="1:4" x14ac:dyDescent="0.2">
      <c r="B12554" t="s">
        <v>4371</v>
      </c>
    </row>
    <row r="12556" spans="1:4" x14ac:dyDescent="0.2">
      <c r="A12556" t="s">
        <v>4373</v>
      </c>
      <c r="B12556" t="str">
        <f>HYPERLINK("https://lindat.mff.cuni.cz/services/teitok/pdtc10/index.php?action=vallex&amp;frame=v-w11230f2", "lahodit (v-w11230f2)")</f>
        <v>lahodit (v-w11230f2)</v>
      </c>
    </row>
    <row r="12557" spans="1:4" x14ac:dyDescent="0.2">
      <c r="B12557" t="s">
        <v>455</v>
      </c>
      <c r="D12557" t="s">
        <v>23450</v>
      </c>
    </row>
    <row r="12558" spans="1:4" x14ac:dyDescent="0.2">
      <c r="B12558" t="s">
        <v>4374</v>
      </c>
      <c r="C12558" t="s">
        <v>113</v>
      </c>
      <c r="D12558" t="s">
        <v>23451</v>
      </c>
    </row>
    <row r="12560" spans="1:4" x14ac:dyDescent="0.2">
      <c r="A12560" t="s">
        <v>4375</v>
      </c>
      <c r="B12560" t="str">
        <f>HYPERLINK("https://lindat.mff.cuni.cz/services/teitok/pdtc10/index.php?action=vallex&amp;frame=v-whsa_1954hsa_1955", "lajdačit (v-whsa_1954hsa_1955)")</f>
        <v>lajdačit (v-whsa_1954hsa_1955)</v>
      </c>
    </row>
    <row r="12561" spans="1:4" x14ac:dyDescent="0.2">
      <c r="B12561" t="s">
        <v>1</v>
      </c>
    </row>
    <row r="12563" spans="1:4" x14ac:dyDescent="0.2">
      <c r="A12563" t="s">
        <v>4376</v>
      </c>
      <c r="B12563" t="str">
        <f>HYPERLINK("https://lindat.mff.cuni.cz/services/teitok/pdtc10/index.php?action=vallex&amp;frame=v-w1664f2_ZU", "lamentovat (v-w1664f2_ZU)")</f>
        <v>lamentovat (v-w1664f2_ZU)</v>
      </c>
    </row>
    <row r="12564" spans="1:4" x14ac:dyDescent="0.2">
      <c r="B12564" t="s">
        <v>1</v>
      </c>
      <c r="C12564" t="s">
        <v>249</v>
      </c>
    </row>
    <row r="12565" spans="1:4" x14ac:dyDescent="0.2">
      <c r="B12565" t="s">
        <v>287</v>
      </c>
      <c r="C12565" t="s">
        <v>34</v>
      </c>
    </row>
    <row r="12567" spans="1:4" x14ac:dyDescent="0.2">
      <c r="A12567" t="s">
        <v>4376</v>
      </c>
      <c r="B12567" t="str">
        <f>HYPERLINK("https://lindat.mff.cuni.cz/services/teitok/pdtc10/index.php?action=vallex&amp;frame=v-w1664f1", "lamentovat (v-w1664f1) - substituted with v-w1664f2_ZU")</f>
        <v>lamentovat (v-w1664f1) - substituted with v-w1664f2_ZU</v>
      </c>
    </row>
    <row r="12568" spans="1:4" x14ac:dyDescent="0.2">
      <c r="B12568" t="s">
        <v>1</v>
      </c>
    </row>
    <row r="12569" spans="1:4" x14ac:dyDescent="0.2">
      <c r="B12569" t="s">
        <v>287</v>
      </c>
    </row>
    <row r="12571" spans="1:4" x14ac:dyDescent="0.2">
      <c r="A12571" t="s">
        <v>4377</v>
      </c>
      <c r="B12571" t="str">
        <f>HYPERLINK("https://lindat.mff.cuni.cz/services/teitok/pdtc10/index.php?action=vallex&amp;frame=v-w1666f1", "lapat (v-w1666f1)")</f>
        <v>lapat (v-w1666f1)</v>
      </c>
    </row>
    <row r="12572" spans="1:4" x14ac:dyDescent="0.2">
      <c r="B12572" t="s">
        <v>1</v>
      </c>
      <c r="C12572" t="s">
        <v>140</v>
      </c>
      <c r="D12572" t="s">
        <v>140</v>
      </c>
    </row>
    <row r="12573" spans="1:4" x14ac:dyDescent="0.2">
      <c r="B12573" t="s">
        <v>4378</v>
      </c>
      <c r="C12573" t="s">
        <v>397</v>
      </c>
      <c r="D12573" t="s">
        <v>397</v>
      </c>
    </row>
    <row r="12575" spans="1:4" x14ac:dyDescent="0.2">
      <c r="A12575" t="s">
        <v>4379</v>
      </c>
      <c r="B12575" t="str">
        <f>HYPERLINK("https://lindat.mff.cuni.cz/services/teitok/pdtc10/index.php?action=vallex&amp;frame=v-w1666hsa_1329", "lapat (v-w1666hsa_1329)")</f>
        <v>lapat (v-w1666hsa_1329)</v>
      </c>
    </row>
    <row r="12576" spans="1:4" x14ac:dyDescent="0.2">
      <c r="B12576" t="s">
        <v>1</v>
      </c>
    </row>
    <row r="12577" spans="1:4" x14ac:dyDescent="0.2">
      <c r="B12577" t="s">
        <v>8</v>
      </c>
    </row>
    <row r="12579" spans="1:4" x14ac:dyDescent="0.2">
      <c r="A12579" t="s">
        <v>4380</v>
      </c>
      <c r="B12579" t="str">
        <f>HYPERLINK("https://lindat.mff.cuni.cz/services/teitok/pdtc10/index.php?action=vallex&amp;frame=v-w10350f2", "lapit (v-w10350f2)")</f>
        <v>lapit (v-w10350f2)</v>
      </c>
    </row>
    <row r="12580" spans="1:4" x14ac:dyDescent="0.2">
      <c r="B12580" t="s">
        <v>1</v>
      </c>
      <c r="C12580" t="s">
        <v>373</v>
      </c>
      <c r="D12580" t="s">
        <v>1106</v>
      </c>
    </row>
    <row r="12581" spans="1:4" x14ac:dyDescent="0.2">
      <c r="B12581" t="s">
        <v>8</v>
      </c>
      <c r="C12581" t="s">
        <v>54</v>
      </c>
      <c r="D12581" t="s">
        <v>7118</v>
      </c>
    </row>
    <row r="12583" spans="1:4" x14ac:dyDescent="0.2">
      <c r="A12583" t="s">
        <v>4381</v>
      </c>
      <c r="B12583" t="str">
        <f>HYPERLINK("https://lindat.mff.cuni.cz/services/teitok/pdtc10/index.php?action=vallex&amp;frame=v-w10336f2", "laškovat (v-w10336f2)")</f>
        <v>laškovat (v-w10336f2)</v>
      </c>
    </row>
    <row r="12584" spans="1:4" x14ac:dyDescent="0.2">
      <c r="B12584" t="s">
        <v>1</v>
      </c>
    </row>
    <row r="12585" spans="1:4" x14ac:dyDescent="0.2">
      <c r="B12585" t="s">
        <v>3145</v>
      </c>
    </row>
    <row r="12586" spans="1:4" x14ac:dyDescent="0.2">
      <c r="B12586" t="s">
        <v>2328</v>
      </c>
    </row>
    <row r="12588" spans="1:4" x14ac:dyDescent="0.2">
      <c r="A12588" t="s">
        <v>4382</v>
      </c>
      <c r="B12588" t="str">
        <f>HYPERLINK("https://lindat.mff.cuni.cz/services/teitok/pdtc10/index.php?action=vallex&amp;frame=v-whsa_1424hsa_1425", "lebedit si (v-whsa_1424hsa_1425)")</f>
        <v>lebedit si (v-whsa_1424hsa_1425)</v>
      </c>
    </row>
    <row r="12589" spans="1:4" x14ac:dyDescent="0.2">
      <c r="B12589" t="s">
        <v>1</v>
      </c>
    </row>
    <row r="12591" spans="1:4" x14ac:dyDescent="0.2">
      <c r="A12591" t="s">
        <v>4383</v>
      </c>
      <c r="B12591" t="str">
        <f>HYPERLINK("https://lindat.mff.cuni.cz/services/teitok/pdtc10/index.php?action=vallex&amp;frame=v-w1673f1", "legalizovat (v-w1673f1)")</f>
        <v>legalizovat (v-w1673f1)</v>
      </c>
    </row>
    <row r="12592" spans="1:4" x14ac:dyDescent="0.2">
      <c r="B12592" t="s">
        <v>1</v>
      </c>
      <c r="D12592" t="s">
        <v>23452</v>
      </c>
    </row>
    <row r="12593" spans="1:4" x14ac:dyDescent="0.2">
      <c r="B12593" t="s">
        <v>8</v>
      </c>
      <c r="C12593" t="s">
        <v>84</v>
      </c>
      <c r="D12593" t="s">
        <v>23453</v>
      </c>
    </row>
    <row r="12595" spans="1:4" x14ac:dyDescent="0.2">
      <c r="A12595" t="s">
        <v>4384</v>
      </c>
      <c r="B12595" t="str">
        <f>HYPERLINK("https://lindat.mff.cuni.cz/services/teitok/pdtc10/index.php?action=vallex&amp;frame=v-w1676f1", "legitimizovat (v-w1676f1)")</f>
        <v>legitimizovat (v-w1676f1)</v>
      </c>
    </row>
    <row r="12596" spans="1:4" x14ac:dyDescent="0.2">
      <c r="B12596" t="s">
        <v>1</v>
      </c>
    </row>
    <row r="12597" spans="1:4" x14ac:dyDescent="0.2">
      <c r="B12597" t="s">
        <v>124</v>
      </c>
    </row>
    <row r="12599" spans="1:4" x14ac:dyDescent="0.2">
      <c r="A12599" t="s">
        <v>4385</v>
      </c>
      <c r="B12599" t="str">
        <f>HYPERLINK("https://lindat.mff.cuni.cz/services/teitok/pdtc10/index.php?action=vallex&amp;frame=v-whsa_1214hsa_1215", "legitimovat (v-whsa_1214hsa_1215)")</f>
        <v>legitimovat (v-whsa_1214hsa_1215)</v>
      </c>
    </row>
    <row r="12600" spans="1:4" x14ac:dyDescent="0.2">
      <c r="B12600" t="s">
        <v>1</v>
      </c>
      <c r="C12600" t="s">
        <v>140</v>
      </c>
      <c r="D12600" t="s">
        <v>22965</v>
      </c>
    </row>
    <row r="12601" spans="1:4" x14ac:dyDescent="0.2">
      <c r="B12601" t="s">
        <v>8</v>
      </c>
      <c r="C12601" t="s">
        <v>34</v>
      </c>
      <c r="D12601" t="s">
        <v>22966</v>
      </c>
    </row>
    <row r="12603" spans="1:4" x14ac:dyDescent="0.2">
      <c r="A12603" t="s">
        <v>4386</v>
      </c>
      <c r="B12603" t="str">
        <f>HYPERLINK("https://lindat.mff.cuni.cz/services/teitok/pdtc10/index.php?action=vallex&amp;frame=v-whsa_26hsa_27", "legitimovat se (v-whsa_26hsa_27)")</f>
        <v>legitimovat se (v-whsa_26hsa_27)</v>
      </c>
    </row>
    <row r="12604" spans="1:4" x14ac:dyDescent="0.2">
      <c r="B12604" t="s">
        <v>1</v>
      </c>
    </row>
    <row r="12606" spans="1:4" x14ac:dyDescent="0.2">
      <c r="A12606" t="s">
        <v>4387</v>
      </c>
      <c r="B12606" t="str">
        <f>HYPERLINK("https://lindat.mff.cuni.cz/services/teitok/pdtc10/index.php?action=vallex&amp;frame=v-w1678f1", "lehat si (v-w1678f1)")</f>
        <v>lehat si (v-w1678f1)</v>
      </c>
    </row>
    <row r="12607" spans="1:4" x14ac:dyDescent="0.2">
      <c r="B12607" t="s">
        <v>1</v>
      </c>
    </row>
    <row r="12608" spans="1:4" x14ac:dyDescent="0.2">
      <c r="B12608" t="s">
        <v>90</v>
      </c>
    </row>
    <row r="12610" spans="1:4" x14ac:dyDescent="0.2">
      <c r="A12610" t="s">
        <v>4388</v>
      </c>
      <c r="B12610" t="str">
        <f>HYPERLINK("https://lindat.mff.cuni.cz/services/teitok/pdtc10/index.php?action=vallex&amp;frame=v-w1680f1", "lehnout (v-w1680f1)")</f>
        <v>lehnout (v-w1680f1)</v>
      </c>
    </row>
    <row r="12611" spans="1:4" x14ac:dyDescent="0.2">
      <c r="B12611" t="s">
        <v>1</v>
      </c>
    </row>
    <row r="12612" spans="1:4" x14ac:dyDescent="0.2">
      <c r="B12612" t="s">
        <v>4389</v>
      </c>
    </row>
    <row r="12614" spans="1:4" x14ac:dyDescent="0.2">
      <c r="A12614" t="s">
        <v>4390</v>
      </c>
      <c r="B12614" t="str">
        <f>HYPERLINK("https://lindat.mff.cuni.cz/services/teitok/pdtc10/index.php?action=vallex&amp;frame=v-w1680f2_ZU", "lehnout (v-w1680f2_ZU)")</f>
        <v>lehnout (v-w1680f2_ZU)</v>
      </c>
    </row>
    <row r="12615" spans="1:4" x14ac:dyDescent="0.2">
      <c r="B12615" t="s">
        <v>1</v>
      </c>
    </row>
    <row r="12616" spans="1:4" x14ac:dyDescent="0.2">
      <c r="B12616" t="s">
        <v>252</v>
      </c>
    </row>
    <row r="12618" spans="1:4" x14ac:dyDescent="0.2">
      <c r="A12618" t="s">
        <v>4391</v>
      </c>
      <c r="B12618" t="str">
        <f>HYPERLINK("https://lindat.mff.cuni.cz/services/teitok/pdtc10/index.php?action=vallex&amp;frame=v-w1681f1", "lehnout si (v-w1681f1)")</f>
        <v>lehnout si (v-w1681f1)</v>
      </c>
    </row>
    <row r="12619" spans="1:4" x14ac:dyDescent="0.2">
      <c r="B12619" t="s">
        <v>1</v>
      </c>
      <c r="C12619" t="s">
        <v>715</v>
      </c>
      <c r="D12619" t="s">
        <v>140</v>
      </c>
    </row>
    <row r="12620" spans="1:4" x14ac:dyDescent="0.2">
      <c r="B12620" t="s">
        <v>90</v>
      </c>
      <c r="C12620" t="s">
        <v>4392</v>
      </c>
    </row>
    <row r="12622" spans="1:4" x14ac:dyDescent="0.2">
      <c r="A12622" t="s">
        <v>4393</v>
      </c>
      <c r="B12622" t="str">
        <f>HYPERLINK("https://lindat.mff.cuni.cz/services/teitok/pdtc10/index.php?action=vallex&amp;frame=v-w11903_ZUf1_ZU", "lehávat (v-w11903_ZUf1_ZU)")</f>
        <v>lehávat (v-w11903_ZUf1_ZU)</v>
      </c>
    </row>
    <row r="12623" spans="1:4" x14ac:dyDescent="0.2">
      <c r="B12623" t="s">
        <v>1</v>
      </c>
    </row>
    <row r="12624" spans="1:4" x14ac:dyDescent="0.2">
      <c r="B12624" t="s">
        <v>5</v>
      </c>
    </row>
    <row r="12626" spans="1:4" x14ac:dyDescent="0.2">
      <c r="A12626" t="s">
        <v>4394</v>
      </c>
      <c r="B12626" t="str">
        <f>HYPERLINK("https://lindat.mff.cuni.cz/services/teitok/pdtc10/index.php?action=vallex&amp;frame=v-w10236f2", "lekat (v-w10236f2)")</f>
        <v>lekat (v-w10236f2)</v>
      </c>
    </row>
    <row r="12627" spans="1:4" x14ac:dyDescent="0.2">
      <c r="B12627" t="s">
        <v>1</v>
      </c>
      <c r="C12627" t="s">
        <v>33</v>
      </c>
    </row>
    <row r="12628" spans="1:4" x14ac:dyDescent="0.2">
      <c r="B12628" t="s">
        <v>8</v>
      </c>
      <c r="C12628" t="s">
        <v>991</v>
      </c>
    </row>
    <row r="12630" spans="1:4" x14ac:dyDescent="0.2">
      <c r="A12630" t="s">
        <v>4395</v>
      </c>
      <c r="B12630" t="str">
        <f>HYPERLINK("https://lindat.mff.cuni.cz/services/teitok/pdtc10/index.php?action=vallex&amp;frame=v-whsa_559hsa_560", "leknout se (v-whsa_559hsa_560)")</f>
        <v>leknout se (v-whsa_559hsa_560)</v>
      </c>
    </row>
    <row r="12631" spans="1:4" x14ac:dyDescent="0.2">
      <c r="B12631" t="s">
        <v>1</v>
      </c>
    </row>
    <row r="12632" spans="1:4" x14ac:dyDescent="0.2">
      <c r="B12632" t="s">
        <v>4396</v>
      </c>
    </row>
    <row r="12634" spans="1:4" x14ac:dyDescent="0.2">
      <c r="A12634" t="s">
        <v>4397</v>
      </c>
      <c r="B12634" t="str">
        <f>HYPERLINK("https://lindat.mff.cuni.cz/services/teitok/pdtc10/index.php?action=vallex&amp;frame=v-w1685f1", "lemovat (v-w1685f1)")</f>
        <v>lemovat (v-w1685f1)</v>
      </c>
    </row>
    <row r="12635" spans="1:4" x14ac:dyDescent="0.2">
      <c r="B12635" t="s">
        <v>1</v>
      </c>
      <c r="C12635" t="s">
        <v>186</v>
      </c>
      <c r="D12635" t="s">
        <v>14794</v>
      </c>
    </row>
    <row r="12636" spans="1:4" x14ac:dyDescent="0.2">
      <c r="B12636" t="s">
        <v>8</v>
      </c>
      <c r="D12636" t="s">
        <v>13061</v>
      </c>
    </row>
    <row r="12638" spans="1:4" x14ac:dyDescent="0.2">
      <c r="A12638" t="s">
        <v>4398</v>
      </c>
      <c r="B12638" t="str">
        <f>HYPERLINK("https://lindat.mff.cuni.cz/services/teitok/pdtc10/index.php?action=vallex&amp;frame=v-w1685f2", "lemovat (v-w1685f2)")</f>
        <v>lemovat (v-w1685f2)</v>
      </c>
    </row>
    <row r="12639" spans="1:4" x14ac:dyDescent="0.2">
      <c r="B12639" t="s">
        <v>1</v>
      </c>
    </row>
    <row r="12640" spans="1:4" x14ac:dyDescent="0.2">
      <c r="B12640" t="s">
        <v>8</v>
      </c>
    </row>
    <row r="12642" spans="1:4" x14ac:dyDescent="0.2">
      <c r="A12642" t="s">
        <v>4399</v>
      </c>
      <c r="B12642" t="str">
        <f>HYPERLINK("https://lindat.mff.cuni.cz/services/teitok/pdtc10/index.php?action=vallex&amp;frame=v-w1685hsa_1194", "lemovat (v-w1685hsa_1194)")</f>
        <v>lemovat (v-w1685hsa_1194)</v>
      </c>
    </row>
    <row r="12643" spans="1:4" x14ac:dyDescent="0.2">
      <c r="B12643" t="s">
        <v>1</v>
      </c>
    </row>
    <row r="12644" spans="1:4" x14ac:dyDescent="0.2">
      <c r="B12644" t="s">
        <v>8</v>
      </c>
      <c r="C12644" t="s">
        <v>991</v>
      </c>
    </row>
    <row r="12646" spans="1:4" x14ac:dyDescent="0.2">
      <c r="A12646" t="s">
        <v>4400</v>
      </c>
      <c r="B12646" t="str">
        <f>HYPERLINK("https://lindat.mff.cuni.cz/services/teitok/pdtc10/index.php?action=vallex&amp;frame=v-w1687f1", "lenit (v-w1687f1)")</f>
        <v>lenit (v-w1687f1)</v>
      </c>
    </row>
    <row r="12647" spans="1:4" x14ac:dyDescent="0.2">
      <c r="B12647" t="s">
        <v>1</v>
      </c>
    </row>
    <row r="12649" spans="1:4" x14ac:dyDescent="0.2">
      <c r="A12649" t="s">
        <v>4401</v>
      </c>
      <c r="B12649" t="str">
        <f>HYPERLINK("https://lindat.mff.cuni.cz/services/teitok/pdtc10/index.php?action=vallex&amp;frame=v-w12166_ZUf1_ZU", "lenošit (v-w12166_ZUf1_ZU)")</f>
        <v>lenošit (v-w12166_ZUf1_ZU)</v>
      </c>
    </row>
    <row r="12650" spans="1:4" x14ac:dyDescent="0.2">
      <c r="B12650" t="s">
        <v>1</v>
      </c>
    </row>
    <row r="12652" spans="1:4" x14ac:dyDescent="0.2">
      <c r="A12652" t="s">
        <v>4402</v>
      </c>
      <c r="B12652" t="str">
        <f>HYPERLINK("https://lindat.mff.cuni.cz/services/teitok/pdtc10/index.php?action=vallex&amp;frame=v-w1688f1", "lepit (v-w1688f1)")</f>
        <v>lepit (v-w1688f1)</v>
      </c>
    </row>
    <row r="12653" spans="1:4" x14ac:dyDescent="0.2">
      <c r="B12653" t="s">
        <v>1</v>
      </c>
      <c r="C12653" t="s">
        <v>133</v>
      </c>
      <c r="D12653" t="s">
        <v>140</v>
      </c>
    </row>
    <row r="12654" spans="1:4" x14ac:dyDescent="0.2">
      <c r="B12654" t="s">
        <v>8</v>
      </c>
      <c r="C12654" t="s">
        <v>1128</v>
      </c>
      <c r="D12654" t="s">
        <v>84</v>
      </c>
    </row>
    <row r="12656" spans="1:4" x14ac:dyDescent="0.2">
      <c r="A12656" t="s">
        <v>4403</v>
      </c>
      <c r="B12656" t="str">
        <f>HYPERLINK("https://lindat.mff.cuni.cz/services/teitok/pdtc10/index.php?action=vallex&amp;frame=v-w11748_ZUf1_ZU", "lepit se (v-w11748_ZUf1_ZU)")</f>
        <v>lepit se (v-w11748_ZUf1_ZU)</v>
      </c>
    </row>
    <row r="12657" spans="1:4" x14ac:dyDescent="0.2">
      <c r="B12657" t="s">
        <v>1</v>
      </c>
    </row>
    <row r="12659" spans="1:4" x14ac:dyDescent="0.2">
      <c r="A12659" t="s">
        <v>4404</v>
      </c>
      <c r="B12659" t="str">
        <f>HYPERLINK("https://lindat.mff.cuni.cz/services/teitok/pdtc10/index.php?action=vallex&amp;frame=v-w1689f1", "lepšit se (v-w1689f1)")</f>
        <v>lepšit se (v-w1689f1)</v>
      </c>
    </row>
    <row r="12660" spans="1:4" x14ac:dyDescent="0.2">
      <c r="B12660" t="s">
        <v>1</v>
      </c>
    </row>
    <row r="12661" spans="1:4" x14ac:dyDescent="0.2">
      <c r="B12661" t="s">
        <v>46</v>
      </c>
    </row>
    <row r="12662" spans="1:4" x14ac:dyDescent="0.2">
      <c r="B12662" t="s">
        <v>24</v>
      </c>
    </row>
    <row r="12664" spans="1:4" x14ac:dyDescent="0.2">
      <c r="A12664" t="s">
        <v>4405</v>
      </c>
      <c r="B12664" t="str">
        <f>HYPERLINK("https://lindat.mff.cuni.cz/services/teitok/pdtc10/index.php?action=vallex&amp;frame=v-w11480f1", "lesknout se (v-w11480f1)")</f>
        <v>lesknout se (v-w11480f1)</v>
      </c>
    </row>
    <row r="12665" spans="1:4" x14ac:dyDescent="0.2">
      <c r="B12665" t="s">
        <v>1</v>
      </c>
    </row>
    <row r="12667" spans="1:4" x14ac:dyDescent="0.2">
      <c r="A12667" t="s">
        <v>4406</v>
      </c>
      <c r="B12667" t="str">
        <f>HYPERLINK("https://lindat.mff.cuni.cz/services/teitok/pdtc10/index.php?action=vallex&amp;frame=v-whsa_215hsa_216", "letovat (v-whsa_215hsa_216)")</f>
        <v>letovat (v-whsa_215hsa_216)</v>
      </c>
    </row>
    <row r="12668" spans="1:4" x14ac:dyDescent="0.2">
      <c r="B12668" t="s">
        <v>1</v>
      </c>
    </row>
    <row r="12669" spans="1:4" x14ac:dyDescent="0.2">
      <c r="B12669" t="s">
        <v>8</v>
      </c>
    </row>
    <row r="12671" spans="1:4" x14ac:dyDescent="0.2">
      <c r="A12671" t="s">
        <v>4407</v>
      </c>
      <c r="B12671" t="str">
        <f>HYPERLINK("https://lindat.mff.cuni.cz/services/teitok/pdtc10/index.php?action=vallex&amp;frame=v-w1694f1", "letět (v-w1694f1)")</f>
        <v>letět (v-w1694f1)</v>
      </c>
    </row>
    <row r="12672" spans="1:4" x14ac:dyDescent="0.2">
      <c r="B12672" t="s">
        <v>1</v>
      </c>
      <c r="C12672" t="s">
        <v>4408</v>
      </c>
      <c r="D12672" t="s">
        <v>23454</v>
      </c>
    </row>
    <row r="12674" spans="1:2" x14ac:dyDescent="0.2">
      <c r="A12674" t="s">
        <v>4409</v>
      </c>
      <c r="B12674" t="str">
        <f>HYPERLINK("https://lindat.mff.cuni.cz/services/teitok/pdtc10/index.php?action=vallex&amp;frame=v-w1694f2", "letět (v-w1694f2)")</f>
        <v>letět (v-w1694f2)</v>
      </c>
    </row>
    <row r="12675" spans="1:2" x14ac:dyDescent="0.2">
      <c r="B12675" t="s">
        <v>1</v>
      </c>
    </row>
    <row r="12677" spans="1:2" x14ac:dyDescent="0.2">
      <c r="A12677" t="s">
        <v>4410</v>
      </c>
      <c r="B12677" t="str">
        <f>HYPERLINK("https://lindat.mff.cuni.cz/services/teitok/pdtc10/index.php?action=vallex&amp;frame=v-w1694f3", "letět (v-w1694f3)")</f>
        <v>letět (v-w1694f3)</v>
      </c>
    </row>
    <row r="12678" spans="1:2" x14ac:dyDescent="0.2">
      <c r="B12678" t="s">
        <v>1</v>
      </c>
    </row>
    <row r="12680" spans="1:2" x14ac:dyDescent="0.2">
      <c r="A12680" t="s">
        <v>4411</v>
      </c>
      <c r="B12680" t="str">
        <f>HYPERLINK("https://lindat.mff.cuni.cz/services/teitok/pdtc10/index.php?action=vallex&amp;frame=v-w1694hsa_811", "letět (v-w1694hsa_811)")</f>
        <v>letět (v-w1694hsa_811)</v>
      </c>
    </row>
    <row r="12681" spans="1:2" x14ac:dyDescent="0.2">
      <c r="B12681" t="s">
        <v>1</v>
      </c>
    </row>
    <row r="12682" spans="1:2" x14ac:dyDescent="0.2">
      <c r="B12682" t="s">
        <v>90</v>
      </c>
    </row>
    <row r="12684" spans="1:2" x14ac:dyDescent="0.2">
      <c r="A12684" t="s">
        <v>4412</v>
      </c>
      <c r="B12684" t="str">
        <f>HYPERLINK("https://lindat.mff.cuni.cz/services/teitok/pdtc10/index.php?action=vallex&amp;frame=v-w1694f4_ZU", "letět (v-w1694f4_ZU)")</f>
        <v>letět (v-w1694f4_ZU)</v>
      </c>
    </row>
    <row r="12685" spans="1:2" x14ac:dyDescent="0.2">
      <c r="B12685" t="s">
        <v>1</v>
      </c>
    </row>
    <row r="12686" spans="1:2" x14ac:dyDescent="0.2">
      <c r="B12686" t="s">
        <v>4413</v>
      </c>
    </row>
    <row r="12688" spans="1:2" x14ac:dyDescent="0.2">
      <c r="A12688" t="s">
        <v>4414</v>
      </c>
      <c r="B12688" t="str">
        <f>HYPERLINK("https://lindat.mff.cuni.cz/services/teitok/pdtc10/index.php?action=vallex&amp;frame=v-w1694hsa_1755", "letět (v-w1694hsa_1755)")</f>
        <v>letět (v-w1694hsa_1755)</v>
      </c>
    </row>
    <row r="12689" spans="1:4" x14ac:dyDescent="0.2">
      <c r="B12689" t="s">
        <v>1</v>
      </c>
    </row>
    <row r="12691" spans="1:4" x14ac:dyDescent="0.2">
      <c r="A12691" t="s">
        <v>4415</v>
      </c>
      <c r="B12691" t="str">
        <f>HYPERLINK("https://lindat.mff.cuni.cz/services/teitok/pdtc10/index.php?action=vallex&amp;frame=v-w1694hsa_1756", "letět (v-w1694hsa_1756)")</f>
        <v>letět (v-w1694hsa_1756)</v>
      </c>
    </row>
    <row r="12692" spans="1:4" x14ac:dyDescent="0.2">
      <c r="B12692" t="s">
        <v>1</v>
      </c>
    </row>
    <row r="12694" spans="1:4" x14ac:dyDescent="0.2">
      <c r="A12694" t="s">
        <v>4416</v>
      </c>
      <c r="B12694" t="str">
        <f>HYPERLINK("https://lindat.mff.cuni.cz/services/teitok/pdtc10/index.php?action=vallex&amp;frame=v-w1694hsa_1757", "letět (v-w1694hsa_1757)")</f>
        <v>letět (v-w1694hsa_1757)</v>
      </c>
    </row>
    <row r="12695" spans="1:4" x14ac:dyDescent="0.2">
      <c r="B12695" t="s">
        <v>1</v>
      </c>
    </row>
    <row r="12696" spans="1:4" x14ac:dyDescent="0.2">
      <c r="B12696" t="s">
        <v>411</v>
      </c>
    </row>
    <row r="12698" spans="1:4" x14ac:dyDescent="0.2">
      <c r="A12698" t="s">
        <v>4417</v>
      </c>
      <c r="B12698" t="str">
        <f>HYPERLINK("https://lindat.mff.cuni.cz/services/teitok/pdtc10/index.php?action=vallex&amp;frame=v-w10599f3", "leštit (v-w10599f3)")</f>
        <v>leštit (v-w10599f3)</v>
      </c>
    </row>
    <row r="12699" spans="1:4" x14ac:dyDescent="0.2">
      <c r="B12699" t="s">
        <v>1</v>
      </c>
    </row>
    <row r="12700" spans="1:4" x14ac:dyDescent="0.2">
      <c r="B12700" t="s">
        <v>8</v>
      </c>
    </row>
    <row r="12702" spans="1:4" x14ac:dyDescent="0.2">
      <c r="A12702" t="s">
        <v>4418</v>
      </c>
      <c r="B12702" t="str">
        <f>HYPERLINK("https://lindat.mff.cuni.cz/services/teitok/pdtc10/index.php?action=vallex&amp;frame=v-w10599f2", "leštit (v-w10599f2)")</f>
        <v>leštit (v-w10599f2)</v>
      </c>
    </row>
    <row r="12703" spans="1:4" x14ac:dyDescent="0.2">
      <c r="B12703" t="s">
        <v>1</v>
      </c>
      <c r="D12703" t="s">
        <v>80</v>
      </c>
    </row>
    <row r="12704" spans="1:4" x14ac:dyDescent="0.2">
      <c r="B12704" t="s">
        <v>8</v>
      </c>
      <c r="D12704" t="s">
        <v>23455</v>
      </c>
    </row>
    <row r="12706" spans="1:4" x14ac:dyDescent="0.2">
      <c r="A12706" t="s">
        <v>4419</v>
      </c>
      <c r="B12706" t="str">
        <f>HYPERLINK("https://lindat.mff.cuni.cz/services/teitok/pdtc10/index.php?action=vallex&amp;frame=v-w1699f4", "ležet (v-w1699f4)")</f>
        <v>ležet (v-w1699f4)</v>
      </c>
    </row>
    <row r="12707" spans="1:4" x14ac:dyDescent="0.2">
      <c r="B12707" t="s">
        <v>1</v>
      </c>
    </row>
    <row r="12708" spans="1:4" x14ac:dyDescent="0.2">
      <c r="B12708" t="s">
        <v>161</v>
      </c>
    </row>
    <row r="12710" spans="1:4" x14ac:dyDescent="0.2">
      <c r="A12710" t="s">
        <v>4420</v>
      </c>
      <c r="B12710" t="str">
        <f>HYPERLINK("https://lindat.mff.cuni.cz/services/teitok/pdtc10/index.php?action=vallex&amp;frame=v-w1699f5", "ležet (v-w1699f5)")</f>
        <v>ležet (v-w1699f5)</v>
      </c>
    </row>
    <row r="12711" spans="1:4" x14ac:dyDescent="0.2">
      <c r="B12711" t="s">
        <v>1</v>
      </c>
      <c r="C12711" t="s">
        <v>4421</v>
      </c>
      <c r="D12711" t="s">
        <v>7870</v>
      </c>
    </row>
    <row r="12712" spans="1:4" x14ac:dyDescent="0.2">
      <c r="B12712" t="s">
        <v>290</v>
      </c>
      <c r="C12712" t="s">
        <v>2657</v>
      </c>
      <c r="D12712" t="s">
        <v>15039</v>
      </c>
    </row>
    <row r="12714" spans="1:4" x14ac:dyDescent="0.2">
      <c r="A12714" t="s">
        <v>4422</v>
      </c>
      <c r="B12714" t="str">
        <f>HYPERLINK("https://lindat.mff.cuni.cz/services/teitok/pdtc10/index.php?action=vallex&amp;frame=v-w1699f6", "ležet (v-w1699f6)")</f>
        <v>ležet (v-w1699f6)</v>
      </c>
    </row>
    <row r="12715" spans="1:4" x14ac:dyDescent="0.2">
      <c r="B12715" t="s">
        <v>1</v>
      </c>
    </row>
    <row r="12716" spans="1:4" x14ac:dyDescent="0.2">
      <c r="B12716" t="s">
        <v>2360</v>
      </c>
    </row>
    <row r="12718" spans="1:4" x14ac:dyDescent="0.2">
      <c r="A12718" t="s">
        <v>4423</v>
      </c>
      <c r="B12718" t="str">
        <f>HYPERLINK("https://lindat.mff.cuni.cz/services/teitok/pdtc10/index.php?action=vallex&amp;frame=v-w1699f11_ZU", "ležet (v-w1699f11_ZU)")</f>
        <v>ležet (v-w1699f11_ZU)</v>
      </c>
    </row>
    <row r="12719" spans="1:4" x14ac:dyDescent="0.2">
      <c r="B12719" t="s">
        <v>1</v>
      </c>
    </row>
    <row r="12720" spans="1:4" x14ac:dyDescent="0.2">
      <c r="B12720" t="s">
        <v>5</v>
      </c>
    </row>
    <row r="12722" spans="1:4" x14ac:dyDescent="0.2">
      <c r="A12722" t="s">
        <v>4423</v>
      </c>
      <c r="B12722" t="str">
        <f>HYPERLINK("https://lindat.mff.cuni.cz/services/teitok/pdtc10/index.php?action=vallex&amp;frame=v-w1699f1", "ležet (v-w1699f1) - substituted with v-w1699f11_ZU")</f>
        <v>ležet (v-w1699f1) - substituted with v-w1699f11_ZU</v>
      </c>
    </row>
    <row r="12723" spans="1:4" x14ac:dyDescent="0.2">
      <c r="B12723" t="s">
        <v>1</v>
      </c>
      <c r="C12723" t="s">
        <v>4424</v>
      </c>
      <c r="D12723" t="s">
        <v>23456</v>
      </c>
    </row>
    <row r="12724" spans="1:4" x14ac:dyDescent="0.2">
      <c r="B12724" t="s">
        <v>5</v>
      </c>
      <c r="C12724" t="s">
        <v>4425</v>
      </c>
      <c r="D12724" t="s">
        <v>23457</v>
      </c>
    </row>
    <row r="12726" spans="1:4" x14ac:dyDescent="0.2">
      <c r="A12726" t="s">
        <v>4423</v>
      </c>
      <c r="B12726" t="str">
        <f>HYPERLINK("https://lindat.mff.cuni.cz/services/teitok/pdtc10/index.php?action=vallex&amp;frame=v-w1699f10_ZU", "ležet (v-w1699f10_ZU) - substituted with v-w1699f11_ZU")</f>
        <v>ležet (v-w1699f10_ZU) - substituted with v-w1699f11_ZU</v>
      </c>
    </row>
    <row r="12727" spans="1:4" x14ac:dyDescent="0.2">
      <c r="B12727" t="s">
        <v>1</v>
      </c>
    </row>
    <row r="12728" spans="1:4" x14ac:dyDescent="0.2">
      <c r="B12728" t="s">
        <v>5</v>
      </c>
    </row>
    <row r="12730" spans="1:4" x14ac:dyDescent="0.2">
      <c r="A12730" t="s">
        <v>4426</v>
      </c>
      <c r="B12730" t="str">
        <f>HYPERLINK("https://lindat.mff.cuni.cz/services/teitok/pdtc10/index.php?action=vallex&amp;frame=v-w1699f7", "ležet (v-w1699f7)")</f>
        <v>ležet (v-w1699f7)</v>
      </c>
    </row>
    <row r="12731" spans="1:4" x14ac:dyDescent="0.2">
      <c r="B12731" t="s">
        <v>1</v>
      </c>
    </row>
    <row r="12732" spans="1:4" x14ac:dyDescent="0.2">
      <c r="B12732" t="s">
        <v>1924</v>
      </c>
    </row>
    <row r="12733" spans="1:4" x14ac:dyDescent="0.2">
      <c r="B12733" t="s">
        <v>205</v>
      </c>
    </row>
    <row r="12735" spans="1:4" x14ac:dyDescent="0.2">
      <c r="A12735" t="s">
        <v>4427</v>
      </c>
      <c r="B12735" t="str">
        <f>HYPERLINK("https://lindat.mff.cuni.cz/services/teitok/pdtc10/index.php?action=vallex&amp;frame=v-w1699f2", "ležet (v-w1699f2)")</f>
        <v>ležet (v-w1699f2)</v>
      </c>
    </row>
    <row r="12736" spans="1:4" x14ac:dyDescent="0.2">
      <c r="B12736" t="s">
        <v>1</v>
      </c>
      <c r="C12736" t="s">
        <v>147</v>
      </c>
    </row>
    <row r="12738" spans="1:3" x14ac:dyDescent="0.2">
      <c r="A12738" t="s">
        <v>4428</v>
      </c>
      <c r="B12738" t="str">
        <f>HYPERLINK("https://lindat.mff.cuni.cz/services/teitok/pdtc10/index.php?action=vallex&amp;frame=v-w1699f3", "ležet (v-w1699f3)")</f>
        <v>ležet (v-w1699f3)</v>
      </c>
    </row>
    <row r="12739" spans="1:3" x14ac:dyDescent="0.2">
      <c r="B12739" t="s">
        <v>1</v>
      </c>
    </row>
    <row r="12740" spans="1:3" x14ac:dyDescent="0.2">
      <c r="B12740" t="s">
        <v>4429</v>
      </c>
    </row>
    <row r="12742" spans="1:3" x14ac:dyDescent="0.2">
      <c r="A12742" t="s">
        <v>4430</v>
      </c>
      <c r="B12742" t="str">
        <f>HYPERLINK("https://lindat.mff.cuni.cz/services/teitok/pdtc10/index.php?action=vallex&amp;frame=v-w1699f8_ZU", "ležet (v-w1699f8_ZU)")</f>
        <v>ležet (v-w1699f8_ZU)</v>
      </c>
    </row>
    <row r="12743" spans="1:3" x14ac:dyDescent="0.2">
      <c r="B12743" t="s">
        <v>1</v>
      </c>
      <c r="C12743" t="s">
        <v>4431</v>
      </c>
    </row>
    <row r="12744" spans="1:3" x14ac:dyDescent="0.2">
      <c r="B12744" t="s">
        <v>4432</v>
      </c>
      <c r="C12744" t="s">
        <v>4433</v>
      </c>
    </row>
    <row r="12746" spans="1:3" x14ac:dyDescent="0.2">
      <c r="A12746" t="s">
        <v>4434</v>
      </c>
      <c r="B12746" t="str">
        <f>HYPERLINK("https://lindat.mff.cuni.cz/services/teitok/pdtc10/index.php?action=vallex&amp;frame=v-w1699f9_ZU", "ležet (v-w1699f9_ZU)")</f>
        <v>ležet (v-w1699f9_ZU)</v>
      </c>
    </row>
    <row r="12747" spans="1:3" x14ac:dyDescent="0.2">
      <c r="B12747" t="s">
        <v>1</v>
      </c>
    </row>
    <row r="12748" spans="1:3" x14ac:dyDescent="0.2">
      <c r="B12748" t="s">
        <v>4435</v>
      </c>
    </row>
    <row r="12750" spans="1:3" x14ac:dyDescent="0.2">
      <c r="A12750" t="s">
        <v>4434</v>
      </c>
      <c r="B12750" t="str">
        <f>HYPERLINK("https://lindat.mff.cuni.cz/services/teitok/pdtc10/index.php?action=vallex&amp;frame=v-w1699hsa_1082", "ležet (v-w1699hsa_1082) - substituted with v-w1699f9_ZU")</f>
        <v>ležet (v-w1699hsa_1082) - substituted with v-w1699f9_ZU</v>
      </c>
    </row>
    <row r="12751" spans="1:3" x14ac:dyDescent="0.2">
      <c r="B12751" t="s">
        <v>1</v>
      </c>
    </row>
    <row r="12752" spans="1:3" x14ac:dyDescent="0.2">
      <c r="B12752" t="s">
        <v>4435</v>
      </c>
    </row>
    <row r="12754" spans="1:4" x14ac:dyDescent="0.2">
      <c r="A12754" t="s">
        <v>4436</v>
      </c>
      <c r="B12754" t="str">
        <f>HYPERLINK("https://lindat.mff.cuni.cz/services/teitok/pdtc10/index.php?action=vallex&amp;frame=v-w1699f12_MM", "ležet (v-w1699f12_MM)")</f>
        <v>ležet (v-w1699f12_MM)</v>
      </c>
    </row>
    <row r="12755" spans="1:4" x14ac:dyDescent="0.2">
      <c r="B12755" t="s">
        <v>1</v>
      </c>
    </row>
    <row r="12756" spans="1:4" x14ac:dyDescent="0.2">
      <c r="B12756" t="s">
        <v>103</v>
      </c>
    </row>
    <row r="12757" spans="1:4" x14ac:dyDescent="0.2">
      <c r="B12757" t="s">
        <v>4437</v>
      </c>
    </row>
    <row r="12759" spans="1:4" x14ac:dyDescent="0.2">
      <c r="A12759" t="s">
        <v>4438</v>
      </c>
      <c r="B12759" t="str">
        <f>HYPERLINK("https://lindat.mff.cuni.cz/services/teitok/pdtc10/index.php?action=vallex&amp;frame=v-w1701f3", "lhát (v-w1701f3)")</f>
        <v>lhát (v-w1701f3)</v>
      </c>
    </row>
    <row r="12760" spans="1:4" x14ac:dyDescent="0.2">
      <c r="B12760" t="s">
        <v>1</v>
      </c>
      <c r="C12760" t="s">
        <v>430</v>
      </c>
      <c r="D12760" t="s">
        <v>33</v>
      </c>
    </row>
    <row r="12761" spans="1:4" x14ac:dyDescent="0.2">
      <c r="B12761" t="s">
        <v>4439</v>
      </c>
      <c r="C12761" t="s">
        <v>34</v>
      </c>
      <c r="D12761" t="s">
        <v>991</v>
      </c>
    </row>
    <row r="12762" spans="1:4" x14ac:dyDescent="0.2">
      <c r="B12762" t="s">
        <v>78</v>
      </c>
      <c r="C12762" t="s">
        <v>4440</v>
      </c>
    </row>
    <row r="12764" spans="1:4" x14ac:dyDescent="0.2">
      <c r="A12764" t="s">
        <v>4438</v>
      </c>
      <c r="B12764" t="str">
        <f>HYPERLINK("https://lindat.mff.cuni.cz/services/teitok/pdtc10/index.php?action=vallex&amp;frame=v-w1701f1", "lhát (v-w1701f1) - substituted with v-w1701f3")</f>
        <v>lhát (v-w1701f1) - substituted with v-w1701f3</v>
      </c>
    </row>
    <row r="12765" spans="1:4" x14ac:dyDescent="0.2">
      <c r="B12765" t="s">
        <v>1</v>
      </c>
      <c r="C12765" t="s">
        <v>430</v>
      </c>
    </row>
    <row r="12766" spans="1:4" x14ac:dyDescent="0.2">
      <c r="B12766" t="s">
        <v>4439</v>
      </c>
      <c r="C12766" t="s">
        <v>34</v>
      </c>
    </row>
    <row r="12767" spans="1:4" x14ac:dyDescent="0.2">
      <c r="B12767" t="s">
        <v>78</v>
      </c>
      <c r="C12767" t="s">
        <v>4440</v>
      </c>
    </row>
    <row r="12769" spans="1:4" x14ac:dyDescent="0.2">
      <c r="A12769" t="s">
        <v>4441</v>
      </c>
      <c r="B12769" t="str">
        <f>HYPERLINK("https://lindat.mff.cuni.cz/services/teitok/pdtc10/index.php?action=vallex&amp;frame=v-w1701f2", "lhát (v-w1701f2)")</f>
        <v>lhát (v-w1701f2)</v>
      </c>
    </row>
    <row r="12770" spans="1:4" x14ac:dyDescent="0.2">
      <c r="B12770" t="s">
        <v>1</v>
      </c>
    </row>
    <row r="12771" spans="1:4" x14ac:dyDescent="0.2">
      <c r="B12771" t="s">
        <v>4442</v>
      </c>
    </row>
    <row r="12773" spans="1:4" x14ac:dyDescent="0.2">
      <c r="A12773" t="s">
        <v>4443</v>
      </c>
      <c r="B12773" t="str">
        <f>HYPERLINK("https://lindat.mff.cuni.cz/services/teitok/pdtc10/index.php?action=vallex&amp;frame=v-w1706f1", "liberalizovat (v-w1706f1)")</f>
        <v>liberalizovat (v-w1706f1)</v>
      </c>
    </row>
    <row r="12774" spans="1:4" x14ac:dyDescent="0.2">
      <c r="B12774" t="s">
        <v>1</v>
      </c>
      <c r="C12774" t="s">
        <v>133</v>
      </c>
      <c r="D12774" t="s">
        <v>430</v>
      </c>
    </row>
    <row r="12775" spans="1:4" x14ac:dyDescent="0.2">
      <c r="B12775" t="s">
        <v>8</v>
      </c>
      <c r="C12775" t="s">
        <v>54</v>
      </c>
      <c r="D12775" t="s">
        <v>3773</v>
      </c>
    </row>
    <row r="12777" spans="1:4" x14ac:dyDescent="0.2">
      <c r="A12777" t="s">
        <v>4444</v>
      </c>
      <c r="B12777" t="str">
        <f>HYPERLINK("https://lindat.mff.cuni.cz/services/teitok/pdtc10/index.php?action=vallex&amp;frame=v-w1708hsa_1451", "libovat si (v-w1708hsa_1451)")</f>
        <v>libovat si (v-w1708hsa_1451)</v>
      </c>
    </row>
    <row r="12778" spans="1:4" x14ac:dyDescent="0.2">
      <c r="B12778" t="s">
        <v>1</v>
      </c>
    </row>
    <row r="12779" spans="1:4" x14ac:dyDescent="0.2">
      <c r="B12779" t="s">
        <v>4445</v>
      </c>
    </row>
    <row r="12781" spans="1:4" x14ac:dyDescent="0.2">
      <c r="A12781" t="s">
        <v>4444</v>
      </c>
      <c r="B12781" t="str">
        <f>HYPERLINK("https://lindat.mff.cuni.cz/services/teitok/pdtc10/index.php?action=vallex&amp;frame=v-w1708f1", "libovat si (v-w1708f1) - substituted with v-w1708hsa_1451")</f>
        <v>libovat si (v-w1708f1) - substituted with v-w1708hsa_1451</v>
      </c>
    </row>
    <row r="12782" spans="1:4" x14ac:dyDescent="0.2">
      <c r="B12782" t="s">
        <v>1</v>
      </c>
      <c r="C12782" t="s">
        <v>140</v>
      </c>
      <c r="D12782" t="s">
        <v>2400</v>
      </c>
    </row>
    <row r="12783" spans="1:4" x14ac:dyDescent="0.2">
      <c r="B12783" t="s">
        <v>4445</v>
      </c>
      <c r="C12783" t="s">
        <v>113</v>
      </c>
      <c r="D12783" t="s">
        <v>23178</v>
      </c>
    </row>
    <row r="12785" spans="1:4" x14ac:dyDescent="0.2">
      <c r="A12785" t="s">
        <v>4446</v>
      </c>
      <c r="B12785" t="str">
        <f>HYPERLINK("https://lindat.mff.cuni.cz/services/teitok/pdtc10/index.php?action=vallex&amp;frame=v-w10717f2", "licencovat (v-w10717f2)")</f>
        <v>licencovat (v-w10717f2)</v>
      </c>
    </row>
    <row r="12786" spans="1:4" x14ac:dyDescent="0.2">
      <c r="B12786" t="s">
        <v>1</v>
      </c>
      <c r="C12786" t="s">
        <v>4447</v>
      </c>
      <c r="D12786" t="s">
        <v>23458</v>
      </c>
    </row>
    <row r="12787" spans="1:4" x14ac:dyDescent="0.2">
      <c r="B12787" t="s">
        <v>8</v>
      </c>
      <c r="C12787" t="s">
        <v>354</v>
      </c>
      <c r="D12787" t="s">
        <v>2240</v>
      </c>
    </row>
    <row r="12789" spans="1:4" x14ac:dyDescent="0.2">
      <c r="A12789" t="s">
        <v>4448</v>
      </c>
      <c r="B12789" t="str">
        <f>HYPERLINK("https://lindat.mff.cuni.cz/services/teitok/pdtc10/index.php?action=vallex&amp;frame=v-w1713f1", "lichotit (v-w1713f1)")</f>
        <v>lichotit (v-w1713f1)</v>
      </c>
    </row>
    <row r="12790" spans="1:4" x14ac:dyDescent="0.2">
      <c r="B12790" t="s">
        <v>1</v>
      </c>
    </row>
    <row r="12791" spans="1:4" x14ac:dyDescent="0.2">
      <c r="B12791" t="s">
        <v>103</v>
      </c>
    </row>
    <row r="12793" spans="1:4" x14ac:dyDescent="0.2">
      <c r="A12793" t="s">
        <v>4449</v>
      </c>
      <c r="B12793" t="str">
        <f>HYPERLINK("https://lindat.mff.cuni.cz/services/teitok/pdtc10/index.php?action=vallex&amp;frame=v-w10535f2", "licitovat (v-w10535f2)")</f>
        <v>licitovat (v-w10535f2)</v>
      </c>
    </row>
    <row r="12794" spans="1:4" x14ac:dyDescent="0.2">
      <c r="B12794" t="s">
        <v>1</v>
      </c>
    </row>
    <row r="12795" spans="1:4" x14ac:dyDescent="0.2">
      <c r="B12795" t="s">
        <v>1509</v>
      </c>
    </row>
    <row r="12796" spans="1:4" x14ac:dyDescent="0.2">
      <c r="B12796" t="s">
        <v>153</v>
      </c>
    </row>
    <row r="12798" spans="1:4" x14ac:dyDescent="0.2">
      <c r="A12798" t="s">
        <v>4450</v>
      </c>
      <c r="B12798" t="str">
        <f>HYPERLINK("https://lindat.mff.cuni.cz/services/teitok/pdtc10/index.php?action=vallex&amp;frame=v-w10535f3", "licitovat (v-w10535f3)")</f>
        <v>licitovat (v-w10535f3)</v>
      </c>
    </row>
    <row r="12799" spans="1:4" x14ac:dyDescent="0.2">
      <c r="B12799" t="s">
        <v>1</v>
      </c>
    </row>
    <row r="12800" spans="1:4" x14ac:dyDescent="0.2">
      <c r="B12800" t="s">
        <v>8</v>
      </c>
    </row>
    <row r="12802" spans="1:4" x14ac:dyDescent="0.2">
      <c r="A12802" t="s">
        <v>4451</v>
      </c>
      <c r="B12802" t="str">
        <f>HYPERLINK("https://lindat.mff.cuni.cz/services/teitok/pdtc10/index.php?action=vallex&amp;frame=v-w1716f1", "likvidovat (v-w1716f1)")</f>
        <v>likvidovat (v-w1716f1)</v>
      </c>
    </row>
    <row r="12803" spans="1:4" x14ac:dyDescent="0.2">
      <c r="B12803" t="s">
        <v>1</v>
      </c>
      <c r="C12803" t="s">
        <v>340</v>
      </c>
      <c r="D12803" t="s">
        <v>23088</v>
      </c>
    </row>
    <row r="12804" spans="1:4" x14ac:dyDescent="0.2">
      <c r="B12804" t="s">
        <v>8</v>
      </c>
      <c r="C12804" t="s">
        <v>4452</v>
      </c>
      <c r="D12804" t="s">
        <v>986</v>
      </c>
    </row>
    <row r="12806" spans="1:4" x14ac:dyDescent="0.2">
      <c r="A12806" t="s">
        <v>4453</v>
      </c>
      <c r="B12806" t="str">
        <f>HYPERLINK("https://lindat.mff.cuni.cz/services/teitok/pdtc10/index.php?action=vallex&amp;frame=v-w1717f1", "limitovat (v-w1717f1)")</f>
        <v>limitovat (v-w1717f1)</v>
      </c>
    </row>
    <row r="12807" spans="1:4" x14ac:dyDescent="0.2">
      <c r="B12807" t="s">
        <v>1</v>
      </c>
      <c r="D12807" t="s">
        <v>2125</v>
      </c>
    </row>
    <row r="12808" spans="1:4" x14ac:dyDescent="0.2">
      <c r="B12808" t="s">
        <v>8</v>
      </c>
      <c r="D12808" t="s">
        <v>23459</v>
      </c>
    </row>
    <row r="12809" spans="1:4" x14ac:dyDescent="0.2">
      <c r="B12809" t="s">
        <v>61</v>
      </c>
      <c r="D12809" t="s">
        <v>6778</v>
      </c>
    </row>
    <row r="12811" spans="1:4" x14ac:dyDescent="0.2">
      <c r="A12811" t="s">
        <v>4454</v>
      </c>
      <c r="B12811" t="str">
        <f>HYPERLINK("https://lindat.mff.cuni.cz/services/teitok/pdtc10/index.php?action=vallex&amp;frame=v-w1719f1", "linout se (v-w1719f1)")</f>
        <v>linout se (v-w1719f1)</v>
      </c>
    </row>
    <row r="12812" spans="1:4" x14ac:dyDescent="0.2">
      <c r="B12812" t="s">
        <v>1</v>
      </c>
    </row>
    <row r="12814" spans="1:4" x14ac:dyDescent="0.2">
      <c r="A12814" t="s">
        <v>4455</v>
      </c>
      <c r="B12814" t="str">
        <f>HYPERLINK("https://lindat.mff.cuni.cz/services/teitok/pdtc10/index.php?action=vallex&amp;frame=v-whsb_134hsa_135", "lisovat (v-whsb_134hsa_135)")</f>
        <v>lisovat (v-whsb_134hsa_135)</v>
      </c>
    </row>
    <row r="12815" spans="1:4" x14ac:dyDescent="0.2">
      <c r="B12815" t="s">
        <v>1</v>
      </c>
    </row>
    <row r="12816" spans="1:4" x14ac:dyDescent="0.2">
      <c r="B12816" t="s">
        <v>8</v>
      </c>
    </row>
    <row r="12818" spans="1:4" x14ac:dyDescent="0.2">
      <c r="A12818" t="s">
        <v>4456</v>
      </c>
      <c r="B12818" t="str">
        <f>HYPERLINK("https://lindat.mff.cuni.cz/services/teitok/pdtc10/index.php?action=vallex&amp;frame=v-w1725f1", "listovat (v-w1725f1)")</f>
        <v>listovat (v-w1725f1)</v>
      </c>
    </row>
    <row r="12819" spans="1:4" x14ac:dyDescent="0.2">
      <c r="B12819" t="s">
        <v>1</v>
      </c>
      <c r="C12819" t="s">
        <v>133</v>
      </c>
    </row>
    <row r="12820" spans="1:4" x14ac:dyDescent="0.2">
      <c r="B12820" t="s">
        <v>158</v>
      </c>
      <c r="C12820" t="s">
        <v>34</v>
      </c>
    </row>
    <row r="12822" spans="1:4" x14ac:dyDescent="0.2">
      <c r="A12822" t="s">
        <v>4457</v>
      </c>
      <c r="B12822" t="str">
        <f>HYPERLINK("https://lindat.mff.cuni.cz/services/teitok/pdtc10/index.php?action=vallex&amp;frame=v-w1732f1", "litovat (v-w1732f1)")</f>
        <v>litovat (v-w1732f1)</v>
      </c>
    </row>
    <row r="12823" spans="1:4" x14ac:dyDescent="0.2">
      <c r="B12823" t="s">
        <v>1</v>
      </c>
      <c r="C12823" t="s">
        <v>2571</v>
      </c>
      <c r="D12823" t="s">
        <v>990</v>
      </c>
    </row>
    <row r="12824" spans="1:4" x14ac:dyDescent="0.2">
      <c r="B12824" t="s">
        <v>2230</v>
      </c>
      <c r="C12824" t="s">
        <v>1798</v>
      </c>
      <c r="D12824" t="s">
        <v>335</v>
      </c>
    </row>
    <row r="12826" spans="1:4" x14ac:dyDescent="0.2">
      <c r="A12826" t="s">
        <v>4458</v>
      </c>
      <c r="B12826" t="str">
        <f>HYPERLINK("https://lindat.mff.cuni.cz/services/teitok/pdtc10/index.php?action=vallex&amp;frame=v-w1732f2", "litovat (v-w1732f2)")</f>
        <v>litovat (v-w1732f2)</v>
      </c>
    </row>
    <row r="12827" spans="1:4" x14ac:dyDescent="0.2">
      <c r="B12827" t="s">
        <v>1</v>
      </c>
    </row>
    <row r="12828" spans="1:4" x14ac:dyDescent="0.2">
      <c r="B12828" t="s">
        <v>8</v>
      </c>
    </row>
    <row r="12830" spans="1:4" x14ac:dyDescent="0.2">
      <c r="A12830" t="s">
        <v>4459</v>
      </c>
      <c r="B12830" t="str">
        <f>HYPERLINK("https://lindat.mff.cuni.cz/services/teitok/pdtc10/index.php?action=vallex&amp;frame=v-w1728f1", "lišit (v-w1728f1)")</f>
        <v>lišit (v-w1728f1)</v>
      </c>
    </row>
    <row r="12831" spans="1:4" x14ac:dyDescent="0.2">
      <c r="B12831" t="s">
        <v>1</v>
      </c>
    </row>
    <row r="12832" spans="1:4" x14ac:dyDescent="0.2">
      <c r="B12832" t="s">
        <v>8</v>
      </c>
    </row>
    <row r="12833" spans="1:4" x14ac:dyDescent="0.2">
      <c r="B12833" t="s">
        <v>1334</v>
      </c>
    </row>
    <row r="12835" spans="1:4" x14ac:dyDescent="0.2">
      <c r="A12835" t="s">
        <v>4460</v>
      </c>
      <c r="B12835" t="str">
        <f>HYPERLINK("https://lindat.mff.cuni.cz/services/teitok/pdtc10/index.php?action=vallex&amp;frame=v-w1729hsa_623", "lišit se (v-w1729hsa_623)")</f>
        <v>lišit se (v-w1729hsa_623)</v>
      </c>
    </row>
    <row r="12836" spans="1:4" x14ac:dyDescent="0.2">
      <c r="B12836" t="s">
        <v>1</v>
      </c>
      <c r="D12836" t="s">
        <v>23420</v>
      </c>
    </row>
    <row r="12837" spans="1:4" x14ac:dyDescent="0.2">
      <c r="B12837" t="s">
        <v>4461</v>
      </c>
      <c r="D12837" t="s">
        <v>23421</v>
      </c>
    </row>
    <row r="12839" spans="1:4" x14ac:dyDescent="0.2">
      <c r="A12839" t="s">
        <v>4460</v>
      </c>
      <c r="B12839" t="str">
        <f>HYPERLINK("https://lindat.mff.cuni.cz/services/teitok/pdtc10/index.php?action=vallex&amp;frame=v-w1729f1", "lišit se (v-w1729f1) - substituted with v-w1729hsa_623")</f>
        <v>lišit se (v-w1729f1) - substituted with v-w1729hsa_623</v>
      </c>
    </row>
    <row r="12840" spans="1:4" x14ac:dyDescent="0.2">
      <c r="B12840" t="s">
        <v>1</v>
      </c>
      <c r="C12840" t="s">
        <v>4462</v>
      </c>
    </row>
    <row r="12841" spans="1:4" x14ac:dyDescent="0.2">
      <c r="B12841" t="s">
        <v>4461</v>
      </c>
      <c r="C12841" t="s">
        <v>4463</v>
      </c>
    </row>
    <row r="12843" spans="1:4" x14ac:dyDescent="0.2">
      <c r="A12843" t="s">
        <v>4464</v>
      </c>
      <c r="B12843" t="str">
        <f>HYPERLINK("https://lindat.mff.cuni.cz/services/teitok/pdtc10/index.php?action=vallex&amp;frame=v-w10156f2", "lkát (v-w10156f2)")</f>
        <v>lkát (v-w10156f2)</v>
      </c>
    </row>
    <row r="12844" spans="1:4" x14ac:dyDescent="0.2">
      <c r="B12844" t="s">
        <v>1</v>
      </c>
    </row>
    <row r="12845" spans="1:4" x14ac:dyDescent="0.2">
      <c r="B12845" t="s">
        <v>4465</v>
      </c>
    </row>
    <row r="12847" spans="1:4" x14ac:dyDescent="0.2">
      <c r="A12847" t="s">
        <v>4466</v>
      </c>
      <c r="B12847" t="str">
        <f>HYPERLINK("https://lindat.mff.cuni.cz/services/teitok/pdtc10/index.php?action=vallex&amp;frame=v-w10156f3", "lkát (v-w10156f3)")</f>
        <v>lkát (v-w10156f3)</v>
      </c>
    </row>
    <row r="12848" spans="1:4" x14ac:dyDescent="0.2">
      <c r="B12848" t="s">
        <v>1</v>
      </c>
      <c r="C12848" t="s">
        <v>140</v>
      </c>
    </row>
    <row r="12850" spans="1:4" x14ac:dyDescent="0.2">
      <c r="A12850" t="s">
        <v>4467</v>
      </c>
      <c r="B12850" t="str">
        <f>HYPERLINK("https://lindat.mff.cuni.cz/services/teitok/pdtc10/index.php?action=vallex&amp;frame=v-w1734f2", "lnout (v-w1734f2)")</f>
        <v>lnout (v-w1734f2)</v>
      </c>
    </row>
    <row r="12851" spans="1:4" x14ac:dyDescent="0.2">
      <c r="B12851" t="s">
        <v>1</v>
      </c>
    </row>
    <row r="12852" spans="1:4" x14ac:dyDescent="0.2">
      <c r="B12852" t="s">
        <v>176</v>
      </c>
    </row>
    <row r="12854" spans="1:4" x14ac:dyDescent="0.2">
      <c r="A12854" t="s">
        <v>4468</v>
      </c>
      <c r="B12854" t="str">
        <f>HYPERLINK("https://lindat.mff.cuni.cz/services/teitok/pdtc10/index.php?action=vallex&amp;frame=v-w1734f1", "lnout (v-w1734f1)")</f>
        <v>lnout (v-w1734f1)</v>
      </c>
    </row>
    <row r="12855" spans="1:4" x14ac:dyDescent="0.2">
      <c r="B12855" t="s">
        <v>1</v>
      </c>
    </row>
    <row r="12856" spans="1:4" x14ac:dyDescent="0.2">
      <c r="B12856" t="s">
        <v>90</v>
      </c>
    </row>
    <row r="12858" spans="1:4" x14ac:dyDescent="0.2">
      <c r="A12858" t="s">
        <v>4469</v>
      </c>
      <c r="B12858" t="str">
        <f>HYPERLINK("https://lindat.mff.cuni.cz/services/teitok/pdtc10/index.php?action=vallex&amp;frame=v-w1736f2", "lobbovat (v-w1736f2)")</f>
        <v>lobbovat (v-w1736f2)</v>
      </c>
    </row>
    <row r="12859" spans="1:4" x14ac:dyDescent="0.2">
      <c r="B12859" t="s">
        <v>1</v>
      </c>
      <c r="C12859" t="s">
        <v>4470</v>
      </c>
      <c r="D12859" t="s">
        <v>23055</v>
      </c>
    </row>
    <row r="12861" spans="1:4" x14ac:dyDescent="0.2">
      <c r="A12861" t="s">
        <v>4469</v>
      </c>
      <c r="B12861" t="str">
        <f>HYPERLINK("https://lindat.mff.cuni.cz/services/teitok/pdtc10/index.php?action=vallex&amp;frame=v-w1736f1", "lobbovat (v-w1736f1) - substituted with v-w1736f2")</f>
        <v>lobbovat (v-w1736f1) - substituted with v-w1736f2</v>
      </c>
    </row>
    <row r="12862" spans="1:4" x14ac:dyDescent="0.2">
      <c r="B12862" t="s">
        <v>1</v>
      </c>
    </row>
    <row r="12864" spans="1:4" x14ac:dyDescent="0.2">
      <c r="A12864" t="s">
        <v>4471</v>
      </c>
      <c r="B12864" t="str">
        <f>HYPERLINK("https://lindat.mff.cuni.cz/services/teitok/pdtc10/index.php?action=vallex&amp;frame=v-w1736hsa_227", "lobbovat (v-w1736hsa_227)")</f>
        <v>lobbovat (v-w1736hsa_227)</v>
      </c>
    </row>
    <row r="12865" spans="1:4" x14ac:dyDescent="0.2">
      <c r="B12865" t="s">
        <v>1</v>
      </c>
      <c r="C12865" t="s">
        <v>4470</v>
      </c>
      <c r="D12865" t="s">
        <v>23055</v>
      </c>
    </row>
    <row r="12866" spans="1:4" x14ac:dyDescent="0.2">
      <c r="B12866" t="s">
        <v>4472</v>
      </c>
      <c r="C12866" t="s">
        <v>4473</v>
      </c>
      <c r="D12866" t="s">
        <v>23056</v>
      </c>
    </row>
    <row r="12868" spans="1:4" x14ac:dyDescent="0.2">
      <c r="A12868" t="s">
        <v>4474</v>
      </c>
      <c r="B12868" t="str">
        <f>HYPERLINK("https://lindat.mff.cuni.cz/services/teitok/pdtc10/index.php?action=vallex&amp;frame=v-w10859f4", "lobovat (v-w10859f4)")</f>
        <v>lobovat (v-w10859f4)</v>
      </c>
    </row>
    <row r="12869" spans="1:4" x14ac:dyDescent="0.2">
      <c r="B12869" t="s">
        <v>1</v>
      </c>
      <c r="C12869" t="s">
        <v>4475</v>
      </c>
      <c r="D12869" t="s">
        <v>23055</v>
      </c>
    </row>
    <row r="12870" spans="1:4" x14ac:dyDescent="0.2">
      <c r="B12870" t="s">
        <v>1382</v>
      </c>
      <c r="C12870" t="s">
        <v>4476</v>
      </c>
      <c r="D12870" t="s">
        <v>23056</v>
      </c>
    </row>
    <row r="12872" spans="1:4" x14ac:dyDescent="0.2">
      <c r="A12872" t="s">
        <v>4477</v>
      </c>
      <c r="B12872" t="str">
        <f>HYPERLINK("https://lindat.mff.cuni.cz/services/teitok/pdtc10/index.php?action=vallex&amp;frame=v-w1737f3", "lokalizovat (v-w1737f3)")</f>
        <v>lokalizovat (v-w1737f3)</v>
      </c>
    </row>
    <row r="12873" spans="1:4" x14ac:dyDescent="0.2">
      <c r="B12873" t="s">
        <v>1</v>
      </c>
      <c r="C12873" t="s">
        <v>186</v>
      </c>
      <c r="D12873" t="s">
        <v>23181</v>
      </c>
    </row>
    <row r="12874" spans="1:4" x14ac:dyDescent="0.2">
      <c r="B12874" t="s">
        <v>8</v>
      </c>
      <c r="C12874" t="s">
        <v>4478</v>
      </c>
      <c r="D12874" t="s">
        <v>23182</v>
      </c>
    </row>
    <row r="12875" spans="1:4" x14ac:dyDescent="0.2">
      <c r="B12875" t="s">
        <v>5</v>
      </c>
      <c r="C12875" t="s">
        <v>4479</v>
      </c>
      <c r="D12875" t="s">
        <v>15735</v>
      </c>
    </row>
    <row r="12877" spans="1:4" x14ac:dyDescent="0.2">
      <c r="A12877" t="s">
        <v>4480</v>
      </c>
      <c r="B12877" t="str">
        <f>HYPERLINK("https://lindat.mff.cuni.cz/services/teitok/pdtc10/index.php?action=vallex&amp;frame=v-w1737f1", "lokalizovat (v-w1737f1)")</f>
        <v>lokalizovat (v-w1737f1)</v>
      </c>
    </row>
    <row r="12878" spans="1:4" x14ac:dyDescent="0.2">
      <c r="B12878" t="s">
        <v>1</v>
      </c>
    </row>
    <row r="12879" spans="1:4" x14ac:dyDescent="0.2">
      <c r="B12879" t="s">
        <v>8</v>
      </c>
    </row>
    <row r="12880" spans="1:4" x14ac:dyDescent="0.2">
      <c r="B12880" t="s">
        <v>90</v>
      </c>
    </row>
    <row r="12882" spans="1:2" x14ac:dyDescent="0.2">
      <c r="A12882" t="s">
        <v>4481</v>
      </c>
      <c r="B12882" t="str">
        <f>HYPERLINK("https://lindat.mff.cuni.cz/services/teitok/pdtc10/index.php?action=vallex&amp;frame=v-w1737f4", "lokalizovat (v-w1737f4)")</f>
        <v>lokalizovat (v-w1737f4)</v>
      </c>
    </row>
    <row r="12883" spans="1:2" x14ac:dyDescent="0.2">
      <c r="B12883" t="s">
        <v>1</v>
      </c>
    </row>
    <row r="12884" spans="1:2" x14ac:dyDescent="0.2">
      <c r="B12884" t="s">
        <v>172</v>
      </c>
    </row>
    <row r="12886" spans="1:2" x14ac:dyDescent="0.2">
      <c r="A12886" t="s">
        <v>4482</v>
      </c>
      <c r="B12886" t="str">
        <f>HYPERLINK("https://lindat.mff.cuni.cz/services/teitok/pdtc10/index.php?action=vallex&amp;frame=v-w1737f2", "lokalizovat (v-w1737f2)")</f>
        <v>lokalizovat (v-w1737f2)</v>
      </c>
    </row>
    <row r="12887" spans="1:2" x14ac:dyDescent="0.2">
      <c r="B12887" t="s">
        <v>1</v>
      </c>
    </row>
    <row r="12888" spans="1:2" x14ac:dyDescent="0.2">
      <c r="B12888" t="s">
        <v>8</v>
      </c>
    </row>
    <row r="12890" spans="1:2" x14ac:dyDescent="0.2">
      <c r="A12890" t="s">
        <v>4483</v>
      </c>
      <c r="B12890" t="str">
        <f>HYPERLINK("https://lindat.mff.cuni.cz/services/teitok/pdtc10/index.php?action=vallex&amp;frame=v-w12190_ZUf1_ZU", "loknout si (v-w12190_ZUf1_ZU)")</f>
        <v>loknout si (v-w12190_ZUf1_ZU)</v>
      </c>
    </row>
    <row r="12891" spans="1:2" x14ac:dyDescent="0.2">
      <c r="B12891" t="s">
        <v>1</v>
      </c>
    </row>
    <row r="12892" spans="1:2" x14ac:dyDescent="0.2">
      <c r="B12892" t="s">
        <v>917</v>
      </c>
    </row>
    <row r="12894" spans="1:2" x14ac:dyDescent="0.2">
      <c r="A12894" t="s">
        <v>4484</v>
      </c>
      <c r="B12894" t="str">
        <f>HYPERLINK("https://lindat.mff.cuni.cz/services/teitok/pdtc10/index.php?action=vallex&amp;frame=v-w1738f1", "lomcovat (v-w1738f1)")</f>
        <v>lomcovat (v-w1738f1)</v>
      </c>
    </row>
    <row r="12895" spans="1:2" x14ac:dyDescent="0.2">
      <c r="B12895" t="s">
        <v>1</v>
      </c>
    </row>
    <row r="12896" spans="1:2" x14ac:dyDescent="0.2">
      <c r="B12896" t="s">
        <v>3215</v>
      </c>
    </row>
    <row r="12898" spans="1:3" x14ac:dyDescent="0.2">
      <c r="A12898" t="s">
        <v>4485</v>
      </c>
      <c r="B12898" t="str">
        <f>HYPERLINK("https://lindat.mff.cuni.cz/services/teitok/pdtc10/index.php?action=vallex&amp;frame=v-w11095f4_ZU", "lomit (v-w11095f4_ZU)")</f>
        <v>lomit (v-w11095f4_ZU)</v>
      </c>
    </row>
    <row r="12899" spans="1:3" x14ac:dyDescent="0.2">
      <c r="B12899" t="s">
        <v>1</v>
      </c>
    </row>
    <row r="12900" spans="1:3" x14ac:dyDescent="0.2">
      <c r="B12900" t="s">
        <v>4486</v>
      </c>
      <c r="C12900" t="s">
        <v>397</v>
      </c>
    </row>
    <row r="12901" spans="1:3" x14ac:dyDescent="0.2">
      <c r="B12901" t="s">
        <v>3091</v>
      </c>
    </row>
    <row r="12903" spans="1:3" x14ac:dyDescent="0.2">
      <c r="A12903" t="s">
        <v>4485</v>
      </c>
      <c r="B12903" t="str">
        <f>HYPERLINK("https://lindat.mff.cuni.cz/services/teitok/pdtc10/index.php?action=vallex&amp;frame=v-w11095f3", "lomit (v-w11095f3) - substituted with v-w11095f4_ZU")</f>
        <v>lomit (v-w11095f3) - substituted with v-w11095f4_ZU</v>
      </c>
    </row>
    <row r="12904" spans="1:3" x14ac:dyDescent="0.2">
      <c r="B12904" t="s">
        <v>1</v>
      </c>
    </row>
    <row r="12905" spans="1:3" x14ac:dyDescent="0.2">
      <c r="B12905" t="s">
        <v>4486</v>
      </c>
    </row>
    <row r="12906" spans="1:3" x14ac:dyDescent="0.2">
      <c r="B12906" t="s">
        <v>3091</v>
      </c>
    </row>
    <row r="12908" spans="1:3" x14ac:dyDescent="0.2">
      <c r="A12908" t="s">
        <v>4485</v>
      </c>
      <c r="B12908" t="str">
        <f>HYPERLINK("https://lindat.mff.cuni.cz/services/teitok/pdtc10/index.php?action=vallex&amp;frame=v-w11095hsa_1002", "lomit (v-w11095hsa_1002) - substituted with v-w11095f4_ZU")</f>
        <v>lomit (v-w11095hsa_1002) - substituted with v-w11095f4_ZU</v>
      </c>
    </row>
    <row r="12909" spans="1:3" x14ac:dyDescent="0.2">
      <c r="B12909" t="s">
        <v>1</v>
      </c>
    </row>
    <row r="12910" spans="1:3" x14ac:dyDescent="0.2">
      <c r="B12910" t="s">
        <v>4486</v>
      </c>
    </row>
    <row r="12911" spans="1:3" x14ac:dyDescent="0.2">
      <c r="B12911" t="s">
        <v>3091</v>
      </c>
    </row>
    <row r="12913" spans="1:2" x14ac:dyDescent="0.2">
      <c r="A12913" t="s">
        <v>4487</v>
      </c>
      <c r="B12913" t="str">
        <f>HYPERLINK("https://lindat.mff.cuni.cz/services/teitok/pdtc10/index.php?action=vallex&amp;frame=v-w1740f1", "losovat (v-w1740f1)")</f>
        <v>losovat (v-w1740f1)</v>
      </c>
    </row>
    <row r="12914" spans="1:2" x14ac:dyDescent="0.2">
      <c r="B12914" t="s">
        <v>1</v>
      </c>
    </row>
    <row r="12915" spans="1:2" x14ac:dyDescent="0.2">
      <c r="B12915" t="s">
        <v>8</v>
      </c>
    </row>
    <row r="12917" spans="1:2" x14ac:dyDescent="0.2">
      <c r="A12917" t="s">
        <v>4488</v>
      </c>
      <c r="B12917" t="str">
        <f>HYPERLINK("https://lindat.mff.cuni.cz/services/teitok/pdtc10/index.php?action=vallex&amp;frame=v-w11707_ZUf1_ZU", "loupat (v-w11707_ZUf1_ZU)")</f>
        <v>loupat (v-w11707_ZUf1_ZU)</v>
      </c>
    </row>
    <row r="12918" spans="1:2" x14ac:dyDescent="0.2">
      <c r="B12918" t="s">
        <v>1</v>
      </c>
    </row>
    <row r="12919" spans="1:2" x14ac:dyDescent="0.2">
      <c r="B12919" t="s">
        <v>8</v>
      </c>
    </row>
    <row r="12921" spans="1:2" x14ac:dyDescent="0.2">
      <c r="A12921" t="s">
        <v>4489</v>
      </c>
      <c r="B12921" t="str">
        <f>HYPERLINK("https://lindat.mff.cuni.cz/services/teitok/pdtc10/index.php?action=vallex&amp;frame=v-w1743f2", "loupit (v-w1743f2)")</f>
        <v>loupit (v-w1743f2)</v>
      </c>
    </row>
    <row r="12922" spans="1:2" x14ac:dyDescent="0.2">
      <c r="B12922" t="s">
        <v>1</v>
      </c>
    </row>
    <row r="12923" spans="1:2" x14ac:dyDescent="0.2">
      <c r="B12923" t="s">
        <v>8</v>
      </c>
    </row>
    <row r="12925" spans="1:2" x14ac:dyDescent="0.2">
      <c r="A12925" t="s">
        <v>4490</v>
      </c>
      <c r="B12925" t="str">
        <f>HYPERLINK("https://lindat.mff.cuni.cz/services/teitok/pdtc10/index.php?action=vallex&amp;frame=v-w1743f1", "loupit (v-w1743f1)")</f>
        <v>loupit (v-w1743f1)</v>
      </c>
    </row>
    <row r="12926" spans="1:2" x14ac:dyDescent="0.2">
      <c r="B12926" t="s">
        <v>1</v>
      </c>
    </row>
    <row r="12928" spans="1:2" x14ac:dyDescent="0.2">
      <c r="A12928" t="s">
        <v>4491</v>
      </c>
      <c r="B12928" t="str">
        <f>HYPERLINK("https://lindat.mff.cuni.cz/services/teitok/pdtc10/index.php?action=vallex&amp;frame=v-w1744f1", "loutkařit (v-w1744f1)")</f>
        <v>loutkařit (v-w1744f1)</v>
      </c>
    </row>
    <row r="12929" spans="1:3" x14ac:dyDescent="0.2">
      <c r="B12929" t="s">
        <v>1</v>
      </c>
    </row>
    <row r="12931" spans="1:3" x14ac:dyDescent="0.2">
      <c r="A12931" t="s">
        <v>4492</v>
      </c>
      <c r="B12931" t="str">
        <f>HYPERLINK("https://lindat.mff.cuni.cz/services/teitok/pdtc10/index.php?action=vallex&amp;frame=v-w1741f1", "loučit se (v-w1741f1)")</f>
        <v>loučit se (v-w1741f1)</v>
      </c>
    </row>
    <row r="12932" spans="1:3" x14ac:dyDescent="0.2">
      <c r="B12932" t="s">
        <v>1</v>
      </c>
    </row>
    <row r="12933" spans="1:3" x14ac:dyDescent="0.2">
      <c r="B12933" t="s">
        <v>411</v>
      </c>
    </row>
    <row r="12935" spans="1:3" x14ac:dyDescent="0.2">
      <c r="A12935" t="s">
        <v>4493</v>
      </c>
      <c r="B12935" t="str">
        <f>HYPERLINK("https://lindat.mff.cuni.cz/services/teitok/pdtc10/index.php?action=vallex&amp;frame=v-w1746f1", "lovit (v-w1746f1)")</f>
        <v>lovit (v-w1746f1)</v>
      </c>
    </row>
    <row r="12936" spans="1:3" x14ac:dyDescent="0.2">
      <c r="B12936" t="s">
        <v>1</v>
      </c>
      <c r="C12936" t="s">
        <v>1680</v>
      </c>
    </row>
    <row r="12937" spans="1:3" x14ac:dyDescent="0.2">
      <c r="B12937" t="s">
        <v>8</v>
      </c>
      <c r="C12937" t="s">
        <v>4494</v>
      </c>
    </row>
    <row r="12939" spans="1:3" x14ac:dyDescent="0.2">
      <c r="A12939" t="s">
        <v>4495</v>
      </c>
      <c r="B12939" t="str">
        <f>HYPERLINK("https://lindat.mff.cuni.cz/services/teitok/pdtc10/index.php?action=vallex&amp;frame=v-w1746f3_ZU", "lovit (v-w1746f3_ZU)")</f>
        <v>lovit (v-w1746f3_ZU)</v>
      </c>
    </row>
    <row r="12940" spans="1:3" x14ac:dyDescent="0.2">
      <c r="B12940" t="s">
        <v>1</v>
      </c>
    </row>
    <row r="12941" spans="1:3" x14ac:dyDescent="0.2">
      <c r="B12941" t="s">
        <v>8</v>
      </c>
    </row>
    <row r="12943" spans="1:3" x14ac:dyDescent="0.2">
      <c r="A12943" t="s">
        <v>4495</v>
      </c>
      <c r="B12943" t="str">
        <f>HYPERLINK("https://lindat.mff.cuni.cz/services/teitok/pdtc10/index.php?action=vallex&amp;frame=v-w1746f2_ZU", "lovit (v-w1746f2_ZU) - substituted with v-w1746f3_ZU")</f>
        <v>lovit (v-w1746f2_ZU) - substituted with v-w1746f3_ZU</v>
      </c>
    </row>
    <row r="12944" spans="1:3" x14ac:dyDescent="0.2">
      <c r="B12944" t="s">
        <v>1</v>
      </c>
    </row>
    <row r="12945" spans="1:4" x14ac:dyDescent="0.2">
      <c r="B12945" t="s">
        <v>8</v>
      </c>
    </row>
    <row r="12947" spans="1:4" x14ac:dyDescent="0.2">
      <c r="A12947" t="s">
        <v>4495</v>
      </c>
      <c r="B12947" t="str">
        <f>HYPERLINK("https://lindat.mff.cuni.cz/services/teitok/pdtc10/index.php?action=vallex&amp;frame=v-w1746hsa_462", "lovit (v-w1746hsa_462) - substituted with v-w1746f3_ZU")</f>
        <v>lovit (v-w1746hsa_462) - substituted with v-w1746f3_ZU</v>
      </c>
    </row>
    <row r="12948" spans="1:4" x14ac:dyDescent="0.2">
      <c r="B12948" t="s">
        <v>1</v>
      </c>
    </row>
    <row r="12949" spans="1:4" x14ac:dyDescent="0.2">
      <c r="B12949" t="s">
        <v>8</v>
      </c>
    </row>
    <row r="12951" spans="1:4" x14ac:dyDescent="0.2">
      <c r="A12951" t="s">
        <v>4496</v>
      </c>
      <c r="B12951" t="str">
        <f>HYPERLINK("https://lindat.mff.cuni.cz/services/teitok/pdtc10/index.php?action=vallex&amp;frame=v-w1746f4_ZU", "lovit (v-w1746f4_ZU)")</f>
        <v>lovit (v-w1746f4_ZU)</v>
      </c>
    </row>
    <row r="12952" spans="1:4" x14ac:dyDescent="0.2">
      <c r="B12952" t="s">
        <v>1</v>
      </c>
    </row>
    <row r="12953" spans="1:4" x14ac:dyDescent="0.2">
      <c r="B12953" t="s">
        <v>8</v>
      </c>
    </row>
    <row r="12955" spans="1:4" x14ac:dyDescent="0.2">
      <c r="A12955" t="s">
        <v>4497</v>
      </c>
      <c r="B12955" t="str">
        <f>HYPERLINK("https://lindat.mff.cuni.cz/services/teitok/pdtc10/index.php?action=vallex&amp;frame=v-w1748f1", "lpět (v-w1748f1)")</f>
        <v>lpět (v-w1748f1)</v>
      </c>
    </row>
    <row r="12956" spans="1:4" x14ac:dyDescent="0.2">
      <c r="B12956" t="s">
        <v>1</v>
      </c>
      <c r="C12956" t="s">
        <v>140</v>
      </c>
      <c r="D12956" t="s">
        <v>13030</v>
      </c>
    </row>
    <row r="12957" spans="1:4" x14ac:dyDescent="0.2">
      <c r="B12957" t="s">
        <v>161</v>
      </c>
      <c r="C12957" t="s">
        <v>34</v>
      </c>
      <c r="D12957" t="s">
        <v>23406</v>
      </c>
    </row>
    <row r="12959" spans="1:4" x14ac:dyDescent="0.2">
      <c r="A12959" t="s">
        <v>4498</v>
      </c>
      <c r="B12959" t="str">
        <f>HYPERLINK("https://lindat.mff.cuni.cz/services/teitok/pdtc10/index.php?action=vallex&amp;frame=v-w1748f2", "lpět (v-w1748f2)")</f>
        <v>lpět (v-w1748f2)</v>
      </c>
    </row>
    <row r="12960" spans="1:4" x14ac:dyDescent="0.2">
      <c r="B12960" t="s">
        <v>1</v>
      </c>
    </row>
    <row r="12961" spans="1:2" x14ac:dyDescent="0.2">
      <c r="B12961" t="s">
        <v>5</v>
      </c>
    </row>
    <row r="12963" spans="1:2" x14ac:dyDescent="0.2">
      <c r="A12963" t="s">
        <v>4499</v>
      </c>
      <c r="B12963" t="str">
        <f>HYPERLINK("https://lindat.mff.cuni.cz/services/teitok/pdtc10/index.php?action=vallex&amp;frame=v-w1751f1", "lustrovat (v-w1751f1)")</f>
        <v>lustrovat (v-w1751f1)</v>
      </c>
    </row>
    <row r="12964" spans="1:2" x14ac:dyDescent="0.2">
      <c r="B12964" t="s">
        <v>1</v>
      </c>
    </row>
    <row r="12965" spans="1:2" x14ac:dyDescent="0.2">
      <c r="B12965" t="s">
        <v>8</v>
      </c>
    </row>
    <row r="12967" spans="1:2" x14ac:dyDescent="0.2">
      <c r="A12967" t="s">
        <v>4500</v>
      </c>
      <c r="B12967" t="str">
        <f>HYPERLINK("https://lindat.mff.cuni.cz/services/teitok/pdtc10/index.php?action=vallex&amp;frame=v-w1753f1", "luxovat (v-w1753f1)")</f>
        <v>luxovat (v-w1753f1)</v>
      </c>
    </row>
    <row r="12968" spans="1:2" x14ac:dyDescent="0.2">
      <c r="B12968" t="s">
        <v>1</v>
      </c>
    </row>
    <row r="12969" spans="1:2" x14ac:dyDescent="0.2">
      <c r="B12969" t="s">
        <v>8</v>
      </c>
    </row>
    <row r="12970" spans="1:2" x14ac:dyDescent="0.2">
      <c r="B12970" t="s">
        <v>321</v>
      </c>
    </row>
    <row r="12972" spans="1:2" x14ac:dyDescent="0.2">
      <c r="A12972" t="s">
        <v>4501</v>
      </c>
      <c r="B12972" t="str">
        <f>HYPERLINK("https://lindat.mff.cuni.cz/services/teitok/pdtc10/index.php?action=vallex&amp;frame=v-w12388_MMf1_MM", "luštit (v-w12388_MMf1_MM)")</f>
        <v>luštit (v-w12388_MMf1_MM)</v>
      </c>
    </row>
    <row r="12973" spans="1:2" x14ac:dyDescent="0.2">
      <c r="B12973" t="s">
        <v>1</v>
      </c>
    </row>
    <row r="12974" spans="1:2" x14ac:dyDescent="0.2">
      <c r="B12974" t="s">
        <v>8</v>
      </c>
    </row>
    <row r="12976" spans="1:2" x14ac:dyDescent="0.2">
      <c r="A12976" t="s">
        <v>4502</v>
      </c>
      <c r="B12976" t="str">
        <f>HYPERLINK("https://lindat.mff.cuni.cz/services/teitok/pdtc10/index.php?action=vallex&amp;frame=v-w1756f1", "lyžovat (v-w1756f1)")</f>
        <v>lyžovat (v-w1756f1)</v>
      </c>
    </row>
    <row r="12977" spans="1:4" x14ac:dyDescent="0.2">
      <c r="B12977" t="s">
        <v>1</v>
      </c>
      <c r="C12977" t="s">
        <v>140</v>
      </c>
      <c r="D12977" t="s">
        <v>140</v>
      </c>
    </row>
    <row r="12979" spans="1:4" x14ac:dyDescent="0.2">
      <c r="A12979" t="s">
        <v>4503</v>
      </c>
      <c r="B12979" t="str">
        <f>HYPERLINK("https://lindat.mff.cuni.cz/services/teitok/pdtc10/index.php?action=vallex&amp;frame=v-w1757f2_ZU", "lze (v-w1757f2_ZU)")</f>
        <v>lze (v-w1757f2_ZU)</v>
      </c>
    </row>
    <row r="12980" spans="1:4" x14ac:dyDescent="0.2">
      <c r="B12980" t="s">
        <v>4504</v>
      </c>
    </row>
    <row r="12982" spans="1:4" x14ac:dyDescent="0.2">
      <c r="A12982" t="s">
        <v>4503</v>
      </c>
      <c r="B12982" t="str">
        <f>HYPERLINK("https://lindat.mff.cuni.cz/services/teitok/pdtc10/index.php?action=vallex&amp;frame=v-w1757f1", "lze (v-w1757f1) - substituted with v-w1757f2_ZU")</f>
        <v>lze (v-w1757f1) - substituted with v-w1757f2_ZU</v>
      </c>
    </row>
    <row r="12983" spans="1:4" x14ac:dyDescent="0.2">
      <c r="B12983" t="s">
        <v>4504</v>
      </c>
      <c r="C12983" t="s">
        <v>4505</v>
      </c>
    </row>
    <row r="12985" spans="1:4" x14ac:dyDescent="0.2">
      <c r="A12985" t="s">
        <v>4506</v>
      </c>
      <c r="B12985" t="str">
        <f>HYPERLINK("https://lindat.mff.cuni.cz/services/teitok/pdtc10/index.php?action=vallex&amp;frame=v-w1658f1", "ládovat (v-w1658f1)")</f>
        <v>ládovat (v-w1658f1)</v>
      </c>
    </row>
    <row r="12986" spans="1:4" x14ac:dyDescent="0.2">
      <c r="B12986" t="s">
        <v>1</v>
      </c>
    </row>
    <row r="12987" spans="1:4" x14ac:dyDescent="0.2">
      <c r="B12987" t="s">
        <v>8</v>
      </c>
    </row>
    <row r="12989" spans="1:4" x14ac:dyDescent="0.2">
      <c r="A12989" t="s">
        <v>4507</v>
      </c>
      <c r="B12989" t="str">
        <f>HYPERLINK("https://lindat.mff.cuni.cz/services/teitok/pdtc10/index.php?action=vallex&amp;frame=v-w1660f1", "lákat (v-w1660f1)")</f>
        <v>lákat (v-w1660f1)</v>
      </c>
    </row>
    <row r="12990" spans="1:4" x14ac:dyDescent="0.2">
      <c r="B12990" t="s">
        <v>196</v>
      </c>
      <c r="C12990" t="s">
        <v>4508</v>
      </c>
    </row>
    <row r="12991" spans="1:4" x14ac:dyDescent="0.2">
      <c r="B12991" t="s">
        <v>8</v>
      </c>
      <c r="C12991" t="s">
        <v>4509</v>
      </c>
    </row>
    <row r="12993" spans="1:4" x14ac:dyDescent="0.2">
      <c r="A12993" t="s">
        <v>4510</v>
      </c>
      <c r="B12993" t="str">
        <f>HYPERLINK("https://lindat.mff.cuni.cz/services/teitok/pdtc10/index.php?action=vallex&amp;frame=v-w1660hsa_881", "lákat (v-w1660hsa_881)")</f>
        <v>lákat (v-w1660hsa_881)</v>
      </c>
    </row>
    <row r="12994" spans="1:4" x14ac:dyDescent="0.2">
      <c r="B12994" t="s">
        <v>1</v>
      </c>
    </row>
    <row r="12995" spans="1:4" x14ac:dyDescent="0.2">
      <c r="B12995" t="s">
        <v>58</v>
      </c>
    </row>
    <row r="12996" spans="1:4" x14ac:dyDescent="0.2">
      <c r="B12996" t="s">
        <v>4511</v>
      </c>
    </row>
    <row r="12998" spans="1:4" x14ac:dyDescent="0.2">
      <c r="A12998" t="s">
        <v>4510</v>
      </c>
      <c r="B12998" t="str">
        <f>HYPERLINK("https://lindat.mff.cuni.cz/services/teitok/pdtc10/index.php?action=vallex&amp;frame=v-w1660f2", "lákat (v-w1660f2) - substituted with v-w1660hsa_881")</f>
        <v>lákat (v-w1660f2) - substituted with v-w1660hsa_881</v>
      </c>
    </row>
    <row r="12999" spans="1:4" x14ac:dyDescent="0.2">
      <c r="B12999" t="s">
        <v>1</v>
      </c>
      <c r="C12999" t="s">
        <v>1065</v>
      </c>
      <c r="D12999" t="s">
        <v>23460</v>
      </c>
    </row>
    <row r="13000" spans="1:4" x14ac:dyDescent="0.2">
      <c r="B13000" t="s">
        <v>58</v>
      </c>
      <c r="C13000" t="s">
        <v>4512</v>
      </c>
      <c r="D13000" t="s">
        <v>23461</v>
      </c>
    </row>
    <row r="13001" spans="1:4" x14ac:dyDescent="0.2">
      <c r="B13001" t="s">
        <v>4511</v>
      </c>
      <c r="D13001" t="s">
        <v>23462</v>
      </c>
    </row>
    <row r="13003" spans="1:4" x14ac:dyDescent="0.2">
      <c r="A13003" t="s">
        <v>4513</v>
      </c>
      <c r="B13003" t="str">
        <f>HYPERLINK("https://lindat.mff.cuni.cz/services/teitok/pdtc10/index.php?action=vallex&amp;frame=v-w1661f1", "lámat (v-w1661f1)")</f>
        <v>lámat (v-w1661f1)</v>
      </c>
    </row>
    <row r="13004" spans="1:4" x14ac:dyDescent="0.2">
      <c r="B13004" t="s">
        <v>1</v>
      </c>
    </row>
    <row r="13005" spans="1:4" x14ac:dyDescent="0.2">
      <c r="B13005" t="s">
        <v>8</v>
      </c>
    </row>
    <row r="13006" spans="1:4" x14ac:dyDescent="0.2">
      <c r="B13006" t="s">
        <v>2334</v>
      </c>
    </row>
    <row r="13008" spans="1:4" x14ac:dyDescent="0.2">
      <c r="A13008" t="s">
        <v>4514</v>
      </c>
      <c r="B13008" t="str">
        <f>HYPERLINK("https://lindat.mff.cuni.cz/services/teitok/pdtc10/index.php?action=vallex&amp;frame=v-w1661f2", "lámat (v-w1661f2)")</f>
        <v>lámat (v-w1661f2)</v>
      </c>
    </row>
    <row r="13009" spans="1:4" x14ac:dyDescent="0.2">
      <c r="B13009" t="s">
        <v>1</v>
      </c>
    </row>
    <row r="13010" spans="1:4" x14ac:dyDescent="0.2">
      <c r="B13010" t="s">
        <v>4515</v>
      </c>
    </row>
    <row r="13011" spans="1:4" x14ac:dyDescent="0.2">
      <c r="B13011" t="s">
        <v>164</v>
      </c>
    </row>
    <row r="13013" spans="1:4" x14ac:dyDescent="0.2">
      <c r="A13013" t="s">
        <v>4516</v>
      </c>
      <c r="B13013" t="str">
        <f>HYPERLINK("https://lindat.mff.cuni.cz/services/teitok/pdtc10/index.php?action=vallex&amp;frame=v-w1661f3", "lámat (v-w1661f3)")</f>
        <v>lámat (v-w1661f3)</v>
      </c>
    </row>
    <row r="13014" spans="1:4" x14ac:dyDescent="0.2">
      <c r="B13014" t="s">
        <v>1</v>
      </c>
    </row>
    <row r="13015" spans="1:4" x14ac:dyDescent="0.2">
      <c r="B13015" t="s">
        <v>4517</v>
      </c>
    </row>
    <row r="13016" spans="1:4" x14ac:dyDescent="0.2">
      <c r="B13016" t="s">
        <v>8</v>
      </c>
    </row>
    <row r="13018" spans="1:4" x14ac:dyDescent="0.2">
      <c r="A13018" t="s">
        <v>4518</v>
      </c>
      <c r="B13018" t="str">
        <f>HYPERLINK("https://lindat.mff.cuni.cz/services/teitok/pdtc10/index.php?action=vallex&amp;frame=v-w1661f4_ZU", "lámat (v-w1661f4_ZU)")</f>
        <v>lámat (v-w1661f4_ZU)</v>
      </c>
    </row>
    <row r="13019" spans="1:4" x14ac:dyDescent="0.2">
      <c r="B13019" t="s">
        <v>1</v>
      </c>
      <c r="C13019" t="s">
        <v>2353</v>
      </c>
      <c r="D13019" t="s">
        <v>2353</v>
      </c>
    </row>
    <row r="13020" spans="1:4" x14ac:dyDescent="0.2">
      <c r="B13020" t="s">
        <v>4519</v>
      </c>
      <c r="C13020" t="s">
        <v>4520</v>
      </c>
    </row>
    <row r="13022" spans="1:4" x14ac:dyDescent="0.2">
      <c r="A13022" t="s">
        <v>4521</v>
      </c>
      <c r="B13022" t="str">
        <f>HYPERLINK("https://lindat.mff.cuni.cz/services/teitok/pdtc10/index.php?action=vallex&amp;frame=v-w1661f5_ZU", "lámat (v-w1661f5_ZU)")</f>
        <v>lámat (v-w1661f5_ZU)</v>
      </c>
    </row>
    <row r="13023" spans="1:4" x14ac:dyDescent="0.2">
      <c r="B13023" t="s">
        <v>1</v>
      </c>
    </row>
    <row r="13024" spans="1:4" x14ac:dyDescent="0.2">
      <c r="B13024" t="s">
        <v>8</v>
      </c>
    </row>
    <row r="13026" spans="1:4" x14ac:dyDescent="0.2">
      <c r="A13026" t="s">
        <v>4522</v>
      </c>
      <c r="B13026" t="str">
        <f>HYPERLINK("https://lindat.mff.cuni.cz/services/teitok/pdtc10/index.php?action=vallex&amp;frame=v-w1661hsa_212", "lámat (v-w1661hsa_212)")</f>
        <v>lámat (v-w1661hsa_212)</v>
      </c>
    </row>
    <row r="13027" spans="1:4" x14ac:dyDescent="0.2">
      <c r="B13027" t="s">
        <v>1</v>
      </c>
    </row>
    <row r="13028" spans="1:4" x14ac:dyDescent="0.2">
      <c r="B13028" t="s">
        <v>8</v>
      </c>
    </row>
    <row r="13030" spans="1:4" x14ac:dyDescent="0.2">
      <c r="A13030" t="s">
        <v>4523</v>
      </c>
      <c r="B13030" t="str">
        <f>HYPERLINK("https://lindat.mff.cuni.cz/services/teitok/pdtc10/index.php?action=vallex&amp;frame=v-w1662f1", "lámat se (v-w1662f1)")</f>
        <v>lámat se (v-w1662f1)</v>
      </c>
    </row>
    <row r="13031" spans="1:4" x14ac:dyDescent="0.2">
      <c r="B13031" t="s">
        <v>1</v>
      </c>
    </row>
    <row r="13032" spans="1:4" x14ac:dyDescent="0.2">
      <c r="B13032" t="s">
        <v>4524</v>
      </c>
    </row>
    <row r="13033" spans="1:4" x14ac:dyDescent="0.2">
      <c r="B13033" t="s">
        <v>24</v>
      </c>
    </row>
    <row r="13035" spans="1:4" x14ac:dyDescent="0.2">
      <c r="A13035" t="s">
        <v>4525</v>
      </c>
      <c r="B13035" t="str">
        <f>HYPERLINK("https://lindat.mff.cuni.cz/services/teitok/pdtc10/index.php?action=vallex&amp;frame=v-w1663hsa_958", "lámat si (v-w1663hsa_958)")</f>
        <v>lámat si (v-w1663hsa_958)</v>
      </c>
    </row>
    <row r="13036" spans="1:4" x14ac:dyDescent="0.2">
      <c r="B13036" t="s">
        <v>1</v>
      </c>
      <c r="C13036" t="s">
        <v>4110</v>
      </c>
      <c r="D13036" t="s">
        <v>23014</v>
      </c>
    </row>
    <row r="13037" spans="1:4" x14ac:dyDescent="0.2">
      <c r="B13037" t="s">
        <v>4526</v>
      </c>
    </row>
    <row r="13038" spans="1:4" x14ac:dyDescent="0.2">
      <c r="B13038" t="s">
        <v>4527</v>
      </c>
      <c r="C13038" t="s">
        <v>1529</v>
      </c>
      <c r="D13038" t="s">
        <v>23015</v>
      </c>
    </row>
    <row r="13040" spans="1:4" x14ac:dyDescent="0.2">
      <c r="A13040" t="s">
        <v>4525</v>
      </c>
      <c r="B13040" t="str">
        <f>HYPERLINK("https://lindat.mff.cuni.cz/services/teitok/pdtc10/index.php?action=vallex&amp;frame=v-w1663f1", "lámat si (v-w1663f1) - substituted with v-w1663hsa_958")</f>
        <v>lámat si (v-w1663f1) - substituted with v-w1663hsa_958</v>
      </c>
    </row>
    <row r="13041" spans="1:4" x14ac:dyDescent="0.2">
      <c r="B13041" t="s">
        <v>1</v>
      </c>
    </row>
    <row r="13042" spans="1:4" x14ac:dyDescent="0.2">
      <c r="B13042" t="s">
        <v>4526</v>
      </c>
    </row>
    <row r="13043" spans="1:4" x14ac:dyDescent="0.2">
      <c r="B13043" t="s">
        <v>4527</v>
      </c>
    </row>
    <row r="13045" spans="1:4" x14ac:dyDescent="0.2">
      <c r="A13045" t="s">
        <v>4528</v>
      </c>
      <c r="B13045" t="str">
        <f>HYPERLINK("https://lindat.mff.cuni.cz/services/teitok/pdtc10/index.php?action=vallex&amp;frame=v-w1693f1", "létat (v-w1693f1)")</f>
        <v>létat (v-w1693f1)</v>
      </c>
    </row>
    <row r="13046" spans="1:4" x14ac:dyDescent="0.2">
      <c r="B13046" t="s">
        <v>1</v>
      </c>
      <c r="C13046" t="s">
        <v>4529</v>
      </c>
    </row>
    <row r="13048" spans="1:4" x14ac:dyDescent="0.2">
      <c r="A13048" t="s">
        <v>4530</v>
      </c>
      <c r="B13048" t="str">
        <f>HYPERLINK("https://lindat.mff.cuni.cz/services/teitok/pdtc10/index.php?action=vallex&amp;frame=v-w1693f2", "létat (v-w1693f2)")</f>
        <v>létat (v-w1693f2)</v>
      </c>
    </row>
    <row r="13049" spans="1:4" x14ac:dyDescent="0.2">
      <c r="B13049" t="s">
        <v>1</v>
      </c>
      <c r="C13049" t="s">
        <v>4531</v>
      </c>
      <c r="D13049" t="s">
        <v>23454</v>
      </c>
    </row>
    <row r="13051" spans="1:4" x14ac:dyDescent="0.2">
      <c r="A13051" t="s">
        <v>4532</v>
      </c>
      <c r="B13051" t="str">
        <f>HYPERLINK("https://lindat.mff.cuni.cz/services/teitok/pdtc10/index.php?action=vallex&amp;frame=v-w1693f3_ZU", "létat (v-w1693f3_ZU)")</f>
        <v>létat (v-w1693f3_ZU)</v>
      </c>
    </row>
    <row r="13052" spans="1:4" x14ac:dyDescent="0.2">
      <c r="B13052" t="s">
        <v>1</v>
      </c>
      <c r="C13052" t="s">
        <v>4529</v>
      </c>
    </row>
    <row r="13054" spans="1:4" x14ac:dyDescent="0.2">
      <c r="A13054" t="s">
        <v>4533</v>
      </c>
      <c r="B13054" t="str">
        <f>HYPERLINK("https://lindat.mff.cuni.cz/services/teitok/pdtc10/index.php?action=vallex&amp;frame=v-w1693hsa_1025", "létat (v-w1693hsa_1025)")</f>
        <v>létat (v-w1693hsa_1025)</v>
      </c>
    </row>
    <row r="13055" spans="1:4" x14ac:dyDescent="0.2">
      <c r="B13055" t="s">
        <v>1</v>
      </c>
      <c r="C13055" t="s">
        <v>4529</v>
      </c>
    </row>
    <row r="13056" spans="1:4" x14ac:dyDescent="0.2">
      <c r="B13056" t="s">
        <v>8</v>
      </c>
    </row>
    <row r="13058" spans="1:2" x14ac:dyDescent="0.2">
      <c r="A13058" t="s">
        <v>4534</v>
      </c>
      <c r="B13058" t="str">
        <f>HYPERLINK("https://lindat.mff.cuni.cz/services/teitok/pdtc10/index.php?action=vallex&amp;frame=v-w1693hsa_1883", "létat (v-w1693hsa_1883)")</f>
        <v>létat (v-w1693hsa_1883)</v>
      </c>
    </row>
    <row r="13059" spans="1:2" x14ac:dyDescent="0.2">
      <c r="B13059" t="s">
        <v>1</v>
      </c>
    </row>
    <row r="13061" spans="1:2" x14ac:dyDescent="0.2">
      <c r="A13061" t="s">
        <v>4535</v>
      </c>
      <c r="B13061" t="str">
        <f>HYPERLINK("https://lindat.mff.cuni.cz/services/teitok/pdtc10/index.php?action=vallex&amp;frame=v-w1693hsa_1884", "létat (v-w1693hsa_1884)")</f>
        <v>létat (v-w1693hsa_1884)</v>
      </c>
    </row>
    <row r="13062" spans="1:2" x14ac:dyDescent="0.2">
      <c r="B13062" t="s">
        <v>1</v>
      </c>
    </row>
    <row r="13063" spans="1:2" x14ac:dyDescent="0.2">
      <c r="B13063" t="s">
        <v>411</v>
      </c>
    </row>
    <row r="13065" spans="1:2" x14ac:dyDescent="0.2">
      <c r="A13065" t="s">
        <v>4536</v>
      </c>
      <c r="B13065" t="str">
        <f>HYPERLINK("https://lindat.mff.cuni.cz/services/teitok/pdtc10/index.php?action=vallex&amp;frame=v-w1697f1", "lézt (v-w1697f1)")</f>
        <v>lézt (v-w1697f1)</v>
      </c>
    </row>
    <row r="13066" spans="1:2" x14ac:dyDescent="0.2">
      <c r="B13066" t="s">
        <v>1</v>
      </c>
    </row>
    <row r="13067" spans="1:2" x14ac:dyDescent="0.2">
      <c r="B13067" t="s">
        <v>90</v>
      </c>
    </row>
    <row r="13069" spans="1:2" x14ac:dyDescent="0.2">
      <c r="A13069" t="s">
        <v>4537</v>
      </c>
      <c r="B13069" t="str">
        <f>HYPERLINK("https://lindat.mff.cuni.cz/services/teitok/pdtc10/index.php?action=vallex&amp;frame=v-w1697f4", "lézt (v-w1697f4)")</f>
        <v>lézt (v-w1697f4)</v>
      </c>
    </row>
    <row r="13070" spans="1:2" x14ac:dyDescent="0.2">
      <c r="B13070" t="s">
        <v>1</v>
      </c>
    </row>
    <row r="13072" spans="1:2" x14ac:dyDescent="0.2">
      <c r="A13072" t="s">
        <v>4538</v>
      </c>
      <c r="B13072" t="str">
        <f>HYPERLINK("https://lindat.mff.cuni.cz/services/teitok/pdtc10/index.php?action=vallex&amp;frame=v-w1697f2", "lézt (v-w1697f2)")</f>
        <v>lézt (v-w1697f2)</v>
      </c>
    </row>
    <row r="13073" spans="1:4" x14ac:dyDescent="0.2">
      <c r="B13073" t="s">
        <v>1</v>
      </c>
    </row>
    <row r="13074" spans="1:4" x14ac:dyDescent="0.2">
      <c r="B13074" t="s">
        <v>4539</v>
      </c>
    </row>
    <row r="13075" spans="1:4" x14ac:dyDescent="0.2">
      <c r="B13075" t="s">
        <v>103</v>
      </c>
    </row>
    <row r="13077" spans="1:4" x14ac:dyDescent="0.2">
      <c r="A13077" t="s">
        <v>4540</v>
      </c>
      <c r="B13077" t="str">
        <f>HYPERLINK("https://lindat.mff.cuni.cz/services/teitok/pdtc10/index.php?action=vallex&amp;frame=v-w1697f3", "lézt (v-w1697f3)")</f>
        <v>lézt (v-w1697f3)</v>
      </c>
    </row>
    <row r="13078" spans="1:4" x14ac:dyDescent="0.2">
      <c r="B13078" t="s">
        <v>1</v>
      </c>
    </row>
    <row r="13079" spans="1:4" x14ac:dyDescent="0.2">
      <c r="B13079" t="s">
        <v>874</v>
      </c>
    </row>
    <row r="13080" spans="1:4" x14ac:dyDescent="0.2">
      <c r="B13080" t="s">
        <v>103</v>
      </c>
    </row>
    <row r="13082" spans="1:4" x14ac:dyDescent="0.2">
      <c r="A13082" t="s">
        <v>4541</v>
      </c>
      <c r="B13082" t="str">
        <f>HYPERLINK("https://lindat.mff.cuni.cz/services/teitok/pdtc10/index.php?action=vallex&amp;frame=v-w1697hsa_963", "lézt (v-w1697hsa_963)")</f>
        <v>lézt (v-w1697hsa_963)</v>
      </c>
    </row>
    <row r="13083" spans="1:4" x14ac:dyDescent="0.2">
      <c r="B13083" t="s">
        <v>1</v>
      </c>
    </row>
    <row r="13085" spans="1:4" x14ac:dyDescent="0.2">
      <c r="A13085" t="s">
        <v>4542</v>
      </c>
      <c r="B13085" t="str">
        <f>HYPERLINK("https://lindat.mff.cuni.cz/services/teitok/pdtc10/index.php?action=vallex&amp;frame=v-w1671f1", "léčit (v-w1671f1)")</f>
        <v>léčit (v-w1671f1)</v>
      </c>
    </row>
    <row r="13086" spans="1:4" x14ac:dyDescent="0.2">
      <c r="B13086" t="s">
        <v>1</v>
      </c>
      <c r="C13086" t="s">
        <v>4543</v>
      </c>
      <c r="D13086" t="s">
        <v>23463</v>
      </c>
    </row>
    <row r="13087" spans="1:4" x14ac:dyDescent="0.2">
      <c r="B13087" t="s">
        <v>8</v>
      </c>
      <c r="C13087" t="s">
        <v>4544</v>
      </c>
      <c r="D13087" t="s">
        <v>23464</v>
      </c>
    </row>
    <row r="13089" spans="1:4" x14ac:dyDescent="0.2">
      <c r="A13089" t="s">
        <v>4545</v>
      </c>
      <c r="B13089" t="str">
        <f>HYPERLINK("https://lindat.mff.cuni.cz/services/teitok/pdtc10/index.php?action=vallex&amp;frame=v-w1671f2", "léčit (v-w1671f2)")</f>
        <v>léčit (v-w1671f2)</v>
      </c>
    </row>
    <row r="13090" spans="1:4" x14ac:dyDescent="0.2">
      <c r="B13090" t="s">
        <v>1</v>
      </c>
      <c r="C13090" t="s">
        <v>33</v>
      </c>
      <c r="D13090" t="s">
        <v>33</v>
      </c>
    </row>
    <row r="13091" spans="1:4" x14ac:dyDescent="0.2">
      <c r="B13091" t="s">
        <v>58</v>
      </c>
      <c r="C13091" t="s">
        <v>4546</v>
      </c>
      <c r="D13091" t="s">
        <v>4546</v>
      </c>
    </row>
    <row r="13092" spans="1:4" x14ac:dyDescent="0.2">
      <c r="B13092" t="s">
        <v>438</v>
      </c>
      <c r="C13092" t="s">
        <v>3156</v>
      </c>
      <c r="D13092" t="s">
        <v>3156</v>
      </c>
    </row>
    <row r="13094" spans="1:4" x14ac:dyDescent="0.2">
      <c r="A13094" t="s">
        <v>4547</v>
      </c>
      <c r="B13094" t="str">
        <f>HYPERLINK("https://lindat.mff.cuni.cz/services/teitok/pdtc10/index.php?action=vallex&amp;frame=v-whsa_1045hsa_1046", "léčit se (v-whsa_1045hsa_1046)")</f>
        <v>léčit se (v-whsa_1045hsa_1046)</v>
      </c>
    </row>
    <row r="13095" spans="1:4" x14ac:dyDescent="0.2">
      <c r="B13095" t="s">
        <v>1</v>
      </c>
    </row>
    <row r="13096" spans="1:4" x14ac:dyDescent="0.2">
      <c r="B13096" t="s">
        <v>4548</v>
      </c>
    </row>
    <row r="13098" spans="1:4" x14ac:dyDescent="0.2">
      <c r="A13098" t="s">
        <v>4549</v>
      </c>
      <c r="B13098" t="str">
        <f>HYPERLINK("https://lindat.mff.cuni.cz/services/teitok/pdtc10/index.php?action=vallex&amp;frame=v-w1704f2", "líbat (v-w1704f2)")</f>
        <v>líbat (v-w1704f2)</v>
      </c>
    </row>
    <row r="13099" spans="1:4" x14ac:dyDescent="0.2">
      <c r="B13099" t="s">
        <v>1</v>
      </c>
    </row>
    <row r="13100" spans="1:4" x14ac:dyDescent="0.2">
      <c r="B13100" t="s">
        <v>411</v>
      </c>
    </row>
    <row r="13101" spans="1:4" x14ac:dyDescent="0.2">
      <c r="B13101" t="s">
        <v>1056</v>
      </c>
    </row>
    <row r="13103" spans="1:4" x14ac:dyDescent="0.2">
      <c r="A13103" t="s">
        <v>4550</v>
      </c>
      <c r="B13103" t="str">
        <f>HYPERLINK("https://lindat.mff.cuni.cz/services/teitok/pdtc10/index.php?action=vallex&amp;frame=v-w1704f1", "líbat (v-w1704f1)")</f>
        <v>líbat (v-w1704f1)</v>
      </c>
    </row>
    <row r="13104" spans="1:4" x14ac:dyDescent="0.2">
      <c r="B13104" t="s">
        <v>1</v>
      </c>
    </row>
    <row r="13105" spans="1:4" x14ac:dyDescent="0.2">
      <c r="B13105" t="s">
        <v>8</v>
      </c>
    </row>
    <row r="13107" spans="1:4" x14ac:dyDescent="0.2">
      <c r="A13107" t="s">
        <v>4551</v>
      </c>
      <c r="B13107" t="str">
        <f>HYPERLINK("https://lindat.mff.cuni.cz/services/teitok/pdtc10/index.php?action=vallex&amp;frame=v-w1707f2_ZU", "líbit se (v-w1707f2_ZU)")</f>
        <v>líbit se (v-w1707f2_ZU)</v>
      </c>
    </row>
    <row r="13108" spans="1:4" x14ac:dyDescent="0.2">
      <c r="B13108" t="s">
        <v>455</v>
      </c>
    </row>
    <row r="13109" spans="1:4" x14ac:dyDescent="0.2">
      <c r="B13109" t="s">
        <v>4552</v>
      </c>
    </row>
    <row r="13111" spans="1:4" x14ac:dyDescent="0.2">
      <c r="A13111" t="s">
        <v>4551</v>
      </c>
      <c r="B13111" t="str">
        <f>HYPERLINK("https://lindat.mff.cuni.cz/services/teitok/pdtc10/index.php?action=vallex&amp;frame=v-w1707f1", "líbit se (v-w1707f1) - substituted with v-w1707f2_ZU")</f>
        <v>líbit se (v-w1707f1) - substituted with v-w1707f2_ZU</v>
      </c>
    </row>
    <row r="13112" spans="1:4" x14ac:dyDescent="0.2">
      <c r="B13112" t="s">
        <v>455</v>
      </c>
      <c r="C13112" t="s">
        <v>4553</v>
      </c>
      <c r="D13112" t="s">
        <v>23450</v>
      </c>
    </row>
    <row r="13113" spans="1:4" x14ac:dyDescent="0.2">
      <c r="B13113" t="s">
        <v>4552</v>
      </c>
      <c r="C13113" t="s">
        <v>4554</v>
      </c>
      <c r="D13113" t="s">
        <v>23451</v>
      </c>
    </row>
    <row r="13115" spans="1:4" x14ac:dyDescent="0.2">
      <c r="A13115" t="s">
        <v>4555</v>
      </c>
      <c r="B13115" t="str">
        <f>HYPERLINK("https://lindat.mff.cuni.cz/services/teitok/pdtc10/index.php?action=vallex&amp;frame=v-w12105_ZUf1_ZU", "líhnout se (v-w12105_ZUf1_ZU)")</f>
        <v>líhnout se (v-w12105_ZUf1_ZU)</v>
      </c>
    </row>
    <row r="13116" spans="1:4" x14ac:dyDescent="0.2">
      <c r="B13116" t="s">
        <v>1</v>
      </c>
    </row>
    <row r="13117" spans="1:4" x14ac:dyDescent="0.2">
      <c r="B13117" t="s">
        <v>438</v>
      </c>
    </row>
    <row r="13119" spans="1:4" x14ac:dyDescent="0.2">
      <c r="A13119" t="s">
        <v>4556</v>
      </c>
      <c r="B13119" t="str">
        <f>HYPERLINK("https://lindat.mff.cuni.cz/services/teitok/pdtc10/index.php?action=vallex&amp;frame=v-w11855_ZUf1_ZU", "lísknout (v-w11855_ZUf1_ZU)")</f>
        <v>lísknout (v-w11855_ZUf1_ZU)</v>
      </c>
    </row>
    <row r="13120" spans="1:4" x14ac:dyDescent="0.2">
      <c r="B13120" t="s">
        <v>1</v>
      </c>
    </row>
    <row r="13121" spans="1:4" x14ac:dyDescent="0.2">
      <c r="B13121" t="s">
        <v>8</v>
      </c>
    </row>
    <row r="13123" spans="1:4" x14ac:dyDescent="0.2">
      <c r="A13123" t="s">
        <v>4557</v>
      </c>
      <c r="B13123" t="str">
        <f>HYPERLINK("https://lindat.mff.cuni.cz/services/teitok/pdtc10/index.php?action=vallex&amp;frame=v-w1730f2", "lít (v-w1730f2)")</f>
        <v>lít (v-w1730f2)</v>
      </c>
    </row>
    <row r="13124" spans="1:4" x14ac:dyDescent="0.2">
      <c r="B13124" t="s">
        <v>1</v>
      </c>
    </row>
    <row r="13125" spans="1:4" x14ac:dyDescent="0.2">
      <c r="B13125" t="s">
        <v>8</v>
      </c>
    </row>
    <row r="13126" spans="1:4" x14ac:dyDescent="0.2">
      <c r="B13126" t="s">
        <v>90</v>
      </c>
    </row>
    <row r="13128" spans="1:4" x14ac:dyDescent="0.2">
      <c r="A13128" t="s">
        <v>4558</v>
      </c>
      <c r="B13128" t="str">
        <f>HYPERLINK("https://lindat.mff.cuni.cz/services/teitok/pdtc10/index.php?action=vallex&amp;frame=v-w1730f3", "lít (v-w1730f3)")</f>
        <v>lít (v-w1730f3)</v>
      </c>
    </row>
    <row r="13129" spans="1:4" x14ac:dyDescent="0.2">
      <c r="B13129" t="s">
        <v>1</v>
      </c>
      <c r="C13129" t="s">
        <v>115</v>
      </c>
      <c r="D13129" t="s">
        <v>23066</v>
      </c>
    </row>
    <row r="13130" spans="1:4" x14ac:dyDescent="0.2">
      <c r="B13130" t="s">
        <v>8</v>
      </c>
      <c r="C13130" t="s">
        <v>116</v>
      </c>
      <c r="D13130" t="s">
        <v>23067</v>
      </c>
    </row>
    <row r="13131" spans="1:4" x14ac:dyDescent="0.2">
      <c r="B13131" t="s">
        <v>90</v>
      </c>
      <c r="D13131" t="s">
        <v>23068</v>
      </c>
    </row>
    <row r="13133" spans="1:4" x14ac:dyDescent="0.2">
      <c r="A13133" t="s">
        <v>4559</v>
      </c>
      <c r="B13133" t="str">
        <f>HYPERLINK("https://lindat.mff.cuni.cz/services/teitok/pdtc10/index.php?action=vallex&amp;frame=v-w1730f1", "lít (v-w1730f1)")</f>
        <v>lít (v-w1730f1)</v>
      </c>
    </row>
    <row r="13135" spans="1:4" x14ac:dyDescent="0.2">
      <c r="A13135" t="s">
        <v>4560</v>
      </c>
      <c r="B13135" t="str">
        <f>HYPERLINK("https://lindat.mff.cuni.cz/services/teitok/pdtc10/index.php?action=vallex&amp;frame=v-w1730f4_ZU", "lít (v-w1730f4_ZU)")</f>
        <v>lít (v-w1730f4_ZU)</v>
      </c>
    </row>
    <row r="13136" spans="1:4" x14ac:dyDescent="0.2">
      <c r="B13136" t="s">
        <v>1</v>
      </c>
    </row>
    <row r="13137" spans="1:2" x14ac:dyDescent="0.2">
      <c r="B13137" t="s">
        <v>4561</v>
      </c>
    </row>
    <row r="13139" spans="1:2" x14ac:dyDescent="0.2">
      <c r="A13139" t="s">
        <v>4562</v>
      </c>
      <c r="B13139" t="str">
        <f>HYPERLINK("https://lindat.mff.cuni.cz/services/teitok/pdtc10/index.php?action=vallex&amp;frame=v-w1730hsa_295", "lít (v-w1730hsa_295)")</f>
        <v>lít (v-w1730hsa_295)</v>
      </c>
    </row>
    <row r="13140" spans="1:2" x14ac:dyDescent="0.2">
      <c r="B13140" t="s">
        <v>1</v>
      </c>
    </row>
    <row r="13141" spans="1:2" x14ac:dyDescent="0.2">
      <c r="B13141" t="s">
        <v>8</v>
      </c>
    </row>
    <row r="13143" spans="1:2" x14ac:dyDescent="0.2">
      <c r="A13143" t="s">
        <v>4563</v>
      </c>
      <c r="B13143" t="str">
        <f>HYPERLINK("https://lindat.mff.cuni.cz/services/teitok/pdtc10/index.php?action=vallex&amp;frame=v-w11516_ZUf4_ZU", "lítat (v-w11516_ZUf4_ZU)")</f>
        <v>lítat (v-w11516_ZUf4_ZU)</v>
      </c>
    </row>
    <row r="13144" spans="1:2" x14ac:dyDescent="0.2">
      <c r="B13144" t="s">
        <v>1</v>
      </c>
    </row>
    <row r="13146" spans="1:2" x14ac:dyDescent="0.2">
      <c r="A13146" t="s">
        <v>4563</v>
      </c>
      <c r="B13146" t="str">
        <f>HYPERLINK("https://lindat.mff.cuni.cz/services/teitok/pdtc10/index.php?action=vallex&amp;frame=v-w11516_ZUf1_ZU", "lítat (v-w11516_ZUf1_ZU) - substituted with v-w11516_ZUf4_ZU")</f>
        <v>lítat (v-w11516_ZUf1_ZU) - substituted with v-w11516_ZUf4_ZU</v>
      </c>
    </row>
    <row r="13147" spans="1:2" x14ac:dyDescent="0.2">
      <c r="B13147" t="s">
        <v>1</v>
      </c>
    </row>
    <row r="13149" spans="1:2" x14ac:dyDescent="0.2">
      <c r="A13149" t="s">
        <v>4563</v>
      </c>
      <c r="B13149" t="str">
        <f>HYPERLINK("https://lindat.mff.cuni.cz/services/teitok/pdtc10/index.php?action=vallex&amp;frame=v-w11516_ZUf2_ZU", "lítat (v-w11516_ZUf2_ZU) - substituted with v-w11516_ZUf4_ZU")</f>
        <v>lítat (v-w11516_ZUf2_ZU) - substituted with v-w11516_ZUf4_ZU</v>
      </c>
    </row>
    <row r="13150" spans="1:2" x14ac:dyDescent="0.2">
      <c r="B13150" t="s">
        <v>1</v>
      </c>
    </row>
    <row r="13152" spans="1:2" x14ac:dyDescent="0.2">
      <c r="A13152" t="s">
        <v>4563</v>
      </c>
      <c r="B13152" t="str">
        <f>HYPERLINK("https://lindat.mff.cuni.cz/services/teitok/pdtc10/index.php?action=vallex&amp;frame=v-w11516_ZUf3_ZU", "lítat (v-w11516_ZUf3_ZU) - substituted with v-w11516_ZUf4_ZU")</f>
        <v>lítat (v-w11516_ZUf3_ZU) - substituted with v-w11516_ZUf4_ZU</v>
      </c>
    </row>
    <row r="13153" spans="1:2" x14ac:dyDescent="0.2">
      <c r="B13153" t="s">
        <v>1</v>
      </c>
    </row>
    <row r="13155" spans="1:2" x14ac:dyDescent="0.2">
      <c r="A13155" t="s">
        <v>4564</v>
      </c>
      <c r="B13155" t="str">
        <f>HYPERLINK("https://lindat.mff.cuni.cz/services/teitok/pdtc10/index.php?action=vallex&amp;frame=v-w11516_ZUf5_ZU", "lítat (v-w11516_ZUf5_ZU)")</f>
        <v>lítat (v-w11516_ZUf5_ZU)</v>
      </c>
    </row>
    <row r="13156" spans="1:2" x14ac:dyDescent="0.2">
      <c r="B13156" t="s">
        <v>1</v>
      </c>
    </row>
    <row r="13158" spans="1:2" x14ac:dyDescent="0.2">
      <c r="A13158" t="s">
        <v>4565</v>
      </c>
      <c r="B13158" t="str">
        <f>HYPERLINK("https://lindat.mff.cuni.cz/services/teitok/pdtc10/index.php?action=vallex&amp;frame=v-w11516_ZUhsa_696", "lítat (v-w11516_ZUhsa_696)")</f>
        <v>lítat (v-w11516_ZUhsa_696)</v>
      </c>
    </row>
    <row r="13159" spans="1:2" x14ac:dyDescent="0.2">
      <c r="B13159" t="s">
        <v>1</v>
      </c>
    </row>
    <row r="13161" spans="1:2" x14ac:dyDescent="0.2">
      <c r="A13161" t="s">
        <v>4566</v>
      </c>
      <c r="B13161" t="str">
        <f>HYPERLINK("https://lindat.mff.cuni.cz/services/teitok/pdtc10/index.php?action=vallex&amp;frame=v-w11516_ZUhsa_697", "lítat (v-w11516_ZUhsa_697)")</f>
        <v>lítat (v-w11516_ZUhsa_697)</v>
      </c>
    </row>
    <row r="13162" spans="1:2" x14ac:dyDescent="0.2">
      <c r="B13162" t="s">
        <v>1</v>
      </c>
    </row>
    <row r="13164" spans="1:2" x14ac:dyDescent="0.2">
      <c r="A13164" t="s">
        <v>4567</v>
      </c>
      <c r="B13164" t="str">
        <f>HYPERLINK("https://lindat.mff.cuni.cz/services/teitok/pdtc10/index.php?action=vallex&amp;frame=v-w11516_ZUhsa_698", "lítat (v-w11516_ZUhsa_698)")</f>
        <v>lítat (v-w11516_ZUhsa_698)</v>
      </c>
    </row>
    <row r="13165" spans="1:2" x14ac:dyDescent="0.2">
      <c r="B13165" t="s">
        <v>1</v>
      </c>
    </row>
    <row r="13166" spans="1:2" x14ac:dyDescent="0.2">
      <c r="B13166" t="s">
        <v>8</v>
      </c>
    </row>
    <row r="13168" spans="1:2" x14ac:dyDescent="0.2">
      <c r="A13168" t="s">
        <v>4568</v>
      </c>
      <c r="B13168" t="str">
        <f>HYPERLINK("https://lindat.mff.cuni.cz/services/teitok/pdtc10/index.php?action=vallex&amp;frame=v-w11516_ZUhsa_699", "lítat (v-w11516_ZUhsa_699)")</f>
        <v>lítat (v-w11516_ZUhsa_699)</v>
      </c>
    </row>
    <row r="13169" spans="1:3" x14ac:dyDescent="0.2">
      <c r="B13169" t="s">
        <v>1</v>
      </c>
    </row>
    <row r="13170" spans="1:3" x14ac:dyDescent="0.2">
      <c r="B13170" t="s">
        <v>411</v>
      </c>
    </row>
    <row r="13172" spans="1:3" x14ac:dyDescent="0.2">
      <c r="A13172" t="s">
        <v>4569</v>
      </c>
      <c r="B13172" t="str">
        <f>HYPERLINK("https://lindat.mff.cuni.cz/services/teitok/pdtc10/index.php?action=vallex&amp;frame=v-w10352f2", "lízat (v-w10352f2)")</f>
        <v>lízat (v-w10352f2)</v>
      </c>
    </row>
    <row r="13173" spans="1:3" x14ac:dyDescent="0.2">
      <c r="B13173" t="s">
        <v>1</v>
      </c>
      <c r="C13173" t="s">
        <v>140</v>
      </c>
    </row>
    <row r="13174" spans="1:3" x14ac:dyDescent="0.2">
      <c r="B13174" t="s">
        <v>8</v>
      </c>
      <c r="C13174" t="s">
        <v>34</v>
      </c>
    </row>
    <row r="13176" spans="1:3" x14ac:dyDescent="0.2">
      <c r="A13176" t="s">
        <v>4570</v>
      </c>
      <c r="B13176" t="str">
        <f>HYPERLINK("https://lindat.mff.cuni.cz/services/teitok/pdtc10/index.php?action=vallex&amp;frame=v-w10352f3_ZU", "lízat (v-w10352f3_ZU)")</f>
        <v>lízat (v-w10352f3_ZU)</v>
      </c>
    </row>
    <row r="13177" spans="1:3" x14ac:dyDescent="0.2">
      <c r="B13177" t="s">
        <v>1</v>
      </c>
    </row>
    <row r="13178" spans="1:3" x14ac:dyDescent="0.2">
      <c r="B13178" t="s">
        <v>8</v>
      </c>
    </row>
    <row r="13180" spans="1:3" x14ac:dyDescent="0.2">
      <c r="A13180" t="s">
        <v>4571</v>
      </c>
      <c r="B13180" t="str">
        <f>HYPERLINK("https://lindat.mff.cuni.cz/services/teitok/pdtc10/index.php?action=vallex&amp;frame=v-w10352hsa_247", "lízat (v-w10352hsa_247)")</f>
        <v>lízat (v-w10352hsa_247)</v>
      </c>
    </row>
    <row r="13181" spans="1:3" x14ac:dyDescent="0.2">
      <c r="B13181" t="s">
        <v>1</v>
      </c>
    </row>
    <row r="13182" spans="1:3" x14ac:dyDescent="0.2">
      <c r="B13182" t="s">
        <v>8</v>
      </c>
    </row>
    <row r="13184" spans="1:3" x14ac:dyDescent="0.2">
      <c r="A13184" t="s">
        <v>4572</v>
      </c>
      <c r="B13184" t="str">
        <f>HYPERLINK("https://lindat.mff.cuni.cz/services/teitok/pdtc10/index.php?action=vallex&amp;frame=v-w12328_MMf1_MM", "líznout (v-w12328_MMf1_MM)")</f>
        <v>líznout (v-w12328_MMf1_MM)</v>
      </c>
    </row>
    <row r="13185" spans="1:4" x14ac:dyDescent="0.2">
      <c r="B13185" t="s">
        <v>1</v>
      </c>
    </row>
    <row r="13186" spans="1:4" x14ac:dyDescent="0.2">
      <c r="B13186" t="s">
        <v>8</v>
      </c>
    </row>
    <row r="13188" spans="1:4" x14ac:dyDescent="0.2">
      <c r="A13188" t="s">
        <v>4573</v>
      </c>
      <c r="B13188" t="str">
        <f>HYPERLINK("https://lindat.mff.cuni.cz/services/teitok/pdtc10/index.php?action=vallex&amp;frame=v-w1712f3_ZU", "líčit (v-w1712f3_ZU)")</f>
        <v>líčit (v-w1712f3_ZU)</v>
      </c>
    </row>
    <row r="13189" spans="1:4" x14ac:dyDescent="0.2">
      <c r="B13189" t="s">
        <v>1</v>
      </c>
    </row>
    <row r="13190" spans="1:4" x14ac:dyDescent="0.2">
      <c r="B13190" t="s">
        <v>4574</v>
      </c>
    </row>
    <row r="13191" spans="1:4" x14ac:dyDescent="0.2">
      <c r="B13191" t="s">
        <v>78</v>
      </c>
    </row>
    <row r="13193" spans="1:4" x14ac:dyDescent="0.2">
      <c r="A13193" t="s">
        <v>4573</v>
      </c>
      <c r="B13193" t="str">
        <f>HYPERLINK("https://lindat.mff.cuni.cz/services/teitok/pdtc10/index.php?action=vallex&amp;frame=v-w1712f1", "líčit (v-w1712f1) - substituted with v-w1712f3_ZU")</f>
        <v>líčit (v-w1712f1) - substituted with v-w1712f3_ZU</v>
      </c>
    </row>
    <row r="13194" spans="1:4" x14ac:dyDescent="0.2">
      <c r="B13194" t="s">
        <v>1</v>
      </c>
      <c r="C13194" t="s">
        <v>340</v>
      </c>
      <c r="D13194" t="s">
        <v>23465</v>
      </c>
    </row>
    <row r="13195" spans="1:4" x14ac:dyDescent="0.2">
      <c r="B13195" t="s">
        <v>4574</v>
      </c>
      <c r="C13195" t="s">
        <v>4575</v>
      </c>
      <c r="D13195" t="s">
        <v>23466</v>
      </c>
    </row>
    <row r="13196" spans="1:4" x14ac:dyDescent="0.2">
      <c r="B13196" t="s">
        <v>78</v>
      </c>
      <c r="D13196" t="s">
        <v>18432</v>
      </c>
    </row>
    <row r="13198" spans="1:4" x14ac:dyDescent="0.2">
      <c r="A13198" t="s">
        <v>4576</v>
      </c>
      <c r="B13198" t="str">
        <f>HYPERLINK("https://lindat.mff.cuni.cz/services/teitok/pdtc10/index.php?action=vallex&amp;frame=v-w1712f2", "líčit (v-w1712f2)")</f>
        <v>líčit (v-w1712f2)</v>
      </c>
    </row>
    <row r="13199" spans="1:4" x14ac:dyDescent="0.2">
      <c r="B13199" t="s">
        <v>1</v>
      </c>
    </row>
    <row r="13200" spans="1:4" x14ac:dyDescent="0.2">
      <c r="B13200" t="s">
        <v>8</v>
      </c>
    </row>
    <row r="13202" spans="1:4" x14ac:dyDescent="0.2">
      <c r="A13202" t="s">
        <v>4577</v>
      </c>
      <c r="B13202" t="str">
        <f>HYPERLINK("https://lindat.mff.cuni.cz/services/teitok/pdtc10/index.php?action=vallex&amp;frame=v-w1765f1", "makat (v-w1765f1)")</f>
        <v>makat (v-w1765f1)</v>
      </c>
    </row>
    <row r="13203" spans="1:4" x14ac:dyDescent="0.2">
      <c r="B13203" t="s">
        <v>1</v>
      </c>
    </row>
    <row r="13205" spans="1:4" x14ac:dyDescent="0.2">
      <c r="A13205" t="s">
        <v>4578</v>
      </c>
      <c r="B13205" t="str">
        <f>HYPERLINK("https://lindat.mff.cuni.cz/services/teitok/pdtc10/index.php?action=vallex&amp;frame=v-w1771f4_ZU", "malovat (v-w1771f4_ZU)")</f>
        <v>malovat (v-w1771f4_ZU)</v>
      </c>
    </row>
    <row r="13206" spans="1:4" x14ac:dyDescent="0.2">
      <c r="B13206" t="s">
        <v>1</v>
      </c>
    </row>
    <row r="13207" spans="1:4" x14ac:dyDescent="0.2">
      <c r="B13207" t="s">
        <v>8</v>
      </c>
    </row>
    <row r="13209" spans="1:4" x14ac:dyDescent="0.2">
      <c r="A13209" t="s">
        <v>4578</v>
      </c>
      <c r="B13209" t="str">
        <f>HYPERLINK("https://lindat.mff.cuni.cz/services/teitok/pdtc10/index.php?action=vallex&amp;frame=v-w1771f1", "malovat (v-w1771f1) - substituted with v-w1771f4_ZU")</f>
        <v>malovat (v-w1771f1) - substituted with v-w1771f4_ZU</v>
      </c>
    </row>
    <row r="13210" spans="1:4" x14ac:dyDescent="0.2">
      <c r="B13210" t="s">
        <v>1</v>
      </c>
      <c r="C13210" t="s">
        <v>33</v>
      </c>
      <c r="D13210" t="s">
        <v>83</v>
      </c>
    </row>
    <row r="13211" spans="1:4" x14ac:dyDescent="0.2">
      <c r="B13211" t="s">
        <v>8</v>
      </c>
      <c r="C13211" t="s">
        <v>991</v>
      </c>
      <c r="D13211" t="s">
        <v>56</v>
      </c>
    </row>
    <row r="13213" spans="1:4" x14ac:dyDescent="0.2">
      <c r="A13213" t="s">
        <v>4579</v>
      </c>
      <c r="B13213" t="str">
        <f>HYPERLINK("https://lindat.mff.cuni.cz/services/teitok/pdtc10/index.php?action=vallex&amp;frame=v-w1771hsa_512", "malovat (v-w1771hsa_512)")</f>
        <v>malovat (v-w1771hsa_512)</v>
      </c>
    </row>
    <row r="13214" spans="1:4" x14ac:dyDescent="0.2">
      <c r="B13214" t="s">
        <v>1</v>
      </c>
      <c r="C13214" t="s">
        <v>1125</v>
      </c>
      <c r="D13214" t="s">
        <v>23008</v>
      </c>
    </row>
    <row r="13215" spans="1:4" x14ac:dyDescent="0.2">
      <c r="B13215" t="s">
        <v>8</v>
      </c>
      <c r="C13215" t="s">
        <v>23</v>
      </c>
      <c r="D13215" t="s">
        <v>23467</v>
      </c>
    </row>
    <row r="13217" spans="1:4" x14ac:dyDescent="0.2">
      <c r="A13217" t="s">
        <v>4580</v>
      </c>
      <c r="B13217" t="str">
        <f>HYPERLINK("https://lindat.mff.cuni.cz/services/teitok/pdtc10/index.php?action=vallex&amp;frame=v-w1771f2_ZU", "malovat (v-w1771f2_ZU)")</f>
        <v>malovat (v-w1771f2_ZU)</v>
      </c>
    </row>
    <row r="13218" spans="1:4" x14ac:dyDescent="0.2">
      <c r="B13218" t="s">
        <v>1</v>
      </c>
    </row>
    <row r="13219" spans="1:4" x14ac:dyDescent="0.2">
      <c r="B13219" t="s">
        <v>8</v>
      </c>
    </row>
    <row r="13221" spans="1:4" x14ac:dyDescent="0.2">
      <c r="A13221" t="s">
        <v>4581</v>
      </c>
      <c r="B13221" t="str">
        <f>HYPERLINK("https://lindat.mff.cuni.cz/services/teitok/pdtc10/index.php?action=vallex&amp;frame=v-w1771f3_ZU", "malovat (v-w1771f3_ZU)")</f>
        <v>malovat (v-w1771f3_ZU)</v>
      </c>
    </row>
    <row r="13222" spans="1:4" x14ac:dyDescent="0.2">
      <c r="B13222" t="s">
        <v>1</v>
      </c>
    </row>
    <row r="13223" spans="1:4" x14ac:dyDescent="0.2">
      <c r="B13223" t="s">
        <v>8</v>
      </c>
    </row>
    <row r="13225" spans="1:4" x14ac:dyDescent="0.2">
      <c r="A13225" t="s">
        <v>4582</v>
      </c>
      <c r="B13225" t="str">
        <f>HYPERLINK("https://lindat.mff.cuni.cz/services/teitok/pdtc10/index.php?action=vallex&amp;frame=v-w1778f3_ZU", "manipulovat (v-w1778f3_ZU)")</f>
        <v>manipulovat (v-w1778f3_ZU)</v>
      </c>
    </row>
    <row r="13226" spans="1:4" x14ac:dyDescent="0.2">
      <c r="B13226" t="s">
        <v>1</v>
      </c>
      <c r="D13226" t="s">
        <v>1366</v>
      </c>
    </row>
    <row r="13227" spans="1:4" x14ac:dyDescent="0.2">
      <c r="B13227" t="s">
        <v>1358</v>
      </c>
      <c r="D13227" t="s">
        <v>3040</v>
      </c>
    </row>
    <row r="13229" spans="1:4" x14ac:dyDescent="0.2">
      <c r="A13229" t="s">
        <v>4582</v>
      </c>
      <c r="B13229" t="str">
        <f>HYPERLINK("https://lindat.mff.cuni.cz/services/teitok/pdtc10/index.php?action=vallex&amp;frame=v-w1778f1", "manipulovat (v-w1778f1) - substituted with v-w1778f3_ZU")</f>
        <v>manipulovat (v-w1778f1) - substituted with v-w1778f3_ZU</v>
      </c>
    </row>
    <row r="13230" spans="1:4" x14ac:dyDescent="0.2">
      <c r="B13230" t="s">
        <v>1</v>
      </c>
      <c r="C13230" t="s">
        <v>33</v>
      </c>
    </row>
    <row r="13231" spans="1:4" x14ac:dyDescent="0.2">
      <c r="B13231" t="s">
        <v>1358</v>
      </c>
      <c r="C13231" t="s">
        <v>1044</v>
      </c>
    </row>
    <row r="13233" spans="1:4" x14ac:dyDescent="0.2">
      <c r="A13233" t="s">
        <v>4582</v>
      </c>
      <c r="B13233" t="str">
        <f>HYPERLINK("https://lindat.mff.cuni.cz/services/teitok/pdtc10/index.php?action=vallex&amp;frame=v-w1778hsa_1044", "manipulovat (v-w1778hsa_1044) - substituted with v-w1778f3_ZU")</f>
        <v>manipulovat (v-w1778hsa_1044) - substituted with v-w1778f3_ZU</v>
      </c>
    </row>
    <row r="13234" spans="1:4" x14ac:dyDescent="0.2">
      <c r="B13234" t="s">
        <v>1</v>
      </c>
    </row>
    <row r="13235" spans="1:4" x14ac:dyDescent="0.2">
      <c r="B13235" t="s">
        <v>1358</v>
      </c>
    </row>
    <row r="13237" spans="1:4" x14ac:dyDescent="0.2">
      <c r="A13237" t="s">
        <v>4583</v>
      </c>
      <c r="B13237" t="str">
        <f>HYPERLINK("https://lindat.mff.cuni.cz/services/teitok/pdtc10/index.php?action=vallex&amp;frame=v-w1778f5_ZU", "manipulovat (v-w1778f5_ZU)")</f>
        <v>manipulovat (v-w1778f5_ZU)</v>
      </c>
    </row>
    <row r="13238" spans="1:4" x14ac:dyDescent="0.2">
      <c r="B13238" t="s">
        <v>1</v>
      </c>
      <c r="C13238" t="s">
        <v>33</v>
      </c>
      <c r="D13238" t="s">
        <v>1366</v>
      </c>
    </row>
    <row r="13239" spans="1:4" x14ac:dyDescent="0.2">
      <c r="B13239" t="s">
        <v>1358</v>
      </c>
      <c r="C13239" t="s">
        <v>1044</v>
      </c>
      <c r="D13239" t="s">
        <v>3040</v>
      </c>
    </row>
    <row r="13241" spans="1:4" x14ac:dyDescent="0.2">
      <c r="A13241" t="s">
        <v>4583</v>
      </c>
      <c r="B13241" t="str">
        <f>HYPERLINK("https://lindat.mff.cuni.cz/services/teitok/pdtc10/index.php?action=vallex&amp;frame=v-w1778f2", "manipulovat (v-w1778f2) - substituted with v-w1778f5_ZU")</f>
        <v>manipulovat (v-w1778f2) - substituted with v-w1778f5_ZU</v>
      </c>
    </row>
    <row r="13242" spans="1:4" x14ac:dyDescent="0.2">
      <c r="B13242" t="s">
        <v>1</v>
      </c>
      <c r="C13242" t="s">
        <v>140</v>
      </c>
    </row>
    <row r="13243" spans="1:4" x14ac:dyDescent="0.2">
      <c r="B13243" t="s">
        <v>1358</v>
      </c>
      <c r="C13243" t="s">
        <v>34</v>
      </c>
    </row>
    <row r="13245" spans="1:4" x14ac:dyDescent="0.2">
      <c r="A13245" t="s">
        <v>4583</v>
      </c>
      <c r="B13245" t="str">
        <f>HYPERLINK("https://lindat.mff.cuni.cz/services/teitok/pdtc10/index.php?action=vallex&amp;frame=v-w1778f4_ZU", "manipulovat (v-w1778f4_ZU) - substituted with v-w1778f5_ZU")</f>
        <v>manipulovat (v-w1778f4_ZU) - substituted with v-w1778f5_ZU</v>
      </c>
    </row>
    <row r="13246" spans="1:4" x14ac:dyDescent="0.2">
      <c r="B13246" t="s">
        <v>1</v>
      </c>
    </row>
    <row r="13247" spans="1:4" x14ac:dyDescent="0.2">
      <c r="B13247" t="s">
        <v>1358</v>
      </c>
    </row>
    <row r="13249" spans="1:4" x14ac:dyDescent="0.2">
      <c r="A13249" t="s">
        <v>4583</v>
      </c>
      <c r="B13249" t="str">
        <f>HYPERLINK("https://lindat.mff.cuni.cz/services/teitok/pdtc10/index.php?action=vallex&amp;frame=v-w1778hsa_1045", "manipulovat (v-w1778hsa_1045) - substituted with v-w1778f5_ZU")</f>
        <v>manipulovat (v-w1778hsa_1045) - substituted with v-w1778f5_ZU</v>
      </c>
    </row>
    <row r="13250" spans="1:4" x14ac:dyDescent="0.2">
      <c r="B13250" t="s">
        <v>1</v>
      </c>
      <c r="C13250" t="s">
        <v>140</v>
      </c>
    </row>
    <row r="13251" spans="1:4" x14ac:dyDescent="0.2">
      <c r="B13251" t="s">
        <v>1358</v>
      </c>
      <c r="C13251" t="s">
        <v>1128</v>
      </c>
    </row>
    <row r="13253" spans="1:4" x14ac:dyDescent="0.2">
      <c r="A13253" t="s">
        <v>4584</v>
      </c>
      <c r="B13253" t="str">
        <f>HYPERLINK("https://lindat.mff.cuni.cz/services/teitok/pdtc10/index.php?action=vallex&amp;frame=v-w10868f2", "manévrovat (v-w10868f2)")</f>
        <v>manévrovat (v-w10868f2)</v>
      </c>
    </row>
    <row r="13254" spans="1:4" x14ac:dyDescent="0.2">
      <c r="B13254" t="s">
        <v>1</v>
      </c>
      <c r="D13254" t="s">
        <v>23468</v>
      </c>
    </row>
    <row r="13255" spans="1:4" x14ac:dyDescent="0.2">
      <c r="B13255" t="s">
        <v>5</v>
      </c>
      <c r="C13255" t="s">
        <v>4585</v>
      </c>
      <c r="D13255" t="s">
        <v>23469</v>
      </c>
    </row>
    <row r="13257" spans="1:4" x14ac:dyDescent="0.2">
      <c r="A13257" t="s">
        <v>4586</v>
      </c>
      <c r="B13257" t="str">
        <f>HYPERLINK("https://lindat.mff.cuni.cz/services/teitok/pdtc10/index.php?action=vallex&amp;frame=v-w1784f1", "mapovat (v-w1784f1)")</f>
        <v>mapovat (v-w1784f1)</v>
      </c>
    </row>
    <row r="13258" spans="1:4" x14ac:dyDescent="0.2">
      <c r="B13258" t="s">
        <v>1</v>
      </c>
      <c r="D13258" t="s">
        <v>23470</v>
      </c>
    </row>
    <row r="13259" spans="1:4" x14ac:dyDescent="0.2">
      <c r="B13259" t="s">
        <v>8</v>
      </c>
      <c r="C13259" t="s">
        <v>34</v>
      </c>
      <c r="D13259" t="s">
        <v>23471</v>
      </c>
    </row>
    <row r="13261" spans="1:4" x14ac:dyDescent="0.2">
      <c r="A13261" t="s">
        <v>4587</v>
      </c>
      <c r="B13261" t="str">
        <f>HYPERLINK("https://lindat.mff.cuni.cz/services/teitok/pdtc10/index.php?action=vallex&amp;frame=v-whsa_1917hsa_1918", "marodit (v-whsa_1917hsa_1918)")</f>
        <v>marodit (v-whsa_1917hsa_1918)</v>
      </c>
    </row>
    <row r="13262" spans="1:4" x14ac:dyDescent="0.2">
      <c r="B13262" t="s">
        <v>1</v>
      </c>
    </row>
    <row r="13263" spans="1:4" x14ac:dyDescent="0.2">
      <c r="B13263" t="s">
        <v>2423</v>
      </c>
    </row>
    <row r="13265" spans="1:4" x14ac:dyDescent="0.2">
      <c r="A13265" t="s">
        <v>4588</v>
      </c>
      <c r="B13265" t="str">
        <f>HYPERLINK("https://lindat.mff.cuni.cz/services/teitok/pdtc10/index.php?action=vallex&amp;frame=v-w1790f1", "maskovat (v-w1790f1)")</f>
        <v>maskovat (v-w1790f1)</v>
      </c>
    </row>
    <row r="13266" spans="1:4" x14ac:dyDescent="0.2">
      <c r="B13266" t="s">
        <v>1</v>
      </c>
      <c r="C13266" t="s">
        <v>140</v>
      </c>
      <c r="D13266" t="s">
        <v>23440</v>
      </c>
    </row>
    <row r="13267" spans="1:4" x14ac:dyDescent="0.2">
      <c r="B13267" t="s">
        <v>3199</v>
      </c>
      <c r="C13267" t="s">
        <v>1190</v>
      </c>
      <c r="D13267" t="s">
        <v>23441</v>
      </c>
    </row>
    <row r="13268" spans="1:4" x14ac:dyDescent="0.2">
      <c r="B13268" t="s">
        <v>3200</v>
      </c>
      <c r="C13268" t="s">
        <v>987</v>
      </c>
      <c r="D13268" t="s">
        <v>14173</v>
      </c>
    </row>
    <row r="13270" spans="1:4" x14ac:dyDescent="0.2">
      <c r="A13270" t="s">
        <v>4589</v>
      </c>
      <c r="B13270" t="str">
        <f>HYPERLINK("https://lindat.mff.cuni.cz/services/teitok/pdtc10/index.php?action=vallex&amp;frame=v-w10044f3_ZU", "masírovat (v-w10044f3_ZU)")</f>
        <v>masírovat (v-w10044f3_ZU)</v>
      </c>
    </row>
    <row r="13271" spans="1:4" x14ac:dyDescent="0.2">
      <c r="B13271" t="s">
        <v>1</v>
      </c>
    </row>
    <row r="13272" spans="1:4" x14ac:dyDescent="0.2">
      <c r="B13272" t="s">
        <v>8</v>
      </c>
    </row>
    <row r="13274" spans="1:4" x14ac:dyDescent="0.2">
      <c r="A13274" t="s">
        <v>4589</v>
      </c>
      <c r="B13274" t="str">
        <f>HYPERLINK("https://lindat.mff.cuni.cz/services/teitok/pdtc10/index.php?action=vallex&amp;frame=v-w10044f2", "masírovat (v-w10044f2) - substituted with v-w10044f3_ZU")</f>
        <v>masírovat (v-w10044f2) - substituted with v-w10044f3_ZU</v>
      </c>
    </row>
    <row r="13275" spans="1:4" x14ac:dyDescent="0.2">
      <c r="B13275" t="s">
        <v>1</v>
      </c>
    </row>
    <row r="13276" spans="1:4" x14ac:dyDescent="0.2">
      <c r="B13276" t="s">
        <v>8</v>
      </c>
    </row>
    <row r="13278" spans="1:4" x14ac:dyDescent="0.2">
      <c r="A13278" t="s">
        <v>4590</v>
      </c>
      <c r="B13278" t="str">
        <f>HYPERLINK("https://lindat.mff.cuni.cz/services/teitok/pdtc10/index.php?action=vallex&amp;frame=v-w1795f1", "maturovat (v-w1795f1)")</f>
        <v>maturovat (v-w1795f1)</v>
      </c>
    </row>
    <row r="13279" spans="1:4" x14ac:dyDescent="0.2">
      <c r="B13279" t="s">
        <v>1</v>
      </c>
      <c r="C13279" t="s">
        <v>249</v>
      </c>
      <c r="D13279" t="s">
        <v>715</v>
      </c>
    </row>
    <row r="13280" spans="1:4" x14ac:dyDescent="0.2">
      <c r="B13280" t="s">
        <v>438</v>
      </c>
      <c r="D13280" t="s">
        <v>2691</v>
      </c>
    </row>
    <row r="13282" spans="1:4" x14ac:dyDescent="0.2">
      <c r="A13282" t="s">
        <v>4591</v>
      </c>
      <c r="B13282" t="str">
        <f>HYPERLINK("https://lindat.mff.cuni.cz/services/teitok/pdtc10/index.php?action=vallex&amp;frame=v-w1800f1", "maximalizovat (v-w1800f1)")</f>
        <v>maximalizovat (v-w1800f1)</v>
      </c>
    </row>
    <row r="13283" spans="1:4" x14ac:dyDescent="0.2">
      <c r="B13283" t="s">
        <v>1</v>
      </c>
    </row>
    <row r="13284" spans="1:4" x14ac:dyDescent="0.2">
      <c r="B13284" t="s">
        <v>8</v>
      </c>
      <c r="C13284" t="s">
        <v>1044</v>
      </c>
      <c r="D13284" t="s">
        <v>1044</v>
      </c>
    </row>
    <row r="13286" spans="1:4" x14ac:dyDescent="0.2">
      <c r="A13286" t="s">
        <v>4592</v>
      </c>
      <c r="B13286" t="str">
        <f>HYPERLINK("https://lindat.mff.cuni.cz/services/teitok/pdtc10/index.php?action=vallex&amp;frame=v-w1803f1", "mazat (v-w1803f1)")</f>
        <v>mazat (v-w1803f1)</v>
      </c>
    </row>
    <row r="13287" spans="1:4" x14ac:dyDescent="0.2">
      <c r="B13287" t="s">
        <v>1</v>
      </c>
    </row>
    <row r="13288" spans="1:4" x14ac:dyDescent="0.2">
      <c r="B13288" t="s">
        <v>8</v>
      </c>
    </row>
    <row r="13290" spans="1:4" x14ac:dyDescent="0.2">
      <c r="A13290" t="s">
        <v>4593</v>
      </c>
      <c r="B13290" t="str">
        <f>HYPERLINK("https://lindat.mff.cuni.cz/services/teitok/pdtc10/index.php?action=vallex&amp;frame=v-w1803hsa_1056", "mazat (v-w1803hsa_1056)")</f>
        <v>mazat (v-w1803hsa_1056)</v>
      </c>
    </row>
    <row r="13291" spans="1:4" x14ac:dyDescent="0.2">
      <c r="B13291" t="s">
        <v>1</v>
      </c>
    </row>
    <row r="13292" spans="1:4" x14ac:dyDescent="0.2">
      <c r="B13292" t="s">
        <v>8</v>
      </c>
    </row>
    <row r="13294" spans="1:4" x14ac:dyDescent="0.2">
      <c r="A13294" t="s">
        <v>4594</v>
      </c>
      <c r="B13294" t="str">
        <f>HYPERLINK("https://lindat.mff.cuni.cz/services/teitok/pdtc10/index.php?action=vallex&amp;frame=v-w1804f1", "mazlit se (v-w1804f1)")</f>
        <v>mazlit se (v-w1804f1)</v>
      </c>
    </row>
    <row r="13295" spans="1:4" x14ac:dyDescent="0.2">
      <c r="B13295" t="s">
        <v>1</v>
      </c>
    </row>
    <row r="13296" spans="1:4" x14ac:dyDescent="0.2">
      <c r="B13296" t="s">
        <v>411</v>
      </c>
    </row>
    <row r="13298" spans="1:4" x14ac:dyDescent="0.2">
      <c r="A13298" t="s">
        <v>4595</v>
      </c>
      <c r="B13298" t="str">
        <f>HYPERLINK("https://lindat.mff.cuni.cz/services/teitok/pdtc10/index.php?action=vallex&amp;frame=v-w1758f1", "mačkat (v-w1758f1)")</f>
        <v>mačkat (v-w1758f1)</v>
      </c>
    </row>
    <row r="13299" spans="1:4" x14ac:dyDescent="0.2">
      <c r="B13299" t="s">
        <v>1</v>
      </c>
    </row>
    <row r="13300" spans="1:4" x14ac:dyDescent="0.2">
      <c r="B13300" t="s">
        <v>8</v>
      </c>
    </row>
    <row r="13302" spans="1:4" x14ac:dyDescent="0.2">
      <c r="A13302" t="s">
        <v>4596</v>
      </c>
      <c r="B13302" t="str">
        <f>HYPERLINK("https://lindat.mff.cuni.cz/services/teitok/pdtc10/index.php?action=vallex&amp;frame=v-w11267f1", "mačkat se (v-w11267f1)")</f>
        <v>mačkat se (v-w11267f1)</v>
      </c>
    </row>
    <row r="13303" spans="1:4" x14ac:dyDescent="0.2">
      <c r="B13303" t="s">
        <v>1</v>
      </c>
      <c r="C13303" t="s">
        <v>4597</v>
      </c>
      <c r="D13303" t="s">
        <v>23472</v>
      </c>
    </row>
    <row r="13304" spans="1:4" x14ac:dyDescent="0.2">
      <c r="B13304" t="s">
        <v>5</v>
      </c>
      <c r="D13304" t="s">
        <v>23473</v>
      </c>
    </row>
    <row r="13306" spans="1:4" x14ac:dyDescent="0.2">
      <c r="A13306" t="s">
        <v>4598</v>
      </c>
      <c r="B13306" t="str">
        <f>HYPERLINK("https://lindat.mff.cuni.cz/services/teitok/pdtc10/index.php?action=vallex&amp;frame=v-w11267hsa_799", "mačkat se (v-w11267hsa_799)")</f>
        <v>mačkat se (v-w11267hsa_799)</v>
      </c>
    </row>
    <row r="13307" spans="1:4" x14ac:dyDescent="0.2">
      <c r="B13307" t="s">
        <v>1</v>
      </c>
    </row>
    <row r="13308" spans="1:4" x14ac:dyDescent="0.2">
      <c r="B13308" t="s">
        <v>90</v>
      </c>
    </row>
    <row r="13310" spans="1:4" x14ac:dyDescent="0.2">
      <c r="A13310" t="s">
        <v>4599</v>
      </c>
      <c r="B13310" t="str">
        <f>HYPERLINK("https://lindat.mff.cuni.cz/services/teitok/pdtc10/index.php?action=vallex&amp;frame=v-w1788f1", "mařit (v-w1788f1)")</f>
        <v>mařit (v-w1788f1)</v>
      </c>
    </row>
    <row r="13311" spans="1:4" x14ac:dyDescent="0.2">
      <c r="B13311" t="s">
        <v>1</v>
      </c>
      <c r="C13311" t="s">
        <v>1065</v>
      </c>
      <c r="D13311" t="s">
        <v>22980</v>
      </c>
    </row>
    <row r="13312" spans="1:4" x14ac:dyDescent="0.2">
      <c r="B13312" t="s">
        <v>8</v>
      </c>
      <c r="C13312" t="s">
        <v>1510</v>
      </c>
      <c r="D13312" t="s">
        <v>22981</v>
      </c>
    </row>
    <row r="13314" spans="1:4" x14ac:dyDescent="0.2">
      <c r="A13314" t="s">
        <v>4600</v>
      </c>
      <c r="B13314" t="str">
        <f>HYPERLINK("https://lindat.mff.cuni.cz/services/teitok/pdtc10/index.php?action=vallex&amp;frame=v-whsa_1830hsa_1831", "mašinovat (v-whsa_1830hsa_1831)")</f>
        <v>mašinovat (v-whsa_1830hsa_1831)</v>
      </c>
    </row>
    <row r="13315" spans="1:4" x14ac:dyDescent="0.2">
      <c r="B13315" t="s">
        <v>1</v>
      </c>
    </row>
    <row r="13316" spans="1:4" x14ac:dyDescent="0.2">
      <c r="B13316" t="s">
        <v>8</v>
      </c>
    </row>
    <row r="13318" spans="1:4" x14ac:dyDescent="0.2">
      <c r="A13318" t="s">
        <v>4601</v>
      </c>
      <c r="B13318" t="str">
        <f>HYPERLINK("https://lindat.mff.cuni.cz/services/teitok/pdtc10/index.php?action=vallex&amp;frame=v-w1807f1", "meditovat (v-w1807f1)")</f>
        <v>meditovat (v-w1807f1)</v>
      </c>
    </row>
    <row r="13319" spans="1:4" x14ac:dyDescent="0.2">
      <c r="B13319" t="s">
        <v>1</v>
      </c>
    </row>
    <row r="13320" spans="1:4" x14ac:dyDescent="0.2">
      <c r="B13320" t="s">
        <v>4602</v>
      </c>
    </row>
    <row r="13322" spans="1:4" x14ac:dyDescent="0.2">
      <c r="A13322" t="s">
        <v>4603</v>
      </c>
      <c r="B13322" t="str">
        <f>HYPERLINK("https://lindat.mff.cuni.cz/services/teitok/pdtc10/index.php?action=vallex&amp;frame=v-w10494f2", "metabolizovat (v-w10494f2)")</f>
        <v>metabolizovat (v-w10494f2)</v>
      </c>
    </row>
    <row r="13323" spans="1:4" x14ac:dyDescent="0.2">
      <c r="B13323" t="s">
        <v>1</v>
      </c>
      <c r="D13323" t="s">
        <v>2363</v>
      </c>
    </row>
    <row r="13324" spans="1:4" x14ac:dyDescent="0.2">
      <c r="B13324" t="s">
        <v>8</v>
      </c>
      <c r="C13324" t="s">
        <v>113</v>
      </c>
      <c r="D13324" t="s">
        <v>17592</v>
      </c>
    </row>
    <row r="13325" spans="1:4" x14ac:dyDescent="0.2">
      <c r="B13325" t="s">
        <v>24</v>
      </c>
      <c r="C13325" t="s">
        <v>4604</v>
      </c>
      <c r="D13325" t="s">
        <v>3656</v>
      </c>
    </row>
    <row r="13327" spans="1:4" x14ac:dyDescent="0.2">
      <c r="A13327" t="s">
        <v>4605</v>
      </c>
      <c r="B13327" t="str">
        <f>HYPERLINK("https://lindat.mff.cuni.cz/services/teitok/pdtc10/index.php?action=vallex&amp;frame=v-whsa_322f1_ZU", "metat (v-whsa_322f1_ZU)")</f>
        <v>metat (v-whsa_322f1_ZU)</v>
      </c>
    </row>
    <row r="13328" spans="1:4" x14ac:dyDescent="0.2">
      <c r="B13328" t="s">
        <v>1</v>
      </c>
      <c r="C13328" t="s">
        <v>2946</v>
      </c>
    </row>
    <row r="13329" spans="1:4" x14ac:dyDescent="0.2">
      <c r="B13329" t="s">
        <v>4606</v>
      </c>
      <c r="C13329" t="s">
        <v>4607</v>
      </c>
    </row>
    <row r="13331" spans="1:4" x14ac:dyDescent="0.2">
      <c r="A13331" t="s">
        <v>4605</v>
      </c>
      <c r="B13331" t="str">
        <f>HYPERLINK("https://lindat.mff.cuni.cz/services/teitok/pdtc10/index.php?action=vallex&amp;frame=v-whsa_322hsa_323", "metat (v-whsa_322hsa_323) - substituted with v-whsa_322f1_ZU")</f>
        <v>metat (v-whsa_322hsa_323) - substituted with v-whsa_322f1_ZU</v>
      </c>
    </row>
    <row r="13332" spans="1:4" x14ac:dyDescent="0.2">
      <c r="B13332" t="s">
        <v>1</v>
      </c>
    </row>
    <row r="13333" spans="1:4" x14ac:dyDescent="0.2">
      <c r="B13333" t="s">
        <v>4606</v>
      </c>
    </row>
    <row r="13335" spans="1:4" x14ac:dyDescent="0.2">
      <c r="A13335" t="s">
        <v>4608</v>
      </c>
      <c r="B13335" t="str">
        <f>HYPERLINK("https://lindat.mff.cuni.cz/services/teitok/pdtc10/index.php?action=vallex&amp;frame=v-whsa_959hsa_960", "mhouřit (v-whsa_959hsa_960)")</f>
        <v>mhouřit (v-whsa_959hsa_960)</v>
      </c>
    </row>
    <row r="13336" spans="1:4" x14ac:dyDescent="0.2">
      <c r="B13336" t="s">
        <v>1</v>
      </c>
      <c r="C13336" t="s">
        <v>249</v>
      </c>
    </row>
    <row r="13337" spans="1:4" x14ac:dyDescent="0.2">
      <c r="B13337" t="s">
        <v>8</v>
      </c>
      <c r="C13337" t="s">
        <v>113</v>
      </c>
    </row>
    <row r="13339" spans="1:4" x14ac:dyDescent="0.2">
      <c r="A13339" t="s">
        <v>4609</v>
      </c>
      <c r="B13339" t="str">
        <f>HYPERLINK("https://lindat.mff.cuni.cz/services/teitok/pdtc10/index.php?action=vallex&amp;frame=v-w10395f3_ZU", "migrovat (v-w10395f3_ZU)")</f>
        <v>migrovat (v-w10395f3_ZU)</v>
      </c>
    </row>
    <row r="13340" spans="1:4" x14ac:dyDescent="0.2">
      <c r="B13340" t="s">
        <v>1</v>
      </c>
      <c r="C13340" t="s">
        <v>140</v>
      </c>
      <c r="D13340" t="s">
        <v>23474</v>
      </c>
    </row>
    <row r="13341" spans="1:4" x14ac:dyDescent="0.2">
      <c r="B13341" t="s">
        <v>3344</v>
      </c>
      <c r="D13341" t="s">
        <v>299</v>
      </c>
    </row>
    <row r="13342" spans="1:4" x14ac:dyDescent="0.2">
      <c r="B13342" t="s">
        <v>1944</v>
      </c>
    </row>
    <row r="13344" spans="1:4" x14ac:dyDescent="0.2">
      <c r="A13344" t="s">
        <v>4610</v>
      </c>
      <c r="B13344" t="str">
        <f>HYPERLINK("https://lindat.mff.cuni.cz/services/teitok/pdtc10/index.php?action=vallex&amp;frame=v-w10395f2", "migrovat (v-w10395f2)")</f>
        <v>migrovat (v-w10395f2)</v>
      </c>
    </row>
    <row r="13345" spans="1:4" x14ac:dyDescent="0.2">
      <c r="B13345" t="s">
        <v>1</v>
      </c>
    </row>
    <row r="13346" spans="1:4" x14ac:dyDescent="0.2">
      <c r="B13346" t="s">
        <v>90</v>
      </c>
    </row>
    <row r="13348" spans="1:4" x14ac:dyDescent="0.2">
      <c r="A13348" t="s">
        <v>4611</v>
      </c>
      <c r="B13348" t="str">
        <f>HYPERLINK("https://lindat.mff.cuni.cz/services/teitok/pdtc10/index.php?action=vallex&amp;frame=v-w1826f1", "mihnout se (v-w1826f1)")</f>
        <v>mihnout se (v-w1826f1)</v>
      </c>
    </row>
    <row r="13349" spans="1:4" x14ac:dyDescent="0.2">
      <c r="B13349" t="s">
        <v>1</v>
      </c>
      <c r="C13349" t="s">
        <v>147</v>
      </c>
      <c r="D13349" t="s">
        <v>23475</v>
      </c>
    </row>
    <row r="13351" spans="1:4" x14ac:dyDescent="0.2">
      <c r="A13351" t="s">
        <v>4612</v>
      </c>
      <c r="B13351" t="str">
        <f>HYPERLINK("https://lindat.mff.cuni.cz/services/teitok/pdtc10/index.php?action=vallex&amp;frame=v-w1835f1", "milovat (v-w1835f1)")</f>
        <v>milovat (v-w1835f1)</v>
      </c>
    </row>
    <row r="13352" spans="1:4" x14ac:dyDescent="0.2">
      <c r="B13352" t="s">
        <v>1</v>
      </c>
      <c r="C13352" t="s">
        <v>1566</v>
      </c>
      <c r="D13352" t="s">
        <v>1566</v>
      </c>
    </row>
    <row r="13353" spans="1:4" x14ac:dyDescent="0.2">
      <c r="B13353" t="s">
        <v>41</v>
      </c>
      <c r="C13353" t="s">
        <v>125</v>
      </c>
      <c r="D13353" t="s">
        <v>125</v>
      </c>
    </row>
    <row r="13355" spans="1:4" x14ac:dyDescent="0.2">
      <c r="A13355" t="s">
        <v>4613</v>
      </c>
      <c r="B13355" t="str">
        <f>HYPERLINK("https://lindat.mff.cuni.cz/services/teitok/pdtc10/index.php?action=vallex&amp;frame=v-w1840f1", "minimalizovat (v-w1840f1)")</f>
        <v>minimalizovat (v-w1840f1)</v>
      </c>
    </row>
    <row r="13356" spans="1:4" x14ac:dyDescent="0.2">
      <c r="B13356" t="s">
        <v>1</v>
      </c>
      <c r="C13356" t="s">
        <v>140</v>
      </c>
      <c r="D13356" t="s">
        <v>140</v>
      </c>
    </row>
    <row r="13357" spans="1:4" x14ac:dyDescent="0.2">
      <c r="B13357" t="s">
        <v>8</v>
      </c>
      <c r="C13357" t="s">
        <v>1025</v>
      </c>
      <c r="D13357" t="s">
        <v>1025</v>
      </c>
    </row>
    <row r="13358" spans="1:4" x14ac:dyDescent="0.2">
      <c r="B13358" t="s">
        <v>24</v>
      </c>
    </row>
    <row r="13359" spans="1:4" x14ac:dyDescent="0.2">
      <c r="B13359" t="s">
        <v>61</v>
      </c>
    </row>
    <row r="13361" spans="1:4" x14ac:dyDescent="0.2">
      <c r="A13361" t="s">
        <v>4614</v>
      </c>
      <c r="B13361" t="str">
        <f>HYPERLINK("https://lindat.mff.cuni.cz/services/teitok/pdtc10/index.php?action=vallex&amp;frame=v-w12028_ZUf1_ZU", "ministrovat (v-w12028_ZUf1_ZU)")</f>
        <v>ministrovat (v-w12028_ZUf1_ZU)</v>
      </c>
    </row>
    <row r="13362" spans="1:4" x14ac:dyDescent="0.2">
      <c r="B13362" t="s">
        <v>1</v>
      </c>
    </row>
    <row r="13364" spans="1:4" x14ac:dyDescent="0.2">
      <c r="A13364" t="s">
        <v>4615</v>
      </c>
      <c r="B13364" t="str">
        <f>HYPERLINK("https://lindat.mff.cuni.cz/services/teitok/pdtc10/index.php?action=vallex&amp;frame=v-w1844f1", "minout (v-w1844f1)")</f>
        <v>minout (v-w1844f1)</v>
      </c>
    </row>
    <row r="13365" spans="1:4" x14ac:dyDescent="0.2">
      <c r="B13365" t="s">
        <v>1</v>
      </c>
      <c r="C13365" t="s">
        <v>430</v>
      </c>
      <c r="D13365" t="s">
        <v>430</v>
      </c>
    </row>
    <row r="13366" spans="1:4" x14ac:dyDescent="0.2">
      <c r="B13366" t="s">
        <v>8</v>
      </c>
      <c r="C13366" t="s">
        <v>1044</v>
      </c>
      <c r="D13366" t="s">
        <v>1044</v>
      </c>
    </row>
    <row r="13368" spans="1:4" x14ac:dyDescent="0.2">
      <c r="A13368" t="s">
        <v>4616</v>
      </c>
      <c r="B13368" t="str">
        <f>HYPERLINK("https://lindat.mff.cuni.cz/services/teitok/pdtc10/index.php?action=vallex&amp;frame=v-w1844f2", "minout (v-w1844f2)")</f>
        <v>minout (v-w1844f2)</v>
      </c>
    </row>
    <row r="13369" spans="1:4" x14ac:dyDescent="0.2">
      <c r="B13369" t="s">
        <v>1</v>
      </c>
    </row>
    <row r="13371" spans="1:4" x14ac:dyDescent="0.2">
      <c r="A13371" t="s">
        <v>4617</v>
      </c>
      <c r="B13371" t="str">
        <f>HYPERLINK("https://lindat.mff.cuni.cz/services/teitok/pdtc10/index.php?action=vallex&amp;frame=v-w1844f4_ZU", "minout (v-w1844f4_ZU)")</f>
        <v>minout (v-w1844f4_ZU)</v>
      </c>
    </row>
    <row r="13372" spans="1:4" x14ac:dyDescent="0.2">
      <c r="B13372" t="s">
        <v>1</v>
      </c>
    </row>
    <row r="13373" spans="1:4" x14ac:dyDescent="0.2">
      <c r="B13373" t="s">
        <v>8</v>
      </c>
    </row>
    <row r="13375" spans="1:4" x14ac:dyDescent="0.2">
      <c r="A13375" t="s">
        <v>4617</v>
      </c>
      <c r="B13375" t="str">
        <f>HYPERLINK("https://lindat.mff.cuni.cz/services/teitok/pdtc10/index.php?action=vallex&amp;frame=v-w1844f3_ZU", "minout (v-w1844f3_ZU) - substituted with v-w1844f4_ZU")</f>
        <v>minout (v-w1844f3_ZU) - substituted with v-w1844f4_ZU</v>
      </c>
    </row>
    <row r="13376" spans="1:4" x14ac:dyDescent="0.2">
      <c r="B13376" t="s">
        <v>1</v>
      </c>
    </row>
    <row r="13377" spans="1:4" x14ac:dyDescent="0.2">
      <c r="B13377" t="s">
        <v>8</v>
      </c>
    </row>
    <row r="13379" spans="1:4" x14ac:dyDescent="0.2">
      <c r="A13379" t="s">
        <v>4618</v>
      </c>
      <c r="B13379" t="str">
        <f>HYPERLINK("https://lindat.mff.cuni.cz/services/teitok/pdtc10/index.php?action=vallex&amp;frame=v-whsa_1308hsa_1309", "minout se (v-whsa_1308hsa_1309)")</f>
        <v>minout se (v-whsa_1308hsa_1309)</v>
      </c>
    </row>
    <row r="13380" spans="1:4" x14ac:dyDescent="0.2">
      <c r="B13380" t="s">
        <v>1</v>
      </c>
      <c r="C13380" t="s">
        <v>430</v>
      </c>
    </row>
    <row r="13381" spans="1:4" x14ac:dyDescent="0.2">
      <c r="B13381" t="s">
        <v>158</v>
      </c>
      <c r="C13381" t="s">
        <v>1044</v>
      </c>
    </row>
    <row r="13383" spans="1:4" x14ac:dyDescent="0.2">
      <c r="A13383" t="s">
        <v>4619</v>
      </c>
      <c r="B13383" t="str">
        <f>HYPERLINK("https://lindat.mff.cuni.cz/services/teitok/pdtc10/index.php?action=vallex&amp;frame=v-w11838_ZUf1_ZU", "mistrovat (v-w11838_ZUf1_ZU)")</f>
        <v>mistrovat (v-w11838_ZUf1_ZU)</v>
      </c>
    </row>
    <row r="13384" spans="1:4" x14ac:dyDescent="0.2">
      <c r="B13384" t="s">
        <v>1</v>
      </c>
    </row>
    <row r="13386" spans="1:4" x14ac:dyDescent="0.2">
      <c r="A13386" t="s">
        <v>4620</v>
      </c>
      <c r="B13386" t="str">
        <f>HYPERLINK("https://lindat.mff.cuni.cz/services/teitok/pdtc10/index.php?action=vallex&amp;frame=v-w1859f1", "mizet (v-w1859f1)")</f>
        <v>mizet (v-w1859f1)</v>
      </c>
    </row>
    <row r="13387" spans="1:4" x14ac:dyDescent="0.2">
      <c r="B13387" t="s">
        <v>1</v>
      </c>
      <c r="C13387" t="s">
        <v>3797</v>
      </c>
      <c r="D13387" t="s">
        <v>9222</v>
      </c>
    </row>
    <row r="13389" spans="1:4" x14ac:dyDescent="0.2">
      <c r="A13389" t="s">
        <v>4621</v>
      </c>
      <c r="B13389" t="str">
        <f>HYPERLINK("https://lindat.mff.cuni.cz/services/teitok/pdtc10/index.php?action=vallex&amp;frame=v-w1859f2_ZU", "mizet (v-w1859f2_ZU)")</f>
        <v>mizet (v-w1859f2_ZU)</v>
      </c>
    </row>
    <row r="13390" spans="1:4" x14ac:dyDescent="0.2">
      <c r="B13390" t="s">
        <v>1</v>
      </c>
    </row>
    <row r="13391" spans="1:4" x14ac:dyDescent="0.2">
      <c r="B13391" t="s">
        <v>4622</v>
      </c>
    </row>
    <row r="13393" spans="1:4" x14ac:dyDescent="0.2">
      <c r="A13393" t="s">
        <v>4623</v>
      </c>
      <c r="B13393" t="str">
        <f>HYPERLINK("https://lindat.mff.cuni.cz/services/teitok/pdtc10/index.php?action=vallex&amp;frame=v-w1868f6", "mluvit (v-w1868f6)")</f>
        <v>mluvit (v-w1868f6)</v>
      </c>
    </row>
    <row r="13394" spans="1:4" x14ac:dyDescent="0.2">
      <c r="B13394" t="s">
        <v>1</v>
      </c>
    </row>
    <row r="13395" spans="1:4" x14ac:dyDescent="0.2">
      <c r="B13395" t="s">
        <v>817</v>
      </c>
    </row>
    <row r="13396" spans="1:4" x14ac:dyDescent="0.2">
      <c r="B13396" t="s">
        <v>78</v>
      </c>
    </row>
    <row r="13398" spans="1:4" x14ac:dyDescent="0.2">
      <c r="A13398" t="s">
        <v>4624</v>
      </c>
      <c r="B13398" t="str">
        <f>HYPERLINK("https://lindat.mff.cuni.cz/services/teitok/pdtc10/index.php?action=vallex&amp;frame=v-w1868f1", "mluvit (v-w1868f1)")</f>
        <v>mluvit (v-w1868f1)</v>
      </c>
    </row>
    <row r="13399" spans="1:4" x14ac:dyDescent="0.2">
      <c r="B13399" t="s">
        <v>1</v>
      </c>
      <c r="C13399" t="s">
        <v>4625</v>
      </c>
      <c r="D13399" t="s">
        <v>22973</v>
      </c>
    </row>
    <row r="13400" spans="1:4" x14ac:dyDescent="0.2">
      <c r="B13400" t="s">
        <v>4626</v>
      </c>
      <c r="C13400" t="s">
        <v>4627</v>
      </c>
      <c r="D13400" t="s">
        <v>22974</v>
      </c>
    </row>
    <row r="13401" spans="1:4" x14ac:dyDescent="0.2">
      <c r="B13401" t="s">
        <v>2328</v>
      </c>
      <c r="C13401" t="s">
        <v>4628</v>
      </c>
      <c r="D13401" t="s">
        <v>22975</v>
      </c>
    </row>
    <row r="13403" spans="1:4" x14ac:dyDescent="0.2">
      <c r="A13403" t="s">
        <v>4629</v>
      </c>
      <c r="B13403" t="str">
        <f>HYPERLINK("https://lindat.mff.cuni.cz/services/teitok/pdtc10/index.php?action=vallex&amp;frame=v-w1868f5", "mluvit (v-w1868f5)")</f>
        <v>mluvit (v-w1868f5)</v>
      </c>
    </row>
    <row r="13404" spans="1:4" x14ac:dyDescent="0.2">
      <c r="B13404" t="s">
        <v>1</v>
      </c>
      <c r="C13404" t="s">
        <v>1372</v>
      </c>
      <c r="D13404" t="s">
        <v>22973</v>
      </c>
    </row>
    <row r="13405" spans="1:4" x14ac:dyDescent="0.2">
      <c r="B13405" t="s">
        <v>4630</v>
      </c>
      <c r="C13405" t="s">
        <v>4631</v>
      </c>
      <c r="D13405" t="s">
        <v>22974</v>
      </c>
    </row>
    <row r="13406" spans="1:4" x14ac:dyDescent="0.2">
      <c r="B13406" t="s">
        <v>949</v>
      </c>
      <c r="C13406" t="s">
        <v>4632</v>
      </c>
      <c r="D13406" t="s">
        <v>22975</v>
      </c>
    </row>
    <row r="13408" spans="1:4" x14ac:dyDescent="0.2">
      <c r="A13408" t="s">
        <v>4633</v>
      </c>
      <c r="B13408" t="str">
        <f>HYPERLINK("https://lindat.mff.cuni.cz/services/teitok/pdtc10/index.php?action=vallex&amp;frame=v-w1868f3", "mluvit (v-w1868f3)")</f>
        <v>mluvit (v-w1868f3)</v>
      </c>
    </row>
    <row r="13409" spans="1:3" x14ac:dyDescent="0.2">
      <c r="B13409" t="s">
        <v>1</v>
      </c>
      <c r="C13409" t="s">
        <v>4634</v>
      </c>
    </row>
    <row r="13410" spans="1:3" x14ac:dyDescent="0.2">
      <c r="B13410" t="s">
        <v>8</v>
      </c>
      <c r="C13410" t="s">
        <v>4635</v>
      </c>
    </row>
    <row r="13412" spans="1:3" x14ac:dyDescent="0.2">
      <c r="A13412" t="s">
        <v>4636</v>
      </c>
      <c r="B13412" t="str">
        <f>HYPERLINK("https://lindat.mff.cuni.cz/services/teitok/pdtc10/index.php?action=vallex&amp;frame=v-w1868f10", "mluvit (v-w1868f10)")</f>
        <v>mluvit (v-w1868f10)</v>
      </c>
    </row>
    <row r="13413" spans="1:3" x14ac:dyDescent="0.2">
      <c r="B13413" t="s">
        <v>1</v>
      </c>
    </row>
    <row r="13414" spans="1:3" x14ac:dyDescent="0.2">
      <c r="B13414" t="s">
        <v>8</v>
      </c>
    </row>
    <row r="13416" spans="1:3" x14ac:dyDescent="0.2">
      <c r="A13416" t="s">
        <v>4637</v>
      </c>
      <c r="B13416" t="str">
        <f>HYPERLINK("https://lindat.mff.cuni.cz/services/teitok/pdtc10/index.php?action=vallex&amp;frame=v-w1868f9", "mluvit (v-w1868f9)")</f>
        <v>mluvit (v-w1868f9)</v>
      </c>
    </row>
    <row r="13417" spans="1:3" x14ac:dyDescent="0.2">
      <c r="B13417" t="s">
        <v>1</v>
      </c>
    </row>
    <row r="13418" spans="1:3" x14ac:dyDescent="0.2">
      <c r="B13418" t="s">
        <v>183</v>
      </c>
    </row>
    <row r="13420" spans="1:3" x14ac:dyDescent="0.2">
      <c r="A13420" t="s">
        <v>4638</v>
      </c>
      <c r="B13420" t="str">
        <f>HYPERLINK("https://lindat.mff.cuni.cz/services/teitok/pdtc10/index.php?action=vallex&amp;frame=v-w1868f4", "mluvit (v-w1868f4)")</f>
        <v>mluvit (v-w1868f4)</v>
      </c>
    </row>
    <row r="13421" spans="1:3" x14ac:dyDescent="0.2">
      <c r="B13421" t="s">
        <v>1</v>
      </c>
      <c r="C13421" t="s">
        <v>1366</v>
      </c>
    </row>
    <row r="13422" spans="1:3" x14ac:dyDescent="0.2">
      <c r="B13422" t="s">
        <v>4639</v>
      </c>
      <c r="C13422" t="s">
        <v>4640</v>
      </c>
    </row>
    <row r="13424" spans="1:3" x14ac:dyDescent="0.2">
      <c r="A13424" t="s">
        <v>4641</v>
      </c>
      <c r="B13424" t="str">
        <f>HYPERLINK("https://lindat.mff.cuni.cz/services/teitok/pdtc10/index.php?action=vallex&amp;frame=v-w1868f8", "mluvit (v-w1868f8)")</f>
        <v>mluvit (v-w1868f8)</v>
      </c>
    </row>
    <row r="13425" spans="1:4" x14ac:dyDescent="0.2">
      <c r="B13425" t="s">
        <v>1</v>
      </c>
      <c r="C13425" t="s">
        <v>33</v>
      </c>
    </row>
    <row r="13426" spans="1:4" x14ac:dyDescent="0.2">
      <c r="B13426" t="s">
        <v>4642</v>
      </c>
    </row>
    <row r="13428" spans="1:4" x14ac:dyDescent="0.2">
      <c r="A13428" t="s">
        <v>4643</v>
      </c>
      <c r="B13428" t="str">
        <f>HYPERLINK("https://lindat.mff.cuni.cz/services/teitok/pdtc10/index.php?action=vallex&amp;frame=v-w1868f2", "mluvit (v-w1868f2)")</f>
        <v>mluvit (v-w1868f2)</v>
      </c>
    </row>
    <row r="13429" spans="1:4" x14ac:dyDescent="0.2">
      <c r="B13429" t="s">
        <v>1</v>
      </c>
      <c r="C13429" t="s">
        <v>4644</v>
      </c>
      <c r="D13429" t="s">
        <v>3417</v>
      </c>
    </row>
    <row r="13431" spans="1:4" x14ac:dyDescent="0.2">
      <c r="A13431" t="s">
        <v>4645</v>
      </c>
      <c r="B13431" t="str">
        <f>HYPERLINK("https://lindat.mff.cuni.cz/services/teitok/pdtc10/index.php?action=vallex&amp;frame=v-w1868f11", "mluvit (v-w1868f11)")</f>
        <v>mluvit (v-w1868f11)</v>
      </c>
    </row>
    <row r="13432" spans="1:4" x14ac:dyDescent="0.2">
      <c r="B13432" t="s">
        <v>1</v>
      </c>
    </row>
    <row r="13433" spans="1:4" x14ac:dyDescent="0.2">
      <c r="B13433" t="s">
        <v>4646</v>
      </c>
    </row>
    <row r="13434" spans="1:4" x14ac:dyDescent="0.2">
      <c r="B13434" t="s">
        <v>103</v>
      </c>
    </row>
    <row r="13436" spans="1:4" x14ac:dyDescent="0.2">
      <c r="A13436" t="s">
        <v>4647</v>
      </c>
      <c r="B13436" t="str">
        <f>HYPERLINK("https://lindat.mff.cuni.cz/services/teitok/pdtc10/index.php?action=vallex&amp;frame=v-w1868f7", "mluvit (v-w1868f7)")</f>
        <v>mluvit (v-w1868f7)</v>
      </c>
    </row>
    <row r="13437" spans="1:4" x14ac:dyDescent="0.2">
      <c r="B13437" t="s">
        <v>1</v>
      </c>
    </row>
    <row r="13438" spans="1:4" x14ac:dyDescent="0.2">
      <c r="B13438" t="s">
        <v>3423</v>
      </c>
    </row>
    <row r="13440" spans="1:4" x14ac:dyDescent="0.2">
      <c r="A13440" t="s">
        <v>4648</v>
      </c>
      <c r="B13440" t="str">
        <f>HYPERLINK("https://lindat.mff.cuni.cz/services/teitok/pdtc10/index.php?action=vallex&amp;frame=v-w1868f12_ZU", "mluvit (v-w1868f12_ZU)")</f>
        <v>mluvit (v-w1868f12_ZU)</v>
      </c>
    </row>
    <row r="13441" spans="1:4" x14ac:dyDescent="0.2">
      <c r="B13441" t="s">
        <v>1</v>
      </c>
    </row>
    <row r="13442" spans="1:4" x14ac:dyDescent="0.2">
      <c r="B13442" t="s">
        <v>1012</v>
      </c>
    </row>
    <row r="13444" spans="1:4" x14ac:dyDescent="0.2">
      <c r="A13444" t="s">
        <v>4649</v>
      </c>
      <c r="B13444" t="str">
        <f>HYPERLINK("https://lindat.mff.cuni.cz/services/teitok/pdtc10/index.php?action=vallex&amp;frame=v-w1868hsa_1783", "mluvit (v-w1868hsa_1783)")</f>
        <v>mluvit (v-w1868hsa_1783)</v>
      </c>
    </row>
    <row r="13445" spans="1:4" x14ac:dyDescent="0.2">
      <c r="B13445" t="s">
        <v>1</v>
      </c>
    </row>
    <row r="13446" spans="1:4" x14ac:dyDescent="0.2">
      <c r="B13446" t="s">
        <v>183</v>
      </c>
    </row>
    <row r="13447" spans="1:4" x14ac:dyDescent="0.2">
      <c r="B13447" t="s">
        <v>2328</v>
      </c>
    </row>
    <row r="13448" spans="1:4" x14ac:dyDescent="0.2">
      <c r="B13448" t="s">
        <v>3021</v>
      </c>
    </row>
    <row r="13450" spans="1:4" x14ac:dyDescent="0.2">
      <c r="A13450" t="s">
        <v>4650</v>
      </c>
      <c r="B13450" t="str">
        <f>HYPERLINK("https://lindat.mff.cuni.cz/services/teitok/pdtc10/index.php?action=vallex&amp;frame=v-w1860f2", "mlátit (v-w1860f2)")</f>
        <v>mlátit (v-w1860f2)</v>
      </c>
    </row>
    <row r="13451" spans="1:4" x14ac:dyDescent="0.2">
      <c r="B13451" t="s">
        <v>1</v>
      </c>
      <c r="D13451" t="s">
        <v>33</v>
      </c>
    </row>
    <row r="13452" spans="1:4" x14ac:dyDescent="0.2">
      <c r="B13452" t="s">
        <v>8</v>
      </c>
      <c r="D13452" t="s">
        <v>84</v>
      </c>
    </row>
    <row r="13454" spans="1:4" x14ac:dyDescent="0.2">
      <c r="A13454" t="s">
        <v>4651</v>
      </c>
      <c r="B13454" t="str">
        <f>HYPERLINK("https://lindat.mff.cuni.cz/services/teitok/pdtc10/index.php?action=vallex&amp;frame=v-w1860f1", "mlátit (v-w1860f1)")</f>
        <v>mlátit (v-w1860f1)</v>
      </c>
    </row>
    <row r="13455" spans="1:4" x14ac:dyDescent="0.2">
      <c r="B13455" t="s">
        <v>1</v>
      </c>
      <c r="D13455" t="s">
        <v>140</v>
      </c>
    </row>
    <row r="13456" spans="1:4" x14ac:dyDescent="0.2">
      <c r="B13456" t="s">
        <v>158</v>
      </c>
      <c r="D13456" t="s">
        <v>113</v>
      </c>
    </row>
    <row r="13458" spans="1:2" x14ac:dyDescent="0.2">
      <c r="A13458" t="s">
        <v>4652</v>
      </c>
      <c r="B13458" t="str">
        <f>HYPERLINK("https://lindat.mff.cuni.cz/services/teitok/pdtc10/index.php?action=vallex&amp;frame=v-w1860f4", "mlátit (v-w1860f4)")</f>
        <v>mlátit (v-w1860f4)</v>
      </c>
    </row>
    <row r="13459" spans="1:2" x14ac:dyDescent="0.2">
      <c r="B13459" t="s">
        <v>1</v>
      </c>
    </row>
    <row r="13460" spans="1:2" x14ac:dyDescent="0.2">
      <c r="B13460" t="s">
        <v>90</v>
      </c>
    </row>
    <row r="13462" spans="1:2" x14ac:dyDescent="0.2">
      <c r="A13462" t="s">
        <v>4653</v>
      </c>
      <c r="B13462" t="str">
        <f>HYPERLINK("https://lindat.mff.cuni.cz/services/teitok/pdtc10/index.php?action=vallex&amp;frame=v-w1860f3", "mlátit (v-w1860f3)")</f>
        <v>mlátit (v-w1860f3)</v>
      </c>
    </row>
    <row r="13463" spans="1:2" x14ac:dyDescent="0.2">
      <c r="B13463" t="s">
        <v>1</v>
      </c>
    </row>
    <row r="13464" spans="1:2" x14ac:dyDescent="0.2">
      <c r="B13464" t="s">
        <v>4654</v>
      </c>
    </row>
    <row r="13466" spans="1:2" x14ac:dyDescent="0.2">
      <c r="A13466" t="s">
        <v>4655</v>
      </c>
      <c r="B13466" t="str">
        <f>HYPERLINK("https://lindat.mff.cuni.cz/services/teitok/pdtc10/index.php?action=vallex&amp;frame=v-w1860hsa_1685", "mlátit (v-w1860hsa_1685)")</f>
        <v>mlátit (v-w1860hsa_1685)</v>
      </c>
    </row>
    <row r="13467" spans="1:2" x14ac:dyDescent="0.2">
      <c r="B13467" t="s">
        <v>1</v>
      </c>
    </row>
    <row r="13468" spans="1:2" x14ac:dyDescent="0.2">
      <c r="B13468" t="s">
        <v>8</v>
      </c>
    </row>
    <row r="13470" spans="1:2" x14ac:dyDescent="0.2">
      <c r="A13470" t="s">
        <v>4656</v>
      </c>
      <c r="B13470" t="str">
        <f>HYPERLINK("https://lindat.mff.cuni.cz/services/teitok/pdtc10/index.php?action=vallex&amp;frame=v-w1864f1", "mlít (v-w1864f1)")</f>
        <v>mlít (v-w1864f1)</v>
      </c>
    </row>
    <row r="13471" spans="1:2" x14ac:dyDescent="0.2">
      <c r="B13471" t="s">
        <v>1</v>
      </c>
    </row>
    <row r="13472" spans="1:2" x14ac:dyDescent="0.2">
      <c r="B13472" t="s">
        <v>8</v>
      </c>
    </row>
    <row r="13473" spans="1:4" x14ac:dyDescent="0.2">
      <c r="B13473" t="s">
        <v>24</v>
      </c>
    </row>
    <row r="13474" spans="1:4" x14ac:dyDescent="0.2">
      <c r="B13474" t="s">
        <v>61</v>
      </c>
    </row>
    <row r="13476" spans="1:4" x14ac:dyDescent="0.2">
      <c r="A13476" t="s">
        <v>4657</v>
      </c>
      <c r="B13476" t="str">
        <f>HYPERLINK("https://lindat.mff.cuni.cz/services/teitok/pdtc10/index.php?action=vallex&amp;frame=v-w1864f2_ZU", "mlít (v-w1864f2_ZU)")</f>
        <v>mlít (v-w1864f2_ZU)</v>
      </c>
    </row>
    <row r="13477" spans="1:4" x14ac:dyDescent="0.2">
      <c r="B13477" t="s">
        <v>1</v>
      </c>
    </row>
    <row r="13478" spans="1:4" x14ac:dyDescent="0.2">
      <c r="B13478" t="s">
        <v>4654</v>
      </c>
    </row>
    <row r="13480" spans="1:4" x14ac:dyDescent="0.2">
      <c r="A13480" t="s">
        <v>4657</v>
      </c>
      <c r="B13480" t="str">
        <f>HYPERLINK("https://lindat.mff.cuni.cz/services/teitok/pdtc10/index.php?action=vallex&amp;frame=v-w1864hsa_1264", "mlít (v-w1864hsa_1264) - substituted with v-w1864f2_ZU")</f>
        <v>mlít (v-w1864hsa_1264) - substituted with v-w1864f2_ZU</v>
      </c>
    </row>
    <row r="13481" spans="1:4" x14ac:dyDescent="0.2">
      <c r="B13481" t="s">
        <v>1</v>
      </c>
    </row>
    <row r="13482" spans="1:4" x14ac:dyDescent="0.2">
      <c r="B13482" t="s">
        <v>4654</v>
      </c>
    </row>
    <row r="13484" spans="1:4" x14ac:dyDescent="0.2">
      <c r="A13484" t="s">
        <v>4658</v>
      </c>
      <c r="B13484" t="str">
        <f>HYPERLINK("https://lindat.mff.cuni.cz/services/teitok/pdtc10/index.php?action=vallex&amp;frame=v-w1862f1", "mlčet (v-w1862f1)")</f>
        <v>mlčet (v-w1862f1)</v>
      </c>
    </row>
    <row r="13485" spans="1:4" x14ac:dyDescent="0.2">
      <c r="B13485" t="s">
        <v>1</v>
      </c>
      <c r="D13485" t="s">
        <v>23440</v>
      </c>
    </row>
    <row r="13486" spans="1:4" x14ac:dyDescent="0.2">
      <c r="B13486" t="s">
        <v>269</v>
      </c>
      <c r="D13486" t="s">
        <v>23441</v>
      </c>
    </row>
    <row r="13488" spans="1:4" x14ac:dyDescent="0.2">
      <c r="A13488" t="s">
        <v>4659</v>
      </c>
      <c r="B13488" t="str">
        <f>HYPERLINK("https://lindat.mff.cuni.cz/services/teitok/pdtc10/index.php?action=vallex&amp;frame=v-w10869f3", "mlžit (v-w10869f3)")</f>
        <v>mlžit (v-w10869f3)</v>
      </c>
    </row>
    <row r="13489" spans="1:4" x14ac:dyDescent="0.2">
      <c r="B13489" t="s">
        <v>1</v>
      </c>
      <c r="C13489" t="s">
        <v>33</v>
      </c>
      <c r="D13489" t="s">
        <v>23476</v>
      </c>
    </row>
    <row r="13490" spans="1:4" x14ac:dyDescent="0.2">
      <c r="B13490" t="s">
        <v>269</v>
      </c>
      <c r="C13490" t="s">
        <v>991</v>
      </c>
      <c r="D13490" t="s">
        <v>23477</v>
      </c>
    </row>
    <row r="13492" spans="1:4" x14ac:dyDescent="0.2">
      <c r="A13492" t="s">
        <v>4660</v>
      </c>
      <c r="B13492" t="str">
        <f>HYPERLINK("https://lindat.mff.cuni.cz/services/teitok/pdtc10/index.php?action=vallex&amp;frame=v-w1869f1", "mnout (v-w1869f1)")</f>
        <v>mnout (v-w1869f1)</v>
      </c>
    </row>
    <row r="13493" spans="1:4" x14ac:dyDescent="0.2">
      <c r="B13493" t="s">
        <v>1</v>
      </c>
    </row>
    <row r="13494" spans="1:4" x14ac:dyDescent="0.2">
      <c r="B13494" t="s">
        <v>8</v>
      </c>
    </row>
    <row r="13496" spans="1:4" x14ac:dyDescent="0.2">
      <c r="A13496" t="s">
        <v>4661</v>
      </c>
      <c r="B13496" t="str">
        <f>HYPERLINK("https://lindat.mff.cuni.cz/services/teitok/pdtc10/index.php?action=vallex&amp;frame=v-w11755_ZUf1_ZU", "množit (v-w11755_ZUf1_ZU)")</f>
        <v>množit (v-w11755_ZUf1_ZU)</v>
      </c>
    </row>
    <row r="13497" spans="1:4" x14ac:dyDescent="0.2">
      <c r="B13497" t="s">
        <v>1</v>
      </c>
    </row>
    <row r="13499" spans="1:4" x14ac:dyDescent="0.2">
      <c r="A13499" t="s">
        <v>4662</v>
      </c>
      <c r="B13499" t="str">
        <f>HYPERLINK("https://lindat.mff.cuni.cz/services/teitok/pdtc10/index.php?action=vallex&amp;frame=v-w1871f1", "množit se (v-w1871f1)")</f>
        <v>množit se (v-w1871f1)</v>
      </c>
    </row>
    <row r="13500" spans="1:4" x14ac:dyDescent="0.2">
      <c r="B13500" t="s">
        <v>1</v>
      </c>
      <c r="C13500" t="s">
        <v>4663</v>
      </c>
      <c r="D13500" t="s">
        <v>23355</v>
      </c>
    </row>
    <row r="13502" spans="1:4" x14ac:dyDescent="0.2">
      <c r="A13502" t="s">
        <v>4664</v>
      </c>
      <c r="B13502" t="str">
        <f>HYPERLINK("https://lindat.mff.cuni.cz/services/teitok/pdtc10/index.php?action=vallex&amp;frame=v-w1872f2", "mobilizovat (v-w1872f2)")</f>
        <v>mobilizovat (v-w1872f2)</v>
      </c>
    </row>
    <row r="13503" spans="1:4" x14ac:dyDescent="0.2">
      <c r="B13503" t="s">
        <v>1</v>
      </c>
    </row>
    <row r="13504" spans="1:4" x14ac:dyDescent="0.2">
      <c r="B13504" t="s">
        <v>3788</v>
      </c>
    </row>
    <row r="13505" spans="1:4" x14ac:dyDescent="0.2">
      <c r="B13505" t="s">
        <v>58</v>
      </c>
    </row>
    <row r="13507" spans="1:4" x14ac:dyDescent="0.2">
      <c r="A13507" t="s">
        <v>4665</v>
      </c>
      <c r="B13507" t="str">
        <f>HYPERLINK("https://lindat.mff.cuni.cz/services/teitok/pdtc10/index.php?action=vallex&amp;frame=v-w1872f1", "mobilizovat (v-w1872f1)")</f>
        <v>mobilizovat (v-w1872f1)</v>
      </c>
    </row>
    <row r="13508" spans="1:4" x14ac:dyDescent="0.2">
      <c r="B13508" t="s">
        <v>1</v>
      </c>
      <c r="C13508" t="s">
        <v>83</v>
      </c>
      <c r="D13508" t="s">
        <v>370</v>
      </c>
    </row>
    <row r="13509" spans="1:4" x14ac:dyDescent="0.2">
      <c r="B13509" t="s">
        <v>8</v>
      </c>
      <c r="C13509" t="s">
        <v>1128</v>
      </c>
      <c r="D13509" t="s">
        <v>969</v>
      </c>
    </row>
    <row r="13511" spans="1:4" x14ac:dyDescent="0.2">
      <c r="A13511" t="s">
        <v>4666</v>
      </c>
      <c r="B13511" t="str">
        <f>HYPERLINK("https://lindat.mff.cuni.cz/services/teitok/pdtc10/index.php?action=vallex&amp;frame=v-w1875f2", "moci (v-w1875f2)")</f>
        <v>moci (v-w1875f2)</v>
      </c>
    </row>
    <row r="13512" spans="1:4" x14ac:dyDescent="0.2">
      <c r="B13512" t="s">
        <v>1</v>
      </c>
      <c r="C13512" t="s">
        <v>4667</v>
      </c>
    </row>
    <row r="13513" spans="1:4" x14ac:dyDescent="0.2">
      <c r="B13513" t="s">
        <v>2527</v>
      </c>
      <c r="C13513" t="s">
        <v>4668</v>
      </c>
    </row>
    <row r="13515" spans="1:4" x14ac:dyDescent="0.2">
      <c r="A13515" t="s">
        <v>4669</v>
      </c>
      <c r="B13515" t="str">
        <f>HYPERLINK("https://lindat.mff.cuni.cz/services/teitok/pdtc10/index.php?action=vallex&amp;frame=v-w1875f1", "moci (v-w1875f1)")</f>
        <v>moci (v-w1875f1)</v>
      </c>
    </row>
    <row r="13516" spans="1:4" x14ac:dyDescent="0.2">
      <c r="B13516" t="s">
        <v>1</v>
      </c>
      <c r="D13516" t="s">
        <v>23478</v>
      </c>
    </row>
    <row r="13517" spans="1:4" x14ac:dyDescent="0.2">
      <c r="B13517" t="s">
        <v>357</v>
      </c>
      <c r="D13517" t="s">
        <v>23479</v>
      </c>
    </row>
    <row r="13519" spans="1:4" x14ac:dyDescent="0.2">
      <c r="A13519" t="s">
        <v>4670</v>
      </c>
      <c r="B13519" t="str">
        <f>HYPERLINK("https://lindat.mff.cuni.cz/services/teitok/pdtc10/index.php?action=vallex&amp;frame=v-w1875f3_ZU", "moci (v-w1875f3_ZU)")</f>
        <v>moci (v-w1875f3_ZU)</v>
      </c>
    </row>
    <row r="13520" spans="1:4" x14ac:dyDescent="0.2">
      <c r="B13520" t="s">
        <v>1</v>
      </c>
    </row>
    <row r="13521" spans="1:4" x14ac:dyDescent="0.2">
      <c r="B13521" t="s">
        <v>8</v>
      </c>
    </row>
    <row r="13523" spans="1:4" x14ac:dyDescent="0.2">
      <c r="A13523" t="s">
        <v>4671</v>
      </c>
      <c r="B13523" t="str">
        <f>HYPERLINK("https://lindat.mff.cuni.cz/services/teitok/pdtc10/index.php?action=vallex&amp;frame=v-w1875hsa_1564", "moci (v-w1875hsa_1564)")</f>
        <v>moci (v-w1875hsa_1564)</v>
      </c>
    </row>
    <row r="13524" spans="1:4" x14ac:dyDescent="0.2">
      <c r="B13524" t="s">
        <v>1</v>
      </c>
    </row>
    <row r="13525" spans="1:4" x14ac:dyDescent="0.2">
      <c r="B13525" t="s">
        <v>8</v>
      </c>
    </row>
    <row r="13527" spans="1:4" x14ac:dyDescent="0.2">
      <c r="A13527" t="s">
        <v>4672</v>
      </c>
      <c r="B13527" t="str">
        <f>HYPERLINK("https://lindat.mff.cuni.cz/services/teitok/pdtc10/index.php?action=vallex&amp;frame=v-w1876f1", "moci si (v-w1876f1)")</f>
        <v>moci si (v-w1876f1)</v>
      </c>
    </row>
    <row r="13528" spans="1:4" x14ac:dyDescent="0.2">
      <c r="B13528" t="s">
        <v>1</v>
      </c>
      <c r="D13528" t="s">
        <v>23478</v>
      </c>
    </row>
    <row r="13529" spans="1:4" x14ac:dyDescent="0.2">
      <c r="B13529" t="s">
        <v>357</v>
      </c>
      <c r="D13529" t="s">
        <v>23479</v>
      </c>
    </row>
    <row r="13531" spans="1:4" x14ac:dyDescent="0.2">
      <c r="A13531" t="s">
        <v>4673</v>
      </c>
      <c r="B13531" t="str">
        <f>HYPERLINK("https://lindat.mff.cuni.cz/services/teitok/pdtc10/index.php?action=vallex&amp;frame=v-w11137f2", "modelovat (v-w11137f2)")</f>
        <v>modelovat (v-w11137f2)</v>
      </c>
    </row>
    <row r="13532" spans="1:4" x14ac:dyDescent="0.2">
      <c r="B13532" t="s">
        <v>1</v>
      </c>
      <c r="D13532" t="s">
        <v>23480</v>
      </c>
    </row>
    <row r="13533" spans="1:4" x14ac:dyDescent="0.2">
      <c r="B13533" t="s">
        <v>8</v>
      </c>
      <c r="D13533" t="s">
        <v>23481</v>
      </c>
    </row>
    <row r="13534" spans="1:4" x14ac:dyDescent="0.2">
      <c r="B13534" t="s">
        <v>24</v>
      </c>
      <c r="D13534" t="s">
        <v>23482</v>
      </c>
    </row>
    <row r="13536" spans="1:4" x14ac:dyDescent="0.2">
      <c r="A13536" t="s">
        <v>4674</v>
      </c>
      <c r="B13536" t="str">
        <f>HYPERLINK("https://lindat.mff.cuni.cz/services/teitok/pdtc10/index.php?action=vallex&amp;frame=v-w1881f1", "modernizovat (v-w1881f1)")</f>
        <v>modernizovat (v-w1881f1)</v>
      </c>
    </row>
    <row r="13537" spans="1:4" x14ac:dyDescent="0.2">
      <c r="B13537" t="s">
        <v>1</v>
      </c>
      <c r="C13537" t="s">
        <v>4675</v>
      </c>
      <c r="D13537" t="s">
        <v>3742</v>
      </c>
    </row>
    <row r="13538" spans="1:4" x14ac:dyDescent="0.2">
      <c r="B13538" t="s">
        <v>8</v>
      </c>
      <c r="C13538" t="s">
        <v>4676</v>
      </c>
      <c r="D13538" t="s">
        <v>5571</v>
      </c>
    </row>
    <row r="13540" spans="1:4" x14ac:dyDescent="0.2">
      <c r="A13540" t="s">
        <v>4677</v>
      </c>
      <c r="B13540" t="str">
        <f>HYPERLINK("https://lindat.mff.cuni.cz/services/teitok/pdtc10/index.php?action=vallex&amp;frame=v-w11108f2", "moderovat (v-w11108f2)")</f>
        <v>moderovat (v-w11108f2)</v>
      </c>
    </row>
    <row r="13541" spans="1:4" x14ac:dyDescent="0.2">
      <c r="B13541" t="s">
        <v>1</v>
      </c>
      <c r="D13541" t="s">
        <v>23098</v>
      </c>
    </row>
    <row r="13542" spans="1:4" x14ac:dyDescent="0.2">
      <c r="B13542" t="s">
        <v>8</v>
      </c>
      <c r="D13542" t="s">
        <v>16830</v>
      </c>
    </row>
    <row r="13544" spans="1:4" x14ac:dyDescent="0.2">
      <c r="A13544" t="s">
        <v>4678</v>
      </c>
      <c r="B13544" t="str">
        <f>HYPERLINK("https://lindat.mff.cuni.cz/services/teitok/pdtc10/index.php?action=vallex&amp;frame=v-w1883f1", "modifikovat (v-w1883f1)")</f>
        <v>modifikovat (v-w1883f1)</v>
      </c>
    </row>
    <row r="13545" spans="1:4" x14ac:dyDescent="0.2">
      <c r="B13545" t="s">
        <v>1</v>
      </c>
      <c r="C13545" t="s">
        <v>430</v>
      </c>
      <c r="D13545" t="s">
        <v>22944</v>
      </c>
    </row>
    <row r="13546" spans="1:4" x14ac:dyDescent="0.2">
      <c r="B13546" t="s">
        <v>8</v>
      </c>
      <c r="C13546" t="s">
        <v>1340</v>
      </c>
      <c r="D13546" t="s">
        <v>22945</v>
      </c>
    </row>
    <row r="13548" spans="1:4" x14ac:dyDescent="0.2">
      <c r="A13548" t="s">
        <v>4679</v>
      </c>
      <c r="B13548" t="str">
        <f>HYPERLINK("https://lindat.mff.cuni.cz/services/teitok/pdtc10/index.php?action=vallex&amp;frame=v-w1885f2_ZU", "modlit se (v-w1885f2_ZU)")</f>
        <v>modlit se (v-w1885f2_ZU)</v>
      </c>
    </row>
    <row r="13549" spans="1:4" x14ac:dyDescent="0.2">
      <c r="B13549" t="s">
        <v>1</v>
      </c>
      <c r="C13549" t="s">
        <v>140</v>
      </c>
      <c r="D13549" t="s">
        <v>23483</v>
      </c>
    </row>
    <row r="13550" spans="1:4" x14ac:dyDescent="0.2">
      <c r="B13550" t="s">
        <v>220</v>
      </c>
      <c r="C13550" t="s">
        <v>113</v>
      </c>
      <c r="D13550" t="s">
        <v>23484</v>
      </c>
    </row>
    <row r="13551" spans="1:4" x14ac:dyDescent="0.2">
      <c r="B13551" t="s">
        <v>413</v>
      </c>
    </row>
    <row r="13553" spans="1:4" x14ac:dyDescent="0.2">
      <c r="A13553" t="s">
        <v>4679</v>
      </c>
      <c r="B13553" t="str">
        <f>HYPERLINK("https://lindat.mff.cuni.cz/services/teitok/pdtc10/index.php?action=vallex&amp;frame=v-w1885f1", "modlit se (v-w1885f1) - substituted with v-w1885f2_ZU")</f>
        <v>modlit se (v-w1885f1) - substituted with v-w1885f2_ZU</v>
      </c>
    </row>
    <row r="13554" spans="1:4" x14ac:dyDescent="0.2">
      <c r="B13554" t="s">
        <v>1</v>
      </c>
    </row>
    <row r="13555" spans="1:4" x14ac:dyDescent="0.2">
      <c r="B13555" t="s">
        <v>220</v>
      </c>
    </row>
    <row r="13556" spans="1:4" x14ac:dyDescent="0.2">
      <c r="B13556" t="s">
        <v>413</v>
      </c>
    </row>
    <row r="13558" spans="1:4" x14ac:dyDescent="0.2">
      <c r="A13558" t="s">
        <v>4679</v>
      </c>
      <c r="B13558" t="str">
        <f>HYPERLINK("https://lindat.mff.cuni.cz/services/teitok/pdtc10/index.php?action=vallex&amp;frame=v-w1885hsa_488", "modlit se (v-w1885hsa_488) - substituted with v-w1885f2_ZU")</f>
        <v>modlit se (v-w1885hsa_488) - substituted with v-w1885f2_ZU</v>
      </c>
    </row>
    <row r="13559" spans="1:4" x14ac:dyDescent="0.2">
      <c r="B13559" t="s">
        <v>1</v>
      </c>
    </row>
    <row r="13560" spans="1:4" x14ac:dyDescent="0.2">
      <c r="B13560" t="s">
        <v>220</v>
      </c>
    </row>
    <row r="13561" spans="1:4" x14ac:dyDescent="0.2">
      <c r="B13561" t="s">
        <v>413</v>
      </c>
    </row>
    <row r="13563" spans="1:4" x14ac:dyDescent="0.2">
      <c r="A13563" t="s">
        <v>4680</v>
      </c>
      <c r="B13563" t="str">
        <f>HYPERLINK("https://lindat.mff.cuni.cz/services/teitok/pdtc10/index.php?action=vallex&amp;frame=v-w11005f2", "modulovat (v-w11005f2)")</f>
        <v>modulovat (v-w11005f2)</v>
      </c>
    </row>
    <row r="13564" spans="1:4" x14ac:dyDescent="0.2">
      <c r="B13564" t="s">
        <v>1</v>
      </c>
    </row>
    <row r="13565" spans="1:4" x14ac:dyDescent="0.2">
      <c r="B13565" t="s">
        <v>8</v>
      </c>
    </row>
    <row r="13567" spans="1:4" x14ac:dyDescent="0.2">
      <c r="A13567" t="s">
        <v>4681</v>
      </c>
      <c r="B13567" t="str">
        <f>HYPERLINK("https://lindat.mff.cuni.cz/services/teitok/pdtc10/index.php?action=vallex&amp;frame=v-w1887f3", "monitorovat (v-w1887f3)")</f>
        <v>monitorovat (v-w1887f3)</v>
      </c>
    </row>
    <row r="13568" spans="1:4" x14ac:dyDescent="0.2">
      <c r="B13568" t="s">
        <v>1</v>
      </c>
      <c r="C13568" t="s">
        <v>1774</v>
      </c>
      <c r="D13568" t="s">
        <v>5968</v>
      </c>
    </row>
    <row r="13569" spans="1:4" x14ac:dyDescent="0.2">
      <c r="B13569" t="s">
        <v>8</v>
      </c>
      <c r="C13569" t="s">
        <v>4682</v>
      </c>
      <c r="D13569" t="s">
        <v>23485</v>
      </c>
    </row>
    <row r="13571" spans="1:4" x14ac:dyDescent="0.2">
      <c r="A13571" t="s">
        <v>4681</v>
      </c>
      <c r="B13571" t="str">
        <f>HYPERLINK("https://lindat.mff.cuni.cz/services/teitok/pdtc10/index.php?action=vallex&amp;frame=v-w1887f1", "monitorovat (v-w1887f1) - substituted with v-w1887f3")</f>
        <v>monitorovat (v-w1887f1) - substituted with v-w1887f3</v>
      </c>
    </row>
    <row r="13572" spans="1:4" x14ac:dyDescent="0.2">
      <c r="B13572" t="s">
        <v>1</v>
      </c>
      <c r="C13572" t="s">
        <v>230</v>
      </c>
    </row>
    <row r="13573" spans="1:4" x14ac:dyDescent="0.2">
      <c r="B13573" t="s">
        <v>8</v>
      </c>
      <c r="C13573" t="s">
        <v>4683</v>
      </c>
    </row>
    <row r="13575" spans="1:4" x14ac:dyDescent="0.2">
      <c r="A13575" t="s">
        <v>4684</v>
      </c>
      <c r="B13575" t="str">
        <f>HYPERLINK("https://lindat.mff.cuni.cz/services/teitok/pdtc10/index.php?action=vallex&amp;frame=v-w1891f1", "monopolizovat (v-w1891f1)")</f>
        <v>monopolizovat (v-w1891f1)</v>
      </c>
    </row>
    <row r="13576" spans="1:4" x14ac:dyDescent="0.2">
      <c r="B13576" t="s">
        <v>1</v>
      </c>
      <c r="C13576" t="s">
        <v>249</v>
      </c>
    </row>
    <row r="13577" spans="1:4" x14ac:dyDescent="0.2">
      <c r="B13577" t="s">
        <v>8</v>
      </c>
      <c r="C13577" t="s">
        <v>1128</v>
      </c>
    </row>
    <row r="13579" spans="1:4" x14ac:dyDescent="0.2">
      <c r="A13579" t="s">
        <v>4685</v>
      </c>
      <c r="B13579" t="str">
        <f>HYPERLINK("https://lindat.mff.cuni.cz/services/teitok/pdtc10/index.php?action=vallex&amp;frame=v-w1893f1", "montovat (v-w1893f1)")</f>
        <v>montovat (v-w1893f1)</v>
      </c>
    </row>
    <row r="13580" spans="1:4" x14ac:dyDescent="0.2">
      <c r="B13580" t="s">
        <v>1</v>
      </c>
      <c r="C13580" t="s">
        <v>2749</v>
      </c>
      <c r="D13580" t="s">
        <v>23418</v>
      </c>
    </row>
    <row r="13581" spans="1:4" x14ac:dyDescent="0.2">
      <c r="B13581" t="s">
        <v>8</v>
      </c>
      <c r="C13581" t="s">
        <v>4686</v>
      </c>
      <c r="D13581" t="s">
        <v>23419</v>
      </c>
    </row>
    <row r="13582" spans="1:4" x14ac:dyDescent="0.2">
      <c r="B13582" t="s">
        <v>24</v>
      </c>
      <c r="C13582" t="s">
        <v>4687</v>
      </c>
      <c r="D13582" t="s">
        <v>10345</v>
      </c>
    </row>
    <row r="13584" spans="1:4" x14ac:dyDescent="0.2">
      <c r="A13584" t="s">
        <v>4688</v>
      </c>
      <c r="B13584" t="str">
        <f>HYPERLINK("https://lindat.mff.cuni.cz/services/teitok/pdtc10/index.php?action=vallex&amp;frame=v-w1896f1", "monumentalizovat (v-w1896f1)")</f>
        <v>monumentalizovat (v-w1896f1)</v>
      </c>
    </row>
    <row r="13585" spans="1:2" x14ac:dyDescent="0.2">
      <c r="B13585" t="s">
        <v>1</v>
      </c>
    </row>
    <row r="13586" spans="1:2" x14ac:dyDescent="0.2">
      <c r="B13586" t="s">
        <v>8</v>
      </c>
    </row>
    <row r="13588" spans="1:2" x14ac:dyDescent="0.2">
      <c r="A13588" t="s">
        <v>4689</v>
      </c>
      <c r="B13588" t="str">
        <f>HYPERLINK("https://lindat.mff.cuni.cz/services/teitok/pdtc10/index.php?action=vallex&amp;frame=v-whsb_804hsa_805", "mordovat (v-whsb_804hsa_805)")</f>
        <v>mordovat (v-whsb_804hsa_805)</v>
      </c>
    </row>
    <row r="13589" spans="1:2" x14ac:dyDescent="0.2">
      <c r="B13589" t="s">
        <v>1</v>
      </c>
    </row>
    <row r="13590" spans="1:2" x14ac:dyDescent="0.2">
      <c r="B13590" t="s">
        <v>8</v>
      </c>
    </row>
    <row r="13592" spans="1:2" x14ac:dyDescent="0.2">
      <c r="A13592" t="s">
        <v>4690</v>
      </c>
      <c r="B13592" t="str">
        <f>HYPERLINK("https://lindat.mff.cuni.cz/services/teitok/pdtc10/index.php?action=vallex&amp;frame=v-w1897f1", "motat se (v-w1897f1)")</f>
        <v>motat se (v-w1897f1)</v>
      </c>
    </row>
    <row r="13593" spans="1:2" x14ac:dyDescent="0.2">
      <c r="B13593" t="s">
        <v>1</v>
      </c>
    </row>
    <row r="13594" spans="1:2" x14ac:dyDescent="0.2">
      <c r="B13594" t="s">
        <v>5</v>
      </c>
    </row>
    <row r="13596" spans="1:2" x14ac:dyDescent="0.2">
      <c r="A13596" t="s">
        <v>4691</v>
      </c>
      <c r="B13596" t="str">
        <f>HYPERLINK("https://lindat.mff.cuni.cz/services/teitok/pdtc10/index.php?action=vallex&amp;frame=v-w1897f2", "motat se (v-w1897f2)")</f>
        <v>motat se (v-w1897f2)</v>
      </c>
    </row>
    <row r="13597" spans="1:2" x14ac:dyDescent="0.2">
      <c r="B13597" t="s">
        <v>1</v>
      </c>
    </row>
    <row r="13599" spans="1:2" x14ac:dyDescent="0.2">
      <c r="A13599" t="s">
        <v>4692</v>
      </c>
      <c r="B13599" t="str">
        <f>HYPERLINK("https://lindat.mff.cuni.cz/services/teitok/pdtc10/index.php?action=vallex&amp;frame=v-w1897f3_ZU", "motat se (v-w1897f3_ZU)")</f>
        <v>motat se (v-w1897f3_ZU)</v>
      </c>
    </row>
    <row r="13600" spans="1:2" x14ac:dyDescent="0.2">
      <c r="B13600" t="s">
        <v>1</v>
      </c>
    </row>
    <row r="13601" spans="1:4" x14ac:dyDescent="0.2">
      <c r="B13601" t="s">
        <v>86</v>
      </c>
    </row>
    <row r="13603" spans="1:4" x14ac:dyDescent="0.2">
      <c r="A13603" t="s">
        <v>4692</v>
      </c>
      <c r="B13603" t="str">
        <f>HYPERLINK("https://lindat.mff.cuni.cz/services/teitok/pdtc10/index.php?action=vallex&amp;frame=v-w1897hsa_1503", "motat se (v-w1897hsa_1503) - substituted with v-w1897f3_ZU")</f>
        <v>motat se (v-w1897hsa_1503) - substituted with v-w1897f3_ZU</v>
      </c>
    </row>
    <row r="13604" spans="1:4" x14ac:dyDescent="0.2">
      <c r="B13604" t="s">
        <v>1</v>
      </c>
    </row>
    <row r="13605" spans="1:4" x14ac:dyDescent="0.2">
      <c r="B13605" t="s">
        <v>86</v>
      </c>
    </row>
    <row r="13607" spans="1:4" x14ac:dyDescent="0.2">
      <c r="A13607" t="s">
        <v>4693</v>
      </c>
      <c r="B13607" t="str">
        <f>HYPERLINK("https://lindat.mff.cuni.cz/services/teitok/pdtc10/index.php?action=vallex&amp;frame=v-w1899f2", "motivovat (v-w1899f2)")</f>
        <v>motivovat (v-w1899f2)</v>
      </c>
    </row>
    <row r="13608" spans="1:4" x14ac:dyDescent="0.2">
      <c r="B13608" t="s">
        <v>1</v>
      </c>
      <c r="C13608" t="s">
        <v>337</v>
      </c>
    </row>
    <row r="13609" spans="1:4" x14ac:dyDescent="0.2">
      <c r="B13609" t="s">
        <v>8</v>
      </c>
      <c r="C13609" t="s">
        <v>1264</v>
      </c>
    </row>
    <row r="13611" spans="1:4" x14ac:dyDescent="0.2">
      <c r="A13611" t="s">
        <v>4694</v>
      </c>
      <c r="B13611" t="str">
        <f>HYPERLINK("https://lindat.mff.cuni.cz/services/teitok/pdtc10/index.php?action=vallex&amp;frame=v-w1899f1", "motivovat (v-w1899f1)")</f>
        <v>motivovat (v-w1899f1)</v>
      </c>
    </row>
    <row r="13612" spans="1:4" x14ac:dyDescent="0.2">
      <c r="B13612" t="s">
        <v>488</v>
      </c>
      <c r="C13612" t="s">
        <v>4695</v>
      </c>
      <c r="D13612" t="s">
        <v>23152</v>
      </c>
    </row>
    <row r="13613" spans="1:4" x14ac:dyDescent="0.2">
      <c r="B13613" t="s">
        <v>58</v>
      </c>
      <c r="C13613" t="s">
        <v>4696</v>
      </c>
      <c r="D13613" t="s">
        <v>23154</v>
      </c>
    </row>
    <row r="13614" spans="1:4" x14ac:dyDescent="0.2">
      <c r="B13614" t="s">
        <v>4697</v>
      </c>
      <c r="C13614" t="s">
        <v>1331</v>
      </c>
      <c r="D13614" t="s">
        <v>23153</v>
      </c>
    </row>
    <row r="13616" spans="1:4" x14ac:dyDescent="0.2">
      <c r="A13616" t="s">
        <v>4698</v>
      </c>
      <c r="B13616" t="str">
        <f>HYPERLINK("https://lindat.mff.cuni.cz/services/teitok/pdtc10/index.php?action=vallex&amp;frame=v-w11826_ZUf1_ZU", "močit (v-w11826_ZUf1_ZU)")</f>
        <v>močit (v-w11826_ZUf1_ZU)</v>
      </c>
    </row>
    <row r="13617" spans="1:4" x14ac:dyDescent="0.2">
      <c r="B13617" t="s">
        <v>1</v>
      </c>
    </row>
    <row r="13618" spans="1:4" x14ac:dyDescent="0.2">
      <c r="B13618" t="s">
        <v>220</v>
      </c>
    </row>
    <row r="13620" spans="1:4" x14ac:dyDescent="0.2">
      <c r="A13620" t="s">
        <v>4699</v>
      </c>
      <c r="B13620" t="str">
        <f>HYPERLINK("https://lindat.mff.cuni.cz/services/teitok/pdtc10/index.php?action=vallex&amp;frame=v-w12078_ZUf2_ZU", "mrazit (v-w12078_ZUf2_ZU)")</f>
        <v>mrazit (v-w12078_ZUf2_ZU)</v>
      </c>
    </row>
    <row r="13621" spans="1:4" x14ac:dyDescent="0.2">
      <c r="B13621" t="s">
        <v>1</v>
      </c>
    </row>
    <row r="13622" spans="1:4" x14ac:dyDescent="0.2">
      <c r="B13622" t="s">
        <v>8</v>
      </c>
    </row>
    <row r="13624" spans="1:4" x14ac:dyDescent="0.2">
      <c r="A13624" t="s">
        <v>4699</v>
      </c>
      <c r="B13624" t="str">
        <f>HYPERLINK("https://lindat.mff.cuni.cz/services/teitok/pdtc10/index.php?action=vallex&amp;frame=v-w12078_ZUf1_ZU", "mrazit (v-w12078_ZUf1_ZU) - substituted with v-w12078_ZUf2_ZU")</f>
        <v>mrazit (v-w12078_ZUf1_ZU) - substituted with v-w12078_ZUf2_ZU</v>
      </c>
    </row>
    <row r="13625" spans="1:4" x14ac:dyDescent="0.2">
      <c r="B13625" t="s">
        <v>1</v>
      </c>
    </row>
    <row r="13626" spans="1:4" x14ac:dyDescent="0.2">
      <c r="B13626" t="s">
        <v>8</v>
      </c>
    </row>
    <row r="13628" spans="1:4" x14ac:dyDescent="0.2">
      <c r="A13628" t="s">
        <v>4700</v>
      </c>
      <c r="B13628" t="str">
        <f>HYPERLINK("https://lindat.mff.cuni.cz/services/teitok/pdtc10/index.php?action=vallex&amp;frame=v-w1904f2", "mračit se (v-w1904f2)")</f>
        <v>mračit se (v-w1904f2)</v>
      </c>
    </row>
    <row r="13629" spans="1:4" x14ac:dyDescent="0.2">
      <c r="B13629" t="s">
        <v>1</v>
      </c>
      <c r="C13629" t="s">
        <v>33</v>
      </c>
      <c r="D13629" t="s">
        <v>33</v>
      </c>
    </row>
    <row r="13631" spans="1:4" x14ac:dyDescent="0.2">
      <c r="A13631" t="s">
        <v>4701</v>
      </c>
      <c r="B13631" t="str">
        <f>HYPERLINK("https://lindat.mff.cuni.cz/services/teitok/pdtc10/index.php?action=vallex&amp;frame=v-w1904f1", "mračit se (v-w1904f1)")</f>
        <v>mračit se (v-w1904f1)</v>
      </c>
    </row>
    <row r="13633" spans="1:4" x14ac:dyDescent="0.2">
      <c r="A13633" t="s">
        <v>4702</v>
      </c>
      <c r="B13633" t="str">
        <f>HYPERLINK("https://lindat.mff.cuni.cz/services/teitok/pdtc10/index.php?action=vallex&amp;frame=v-w11917_ZUf1_ZU", "mrkat (v-w11917_ZUf1_ZU)")</f>
        <v>mrkat (v-w11917_ZUf1_ZU)</v>
      </c>
    </row>
    <row r="13634" spans="1:4" x14ac:dyDescent="0.2">
      <c r="B13634" t="s">
        <v>1</v>
      </c>
    </row>
    <row r="13636" spans="1:4" x14ac:dyDescent="0.2">
      <c r="A13636" t="s">
        <v>4703</v>
      </c>
      <c r="B13636" t="str">
        <f>HYPERLINK("https://lindat.mff.cuni.cz/services/teitok/pdtc10/index.php?action=vallex&amp;frame=v-whsa_809f2_ZU", "mrknout (v-whsa_809f2_ZU)")</f>
        <v>mrknout (v-whsa_809f2_ZU)</v>
      </c>
    </row>
    <row r="13637" spans="1:4" x14ac:dyDescent="0.2">
      <c r="B13637" t="s">
        <v>1</v>
      </c>
    </row>
    <row r="13638" spans="1:4" x14ac:dyDescent="0.2">
      <c r="B13638" t="s">
        <v>46</v>
      </c>
    </row>
    <row r="13640" spans="1:4" x14ac:dyDescent="0.2">
      <c r="A13640" t="s">
        <v>4703</v>
      </c>
      <c r="B13640" t="str">
        <f>HYPERLINK("https://lindat.mff.cuni.cz/services/teitok/pdtc10/index.php?action=vallex&amp;frame=v-whsa_809f1_ZU", "mrknout (v-whsa_809f1_ZU) - substituted with v-whsa_809f2_ZU")</f>
        <v>mrknout (v-whsa_809f1_ZU) - substituted with v-whsa_809f2_ZU</v>
      </c>
    </row>
    <row r="13641" spans="1:4" x14ac:dyDescent="0.2">
      <c r="B13641" t="s">
        <v>1</v>
      </c>
      <c r="C13641" t="s">
        <v>133</v>
      </c>
      <c r="D13641" t="s">
        <v>249</v>
      </c>
    </row>
    <row r="13642" spans="1:4" x14ac:dyDescent="0.2">
      <c r="B13642" t="s">
        <v>46</v>
      </c>
      <c r="C13642" t="s">
        <v>1301</v>
      </c>
    </row>
    <row r="13644" spans="1:4" x14ac:dyDescent="0.2">
      <c r="A13644" t="s">
        <v>4703</v>
      </c>
      <c r="B13644" t="str">
        <f>HYPERLINK("https://lindat.mff.cuni.cz/services/teitok/pdtc10/index.php?action=vallex&amp;frame=v-whsa_809hsa_810", "mrknout (v-whsa_809hsa_810) - substituted with v-whsa_809f2_ZU")</f>
        <v>mrknout (v-whsa_809hsa_810) - substituted with v-whsa_809f2_ZU</v>
      </c>
    </row>
    <row r="13645" spans="1:4" x14ac:dyDescent="0.2">
      <c r="B13645" t="s">
        <v>1</v>
      </c>
    </row>
    <row r="13646" spans="1:4" x14ac:dyDescent="0.2">
      <c r="B13646" t="s">
        <v>46</v>
      </c>
    </row>
    <row r="13648" spans="1:4" x14ac:dyDescent="0.2">
      <c r="A13648" t="s">
        <v>4704</v>
      </c>
      <c r="B13648" t="str">
        <f>HYPERLINK("https://lindat.mff.cuni.cz/services/teitok/pdtc10/index.php?action=vallex&amp;frame=v-whsa_807hsa_808", "mrknout (v-whsa_807hsa_808)")</f>
        <v>mrknout (v-whsa_807hsa_808)</v>
      </c>
    </row>
    <row r="13649" spans="1:4" x14ac:dyDescent="0.2">
      <c r="B13649" t="s">
        <v>1</v>
      </c>
    </row>
    <row r="13651" spans="1:4" x14ac:dyDescent="0.2">
      <c r="A13651" t="s">
        <v>4705</v>
      </c>
      <c r="B13651" t="str">
        <f>HYPERLINK("https://lindat.mff.cuni.cz/services/teitok/pdtc10/index.php?action=vallex&amp;frame=v-w12106_ZUf1_ZU", "mrskat se (v-w12106_ZUf1_ZU)")</f>
        <v>mrskat se (v-w12106_ZUf1_ZU)</v>
      </c>
    </row>
    <row r="13652" spans="1:4" x14ac:dyDescent="0.2">
      <c r="B13652" t="s">
        <v>1</v>
      </c>
    </row>
    <row r="13654" spans="1:4" x14ac:dyDescent="0.2">
      <c r="A13654" t="s">
        <v>4706</v>
      </c>
      <c r="B13654" t="str">
        <f>HYPERLINK("https://lindat.mff.cuni.cz/services/teitok/pdtc10/index.php?action=vallex&amp;frame=v-w1907f1", "mrzet (v-w1907f1)")</f>
        <v>mrzet (v-w1907f1)</v>
      </c>
    </row>
    <row r="13655" spans="1:4" x14ac:dyDescent="0.2">
      <c r="B13655" t="s">
        <v>146</v>
      </c>
      <c r="C13655" t="s">
        <v>334</v>
      </c>
      <c r="D13655" t="s">
        <v>990</v>
      </c>
    </row>
    <row r="13656" spans="1:4" x14ac:dyDescent="0.2">
      <c r="B13656" t="s">
        <v>3702</v>
      </c>
      <c r="C13656" t="s">
        <v>56</v>
      </c>
      <c r="D13656" t="s">
        <v>335</v>
      </c>
    </row>
    <row r="13658" spans="1:4" x14ac:dyDescent="0.2">
      <c r="A13658" t="s">
        <v>4707</v>
      </c>
      <c r="B13658" t="str">
        <f>HYPERLINK("https://lindat.mff.cuni.cz/services/teitok/pdtc10/index.php?action=vallex&amp;frame=v-w1908f2", "mrznout (v-w1908f2)")</f>
        <v>mrznout (v-w1908f2)</v>
      </c>
    </row>
    <row r="13659" spans="1:4" x14ac:dyDescent="0.2">
      <c r="B13659" t="s">
        <v>1</v>
      </c>
    </row>
    <row r="13661" spans="1:4" x14ac:dyDescent="0.2">
      <c r="A13661" t="s">
        <v>4708</v>
      </c>
      <c r="B13661" t="str">
        <f>HYPERLINK("https://lindat.mff.cuni.cz/services/teitok/pdtc10/index.php?action=vallex&amp;frame=v-w1908f1", "mrznout (v-w1908f1)")</f>
        <v>mrznout (v-w1908f1)</v>
      </c>
    </row>
    <row r="13663" spans="1:4" x14ac:dyDescent="0.2">
      <c r="A13663" t="s">
        <v>4709</v>
      </c>
      <c r="B13663" t="str">
        <f>HYPERLINK("https://lindat.mff.cuni.cz/services/teitok/pdtc10/index.php?action=vallex&amp;frame=v-w1906f1", "mrštit (v-w1906f1)")</f>
        <v>mrštit (v-w1906f1)</v>
      </c>
    </row>
    <row r="13664" spans="1:4" x14ac:dyDescent="0.2">
      <c r="B13664" t="s">
        <v>1</v>
      </c>
      <c r="C13664" t="s">
        <v>2303</v>
      </c>
      <c r="D13664" t="s">
        <v>4110</v>
      </c>
    </row>
    <row r="13665" spans="1:4" x14ac:dyDescent="0.2">
      <c r="B13665" t="s">
        <v>1532</v>
      </c>
      <c r="C13665" t="s">
        <v>1109</v>
      </c>
      <c r="D13665" t="s">
        <v>81</v>
      </c>
    </row>
    <row r="13667" spans="1:4" x14ac:dyDescent="0.2">
      <c r="A13667" t="s">
        <v>4710</v>
      </c>
      <c r="B13667" t="str">
        <f>HYPERLINK("https://lindat.mff.cuni.cz/services/teitok/pdtc10/index.php?action=vallex&amp;frame=v-w1910f2_ZU", "mstít se (v-w1910f2_ZU)")</f>
        <v>mstít se (v-w1910f2_ZU)</v>
      </c>
    </row>
    <row r="13668" spans="1:4" x14ac:dyDescent="0.2">
      <c r="B13668" t="s">
        <v>1</v>
      </c>
    </row>
    <row r="13669" spans="1:4" x14ac:dyDescent="0.2">
      <c r="B13669" t="s">
        <v>4711</v>
      </c>
    </row>
    <row r="13671" spans="1:4" x14ac:dyDescent="0.2">
      <c r="A13671" t="s">
        <v>4710</v>
      </c>
      <c r="B13671" t="str">
        <f>HYPERLINK("https://lindat.mff.cuni.cz/services/teitok/pdtc10/index.php?action=vallex&amp;frame=v-w1910f1", "mstít se (v-w1910f1) - substituted with v-w1910f2_ZU")</f>
        <v>mstít se (v-w1910f1) - substituted with v-w1910f2_ZU</v>
      </c>
    </row>
    <row r="13672" spans="1:4" x14ac:dyDescent="0.2">
      <c r="B13672" t="s">
        <v>1</v>
      </c>
    </row>
    <row r="13673" spans="1:4" x14ac:dyDescent="0.2">
      <c r="B13673" t="s">
        <v>4711</v>
      </c>
    </row>
    <row r="13675" spans="1:4" x14ac:dyDescent="0.2">
      <c r="A13675" t="s">
        <v>4712</v>
      </c>
      <c r="B13675" t="str">
        <f>HYPERLINK("https://lindat.mff.cuni.cz/services/teitok/pdtc10/index.php?action=vallex&amp;frame=v-whsb_126f1_ZU", "muknout (v-whsb_126f1_ZU)")</f>
        <v>muknout (v-whsb_126f1_ZU)</v>
      </c>
    </row>
    <row r="13676" spans="1:4" x14ac:dyDescent="0.2">
      <c r="B13676" t="s">
        <v>1</v>
      </c>
    </row>
    <row r="13678" spans="1:4" x14ac:dyDescent="0.2">
      <c r="A13678" t="s">
        <v>4713</v>
      </c>
      <c r="B13678" t="str">
        <f>HYPERLINK("https://lindat.mff.cuni.cz/services/teitok/pdtc10/index.php?action=vallex&amp;frame=v-whsb_126hsa_127", "muknout (v-whsb_126hsa_127)")</f>
        <v>muknout (v-whsb_126hsa_127)</v>
      </c>
    </row>
    <row r="13679" spans="1:4" x14ac:dyDescent="0.2">
      <c r="B13679" t="s">
        <v>1</v>
      </c>
    </row>
    <row r="13681" spans="1:4" x14ac:dyDescent="0.2">
      <c r="A13681" t="s">
        <v>4714</v>
      </c>
      <c r="B13681" t="str">
        <f>HYPERLINK("https://lindat.mff.cuni.cz/services/teitok/pdtc10/index.php?action=vallex&amp;frame=v-w11268f2", "mumlat si (v-w11268f2)")</f>
        <v>mumlat si (v-w11268f2)</v>
      </c>
    </row>
    <row r="13682" spans="1:4" x14ac:dyDescent="0.2">
      <c r="B13682" t="s">
        <v>1</v>
      </c>
      <c r="D13682" t="s">
        <v>133</v>
      </c>
    </row>
    <row r="13683" spans="1:4" x14ac:dyDescent="0.2">
      <c r="B13683" t="s">
        <v>1684</v>
      </c>
      <c r="D13683" t="s">
        <v>34</v>
      </c>
    </row>
    <row r="13685" spans="1:4" x14ac:dyDescent="0.2">
      <c r="A13685" t="s">
        <v>4715</v>
      </c>
      <c r="B13685" t="str">
        <f>HYPERLINK("https://lindat.mff.cuni.cz/services/teitok/pdtc10/index.php?action=vallex&amp;frame=v-whsa_483f1_ZU", "muset (v-whsa_483f1_ZU)")</f>
        <v>muset (v-whsa_483f1_ZU)</v>
      </c>
    </row>
    <row r="13686" spans="1:4" x14ac:dyDescent="0.2">
      <c r="B13686" t="s">
        <v>1</v>
      </c>
    </row>
    <row r="13687" spans="1:4" x14ac:dyDescent="0.2">
      <c r="B13687" t="s">
        <v>8</v>
      </c>
    </row>
    <row r="13688" spans="1:4" x14ac:dyDescent="0.2">
      <c r="B13688" t="s">
        <v>511</v>
      </c>
    </row>
    <row r="13690" spans="1:4" x14ac:dyDescent="0.2">
      <c r="A13690" t="s">
        <v>4715</v>
      </c>
      <c r="B13690" t="str">
        <f>HYPERLINK("https://lindat.mff.cuni.cz/services/teitok/pdtc10/index.php?action=vallex&amp;frame=v-whsa_483hsa_484", "muset (v-whsa_483hsa_484) - substituted with v-whsa_483f1_ZU")</f>
        <v>muset (v-whsa_483hsa_484) - substituted with v-whsa_483f1_ZU</v>
      </c>
    </row>
    <row r="13691" spans="1:4" x14ac:dyDescent="0.2">
      <c r="B13691" t="s">
        <v>1</v>
      </c>
    </row>
    <row r="13692" spans="1:4" x14ac:dyDescent="0.2">
      <c r="B13692" t="s">
        <v>8</v>
      </c>
    </row>
    <row r="13693" spans="1:4" x14ac:dyDescent="0.2">
      <c r="B13693" t="s">
        <v>511</v>
      </c>
    </row>
    <row r="13695" spans="1:4" x14ac:dyDescent="0.2">
      <c r="A13695" t="s">
        <v>4716</v>
      </c>
      <c r="B13695" t="str">
        <f>HYPERLINK("https://lindat.mff.cuni.cz/services/teitok/pdtc10/index.php?action=vallex&amp;frame=v-whsa_483f2_MM", "muset (v-whsa_483f2_MM)")</f>
        <v>muset (v-whsa_483f2_MM)</v>
      </c>
    </row>
    <row r="13696" spans="1:4" x14ac:dyDescent="0.2">
      <c r="B13696" t="s">
        <v>1</v>
      </c>
    </row>
    <row r="13697" spans="1:4" x14ac:dyDescent="0.2">
      <c r="B13697" t="s">
        <v>557</v>
      </c>
    </row>
    <row r="13699" spans="1:4" x14ac:dyDescent="0.2">
      <c r="A13699" t="s">
        <v>4717</v>
      </c>
      <c r="B13699" t="str">
        <f>HYPERLINK("https://lindat.mff.cuni.cz/services/teitok/pdtc10/index.php?action=vallex&amp;frame=v-w1912f1", "mučit (v-w1912f1)")</f>
        <v>mučit (v-w1912f1)</v>
      </c>
    </row>
    <row r="13700" spans="1:4" x14ac:dyDescent="0.2">
      <c r="B13700" t="s">
        <v>1</v>
      </c>
      <c r="C13700" t="s">
        <v>33</v>
      </c>
      <c r="D13700" t="s">
        <v>373</v>
      </c>
    </row>
    <row r="13701" spans="1:4" x14ac:dyDescent="0.2">
      <c r="B13701" t="s">
        <v>8</v>
      </c>
      <c r="C13701" t="s">
        <v>113</v>
      </c>
      <c r="D13701" t="s">
        <v>23486</v>
      </c>
    </row>
    <row r="13703" spans="1:4" x14ac:dyDescent="0.2">
      <c r="A13703" t="s">
        <v>4718</v>
      </c>
      <c r="B13703" t="str">
        <f>HYPERLINK("https://lindat.mff.cuni.cz/services/teitok/pdtc10/index.php?action=vallex&amp;frame=v-whsa_283f1_MM", "mydlit (v-whsa_283f1_MM)")</f>
        <v>mydlit (v-whsa_283f1_MM)</v>
      </c>
    </row>
    <row r="13704" spans="1:4" x14ac:dyDescent="0.2">
      <c r="B13704" t="s">
        <v>1</v>
      </c>
    </row>
    <row r="13705" spans="1:4" x14ac:dyDescent="0.2">
      <c r="B13705" t="s">
        <v>8</v>
      </c>
    </row>
    <row r="13707" spans="1:4" x14ac:dyDescent="0.2">
      <c r="A13707" t="s">
        <v>4719</v>
      </c>
      <c r="B13707" t="str">
        <f>HYPERLINK("https://lindat.mff.cuni.cz/services/teitok/pdtc10/index.php?action=vallex&amp;frame=v-whsa_283hsa_284", "mydlit (v-whsa_283hsa_284)")</f>
        <v>mydlit (v-whsa_283hsa_284)</v>
      </c>
    </row>
    <row r="13708" spans="1:4" x14ac:dyDescent="0.2">
      <c r="B13708" t="s">
        <v>1</v>
      </c>
    </row>
    <row r="13709" spans="1:4" x14ac:dyDescent="0.2">
      <c r="B13709" t="s">
        <v>90</v>
      </c>
    </row>
    <row r="13711" spans="1:4" x14ac:dyDescent="0.2">
      <c r="A13711" t="s">
        <v>4720</v>
      </c>
      <c r="B13711" t="str">
        <f>HYPERLINK("https://lindat.mff.cuni.cz/services/teitok/pdtc10/index.php?action=vallex&amp;frame=v-w1917f4", "myslet (v-w1917f4)")</f>
        <v>myslet (v-w1917f4)</v>
      </c>
    </row>
    <row r="13712" spans="1:4" x14ac:dyDescent="0.2">
      <c r="B13712" t="s">
        <v>1</v>
      </c>
      <c r="C13712" t="s">
        <v>4721</v>
      </c>
    </row>
    <row r="13713" spans="1:3" x14ac:dyDescent="0.2">
      <c r="B13713" t="s">
        <v>8</v>
      </c>
    </row>
    <row r="13714" spans="1:3" x14ac:dyDescent="0.2">
      <c r="B13714" t="s">
        <v>346</v>
      </c>
      <c r="C13714" t="s">
        <v>4722</v>
      </c>
    </row>
    <row r="13715" spans="1:3" x14ac:dyDescent="0.2">
      <c r="B13715" t="s">
        <v>349</v>
      </c>
    </row>
    <row r="13716" spans="1:3" x14ac:dyDescent="0.2">
      <c r="B13716" t="s">
        <v>350</v>
      </c>
    </row>
    <row r="13717" spans="1:3" x14ac:dyDescent="0.2">
      <c r="B13717" t="s">
        <v>351</v>
      </c>
    </row>
    <row r="13719" spans="1:3" x14ac:dyDescent="0.2">
      <c r="A13719" t="s">
        <v>4723</v>
      </c>
      <c r="B13719" t="str">
        <f>HYPERLINK("https://lindat.mff.cuni.cz/services/teitok/pdtc10/index.php?action=vallex&amp;frame=v-w1917f1", "myslet (v-w1917f1)")</f>
        <v>myslet (v-w1917f1)</v>
      </c>
    </row>
    <row r="13720" spans="1:3" x14ac:dyDescent="0.2">
      <c r="B13720" t="s">
        <v>1</v>
      </c>
      <c r="C13720" t="s">
        <v>4724</v>
      </c>
    </row>
    <row r="13721" spans="1:3" x14ac:dyDescent="0.2">
      <c r="B13721" t="s">
        <v>28</v>
      </c>
      <c r="C13721" t="s">
        <v>4725</v>
      </c>
    </row>
    <row r="13723" spans="1:3" x14ac:dyDescent="0.2">
      <c r="A13723" t="s">
        <v>4726</v>
      </c>
      <c r="B13723" t="str">
        <f>HYPERLINK("https://lindat.mff.cuni.cz/services/teitok/pdtc10/index.php?action=vallex&amp;frame=v-w1917f6_ZU", "myslet (v-w1917f6_ZU)")</f>
        <v>myslet (v-w1917f6_ZU)</v>
      </c>
    </row>
    <row r="13724" spans="1:3" x14ac:dyDescent="0.2">
      <c r="B13724" t="s">
        <v>1</v>
      </c>
    </row>
    <row r="13725" spans="1:3" x14ac:dyDescent="0.2">
      <c r="B13725" t="s">
        <v>4727</v>
      </c>
    </row>
    <row r="13726" spans="1:3" x14ac:dyDescent="0.2">
      <c r="B13726" t="s">
        <v>269</v>
      </c>
    </row>
    <row r="13728" spans="1:3" x14ac:dyDescent="0.2">
      <c r="A13728" t="s">
        <v>4726</v>
      </c>
      <c r="B13728" t="str">
        <f>HYPERLINK("https://lindat.mff.cuni.cz/services/teitok/pdtc10/index.php?action=vallex&amp;frame=v-w1917f3", "myslet (v-w1917f3) - substituted with v-w1917f6_ZU")</f>
        <v>myslet (v-w1917f3) - substituted with v-w1917f6_ZU</v>
      </c>
    </row>
    <row r="13729" spans="1:4" x14ac:dyDescent="0.2">
      <c r="B13729" t="s">
        <v>1</v>
      </c>
      <c r="C13729" t="s">
        <v>4728</v>
      </c>
      <c r="D13729" t="s">
        <v>23149</v>
      </c>
    </row>
    <row r="13730" spans="1:4" x14ac:dyDescent="0.2">
      <c r="B13730" t="s">
        <v>4727</v>
      </c>
      <c r="C13730" t="s">
        <v>4729</v>
      </c>
      <c r="D13730" t="s">
        <v>23150</v>
      </c>
    </row>
    <row r="13731" spans="1:4" x14ac:dyDescent="0.2">
      <c r="B13731" t="s">
        <v>269</v>
      </c>
      <c r="C13731" t="s">
        <v>134</v>
      </c>
      <c r="D13731" t="s">
        <v>23151</v>
      </c>
    </row>
    <row r="13733" spans="1:4" x14ac:dyDescent="0.2">
      <c r="A13733" t="s">
        <v>4730</v>
      </c>
      <c r="B13733" t="str">
        <f>HYPERLINK("https://lindat.mff.cuni.cz/services/teitok/pdtc10/index.php?action=vallex&amp;frame=v-w1917f10_ZU", "myslet (v-w1917f10_ZU)")</f>
        <v>myslet (v-w1917f10_ZU)</v>
      </c>
    </row>
    <row r="13734" spans="1:4" x14ac:dyDescent="0.2">
      <c r="B13734" t="s">
        <v>1</v>
      </c>
    </row>
    <row r="13735" spans="1:4" x14ac:dyDescent="0.2">
      <c r="B13735" t="s">
        <v>4731</v>
      </c>
    </row>
    <row r="13736" spans="1:4" x14ac:dyDescent="0.2">
      <c r="B13736" t="s">
        <v>4732</v>
      </c>
    </row>
    <row r="13738" spans="1:4" x14ac:dyDescent="0.2">
      <c r="A13738" t="s">
        <v>4730</v>
      </c>
      <c r="B13738" t="str">
        <f>HYPERLINK("https://lindat.mff.cuni.cz/services/teitok/pdtc10/index.php?action=vallex&amp;frame=v-w1917f5", "myslet (v-w1917f5) - substituted with v-w1917f10_ZU")</f>
        <v>myslet (v-w1917f5) - substituted with v-w1917f10_ZU</v>
      </c>
    </row>
    <row r="13739" spans="1:4" x14ac:dyDescent="0.2">
      <c r="B13739" t="s">
        <v>1</v>
      </c>
      <c r="C13739" t="s">
        <v>4733</v>
      </c>
    </row>
    <row r="13740" spans="1:4" x14ac:dyDescent="0.2">
      <c r="B13740" t="s">
        <v>4731</v>
      </c>
      <c r="C13740" t="s">
        <v>4734</v>
      </c>
    </row>
    <row r="13741" spans="1:4" x14ac:dyDescent="0.2">
      <c r="B13741" t="s">
        <v>4732</v>
      </c>
      <c r="C13741" t="s">
        <v>1690</v>
      </c>
    </row>
    <row r="13743" spans="1:4" x14ac:dyDescent="0.2">
      <c r="A13743" t="s">
        <v>4730</v>
      </c>
      <c r="B13743" t="str">
        <f>HYPERLINK("https://lindat.mff.cuni.cz/services/teitok/pdtc10/index.php?action=vallex&amp;frame=v-w1917f7_ZU", "myslet (v-w1917f7_ZU) - substituted with v-w1917f10_ZU")</f>
        <v>myslet (v-w1917f7_ZU) - substituted with v-w1917f10_ZU</v>
      </c>
    </row>
    <row r="13744" spans="1:4" x14ac:dyDescent="0.2">
      <c r="B13744" t="s">
        <v>1</v>
      </c>
    </row>
    <row r="13745" spans="1:4" x14ac:dyDescent="0.2">
      <c r="B13745" t="s">
        <v>4731</v>
      </c>
    </row>
    <row r="13746" spans="1:4" x14ac:dyDescent="0.2">
      <c r="B13746" t="s">
        <v>4732</v>
      </c>
    </row>
    <row r="13748" spans="1:4" x14ac:dyDescent="0.2">
      <c r="A13748" t="s">
        <v>4730</v>
      </c>
      <c r="B13748" t="str">
        <f>HYPERLINK("https://lindat.mff.cuni.cz/services/teitok/pdtc10/index.php?action=vallex&amp;frame=v-w1917f9_ZU", "myslet (v-w1917f9_ZU) - substituted with v-w1917f10_ZU")</f>
        <v>myslet (v-w1917f9_ZU) - substituted with v-w1917f10_ZU</v>
      </c>
    </row>
    <row r="13749" spans="1:4" x14ac:dyDescent="0.2">
      <c r="B13749" t="s">
        <v>1</v>
      </c>
    </row>
    <row r="13750" spans="1:4" x14ac:dyDescent="0.2">
      <c r="B13750" t="s">
        <v>4731</v>
      </c>
    </row>
    <row r="13751" spans="1:4" x14ac:dyDescent="0.2">
      <c r="B13751" t="s">
        <v>4732</v>
      </c>
    </row>
    <row r="13753" spans="1:4" x14ac:dyDescent="0.2">
      <c r="A13753" t="s">
        <v>4735</v>
      </c>
      <c r="B13753" t="str">
        <f>HYPERLINK("https://lindat.mff.cuni.cz/services/teitok/pdtc10/index.php?action=vallex&amp;frame=v-w1917f2", "myslet (v-w1917f2)")</f>
        <v>myslet (v-w1917f2)</v>
      </c>
    </row>
    <row r="13754" spans="1:4" x14ac:dyDescent="0.2">
      <c r="B13754" t="s">
        <v>1</v>
      </c>
      <c r="C13754" t="s">
        <v>2571</v>
      </c>
      <c r="D13754" t="s">
        <v>2239</v>
      </c>
    </row>
    <row r="13756" spans="1:4" x14ac:dyDescent="0.2">
      <c r="A13756" t="s">
        <v>4736</v>
      </c>
      <c r="B13756" t="str">
        <f>HYPERLINK("https://lindat.mff.cuni.cz/services/teitok/pdtc10/index.php?action=vallex&amp;frame=v-w1917f8_ZU", "myslet (v-w1917f8_ZU)")</f>
        <v>myslet (v-w1917f8_ZU)</v>
      </c>
    </row>
    <row r="13757" spans="1:4" x14ac:dyDescent="0.2">
      <c r="B13757" t="s">
        <v>455</v>
      </c>
    </row>
    <row r="13758" spans="1:4" x14ac:dyDescent="0.2">
      <c r="B13758" t="s">
        <v>1012</v>
      </c>
    </row>
    <row r="13760" spans="1:4" x14ac:dyDescent="0.2">
      <c r="A13760" t="s">
        <v>4736</v>
      </c>
      <c r="B13760" t="str">
        <f>HYPERLINK("https://lindat.mff.cuni.cz/services/teitok/pdtc10/index.php?action=vallex&amp;frame=v-w1917hsa_917", "myslet (v-w1917hsa_917) - substituted with v-w1917f8_ZU")</f>
        <v>myslet (v-w1917hsa_917) - substituted with v-w1917f8_ZU</v>
      </c>
    </row>
    <row r="13761" spans="1:4" x14ac:dyDescent="0.2">
      <c r="B13761" t="s">
        <v>455</v>
      </c>
    </row>
    <row r="13762" spans="1:4" x14ac:dyDescent="0.2">
      <c r="B13762" t="s">
        <v>1012</v>
      </c>
    </row>
    <row r="13764" spans="1:4" x14ac:dyDescent="0.2">
      <c r="A13764" t="s">
        <v>4737</v>
      </c>
      <c r="B13764" t="str">
        <f>HYPERLINK("https://lindat.mff.cuni.cz/services/teitok/pdtc10/index.php?action=vallex&amp;frame=v-w1918f2", "myslet si (v-w1918f2)")</f>
        <v>myslet si (v-w1918f2)</v>
      </c>
    </row>
    <row r="13765" spans="1:4" x14ac:dyDescent="0.2">
      <c r="B13765" t="s">
        <v>1</v>
      </c>
      <c r="C13765" t="s">
        <v>4738</v>
      </c>
      <c r="D13765" t="s">
        <v>22737</v>
      </c>
    </row>
    <row r="13766" spans="1:4" x14ac:dyDescent="0.2">
      <c r="B13766" t="s">
        <v>8</v>
      </c>
      <c r="C13766" t="s">
        <v>4739</v>
      </c>
      <c r="D13766" t="s">
        <v>23487</v>
      </c>
    </row>
    <row r="13768" spans="1:4" x14ac:dyDescent="0.2">
      <c r="A13768" t="s">
        <v>4740</v>
      </c>
      <c r="B13768" t="str">
        <f>HYPERLINK("https://lindat.mff.cuni.cz/services/teitok/pdtc10/index.php?action=vallex&amp;frame=v-w1918f1", "myslet si (v-w1918f1)")</f>
        <v>myslet si (v-w1918f1)</v>
      </c>
    </row>
    <row r="13769" spans="1:4" x14ac:dyDescent="0.2">
      <c r="B13769" t="s">
        <v>1</v>
      </c>
      <c r="C13769" t="s">
        <v>4741</v>
      </c>
      <c r="D13769" t="s">
        <v>23149</v>
      </c>
    </row>
    <row r="13770" spans="1:4" x14ac:dyDescent="0.2">
      <c r="B13770" t="s">
        <v>4742</v>
      </c>
      <c r="C13770" t="s">
        <v>4743</v>
      </c>
      <c r="D13770" t="s">
        <v>23150</v>
      </c>
    </row>
    <row r="13771" spans="1:4" x14ac:dyDescent="0.2">
      <c r="B13771" t="s">
        <v>269</v>
      </c>
      <c r="C13771" t="s">
        <v>4744</v>
      </c>
      <c r="D13771" t="s">
        <v>23151</v>
      </c>
    </row>
    <row r="13773" spans="1:4" x14ac:dyDescent="0.2">
      <c r="A13773" t="s">
        <v>4745</v>
      </c>
      <c r="B13773" t="str">
        <f>HYPERLINK("https://lindat.mff.cuni.cz/services/teitok/pdtc10/index.php?action=vallex&amp;frame=v-w1918f3_ZU", "myslet si (v-w1918f3_ZU)")</f>
        <v>myslet si (v-w1918f3_ZU)</v>
      </c>
    </row>
    <row r="13774" spans="1:4" x14ac:dyDescent="0.2">
      <c r="B13774" t="s">
        <v>1</v>
      </c>
    </row>
    <row r="13775" spans="1:4" x14ac:dyDescent="0.2">
      <c r="B13775" t="s">
        <v>28</v>
      </c>
    </row>
    <row r="13777" spans="1:2" x14ac:dyDescent="0.2">
      <c r="A13777" t="s">
        <v>4746</v>
      </c>
      <c r="B13777" t="str">
        <f>HYPERLINK("https://lindat.mff.cuni.cz/services/teitok/pdtc10/index.php?action=vallex&amp;frame=v-w1919f3", "myslit (v-w1919f3)")</f>
        <v>myslit (v-w1919f3)</v>
      </c>
    </row>
    <row r="13778" spans="1:2" x14ac:dyDescent="0.2">
      <c r="B13778" t="s">
        <v>1</v>
      </c>
    </row>
    <row r="13779" spans="1:2" x14ac:dyDescent="0.2">
      <c r="B13779" t="s">
        <v>8</v>
      </c>
    </row>
    <row r="13780" spans="1:2" x14ac:dyDescent="0.2">
      <c r="B13780" t="s">
        <v>415</v>
      </c>
    </row>
    <row r="13781" spans="1:2" x14ac:dyDescent="0.2">
      <c r="B13781" t="s">
        <v>346</v>
      </c>
    </row>
    <row r="13782" spans="1:2" x14ac:dyDescent="0.2">
      <c r="B13782" t="s">
        <v>348</v>
      </c>
    </row>
    <row r="13783" spans="1:2" x14ac:dyDescent="0.2">
      <c r="B13783" t="s">
        <v>349</v>
      </c>
    </row>
    <row r="13784" spans="1:2" x14ac:dyDescent="0.2">
      <c r="B13784" t="s">
        <v>350</v>
      </c>
    </row>
    <row r="13785" spans="1:2" x14ac:dyDescent="0.2">
      <c r="B13785" t="s">
        <v>351</v>
      </c>
    </row>
    <row r="13787" spans="1:2" x14ac:dyDescent="0.2">
      <c r="A13787" t="s">
        <v>4747</v>
      </c>
      <c r="B13787" t="str">
        <f>HYPERLINK("https://lindat.mff.cuni.cz/services/teitok/pdtc10/index.php?action=vallex&amp;frame=v-w1919f2", "myslit (v-w1919f2)")</f>
        <v>myslit (v-w1919f2)</v>
      </c>
    </row>
    <row r="13788" spans="1:2" x14ac:dyDescent="0.2">
      <c r="B13788" t="s">
        <v>1</v>
      </c>
    </row>
    <row r="13789" spans="1:2" x14ac:dyDescent="0.2">
      <c r="B13789" t="s">
        <v>28</v>
      </c>
    </row>
    <row r="13791" spans="1:2" x14ac:dyDescent="0.2">
      <c r="A13791" t="s">
        <v>4748</v>
      </c>
      <c r="B13791" t="str">
        <f>HYPERLINK("https://lindat.mff.cuni.cz/services/teitok/pdtc10/index.php?action=vallex&amp;frame=v-w1919f1", "myslit (v-w1919f1)")</f>
        <v>myslit (v-w1919f1)</v>
      </c>
    </row>
    <row r="13792" spans="1:2" x14ac:dyDescent="0.2">
      <c r="B13792" t="s">
        <v>1</v>
      </c>
    </row>
    <row r="13793" spans="1:2" x14ac:dyDescent="0.2">
      <c r="B13793" t="s">
        <v>4749</v>
      </c>
    </row>
    <row r="13794" spans="1:2" x14ac:dyDescent="0.2">
      <c r="B13794" t="s">
        <v>269</v>
      </c>
    </row>
    <row r="13796" spans="1:2" x14ac:dyDescent="0.2">
      <c r="A13796" t="s">
        <v>4750</v>
      </c>
      <c r="B13796" t="str">
        <f>HYPERLINK("https://lindat.mff.cuni.cz/services/teitok/pdtc10/index.php?action=vallex&amp;frame=v-w1919f6_ZU", "myslit (v-w1919f6_ZU)")</f>
        <v>myslit (v-w1919f6_ZU)</v>
      </c>
    </row>
    <row r="13797" spans="1:2" x14ac:dyDescent="0.2">
      <c r="B13797" t="s">
        <v>1</v>
      </c>
    </row>
    <row r="13798" spans="1:2" x14ac:dyDescent="0.2">
      <c r="B13798" t="s">
        <v>4751</v>
      </c>
    </row>
    <row r="13799" spans="1:2" x14ac:dyDescent="0.2">
      <c r="B13799" t="s">
        <v>4732</v>
      </c>
    </row>
    <row r="13801" spans="1:2" x14ac:dyDescent="0.2">
      <c r="A13801" t="s">
        <v>4750</v>
      </c>
      <c r="B13801" t="str">
        <f>HYPERLINK("https://lindat.mff.cuni.cz/services/teitok/pdtc10/index.php?action=vallex&amp;frame=v-w1919f4", "myslit (v-w1919f4) - substituted with v-w1919f6_ZU")</f>
        <v>myslit (v-w1919f4) - substituted with v-w1919f6_ZU</v>
      </c>
    </row>
    <row r="13802" spans="1:2" x14ac:dyDescent="0.2">
      <c r="B13802" t="s">
        <v>1</v>
      </c>
    </row>
    <row r="13803" spans="1:2" x14ac:dyDescent="0.2">
      <c r="B13803" t="s">
        <v>4751</v>
      </c>
    </row>
    <row r="13804" spans="1:2" x14ac:dyDescent="0.2">
      <c r="B13804" t="s">
        <v>4732</v>
      </c>
    </row>
    <row r="13806" spans="1:2" x14ac:dyDescent="0.2">
      <c r="A13806" t="s">
        <v>4752</v>
      </c>
      <c r="B13806" t="str">
        <f>HYPERLINK("https://lindat.mff.cuni.cz/services/teitok/pdtc10/index.php?action=vallex&amp;frame=v-w1919f5", "myslit (v-w1919f5)")</f>
        <v>myslit (v-w1919f5)</v>
      </c>
    </row>
    <row r="13807" spans="1:2" x14ac:dyDescent="0.2">
      <c r="B13807" t="s">
        <v>1</v>
      </c>
    </row>
    <row r="13809" spans="1:2" x14ac:dyDescent="0.2">
      <c r="A13809" t="s">
        <v>4753</v>
      </c>
      <c r="B13809" t="str">
        <f>HYPERLINK("https://lindat.mff.cuni.cz/services/teitok/pdtc10/index.php?action=vallex&amp;frame=v-w1919f7_MM", "myslit (v-w1919f7_MM)")</f>
        <v>myslit (v-w1919f7_MM)</v>
      </c>
    </row>
    <row r="13810" spans="1:2" x14ac:dyDescent="0.2">
      <c r="B13810" t="s">
        <v>455</v>
      </c>
    </row>
    <row r="13811" spans="1:2" x14ac:dyDescent="0.2">
      <c r="B13811" t="s">
        <v>1012</v>
      </c>
    </row>
    <row r="13813" spans="1:2" x14ac:dyDescent="0.2">
      <c r="A13813" t="s">
        <v>4754</v>
      </c>
      <c r="B13813" t="str">
        <f>HYPERLINK("https://lindat.mff.cuni.cz/services/teitok/pdtc10/index.php?action=vallex&amp;frame=v-w1920f3", "myslit si (v-w1920f3)")</f>
        <v>myslit si (v-w1920f3)</v>
      </c>
    </row>
    <row r="13814" spans="1:2" x14ac:dyDescent="0.2">
      <c r="B13814" t="s">
        <v>1</v>
      </c>
    </row>
    <row r="13815" spans="1:2" x14ac:dyDescent="0.2">
      <c r="B13815" t="s">
        <v>8</v>
      </c>
    </row>
    <row r="13817" spans="1:2" x14ac:dyDescent="0.2">
      <c r="A13817" t="s">
        <v>4755</v>
      </c>
      <c r="B13817" t="str">
        <f>HYPERLINK("https://lindat.mff.cuni.cz/services/teitok/pdtc10/index.php?action=vallex&amp;frame=v-w1920f2", "myslit si (v-w1920f2)")</f>
        <v>myslit si (v-w1920f2)</v>
      </c>
    </row>
    <row r="13818" spans="1:2" x14ac:dyDescent="0.2">
      <c r="B13818" t="s">
        <v>1</v>
      </c>
    </row>
    <row r="13819" spans="1:2" x14ac:dyDescent="0.2">
      <c r="B13819" t="s">
        <v>28</v>
      </c>
    </row>
    <row r="13821" spans="1:2" x14ac:dyDescent="0.2">
      <c r="A13821" t="s">
        <v>4756</v>
      </c>
      <c r="B13821" t="str">
        <f>HYPERLINK("https://lindat.mff.cuni.cz/services/teitok/pdtc10/index.php?action=vallex&amp;frame=v-w1920f1", "myslit si (v-w1920f1)")</f>
        <v>myslit si (v-w1920f1)</v>
      </c>
    </row>
    <row r="13822" spans="1:2" x14ac:dyDescent="0.2">
      <c r="B13822" t="s">
        <v>1</v>
      </c>
    </row>
    <row r="13823" spans="1:2" x14ac:dyDescent="0.2">
      <c r="B13823" t="s">
        <v>4749</v>
      </c>
    </row>
    <row r="13824" spans="1:2" x14ac:dyDescent="0.2">
      <c r="B13824" t="s">
        <v>269</v>
      </c>
    </row>
    <row r="13826" spans="1:4" x14ac:dyDescent="0.2">
      <c r="A13826" t="s">
        <v>4757</v>
      </c>
      <c r="B13826" t="str">
        <f>HYPERLINK("https://lindat.mff.cuni.cz/services/teitok/pdtc10/index.php?action=vallex&amp;frame=v-w1759f1", "máchat (v-w1759f1)")</f>
        <v>máchat (v-w1759f1)</v>
      </c>
    </row>
    <row r="13827" spans="1:4" x14ac:dyDescent="0.2">
      <c r="B13827" t="s">
        <v>1</v>
      </c>
      <c r="C13827" t="s">
        <v>140</v>
      </c>
      <c r="D13827" t="s">
        <v>370</v>
      </c>
    </row>
    <row r="13828" spans="1:4" x14ac:dyDescent="0.2">
      <c r="B13828" t="s">
        <v>3225</v>
      </c>
      <c r="C13828" t="s">
        <v>34</v>
      </c>
      <c r="D13828" t="s">
        <v>359</v>
      </c>
    </row>
    <row r="13829" spans="1:4" x14ac:dyDescent="0.2">
      <c r="B13829" t="s">
        <v>3527</v>
      </c>
      <c r="D13829" t="s">
        <v>4765</v>
      </c>
    </row>
    <row r="13831" spans="1:4" x14ac:dyDescent="0.2">
      <c r="A13831" t="s">
        <v>4758</v>
      </c>
      <c r="B13831" t="str">
        <f>HYPERLINK("https://lindat.mff.cuni.cz/services/teitok/pdtc10/index.php?action=vallex&amp;frame=v-w1759f2", "máchat (v-w1759f2)")</f>
        <v>máchat (v-w1759f2)</v>
      </c>
    </row>
    <row r="13832" spans="1:4" x14ac:dyDescent="0.2">
      <c r="B13832" t="s">
        <v>1</v>
      </c>
    </row>
    <row r="13833" spans="1:4" x14ac:dyDescent="0.2">
      <c r="B13833" t="s">
        <v>8</v>
      </c>
    </row>
    <row r="13835" spans="1:4" x14ac:dyDescent="0.2">
      <c r="A13835" t="s">
        <v>4759</v>
      </c>
      <c r="B13835" t="str">
        <f>HYPERLINK("https://lindat.mff.cuni.cz/services/teitok/pdtc10/index.php?action=vallex&amp;frame=v-w12214_ZUf1_ZU", "máchat se (v-w12214_ZUf1_ZU)")</f>
        <v>máchat se (v-w12214_ZUf1_ZU)</v>
      </c>
    </row>
    <row r="13836" spans="1:4" x14ac:dyDescent="0.2">
      <c r="B13836" t="s">
        <v>1</v>
      </c>
    </row>
    <row r="13838" spans="1:4" x14ac:dyDescent="0.2">
      <c r="A13838" t="s">
        <v>4760</v>
      </c>
      <c r="B13838" t="str">
        <f>HYPERLINK("https://lindat.mff.cuni.cz/services/teitok/pdtc10/index.php?action=vallex&amp;frame=v-whsa_948hsa_949", "máchnout (v-whsa_948hsa_949)")</f>
        <v>máchnout (v-whsa_948hsa_949)</v>
      </c>
    </row>
    <row r="13839" spans="1:4" x14ac:dyDescent="0.2">
      <c r="B13839" t="s">
        <v>1</v>
      </c>
      <c r="D13839" t="s">
        <v>22</v>
      </c>
    </row>
    <row r="13840" spans="1:4" x14ac:dyDescent="0.2">
      <c r="B13840" t="s">
        <v>158</v>
      </c>
      <c r="D13840" t="s">
        <v>56</v>
      </c>
    </row>
    <row r="13842" spans="1:4" x14ac:dyDescent="0.2">
      <c r="A13842" t="s">
        <v>4761</v>
      </c>
      <c r="B13842" t="str">
        <f>HYPERLINK("https://lindat.mff.cuni.cz/services/teitok/pdtc10/index.php?action=vallex&amp;frame=v-w10223hsa_33", "mást (v-w10223hsa_33)")</f>
        <v>mást (v-w10223hsa_33)</v>
      </c>
    </row>
    <row r="13843" spans="1:4" x14ac:dyDescent="0.2">
      <c r="B13843" t="s">
        <v>488</v>
      </c>
    </row>
    <row r="13844" spans="1:4" x14ac:dyDescent="0.2">
      <c r="B13844" t="s">
        <v>8</v>
      </c>
    </row>
    <row r="13846" spans="1:4" x14ac:dyDescent="0.2">
      <c r="A13846" t="s">
        <v>4761</v>
      </c>
      <c r="B13846" t="str">
        <f>HYPERLINK("https://lindat.mff.cuni.cz/services/teitok/pdtc10/index.php?action=vallex&amp;frame=v-w10223f2", "mást (v-w10223f2) - substituted with v-w10223hsa_33")</f>
        <v>mást (v-w10223f2) - substituted with v-w10223hsa_33</v>
      </c>
    </row>
    <row r="13847" spans="1:4" x14ac:dyDescent="0.2">
      <c r="B13847" t="s">
        <v>488</v>
      </c>
      <c r="C13847" t="s">
        <v>4675</v>
      </c>
      <c r="D13847" t="s">
        <v>3735</v>
      </c>
    </row>
    <row r="13848" spans="1:4" x14ac:dyDescent="0.2">
      <c r="B13848" t="s">
        <v>8</v>
      </c>
      <c r="C13848" t="s">
        <v>4762</v>
      </c>
      <c r="D13848" t="s">
        <v>21749</v>
      </c>
    </row>
    <row r="13850" spans="1:4" x14ac:dyDescent="0.2">
      <c r="A13850" t="s">
        <v>4763</v>
      </c>
      <c r="B13850" t="str">
        <f>HYPERLINK("https://lindat.mff.cuni.cz/services/teitok/pdtc10/index.php?action=vallex&amp;frame=v-w1796f1", "mávat (v-w1796f1)")</f>
        <v>mávat (v-w1796f1)</v>
      </c>
    </row>
    <row r="13851" spans="1:4" x14ac:dyDescent="0.2">
      <c r="B13851" t="s">
        <v>1</v>
      </c>
      <c r="C13851" t="s">
        <v>430</v>
      </c>
      <c r="D13851" t="s">
        <v>2303</v>
      </c>
    </row>
    <row r="13852" spans="1:4" x14ac:dyDescent="0.2">
      <c r="B13852" t="s">
        <v>3225</v>
      </c>
      <c r="C13852" t="s">
        <v>1128</v>
      </c>
      <c r="D13852" t="s">
        <v>354</v>
      </c>
    </row>
    <row r="13853" spans="1:4" x14ac:dyDescent="0.2">
      <c r="B13853" t="s">
        <v>4764</v>
      </c>
      <c r="C13853" t="s">
        <v>4765</v>
      </c>
      <c r="D13853" t="s">
        <v>4765</v>
      </c>
    </row>
    <row r="13855" spans="1:4" x14ac:dyDescent="0.2">
      <c r="A13855" t="s">
        <v>4766</v>
      </c>
      <c r="B13855" t="str">
        <f>HYPERLINK("https://lindat.mff.cuni.cz/services/teitok/pdtc10/index.php?action=vallex&amp;frame=v-w1796f2_ZU", "mávat (v-w1796f2_ZU)")</f>
        <v>mávat (v-w1796f2_ZU)</v>
      </c>
    </row>
    <row r="13856" spans="1:4" x14ac:dyDescent="0.2">
      <c r="B13856" t="s">
        <v>1</v>
      </c>
      <c r="C13856" t="s">
        <v>430</v>
      </c>
      <c r="D13856" t="s">
        <v>22</v>
      </c>
    </row>
    <row r="13857" spans="1:4" x14ac:dyDescent="0.2">
      <c r="B13857" t="s">
        <v>158</v>
      </c>
      <c r="C13857" t="s">
        <v>1044</v>
      </c>
      <c r="D13857" t="s">
        <v>56</v>
      </c>
    </row>
    <row r="13859" spans="1:4" x14ac:dyDescent="0.2">
      <c r="A13859" t="s">
        <v>4767</v>
      </c>
      <c r="B13859" t="str">
        <f>HYPERLINK("https://lindat.mff.cuni.cz/services/teitok/pdtc10/index.php?action=vallex&amp;frame=v-w1797f1", "mávnout (v-w1797f1)")</f>
        <v>mávnout (v-w1797f1)</v>
      </c>
    </row>
    <row r="13860" spans="1:4" x14ac:dyDescent="0.2">
      <c r="B13860" t="s">
        <v>1</v>
      </c>
      <c r="C13860" t="s">
        <v>373</v>
      </c>
      <c r="D13860" t="s">
        <v>2303</v>
      </c>
    </row>
    <row r="13861" spans="1:4" x14ac:dyDescent="0.2">
      <c r="B13861" t="s">
        <v>3225</v>
      </c>
      <c r="D13861" t="s">
        <v>354</v>
      </c>
    </row>
    <row r="13862" spans="1:4" x14ac:dyDescent="0.2">
      <c r="B13862" t="s">
        <v>4768</v>
      </c>
      <c r="C13862" t="s">
        <v>4769</v>
      </c>
      <c r="D13862" t="s">
        <v>4765</v>
      </c>
    </row>
    <row r="13864" spans="1:4" x14ac:dyDescent="0.2">
      <c r="A13864" t="s">
        <v>4770</v>
      </c>
      <c r="B13864" t="str">
        <f>HYPERLINK("https://lindat.mff.cuni.cz/services/teitok/pdtc10/index.php?action=vallex&amp;frame=v-w11682_ZUf1_ZU", "máčet (v-w11682_ZUf1_ZU)")</f>
        <v>máčet (v-w11682_ZUf1_ZU)</v>
      </c>
    </row>
    <row r="13865" spans="1:4" x14ac:dyDescent="0.2">
      <c r="B13865" t="s">
        <v>1</v>
      </c>
    </row>
    <row r="13866" spans="1:4" x14ac:dyDescent="0.2">
      <c r="B13866" t="s">
        <v>8</v>
      </c>
    </row>
    <row r="13868" spans="1:4" x14ac:dyDescent="0.2">
      <c r="A13868" t="s">
        <v>4771</v>
      </c>
      <c r="B13868" t="str">
        <f>HYPERLINK("https://lindat.mff.cuni.cz/services/teitok/pdtc10/index.php?action=vallex&amp;frame=v-w12231_ZUf1_ZU", "mést (v-w12231_ZUf1_ZU)")</f>
        <v>mést (v-w12231_ZUf1_ZU)</v>
      </c>
    </row>
    <row r="13869" spans="1:4" x14ac:dyDescent="0.2">
      <c r="B13869" t="s">
        <v>1</v>
      </c>
    </row>
    <row r="13870" spans="1:4" x14ac:dyDescent="0.2">
      <c r="B13870" t="s">
        <v>8</v>
      </c>
    </row>
    <row r="13872" spans="1:4" x14ac:dyDescent="0.2">
      <c r="A13872" t="s">
        <v>4772</v>
      </c>
      <c r="B13872" t="str">
        <f>HYPERLINK("https://lindat.mff.cuni.cz/services/teitok/pdtc10/index.php?action=vallex&amp;frame=v-w1828f1", "míchat (v-w1828f1)")</f>
        <v>míchat (v-w1828f1)</v>
      </c>
    </row>
    <row r="13873" spans="1:4" x14ac:dyDescent="0.2">
      <c r="B13873" t="s">
        <v>1</v>
      </c>
      <c r="C13873" t="s">
        <v>33</v>
      </c>
      <c r="D13873" t="s">
        <v>23488</v>
      </c>
    </row>
    <row r="13874" spans="1:4" x14ac:dyDescent="0.2">
      <c r="B13874" t="s">
        <v>8</v>
      </c>
      <c r="C13874" t="s">
        <v>34</v>
      </c>
      <c r="D13874" t="s">
        <v>15821</v>
      </c>
    </row>
    <row r="13875" spans="1:4" x14ac:dyDescent="0.2">
      <c r="B13875" t="s">
        <v>24</v>
      </c>
      <c r="D13875" t="s">
        <v>7352</v>
      </c>
    </row>
    <row r="13877" spans="1:4" x14ac:dyDescent="0.2">
      <c r="A13877" t="s">
        <v>4773</v>
      </c>
      <c r="B13877" t="str">
        <f>HYPERLINK("https://lindat.mff.cuni.cz/services/teitok/pdtc10/index.php?action=vallex&amp;frame=v-w1828f9_ZU", "míchat (v-w1828f9_ZU)")</f>
        <v>míchat (v-w1828f9_ZU)</v>
      </c>
    </row>
    <row r="13878" spans="1:4" x14ac:dyDescent="0.2">
      <c r="B13878" t="s">
        <v>1</v>
      </c>
    </row>
    <row r="13879" spans="1:4" x14ac:dyDescent="0.2">
      <c r="B13879" t="s">
        <v>8</v>
      </c>
    </row>
    <row r="13880" spans="1:4" x14ac:dyDescent="0.2">
      <c r="B13880" t="s">
        <v>2604</v>
      </c>
    </row>
    <row r="13882" spans="1:4" x14ac:dyDescent="0.2">
      <c r="A13882" t="s">
        <v>4773</v>
      </c>
      <c r="B13882" t="str">
        <f>HYPERLINK("https://lindat.mff.cuni.cz/services/teitok/pdtc10/index.php?action=vallex&amp;frame=v-w1828f5", "míchat (v-w1828f5) - substituted with v-w1828f9_ZU")</f>
        <v>míchat (v-w1828f5) - substituted with v-w1828f9_ZU</v>
      </c>
    </row>
    <row r="13883" spans="1:4" x14ac:dyDescent="0.2">
      <c r="B13883" t="s">
        <v>1</v>
      </c>
    </row>
    <row r="13884" spans="1:4" x14ac:dyDescent="0.2">
      <c r="B13884" t="s">
        <v>8</v>
      </c>
    </row>
    <row r="13885" spans="1:4" x14ac:dyDescent="0.2">
      <c r="B13885" t="s">
        <v>2604</v>
      </c>
    </row>
    <row r="13887" spans="1:4" x14ac:dyDescent="0.2">
      <c r="A13887" t="s">
        <v>4774</v>
      </c>
      <c r="B13887" t="str">
        <f>HYPERLINK("https://lindat.mff.cuni.cz/services/teitok/pdtc10/index.php?action=vallex&amp;frame=v-w1828f8_ZU", "míchat (v-w1828f8_ZU)")</f>
        <v>míchat (v-w1828f8_ZU)</v>
      </c>
    </row>
    <row r="13888" spans="1:4" x14ac:dyDescent="0.2">
      <c r="B13888" t="s">
        <v>1</v>
      </c>
      <c r="D13888" t="s">
        <v>23403</v>
      </c>
    </row>
    <row r="13889" spans="1:4" x14ac:dyDescent="0.2">
      <c r="B13889" t="s">
        <v>8</v>
      </c>
      <c r="C13889" t="s">
        <v>1128</v>
      </c>
      <c r="D13889" t="s">
        <v>23404</v>
      </c>
    </row>
    <row r="13890" spans="1:4" x14ac:dyDescent="0.2">
      <c r="B13890" t="s">
        <v>2604</v>
      </c>
      <c r="C13890" t="s">
        <v>4775</v>
      </c>
      <c r="D13890" t="s">
        <v>23405</v>
      </c>
    </row>
    <row r="13892" spans="1:4" x14ac:dyDescent="0.2">
      <c r="A13892" t="s">
        <v>4774</v>
      </c>
      <c r="B13892" t="str">
        <f>HYPERLINK("https://lindat.mff.cuni.cz/services/teitok/pdtc10/index.php?action=vallex&amp;frame=v-w1828f4", "míchat (v-w1828f4) - substituted with v-w1828f8_ZU")</f>
        <v>míchat (v-w1828f4) - substituted with v-w1828f8_ZU</v>
      </c>
    </row>
    <row r="13893" spans="1:4" x14ac:dyDescent="0.2">
      <c r="B13893" t="s">
        <v>1</v>
      </c>
    </row>
    <row r="13894" spans="1:4" x14ac:dyDescent="0.2">
      <c r="B13894" t="s">
        <v>8</v>
      </c>
    </row>
    <row r="13895" spans="1:4" x14ac:dyDescent="0.2">
      <c r="B13895" t="s">
        <v>2604</v>
      </c>
    </row>
    <row r="13897" spans="1:4" x14ac:dyDescent="0.2">
      <c r="A13897" t="s">
        <v>4776</v>
      </c>
      <c r="B13897" t="str">
        <f>HYPERLINK("https://lindat.mff.cuni.cz/services/teitok/pdtc10/index.php?action=vallex&amp;frame=v-w1828f2", "míchat (v-w1828f2)")</f>
        <v>míchat (v-w1828f2)</v>
      </c>
    </row>
    <row r="13898" spans="1:4" x14ac:dyDescent="0.2">
      <c r="B13898" t="s">
        <v>1</v>
      </c>
    </row>
    <row r="13899" spans="1:4" x14ac:dyDescent="0.2">
      <c r="B13899" t="s">
        <v>8</v>
      </c>
    </row>
    <row r="13900" spans="1:4" x14ac:dyDescent="0.2">
      <c r="B13900" t="s">
        <v>90</v>
      </c>
    </row>
    <row r="13902" spans="1:4" x14ac:dyDescent="0.2">
      <c r="A13902" t="s">
        <v>4777</v>
      </c>
      <c r="B13902" t="str">
        <f>HYPERLINK("https://lindat.mff.cuni.cz/services/teitok/pdtc10/index.php?action=vallex&amp;frame=v-w1828f7", "míchat (v-w1828f7)")</f>
        <v>míchat (v-w1828f7)</v>
      </c>
    </row>
    <row r="13903" spans="1:4" x14ac:dyDescent="0.2">
      <c r="B13903" t="s">
        <v>1</v>
      </c>
    </row>
    <row r="13904" spans="1:4" x14ac:dyDescent="0.2">
      <c r="B13904" t="s">
        <v>4778</v>
      </c>
    </row>
    <row r="13906" spans="1:4" x14ac:dyDescent="0.2">
      <c r="A13906" t="s">
        <v>4779</v>
      </c>
      <c r="B13906" t="str">
        <f>HYPERLINK("https://lindat.mff.cuni.cz/services/teitok/pdtc10/index.php?action=vallex&amp;frame=v-w1828f6", "míchat (v-w1828f6)")</f>
        <v>míchat (v-w1828f6)</v>
      </c>
    </row>
    <row r="13907" spans="1:4" x14ac:dyDescent="0.2">
      <c r="B13907" t="s">
        <v>1</v>
      </c>
    </row>
    <row r="13908" spans="1:4" x14ac:dyDescent="0.2">
      <c r="B13908" t="s">
        <v>8</v>
      </c>
    </row>
    <row r="13910" spans="1:4" x14ac:dyDescent="0.2">
      <c r="A13910" t="s">
        <v>4780</v>
      </c>
      <c r="B13910" t="str">
        <f>HYPERLINK("https://lindat.mff.cuni.cz/services/teitok/pdtc10/index.php?action=vallex&amp;frame=v-w1828f3", "míchat (v-w1828f3)")</f>
        <v>míchat (v-w1828f3)</v>
      </c>
    </row>
    <row r="13911" spans="1:4" x14ac:dyDescent="0.2">
      <c r="B13911" t="s">
        <v>1</v>
      </c>
    </row>
    <row r="13912" spans="1:4" x14ac:dyDescent="0.2">
      <c r="B13912" t="s">
        <v>4781</v>
      </c>
    </row>
    <row r="13914" spans="1:4" x14ac:dyDescent="0.2">
      <c r="A13914" t="s">
        <v>4782</v>
      </c>
      <c r="B13914" t="str">
        <f>HYPERLINK("https://lindat.mff.cuni.cz/services/teitok/pdtc10/index.php?action=vallex&amp;frame=v-whsa_578hsa_579", "míchat se (v-whsa_578hsa_579)")</f>
        <v>míchat se (v-whsa_578hsa_579)</v>
      </c>
    </row>
    <row r="13915" spans="1:4" x14ac:dyDescent="0.2">
      <c r="B13915" t="s">
        <v>1</v>
      </c>
      <c r="D13915" t="s">
        <v>3765</v>
      </c>
    </row>
    <row r="13916" spans="1:4" x14ac:dyDescent="0.2">
      <c r="B13916" t="s">
        <v>817</v>
      </c>
      <c r="C13916" t="s">
        <v>113</v>
      </c>
      <c r="D13916" t="s">
        <v>23489</v>
      </c>
    </row>
    <row r="13918" spans="1:4" x14ac:dyDescent="0.2">
      <c r="A13918" t="s">
        <v>4783</v>
      </c>
      <c r="B13918" t="str">
        <f>HYPERLINK("https://lindat.mff.cuni.cz/services/teitok/pdtc10/index.php?action=vallex&amp;frame=v-whsa_578f1_MM", "míchat se (v-whsa_578f1_MM)")</f>
        <v>míchat se (v-whsa_578f1_MM)</v>
      </c>
    </row>
    <row r="13919" spans="1:4" x14ac:dyDescent="0.2">
      <c r="B13919" t="s">
        <v>1</v>
      </c>
    </row>
    <row r="13920" spans="1:4" x14ac:dyDescent="0.2">
      <c r="B13920" t="s">
        <v>86</v>
      </c>
    </row>
    <row r="13922" spans="1:3" x14ac:dyDescent="0.2">
      <c r="A13922" t="s">
        <v>4784</v>
      </c>
      <c r="B13922" t="str">
        <f>HYPERLINK("https://lindat.mff.cuni.cz/services/teitok/pdtc10/index.php?action=vallex&amp;frame=v-w1825f1", "míhat se (v-w1825f1)")</f>
        <v>míhat se (v-w1825f1)</v>
      </c>
    </row>
    <row r="13923" spans="1:3" x14ac:dyDescent="0.2">
      <c r="B13923" t="s">
        <v>1</v>
      </c>
    </row>
    <row r="13925" spans="1:3" x14ac:dyDescent="0.2">
      <c r="A13925" t="s">
        <v>4785</v>
      </c>
      <c r="B13925" t="str">
        <f>HYPERLINK("https://lindat.mff.cuni.cz/services/teitok/pdtc10/index.php?action=vallex&amp;frame=v-w1829f1", "míjet (v-w1829f1)")</f>
        <v>míjet (v-w1829f1)</v>
      </c>
    </row>
    <row r="13926" spans="1:3" x14ac:dyDescent="0.2">
      <c r="B13926" t="s">
        <v>1</v>
      </c>
    </row>
    <row r="13927" spans="1:3" x14ac:dyDescent="0.2">
      <c r="B13927" t="s">
        <v>8</v>
      </c>
    </row>
    <row r="13929" spans="1:3" x14ac:dyDescent="0.2">
      <c r="A13929" t="s">
        <v>4786</v>
      </c>
      <c r="B13929" t="str">
        <f>HYPERLINK("https://lindat.mff.cuni.cz/services/teitok/pdtc10/index.php?action=vallex&amp;frame=v-w1829f3", "míjet (v-w1829f3)")</f>
        <v>míjet (v-w1829f3)</v>
      </c>
    </row>
    <row r="13930" spans="1:3" x14ac:dyDescent="0.2">
      <c r="B13930" t="s">
        <v>1</v>
      </c>
      <c r="C13930" t="s">
        <v>1566</v>
      </c>
    </row>
    <row r="13931" spans="1:3" x14ac:dyDescent="0.2">
      <c r="B13931" t="s">
        <v>8</v>
      </c>
      <c r="C13931" t="s">
        <v>359</v>
      </c>
    </row>
    <row r="13933" spans="1:3" x14ac:dyDescent="0.2">
      <c r="A13933" t="s">
        <v>4787</v>
      </c>
      <c r="B13933" t="str">
        <f>HYPERLINK("https://lindat.mff.cuni.cz/services/teitok/pdtc10/index.php?action=vallex&amp;frame=v-w1829f2", "míjet (v-w1829f2)")</f>
        <v>míjet (v-w1829f2)</v>
      </c>
    </row>
    <row r="13934" spans="1:3" x14ac:dyDescent="0.2">
      <c r="B13934" t="s">
        <v>1</v>
      </c>
    </row>
    <row r="13936" spans="1:3" x14ac:dyDescent="0.2">
      <c r="A13936" t="s">
        <v>4788</v>
      </c>
      <c r="B13936" t="str">
        <f>HYPERLINK("https://lindat.mff.cuni.cz/services/teitok/pdtc10/index.php?action=vallex&amp;frame=v-w1830f1", "míjet se (v-w1830f1)")</f>
        <v>míjet se (v-w1830f1)</v>
      </c>
    </row>
    <row r="13937" spans="1:4" x14ac:dyDescent="0.2">
      <c r="B13937" t="s">
        <v>1</v>
      </c>
    </row>
    <row r="13938" spans="1:4" x14ac:dyDescent="0.2">
      <c r="B13938" t="s">
        <v>3215</v>
      </c>
    </row>
    <row r="13940" spans="1:4" x14ac:dyDescent="0.2">
      <c r="A13940" t="s">
        <v>4789</v>
      </c>
      <c r="B13940" t="str">
        <f>HYPERLINK("https://lindat.mff.cuni.cz/services/teitok/pdtc10/index.php?action=vallex&amp;frame=v-w1830hsa_1366", "míjet se (v-w1830hsa_1366)")</f>
        <v>míjet se (v-w1830hsa_1366)</v>
      </c>
    </row>
    <row r="13941" spans="1:4" x14ac:dyDescent="0.2">
      <c r="B13941" t="s">
        <v>1</v>
      </c>
    </row>
    <row r="13942" spans="1:4" x14ac:dyDescent="0.2">
      <c r="B13942" t="s">
        <v>411</v>
      </c>
    </row>
    <row r="13944" spans="1:4" x14ac:dyDescent="0.2">
      <c r="A13944" t="s">
        <v>4790</v>
      </c>
      <c r="B13944" t="str">
        <f>HYPERLINK("https://lindat.mff.cuni.cz/services/teitok/pdtc10/index.php?action=vallex&amp;frame=v-w1843f5", "mínit (v-w1843f5)")</f>
        <v>mínit (v-w1843f5)</v>
      </c>
    </row>
    <row r="13945" spans="1:4" x14ac:dyDescent="0.2">
      <c r="B13945" t="s">
        <v>1</v>
      </c>
      <c r="C13945" t="s">
        <v>4791</v>
      </c>
      <c r="D13945" t="s">
        <v>4807</v>
      </c>
    </row>
    <row r="13946" spans="1:4" x14ac:dyDescent="0.2">
      <c r="B13946" t="s">
        <v>8</v>
      </c>
      <c r="C13946" t="s">
        <v>4792</v>
      </c>
      <c r="D13946" t="s">
        <v>23490</v>
      </c>
    </row>
    <row r="13947" spans="1:4" x14ac:dyDescent="0.2">
      <c r="B13947" t="s">
        <v>4793</v>
      </c>
      <c r="C13947" t="s">
        <v>4794</v>
      </c>
    </row>
    <row r="13949" spans="1:4" x14ac:dyDescent="0.2">
      <c r="A13949" t="s">
        <v>4795</v>
      </c>
      <c r="B13949" t="str">
        <f>HYPERLINK("https://lindat.mff.cuni.cz/services/teitok/pdtc10/index.php?action=vallex&amp;frame=v-w1843f3", "mínit (v-w1843f3)")</f>
        <v>mínit (v-w1843f3)</v>
      </c>
    </row>
    <row r="13950" spans="1:4" x14ac:dyDescent="0.2">
      <c r="B13950" t="s">
        <v>1</v>
      </c>
      <c r="C13950" t="s">
        <v>2303</v>
      </c>
      <c r="D13950" t="s">
        <v>4807</v>
      </c>
    </row>
    <row r="13951" spans="1:4" x14ac:dyDescent="0.2">
      <c r="B13951" t="s">
        <v>8</v>
      </c>
      <c r="C13951" t="s">
        <v>4796</v>
      </c>
      <c r="D13951" t="s">
        <v>23490</v>
      </c>
    </row>
    <row r="13952" spans="1:4" x14ac:dyDescent="0.2">
      <c r="B13952" t="s">
        <v>346</v>
      </c>
      <c r="C13952" t="s">
        <v>4797</v>
      </c>
    </row>
    <row r="13953" spans="1:4" x14ac:dyDescent="0.2">
      <c r="B13953" t="s">
        <v>349</v>
      </c>
    </row>
    <row r="13954" spans="1:4" x14ac:dyDescent="0.2">
      <c r="B13954" t="s">
        <v>350</v>
      </c>
    </row>
    <row r="13955" spans="1:4" x14ac:dyDescent="0.2">
      <c r="B13955" t="s">
        <v>351</v>
      </c>
      <c r="C13955" t="s">
        <v>4798</v>
      </c>
    </row>
    <row r="13957" spans="1:4" x14ac:dyDescent="0.2">
      <c r="A13957" t="s">
        <v>4799</v>
      </c>
      <c r="B13957" t="str">
        <f>HYPERLINK("https://lindat.mff.cuni.cz/services/teitok/pdtc10/index.php?action=vallex&amp;frame=v-w1843f1", "mínit (v-w1843f1)")</f>
        <v>mínit (v-w1843f1)</v>
      </c>
    </row>
    <row r="13958" spans="1:4" x14ac:dyDescent="0.2">
      <c r="B13958" t="s">
        <v>1</v>
      </c>
      <c r="C13958" t="s">
        <v>4800</v>
      </c>
      <c r="D13958" t="s">
        <v>23491</v>
      </c>
    </row>
    <row r="13959" spans="1:4" x14ac:dyDescent="0.2">
      <c r="B13959" t="s">
        <v>557</v>
      </c>
      <c r="C13959" t="s">
        <v>4801</v>
      </c>
      <c r="D13959" t="s">
        <v>23492</v>
      </c>
    </row>
    <row r="13961" spans="1:4" x14ac:dyDescent="0.2">
      <c r="A13961" t="s">
        <v>4802</v>
      </c>
      <c r="B13961" t="str">
        <f>HYPERLINK("https://lindat.mff.cuni.cz/services/teitok/pdtc10/index.php?action=vallex&amp;frame=v-w1843f2", "mínit (v-w1843f2)")</f>
        <v>mínit (v-w1843f2)</v>
      </c>
    </row>
    <row r="13962" spans="1:4" x14ac:dyDescent="0.2">
      <c r="B13962" t="s">
        <v>1</v>
      </c>
      <c r="C13962" t="s">
        <v>3307</v>
      </c>
      <c r="D13962" t="s">
        <v>23149</v>
      </c>
    </row>
    <row r="13963" spans="1:4" x14ac:dyDescent="0.2">
      <c r="B13963" t="s">
        <v>1688</v>
      </c>
      <c r="C13963" t="s">
        <v>4803</v>
      </c>
      <c r="D13963" t="s">
        <v>23150</v>
      </c>
    </row>
    <row r="13964" spans="1:4" x14ac:dyDescent="0.2">
      <c r="B13964" t="s">
        <v>269</v>
      </c>
      <c r="D13964" t="s">
        <v>23151</v>
      </c>
    </row>
    <row r="13966" spans="1:4" x14ac:dyDescent="0.2">
      <c r="A13966" t="s">
        <v>4804</v>
      </c>
      <c r="B13966" t="str">
        <f>HYPERLINK("https://lindat.mff.cuni.cz/services/teitok/pdtc10/index.php?action=vallex&amp;frame=v-w1843f4", "mínit (v-w1843f4)")</f>
        <v>mínit (v-w1843f4)</v>
      </c>
    </row>
    <row r="13967" spans="1:4" x14ac:dyDescent="0.2">
      <c r="B13967" t="s">
        <v>1</v>
      </c>
    </row>
    <row r="13968" spans="1:4" x14ac:dyDescent="0.2">
      <c r="B13968" t="s">
        <v>1609</v>
      </c>
      <c r="C13968" t="s">
        <v>4794</v>
      </c>
    </row>
    <row r="13969" spans="1:4" x14ac:dyDescent="0.2">
      <c r="B13969" t="s">
        <v>4732</v>
      </c>
      <c r="C13969" t="s">
        <v>4805</v>
      </c>
    </row>
    <row r="13971" spans="1:4" x14ac:dyDescent="0.2">
      <c r="A13971" t="s">
        <v>4806</v>
      </c>
      <c r="B13971" t="str">
        <f>HYPERLINK("https://lindat.mff.cuni.cz/services/teitok/pdtc10/index.php?action=vallex&amp;frame=v-w1843hsa_907", "mínit (v-w1843hsa_907)")</f>
        <v>mínit (v-w1843hsa_907)</v>
      </c>
    </row>
    <row r="13972" spans="1:4" x14ac:dyDescent="0.2">
      <c r="B13972" t="s">
        <v>1</v>
      </c>
      <c r="C13972" t="s">
        <v>4807</v>
      </c>
    </row>
    <row r="13973" spans="1:4" x14ac:dyDescent="0.2">
      <c r="B13973" t="s">
        <v>8</v>
      </c>
    </row>
    <row r="13974" spans="1:4" x14ac:dyDescent="0.2">
      <c r="B13974" t="s">
        <v>4808</v>
      </c>
      <c r="C13974" t="s">
        <v>4809</v>
      </c>
    </row>
    <row r="13976" spans="1:4" x14ac:dyDescent="0.2">
      <c r="A13976" t="s">
        <v>4810</v>
      </c>
      <c r="B13976" t="str">
        <f>HYPERLINK("https://lindat.mff.cuni.cz/services/teitok/pdtc10/index.php?action=vallex&amp;frame=v-w10977f2", "mírnit (v-w10977f2)")</f>
        <v>mírnit (v-w10977f2)</v>
      </c>
    </row>
    <row r="13977" spans="1:4" x14ac:dyDescent="0.2">
      <c r="B13977" t="s">
        <v>1</v>
      </c>
      <c r="C13977" t="s">
        <v>4811</v>
      </c>
      <c r="D13977" t="s">
        <v>23101</v>
      </c>
    </row>
    <row r="13978" spans="1:4" x14ac:dyDescent="0.2">
      <c r="B13978" t="s">
        <v>8</v>
      </c>
      <c r="C13978" t="s">
        <v>4812</v>
      </c>
      <c r="D13978" t="s">
        <v>13624</v>
      </c>
    </row>
    <row r="13980" spans="1:4" x14ac:dyDescent="0.2">
      <c r="A13980" t="s">
        <v>4813</v>
      </c>
      <c r="B13980" t="str">
        <f>HYPERLINK("https://lindat.mff.cuni.cz/services/teitok/pdtc10/index.php?action=vallex&amp;frame=v-w11432f1", "mírnit se (v-w11432f1)")</f>
        <v>mírnit se (v-w11432f1)</v>
      </c>
    </row>
    <row r="13981" spans="1:4" x14ac:dyDescent="0.2">
      <c r="B13981" t="s">
        <v>1</v>
      </c>
    </row>
    <row r="13983" spans="1:4" x14ac:dyDescent="0.2">
      <c r="A13983" t="s">
        <v>4814</v>
      </c>
      <c r="B13983" t="str">
        <f>HYPERLINK("https://lindat.mff.cuni.cz/services/teitok/pdtc10/index.php?action=vallex&amp;frame=v-w11432f2_ZU", "mírnit se (v-w11432f2_ZU)")</f>
        <v>mírnit se (v-w11432f2_ZU)</v>
      </c>
    </row>
    <row r="13984" spans="1:4" x14ac:dyDescent="0.2">
      <c r="B13984" t="s">
        <v>1</v>
      </c>
    </row>
    <row r="13986" spans="1:4" x14ac:dyDescent="0.2">
      <c r="A13986" t="s">
        <v>4815</v>
      </c>
      <c r="B13986" t="str">
        <f>HYPERLINK("https://lindat.mff.cuni.cz/services/teitok/pdtc10/index.php?action=vallex&amp;frame=v-w1848f1", "mísit (v-w1848f1)")</f>
        <v>mísit (v-w1848f1)</v>
      </c>
    </row>
    <row r="13987" spans="1:4" x14ac:dyDescent="0.2">
      <c r="B13987" t="s">
        <v>1</v>
      </c>
    </row>
    <row r="13988" spans="1:4" x14ac:dyDescent="0.2">
      <c r="B13988" t="s">
        <v>8</v>
      </c>
    </row>
    <row r="13989" spans="1:4" x14ac:dyDescent="0.2">
      <c r="B13989" t="s">
        <v>2604</v>
      </c>
    </row>
    <row r="13991" spans="1:4" x14ac:dyDescent="0.2">
      <c r="A13991" t="s">
        <v>4816</v>
      </c>
      <c r="B13991" t="str">
        <f>HYPERLINK("https://lindat.mff.cuni.cz/services/teitok/pdtc10/index.php?action=vallex&amp;frame=v-w1848f2", "mísit (v-w1848f2)")</f>
        <v>mísit (v-w1848f2)</v>
      </c>
    </row>
    <row r="13992" spans="1:4" x14ac:dyDescent="0.2">
      <c r="B13992" t="s">
        <v>1</v>
      </c>
    </row>
    <row r="13993" spans="1:4" x14ac:dyDescent="0.2">
      <c r="B13993" t="s">
        <v>8</v>
      </c>
    </row>
    <row r="13995" spans="1:4" x14ac:dyDescent="0.2">
      <c r="A13995" t="s">
        <v>4817</v>
      </c>
      <c r="B13995" t="str">
        <f>HYPERLINK("https://lindat.mff.cuni.cz/services/teitok/pdtc10/index.php?action=vallex&amp;frame=v-w1849f2", "mísit se (v-w1849f2)")</f>
        <v>mísit se (v-w1849f2)</v>
      </c>
    </row>
    <row r="13996" spans="1:4" x14ac:dyDescent="0.2">
      <c r="B13996" t="s">
        <v>1</v>
      </c>
    </row>
    <row r="13997" spans="1:4" x14ac:dyDescent="0.2">
      <c r="B13997" t="s">
        <v>817</v>
      </c>
    </row>
    <row r="13999" spans="1:4" x14ac:dyDescent="0.2">
      <c r="A13999" t="s">
        <v>4818</v>
      </c>
      <c r="B13999" t="str">
        <f>HYPERLINK("https://lindat.mff.cuni.cz/services/teitok/pdtc10/index.php?action=vallex&amp;frame=v-w1849f1", "mísit se (v-w1849f1)")</f>
        <v>mísit se (v-w1849f1)</v>
      </c>
    </row>
    <row r="14000" spans="1:4" x14ac:dyDescent="0.2">
      <c r="B14000" t="s">
        <v>1</v>
      </c>
      <c r="C14000" t="s">
        <v>140</v>
      </c>
      <c r="D14000" t="s">
        <v>13744</v>
      </c>
    </row>
    <row r="14001" spans="1:4" x14ac:dyDescent="0.2">
      <c r="B14001" t="s">
        <v>411</v>
      </c>
      <c r="C14001" t="s">
        <v>113</v>
      </c>
      <c r="D14001" t="s">
        <v>84</v>
      </c>
    </row>
    <row r="14003" spans="1:4" x14ac:dyDescent="0.2">
      <c r="A14003" t="s">
        <v>4819</v>
      </c>
      <c r="B14003" t="str">
        <f>HYPERLINK("https://lindat.mff.cuni.cz/services/teitok/pdtc10/index.php?action=vallex&amp;frame=v-w1855f300_ZU", "mít (v-w1855f300_ZU)")</f>
        <v>mít (v-w1855f300_ZU)</v>
      </c>
    </row>
    <row r="14004" spans="1:4" x14ac:dyDescent="0.2">
      <c r="B14004" t="s">
        <v>1</v>
      </c>
    </row>
    <row r="14005" spans="1:4" x14ac:dyDescent="0.2">
      <c r="B14005" t="s">
        <v>176</v>
      </c>
    </row>
    <row r="14006" spans="1:4" x14ac:dyDescent="0.2">
      <c r="B14006" t="s">
        <v>58</v>
      </c>
    </row>
    <row r="14008" spans="1:4" x14ac:dyDescent="0.2">
      <c r="A14008" t="s">
        <v>4819</v>
      </c>
      <c r="B14008" t="str">
        <f>HYPERLINK("https://lindat.mff.cuni.cz/services/teitok/pdtc10/index.php?action=vallex&amp;frame=v-w1855f299_ZU", "mít (v-w1855f299_ZU) - substituted with v-w1855f300_ZU")</f>
        <v>mít (v-w1855f299_ZU) - substituted with v-w1855f300_ZU</v>
      </c>
    </row>
    <row r="14009" spans="1:4" x14ac:dyDescent="0.2">
      <c r="B14009" t="s">
        <v>1</v>
      </c>
    </row>
    <row r="14010" spans="1:4" x14ac:dyDescent="0.2">
      <c r="B14010" t="s">
        <v>176</v>
      </c>
    </row>
    <row r="14011" spans="1:4" x14ac:dyDescent="0.2">
      <c r="B14011" t="s">
        <v>58</v>
      </c>
    </row>
    <row r="14013" spans="1:4" x14ac:dyDescent="0.2">
      <c r="A14013" t="s">
        <v>4819</v>
      </c>
      <c r="B14013" t="str">
        <f>HYPERLINK("https://lindat.mff.cuni.cz/services/teitok/pdtc10/index.php?action=vallex&amp;frame=v-w1855f72", "mít (v-w1855f72) - substituted with v-w1855f300_ZU")</f>
        <v>mít (v-w1855f72) - substituted with v-w1855f300_ZU</v>
      </c>
    </row>
    <row r="14014" spans="1:4" x14ac:dyDescent="0.2">
      <c r="B14014" t="s">
        <v>1</v>
      </c>
    </row>
    <row r="14015" spans="1:4" x14ac:dyDescent="0.2">
      <c r="B14015" t="s">
        <v>176</v>
      </c>
    </row>
    <row r="14016" spans="1:4" x14ac:dyDescent="0.2">
      <c r="B14016" t="s">
        <v>58</v>
      </c>
    </row>
    <row r="14018" spans="1:2" x14ac:dyDescent="0.2">
      <c r="A14018" t="s">
        <v>4820</v>
      </c>
      <c r="B14018" t="str">
        <f>HYPERLINK("https://lindat.mff.cuni.cz/services/teitok/pdtc10/index.php?action=vallex&amp;frame=v-w1855f322_ZU", "mít (v-w1855f322_ZU)")</f>
        <v>mít (v-w1855f322_ZU)</v>
      </c>
    </row>
    <row r="14019" spans="1:2" x14ac:dyDescent="0.2">
      <c r="B14019" t="s">
        <v>1</v>
      </c>
    </row>
    <row r="14020" spans="1:2" x14ac:dyDescent="0.2">
      <c r="B14020" t="s">
        <v>8</v>
      </c>
    </row>
    <row r="14021" spans="1:2" x14ac:dyDescent="0.2">
      <c r="B14021" t="s">
        <v>1142</v>
      </c>
    </row>
    <row r="14023" spans="1:2" x14ac:dyDescent="0.2">
      <c r="A14023" t="s">
        <v>4820</v>
      </c>
      <c r="B14023" t="str">
        <f>HYPERLINK("https://lindat.mff.cuni.cz/services/teitok/pdtc10/index.php?action=vallex&amp;frame=v-w1855f272_ZU", "mít (v-w1855f272_ZU) - substituted with v-w1855f322_ZU")</f>
        <v>mít (v-w1855f272_ZU) - substituted with v-w1855f322_ZU</v>
      </c>
    </row>
    <row r="14024" spans="1:2" x14ac:dyDescent="0.2">
      <c r="B14024" t="s">
        <v>1</v>
      </c>
    </row>
    <row r="14025" spans="1:2" x14ac:dyDescent="0.2">
      <c r="B14025" t="s">
        <v>8</v>
      </c>
    </row>
    <row r="14026" spans="1:2" x14ac:dyDescent="0.2">
      <c r="B14026" t="s">
        <v>1142</v>
      </c>
    </row>
    <row r="14028" spans="1:2" x14ac:dyDescent="0.2">
      <c r="A14028" t="s">
        <v>4820</v>
      </c>
      <c r="B14028" t="str">
        <f>HYPERLINK("https://lindat.mff.cuni.cz/services/teitok/pdtc10/index.php?action=vallex&amp;frame=v-w1855f273_ZU", "mít (v-w1855f273_ZU) - substituted with v-w1855f322_ZU")</f>
        <v>mít (v-w1855f273_ZU) - substituted with v-w1855f322_ZU</v>
      </c>
    </row>
    <row r="14029" spans="1:2" x14ac:dyDescent="0.2">
      <c r="B14029" t="s">
        <v>1</v>
      </c>
    </row>
    <row r="14030" spans="1:2" x14ac:dyDescent="0.2">
      <c r="B14030" t="s">
        <v>8</v>
      </c>
    </row>
    <row r="14031" spans="1:2" x14ac:dyDescent="0.2">
      <c r="B14031" t="s">
        <v>1142</v>
      </c>
    </row>
    <row r="14033" spans="1:3" x14ac:dyDescent="0.2">
      <c r="A14033" t="s">
        <v>4820</v>
      </c>
      <c r="B14033" t="str">
        <f>HYPERLINK("https://lindat.mff.cuni.cz/services/teitok/pdtc10/index.php?action=vallex&amp;frame=v-w1855f275_ZU", "mít (v-w1855f275_ZU) - substituted with v-w1855f322_ZU")</f>
        <v>mít (v-w1855f275_ZU) - substituted with v-w1855f322_ZU</v>
      </c>
    </row>
    <row r="14034" spans="1:3" x14ac:dyDescent="0.2">
      <c r="B14034" t="s">
        <v>1</v>
      </c>
    </row>
    <row r="14035" spans="1:3" x14ac:dyDescent="0.2">
      <c r="B14035" t="s">
        <v>8</v>
      </c>
    </row>
    <row r="14036" spans="1:3" x14ac:dyDescent="0.2">
      <c r="B14036" t="s">
        <v>1142</v>
      </c>
    </row>
    <row r="14038" spans="1:3" x14ac:dyDescent="0.2">
      <c r="A14038" t="s">
        <v>4820</v>
      </c>
      <c r="B14038" t="str">
        <f>HYPERLINK("https://lindat.mff.cuni.cz/services/teitok/pdtc10/index.php?action=vallex&amp;frame=v-w1855f3", "mít (v-w1855f3) - substituted with v-w1855f322_ZU")</f>
        <v>mít (v-w1855f3) - substituted with v-w1855f322_ZU</v>
      </c>
    </row>
    <row r="14039" spans="1:3" x14ac:dyDescent="0.2">
      <c r="B14039" t="s">
        <v>1</v>
      </c>
      <c r="C14039" t="s">
        <v>4821</v>
      </c>
    </row>
    <row r="14040" spans="1:3" x14ac:dyDescent="0.2">
      <c r="B14040" t="s">
        <v>8</v>
      </c>
      <c r="C14040" t="s">
        <v>4822</v>
      </c>
    </row>
    <row r="14041" spans="1:3" x14ac:dyDescent="0.2">
      <c r="B14041" t="s">
        <v>1142</v>
      </c>
      <c r="C14041" t="s">
        <v>4823</v>
      </c>
    </row>
    <row r="14043" spans="1:3" x14ac:dyDescent="0.2">
      <c r="A14043" t="s">
        <v>4820</v>
      </c>
      <c r="B14043" t="str">
        <f>HYPERLINK("https://lindat.mff.cuni.cz/services/teitok/pdtc10/index.php?action=vallex&amp;frame=v-w1855f308_ZU", "mít (v-w1855f308_ZU) - substituted with v-w1855f322_ZU")</f>
        <v>mít (v-w1855f308_ZU) - substituted with v-w1855f322_ZU</v>
      </c>
    </row>
    <row r="14044" spans="1:3" x14ac:dyDescent="0.2">
      <c r="B14044" t="s">
        <v>1</v>
      </c>
    </row>
    <row r="14045" spans="1:3" x14ac:dyDescent="0.2">
      <c r="B14045" t="s">
        <v>8</v>
      </c>
    </row>
    <row r="14046" spans="1:3" x14ac:dyDescent="0.2">
      <c r="B14046" t="s">
        <v>1142</v>
      </c>
    </row>
    <row r="14048" spans="1:3" x14ac:dyDescent="0.2">
      <c r="A14048" t="s">
        <v>4820</v>
      </c>
      <c r="B14048" t="str">
        <f>HYPERLINK("https://lindat.mff.cuni.cz/services/teitok/pdtc10/index.php?action=vallex&amp;frame=v-w1855f313_ZU", "mít (v-w1855f313_ZU) - substituted with v-w1855f322_ZU")</f>
        <v>mít (v-w1855f313_ZU) - substituted with v-w1855f322_ZU</v>
      </c>
    </row>
    <row r="14049" spans="1:3" x14ac:dyDescent="0.2">
      <c r="B14049" t="s">
        <v>1</v>
      </c>
    </row>
    <row r="14050" spans="1:3" x14ac:dyDescent="0.2">
      <c r="B14050" t="s">
        <v>8</v>
      </c>
    </row>
    <row r="14051" spans="1:3" x14ac:dyDescent="0.2">
      <c r="B14051" t="s">
        <v>1142</v>
      </c>
    </row>
    <row r="14053" spans="1:3" x14ac:dyDescent="0.2">
      <c r="A14053" t="s">
        <v>4820</v>
      </c>
      <c r="B14053" t="str">
        <f>HYPERLINK("https://lindat.mff.cuni.cz/services/teitok/pdtc10/index.php?action=vallex&amp;frame=v-w1855f319_ZU", "mít (v-w1855f319_ZU) - substituted with v-w1855f322_ZU")</f>
        <v>mít (v-w1855f319_ZU) - substituted with v-w1855f322_ZU</v>
      </c>
    </row>
    <row r="14054" spans="1:3" x14ac:dyDescent="0.2">
      <c r="B14054" t="s">
        <v>1</v>
      </c>
    </row>
    <row r="14055" spans="1:3" x14ac:dyDescent="0.2">
      <c r="B14055" t="s">
        <v>8</v>
      </c>
    </row>
    <row r="14056" spans="1:3" x14ac:dyDescent="0.2">
      <c r="B14056" t="s">
        <v>1142</v>
      </c>
    </row>
    <row r="14058" spans="1:3" x14ac:dyDescent="0.2">
      <c r="A14058" t="s">
        <v>4820</v>
      </c>
      <c r="B14058" t="str">
        <f>HYPERLINK("https://lindat.mff.cuni.cz/services/teitok/pdtc10/index.php?action=vallex&amp;frame=v-w1855f321_ZU", "mít (v-w1855f321_ZU) - substituted with v-w1855f322_ZU")</f>
        <v>mít (v-w1855f321_ZU) - substituted with v-w1855f322_ZU</v>
      </c>
    </row>
    <row r="14059" spans="1:3" x14ac:dyDescent="0.2">
      <c r="B14059" t="s">
        <v>1</v>
      </c>
    </row>
    <row r="14060" spans="1:3" x14ac:dyDescent="0.2">
      <c r="B14060" t="s">
        <v>8</v>
      </c>
    </row>
    <row r="14061" spans="1:3" x14ac:dyDescent="0.2">
      <c r="B14061" t="s">
        <v>1142</v>
      </c>
    </row>
    <row r="14063" spans="1:3" x14ac:dyDescent="0.2">
      <c r="A14063" t="s">
        <v>4824</v>
      </c>
      <c r="B14063" t="str">
        <f>HYPERLINK("https://lindat.mff.cuni.cz/services/teitok/pdtc10/index.php?action=vallex&amp;frame=v-w1855f81", "mít (v-w1855f81)")</f>
        <v>mít (v-w1855f81)</v>
      </c>
    </row>
    <row r="14064" spans="1:3" x14ac:dyDescent="0.2">
      <c r="B14064" t="s">
        <v>1</v>
      </c>
      <c r="C14064" t="s">
        <v>4825</v>
      </c>
    </row>
    <row r="14065" spans="1:3" x14ac:dyDescent="0.2">
      <c r="B14065" t="s">
        <v>1921</v>
      </c>
      <c r="C14065" t="s">
        <v>4826</v>
      </c>
    </row>
    <row r="14066" spans="1:3" x14ac:dyDescent="0.2">
      <c r="B14066" t="s">
        <v>1922</v>
      </c>
      <c r="C14066" t="s">
        <v>4827</v>
      </c>
    </row>
    <row r="14067" spans="1:3" x14ac:dyDescent="0.2">
      <c r="B14067" t="s">
        <v>321</v>
      </c>
    </row>
    <row r="14069" spans="1:3" x14ac:dyDescent="0.2">
      <c r="A14069" t="s">
        <v>4828</v>
      </c>
      <c r="B14069" t="str">
        <f>HYPERLINK("https://lindat.mff.cuni.cz/services/teitok/pdtc10/index.php?action=vallex&amp;frame=v-w1855f307_ZU", "mít (v-w1855f307_ZU)")</f>
        <v>mít (v-w1855f307_ZU)</v>
      </c>
    </row>
    <row r="14070" spans="1:3" x14ac:dyDescent="0.2">
      <c r="B14070" t="s">
        <v>1</v>
      </c>
    </row>
    <row r="14071" spans="1:3" x14ac:dyDescent="0.2">
      <c r="B14071" t="s">
        <v>228</v>
      </c>
    </row>
    <row r="14072" spans="1:3" x14ac:dyDescent="0.2">
      <c r="B14072" t="s">
        <v>4829</v>
      </c>
    </row>
    <row r="14074" spans="1:3" x14ac:dyDescent="0.2">
      <c r="A14074" t="s">
        <v>4828</v>
      </c>
      <c r="B14074" t="str">
        <f>HYPERLINK("https://lindat.mff.cuni.cz/services/teitok/pdtc10/index.php?action=vallex&amp;frame=v-w1855f208_ZU", "mít (v-w1855f208_ZU) - substituted with v-w1855f307_ZU")</f>
        <v>mít (v-w1855f208_ZU) - substituted with v-w1855f307_ZU</v>
      </c>
    </row>
    <row r="14075" spans="1:3" x14ac:dyDescent="0.2">
      <c r="B14075" t="s">
        <v>1</v>
      </c>
    </row>
    <row r="14076" spans="1:3" x14ac:dyDescent="0.2">
      <c r="B14076" t="s">
        <v>228</v>
      </c>
    </row>
    <row r="14077" spans="1:3" x14ac:dyDescent="0.2">
      <c r="B14077" t="s">
        <v>4829</v>
      </c>
    </row>
    <row r="14079" spans="1:3" x14ac:dyDescent="0.2">
      <c r="A14079" t="s">
        <v>4828</v>
      </c>
      <c r="B14079" t="str">
        <f>HYPERLINK("https://lindat.mff.cuni.cz/services/teitok/pdtc10/index.php?action=vallex&amp;frame=v-w1855f30", "mít (v-w1855f30) - substituted with v-w1855f307_ZU")</f>
        <v>mít (v-w1855f30) - substituted with v-w1855f307_ZU</v>
      </c>
    </row>
    <row r="14080" spans="1:3" x14ac:dyDescent="0.2">
      <c r="B14080" t="s">
        <v>1</v>
      </c>
    </row>
    <row r="14081" spans="1:2" x14ac:dyDescent="0.2">
      <c r="B14081" t="s">
        <v>228</v>
      </c>
    </row>
    <row r="14082" spans="1:2" x14ac:dyDescent="0.2">
      <c r="B14082" t="s">
        <v>4829</v>
      </c>
    </row>
    <row r="14084" spans="1:2" x14ac:dyDescent="0.2">
      <c r="A14084" t="s">
        <v>4828</v>
      </c>
      <c r="B14084" t="str">
        <f>HYPERLINK("https://lindat.mff.cuni.cz/services/teitok/pdtc10/index.php?action=vallex&amp;frame=v-w1855hsa_1108", "mít (v-w1855hsa_1108) - substituted with v-w1855f307_ZU")</f>
        <v>mít (v-w1855hsa_1108) - substituted with v-w1855f307_ZU</v>
      </c>
    </row>
    <row r="14085" spans="1:2" x14ac:dyDescent="0.2">
      <c r="B14085" t="s">
        <v>1</v>
      </c>
    </row>
    <row r="14086" spans="1:2" x14ac:dyDescent="0.2">
      <c r="B14086" t="s">
        <v>228</v>
      </c>
    </row>
    <row r="14087" spans="1:2" x14ac:dyDescent="0.2">
      <c r="B14087" t="s">
        <v>4829</v>
      </c>
    </row>
    <row r="14089" spans="1:2" x14ac:dyDescent="0.2">
      <c r="A14089" t="s">
        <v>4830</v>
      </c>
      <c r="B14089" t="str">
        <f>HYPERLINK("https://lindat.mff.cuni.cz/services/teitok/pdtc10/index.php?action=vallex&amp;frame=v-w1855f345_MM", "mít (v-w1855f345_MM)")</f>
        <v>mít (v-w1855f345_MM)</v>
      </c>
    </row>
    <row r="14090" spans="1:2" x14ac:dyDescent="0.2">
      <c r="B14090" t="s">
        <v>1</v>
      </c>
    </row>
    <row r="14091" spans="1:2" x14ac:dyDescent="0.2">
      <c r="B14091" t="s">
        <v>124</v>
      </c>
    </row>
    <row r="14092" spans="1:2" x14ac:dyDescent="0.2">
      <c r="B14092" t="s">
        <v>4831</v>
      </c>
    </row>
    <row r="14094" spans="1:2" x14ac:dyDescent="0.2">
      <c r="A14094" t="s">
        <v>4830</v>
      </c>
      <c r="B14094" t="str">
        <f>HYPERLINK("https://lindat.mff.cuni.cz/services/teitok/pdtc10/index.php?action=vallex&amp;frame=v-w1855f241_ZU", "mít (v-w1855f241_ZU) - substituted with v-w1855f345_MM")</f>
        <v>mít (v-w1855f241_ZU) - substituted with v-w1855f345_MM</v>
      </c>
    </row>
    <row r="14095" spans="1:2" x14ac:dyDescent="0.2">
      <c r="B14095" t="s">
        <v>1</v>
      </c>
    </row>
    <row r="14096" spans="1:2" x14ac:dyDescent="0.2">
      <c r="B14096" t="s">
        <v>124</v>
      </c>
    </row>
    <row r="14097" spans="1:2" x14ac:dyDescent="0.2">
      <c r="B14097" t="s">
        <v>4831</v>
      </c>
    </row>
    <row r="14099" spans="1:2" x14ac:dyDescent="0.2">
      <c r="A14099" t="s">
        <v>4830</v>
      </c>
      <c r="B14099" t="str">
        <f>HYPERLINK("https://lindat.mff.cuni.cz/services/teitok/pdtc10/index.php?action=vallex&amp;frame=v-w1855f282_ZU", "mít (v-w1855f282_ZU) - substituted with v-w1855f345_MM")</f>
        <v>mít (v-w1855f282_ZU) - substituted with v-w1855f345_MM</v>
      </c>
    </row>
    <row r="14100" spans="1:2" x14ac:dyDescent="0.2">
      <c r="B14100" t="s">
        <v>1</v>
      </c>
    </row>
    <row r="14101" spans="1:2" x14ac:dyDescent="0.2">
      <c r="B14101" t="s">
        <v>124</v>
      </c>
    </row>
    <row r="14102" spans="1:2" x14ac:dyDescent="0.2">
      <c r="B14102" t="s">
        <v>4831</v>
      </c>
    </row>
    <row r="14104" spans="1:2" x14ac:dyDescent="0.2">
      <c r="A14104" t="s">
        <v>4830</v>
      </c>
      <c r="B14104" t="str">
        <f>HYPERLINK("https://lindat.mff.cuni.cz/services/teitok/pdtc10/index.php?action=vallex&amp;frame=v-w1855f318_ZU", "mít (v-w1855f318_ZU) - substituted with v-w1855f345_MM")</f>
        <v>mít (v-w1855f318_ZU) - substituted with v-w1855f345_MM</v>
      </c>
    </row>
    <row r="14105" spans="1:2" x14ac:dyDescent="0.2">
      <c r="B14105" t="s">
        <v>1</v>
      </c>
    </row>
    <row r="14106" spans="1:2" x14ac:dyDescent="0.2">
      <c r="B14106" t="s">
        <v>124</v>
      </c>
    </row>
    <row r="14107" spans="1:2" x14ac:dyDescent="0.2">
      <c r="B14107" t="s">
        <v>4831</v>
      </c>
    </row>
    <row r="14109" spans="1:2" x14ac:dyDescent="0.2">
      <c r="A14109" t="s">
        <v>4830</v>
      </c>
      <c r="B14109" t="str">
        <f>HYPERLINK("https://lindat.mff.cuni.cz/services/teitok/pdtc10/index.php?action=vallex&amp;frame=v-w1855f337_ZU", "mít (v-w1855f337_ZU) - substituted with v-w1855f345_MM")</f>
        <v>mít (v-w1855f337_ZU) - substituted with v-w1855f345_MM</v>
      </c>
    </row>
    <row r="14110" spans="1:2" x14ac:dyDescent="0.2">
      <c r="B14110" t="s">
        <v>1</v>
      </c>
    </row>
    <row r="14111" spans="1:2" x14ac:dyDescent="0.2">
      <c r="B14111" t="s">
        <v>124</v>
      </c>
    </row>
    <row r="14112" spans="1:2" x14ac:dyDescent="0.2">
      <c r="B14112" t="s">
        <v>4831</v>
      </c>
    </row>
    <row r="14114" spans="1:3" x14ac:dyDescent="0.2">
      <c r="A14114" t="s">
        <v>4830</v>
      </c>
      <c r="B14114" t="str">
        <f>HYPERLINK("https://lindat.mff.cuni.cz/services/teitok/pdtc10/index.php?action=vallex&amp;frame=v-w1855f338_ZU", "mít (v-w1855f338_ZU) - substituted with v-w1855f345_MM")</f>
        <v>mít (v-w1855f338_ZU) - substituted with v-w1855f345_MM</v>
      </c>
    </row>
    <row r="14115" spans="1:3" x14ac:dyDescent="0.2">
      <c r="B14115" t="s">
        <v>1</v>
      </c>
    </row>
    <row r="14116" spans="1:3" x14ac:dyDescent="0.2">
      <c r="B14116" t="s">
        <v>124</v>
      </c>
    </row>
    <row r="14117" spans="1:3" x14ac:dyDescent="0.2">
      <c r="B14117" t="s">
        <v>4831</v>
      </c>
    </row>
    <row r="14119" spans="1:3" x14ac:dyDescent="0.2">
      <c r="A14119" t="s">
        <v>4830</v>
      </c>
      <c r="B14119" t="str">
        <f>HYPERLINK("https://lindat.mff.cuni.cz/services/teitok/pdtc10/index.php?action=vallex&amp;frame=v-w1855f5", "mít (v-w1855f5) - substituted with v-w1855f345_MM")</f>
        <v>mít (v-w1855f5) - substituted with v-w1855f345_MM</v>
      </c>
    </row>
    <row r="14120" spans="1:3" x14ac:dyDescent="0.2">
      <c r="B14120" t="s">
        <v>1</v>
      </c>
      <c r="C14120" t="s">
        <v>4832</v>
      </c>
    </row>
    <row r="14121" spans="1:3" x14ac:dyDescent="0.2">
      <c r="B14121" t="s">
        <v>124</v>
      </c>
      <c r="C14121" t="s">
        <v>4833</v>
      </c>
    </row>
    <row r="14122" spans="1:3" x14ac:dyDescent="0.2">
      <c r="B14122" t="s">
        <v>4831</v>
      </c>
      <c r="C14122" t="s">
        <v>4834</v>
      </c>
    </row>
    <row r="14124" spans="1:3" x14ac:dyDescent="0.2">
      <c r="A14124" t="s">
        <v>4835</v>
      </c>
      <c r="B14124" t="str">
        <f>HYPERLINK("https://lindat.mff.cuni.cz/services/teitok/pdtc10/index.php?action=vallex&amp;frame=v-w1855f286_ZU", "mít (v-w1855f286_ZU)")</f>
        <v>mít (v-w1855f286_ZU)</v>
      </c>
    </row>
    <row r="14125" spans="1:3" x14ac:dyDescent="0.2">
      <c r="B14125" t="s">
        <v>1</v>
      </c>
    </row>
    <row r="14126" spans="1:3" x14ac:dyDescent="0.2">
      <c r="B14126" t="s">
        <v>8</v>
      </c>
    </row>
    <row r="14127" spans="1:3" x14ac:dyDescent="0.2">
      <c r="B14127" t="s">
        <v>4836</v>
      </c>
    </row>
    <row r="14128" spans="1:3" x14ac:dyDescent="0.2">
      <c r="B14128" t="s">
        <v>349</v>
      </c>
    </row>
    <row r="14129" spans="1:3" x14ac:dyDescent="0.2">
      <c r="B14129" t="s">
        <v>348</v>
      </c>
    </row>
    <row r="14130" spans="1:3" x14ac:dyDescent="0.2">
      <c r="B14130" t="s">
        <v>346</v>
      </c>
    </row>
    <row r="14132" spans="1:3" x14ac:dyDescent="0.2">
      <c r="A14132" t="s">
        <v>4835</v>
      </c>
      <c r="B14132" t="str">
        <f>HYPERLINK("https://lindat.mff.cuni.cz/services/teitok/pdtc10/index.php?action=vallex&amp;frame=v-w1855f24", "mít (v-w1855f24) - substituted with v-w1855f286_ZU")</f>
        <v>mít (v-w1855f24) - substituted with v-w1855f286_ZU</v>
      </c>
    </row>
    <row r="14133" spans="1:3" x14ac:dyDescent="0.2">
      <c r="B14133" t="s">
        <v>1</v>
      </c>
      <c r="C14133" t="s">
        <v>4837</v>
      </c>
    </row>
    <row r="14134" spans="1:3" x14ac:dyDescent="0.2">
      <c r="B14134" t="s">
        <v>8</v>
      </c>
      <c r="C14134" t="s">
        <v>4838</v>
      </c>
    </row>
    <row r="14135" spans="1:3" x14ac:dyDescent="0.2">
      <c r="B14135" t="s">
        <v>4836</v>
      </c>
      <c r="C14135" t="s">
        <v>4839</v>
      </c>
    </row>
    <row r="14136" spans="1:3" x14ac:dyDescent="0.2">
      <c r="B14136" t="s">
        <v>349</v>
      </c>
    </row>
    <row r="14137" spans="1:3" x14ac:dyDescent="0.2">
      <c r="B14137" t="s">
        <v>348</v>
      </c>
    </row>
    <row r="14138" spans="1:3" x14ac:dyDescent="0.2">
      <c r="B14138" t="s">
        <v>346</v>
      </c>
    </row>
    <row r="14140" spans="1:3" x14ac:dyDescent="0.2">
      <c r="A14140" t="s">
        <v>4835</v>
      </c>
      <c r="B14140" t="str">
        <f>HYPERLINK("https://lindat.mff.cuni.cz/services/teitok/pdtc10/index.php?action=vallex&amp;frame=v-w1855f240_ZU", "mít (v-w1855f240_ZU) - substituted with v-w1855f286_ZU")</f>
        <v>mít (v-w1855f240_ZU) - substituted with v-w1855f286_ZU</v>
      </c>
    </row>
    <row r="14141" spans="1:3" x14ac:dyDescent="0.2">
      <c r="B14141" t="s">
        <v>1</v>
      </c>
    </row>
    <row r="14142" spans="1:3" x14ac:dyDescent="0.2">
      <c r="B14142" t="s">
        <v>8</v>
      </c>
    </row>
    <row r="14143" spans="1:3" x14ac:dyDescent="0.2">
      <c r="B14143" t="s">
        <v>4836</v>
      </c>
    </row>
    <row r="14144" spans="1:3" x14ac:dyDescent="0.2">
      <c r="B14144" t="s">
        <v>349</v>
      </c>
    </row>
    <row r="14145" spans="1:3" x14ac:dyDescent="0.2">
      <c r="B14145" t="s">
        <v>348</v>
      </c>
    </row>
    <row r="14146" spans="1:3" x14ac:dyDescent="0.2">
      <c r="B14146" t="s">
        <v>346</v>
      </c>
    </row>
    <row r="14148" spans="1:3" x14ac:dyDescent="0.2">
      <c r="A14148" t="s">
        <v>4835</v>
      </c>
      <c r="B14148" t="str">
        <f>HYPERLINK("https://lindat.mff.cuni.cz/services/teitok/pdtc10/index.php?action=vallex&amp;frame=v-w1855f260_ZU", "mít (v-w1855f260_ZU) - substituted with v-w1855f286_ZU")</f>
        <v>mít (v-w1855f260_ZU) - substituted with v-w1855f286_ZU</v>
      </c>
    </row>
    <row r="14149" spans="1:3" x14ac:dyDescent="0.2">
      <c r="B14149" t="s">
        <v>1</v>
      </c>
    </row>
    <row r="14150" spans="1:3" x14ac:dyDescent="0.2">
      <c r="B14150" t="s">
        <v>8</v>
      </c>
    </row>
    <row r="14151" spans="1:3" x14ac:dyDescent="0.2">
      <c r="B14151" t="s">
        <v>4836</v>
      </c>
    </row>
    <row r="14152" spans="1:3" x14ac:dyDescent="0.2">
      <c r="B14152" t="s">
        <v>349</v>
      </c>
    </row>
    <row r="14153" spans="1:3" x14ac:dyDescent="0.2">
      <c r="B14153" t="s">
        <v>348</v>
      </c>
    </row>
    <row r="14154" spans="1:3" x14ac:dyDescent="0.2">
      <c r="B14154" t="s">
        <v>346</v>
      </c>
    </row>
    <row r="14156" spans="1:3" x14ac:dyDescent="0.2">
      <c r="A14156" t="s">
        <v>4840</v>
      </c>
      <c r="B14156" t="str">
        <f>HYPERLINK("https://lindat.mff.cuni.cz/services/teitok/pdtc10/index.php?action=vallex&amp;frame=v-w1855f9", "mít (v-w1855f9)")</f>
        <v>mít (v-w1855f9)</v>
      </c>
    </row>
    <row r="14157" spans="1:3" x14ac:dyDescent="0.2">
      <c r="B14157" t="s">
        <v>1</v>
      </c>
      <c r="C14157" t="s">
        <v>4841</v>
      </c>
    </row>
    <row r="14158" spans="1:3" x14ac:dyDescent="0.2">
      <c r="B14158" t="s">
        <v>8</v>
      </c>
      <c r="C14158" t="s">
        <v>4842</v>
      </c>
    </row>
    <row r="14159" spans="1:3" x14ac:dyDescent="0.2">
      <c r="B14159" t="s">
        <v>5</v>
      </c>
      <c r="C14159" t="s">
        <v>4843</v>
      </c>
    </row>
    <row r="14161" spans="1:3" x14ac:dyDescent="0.2">
      <c r="A14161" t="s">
        <v>4844</v>
      </c>
      <c r="B14161" t="str">
        <f>HYPERLINK("https://lindat.mff.cuni.cz/services/teitok/pdtc10/index.php?action=vallex&amp;frame=v-w1855f311_ZU", "mít (v-w1855f311_ZU)")</f>
        <v>mít (v-w1855f311_ZU)</v>
      </c>
    </row>
    <row r="14162" spans="1:3" x14ac:dyDescent="0.2">
      <c r="B14162" t="s">
        <v>1</v>
      </c>
    </row>
    <row r="14163" spans="1:3" x14ac:dyDescent="0.2">
      <c r="B14163" t="s">
        <v>3766</v>
      </c>
    </row>
    <row r="14165" spans="1:3" x14ac:dyDescent="0.2">
      <c r="A14165" t="s">
        <v>4844</v>
      </c>
      <c r="B14165" t="str">
        <f>HYPERLINK("https://lindat.mff.cuni.cz/services/teitok/pdtc10/index.php?action=vallex&amp;frame=v-w1855f1", "mít (v-w1855f1) - substituted with v-w1855f311_ZU")</f>
        <v>mít (v-w1855f1) - substituted with v-w1855f311_ZU</v>
      </c>
    </row>
    <row r="14166" spans="1:3" x14ac:dyDescent="0.2">
      <c r="B14166" t="s">
        <v>1</v>
      </c>
      <c r="C14166" t="s">
        <v>4845</v>
      </c>
    </row>
    <row r="14167" spans="1:3" x14ac:dyDescent="0.2">
      <c r="B14167" t="s">
        <v>3766</v>
      </c>
      <c r="C14167" t="s">
        <v>4846</v>
      </c>
    </row>
    <row r="14169" spans="1:3" x14ac:dyDescent="0.2">
      <c r="A14169" t="s">
        <v>4844</v>
      </c>
      <c r="B14169" t="str">
        <f>HYPERLINK("https://lindat.mff.cuni.cz/services/teitok/pdtc10/index.php?action=vallex&amp;frame=v-w1855f166_ZU", "mít (v-w1855f166_ZU) - substituted with v-w1855f311_ZU")</f>
        <v>mít (v-w1855f166_ZU) - substituted with v-w1855f311_ZU</v>
      </c>
    </row>
    <row r="14170" spans="1:3" x14ac:dyDescent="0.2">
      <c r="B14170" t="s">
        <v>1</v>
      </c>
    </row>
    <row r="14171" spans="1:3" x14ac:dyDescent="0.2">
      <c r="B14171" t="s">
        <v>3766</v>
      </c>
    </row>
    <row r="14173" spans="1:3" x14ac:dyDescent="0.2">
      <c r="A14173" t="s">
        <v>4844</v>
      </c>
      <c r="B14173" t="str">
        <f>HYPERLINK("https://lindat.mff.cuni.cz/services/teitok/pdtc10/index.php?action=vallex&amp;frame=v-w1855f170_ZU", "mít (v-w1855f170_ZU) - substituted with v-w1855f311_ZU")</f>
        <v>mít (v-w1855f170_ZU) - substituted with v-w1855f311_ZU</v>
      </c>
    </row>
    <row r="14174" spans="1:3" x14ac:dyDescent="0.2">
      <c r="B14174" t="s">
        <v>1</v>
      </c>
    </row>
    <row r="14175" spans="1:3" x14ac:dyDescent="0.2">
      <c r="B14175" t="s">
        <v>3766</v>
      </c>
    </row>
    <row r="14177" spans="1:3" x14ac:dyDescent="0.2">
      <c r="A14177" t="s">
        <v>4844</v>
      </c>
      <c r="B14177" t="str">
        <f>HYPERLINK("https://lindat.mff.cuni.cz/services/teitok/pdtc10/index.php?action=vallex&amp;frame=v-w1855f190_ZU", "mít (v-w1855f190_ZU) - substituted with v-w1855f311_ZU")</f>
        <v>mít (v-w1855f190_ZU) - substituted with v-w1855f311_ZU</v>
      </c>
    </row>
    <row r="14178" spans="1:3" x14ac:dyDescent="0.2">
      <c r="B14178" t="s">
        <v>1</v>
      </c>
      <c r="C14178" t="s">
        <v>1086</v>
      </c>
    </row>
    <row r="14179" spans="1:3" x14ac:dyDescent="0.2">
      <c r="B14179" t="s">
        <v>3766</v>
      </c>
      <c r="C14179" t="s">
        <v>1087</v>
      </c>
    </row>
    <row r="14181" spans="1:3" x14ac:dyDescent="0.2">
      <c r="A14181" t="s">
        <v>4844</v>
      </c>
      <c r="B14181" t="str">
        <f>HYPERLINK("https://lindat.mff.cuni.cz/services/teitok/pdtc10/index.php?action=vallex&amp;frame=v-w1855f251_ZU", "mít (v-w1855f251_ZU) - substituted with v-w1855f311_ZU")</f>
        <v>mít (v-w1855f251_ZU) - substituted with v-w1855f311_ZU</v>
      </c>
    </row>
    <row r="14182" spans="1:3" x14ac:dyDescent="0.2">
      <c r="B14182" t="s">
        <v>1</v>
      </c>
    </row>
    <row r="14183" spans="1:3" x14ac:dyDescent="0.2">
      <c r="B14183" t="s">
        <v>3766</v>
      </c>
    </row>
    <row r="14185" spans="1:3" x14ac:dyDescent="0.2">
      <c r="A14185" t="s">
        <v>4844</v>
      </c>
      <c r="B14185" t="str">
        <f>HYPERLINK("https://lindat.mff.cuni.cz/services/teitok/pdtc10/index.php?action=vallex&amp;frame=v-w1855f263_ZU", "mít (v-w1855f263_ZU) - substituted with v-w1855f311_ZU")</f>
        <v>mít (v-w1855f263_ZU) - substituted with v-w1855f311_ZU</v>
      </c>
    </row>
    <row r="14186" spans="1:3" x14ac:dyDescent="0.2">
      <c r="B14186" t="s">
        <v>1</v>
      </c>
    </row>
    <row r="14187" spans="1:3" x14ac:dyDescent="0.2">
      <c r="B14187" t="s">
        <v>3766</v>
      </c>
    </row>
    <row r="14189" spans="1:3" x14ac:dyDescent="0.2">
      <c r="A14189" t="s">
        <v>4844</v>
      </c>
      <c r="B14189" t="str">
        <f>HYPERLINK("https://lindat.mff.cuni.cz/services/teitok/pdtc10/index.php?action=vallex&amp;frame=v-w1855f268_ZU", "mít (v-w1855f268_ZU) - substituted with v-w1855f311_ZU")</f>
        <v>mít (v-w1855f268_ZU) - substituted with v-w1855f311_ZU</v>
      </c>
    </row>
    <row r="14190" spans="1:3" x14ac:dyDescent="0.2">
      <c r="B14190" t="s">
        <v>1</v>
      </c>
    </row>
    <row r="14191" spans="1:3" x14ac:dyDescent="0.2">
      <c r="B14191" t="s">
        <v>3766</v>
      </c>
    </row>
    <row r="14193" spans="1:2" x14ac:dyDescent="0.2">
      <c r="A14193" t="s">
        <v>4844</v>
      </c>
      <c r="B14193" t="str">
        <f>HYPERLINK("https://lindat.mff.cuni.cz/services/teitok/pdtc10/index.php?action=vallex&amp;frame=v-w1855f279_ZU", "mít (v-w1855f279_ZU) - substituted with v-w1855f311_ZU")</f>
        <v>mít (v-w1855f279_ZU) - substituted with v-w1855f311_ZU</v>
      </c>
    </row>
    <row r="14194" spans="1:2" x14ac:dyDescent="0.2">
      <c r="B14194" t="s">
        <v>1</v>
      </c>
    </row>
    <row r="14195" spans="1:2" x14ac:dyDescent="0.2">
      <c r="B14195" t="s">
        <v>3766</v>
      </c>
    </row>
    <row r="14197" spans="1:2" x14ac:dyDescent="0.2">
      <c r="A14197" t="s">
        <v>4844</v>
      </c>
      <c r="B14197" t="str">
        <f>HYPERLINK("https://lindat.mff.cuni.cz/services/teitok/pdtc10/index.php?action=vallex&amp;frame=v-w1855f280_ZU", "mít (v-w1855f280_ZU) - substituted with v-w1855f311_ZU")</f>
        <v>mít (v-w1855f280_ZU) - substituted with v-w1855f311_ZU</v>
      </c>
    </row>
    <row r="14198" spans="1:2" x14ac:dyDescent="0.2">
      <c r="B14198" t="s">
        <v>1</v>
      </c>
    </row>
    <row r="14199" spans="1:2" x14ac:dyDescent="0.2">
      <c r="B14199" t="s">
        <v>3766</v>
      </c>
    </row>
    <row r="14201" spans="1:2" x14ac:dyDescent="0.2">
      <c r="A14201" t="s">
        <v>4847</v>
      </c>
      <c r="B14201" t="str">
        <f>HYPERLINK("https://lindat.mff.cuni.cz/services/teitok/pdtc10/index.php?action=vallex&amp;frame=v-w1855f329_ZU", "mít (v-w1855f329_ZU)")</f>
        <v>mít (v-w1855f329_ZU)</v>
      </c>
    </row>
    <row r="14202" spans="1:2" x14ac:dyDescent="0.2">
      <c r="B14202" t="s">
        <v>1</v>
      </c>
    </row>
    <row r="14203" spans="1:2" x14ac:dyDescent="0.2">
      <c r="B14203" t="s">
        <v>8</v>
      </c>
    </row>
    <row r="14205" spans="1:2" x14ac:dyDescent="0.2">
      <c r="A14205" t="s">
        <v>4847</v>
      </c>
      <c r="B14205" t="str">
        <f>HYPERLINK("https://lindat.mff.cuni.cz/services/teitok/pdtc10/index.php?action=vallex&amp;frame=v-w1855f167_ZU", "mít (v-w1855f167_ZU) - substituted with v-w1855f329_ZU")</f>
        <v>mít (v-w1855f167_ZU) - substituted with v-w1855f329_ZU</v>
      </c>
    </row>
    <row r="14206" spans="1:2" x14ac:dyDescent="0.2">
      <c r="B14206" t="s">
        <v>1</v>
      </c>
    </row>
    <row r="14207" spans="1:2" x14ac:dyDescent="0.2">
      <c r="B14207" t="s">
        <v>8</v>
      </c>
    </row>
    <row r="14209" spans="1:3" x14ac:dyDescent="0.2">
      <c r="A14209" t="s">
        <v>4847</v>
      </c>
      <c r="B14209" t="str">
        <f>HYPERLINK("https://lindat.mff.cuni.cz/services/teitok/pdtc10/index.php?action=vallex&amp;frame=v-w1855f168_ZU", "mít (v-w1855f168_ZU) - substituted with v-w1855f329_ZU")</f>
        <v>mít (v-w1855f168_ZU) - substituted with v-w1855f329_ZU</v>
      </c>
    </row>
    <row r="14210" spans="1:3" x14ac:dyDescent="0.2">
      <c r="B14210" t="s">
        <v>1</v>
      </c>
    </row>
    <row r="14211" spans="1:3" x14ac:dyDescent="0.2">
      <c r="B14211" t="s">
        <v>8</v>
      </c>
    </row>
    <row r="14213" spans="1:3" x14ac:dyDescent="0.2">
      <c r="A14213" t="s">
        <v>4847</v>
      </c>
      <c r="B14213" t="str">
        <f>HYPERLINK("https://lindat.mff.cuni.cz/services/teitok/pdtc10/index.php?action=vallex&amp;frame=v-w1855f172_ZU", "mít (v-w1855f172_ZU) - substituted with v-w1855f329_ZU")</f>
        <v>mít (v-w1855f172_ZU) - substituted with v-w1855f329_ZU</v>
      </c>
    </row>
    <row r="14214" spans="1:3" x14ac:dyDescent="0.2">
      <c r="B14214" t="s">
        <v>1</v>
      </c>
      <c r="C14214" t="s">
        <v>1086</v>
      </c>
    </row>
    <row r="14215" spans="1:3" x14ac:dyDescent="0.2">
      <c r="B14215" t="s">
        <v>8</v>
      </c>
      <c r="C14215" t="s">
        <v>1087</v>
      </c>
    </row>
    <row r="14217" spans="1:3" x14ac:dyDescent="0.2">
      <c r="A14217" t="s">
        <v>4847</v>
      </c>
      <c r="B14217" t="str">
        <f>HYPERLINK("https://lindat.mff.cuni.cz/services/teitok/pdtc10/index.php?action=vallex&amp;frame=v-w1855f195_ZU", "mít (v-w1855f195_ZU) - substituted with v-w1855f329_ZU")</f>
        <v>mít (v-w1855f195_ZU) - substituted with v-w1855f329_ZU</v>
      </c>
    </row>
    <row r="14218" spans="1:3" x14ac:dyDescent="0.2">
      <c r="B14218" t="s">
        <v>1</v>
      </c>
      <c r="C14218" t="s">
        <v>1086</v>
      </c>
    </row>
    <row r="14219" spans="1:3" x14ac:dyDescent="0.2">
      <c r="B14219" t="s">
        <v>8</v>
      </c>
      <c r="C14219" t="s">
        <v>1087</v>
      </c>
    </row>
    <row r="14221" spans="1:3" x14ac:dyDescent="0.2">
      <c r="A14221" t="s">
        <v>4847</v>
      </c>
      <c r="B14221" t="str">
        <f>HYPERLINK("https://lindat.mff.cuni.cz/services/teitok/pdtc10/index.php?action=vallex&amp;frame=v-w1855f2", "mít (v-w1855f2) - substituted with v-w1855f329_ZU")</f>
        <v>mít (v-w1855f2) - substituted with v-w1855f329_ZU</v>
      </c>
    </row>
    <row r="14222" spans="1:3" x14ac:dyDescent="0.2">
      <c r="B14222" t="s">
        <v>1</v>
      </c>
      <c r="C14222" t="s">
        <v>4848</v>
      </c>
    </row>
    <row r="14223" spans="1:3" x14ac:dyDescent="0.2">
      <c r="B14223" t="s">
        <v>8</v>
      </c>
      <c r="C14223" t="s">
        <v>4849</v>
      </c>
    </row>
    <row r="14225" spans="1:2" x14ac:dyDescent="0.2">
      <c r="A14225" t="s">
        <v>4847</v>
      </c>
      <c r="B14225" t="str">
        <f>HYPERLINK("https://lindat.mff.cuni.cz/services/teitok/pdtc10/index.php?action=vallex&amp;frame=v-w1855f264_ZU", "mít (v-w1855f264_ZU) - substituted with v-w1855f329_ZU")</f>
        <v>mít (v-w1855f264_ZU) - substituted with v-w1855f329_ZU</v>
      </c>
    </row>
    <row r="14226" spans="1:2" x14ac:dyDescent="0.2">
      <c r="B14226" t="s">
        <v>1</v>
      </c>
    </row>
    <row r="14227" spans="1:2" x14ac:dyDescent="0.2">
      <c r="B14227" t="s">
        <v>8</v>
      </c>
    </row>
    <row r="14229" spans="1:2" x14ac:dyDescent="0.2">
      <c r="A14229" t="s">
        <v>4847</v>
      </c>
      <c r="B14229" t="str">
        <f>HYPERLINK("https://lindat.mff.cuni.cz/services/teitok/pdtc10/index.php?action=vallex&amp;frame=v-w1855f266_ZU", "mít (v-w1855f266_ZU) - substituted with v-w1855f329_ZU")</f>
        <v>mít (v-w1855f266_ZU) - substituted with v-w1855f329_ZU</v>
      </c>
    </row>
    <row r="14230" spans="1:2" x14ac:dyDescent="0.2">
      <c r="B14230" t="s">
        <v>1</v>
      </c>
    </row>
    <row r="14231" spans="1:2" x14ac:dyDescent="0.2">
      <c r="B14231" t="s">
        <v>8</v>
      </c>
    </row>
    <row r="14233" spans="1:2" x14ac:dyDescent="0.2">
      <c r="A14233" t="s">
        <v>4847</v>
      </c>
      <c r="B14233" t="str">
        <f>HYPERLINK("https://lindat.mff.cuni.cz/services/teitok/pdtc10/index.php?action=vallex&amp;frame=v-w1855f276_ZU", "mít (v-w1855f276_ZU) - substituted with v-w1855f329_ZU")</f>
        <v>mít (v-w1855f276_ZU) - substituted with v-w1855f329_ZU</v>
      </c>
    </row>
    <row r="14234" spans="1:2" x14ac:dyDescent="0.2">
      <c r="B14234" t="s">
        <v>1</v>
      </c>
    </row>
    <row r="14235" spans="1:2" x14ac:dyDescent="0.2">
      <c r="B14235" t="s">
        <v>8</v>
      </c>
    </row>
    <row r="14237" spans="1:2" x14ac:dyDescent="0.2">
      <c r="A14237" t="s">
        <v>4847</v>
      </c>
      <c r="B14237" t="str">
        <f>HYPERLINK("https://lindat.mff.cuni.cz/services/teitok/pdtc10/index.php?action=vallex&amp;frame=v-w1855f314_ZU", "mít (v-w1855f314_ZU) - substituted with v-w1855f329_ZU")</f>
        <v>mít (v-w1855f314_ZU) - substituted with v-w1855f329_ZU</v>
      </c>
    </row>
    <row r="14238" spans="1:2" x14ac:dyDescent="0.2">
      <c r="B14238" t="s">
        <v>1</v>
      </c>
    </row>
    <row r="14239" spans="1:2" x14ac:dyDescent="0.2">
      <c r="B14239" t="s">
        <v>8</v>
      </c>
    </row>
    <row r="14241" spans="1:3" x14ac:dyDescent="0.2">
      <c r="A14241" t="s">
        <v>4850</v>
      </c>
      <c r="B14241" t="str">
        <f>HYPERLINK("https://lindat.mff.cuni.cz/services/teitok/pdtc10/index.php?action=vallex&amp;frame=v-w1855f27", "mít (v-w1855f27)")</f>
        <v>mít (v-w1855f27)</v>
      </c>
    </row>
    <row r="14242" spans="1:3" x14ac:dyDescent="0.2">
      <c r="B14242" t="s">
        <v>1</v>
      </c>
      <c r="C14242" t="s">
        <v>4851</v>
      </c>
    </row>
    <row r="14243" spans="1:3" x14ac:dyDescent="0.2">
      <c r="B14243" t="s">
        <v>4852</v>
      </c>
      <c r="C14243" t="s">
        <v>4853</v>
      </c>
    </row>
    <row r="14245" spans="1:3" x14ac:dyDescent="0.2">
      <c r="A14245" t="s">
        <v>4854</v>
      </c>
      <c r="B14245" t="str">
        <f>HYPERLINK("https://lindat.mff.cuni.cz/services/teitok/pdtc10/index.php?action=vallex&amp;frame=v-w1855f19", "mít (v-w1855f19)")</f>
        <v>mít (v-w1855f19)</v>
      </c>
    </row>
    <row r="14246" spans="1:3" x14ac:dyDescent="0.2">
      <c r="B14246" t="s">
        <v>1</v>
      </c>
      <c r="C14246" t="s">
        <v>1086</v>
      </c>
    </row>
    <row r="14247" spans="1:3" x14ac:dyDescent="0.2">
      <c r="B14247" t="s">
        <v>28</v>
      </c>
      <c r="C14247" t="s">
        <v>1087</v>
      </c>
    </row>
    <row r="14249" spans="1:3" x14ac:dyDescent="0.2">
      <c r="A14249" t="s">
        <v>4855</v>
      </c>
      <c r="B14249" t="str">
        <f>HYPERLINK("https://lindat.mff.cuni.cz/services/teitok/pdtc10/index.php?action=vallex&amp;frame=v-w1855f39", "mít (v-w1855f39)")</f>
        <v>mít (v-w1855f39)</v>
      </c>
    </row>
    <row r="14250" spans="1:3" x14ac:dyDescent="0.2">
      <c r="B14250" t="s">
        <v>1</v>
      </c>
    </row>
    <row r="14251" spans="1:3" x14ac:dyDescent="0.2">
      <c r="B14251" t="s">
        <v>28</v>
      </c>
    </row>
    <row r="14253" spans="1:3" x14ac:dyDescent="0.2">
      <c r="A14253" t="s">
        <v>4856</v>
      </c>
      <c r="B14253" t="str">
        <f>HYPERLINK("https://lindat.mff.cuni.cz/services/teitok/pdtc10/index.php?action=vallex&amp;frame=v-w1855f305_ZU", "mít (v-w1855f305_ZU)")</f>
        <v>mít (v-w1855f305_ZU)</v>
      </c>
    </row>
    <row r="14254" spans="1:3" x14ac:dyDescent="0.2">
      <c r="B14254" t="s">
        <v>1</v>
      </c>
    </row>
    <row r="14255" spans="1:3" x14ac:dyDescent="0.2">
      <c r="B14255" t="s">
        <v>4857</v>
      </c>
    </row>
    <row r="14257" spans="1:3" x14ac:dyDescent="0.2">
      <c r="A14257" t="s">
        <v>4856</v>
      </c>
      <c r="B14257" t="str">
        <f>HYPERLINK("https://lindat.mff.cuni.cz/services/teitok/pdtc10/index.php?action=vallex&amp;frame=v-w1855f261_ZU", "mít (v-w1855f261_ZU) - substituted with v-w1855f305_ZU")</f>
        <v>mít (v-w1855f261_ZU) - substituted with v-w1855f305_ZU</v>
      </c>
    </row>
    <row r="14258" spans="1:3" x14ac:dyDescent="0.2">
      <c r="B14258" t="s">
        <v>1</v>
      </c>
    </row>
    <row r="14259" spans="1:3" x14ac:dyDescent="0.2">
      <c r="B14259" t="s">
        <v>4857</v>
      </c>
    </row>
    <row r="14261" spans="1:3" x14ac:dyDescent="0.2">
      <c r="A14261" t="s">
        <v>4856</v>
      </c>
      <c r="B14261" t="str">
        <f>HYPERLINK("https://lindat.mff.cuni.cz/services/teitok/pdtc10/index.php?action=vallex&amp;frame=v-w1855f75", "mít (v-w1855f75) - substituted with v-w1855f305_ZU")</f>
        <v>mít (v-w1855f75) - substituted with v-w1855f305_ZU</v>
      </c>
    </row>
    <row r="14262" spans="1:3" x14ac:dyDescent="0.2">
      <c r="B14262" t="s">
        <v>1</v>
      </c>
    </row>
    <row r="14263" spans="1:3" x14ac:dyDescent="0.2">
      <c r="B14263" t="s">
        <v>4857</v>
      </c>
    </row>
    <row r="14265" spans="1:3" x14ac:dyDescent="0.2">
      <c r="A14265" t="s">
        <v>4858</v>
      </c>
      <c r="B14265" t="str">
        <f>HYPERLINK("https://lindat.mff.cuni.cz/services/teitok/pdtc10/index.php?action=vallex&amp;frame=v-w1855f315_ZU", "mít (v-w1855f315_ZU)")</f>
        <v>mít (v-w1855f315_ZU)</v>
      </c>
    </row>
    <row r="14266" spans="1:3" x14ac:dyDescent="0.2">
      <c r="B14266" t="s">
        <v>1</v>
      </c>
    </row>
    <row r="14267" spans="1:3" x14ac:dyDescent="0.2">
      <c r="B14267" t="s">
        <v>220</v>
      </c>
    </row>
    <row r="14268" spans="1:3" x14ac:dyDescent="0.2">
      <c r="B14268" t="s">
        <v>90</v>
      </c>
    </row>
    <row r="14269" spans="1:3" x14ac:dyDescent="0.2">
      <c r="B14269" t="s">
        <v>524</v>
      </c>
    </row>
    <row r="14271" spans="1:3" x14ac:dyDescent="0.2">
      <c r="A14271" t="s">
        <v>4858</v>
      </c>
      <c r="B14271" t="str">
        <f>HYPERLINK("https://lindat.mff.cuni.cz/services/teitok/pdtc10/index.php?action=vallex&amp;frame=v-w1855f25", "mít (v-w1855f25) - substituted with v-w1855f315_ZU")</f>
        <v>mít (v-w1855f25) - substituted with v-w1855f315_ZU</v>
      </c>
    </row>
    <row r="14272" spans="1:3" x14ac:dyDescent="0.2">
      <c r="B14272" t="s">
        <v>1</v>
      </c>
      <c r="C14272" t="s">
        <v>4859</v>
      </c>
    </row>
    <row r="14273" spans="1:3" x14ac:dyDescent="0.2">
      <c r="B14273" t="s">
        <v>220</v>
      </c>
    </row>
    <row r="14274" spans="1:3" x14ac:dyDescent="0.2">
      <c r="B14274" t="s">
        <v>90</v>
      </c>
      <c r="C14274" t="s">
        <v>4860</v>
      </c>
    </row>
    <row r="14275" spans="1:3" x14ac:dyDescent="0.2">
      <c r="B14275" t="s">
        <v>524</v>
      </c>
      <c r="C14275" t="s">
        <v>4861</v>
      </c>
    </row>
    <row r="14277" spans="1:3" x14ac:dyDescent="0.2">
      <c r="A14277" t="s">
        <v>4858</v>
      </c>
      <c r="B14277" t="str">
        <f>HYPERLINK("https://lindat.mff.cuni.cz/services/teitok/pdtc10/index.php?action=vallex&amp;frame=v-w1855f285_ZU", "mít (v-w1855f285_ZU) - substituted with v-w1855f315_ZU")</f>
        <v>mít (v-w1855f285_ZU) - substituted with v-w1855f315_ZU</v>
      </c>
    </row>
    <row r="14278" spans="1:3" x14ac:dyDescent="0.2">
      <c r="B14278" t="s">
        <v>1</v>
      </c>
    </row>
    <row r="14279" spans="1:3" x14ac:dyDescent="0.2">
      <c r="B14279" t="s">
        <v>220</v>
      </c>
    </row>
    <row r="14280" spans="1:3" x14ac:dyDescent="0.2">
      <c r="B14280" t="s">
        <v>90</v>
      </c>
    </row>
    <row r="14281" spans="1:3" x14ac:dyDescent="0.2">
      <c r="B14281" t="s">
        <v>524</v>
      </c>
    </row>
    <row r="14283" spans="1:3" x14ac:dyDescent="0.2">
      <c r="A14283" t="s">
        <v>4858</v>
      </c>
      <c r="B14283" t="str">
        <f>HYPERLINK("https://lindat.mff.cuni.cz/services/teitok/pdtc10/index.php?action=vallex&amp;frame=v-w1855f287_ZU", "mít (v-w1855f287_ZU) - substituted with v-w1855f315_ZU")</f>
        <v>mít (v-w1855f287_ZU) - substituted with v-w1855f315_ZU</v>
      </c>
    </row>
    <row r="14284" spans="1:3" x14ac:dyDescent="0.2">
      <c r="B14284" t="s">
        <v>1</v>
      </c>
    </row>
    <row r="14285" spans="1:3" x14ac:dyDescent="0.2">
      <c r="B14285" t="s">
        <v>220</v>
      </c>
    </row>
    <row r="14286" spans="1:3" x14ac:dyDescent="0.2">
      <c r="B14286" t="s">
        <v>90</v>
      </c>
    </row>
    <row r="14287" spans="1:3" x14ac:dyDescent="0.2">
      <c r="B14287" t="s">
        <v>524</v>
      </c>
    </row>
    <row r="14289" spans="1:3" x14ac:dyDescent="0.2">
      <c r="A14289" t="s">
        <v>4862</v>
      </c>
      <c r="B14289" t="str">
        <f>HYPERLINK("https://lindat.mff.cuni.cz/services/teitok/pdtc10/index.php?action=vallex&amp;frame=v-w1855f53", "mít (v-w1855f53)")</f>
        <v>mít (v-w1855f53)</v>
      </c>
    </row>
    <row r="14290" spans="1:3" x14ac:dyDescent="0.2">
      <c r="B14290" t="s">
        <v>1</v>
      </c>
      <c r="C14290" t="s">
        <v>364</v>
      </c>
    </row>
    <row r="14291" spans="1:3" x14ac:dyDescent="0.2">
      <c r="B14291" t="s">
        <v>524</v>
      </c>
      <c r="C14291" t="s">
        <v>4861</v>
      </c>
    </row>
    <row r="14293" spans="1:3" x14ac:dyDescent="0.2">
      <c r="A14293" t="s">
        <v>4863</v>
      </c>
      <c r="B14293" t="str">
        <f>HYPERLINK("https://lindat.mff.cuni.cz/services/teitok/pdtc10/index.php?action=vallex&amp;frame=v-w1855f163_ZU", "mít (v-w1855f163_ZU)")</f>
        <v>mít (v-w1855f163_ZU)</v>
      </c>
    </row>
    <row r="14294" spans="1:3" x14ac:dyDescent="0.2">
      <c r="B14294" t="s">
        <v>1</v>
      </c>
      <c r="C14294" t="s">
        <v>1086</v>
      </c>
    </row>
    <row r="14295" spans="1:3" x14ac:dyDescent="0.2">
      <c r="B14295" t="s">
        <v>4864</v>
      </c>
      <c r="C14295" t="s">
        <v>1963</v>
      </c>
    </row>
    <row r="14296" spans="1:3" x14ac:dyDescent="0.2">
      <c r="B14296" t="s">
        <v>321</v>
      </c>
    </row>
    <row r="14298" spans="1:3" x14ac:dyDescent="0.2">
      <c r="A14298" t="s">
        <v>4863</v>
      </c>
      <c r="B14298" t="str">
        <f>HYPERLINK("https://lindat.mff.cuni.cz/services/teitok/pdtc10/index.php?action=vallex&amp;frame=v-w1855f117_ZU", "mít (v-w1855f117_ZU) - substituted with v-w1855f163_ZU")</f>
        <v>mít (v-w1855f117_ZU) - substituted with v-w1855f163_ZU</v>
      </c>
    </row>
    <row r="14299" spans="1:3" x14ac:dyDescent="0.2">
      <c r="B14299" t="s">
        <v>1</v>
      </c>
      <c r="C14299" t="s">
        <v>1086</v>
      </c>
    </row>
    <row r="14300" spans="1:3" x14ac:dyDescent="0.2">
      <c r="B14300" t="s">
        <v>4864</v>
      </c>
      <c r="C14300" t="s">
        <v>1963</v>
      </c>
    </row>
    <row r="14301" spans="1:3" x14ac:dyDescent="0.2">
      <c r="B14301" t="s">
        <v>321</v>
      </c>
    </row>
    <row r="14303" spans="1:3" x14ac:dyDescent="0.2">
      <c r="A14303" t="s">
        <v>4863</v>
      </c>
      <c r="B14303" t="str">
        <f>HYPERLINK("https://lindat.mff.cuni.cz/services/teitok/pdtc10/index.php?action=vallex&amp;frame=v-w1855f118_ZU", "mít (v-w1855f118_ZU) - substituted with v-w1855f163_ZU")</f>
        <v>mít (v-w1855f118_ZU) - substituted with v-w1855f163_ZU</v>
      </c>
    </row>
    <row r="14304" spans="1:3" x14ac:dyDescent="0.2">
      <c r="B14304" t="s">
        <v>1</v>
      </c>
      <c r="C14304" t="s">
        <v>1086</v>
      </c>
    </row>
    <row r="14305" spans="1:3" x14ac:dyDescent="0.2">
      <c r="B14305" t="s">
        <v>4864</v>
      </c>
      <c r="C14305" t="s">
        <v>1963</v>
      </c>
    </row>
    <row r="14306" spans="1:3" x14ac:dyDescent="0.2">
      <c r="B14306" t="s">
        <v>321</v>
      </c>
    </row>
    <row r="14308" spans="1:3" x14ac:dyDescent="0.2">
      <c r="A14308" t="s">
        <v>4865</v>
      </c>
      <c r="B14308" t="str">
        <f>HYPERLINK("https://lindat.mff.cuni.cz/services/teitok/pdtc10/index.php?action=vallex&amp;frame=v-w1855f296_ZU", "mít (v-w1855f296_ZU)")</f>
        <v>mít (v-w1855f296_ZU)</v>
      </c>
    </row>
    <row r="14309" spans="1:3" x14ac:dyDescent="0.2">
      <c r="B14309" t="s">
        <v>1</v>
      </c>
    </row>
    <row r="14310" spans="1:3" x14ac:dyDescent="0.2">
      <c r="B14310" t="s">
        <v>4866</v>
      </c>
    </row>
    <row r="14311" spans="1:3" x14ac:dyDescent="0.2">
      <c r="B14311" t="s">
        <v>5</v>
      </c>
    </row>
    <row r="14313" spans="1:3" x14ac:dyDescent="0.2">
      <c r="A14313" t="s">
        <v>4865</v>
      </c>
      <c r="B14313" t="str">
        <f>HYPERLINK("https://lindat.mff.cuni.cz/services/teitok/pdtc10/index.php?action=vallex&amp;frame=v-w1855f238_ZU", "mít (v-w1855f238_ZU) - substituted with v-w1855f296_ZU")</f>
        <v>mít (v-w1855f238_ZU) - substituted with v-w1855f296_ZU</v>
      </c>
    </row>
    <row r="14314" spans="1:3" x14ac:dyDescent="0.2">
      <c r="B14314" t="s">
        <v>1</v>
      </c>
    </row>
    <row r="14315" spans="1:3" x14ac:dyDescent="0.2">
      <c r="B14315" t="s">
        <v>4866</v>
      </c>
    </row>
    <row r="14316" spans="1:3" x14ac:dyDescent="0.2">
      <c r="B14316" t="s">
        <v>5</v>
      </c>
    </row>
    <row r="14318" spans="1:3" x14ac:dyDescent="0.2">
      <c r="A14318" t="s">
        <v>4865</v>
      </c>
      <c r="B14318" t="str">
        <f>HYPERLINK("https://lindat.mff.cuni.cz/services/teitok/pdtc10/index.php?action=vallex&amp;frame=v-w1855f40", "mít (v-w1855f40) - substituted with v-w1855f296_ZU")</f>
        <v>mít (v-w1855f40) - substituted with v-w1855f296_ZU</v>
      </c>
    </row>
    <row r="14319" spans="1:3" x14ac:dyDescent="0.2">
      <c r="B14319" t="s">
        <v>1</v>
      </c>
    </row>
    <row r="14320" spans="1:3" x14ac:dyDescent="0.2">
      <c r="B14320" t="s">
        <v>4866</v>
      </c>
    </row>
    <row r="14321" spans="1:3" x14ac:dyDescent="0.2">
      <c r="B14321" t="s">
        <v>5</v>
      </c>
    </row>
    <row r="14323" spans="1:3" x14ac:dyDescent="0.2">
      <c r="A14323" t="s">
        <v>4867</v>
      </c>
      <c r="B14323" t="str">
        <f>HYPERLINK("https://lindat.mff.cuni.cz/services/teitok/pdtc10/index.php?action=vallex&amp;frame=v-w1855f14", "mít (v-w1855f14)")</f>
        <v>mít (v-w1855f14)</v>
      </c>
    </row>
    <row r="14324" spans="1:3" x14ac:dyDescent="0.2">
      <c r="B14324" t="s">
        <v>4868</v>
      </c>
      <c r="C14324" t="s">
        <v>4869</v>
      </c>
    </row>
    <row r="14325" spans="1:3" x14ac:dyDescent="0.2">
      <c r="B14325" t="s">
        <v>4870</v>
      </c>
      <c r="C14325" t="s">
        <v>4871</v>
      </c>
    </row>
    <row r="14327" spans="1:3" x14ac:dyDescent="0.2">
      <c r="A14327" t="s">
        <v>4872</v>
      </c>
      <c r="B14327" t="str">
        <f>HYPERLINK("https://lindat.mff.cuni.cz/services/teitok/pdtc10/index.php?action=vallex&amp;frame=v-w1855f26", "mít (v-w1855f26)")</f>
        <v>mít (v-w1855f26)</v>
      </c>
    </row>
    <row r="14328" spans="1:3" x14ac:dyDescent="0.2">
      <c r="B14328" t="s">
        <v>196</v>
      </c>
      <c r="C14328" t="s">
        <v>4873</v>
      </c>
    </row>
    <row r="14329" spans="1:3" x14ac:dyDescent="0.2">
      <c r="B14329" t="s">
        <v>4874</v>
      </c>
      <c r="C14329" t="s">
        <v>4875</v>
      </c>
    </row>
    <row r="14331" spans="1:3" x14ac:dyDescent="0.2">
      <c r="A14331" t="s">
        <v>4876</v>
      </c>
      <c r="B14331" t="str">
        <f>HYPERLINK("https://lindat.mff.cuni.cz/services/teitok/pdtc10/index.php?action=vallex&amp;frame=v-w1855f54", "mít (v-w1855f54)")</f>
        <v>mít (v-w1855f54)</v>
      </c>
    </row>
    <row r="14332" spans="1:3" x14ac:dyDescent="0.2">
      <c r="B14332" t="s">
        <v>1</v>
      </c>
    </row>
    <row r="14333" spans="1:3" x14ac:dyDescent="0.2">
      <c r="B14333" t="s">
        <v>4877</v>
      </c>
    </row>
    <row r="14335" spans="1:3" x14ac:dyDescent="0.2">
      <c r="A14335" t="s">
        <v>4878</v>
      </c>
      <c r="B14335" t="str">
        <f>HYPERLINK("https://lindat.mff.cuni.cz/services/teitok/pdtc10/index.php?action=vallex&amp;frame=v-w1855f262_ZU", "mít (v-w1855f262_ZU)")</f>
        <v>mít (v-w1855f262_ZU)</v>
      </c>
    </row>
    <row r="14336" spans="1:3" x14ac:dyDescent="0.2">
      <c r="B14336" t="s">
        <v>1</v>
      </c>
    </row>
    <row r="14337" spans="1:3" x14ac:dyDescent="0.2">
      <c r="B14337" t="s">
        <v>4879</v>
      </c>
    </row>
    <row r="14339" spans="1:3" x14ac:dyDescent="0.2">
      <c r="A14339" t="s">
        <v>4878</v>
      </c>
      <c r="B14339" t="str">
        <f>HYPERLINK("https://lindat.mff.cuni.cz/services/teitok/pdtc10/index.php?action=vallex&amp;frame=v-w1855f13", "mít (v-w1855f13) - substituted with v-w1855f262_ZU")</f>
        <v>mít (v-w1855f13) - substituted with v-w1855f262_ZU</v>
      </c>
    </row>
    <row r="14340" spans="1:3" x14ac:dyDescent="0.2">
      <c r="B14340" t="s">
        <v>1</v>
      </c>
      <c r="C14340" t="s">
        <v>4880</v>
      </c>
    </row>
    <row r="14341" spans="1:3" x14ac:dyDescent="0.2">
      <c r="B14341" t="s">
        <v>4879</v>
      </c>
      <c r="C14341" t="s">
        <v>4881</v>
      </c>
    </row>
    <row r="14343" spans="1:3" x14ac:dyDescent="0.2">
      <c r="A14343" t="s">
        <v>4878</v>
      </c>
      <c r="B14343" t="str">
        <f>HYPERLINK("https://lindat.mff.cuni.cz/services/teitok/pdtc10/index.php?action=vallex&amp;frame=v-w1855f191_ZU", "mít (v-w1855f191_ZU) - substituted with v-w1855f262_ZU")</f>
        <v>mít (v-w1855f191_ZU) - substituted with v-w1855f262_ZU</v>
      </c>
    </row>
    <row r="14344" spans="1:3" x14ac:dyDescent="0.2">
      <c r="B14344" t="s">
        <v>1</v>
      </c>
    </row>
    <row r="14345" spans="1:3" x14ac:dyDescent="0.2">
      <c r="B14345" t="s">
        <v>4879</v>
      </c>
    </row>
    <row r="14347" spans="1:3" x14ac:dyDescent="0.2">
      <c r="A14347" t="s">
        <v>4878</v>
      </c>
      <c r="B14347" t="str">
        <f>HYPERLINK("https://lindat.mff.cuni.cz/services/teitok/pdtc10/index.php?action=vallex&amp;frame=v-w1855hsa_1118", "mít (v-w1855hsa_1118) - substituted with v-w1855f262_ZU")</f>
        <v>mít (v-w1855hsa_1118) - substituted with v-w1855f262_ZU</v>
      </c>
    </row>
    <row r="14348" spans="1:3" x14ac:dyDescent="0.2">
      <c r="B14348" t="s">
        <v>1</v>
      </c>
      <c r="C14348" t="s">
        <v>1086</v>
      </c>
    </row>
    <row r="14349" spans="1:3" x14ac:dyDescent="0.2">
      <c r="B14349" t="s">
        <v>4879</v>
      </c>
      <c r="C14349" t="s">
        <v>1963</v>
      </c>
    </row>
    <row r="14351" spans="1:3" x14ac:dyDescent="0.2">
      <c r="A14351" t="s">
        <v>4882</v>
      </c>
      <c r="B14351" t="str">
        <f>HYPERLINK("https://lindat.mff.cuni.cz/services/teitok/pdtc10/index.php?action=vallex&amp;frame=v-w1855f214_ZU", "mít (v-w1855f214_ZU)")</f>
        <v>mít (v-w1855f214_ZU)</v>
      </c>
    </row>
    <row r="14352" spans="1:3" x14ac:dyDescent="0.2">
      <c r="B14352" t="s">
        <v>1</v>
      </c>
    </row>
    <row r="14353" spans="1:3" x14ac:dyDescent="0.2">
      <c r="B14353" t="s">
        <v>4883</v>
      </c>
    </row>
    <row r="14355" spans="1:3" x14ac:dyDescent="0.2">
      <c r="A14355" t="s">
        <v>4882</v>
      </c>
      <c r="B14355" t="str">
        <f>HYPERLINK("https://lindat.mff.cuni.cz/services/teitok/pdtc10/index.php?action=vallex&amp;frame=v-w1855f20", "mít (v-w1855f20) - substituted with v-w1855f214_ZU")</f>
        <v>mít (v-w1855f20) - substituted with v-w1855f214_ZU</v>
      </c>
    </row>
    <row r="14356" spans="1:3" x14ac:dyDescent="0.2">
      <c r="B14356" t="s">
        <v>1</v>
      </c>
      <c r="C14356" t="s">
        <v>4884</v>
      </c>
    </row>
    <row r="14357" spans="1:3" x14ac:dyDescent="0.2">
      <c r="B14357" t="s">
        <v>4883</v>
      </c>
      <c r="C14357" t="s">
        <v>4885</v>
      </c>
    </row>
    <row r="14359" spans="1:3" x14ac:dyDescent="0.2">
      <c r="A14359" t="s">
        <v>4882</v>
      </c>
      <c r="B14359" t="str">
        <f>HYPERLINK("https://lindat.mff.cuni.cz/services/teitok/pdtc10/index.php?action=vallex&amp;frame=v-w1855f205_ZU", "mít (v-w1855f205_ZU) - substituted with v-w1855f214_ZU")</f>
        <v>mít (v-w1855f205_ZU) - substituted with v-w1855f214_ZU</v>
      </c>
    </row>
    <row r="14360" spans="1:3" x14ac:dyDescent="0.2">
      <c r="B14360" t="s">
        <v>1</v>
      </c>
      <c r="C14360" t="s">
        <v>4886</v>
      </c>
    </row>
    <row r="14361" spans="1:3" x14ac:dyDescent="0.2">
      <c r="B14361" t="s">
        <v>4883</v>
      </c>
      <c r="C14361" t="s">
        <v>4887</v>
      </c>
    </row>
    <row r="14363" spans="1:3" x14ac:dyDescent="0.2">
      <c r="A14363" t="s">
        <v>4882</v>
      </c>
      <c r="B14363" t="str">
        <f>HYPERLINK("https://lindat.mff.cuni.cz/services/teitok/pdtc10/index.php?action=vallex&amp;frame=v-w1855hsa_1114", "mít (v-w1855hsa_1114) - substituted with v-w1855f214_ZU")</f>
        <v>mít (v-w1855hsa_1114) - substituted with v-w1855f214_ZU</v>
      </c>
    </row>
    <row r="14364" spans="1:3" x14ac:dyDescent="0.2">
      <c r="B14364" t="s">
        <v>1</v>
      </c>
    </row>
    <row r="14365" spans="1:3" x14ac:dyDescent="0.2">
      <c r="B14365" t="s">
        <v>4883</v>
      </c>
    </row>
    <row r="14367" spans="1:3" x14ac:dyDescent="0.2">
      <c r="A14367" t="s">
        <v>4882</v>
      </c>
      <c r="B14367" t="str">
        <f>HYPERLINK("https://lindat.mff.cuni.cz/services/teitok/pdtc10/index.php?action=vallex&amp;frame=v-w1855hsa_1124", "mít (v-w1855hsa_1124) - substituted with v-w1855f214_ZU")</f>
        <v>mít (v-w1855hsa_1124) - substituted with v-w1855f214_ZU</v>
      </c>
    </row>
    <row r="14368" spans="1:3" x14ac:dyDescent="0.2">
      <c r="B14368" t="s">
        <v>1</v>
      </c>
    </row>
    <row r="14369" spans="1:3" x14ac:dyDescent="0.2">
      <c r="B14369" t="s">
        <v>4883</v>
      </c>
    </row>
    <row r="14371" spans="1:3" x14ac:dyDescent="0.2">
      <c r="A14371" t="s">
        <v>4888</v>
      </c>
      <c r="B14371" t="str">
        <f>HYPERLINK("https://lindat.mff.cuni.cz/services/teitok/pdtc10/index.php?action=vallex&amp;frame=v-w1855f35", "mít (v-w1855f35)")</f>
        <v>mít (v-w1855f35)</v>
      </c>
    </row>
    <row r="14372" spans="1:3" x14ac:dyDescent="0.2">
      <c r="B14372" t="s">
        <v>1</v>
      </c>
      <c r="C14372" t="s">
        <v>4889</v>
      </c>
    </row>
    <row r="14373" spans="1:3" x14ac:dyDescent="0.2">
      <c r="B14373" t="s">
        <v>4890</v>
      </c>
      <c r="C14373" t="s">
        <v>4891</v>
      </c>
    </row>
    <row r="14375" spans="1:3" x14ac:dyDescent="0.2">
      <c r="A14375" t="s">
        <v>4892</v>
      </c>
      <c r="B14375" t="str">
        <f>HYPERLINK("https://lindat.mff.cuni.cz/services/teitok/pdtc10/index.php?action=vallex&amp;frame=v-w1855f349_MM", "mít (v-w1855f349_MM)")</f>
        <v>mít (v-w1855f349_MM)</v>
      </c>
    </row>
    <row r="14376" spans="1:3" x14ac:dyDescent="0.2">
      <c r="B14376" t="s">
        <v>1</v>
      </c>
    </row>
    <row r="14377" spans="1:3" x14ac:dyDescent="0.2">
      <c r="B14377" t="s">
        <v>4893</v>
      </c>
    </row>
    <row r="14379" spans="1:3" x14ac:dyDescent="0.2">
      <c r="A14379" t="s">
        <v>4892</v>
      </c>
      <c r="B14379" t="str">
        <f>HYPERLINK("https://lindat.mff.cuni.cz/services/teitok/pdtc10/index.php?action=vallex&amp;frame=v-w1855f336_ZU", "mít (v-w1855f336_ZU) - substituted with v-w1855f349_MM")</f>
        <v>mít (v-w1855f336_ZU) - substituted with v-w1855f349_MM</v>
      </c>
    </row>
    <row r="14380" spans="1:3" x14ac:dyDescent="0.2">
      <c r="B14380" t="s">
        <v>1</v>
      </c>
    </row>
    <row r="14381" spans="1:3" x14ac:dyDescent="0.2">
      <c r="B14381" t="s">
        <v>4893</v>
      </c>
    </row>
    <row r="14383" spans="1:3" x14ac:dyDescent="0.2">
      <c r="A14383" t="s">
        <v>4892</v>
      </c>
      <c r="B14383" t="str">
        <f>HYPERLINK("https://lindat.mff.cuni.cz/services/teitok/pdtc10/index.php?action=vallex&amp;frame=v-w1855f34", "mít (v-w1855f34) - substituted with v-w1855f349_MM")</f>
        <v>mít (v-w1855f34) - substituted with v-w1855f349_MM</v>
      </c>
    </row>
    <row r="14384" spans="1:3" x14ac:dyDescent="0.2">
      <c r="B14384" t="s">
        <v>1</v>
      </c>
      <c r="C14384" t="s">
        <v>4894</v>
      </c>
    </row>
    <row r="14385" spans="1:3" x14ac:dyDescent="0.2">
      <c r="B14385" t="s">
        <v>4893</v>
      </c>
      <c r="C14385" t="s">
        <v>4895</v>
      </c>
    </row>
    <row r="14387" spans="1:3" x14ac:dyDescent="0.2">
      <c r="A14387" t="s">
        <v>4892</v>
      </c>
      <c r="B14387" t="str">
        <f>HYPERLINK("https://lindat.mff.cuni.cz/services/teitok/pdtc10/index.php?action=vallex&amp;frame=v-w1855hsa_1127", "mít (v-w1855hsa_1127) - substituted with v-w1855f349_MM")</f>
        <v>mít (v-w1855hsa_1127) - substituted with v-w1855f349_MM</v>
      </c>
    </row>
    <row r="14388" spans="1:3" x14ac:dyDescent="0.2">
      <c r="B14388" t="s">
        <v>1</v>
      </c>
      <c r="C14388" t="s">
        <v>249</v>
      </c>
    </row>
    <row r="14389" spans="1:3" x14ac:dyDescent="0.2">
      <c r="B14389" t="s">
        <v>4893</v>
      </c>
      <c r="C14389" t="s">
        <v>4896</v>
      </c>
    </row>
    <row r="14391" spans="1:3" x14ac:dyDescent="0.2">
      <c r="A14391" t="s">
        <v>4892</v>
      </c>
      <c r="B14391" t="str">
        <f>HYPERLINK("https://lindat.mff.cuni.cz/services/teitok/pdtc10/index.php?action=vallex&amp;frame=v-w1855hsa_979", "mít (v-w1855hsa_979) - substituted with v-w1855f349_MM")</f>
        <v>mít (v-w1855hsa_979) - substituted with v-w1855f349_MM</v>
      </c>
    </row>
    <row r="14392" spans="1:3" x14ac:dyDescent="0.2">
      <c r="B14392" t="s">
        <v>1</v>
      </c>
    </row>
    <row r="14393" spans="1:3" x14ac:dyDescent="0.2">
      <c r="B14393" t="s">
        <v>4893</v>
      </c>
    </row>
    <row r="14395" spans="1:3" x14ac:dyDescent="0.2">
      <c r="A14395" t="s">
        <v>4897</v>
      </c>
      <c r="B14395" t="str">
        <f>HYPERLINK("https://lindat.mff.cuni.cz/services/teitok/pdtc10/index.php?action=vallex&amp;frame=v-w1855hsa_980", "mít (v-w1855hsa_980)")</f>
        <v>mít (v-w1855hsa_980)</v>
      </c>
    </row>
    <row r="14396" spans="1:3" x14ac:dyDescent="0.2">
      <c r="B14396" t="s">
        <v>1</v>
      </c>
    </row>
    <row r="14397" spans="1:3" x14ac:dyDescent="0.2">
      <c r="B14397" t="s">
        <v>4898</v>
      </c>
    </row>
    <row r="14399" spans="1:3" x14ac:dyDescent="0.2">
      <c r="A14399" t="s">
        <v>4897</v>
      </c>
      <c r="B14399" t="str">
        <f>HYPERLINK("https://lindat.mff.cuni.cz/services/teitok/pdtc10/index.php?action=vallex&amp;frame=v-w1855f6", "mít (v-w1855f6) - substituted with v-w1855hsa_980")</f>
        <v>mít (v-w1855f6) - substituted with v-w1855hsa_980</v>
      </c>
    </row>
    <row r="14400" spans="1:3" x14ac:dyDescent="0.2">
      <c r="B14400" t="s">
        <v>1</v>
      </c>
      <c r="C14400" t="s">
        <v>4899</v>
      </c>
    </row>
    <row r="14401" spans="1:3" x14ac:dyDescent="0.2">
      <c r="B14401" t="s">
        <v>4898</v>
      </c>
      <c r="C14401" t="s">
        <v>4900</v>
      </c>
    </row>
    <row r="14403" spans="1:3" x14ac:dyDescent="0.2">
      <c r="A14403" t="s">
        <v>4901</v>
      </c>
      <c r="B14403" t="str">
        <f>HYPERLINK("https://lindat.mff.cuni.cz/services/teitok/pdtc10/index.php?action=vallex&amp;frame=v-w1855f173_ZU", "mít (v-w1855f173_ZU)")</f>
        <v>mít (v-w1855f173_ZU)</v>
      </c>
    </row>
    <row r="14404" spans="1:3" x14ac:dyDescent="0.2">
      <c r="B14404" t="s">
        <v>1</v>
      </c>
      <c r="C14404" t="s">
        <v>1086</v>
      </c>
    </row>
    <row r="14405" spans="1:3" x14ac:dyDescent="0.2">
      <c r="B14405" t="s">
        <v>4902</v>
      </c>
      <c r="C14405" t="s">
        <v>1963</v>
      </c>
    </row>
    <row r="14407" spans="1:3" x14ac:dyDescent="0.2">
      <c r="A14407" t="s">
        <v>4901</v>
      </c>
      <c r="B14407" t="str">
        <f>HYPERLINK("https://lindat.mff.cuni.cz/services/teitok/pdtc10/index.php?action=vallex&amp;frame=v-w1855f45", "mít (v-w1855f45) - substituted with v-w1855f173_ZU")</f>
        <v>mít (v-w1855f45) - substituted with v-w1855f173_ZU</v>
      </c>
    </row>
    <row r="14408" spans="1:3" x14ac:dyDescent="0.2">
      <c r="B14408" t="s">
        <v>1</v>
      </c>
      <c r="C14408" t="s">
        <v>1086</v>
      </c>
    </row>
    <row r="14409" spans="1:3" x14ac:dyDescent="0.2">
      <c r="B14409" t="s">
        <v>4902</v>
      </c>
      <c r="C14409" t="s">
        <v>1963</v>
      </c>
    </row>
    <row r="14411" spans="1:3" x14ac:dyDescent="0.2">
      <c r="A14411" t="s">
        <v>4901</v>
      </c>
      <c r="B14411" t="str">
        <f>HYPERLINK("https://lindat.mff.cuni.cz/services/teitok/pdtc10/index.php?action=vallex&amp;frame=v-w1855hsa_1113", "mít (v-w1855hsa_1113) - substituted with v-w1855f173_ZU")</f>
        <v>mít (v-w1855hsa_1113) - substituted with v-w1855f173_ZU</v>
      </c>
    </row>
    <row r="14412" spans="1:3" x14ac:dyDescent="0.2">
      <c r="B14412" t="s">
        <v>1</v>
      </c>
    </row>
    <row r="14413" spans="1:3" x14ac:dyDescent="0.2">
      <c r="B14413" t="s">
        <v>4902</v>
      </c>
    </row>
    <row r="14415" spans="1:3" x14ac:dyDescent="0.2">
      <c r="A14415" t="s">
        <v>4903</v>
      </c>
      <c r="B14415" t="str">
        <f>HYPERLINK("https://lindat.mff.cuni.cz/services/teitok/pdtc10/index.php?action=vallex&amp;frame=v-w1855f161_ZU", "mít (v-w1855f161_ZU)")</f>
        <v>mít (v-w1855f161_ZU)</v>
      </c>
    </row>
    <row r="14416" spans="1:3" x14ac:dyDescent="0.2">
      <c r="B14416" t="s">
        <v>1</v>
      </c>
      <c r="C14416" t="s">
        <v>1086</v>
      </c>
    </row>
    <row r="14417" spans="1:3" x14ac:dyDescent="0.2">
      <c r="B14417" t="s">
        <v>4904</v>
      </c>
      <c r="C14417" t="s">
        <v>1963</v>
      </c>
    </row>
    <row r="14419" spans="1:3" x14ac:dyDescent="0.2">
      <c r="A14419" t="s">
        <v>4903</v>
      </c>
      <c r="B14419" t="str">
        <f>HYPERLINK("https://lindat.mff.cuni.cz/services/teitok/pdtc10/index.php?action=vallex&amp;frame=v-w1855f107_ZU", "mít (v-w1855f107_ZU) - substituted with v-w1855f161_ZU")</f>
        <v>mít (v-w1855f107_ZU) - substituted with v-w1855f161_ZU</v>
      </c>
    </row>
    <row r="14420" spans="1:3" x14ac:dyDescent="0.2">
      <c r="B14420" t="s">
        <v>1</v>
      </c>
    </row>
    <row r="14421" spans="1:3" x14ac:dyDescent="0.2">
      <c r="B14421" t="s">
        <v>4904</v>
      </c>
    </row>
    <row r="14423" spans="1:3" x14ac:dyDescent="0.2">
      <c r="A14423" t="s">
        <v>4903</v>
      </c>
      <c r="B14423" t="str">
        <f>HYPERLINK("https://lindat.mff.cuni.cz/services/teitok/pdtc10/index.php?action=vallex&amp;frame=v-w1855f108_ZU", "mít (v-w1855f108_ZU) - substituted with v-w1855f161_ZU")</f>
        <v>mít (v-w1855f108_ZU) - substituted with v-w1855f161_ZU</v>
      </c>
    </row>
    <row r="14424" spans="1:3" x14ac:dyDescent="0.2">
      <c r="B14424" t="s">
        <v>1</v>
      </c>
    </row>
    <row r="14425" spans="1:3" x14ac:dyDescent="0.2">
      <c r="B14425" t="s">
        <v>4904</v>
      </c>
    </row>
    <row r="14427" spans="1:3" x14ac:dyDescent="0.2">
      <c r="A14427" t="s">
        <v>4903</v>
      </c>
      <c r="B14427" t="str">
        <f>HYPERLINK("https://lindat.mff.cuni.cz/services/teitok/pdtc10/index.php?action=vallex&amp;frame=v-w1855f111_ZU", "mít (v-w1855f111_ZU) - substituted with v-w1855f161_ZU")</f>
        <v>mít (v-w1855f111_ZU) - substituted with v-w1855f161_ZU</v>
      </c>
    </row>
    <row r="14428" spans="1:3" x14ac:dyDescent="0.2">
      <c r="B14428" t="s">
        <v>1</v>
      </c>
      <c r="C14428" t="s">
        <v>4905</v>
      </c>
    </row>
    <row r="14429" spans="1:3" x14ac:dyDescent="0.2">
      <c r="B14429" t="s">
        <v>4904</v>
      </c>
      <c r="C14429" t="s">
        <v>1963</v>
      </c>
    </row>
    <row r="14431" spans="1:3" x14ac:dyDescent="0.2">
      <c r="A14431" t="s">
        <v>4906</v>
      </c>
      <c r="B14431" t="str">
        <f>HYPERLINK("https://lindat.mff.cuni.cz/services/teitok/pdtc10/index.php?action=vallex&amp;frame=v-w1855f346_MM", "mít (v-w1855f346_MM)")</f>
        <v>mít (v-w1855f346_MM)</v>
      </c>
    </row>
    <row r="14432" spans="1:3" x14ac:dyDescent="0.2">
      <c r="B14432" t="s">
        <v>1</v>
      </c>
    </row>
    <row r="14433" spans="1:3" x14ac:dyDescent="0.2">
      <c r="B14433" t="s">
        <v>4907</v>
      </c>
    </row>
    <row r="14435" spans="1:3" x14ac:dyDescent="0.2">
      <c r="A14435" t="s">
        <v>4906</v>
      </c>
      <c r="B14435" t="str">
        <f>HYPERLINK("https://lindat.mff.cuni.cz/services/teitok/pdtc10/index.php?action=vallex&amp;frame=v-w1855f115_ZU", "mít (v-w1855f115_ZU) - substituted with v-w1855f346_MM")</f>
        <v>mít (v-w1855f115_ZU) - substituted with v-w1855f346_MM</v>
      </c>
    </row>
    <row r="14436" spans="1:3" x14ac:dyDescent="0.2">
      <c r="B14436" t="s">
        <v>1</v>
      </c>
    </row>
    <row r="14437" spans="1:3" x14ac:dyDescent="0.2">
      <c r="B14437" t="s">
        <v>4907</v>
      </c>
    </row>
    <row r="14439" spans="1:3" x14ac:dyDescent="0.2">
      <c r="A14439" t="s">
        <v>4906</v>
      </c>
      <c r="B14439" t="str">
        <f>HYPERLINK("https://lindat.mff.cuni.cz/services/teitok/pdtc10/index.php?action=vallex&amp;frame=v-w1855f128_ZU", "mít (v-w1855f128_ZU) - substituted with v-w1855f346_MM")</f>
        <v>mít (v-w1855f128_ZU) - substituted with v-w1855f346_MM</v>
      </c>
    </row>
    <row r="14440" spans="1:3" x14ac:dyDescent="0.2">
      <c r="B14440" t="s">
        <v>1</v>
      </c>
      <c r="C14440" t="s">
        <v>1086</v>
      </c>
    </row>
    <row r="14441" spans="1:3" x14ac:dyDescent="0.2">
      <c r="B14441" t="s">
        <v>4907</v>
      </c>
      <c r="C14441" t="s">
        <v>1963</v>
      </c>
    </row>
    <row r="14443" spans="1:3" x14ac:dyDescent="0.2">
      <c r="A14443" t="s">
        <v>4906</v>
      </c>
      <c r="B14443" t="str">
        <f>HYPERLINK("https://lindat.mff.cuni.cz/services/teitok/pdtc10/index.php?action=vallex&amp;frame=v-w1855f156_ZU", "mít (v-w1855f156_ZU) - substituted with v-w1855f346_MM")</f>
        <v>mít (v-w1855f156_ZU) - substituted with v-w1855f346_MM</v>
      </c>
    </row>
    <row r="14444" spans="1:3" x14ac:dyDescent="0.2">
      <c r="B14444" t="s">
        <v>1</v>
      </c>
    </row>
    <row r="14445" spans="1:3" x14ac:dyDescent="0.2">
      <c r="B14445" t="s">
        <v>4907</v>
      </c>
    </row>
    <row r="14447" spans="1:3" x14ac:dyDescent="0.2">
      <c r="A14447" t="s">
        <v>4906</v>
      </c>
      <c r="B14447" t="str">
        <f>HYPERLINK("https://lindat.mff.cuni.cz/services/teitok/pdtc10/index.php?action=vallex&amp;frame=v-w1855f160_ZU", "mít (v-w1855f160_ZU) - substituted with v-w1855f346_MM")</f>
        <v>mít (v-w1855f160_ZU) - substituted with v-w1855f346_MM</v>
      </c>
    </row>
    <row r="14448" spans="1:3" x14ac:dyDescent="0.2">
      <c r="B14448" t="s">
        <v>1</v>
      </c>
    </row>
    <row r="14449" spans="1:3" x14ac:dyDescent="0.2">
      <c r="B14449" t="s">
        <v>4907</v>
      </c>
    </row>
    <row r="14451" spans="1:3" x14ac:dyDescent="0.2">
      <c r="A14451" t="s">
        <v>4906</v>
      </c>
      <c r="B14451" t="str">
        <f>HYPERLINK("https://lindat.mff.cuni.cz/services/teitok/pdtc10/index.php?action=vallex&amp;frame=v-w1855f164_ZU", "mít (v-w1855f164_ZU) - substituted with v-w1855f346_MM")</f>
        <v>mít (v-w1855f164_ZU) - substituted with v-w1855f346_MM</v>
      </c>
    </row>
    <row r="14452" spans="1:3" x14ac:dyDescent="0.2">
      <c r="B14452" t="s">
        <v>1</v>
      </c>
      <c r="C14452" t="s">
        <v>4908</v>
      </c>
    </row>
    <row r="14453" spans="1:3" x14ac:dyDescent="0.2">
      <c r="B14453" t="s">
        <v>4907</v>
      </c>
      <c r="C14453" t="s">
        <v>4909</v>
      </c>
    </row>
    <row r="14455" spans="1:3" x14ac:dyDescent="0.2">
      <c r="A14455" t="s">
        <v>4906</v>
      </c>
      <c r="B14455" t="str">
        <f>HYPERLINK("https://lindat.mff.cuni.cz/services/teitok/pdtc10/index.php?action=vallex&amp;frame=v-w1855f165_ZU", "mít (v-w1855f165_ZU) - substituted with v-w1855f346_MM")</f>
        <v>mít (v-w1855f165_ZU) - substituted with v-w1855f346_MM</v>
      </c>
    </row>
    <row r="14456" spans="1:3" x14ac:dyDescent="0.2">
      <c r="B14456" t="s">
        <v>1</v>
      </c>
      <c r="C14456" t="s">
        <v>1086</v>
      </c>
    </row>
    <row r="14457" spans="1:3" x14ac:dyDescent="0.2">
      <c r="B14457" t="s">
        <v>4907</v>
      </c>
      <c r="C14457" t="s">
        <v>1963</v>
      </c>
    </row>
    <row r="14459" spans="1:3" x14ac:dyDescent="0.2">
      <c r="A14459" t="s">
        <v>4906</v>
      </c>
      <c r="B14459" t="str">
        <f>HYPERLINK("https://lindat.mff.cuni.cz/services/teitok/pdtc10/index.php?action=vallex&amp;frame=v-w1855f169_ZU", "mít (v-w1855f169_ZU) - substituted with v-w1855f346_MM")</f>
        <v>mít (v-w1855f169_ZU) - substituted with v-w1855f346_MM</v>
      </c>
    </row>
    <row r="14460" spans="1:3" x14ac:dyDescent="0.2">
      <c r="B14460" t="s">
        <v>1</v>
      </c>
    </row>
    <row r="14461" spans="1:3" x14ac:dyDescent="0.2">
      <c r="B14461" t="s">
        <v>4907</v>
      </c>
    </row>
    <row r="14463" spans="1:3" x14ac:dyDescent="0.2">
      <c r="A14463" t="s">
        <v>4906</v>
      </c>
      <c r="B14463" t="str">
        <f>HYPERLINK("https://lindat.mff.cuni.cz/services/teitok/pdtc10/index.php?action=vallex&amp;frame=v-w1855f171_ZU", "mít (v-w1855f171_ZU) - substituted with v-w1855f346_MM")</f>
        <v>mít (v-w1855f171_ZU) - substituted with v-w1855f346_MM</v>
      </c>
    </row>
    <row r="14464" spans="1:3" x14ac:dyDescent="0.2">
      <c r="B14464" t="s">
        <v>1</v>
      </c>
      <c r="C14464" t="s">
        <v>1086</v>
      </c>
    </row>
    <row r="14465" spans="1:3" x14ac:dyDescent="0.2">
      <c r="B14465" t="s">
        <v>4907</v>
      </c>
      <c r="C14465" t="s">
        <v>1963</v>
      </c>
    </row>
    <row r="14467" spans="1:3" x14ac:dyDescent="0.2">
      <c r="A14467" t="s">
        <v>4906</v>
      </c>
      <c r="B14467" t="str">
        <f>HYPERLINK("https://lindat.mff.cuni.cz/services/teitok/pdtc10/index.php?action=vallex&amp;frame=v-w1855f204_ZU", "mít (v-w1855f204_ZU) - substituted with v-w1855f346_MM")</f>
        <v>mít (v-w1855f204_ZU) - substituted with v-w1855f346_MM</v>
      </c>
    </row>
    <row r="14468" spans="1:3" x14ac:dyDescent="0.2">
      <c r="B14468" t="s">
        <v>1</v>
      </c>
      <c r="C14468" t="s">
        <v>4910</v>
      </c>
    </row>
    <row r="14469" spans="1:3" x14ac:dyDescent="0.2">
      <c r="B14469" t="s">
        <v>4907</v>
      </c>
      <c r="C14469" t="s">
        <v>4911</v>
      </c>
    </row>
    <row r="14471" spans="1:3" x14ac:dyDescent="0.2">
      <c r="A14471" t="s">
        <v>4906</v>
      </c>
      <c r="B14471" t="str">
        <f>HYPERLINK("https://lindat.mff.cuni.cz/services/teitok/pdtc10/index.php?action=vallex&amp;frame=v-w1855f209_ZU", "mít (v-w1855f209_ZU) - substituted with v-w1855f346_MM")</f>
        <v>mít (v-w1855f209_ZU) - substituted with v-w1855f346_MM</v>
      </c>
    </row>
    <row r="14472" spans="1:3" x14ac:dyDescent="0.2">
      <c r="B14472" t="s">
        <v>1</v>
      </c>
      <c r="C14472" t="s">
        <v>4908</v>
      </c>
    </row>
    <row r="14473" spans="1:3" x14ac:dyDescent="0.2">
      <c r="B14473" t="s">
        <v>4907</v>
      </c>
      <c r="C14473" t="s">
        <v>4912</v>
      </c>
    </row>
    <row r="14475" spans="1:3" x14ac:dyDescent="0.2">
      <c r="A14475" t="s">
        <v>4906</v>
      </c>
      <c r="B14475" t="str">
        <f>HYPERLINK("https://lindat.mff.cuni.cz/services/teitok/pdtc10/index.php?action=vallex&amp;frame=v-w1855f289_ZU", "mít (v-w1855f289_ZU) - substituted with v-w1855f346_MM")</f>
        <v>mít (v-w1855f289_ZU) - substituted with v-w1855f346_MM</v>
      </c>
    </row>
    <row r="14476" spans="1:3" x14ac:dyDescent="0.2">
      <c r="B14476" t="s">
        <v>1</v>
      </c>
    </row>
    <row r="14477" spans="1:3" x14ac:dyDescent="0.2">
      <c r="B14477" t="s">
        <v>4907</v>
      </c>
    </row>
    <row r="14479" spans="1:3" x14ac:dyDescent="0.2">
      <c r="A14479" t="s">
        <v>4906</v>
      </c>
      <c r="B14479" t="str">
        <f>HYPERLINK("https://lindat.mff.cuni.cz/services/teitok/pdtc10/index.php?action=vallex&amp;frame=v-w1855f304_ZU", "mít (v-w1855f304_ZU) - substituted with v-w1855f346_MM")</f>
        <v>mít (v-w1855f304_ZU) - substituted with v-w1855f346_MM</v>
      </c>
    </row>
    <row r="14480" spans="1:3" x14ac:dyDescent="0.2">
      <c r="B14480" t="s">
        <v>1</v>
      </c>
    </row>
    <row r="14481" spans="1:3" x14ac:dyDescent="0.2">
      <c r="B14481" t="s">
        <v>4907</v>
      </c>
    </row>
    <row r="14483" spans="1:3" x14ac:dyDescent="0.2">
      <c r="A14483" t="s">
        <v>4906</v>
      </c>
      <c r="B14483" t="str">
        <f>HYPERLINK("https://lindat.mff.cuni.cz/services/teitok/pdtc10/index.php?action=vallex&amp;frame=v-w1855f316_ZU", "mít (v-w1855f316_ZU) - substituted with v-w1855f346_MM")</f>
        <v>mít (v-w1855f316_ZU) - substituted with v-w1855f346_MM</v>
      </c>
    </row>
    <row r="14484" spans="1:3" x14ac:dyDescent="0.2">
      <c r="B14484" t="s">
        <v>1</v>
      </c>
    </row>
    <row r="14485" spans="1:3" x14ac:dyDescent="0.2">
      <c r="B14485" t="s">
        <v>4907</v>
      </c>
    </row>
    <row r="14487" spans="1:3" x14ac:dyDescent="0.2">
      <c r="A14487" t="s">
        <v>4906</v>
      </c>
      <c r="B14487" t="str">
        <f>HYPERLINK("https://lindat.mff.cuni.cz/services/teitok/pdtc10/index.php?action=vallex&amp;frame=v-w1855f317_ZU", "mít (v-w1855f317_ZU) - substituted with v-w1855f346_MM")</f>
        <v>mít (v-w1855f317_ZU) - substituted with v-w1855f346_MM</v>
      </c>
    </row>
    <row r="14488" spans="1:3" x14ac:dyDescent="0.2">
      <c r="B14488" t="s">
        <v>1</v>
      </c>
    </row>
    <row r="14489" spans="1:3" x14ac:dyDescent="0.2">
      <c r="B14489" t="s">
        <v>4907</v>
      </c>
    </row>
    <row r="14491" spans="1:3" x14ac:dyDescent="0.2">
      <c r="A14491" t="s">
        <v>4906</v>
      </c>
      <c r="B14491" t="str">
        <f>HYPERLINK("https://lindat.mff.cuni.cz/services/teitok/pdtc10/index.php?action=vallex&amp;frame=v-w1855f330_ZU", "mít (v-w1855f330_ZU) - substituted with v-w1855f346_MM")</f>
        <v>mít (v-w1855f330_ZU) - substituted with v-w1855f346_MM</v>
      </c>
    </row>
    <row r="14492" spans="1:3" x14ac:dyDescent="0.2">
      <c r="B14492" t="s">
        <v>1</v>
      </c>
    </row>
    <row r="14493" spans="1:3" x14ac:dyDescent="0.2">
      <c r="B14493" t="s">
        <v>4907</v>
      </c>
    </row>
    <row r="14495" spans="1:3" x14ac:dyDescent="0.2">
      <c r="A14495" t="s">
        <v>4906</v>
      </c>
      <c r="B14495" t="str">
        <f>HYPERLINK("https://lindat.mff.cuni.cz/services/teitok/pdtc10/index.php?action=vallex&amp;frame=v-w1855f4", "mít (v-w1855f4) - substituted with v-w1855f346_MM")</f>
        <v>mít (v-w1855f4) - substituted with v-w1855f346_MM</v>
      </c>
    </row>
    <row r="14496" spans="1:3" x14ac:dyDescent="0.2">
      <c r="B14496" t="s">
        <v>1</v>
      </c>
      <c r="C14496" t="s">
        <v>4913</v>
      </c>
    </row>
    <row r="14497" spans="1:3" x14ac:dyDescent="0.2">
      <c r="B14497" t="s">
        <v>4907</v>
      </c>
      <c r="C14497" t="s">
        <v>4914</v>
      </c>
    </row>
    <row r="14499" spans="1:3" x14ac:dyDescent="0.2">
      <c r="A14499" t="s">
        <v>4906</v>
      </c>
      <c r="B14499" t="str">
        <f>HYPERLINK("https://lindat.mff.cuni.cz/services/teitok/pdtc10/index.php?action=vallex&amp;frame=v-w1855f91_ZU", "mít (v-w1855f91_ZU) - substituted with v-w1855f346_MM")</f>
        <v>mít (v-w1855f91_ZU) - substituted with v-w1855f346_MM</v>
      </c>
    </row>
    <row r="14500" spans="1:3" x14ac:dyDescent="0.2">
      <c r="B14500" t="s">
        <v>1</v>
      </c>
      <c r="C14500" t="s">
        <v>1086</v>
      </c>
    </row>
    <row r="14501" spans="1:3" x14ac:dyDescent="0.2">
      <c r="B14501" t="s">
        <v>4907</v>
      </c>
      <c r="C14501" t="s">
        <v>1963</v>
      </c>
    </row>
    <row r="14503" spans="1:3" x14ac:dyDescent="0.2">
      <c r="A14503" t="s">
        <v>4906</v>
      </c>
      <c r="B14503" t="str">
        <f>HYPERLINK("https://lindat.mff.cuni.cz/services/teitok/pdtc10/index.php?action=vallex&amp;frame=v-w1855hsa_1109", "mít (v-w1855hsa_1109) - substituted with v-w1855f346_MM")</f>
        <v>mít (v-w1855hsa_1109) - substituted with v-w1855f346_MM</v>
      </c>
    </row>
    <row r="14504" spans="1:3" x14ac:dyDescent="0.2">
      <c r="B14504" t="s">
        <v>1</v>
      </c>
    </row>
    <row r="14505" spans="1:3" x14ac:dyDescent="0.2">
      <c r="B14505" t="s">
        <v>4907</v>
      </c>
    </row>
    <row r="14507" spans="1:3" x14ac:dyDescent="0.2">
      <c r="A14507" t="s">
        <v>4915</v>
      </c>
      <c r="B14507" t="str">
        <f>HYPERLINK("https://lindat.mff.cuni.cz/services/teitok/pdtc10/index.php?action=vallex&amp;frame=v-w1855f328_ZU", "mít (v-w1855f328_ZU)")</f>
        <v>mít (v-w1855f328_ZU)</v>
      </c>
    </row>
    <row r="14508" spans="1:3" x14ac:dyDescent="0.2">
      <c r="B14508" t="s">
        <v>1</v>
      </c>
    </row>
    <row r="14509" spans="1:3" x14ac:dyDescent="0.2">
      <c r="B14509" t="s">
        <v>4916</v>
      </c>
    </row>
    <row r="14511" spans="1:3" x14ac:dyDescent="0.2">
      <c r="A14511" t="s">
        <v>4915</v>
      </c>
      <c r="B14511" t="str">
        <f>HYPERLINK("https://lindat.mff.cuni.cz/services/teitok/pdtc10/index.php?action=vallex&amp;frame=v-w1855f132_ZU", "mít (v-w1855f132_ZU) - substituted with v-w1855f328_ZU")</f>
        <v>mít (v-w1855f132_ZU) - substituted with v-w1855f328_ZU</v>
      </c>
    </row>
    <row r="14512" spans="1:3" x14ac:dyDescent="0.2">
      <c r="B14512" t="s">
        <v>1</v>
      </c>
      <c r="C14512" t="s">
        <v>1086</v>
      </c>
    </row>
    <row r="14513" spans="1:3" x14ac:dyDescent="0.2">
      <c r="B14513" t="s">
        <v>4916</v>
      </c>
      <c r="C14513" t="s">
        <v>1963</v>
      </c>
    </row>
    <row r="14515" spans="1:3" x14ac:dyDescent="0.2">
      <c r="A14515" t="s">
        <v>4915</v>
      </c>
      <c r="B14515" t="str">
        <f>HYPERLINK("https://lindat.mff.cuni.cz/services/teitok/pdtc10/index.php?action=vallex&amp;frame=v-w1855f149_ZU", "mít (v-w1855f149_ZU) - substituted with v-w1855f328_ZU")</f>
        <v>mít (v-w1855f149_ZU) - substituted with v-w1855f328_ZU</v>
      </c>
    </row>
    <row r="14516" spans="1:3" x14ac:dyDescent="0.2">
      <c r="B14516" t="s">
        <v>1</v>
      </c>
    </row>
    <row r="14517" spans="1:3" x14ac:dyDescent="0.2">
      <c r="B14517" t="s">
        <v>4916</v>
      </c>
    </row>
    <row r="14519" spans="1:3" x14ac:dyDescent="0.2">
      <c r="A14519" t="s">
        <v>4915</v>
      </c>
      <c r="B14519" t="str">
        <f>HYPERLINK("https://lindat.mff.cuni.cz/services/teitok/pdtc10/index.php?action=vallex&amp;frame=v-w1855f152_ZU", "mít (v-w1855f152_ZU) - substituted with v-w1855f328_ZU")</f>
        <v>mít (v-w1855f152_ZU) - substituted with v-w1855f328_ZU</v>
      </c>
    </row>
    <row r="14520" spans="1:3" x14ac:dyDescent="0.2">
      <c r="B14520" t="s">
        <v>1</v>
      </c>
      <c r="C14520" t="s">
        <v>1086</v>
      </c>
    </row>
    <row r="14521" spans="1:3" x14ac:dyDescent="0.2">
      <c r="B14521" t="s">
        <v>4916</v>
      </c>
      <c r="C14521" t="s">
        <v>1963</v>
      </c>
    </row>
    <row r="14523" spans="1:3" x14ac:dyDescent="0.2">
      <c r="A14523" t="s">
        <v>4915</v>
      </c>
      <c r="B14523" t="str">
        <f>HYPERLINK("https://lindat.mff.cuni.cz/services/teitok/pdtc10/index.php?action=vallex&amp;frame=v-w1855f153_ZU", "mít (v-w1855f153_ZU) - substituted with v-w1855f328_ZU")</f>
        <v>mít (v-w1855f153_ZU) - substituted with v-w1855f328_ZU</v>
      </c>
    </row>
    <row r="14524" spans="1:3" x14ac:dyDescent="0.2">
      <c r="B14524" t="s">
        <v>1</v>
      </c>
      <c r="C14524" t="s">
        <v>1086</v>
      </c>
    </row>
    <row r="14525" spans="1:3" x14ac:dyDescent="0.2">
      <c r="B14525" t="s">
        <v>4916</v>
      </c>
      <c r="C14525" t="s">
        <v>1963</v>
      </c>
    </row>
    <row r="14527" spans="1:3" x14ac:dyDescent="0.2">
      <c r="A14527" t="s">
        <v>4915</v>
      </c>
      <c r="B14527" t="str">
        <f>HYPERLINK("https://lindat.mff.cuni.cz/services/teitok/pdtc10/index.php?action=vallex&amp;frame=v-w1855f159_ZU", "mít (v-w1855f159_ZU) - substituted with v-w1855f328_ZU")</f>
        <v>mít (v-w1855f159_ZU) - substituted with v-w1855f328_ZU</v>
      </c>
    </row>
    <row r="14528" spans="1:3" x14ac:dyDescent="0.2">
      <c r="B14528" t="s">
        <v>1</v>
      </c>
      <c r="C14528" t="s">
        <v>4917</v>
      </c>
    </row>
    <row r="14529" spans="1:3" x14ac:dyDescent="0.2">
      <c r="B14529" t="s">
        <v>4916</v>
      </c>
      <c r="C14529" t="s">
        <v>4918</v>
      </c>
    </row>
    <row r="14531" spans="1:3" x14ac:dyDescent="0.2">
      <c r="A14531" t="s">
        <v>4915</v>
      </c>
      <c r="B14531" t="str">
        <f>HYPERLINK("https://lindat.mff.cuni.cz/services/teitok/pdtc10/index.php?action=vallex&amp;frame=v-w1855f192_ZU", "mít (v-w1855f192_ZU) - substituted with v-w1855f328_ZU")</f>
        <v>mít (v-w1855f192_ZU) - substituted with v-w1855f328_ZU</v>
      </c>
    </row>
    <row r="14532" spans="1:3" x14ac:dyDescent="0.2">
      <c r="B14532" t="s">
        <v>1</v>
      </c>
      <c r="C14532" t="s">
        <v>4919</v>
      </c>
    </row>
    <row r="14533" spans="1:3" x14ac:dyDescent="0.2">
      <c r="B14533" t="s">
        <v>4916</v>
      </c>
      <c r="C14533" t="s">
        <v>4920</v>
      </c>
    </row>
    <row r="14535" spans="1:3" x14ac:dyDescent="0.2">
      <c r="A14535" t="s">
        <v>4915</v>
      </c>
      <c r="B14535" t="str">
        <f>HYPERLINK("https://lindat.mff.cuni.cz/services/teitok/pdtc10/index.php?action=vallex&amp;frame=v-w1855f193_ZU", "mít (v-w1855f193_ZU) - substituted with v-w1855f328_ZU")</f>
        <v>mít (v-w1855f193_ZU) - substituted with v-w1855f328_ZU</v>
      </c>
    </row>
    <row r="14536" spans="1:3" x14ac:dyDescent="0.2">
      <c r="B14536" t="s">
        <v>1</v>
      </c>
      <c r="C14536" t="s">
        <v>4667</v>
      </c>
    </row>
    <row r="14537" spans="1:3" x14ac:dyDescent="0.2">
      <c r="B14537" t="s">
        <v>4916</v>
      </c>
      <c r="C14537" t="s">
        <v>4921</v>
      </c>
    </row>
    <row r="14539" spans="1:3" x14ac:dyDescent="0.2">
      <c r="A14539" t="s">
        <v>4915</v>
      </c>
      <c r="B14539" t="str">
        <f>HYPERLINK("https://lindat.mff.cuni.cz/services/teitok/pdtc10/index.php?action=vallex&amp;frame=v-w1855f194_ZU", "mít (v-w1855f194_ZU) - substituted with v-w1855f328_ZU")</f>
        <v>mít (v-w1855f194_ZU) - substituted with v-w1855f328_ZU</v>
      </c>
    </row>
    <row r="14540" spans="1:3" x14ac:dyDescent="0.2">
      <c r="B14540" t="s">
        <v>1</v>
      </c>
      <c r="C14540" t="s">
        <v>1086</v>
      </c>
    </row>
    <row r="14541" spans="1:3" x14ac:dyDescent="0.2">
      <c r="B14541" t="s">
        <v>4916</v>
      </c>
      <c r="C14541" t="s">
        <v>1963</v>
      </c>
    </row>
    <row r="14543" spans="1:3" x14ac:dyDescent="0.2">
      <c r="A14543" t="s">
        <v>4915</v>
      </c>
      <c r="B14543" t="str">
        <f>HYPERLINK("https://lindat.mff.cuni.cz/services/teitok/pdtc10/index.php?action=vallex&amp;frame=v-w1855f196_ZU", "mít (v-w1855f196_ZU) - substituted with v-w1855f328_ZU")</f>
        <v>mít (v-w1855f196_ZU) - substituted with v-w1855f328_ZU</v>
      </c>
    </row>
    <row r="14544" spans="1:3" x14ac:dyDescent="0.2">
      <c r="B14544" t="s">
        <v>1</v>
      </c>
    </row>
    <row r="14545" spans="1:3" x14ac:dyDescent="0.2">
      <c r="B14545" t="s">
        <v>4916</v>
      </c>
    </row>
    <row r="14547" spans="1:3" x14ac:dyDescent="0.2">
      <c r="A14547" t="s">
        <v>4915</v>
      </c>
      <c r="B14547" t="str">
        <f>HYPERLINK("https://lindat.mff.cuni.cz/services/teitok/pdtc10/index.php?action=vallex&amp;frame=v-w1855f197_ZU", "mít (v-w1855f197_ZU) - substituted with v-w1855f328_ZU")</f>
        <v>mít (v-w1855f197_ZU) - substituted with v-w1855f328_ZU</v>
      </c>
    </row>
    <row r="14548" spans="1:3" x14ac:dyDescent="0.2">
      <c r="B14548" t="s">
        <v>1</v>
      </c>
      <c r="C14548" t="s">
        <v>1086</v>
      </c>
    </row>
    <row r="14549" spans="1:3" x14ac:dyDescent="0.2">
      <c r="B14549" t="s">
        <v>4916</v>
      </c>
      <c r="C14549" t="s">
        <v>1963</v>
      </c>
    </row>
    <row r="14551" spans="1:3" x14ac:dyDescent="0.2">
      <c r="A14551" t="s">
        <v>4915</v>
      </c>
      <c r="B14551" t="str">
        <f>HYPERLINK("https://lindat.mff.cuni.cz/services/teitok/pdtc10/index.php?action=vallex&amp;frame=v-w1855f198_ZU", "mít (v-w1855f198_ZU) - substituted with v-w1855f328_ZU")</f>
        <v>mít (v-w1855f198_ZU) - substituted with v-w1855f328_ZU</v>
      </c>
    </row>
    <row r="14552" spans="1:3" x14ac:dyDescent="0.2">
      <c r="B14552" t="s">
        <v>1</v>
      </c>
      <c r="C14552" t="s">
        <v>1086</v>
      </c>
    </row>
    <row r="14553" spans="1:3" x14ac:dyDescent="0.2">
      <c r="B14553" t="s">
        <v>4916</v>
      </c>
      <c r="C14553" t="s">
        <v>1963</v>
      </c>
    </row>
    <row r="14555" spans="1:3" x14ac:dyDescent="0.2">
      <c r="A14555" t="s">
        <v>4915</v>
      </c>
      <c r="B14555" t="str">
        <f>HYPERLINK("https://lindat.mff.cuni.cz/services/teitok/pdtc10/index.php?action=vallex&amp;frame=v-w1855f199_ZU", "mít (v-w1855f199_ZU) - substituted with v-w1855f328_ZU")</f>
        <v>mít (v-w1855f199_ZU) - substituted with v-w1855f328_ZU</v>
      </c>
    </row>
    <row r="14556" spans="1:3" x14ac:dyDescent="0.2">
      <c r="B14556" t="s">
        <v>1</v>
      </c>
      <c r="C14556" t="s">
        <v>1086</v>
      </c>
    </row>
    <row r="14557" spans="1:3" x14ac:dyDescent="0.2">
      <c r="B14557" t="s">
        <v>4916</v>
      </c>
      <c r="C14557" t="s">
        <v>1963</v>
      </c>
    </row>
    <row r="14559" spans="1:3" x14ac:dyDescent="0.2">
      <c r="A14559" t="s">
        <v>4915</v>
      </c>
      <c r="B14559" t="str">
        <f>HYPERLINK("https://lindat.mff.cuni.cz/services/teitok/pdtc10/index.php?action=vallex&amp;frame=v-w1855f200_ZU", "mít (v-w1855f200_ZU) - substituted with v-w1855f328_ZU")</f>
        <v>mít (v-w1855f200_ZU) - substituted with v-w1855f328_ZU</v>
      </c>
    </row>
    <row r="14560" spans="1:3" x14ac:dyDescent="0.2">
      <c r="B14560" t="s">
        <v>1</v>
      </c>
    </row>
    <row r="14561" spans="1:3" x14ac:dyDescent="0.2">
      <c r="B14561" t="s">
        <v>4916</v>
      </c>
    </row>
    <row r="14563" spans="1:3" x14ac:dyDescent="0.2">
      <c r="A14563" t="s">
        <v>4915</v>
      </c>
      <c r="B14563" t="str">
        <f>HYPERLINK("https://lindat.mff.cuni.cz/services/teitok/pdtc10/index.php?action=vallex&amp;frame=v-w1855f201_ZU", "mít (v-w1855f201_ZU) - substituted with v-w1855f328_ZU")</f>
        <v>mít (v-w1855f201_ZU) - substituted with v-w1855f328_ZU</v>
      </c>
    </row>
    <row r="14564" spans="1:3" x14ac:dyDescent="0.2">
      <c r="B14564" t="s">
        <v>1</v>
      </c>
      <c r="C14564" t="s">
        <v>4922</v>
      </c>
    </row>
    <row r="14565" spans="1:3" x14ac:dyDescent="0.2">
      <c r="B14565" t="s">
        <v>4916</v>
      </c>
      <c r="C14565" t="s">
        <v>4923</v>
      </c>
    </row>
    <row r="14567" spans="1:3" x14ac:dyDescent="0.2">
      <c r="A14567" t="s">
        <v>4915</v>
      </c>
      <c r="B14567" t="str">
        <f>HYPERLINK("https://lindat.mff.cuni.cz/services/teitok/pdtc10/index.php?action=vallex&amp;frame=v-w1855f202_ZU", "mít (v-w1855f202_ZU) - substituted with v-w1855f328_ZU")</f>
        <v>mít (v-w1855f202_ZU) - substituted with v-w1855f328_ZU</v>
      </c>
    </row>
    <row r="14568" spans="1:3" x14ac:dyDescent="0.2">
      <c r="B14568" t="s">
        <v>1</v>
      </c>
      <c r="C14568" t="s">
        <v>4924</v>
      </c>
    </row>
    <row r="14569" spans="1:3" x14ac:dyDescent="0.2">
      <c r="B14569" t="s">
        <v>4916</v>
      </c>
      <c r="C14569" t="s">
        <v>4925</v>
      </c>
    </row>
    <row r="14571" spans="1:3" x14ac:dyDescent="0.2">
      <c r="A14571" t="s">
        <v>4926</v>
      </c>
      <c r="B14571" t="str">
        <f>HYPERLINK("https://lindat.mff.cuni.cz/services/teitok/pdtc10/index.php?action=vallex&amp;frame=v-w1855f290_ZU", "mít (v-w1855f290_ZU)")</f>
        <v>mít (v-w1855f290_ZU)</v>
      </c>
    </row>
    <row r="14572" spans="1:3" x14ac:dyDescent="0.2">
      <c r="B14572" t="s">
        <v>1</v>
      </c>
    </row>
    <row r="14573" spans="1:3" x14ac:dyDescent="0.2">
      <c r="B14573" t="s">
        <v>4927</v>
      </c>
    </row>
    <row r="14575" spans="1:3" x14ac:dyDescent="0.2">
      <c r="A14575" t="s">
        <v>4926</v>
      </c>
      <c r="B14575" t="str">
        <f>HYPERLINK("https://lindat.mff.cuni.cz/services/teitok/pdtc10/index.php?action=vallex&amp;frame=v-w1855f210_ZU", "mít (v-w1855f210_ZU) - substituted with v-w1855f290_ZU")</f>
        <v>mít (v-w1855f210_ZU) - substituted with v-w1855f290_ZU</v>
      </c>
    </row>
    <row r="14576" spans="1:3" x14ac:dyDescent="0.2">
      <c r="B14576" t="s">
        <v>1</v>
      </c>
      <c r="C14576" t="s">
        <v>1086</v>
      </c>
    </row>
    <row r="14577" spans="1:3" x14ac:dyDescent="0.2">
      <c r="B14577" t="s">
        <v>4927</v>
      </c>
      <c r="C14577" t="s">
        <v>1963</v>
      </c>
    </row>
    <row r="14579" spans="1:3" x14ac:dyDescent="0.2">
      <c r="A14579" t="s">
        <v>4926</v>
      </c>
      <c r="B14579" t="str">
        <f>HYPERLINK("https://lindat.mff.cuni.cz/services/teitok/pdtc10/index.php?action=vallex&amp;frame=v-w1855f216_ZU", "mít (v-w1855f216_ZU) - substituted with v-w1855f290_ZU")</f>
        <v>mít (v-w1855f216_ZU) - substituted with v-w1855f290_ZU</v>
      </c>
    </row>
    <row r="14580" spans="1:3" x14ac:dyDescent="0.2">
      <c r="B14580" t="s">
        <v>1</v>
      </c>
      <c r="C14580" t="s">
        <v>4886</v>
      </c>
    </row>
    <row r="14581" spans="1:3" x14ac:dyDescent="0.2">
      <c r="B14581" t="s">
        <v>4927</v>
      </c>
      <c r="C14581" t="s">
        <v>4887</v>
      </c>
    </row>
    <row r="14583" spans="1:3" x14ac:dyDescent="0.2">
      <c r="A14583" t="s">
        <v>4926</v>
      </c>
      <c r="B14583" t="str">
        <f>HYPERLINK("https://lindat.mff.cuni.cz/services/teitok/pdtc10/index.php?action=vallex&amp;frame=v-w1855f253_ZU", "mít (v-w1855f253_ZU) - substituted with v-w1855f290_ZU")</f>
        <v>mít (v-w1855f253_ZU) - substituted with v-w1855f290_ZU</v>
      </c>
    </row>
    <row r="14584" spans="1:3" x14ac:dyDescent="0.2">
      <c r="B14584" t="s">
        <v>1</v>
      </c>
    </row>
    <row r="14585" spans="1:3" x14ac:dyDescent="0.2">
      <c r="B14585" t="s">
        <v>4927</v>
      </c>
    </row>
    <row r="14587" spans="1:3" x14ac:dyDescent="0.2">
      <c r="A14587" t="s">
        <v>4926</v>
      </c>
      <c r="B14587" t="str">
        <f>HYPERLINK("https://lindat.mff.cuni.cz/services/teitok/pdtc10/index.php?action=vallex&amp;frame=v-w1855f255_ZU", "mít (v-w1855f255_ZU) - substituted with v-w1855f290_ZU")</f>
        <v>mít (v-w1855f255_ZU) - substituted with v-w1855f290_ZU</v>
      </c>
    </row>
    <row r="14588" spans="1:3" x14ac:dyDescent="0.2">
      <c r="B14588" t="s">
        <v>1</v>
      </c>
    </row>
    <row r="14589" spans="1:3" x14ac:dyDescent="0.2">
      <c r="B14589" t="s">
        <v>4927</v>
      </c>
    </row>
    <row r="14591" spans="1:3" x14ac:dyDescent="0.2">
      <c r="A14591" t="s">
        <v>4926</v>
      </c>
      <c r="B14591" t="str">
        <f>HYPERLINK("https://lindat.mff.cuni.cz/services/teitok/pdtc10/index.php?action=vallex&amp;frame=v-w1855f258_ZU", "mít (v-w1855f258_ZU) - substituted with v-w1855f290_ZU")</f>
        <v>mít (v-w1855f258_ZU) - substituted with v-w1855f290_ZU</v>
      </c>
    </row>
    <row r="14592" spans="1:3" x14ac:dyDescent="0.2">
      <c r="B14592" t="s">
        <v>1</v>
      </c>
    </row>
    <row r="14593" spans="1:3" x14ac:dyDescent="0.2">
      <c r="B14593" t="s">
        <v>4927</v>
      </c>
    </row>
    <row r="14595" spans="1:3" x14ac:dyDescent="0.2">
      <c r="A14595" t="s">
        <v>4926</v>
      </c>
      <c r="B14595" t="str">
        <f>HYPERLINK("https://lindat.mff.cuni.cz/services/teitok/pdtc10/index.php?action=vallex&amp;frame=v-w1855f49", "mít (v-w1855f49) - substituted with v-w1855f290_ZU")</f>
        <v>mít (v-w1855f49) - substituted with v-w1855f290_ZU</v>
      </c>
    </row>
    <row r="14596" spans="1:3" x14ac:dyDescent="0.2">
      <c r="B14596" t="s">
        <v>1</v>
      </c>
    </row>
    <row r="14597" spans="1:3" x14ac:dyDescent="0.2">
      <c r="B14597" t="s">
        <v>4927</v>
      </c>
    </row>
    <row r="14599" spans="1:3" x14ac:dyDescent="0.2">
      <c r="A14599" t="s">
        <v>4926</v>
      </c>
      <c r="B14599" t="str">
        <f>HYPERLINK("https://lindat.mff.cuni.cz/services/teitok/pdtc10/index.php?action=vallex&amp;frame=v-w1855f93_ZU", "mít (v-w1855f93_ZU) - substituted with v-w1855f290_ZU")</f>
        <v>mít (v-w1855f93_ZU) - substituted with v-w1855f290_ZU</v>
      </c>
    </row>
    <row r="14600" spans="1:3" x14ac:dyDescent="0.2">
      <c r="B14600" t="s">
        <v>1</v>
      </c>
      <c r="C14600" t="s">
        <v>1086</v>
      </c>
    </row>
    <row r="14601" spans="1:3" x14ac:dyDescent="0.2">
      <c r="B14601" t="s">
        <v>4927</v>
      </c>
      <c r="C14601" t="s">
        <v>1963</v>
      </c>
    </row>
    <row r="14603" spans="1:3" x14ac:dyDescent="0.2">
      <c r="A14603" t="s">
        <v>4926</v>
      </c>
      <c r="B14603" t="str">
        <f>HYPERLINK("https://lindat.mff.cuni.cz/services/teitok/pdtc10/index.php?action=vallex&amp;frame=v-w1855hsa_1110", "mít (v-w1855hsa_1110) - substituted with v-w1855f290_ZU")</f>
        <v>mít (v-w1855hsa_1110) - substituted with v-w1855f290_ZU</v>
      </c>
    </row>
    <row r="14604" spans="1:3" x14ac:dyDescent="0.2">
      <c r="B14604" t="s">
        <v>1</v>
      </c>
    </row>
    <row r="14605" spans="1:3" x14ac:dyDescent="0.2">
      <c r="B14605" t="s">
        <v>4927</v>
      </c>
    </row>
    <row r="14607" spans="1:3" x14ac:dyDescent="0.2">
      <c r="A14607" t="s">
        <v>4926</v>
      </c>
      <c r="B14607" t="str">
        <f>HYPERLINK("https://lindat.mff.cuni.cz/services/teitok/pdtc10/index.php?action=vallex&amp;frame=v-w1855hsa_969", "mít (v-w1855hsa_969) - substituted with v-w1855f290_ZU")</f>
        <v>mít (v-w1855hsa_969) - substituted with v-w1855f290_ZU</v>
      </c>
    </row>
    <row r="14608" spans="1:3" x14ac:dyDescent="0.2">
      <c r="B14608" t="s">
        <v>1</v>
      </c>
    </row>
    <row r="14609" spans="1:3" x14ac:dyDescent="0.2">
      <c r="B14609" t="s">
        <v>4927</v>
      </c>
    </row>
    <row r="14611" spans="1:3" x14ac:dyDescent="0.2">
      <c r="A14611" t="s">
        <v>4928</v>
      </c>
      <c r="B14611" t="str">
        <f>HYPERLINK("https://lindat.mff.cuni.cz/services/teitok/pdtc10/index.php?action=vallex&amp;frame=v-w1855f343_MM", "mít (v-w1855f343_MM)")</f>
        <v>mít (v-w1855f343_MM)</v>
      </c>
    </row>
    <row r="14612" spans="1:3" x14ac:dyDescent="0.2">
      <c r="B14612" t="s">
        <v>1</v>
      </c>
    </row>
    <row r="14613" spans="1:3" x14ac:dyDescent="0.2">
      <c r="B14613" t="s">
        <v>4929</v>
      </c>
    </row>
    <row r="14615" spans="1:3" x14ac:dyDescent="0.2">
      <c r="A14615" t="s">
        <v>4928</v>
      </c>
      <c r="B14615" t="str">
        <f>HYPERLINK("https://lindat.mff.cuni.cz/services/teitok/pdtc10/index.php?action=vallex&amp;frame=v-w1855f10", "mít (v-w1855f10) - substituted with v-w1855f343_MM")</f>
        <v>mít (v-w1855f10) - substituted with v-w1855f343_MM</v>
      </c>
    </row>
    <row r="14616" spans="1:3" x14ac:dyDescent="0.2">
      <c r="B14616" t="s">
        <v>1</v>
      </c>
      <c r="C14616" t="s">
        <v>4930</v>
      </c>
    </row>
    <row r="14617" spans="1:3" x14ac:dyDescent="0.2">
      <c r="B14617" t="s">
        <v>4929</v>
      </c>
      <c r="C14617" t="s">
        <v>4931</v>
      </c>
    </row>
    <row r="14619" spans="1:3" x14ac:dyDescent="0.2">
      <c r="A14619" t="s">
        <v>4928</v>
      </c>
      <c r="B14619" t="str">
        <f>HYPERLINK("https://lindat.mff.cuni.cz/services/teitok/pdtc10/index.php?action=vallex&amp;frame=v-w1855f157_ZU", "mít (v-w1855f157_ZU) - substituted with v-w1855f343_MM")</f>
        <v>mít (v-w1855f157_ZU) - substituted with v-w1855f343_MM</v>
      </c>
    </row>
    <row r="14620" spans="1:3" x14ac:dyDescent="0.2">
      <c r="B14620" t="s">
        <v>1</v>
      </c>
      <c r="C14620" t="s">
        <v>4932</v>
      </c>
    </row>
    <row r="14621" spans="1:3" x14ac:dyDescent="0.2">
      <c r="B14621" t="s">
        <v>4929</v>
      </c>
      <c r="C14621" t="s">
        <v>4933</v>
      </c>
    </row>
    <row r="14623" spans="1:3" x14ac:dyDescent="0.2">
      <c r="A14623" t="s">
        <v>4928</v>
      </c>
      <c r="B14623" t="str">
        <f>HYPERLINK("https://lindat.mff.cuni.cz/services/teitok/pdtc10/index.php?action=vallex&amp;frame=v-w1855f211_ZU", "mít (v-w1855f211_ZU) - substituted with v-w1855f343_MM")</f>
        <v>mít (v-w1855f211_ZU) - substituted with v-w1855f343_MM</v>
      </c>
    </row>
    <row r="14624" spans="1:3" x14ac:dyDescent="0.2">
      <c r="B14624" t="s">
        <v>1</v>
      </c>
      <c r="C14624" t="s">
        <v>4934</v>
      </c>
    </row>
    <row r="14625" spans="1:3" x14ac:dyDescent="0.2">
      <c r="B14625" t="s">
        <v>4929</v>
      </c>
      <c r="C14625" t="s">
        <v>4935</v>
      </c>
    </row>
    <row r="14627" spans="1:3" x14ac:dyDescent="0.2">
      <c r="A14627" t="s">
        <v>4928</v>
      </c>
      <c r="B14627" t="str">
        <f>HYPERLINK("https://lindat.mff.cuni.cz/services/teitok/pdtc10/index.php?action=vallex&amp;frame=v-w1855f292_ZU", "mít (v-w1855f292_ZU) - substituted with v-w1855f343_MM")</f>
        <v>mít (v-w1855f292_ZU) - substituted with v-w1855f343_MM</v>
      </c>
    </row>
    <row r="14628" spans="1:3" x14ac:dyDescent="0.2">
      <c r="B14628" t="s">
        <v>1</v>
      </c>
    </row>
    <row r="14629" spans="1:3" x14ac:dyDescent="0.2">
      <c r="B14629" t="s">
        <v>4929</v>
      </c>
    </row>
    <row r="14631" spans="1:3" x14ac:dyDescent="0.2">
      <c r="A14631" t="s">
        <v>4928</v>
      </c>
      <c r="B14631" t="str">
        <f>HYPERLINK("https://lindat.mff.cuni.cz/services/teitok/pdtc10/index.php?action=vallex&amp;frame=v-w1855f340_MM", "mít (v-w1855f340_MM) - substituted with v-w1855f343_MM")</f>
        <v>mít (v-w1855f340_MM) - substituted with v-w1855f343_MM</v>
      </c>
    </row>
    <row r="14632" spans="1:3" x14ac:dyDescent="0.2">
      <c r="B14632" t="s">
        <v>1</v>
      </c>
    </row>
    <row r="14633" spans="1:3" x14ac:dyDescent="0.2">
      <c r="B14633" t="s">
        <v>4929</v>
      </c>
    </row>
    <row r="14635" spans="1:3" x14ac:dyDescent="0.2">
      <c r="A14635" t="s">
        <v>4928</v>
      </c>
      <c r="B14635" t="str">
        <f>HYPERLINK("https://lindat.mff.cuni.cz/services/teitok/pdtc10/index.php?action=vallex&amp;frame=v-w1855f341_MM", "mít (v-w1855f341_MM) - substituted with v-w1855f343_MM")</f>
        <v>mít (v-w1855f341_MM) - substituted with v-w1855f343_MM</v>
      </c>
    </row>
    <row r="14636" spans="1:3" x14ac:dyDescent="0.2">
      <c r="B14636" t="s">
        <v>1</v>
      </c>
    </row>
    <row r="14637" spans="1:3" x14ac:dyDescent="0.2">
      <c r="B14637" t="s">
        <v>4929</v>
      </c>
    </row>
    <row r="14639" spans="1:3" x14ac:dyDescent="0.2">
      <c r="A14639" t="s">
        <v>4928</v>
      </c>
      <c r="B14639" t="str">
        <f>HYPERLINK("https://lindat.mff.cuni.cz/services/teitok/pdtc10/index.php?action=vallex&amp;frame=v-w1855f342_MM", "mít (v-w1855f342_MM) - substituted with v-w1855f343_MM")</f>
        <v>mít (v-w1855f342_MM) - substituted with v-w1855f343_MM</v>
      </c>
    </row>
    <row r="14640" spans="1:3" x14ac:dyDescent="0.2">
      <c r="B14640" t="s">
        <v>1</v>
      </c>
    </row>
    <row r="14641" spans="1:3" x14ac:dyDescent="0.2">
      <c r="B14641" t="s">
        <v>4929</v>
      </c>
    </row>
    <row r="14643" spans="1:3" x14ac:dyDescent="0.2">
      <c r="A14643" t="s">
        <v>4928</v>
      </c>
      <c r="B14643" t="str">
        <f>HYPERLINK("https://lindat.mff.cuni.cz/services/teitok/pdtc10/index.php?action=vallex&amp;frame=v-w1855hsa_1117", "mít (v-w1855hsa_1117) - substituted with v-w1855f343_MM")</f>
        <v>mít (v-w1855hsa_1117) - substituted with v-w1855f343_MM</v>
      </c>
    </row>
    <row r="14644" spans="1:3" x14ac:dyDescent="0.2">
      <c r="B14644" t="s">
        <v>1</v>
      </c>
    </row>
    <row r="14645" spans="1:3" x14ac:dyDescent="0.2">
      <c r="B14645" t="s">
        <v>4929</v>
      </c>
    </row>
    <row r="14647" spans="1:3" x14ac:dyDescent="0.2">
      <c r="A14647" t="s">
        <v>4928</v>
      </c>
      <c r="B14647" t="str">
        <f>HYPERLINK("https://lindat.mff.cuni.cz/services/teitok/pdtc10/index.php?action=vallex&amp;frame=v-w1855hsa_970", "mít (v-w1855hsa_970) - substituted with v-w1855f343_MM")</f>
        <v>mít (v-w1855hsa_970) - substituted with v-w1855f343_MM</v>
      </c>
    </row>
    <row r="14648" spans="1:3" x14ac:dyDescent="0.2">
      <c r="B14648" t="s">
        <v>1</v>
      </c>
    </row>
    <row r="14649" spans="1:3" x14ac:dyDescent="0.2">
      <c r="B14649" t="s">
        <v>4929</v>
      </c>
    </row>
    <row r="14651" spans="1:3" x14ac:dyDescent="0.2">
      <c r="A14651" t="s">
        <v>4936</v>
      </c>
      <c r="B14651" t="str">
        <f>HYPERLINK("https://lindat.mff.cuni.cz/services/teitok/pdtc10/index.php?action=vallex&amp;frame=v-w1855f221_ZU", "mít (v-w1855f221_ZU)")</f>
        <v>mít (v-w1855f221_ZU)</v>
      </c>
    </row>
    <row r="14652" spans="1:3" x14ac:dyDescent="0.2">
      <c r="B14652" t="s">
        <v>1</v>
      </c>
      <c r="C14652" t="s">
        <v>364</v>
      </c>
    </row>
    <row r="14653" spans="1:3" x14ac:dyDescent="0.2">
      <c r="B14653" t="s">
        <v>4937</v>
      </c>
      <c r="C14653" t="s">
        <v>366</v>
      </c>
    </row>
    <row r="14655" spans="1:3" x14ac:dyDescent="0.2">
      <c r="A14655" t="s">
        <v>4936</v>
      </c>
      <c r="B14655" t="str">
        <f>HYPERLINK("https://lindat.mff.cuni.cz/services/teitok/pdtc10/index.php?action=vallex&amp;frame=v-w1855f212_ZU", "mít (v-w1855f212_ZU) - substituted with v-w1855f221_ZU")</f>
        <v>mít (v-w1855f212_ZU) - substituted with v-w1855f221_ZU</v>
      </c>
    </row>
    <row r="14656" spans="1:3" x14ac:dyDescent="0.2">
      <c r="B14656" t="s">
        <v>1</v>
      </c>
      <c r="C14656" t="s">
        <v>4938</v>
      </c>
    </row>
    <row r="14657" spans="1:3" x14ac:dyDescent="0.2">
      <c r="B14657" t="s">
        <v>4937</v>
      </c>
      <c r="C14657" t="s">
        <v>4939</v>
      </c>
    </row>
    <row r="14659" spans="1:3" x14ac:dyDescent="0.2">
      <c r="A14659" t="s">
        <v>4936</v>
      </c>
      <c r="B14659" t="str">
        <f>HYPERLINK("https://lindat.mff.cuni.cz/services/teitok/pdtc10/index.php?action=vallex&amp;frame=v-w1855f219_ZU", "mít (v-w1855f219_ZU) - substituted with v-w1855f221_ZU")</f>
        <v>mít (v-w1855f219_ZU) - substituted with v-w1855f221_ZU</v>
      </c>
    </row>
    <row r="14660" spans="1:3" x14ac:dyDescent="0.2">
      <c r="B14660" t="s">
        <v>1</v>
      </c>
    </row>
    <row r="14661" spans="1:3" x14ac:dyDescent="0.2">
      <c r="B14661" t="s">
        <v>4937</v>
      </c>
    </row>
    <row r="14663" spans="1:3" x14ac:dyDescent="0.2">
      <c r="A14663" t="s">
        <v>4936</v>
      </c>
      <c r="B14663" t="str">
        <f>HYPERLINK("https://lindat.mff.cuni.cz/services/teitok/pdtc10/index.php?action=vallex&amp;frame=v-w1855f8", "mít (v-w1855f8) - substituted with v-w1855f221_ZU")</f>
        <v>mít (v-w1855f8) - substituted with v-w1855f221_ZU</v>
      </c>
    </row>
    <row r="14664" spans="1:3" x14ac:dyDescent="0.2">
      <c r="B14664" t="s">
        <v>1</v>
      </c>
      <c r="C14664" t="s">
        <v>4940</v>
      </c>
    </row>
    <row r="14665" spans="1:3" x14ac:dyDescent="0.2">
      <c r="B14665" t="s">
        <v>4937</v>
      </c>
      <c r="C14665" t="s">
        <v>4941</v>
      </c>
    </row>
    <row r="14667" spans="1:3" x14ac:dyDescent="0.2">
      <c r="A14667" t="s">
        <v>4936</v>
      </c>
      <c r="B14667" t="str">
        <f>HYPERLINK("https://lindat.mff.cuni.cz/services/teitok/pdtc10/index.php?action=vallex&amp;frame=v-w1855f99_ZU", "mít (v-w1855f99_ZU) - substituted with v-w1855f221_ZU")</f>
        <v>mít (v-w1855f99_ZU) - substituted with v-w1855f221_ZU</v>
      </c>
    </row>
    <row r="14668" spans="1:3" x14ac:dyDescent="0.2">
      <c r="B14668" t="s">
        <v>1</v>
      </c>
      <c r="C14668" t="s">
        <v>4942</v>
      </c>
    </row>
    <row r="14669" spans="1:3" x14ac:dyDescent="0.2">
      <c r="B14669" t="s">
        <v>4937</v>
      </c>
      <c r="C14669" t="s">
        <v>4943</v>
      </c>
    </row>
    <row r="14671" spans="1:3" x14ac:dyDescent="0.2">
      <c r="A14671" t="s">
        <v>4936</v>
      </c>
      <c r="B14671" t="str">
        <f>HYPERLINK("https://lindat.mff.cuni.cz/services/teitok/pdtc10/index.php?action=vallex&amp;frame=v-w1855hsa_1123", "mít (v-w1855hsa_1123) - substituted with v-w1855f221_ZU")</f>
        <v>mít (v-w1855hsa_1123) - substituted with v-w1855f221_ZU</v>
      </c>
    </row>
    <row r="14672" spans="1:3" x14ac:dyDescent="0.2">
      <c r="B14672" t="s">
        <v>1</v>
      </c>
    </row>
    <row r="14673" spans="1:3" x14ac:dyDescent="0.2">
      <c r="B14673" t="s">
        <v>4937</v>
      </c>
    </row>
    <row r="14675" spans="1:3" x14ac:dyDescent="0.2">
      <c r="A14675" t="s">
        <v>4944</v>
      </c>
      <c r="B14675" t="str">
        <f>HYPERLINK("https://lindat.mff.cuni.cz/services/teitok/pdtc10/index.php?action=vallex&amp;frame=v-w1855f206_ZU", "mít (v-w1855f206_ZU)")</f>
        <v>mít (v-w1855f206_ZU)</v>
      </c>
    </row>
    <row r="14676" spans="1:3" x14ac:dyDescent="0.2">
      <c r="B14676" t="s">
        <v>1</v>
      </c>
      <c r="C14676" t="s">
        <v>1086</v>
      </c>
    </row>
    <row r="14677" spans="1:3" x14ac:dyDescent="0.2">
      <c r="B14677" t="s">
        <v>4945</v>
      </c>
      <c r="C14677" t="s">
        <v>1963</v>
      </c>
    </row>
    <row r="14679" spans="1:3" x14ac:dyDescent="0.2">
      <c r="A14679" t="s">
        <v>4944</v>
      </c>
      <c r="B14679" t="str">
        <f>HYPERLINK("https://lindat.mff.cuni.cz/services/teitok/pdtc10/index.php?action=vallex&amp;frame=v-w1855f102_ZU", "mít (v-w1855f102_ZU) - substituted with v-w1855f206_ZU")</f>
        <v>mít (v-w1855f102_ZU) - substituted with v-w1855f206_ZU</v>
      </c>
    </row>
    <row r="14680" spans="1:3" x14ac:dyDescent="0.2">
      <c r="B14680" t="s">
        <v>1</v>
      </c>
      <c r="C14680" t="s">
        <v>4946</v>
      </c>
    </row>
    <row r="14681" spans="1:3" x14ac:dyDescent="0.2">
      <c r="B14681" t="s">
        <v>4945</v>
      </c>
      <c r="C14681" t="s">
        <v>4947</v>
      </c>
    </row>
    <row r="14683" spans="1:3" x14ac:dyDescent="0.2">
      <c r="A14683" t="s">
        <v>4944</v>
      </c>
      <c r="B14683" t="str">
        <f>HYPERLINK("https://lindat.mff.cuni.cz/services/teitok/pdtc10/index.php?action=vallex&amp;frame=v-w1855f21", "mít (v-w1855f21) - substituted with v-w1855f206_ZU")</f>
        <v>mít (v-w1855f21) - substituted with v-w1855f206_ZU</v>
      </c>
    </row>
    <row r="14684" spans="1:3" x14ac:dyDescent="0.2">
      <c r="B14684" t="s">
        <v>1</v>
      </c>
      <c r="C14684" t="s">
        <v>4948</v>
      </c>
    </row>
    <row r="14685" spans="1:3" x14ac:dyDescent="0.2">
      <c r="B14685" t="s">
        <v>4945</v>
      </c>
      <c r="C14685" t="s">
        <v>4949</v>
      </c>
    </row>
    <row r="14687" spans="1:3" x14ac:dyDescent="0.2">
      <c r="A14687" t="s">
        <v>4950</v>
      </c>
      <c r="B14687" t="str">
        <f>HYPERLINK("https://lindat.mff.cuni.cz/services/teitok/pdtc10/index.php?action=vallex&amp;frame=v-w1855hsa_971", "mít (v-w1855hsa_971)")</f>
        <v>mít (v-w1855hsa_971)</v>
      </c>
    </row>
    <row r="14688" spans="1:3" x14ac:dyDescent="0.2">
      <c r="B14688" t="s">
        <v>1</v>
      </c>
    </row>
    <row r="14689" spans="1:3" x14ac:dyDescent="0.2">
      <c r="B14689" t="s">
        <v>4951</v>
      </c>
    </row>
    <row r="14691" spans="1:3" x14ac:dyDescent="0.2">
      <c r="A14691" t="s">
        <v>4950</v>
      </c>
      <c r="B14691" t="str">
        <f>HYPERLINK("https://lindat.mff.cuni.cz/services/teitok/pdtc10/index.php?action=vallex&amp;frame=v-w1855f139_ZU", "mít (v-w1855f139_ZU) - substituted with v-w1855hsa_971")</f>
        <v>mít (v-w1855f139_ZU) - substituted with v-w1855hsa_971</v>
      </c>
    </row>
    <row r="14692" spans="1:3" x14ac:dyDescent="0.2">
      <c r="B14692" t="s">
        <v>1</v>
      </c>
      <c r="C14692" t="s">
        <v>1086</v>
      </c>
    </row>
    <row r="14693" spans="1:3" x14ac:dyDescent="0.2">
      <c r="B14693" t="s">
        <v>4951</v>
      </c>
      <c r="C14693" t="s">
        <v>1963</v>
      </c>
    </row>
    <row r="14695" spans="1:3" x14ac:dyDescent="0.2">
      <c r="A14695" t="s">
        <v>4950</v>
      </c>
      <c r="B14695" t="str">
        <f>HYPERLINK("https://lindat.mff.cuni.cz/services/teitok/pdtc10/index.php?action=vallex&amp;frame=v-w1855f140_ZU", "mít (v-w1855f140_ZU) - substituted with v-w1855hsa_971")</f>
        <v>mít (v-w1855f140_ZU) - substituted with v-w1855hsa_971</v>
      </c>
    </row>
    <row r="14696" spans="1:3" x14ac:dyDescent="0.2">
      <c r="B14696" t="s">
        <v>1</v>
      </c>
      <c r="C14696" t="s">
        <v>1086</v>
      </c>
    </row>
    <row r="14697" spans="1:3" x14ac:dyDescent="0.2">
      <c r="B14697" t="s">
        <v>4951</v>
      </c>
      <c r="C14697" t="s">
        <v>1963</v>
      </c>
    </row>
    <row r="14699" spans="1:3" x14ac:dyDescent="0.2">
      <c r="A14699" t="s">
        <v>4950</v>
      </c>
      <c r="B14699" t="str">
        <f>HYPERLINK("https://lindat.mff.cuni.cz/services/teitok/pdtc10/index.php?action=vallex&amp;frame=v-w1855f141_ZU", "mít (v-w1855f141_ZU) - substituted with v-w1855hsa_971")</f>
        <v>mít (v-w1855f141_ZU) - substituted with v-w1855hsa_971</v>
      </c>
    </row>
    <row r="14700" spans="1:3" x14ac:dyDescent="0.2">
      <c r="B14700" t="s">
        <v>1</v>
      </c>
      <c r="C14700" t="s">
        <v>364</v>
      </c>
    </row>
    <row r="14701" spans="1:3" x14ac:dyDescent="0.2">
      <c r="B14701" t="s">
        <v>4951</v>
      </c>
      <c r="C14701" t="s">
        <v>366</v>
      </c>
    </row>
    <row r="14703" spans="1:3" x14ac:dyDescent="0.2">
      <c r="A14703" t="s">
        <v>4950</v>
      </c>
      <c r="B14703" t="str">
        <f>HYPERLINK("https://lindat.mff.cuni.cz/services/teitok/pdtc10/index.php?action=vallex&amp;frame=v-w1855f148_ZU", "mít (v-w1855f148_ZU) - substituted with v-w1855hsa_971")</f>
        <v>mít (v-w1855f148_ZU) - substituted with v-w1855hsa_971</v>
      </c>
    </row>
    <row r="14704" spans="1:3" x14ac:dyDescent="0.2">
      <c r="B14704" t="s">
        <v>1</v>
      </c>
      <c r="C14704" t="s">
        <v>4952</v>
      </c>
    </row>
    <row r="14705" spans="1:3" x14ac:dyDescent="0.2">
      <c r="B14705" t="s">
        <v>4951</v>
      </c>
      <c r="C14705" t="s">
        <v>4953</v>
      </c>
    </row>
    <row r="14707" spans="1:3" x14ac:dyDescent="0.2">
      <c r="A14707" t="s">
        <v>4954</v>
      </c>
      <c r="B14707" t="str">
        <f>HYPERLINK("https://lindat.mff.cuni.cz/services/teitok/pdtc10/index.php?action=vallex&amp;frame=v-w1855f134_ZU", "mít (v-w1855f134_ZU)")</f>
        <v>mít (v-w1855f134_ZU)</v>
      </c>
    </row>
    <row r="14708" spans="1:3" x14ac:dyDescent="0.2">
      <c r="B14708" t="s">
        <v>1</v>
      </c>
    </row>
    <row r="14709" spans="1:3" x14ac:dyDescent="0.2">
      <c r="B14709" t="s">
        <v>4955</v>
      </c>
    </row>
    <row r="14711" spans="1:3" x14ac:dyDescent="0.2">
      <c r="A14711" t="s">
        <v>4956</v>
      </c>
      <c r="B14711" t="str">
        <f>HYPERLINK("https://lindat.mff.cuni.cz/services/teitok/pdtc10/index.php?action=vallex&amp;frame=v-w1855hsa_973", "mít (v-w1855hsa_973)")</f>
        <v>mít (v-w1855hsa_973)</v>
      </c>
    </row>
    <row r="14712" spans="1:3" x14ac:dyDescent="0.2">
      <c r="B14712" t="s">
        <v>1</v>
      </c>
    </row>
    <row r="14713" spans="1:3" x14ac:dyDescent="0.2">
      <c r="B14713" t="s">
        <v>4957</v>
      </c>
    </row>
    <row r="14715" spans="1:3" x14ac:dyDescent="0.2">
      <c r="A14715" t="s">
        <v>4956</v>
      </c>
      <c r="B14715" t="str">
        <f>HYPERLINK("https://lindat.mff.cuni.cz/services/teitok/pdtc10/index.php?action=vallex&amp;frame=v-w1855f224_ZU", "mít (v-w1855f224_ZU) - substituted with v-w1855hsa_973")</f>
        <v>mít (v-w1855f224_ZU) - substituted with v-w1855hsa_973</v>
      </c>
    </row>
    <row r="14716" spans="1:3" x14ac:dyDescent="0.2">
      <c r="B14716" t="s">
        <v>1</v>
      </c>
      <c r="C14716" t="s">
        <v>1086</v>
      </c>
    </row>
    <row r="14717" spans="1:3" x14ac:dyDescent="0.2">
      <c r="B14717" t="s">
        <v>4957</v>
      </c>
      <c r="C14717" t="s">
        <v>1963</v>
      </c>
    </row>
    <row r="14719" spans="1:3" x14ac:dyDescent="0.2">
      <c r="A14719" t="s">
        <v>4956</v>
      </c>
      <c r="B14719" t="str">
        <f>HYPERLINK("https://lindat.mff.cuni.cz/services/teitok/pdtc10/index.php?action=vallex&amp;frame=v-w1855f90_ZU", "mít (v-w1855f90_ZU) - substituted with v-w1855hsa_973")</f>
        <v>mít (v-w1855f90_ZU) - substituted with v-w1855hsa_973</v>
      </c>
    </row>
    <row r="14720" spans="1:3" x14ac:dyDescent="0.2">
      <c r="B14720" t="s">
        <v>1</v>
      </c>
    </row>
    <row r="14721" spans="1:3" x14ac:dyDescent="0.2">
      <c r="B14721" t="s">
        <v>4957</v>
      </c>
    </row>
    <row r="14723" spans="1:3" x14ac:dyDescent="0.2">
      <c r="A14723" t="s">
        <v>4956</v>
      </c>
      <c r="B14723" t="str">
        <f>HYPERLINK("https://lindat.mff.cuni.cz/services/teitok/pdtc10/index.php?action=vallex&amp;frame=v-w1855f95_ZU", "mít (v-w1855f95_ZU) - substituted with v-w1855hsa_973")</f>
        <v>mít (v-w1855f95_ZU) - substituted with v-w1855hsa_973</v>
      </c>
    </row>
    <row r="14724" spans="1:3" x14ac:dyDescent="0.2">
      <c r="B14724" t="s">
        <v>1</v>
      </c>
      <c r="C14724" t="s">
        <v>4958</v>
      </c>
    </row>
    <row r="14725" spans="1:3" x14ac:dyDescent="0.2">
      <c r="B14725" t="s">
        <v>4957</v>
      </c>
      <c r="C14725" t="s">
        <v>4959</v>
      </c>
    </row>
    <row r="14727" spans="1:3" x14ac:dyDescent="0.2">
      <c r="A14727" t="s">
        <v>4956</v>
      </c>
      <c r="B14727" t="str">
        <f>HYPERLINK("https://lindat.mff.cuni.cz/services/teitok/pdtc10/index.php?action=vallex&amp;frame=v-w1855f96_ZU", "mít (v-w1855f96_ZU) - substituted with v-w1855hsa_973")</f>
        <v>mít (v-w1855f96_ZU) - substituted with v-w1855hsa_973</v>
      </c>
    </row>
    <row r="14728" spans="1:3" x14ac:dyDescent="0.2">
      <c r="B14728" t="s">
        <v>1</v>
      </c>
      <c r="C14728" t="s">
        <v>4910</v>
      </c>
    </row>
    <row r="14729" spans="1:3" x14ac:dyDescent="0.2">
      <c r="B14729" t="s">
        <v>4957</v>
      </c>
      <c r="C14729" t="s">
        <v>4911</v>
      </c>
    </row>
    <row r="14731" spans="1:3" x14ac:dyDescent="0.2">
      <c r="A14731" t="s">
        <v>4956</v>
      </c>
      <c r="B14731" t="str">
        <f>HYPERLINK("https://lindat.mff.cuni.cz/services/teitok/pdtc10/index.php?action=vallex&amp;frame=v-w1855hsa_1115", "mít (v-w1855hsa_1115) - substituted with v-w1855hsa_973")</f>
        <v>mít (v-w1855hsa_1115) - substituted with v-w1855hsa_973</v>
      </c>
    </row>
    <row r="14732" spans="1:3" x14ac:dyDescent="0.2">
      <c r="B14732" t="s">
        <v>1</v>
      </c>
    </row>
    <row r="14733" spans="1:3" x14ac:dyDescent="0.2">
      <c r="B14733" t="s">
        <v>4957</v>
      </c>
    </row>
    <row r="14735" spans="1:3" x14ac:dyDescent="0.2">
      <c r="A14735" t="s">
        <v>4960</v>
      </c>
      <c r="B14735" t="str">
        <f>HYPERLINK("https://lindat.mff.cuni.cz/services/teitok/pdtc10/index.php?action=vallex&amp;frame=v-w1855f125_ZU", "mít (v-w1855f125_ZU)")</f>
        <v>mít (v-w1855f125_ZU)</v>
      </c>
    </row>
    <row r="14736" spans="1:3" x14ac:dyDescent="0.2">
      <c r="B14736" t="s">
        <v>1</v>
      </c>
      <c r="C14736" t="s">
        <v>1086</v>
      </c>
    </row>
    <row r="14737" spans="1:3" x14ac:dyDescent="0.2">
      <c r="B14737" t="s">
        <v>4961</v>
      </c>
      <c r="C14737" t="s">
        <v>1963</v>
      </c>
    </row>
    <row r="14739" spans="1:3" x14ac:dyDescent="0.2">
      <c r="A14739" t="s">
        <v>4962</v>
      </c>
      <c r="B14739" t="str">
        <f>HYPERLINK("https://lindat.mff.cuni.cz/services/teitok/pdtc10/index.php?action=vallex&amp;frame=v-w1855f301_ZU", "mít (v-w1855f301_ZU)")</f>
        <v>mít (v-w1855f301_ZU)</v>
      </c>
    </row>
    <row r="14740" spans="1:3" x14ac:dyDescent="0.2">
      <c r="B14740" t="s">
        <v>1</v>
      </c>
    </row>
    <row r="14741" spans="1:3" x14ac:dyDescent="0.2">
      <c r="B14741" t="s">
        <v>4963</v>
      </c>
    </row>
    <row r="14743" spans="1:3" x14ac:dyDescent="0.2">
      <c r="A14743" t="s">
        <v>4962</v>
      </c>
      <c r="B14743" t="str">
        <f>HYPERLINK("https://lindat.mff.cuni.cz/services/teitok/pdtc10/index.php?action=vallex&amp;frame=v-w1855f100_ZU", "mít (v-w1855f100_ZU) - substituted with v-w1855f301_ZU")</f>
        <v>mít (v-w1855f100_ZU) - substituted with v-w1855f301_ZU</v>
      </c>
    </row>
    <row r="14744" spans="1:3" x14ac:dyDescent="0.2">
      <c r="B14744" t="s">
        <v>1</v>
      </c>
    </row>
    <row r="14745" spans="1:3" x14ac:dyDescent="0.2">
      <c r="B14745" t="s">
        <v>4963</v>
      </c>
    </row>
    <row r="14747" spans="1:3" x14ac:dyDescent="0.2">
      <c r="A14747" t="s">
        <v>4962</v>
      </c>
      <c r="B14747" t="str">
        <f>HYPERLINK("https://lindat.mff.cuni.cz/services/teitok/pdtc10/index.php?action=vallex&amp;frame=v-w1855f105_ZU", "mít (v-w1855f105_ZU) - substituted with v-w1855f301_ZU")</f>
        <v>mít (v-w1855f105_ZU) - substituted with v-w1855f301_ZU</v>
      </c>
    </row>
    <row r="14748" spans="1:3" x14ac:dyDescent="0.2">
      <c r="B14748" t="s">
        <v>1</v>
      </c>
      <c r="C14748" t="s">
        <v>4964</v>
      </c>
    </row>
    <row r="14749" spans="1:3" x14ac:dyDescent="0.2">
      <c r="B14749" t="s">
        <v>4963</v>
      </c>
      <c r="C14749" t="s">
        <v>4965</v>
      </c>
    </row>
    <row r="14751" spans="1:3" x14ac:dyDescent="0.2">
      <c r="A14751" t="s">
        <v>4962</v>
      </c>
      <c r="B14751" t="str">
        <f>HYPERLINK("https://lindat.mff.cuni.cz/services/teitok/pdtc10/index.php?action=vallex&amp;frame=v-w1855f217_ZU", "mít (v-w1855f217_ZU) - substituted with v-w1855f301_ZU")</f>
        <v>mít (v-w1855f217_ZU) - substituted with v-w1855f301_ZU</v>
      </c>
    </row>
    <row r="14752" spans="1:3" x14ac:dyDescent="0.2">
      <c r="B14752" t="s">
        <v>1</v>
      </c>
      <c r="C14752" t="s">
        <v>1086</v>
      </c>
    </row>
    <row r="14753" spans="1:3" x14ac:dyDescent="0.2">
      <c r="B14753" t="s">
        <v>4963</v>
      </c>
      <c r="C14753" t="s">
        <v>1963</v>
      </c>
    </row>
    <row r="14755" spans="1:3" x14ac:dyDescent="0.2">
      <c r="A14755" t="s">
        <v>4962</v>
      </c>
      <c r="B14755" t="str">
        <f>HYPERLINK("https://lindat.mff.cuni.cz/services/teitok/pdtc10/index.php?action=vallex&amp;frame=v-w1855f269_ZU", "mít (v-w1855f269_ZU) - substituted with v-w1855f301_ZU")</f>
        <v>mít (v-w1855f269_ZU) - substituted with v-w1855f301_ZU</v>
      </c>
    </row>
    <row r="14756" spans="1:3" x14ac:dyDescent="0.2">
      <c r="B14756" t="s">
        <v>1</v>
      </c>
    </row>
    <row r="14757" spans="1:3" x14ac:dyDescent="0.2">
      <c r="B14757" t="s">
        <v>4963</v>
      </c>
    </row>
    <row r="14759" spans="1:3" x14ac:dyDescent="0.2">
      <c r="A14759" t="s">
        <v>4962</v>
      </c>
      <c r="B14759" t="str">
        <f>HYPERLINK("https://lindat.mff.cuni.cz/services/teitok/pdtc10/index.php?action=vallex&amp;frame=v-w1855f283_ZU", "mít (v-w1855f283_ZU) - substituted with v-w1855f301_ZU")</f>
        <v>mít (v-w1855f283_ZU) - substituted with v-w1855f301_ZU</v>
      </c>
    </row>
    <row r="14760" spans="1:3" x14ac:dyDescent="0.2">
      <c r="B14760" t="s">
        <v>1</v>
      </c>
    </row>
    <row r="14761" spans="1:3" x14ac:dyDescent="0.2">
      <c r="B14761" t="s">
        <v>4963</v>
      </c>
    </row>
    <row r="14763" spans="1:3" x14ac:dyDescent="0.2">
      <c r="A14763" t="s">
        <v>4962</v>
      </c>
      <c r="B14763" t="str">
        <f>HYPERLINK("https://lindat.mff.cuni.cz/services/teitok/pdtc10/index.php?action=vallex&amp;frame=v-w1855f295_ZU", "mít (v-w1855f295_ZU) - substituted with v-w1855f301_ZU")</f>
        <v>mít (v-w1855f295_ZU) - substituted with v-w1855f301_ZU</v>
      </c>
    </row>
    <row r="14764" spans="1:3" x14ac:dyDescent="0.2">
      <c r="B14764" t="s">
        <v>1</v>
      </c>
    </row>
    <row r="14765" spans="1:3" x14ac:dyDescent="0.2">
      <c r="B14765" t="s">
        <v>4963</v>
      </c>
    </row>
    <row r="14767" spans="1:3" x14ac:dyDescent="0.2">
      <c r="A14767" t="s">
        <v>4962</v>
      </c>
      <c r="B14767" t="str">
        <f>HYPERLINK("https://lindat.mff.cuni.cz/services/teitok/pdtc10/index.php?action=vallex&amp;frame=v-w1855f7", "mít (v-w1855f7) - substituted with v-w1855f301_ZU")</f>
        <v>mít (v-w1855f7) - substituted with v-w1855f301_ZU</v>
      </c>
    </row>
    <row r="14768" spans="1:3" x14ac:dyDescent="0.2">
      <c r="B14768" t="s">
        <v>1</v>
      </c>
      <c r="C14768" t="s">
        <v>4966</v>
      </c>
    </row>
    <row r="14769" spans="1:3" x14ac:dyDescent="0.2">
      <c r="B14769" t="s">
        <v>4963</v>
      </c>
      <c r="C14769" t="s">
        <v>4967</v>
      </c>
    </row>
    <row r="14771" spans="1:3" x14ac:dyDescent="0.2">
      <c r="A14771" t="s">
        <v>4962</v>
      </c>
      <c r="B14771" t="str">
        <f>HYPERLINK("https://lindat.mff.cuni.cz/services/teitok/pdtc10/index.php?action=vallex&amp;frame=v-w1855hsa_1121", "mít (v-w1855hsa_1121) - substituted with v-w1855f301_ZU")</f>
        <v>mít (v-w1855hsa_1121) - substituted with v-w1855f301_ZU</v>
      </c>
    </row>
    <row r="14772" spans="1:3" x14ac:dyDescent="0.2">
      <c r="B14772" t="s">
        <v>1</v>
      </c>
      <c r="C14772" t="s">
        <v>4968</v>
      </c>
    </row>
    <row r="14773" spans="1:3" x14ac:dyDescent="0.2">
      <c r="B14773" t="s">
        <v>4963</v>
      </c>
      <c r="C14773" t="s">
        <v>4969</v>
      </c>
    </row>
    <row r="14775" spans="1:3" x14ac:dyDescent="0.2">
      <c r="A14775" t="s">
        <v>4962</v>
      </c>
      <c r="B14775" t="str">
        <f>HYPERLINK("https://lindat.mff.cuni.cz/services/teitok/pdtc10/index.php?action=vallex&amp;frame=v-w1855hsa_974", "mít (v-w1855hsa_974) - substituted with v-w1855f301_ZU")</f>
        <v>mít (v-w1855hsa_974) - substituted with v-w1855f301_ZU</v>
      </c>
    </row>
    <row r="14776" spans="1:3" x14ac:dyDescent="0.2">
      <c r="B14776" t="s">
        <v>1</v>
      </c>
    </row>
    <row r="14777" spans="1:3" x14ac:dyDescent="0.2">
      <c r="B14777" t="s">
        <v>4963</v>
      </c>
    </row>
    <row r="14779" spans="1:3" x14ac:dyDescent="0.2">
      <c r="A14779" t="s">
        <v>4970</v>
      </c>
      <c r="B14779" t="str">
        <f>HYPERLINK("https://lindat.mff.cuni.cz/services/teitok/pdtc10/index.php?action=vallex&amp;frame=v-w1855f207_ZU", "mít (v-w1855f207_ZU)")</f>
        <v>mít (v-w1855f207_ZU)</v>
      </c>
    </row>
    <row r="14780" spans="1:3" x14ac:dyDescent="0.2">
      <c r="B14780" t="s">
        <v>1</v>
      </c>
      <c r="C14780" t="s">
        <v>1086</v>
      </c>
    </row>
    <row r="14781" spans="1:3" x14ac:dyDescent="0.2">
      <c r="B14781" t="s">
        <v>4971</v>
      </c>
      <c r="C14781" t="s">
        <v>1963</v>
      </c>
    </row>
    <row r="14783" spans="1:3" x14ac:dyDescent="0.2">
      <c r="A14783" t="s">
        <v>4970</v>
      </c>
      <c r="B14783" t="str">
        <f>HYPERLINK("https://lindat.mff.cuni.cz/services/teitok/pdtc10/index.php?action=vallex&amp;frame=v-w1855f129_ZU", "mít (v-w1855f129_ZU) - substituted with v-w1855f207_ZU")</f>
        <v>mít (v-w1855f129_ZU) - substituted with v-w1855f207_ZU</v>
      </c>
    </row>
    <row r="14784" spans="1:3" x14ac:dyDescent="0.2">
      <c r="B14784" t="s">
        <v>1</v>
      </c>
      <c r="C14784" t="s">
        <v>4972</v>
      </c>
    </row>
    <row r="14785" spans="1:3" x14ac:dyDescent="0.2">
      <c r="B14785" t="s">
        <v>4971</v>
      </c>
      <c r="C14785" t="s">
        <v>4973</v>
      </c>
    </row>
    <row r="14787" spans="1:3" x14ac:dyDescent="0.2">
      <c r="A14787" t="s">
        <v>4970</v>
      </c>
      <c r="B14787" t="str">
        <f>HYPERLINK("https://lindat.mff.cuni.cz/services/teitok/pdtc10/index.php?action=vallex&amp;frame=v-w1855f22", "mít (v-w1855f22) - substituted with v-w1855f207_ZU")</f>
        <v>mít (v-w1855f22) - substituted with v-w1855f207_ZU</v>
      </c>
    </row>
    <row r="14788" spans="1:3" x14ac:dyDescent="0.2">
      <c r="B14788" t="s">
        <v>1</v>
      </c>
      <c r="C14788" t="s">
        <v>4974</v>
      </c>
    </row>
    <row r="14789" spans="1:3" x14ac:dyDescent="0.2">
      <c r="B14789" t="s">
        <v>4971</v>
      </c>
      <c r="C14789" t="s">
        <v>4975</v>
      </c>
    </row>
    <row r="14791" spans="1:3" x14ac:dyDescent="0.2">
      <c r="A14791" t="s">
        <v>4970</v>
      </c>
      <c r="B14791" t="str">
        <f>HYPERLINK("https://lindat.mff.cuni.cz/services/teitok/pdtc10/index.php?action=vallex&amp;frame=v-w1855hsa_1120", "mít (v-w1855hsa_1120) - substituted with v-w1855f207_ZU")</f>
        <v>mít (v-w1855hsa_1120) - substituted with v-w1855f207_ZU</v>
      </c>
    </row>
    <row r="14792" spans="1:3" x14ac:dyDescent="0.2">
      <c r="B14792" t="s">
        <v>1</v>
      </c>
    </row>
    <row r="14793" spans="1:3" x14ac:dyDescent="0.2">
      <c r="B14793" t="s">
        <v>4971</v>
      </c>
    </row>
    <row r="14795" spans="1:3" x14ac:dyDescent="0.2">
      <c r="A14795" t="s">
        <v>4976</v>
      </c>
      <c r="B14795" t="str">
        <f>HYPERLINK("https://lindat.mff.cuni.cz/services/teitok/pdtc10/index.php?action=vallex&amp;frame=v-w1855f335_ZU", "mít (v-w1855f335_ZU)")</f>
        <v>mít (v-w1855f335_ZU)</v>
      </c>
    </row>
    <row r="14796" spans="1:3" x14ac:dyDescent="0.2">
      <c r="B14796" t="s">
        <v>1</v>
      </c>
    </row>
    <row r="14797" spans="1:3" x14ac:dyDescent="0.2">
      <c r="B14797" t="s">
        <v>4977</v>
      </c>
    </row>
    <row r="14799" spans="1:3" x14ac:dyDescent="0.2">
      <c r="A14799" t="s">
        <v>4976</v>
      </c>
      <c r="B14799" t="str">
        <f>HYPERLINK("https://lindat.mff.cuni.cz/services/teitok/pdtc10/index.php?action=vallex&amp;frame=v-w1855f106_ZU", "mít (v-w1855f106_ZU) - substituted with v-w1855f335_ZU")</f>
        <v>mít (v-w1855f106_ZU) - substituted with v-w1855f335_ZU</v>
      </c>
    </row>
    <row r="14800" spans="1:3" x14ac:dyDescent="0.2">
      <c r="B14800" t="s">
        <v>1</v>
      </c>
      <c r="C14800" t="s">
        <v>1086</v>
      </c>
    </row>
    <row r="14801" spans="1:3" x14ac:dyDescent="0.2">
      <c r="B14801" t="s">
        <v>4977</v>
      </c>
      <c r="C14801" t="s">
        <v>1963</v>
      </c>
    </row>
    <row r="14803" spans="1:3" x14ac:dyDescent="0.2">
      <c r="A14803" t="s">
        <v>4976</v>
      </c>
      <c r="B14803" t="str">
        <f>HYPERLINK("https://lindat.mff.cuni.cz/services/teitok/pdtc10/index.php?action=vallex&amp;frame=v-w1855f119_ZU", "mít (v-w1855f119_ZU) - substituted with v-w1855f335_ZU")</f>
        <v>mít (v-w1855f119_ZU) - substituted with v-w1855f335_ZU</v>
      </c>
    </row>
    <row r="14804" spans="1:3" x14ac:dyDescent="0.2">
      <c r="B14804" t="s">
        <v>1</v>
      </c>
    </row>
    <row r="14805" spans="1:3" x14ac:dyDescent="0.2">
      <c r="B14805" t="s">
        <v>4977</v>
      </c>
    </row>
    <row r="14807" spans="1:3" x14ac:dyDescent="0.2">
      <c r="A14807" t="s">
        <v>4976</v>
      </c>
      <c r="B14807" t="str">
        <f>HYPERLINK("https://lindat.mff.cuni.cz/services/teitok/pdtc10/index.php?action=vallex&amp;frame=v-w1855f120_ZU", "mít (v-w1855f120_ZU) - substituted with v-w1855f335_ZU")</f>
        <v>mít (v-w1855f120_ZU) - substituted with v-w1855f335_ZU</v>
      </c>
    </row>
    <row r="14808" spans="1:3" x14ac:dyDescent="0.2">
      <c r="B14808" t="s">
        <v>1</v>
      </c>
      <c r="C14808" t="s">
        <v>4978</v>
      </c>
    </row>
    <row r="14809" spans="1:3" x14ac:dyDescent="0.2">
      <c r="B14809" t="s">
        <v>4977</v>
      </c>
      <c r="C14809" t="s">
        <v>4979</v>
      </c>
    </row>
    <row r="14811" spans="1:3" x14ac:dyDescent="0.2">
      <c r="A14811" t="s">
        <v>4976</v>
      </c>
      <c r="B14811" t="str">
        <f>HYPERLINK("https://lindat.mff.cuni.cz/services/teitok/pdtc10/index.php?action=vallex&amp;frame=v-w1855f281_ZU", "mít (v-w1855f281_ZU) - substituted with v-w1855f335_ZU")</f>
        <v>mít (v-w1855f281_ZU) - substituted with v-w1855f335_ZU</v>
      </c>
    </row>
    <row r="14812" spans="1:3" x14ac:dyDescent="0.2">
      <c r="B14812" t="s">
        <v>1</v>
      </c>
    </row>
    <row r="14813" spans="1:3" x14ac:dyDescent="0.2">
      <c r="B14813" t="s">
        <v>4977</v>
      </c>
    </row>
    <row r="14815" spans="1:3" x14ac:dyDescent="0.2">
      <c r="A14815" t="s">
        <v>4976</v>
      </c>
      <c r="B14815" t="str">
        <f>HYPERLINK("https://lindat.mff.cuni.cz/services/teitok/pdtc10/index.php?action=vallex&amp;frame=v-w1855f291_ZU", "mít (v-w1855f291_ZU) - substituted with v-w1855f335_ZU")</f>
        <v>mít (v-w1855f291_ZU) - substituted with v-w1855f335_ZU</v>
      </c>
    </row>
    <row r="14816" spans="1:3" x14ac:dyDescent="0.2">
      <c r="B14816" t="s">
        <v>1</v>
      </c>
    </row>
    <row r="14817" spans="1:3" x14ac:dyDescent="0.2">
      <c r="B14817" t="s">
        <v>4977</v>
      </c>
    </row>
    <row r="14819" spans="1:3" x14ac:dyDescent="0.2">
      <c r="A14819" t="s">
        <v>4976</v>
      </c>
      <c r="B14819" t="str">
        <f>HYPERLINK("https://lindat.mff.cuni.cz/services/teitok/pdtc10/index.php?action=vallex&amp;frame=v-w1855hsa_1112", "mít (v-w1855hsa_1112) - substituted with v-w1855f335_ZU")</f>
        <v>mít (v-w1855hsa_1112) - substituted with v-w1855f335_ZU</v>
      </c>
    </row>
    <row r="14820" spans="1:3" x14ac:dyDescent="0.2">
      <c r="B14820" t="s">
        <v>1</v>
      </c>
      <c r="C14820" t="s">
        <v>4980</v>
      </c>
    </row>
    <row r="14821" spans="1:3" x14ac:dyDescent="0.2">
      <c r="B14821" t="s">
        <v>4977</v>
      </c>
      <c r="C14821" t="s">
        <v>4911</v>
      </c>
    </row>
    <row r="14823" spans="1:3" x14ac:dyDescent="0.2">
      <c r="A14823" t="s">
        <v>4976</v>
      </c>
      <c r="B14823" t="str">
        <f>HYPERLINK("https://lindat.mff.cuni.cz/services/teitok/pdtc10/index.php?action=vallex&amp;frame=v-w1855hsa_975", "mít (v-w1855hsa_975) - substituted with v-w1855f335_ZU")</f>
        <v>mít (v-w1855hsa_975) - substituted with v-w1855f335_ZU</v>
      </c>
    </row>
    <row r="14824" spans="1:3" x14ac:dyDescent="0.2">
      <c r="B14824" t="s">
        <v>1</v>
      </c>
    </row>
    <row r="14825" spans="1:3" x14ac:dyDescent="0.2">
      <c r="B14825" t="s">
        <v>4977</v>
      </c>
    </row>
    <row r="14827" spans="1:3" x14ac:dyDescent="0.2">
      <c r="A14827" t="s">
        <v>4981</v>
      </c>
      <c r="B14827" t="str">
        <f>HYPERLINK("https://lindat.mff.cuni.cz/services/teitok/pdtc10/index.php?action=vallex&amp;frame=v-w1855f347_MM", "mít (v-w1855f347_MM)")</f>
        <v>mít (v-w1855f347_MM)</v>
      </c>
    </row>
    <row r="14828" spans="1:3" x14ac:dyDescent="0.2">
      <c r="B14828" t="s">
        <v>1</v>
      </c>
    </row>
    <row r="14829" spans="1:3" x14ac:dyDescent="0.2">
      <c r="B14829" t="s">
        <v>4982</v>
      </c>
    </row>
    <row r="14831" spans="1:3" x14ac:dyDescent="0.2">
      <c r="A14831" t="s">
        <v>4981</v>
      </c>
      <c r="B14831" t="str">
        <f>HYPERLINK("https://lindat.mff.cuni.cz/services/teitok/pdtc10/index.php?action=vallex&amp;frame=v-w1855f122_ZU", "mít (v-w1855f122_ZU) - substituted with v-w1855f347_MM")</f>
        <v>mít (v-w1855f122_ZU) - substituted with v-w1855f347_MM</v>
      </c>
    </row>
    <row r="14832" spans="1:3" x14ac:dyDescent="0.2">
      <c r="B14832" t="s">
        <v>1</v>
      </c>
      <c r="C14832" t="s">
        <v>4983</v>
      </c>
    </row>
    <row r="14833" spans="1:3" x14ac:dyDescent="0.2">
      <c r="B14833" t="s">
        <v>4982</v>
      </c>
      <c r="C14833" t="s">
        <v>4984</v>
      </c>
    </row>
    <row r="14835" spans="1:3" x14ac:dyDescent="0.2">
      <c r="A14835" t="s">
        <v>4981</v>
      </c>
      <c r="B14835" t="str">
        <f>HYPERLINK("https://lindat.mff.cuni.cz/services/teitok/pdtc10/index.php?action=vallex&amp;frame=v-w1855f215_ZU", "mít (v-w1855f215_ZU) - substituted with v-w1855f347_MM")</f>
        <v>mít (v-w1855f215_ZU) - substituted with v-w1855f347_MM</v>
      </c>
    </row>
    <row r="14836" spans="1:3" x14ac:dyDescent="0.2">
      <c r="B14836" t="s">
        <v>1</v>
      </c>
      <c r="C14836" t="s">
        <v>4985</v>
      </c>
    </row>
    <row r="14837" spans="1:3" x14ac:dyDescent="0.2">
      <c r="B14837" t="s">
        <v>4982</v>
      </c>
      <c r="C14837" t="s">
        <v>4986</v>
      </c>
    </row>
    <row r="14839" spans="1:3" x14ac:dyDescent="0.2">
      <c r="A14839" t="s">
        <v>4981</v>
      </c>
      <c r="B14839" t="str">
        <f>HYPERLINK("https://lindat.mff.cuni.cz/services/teitok/pdtc10/index.php?action=vallex&amp;frame=v-w1855f41", "mít (v-w1855f41) - substituted with v-w1855f347_MM")</f>
        <v>mít (v-w1855f41) - substituted with v-w1855f347_MM</v>
      </c>
    </row>
    <row r="14840" spans="1:3" x14ac:dyDescent="0.2">
      <c r="B14840" t="s">
        <v>1</v>
      </c>
      <c r="C14840" t="s">
        <v>2227</v>
      </c>
    </row>
    <row r="14841" spans="1:3" x14ac:dyDescent="0.2">
      <c r="B14841" t="s">
        <v>4982</v>
      </c>
      <c r="C14841" t="s">
        <v>4987</v>
      </c>
    </row>
    <row r="14843" spans="1:3" x14ac:dyDescent="0.2">
      <c r="A14843" t="s">
        <v>4981</v>
      </c>
      <c r="B14843" t="str">
        <f>HYPERLINK("https://lindat.mff.cuni.cz/services/teitok/pdtc10/index.php?action=vallex&amp;frame=v-w1855hsa_1116", "mít (v-w1855hsa_1116) - substituted with v-w1855f347_MM")</f>
        <v>mít (v-w1855hsa_1116) - substituted with v-w1855f347_MM</v>
      </c>
    </row>
    <row r="14844" spans="1:3" x14ac:dyDescent="0.2">
      <c r="B14844" t="s">
        <v>1</v>
      </c>
      <c r="C14844" t="s">
        <v>1086</v>
      </c>
    </row>
    <row r="14845" spans="1:3" x14ac:dyDescent="0.2">
      <c r="B14845" t="s">
        <v>4982</v>
      </c>
      <c r="C14845" t="s">
        <v>1963</v>
      </c>
    </row>
    <row r="14847" spans="1:3" x14ac:dyDescent="0.2">
      <c r="A14847" t="s">
        <v>4981</v>
      </c>
      <c r="B14847" t="str">
        <f>HYPERLINK("https://lindat.mff.cuni.cz/services/teitok/pdtc10/index.php?action=vallex&amp;frame=v-w1855hsa_976", "mít (v-w1855hsa_976) - substituted with v-w1855f347_MM")</f>
        <v>mít (v-w1855hsa_976) - substituted with v-w1855f347_MM</v>
      </c>
    </row>
    <row r="14848" spans="1:3" x14ac:dyDescent="0.2">
      <c r="B14848" t="s">
        <v>1</v>
      </c>
    </row>
    <row r="14849" spans="1:3" x14ac:dyDescent="0.2">
      <c r="B14849" t="s">
        <v>4982</v>
      </c>
    </row>
    <row r="14851" spans="1:3" x14ac:dyDescent="0.2">
      <c r="A14851" t="s">
        <v>4988</v>
      </c>
      <c r="B14851" t="str">
        <f>HYPERLINK("https://lindat.mff.cuni.cz/services/teitok/pdtc10/index.php?action=vallex&amp;frame=v-w1855f344_MM", "mít (v-w1855f344_MM)")</f>
        <v>mít (v-w1855f344_MM)</v>
      </c>
    </row>
    <row r="14852" spans="1:3" x14ac:dyDescent="0.2">
      <c r="B14852" t="s">
        <v>1</v>
      </c>
    </row>
    <row r="14853" spans="1:3" x14ac:dyDescent="0.2">
      <c r="B14853" t="s">
        <v>4989</v>
      </c>
    </row>
    <row r="14855" spans="1:3" x14ac:dyDescent="0.2">
      <c r="A14855" t="s">
        <v>4988</v>
      </c>
      <c r="B14855" t="str">
        <f>HYPERLINK("https://lindat.mff.cuni.cz/services/teitok/pdtc10/index.php?action=vallex&amp;frame=v-w1855f130_ZU", "mít (v-w1855f130_ZU) - substituted with v-w1855f344_MM")</f>
        <v>mít (v-w1855f130_ZU) - substituted with v-w1855f344_MM</v>
      </c>
    </row>
    <row r="14856" spans="1:3" x14ac:dyDescent="0.2">
      <c r="B14856" t="s">
        <v>1</v>
      </c>
      <c r="C14856" t="s">
        <v>4990</v>
      </c>
    </row>
    <row r="14857" spans="1:3" x14ac:dyDescent="0.2">
      <c r="B14857" t="s">
        <v>4989</v>
      </c>
      <c r="C14857" t="s">
        <v>4991</v>
      </c>
    </row>
    <row r="14859" spans="1:3" x14ac:dyDescent="0.2">
      <c r="A14859" t="s">
        <v>4988</v>
      </c>
      <c r="B14859" t="str">
        <f>HYPERLINK("https://lindat.mff.cuni.cz/services/teitok/pdtc10/index.php?action=vallex&amp;frame=v-w1855f303_ZU", "mít (v-w1855f303_ZU) - substituted with v-w1855f344_MM")</f>
        <v>mít (v-w1855f303_ZU) - substituted with v-w1855f344_MM</v>
      </c>
    </row>
    <row r="14860" spans="1:3" x14ac:dyDescent="0.2">
      <c r="B14860" t="s">
        <v>1</v>
      </c>
    </row>
    <row r="14861" spans="1:3" x14ac:dyDescent="0.2">
      <c r="B14861" t="s">
        <v>4989</v>
      </c>
    </row>
    <row r="14863" spans="1:3" x14ac:dyDescent="0.2">
      <c r="A14863" t="s">
        <v>4988</v>
      </c>
      <c r="B14863" t="str">
        <f>HYPERLINK("https://lindat.mff.cuni.cz/services/teitok/pdtc10/index.php?action=vallex&amp;frame=v-w1855f92_ZU", "mít (v-w1855f92_ZU) - substituted with v-w1855f344_MM")</f>
        <v>mít (v-w1855f92_ZU) - substituted with v-w1855f344_MM</v>
      </c>
    </row>
    <row r="14864" spans="1:3" x14ac:dyDescent="0.2">
      <c r="B14864" t="s">
        <v>1</v>
      </c>
      <c r="C14864" t="s">
        <v>4958</v>
      </c>
    </row>
    <row r="14865" spans="1:3" x14ac:dyDescent="0.2">
      <c r="B14865" t="s">
        <v>4989</v>
      </c>
      <c r="C14865" t="s">
        <v>4959</v>
      </c>
    </row>
    <row r="14867" spans="1:3" x14ac:dyDescent="0.2">
      <c r="A14867" t="s">
        <v>4988</v>
      </c>
      <c r="B14867" t="str">
        <f>HYPERLINK("https://lindat.mff.cuni.cz/services/teitok/pdtc10/index.php?action=vallex&amp;frame=v-w1855hsa_978", "mít (v-w1855hsa_978) - substituted with v-w1855f344_MM")</f>
        <v>mít (v-w1855hsa_978) - substituted with v-w1855f344_MM</v>
      </c>
    </row>
    <row r="14868" spans="1:3" x14ac:dyDescent="0.2">
      <c r="B14868" t="s">
        <v>1</v>
      </c>
    </row>
    <row r="14869" spans="1:3" x14ac:dyDescent="0.2">
      <c r="B14869" t="s">
        <v>4989</v>
      </c>
    </row>
    <row r="14871" spans="1:3" x14ac:dyDescent="0.2">
      <c r="A14871" t="s">
        <v>4992</v>
      </c>
      <c r="B14871" t="str">
        <f>HYPERLINK("https://lindat.mff.cuni.cz/services/teitok/pdtc10/index.php?action=vallex&amp;frame=v-w1855hsa_1125", "mít (v-w1855hsa_1125)")</f>
        <v>mít (v-w1855hsa_1125)</v>
      </c>
    </row>
    <row r="14872" spans="1:3" x14ac:dyDescent="0.2">
      <c r="B14872" t="s">
        <v>1</v>
      </c>
      <c r="C14872" t="s">
        <v>1086</v>
      </c>
    </row>
    <row r="14873" spans="1:3" x14ac:dyDescent="0.2">
      <c r="B14873" t="s">
        <v>4993</v>
      </c>
      <c r="C14873" t="s">
        <v>1963</v>
      </c>
    </row>
    <row r="14875" spans="1:3" x14ac:dyDescent="0.2">
      <c r="A14875" t="s">
        <v>4992</v>
      </c>
      <c r="B14875" t="str">
        <f>HYPERLINK("https://lindat.mff.cuni.cz/services/teitok/pdtc10/index.php?action=vallex&amp;frame=v-w1855f103_ZU", "mít (v-w1855f103_ZU) - substituted with v-w1855hsa_1125")</f>
        <v>mít (v-w1855f103_ZU) - substituted with v-w1855hsa_1125</v>
      </c>
    </row>
    <row r="14876" spans="1:3" x14ac:dyDescent="0.2">
      <c r="B14876" t="s">
        <v>1</v>
      </c>
      <c r="C14876" t="s">
        <v>4994</v>
      </c>
    </row>
    <row r="14877" spans="1:3" x14ac:dyDescent="0.2">
      <c r="B14877" t="s">
        <v>4993</v>
      </c>
      <c r="C14877" t="s">
        <v>4995</v>
      </c>
    </row>
    <row r="14879" spans="1:3" x14ac:dyDescent="0.2">
      <c r="A14879" t="s">
        <v>4992</v>
      </c>
      <c r="B14879" t="str">
        <f>HYPERLINK("https://lindat.mff.cuni.cz/services/teitok/pdtc10/index.php?action=vallex&amp;frame=v-w1855f12", "mít (v-w1855f12) - substituted with v-w1855hsa_1125")</f>
        <v>mít (v-w1855f12) - substituted with v-w1855hsa_1125</v>
      </c>
    </row>
    <row r="14880" spans="1:3" x14ac:dyDescent="0.2">
      <c r="B14880" t="s">
        <v>1</v>
      </c>
      <c r="C14880" t="s">
        <v>4996</v>
      </c>
    </row>
    <row r="14881" spans="1:3" x14ac:dyDescent="0.2">
      <c r="B14881" t="s">
        <v>4993</v>
      </c>
      <c r="C14881" t="s">
        <v>4997</v>
      </c>
    </row>
    <row r="14883" spans="1:3" x14ac:dyDescent="0.2">
      <c r="A14883" t="s">
        <v>4998</v>
      </c>
      <c r="B14883" t="str">
        <f>HYPERLINK("https://lindat.mff.cuni.cz/services/teitok/pdtc10/index.php?action=vallex&amp;frame=v-w1855f327_ZU", "mít (v-w1855f327_ZU)")</f>
        <v>mít (v-w1855f327_ZU)</v>
      </c>
    </row>
    <row r="14884" spans="1:3" x14ac:dyDescent="0.2">
      <c r="B14884" t="s">
        <v>1</v>
      </c>
    </row>
    <row r="14885" spans="1:3" x14ac:dyDescent="0.2">
      <c r="B14885" t="s">
        <v>4999</v>
      </c>
    </row>
    <row r="14887" spans="1:3" x14ac:dyDescent="0.2">
      <c r="A14887" t="s">
        <v>4998</v>
      </c>
      <c r="B14887" t="str">
        <f>HYPERLINK("https://lindat.mff.cuni.cz/services/teitok/pdtc10/index.php?action=vallex&amp;frame=v-w1855f123_ZU", "mít (v-w1855f123_ZU) - substituted with v-w1855f327_ZU")</f>
        <v>mít (v-w1855f123_ZU) - substituted with v-w1855f327_ZU</v>
      </c>
    </row>
    <row r="14888" spans="1:3" x14ac:dyDescent="0.2">
      <c r="B14888" t="s">
        <v>1</v>
      </c>
    </row>
    <row r="14889" spans="1:3" x14ac:dyDescent="0.2">
      <c r="B14889" t="s">
        <v>4999</v>
      </c>
    </row>
    <row r="14891" spans="1:3" x14ac:dyDescent="0.2">
      <c r="A14891" t="s">
        <v>4998</v>
      </c>
      <c r="B14891" t="str">
        <f>HYPERLINK("https://lindat.mff.cuni.cz/services/teitok/pdtc10/index.php?action=vallex&amp;frame=v-w1855hsa_1111", "mít (v-w1855hsa_1111) - substituted with v-w1855f327_ZU")</f>
        <v>mít (v-w1855hsa_1111) - substituted with v-w1855f327_ZU</v>
      </c>
    </row>
    <row r="14892" spans="1:3" x14ac:dyDescent="0.2">
      <c r="B14892" t="s">
        <v>1</v>
      </c>
      <c r="C14892" t="s">
        <v>5000</v>
      </c>
    </row>
    <row r="14893" spans="1:3" x14ac:dyDescent="0.2">
      <c r="B14893" t="s">
        <v>4999</v>
      </c>
      <c r="C14893" t="s">
        <v>5001</v>
      </c>
    </row>
    <row r="14895" spans="1:3" x14ac:dyDescent="0.2">
      <c r="A14895" t="s">
        <v>4998</v>
      </c>
      <c r="B14895" t="str">
        <f>HYPERLINK("https://lindat.mff.cuni.cz/services/teitok/pdtc10/index.php?action=vallex&amp;frame=v-w1855hsa_977", "mít (v-w1855hsa_977) - substituted with v-w1855f327_ZU")</f>
        <v>mít (v-w1855hsa_977) - substituted with v-w1855f327_ZU</v>
      </c>
    </row>
    <row r="14896" spans="1:3" x14ac:dyDescent="0.2">
      <c r="B14896" t="s">
        <v>1</v>
      </c>
    </row>
    <row r="14897" spans="1:3" x14ac:dyDescent="0.2">
      <c r="B14897" t="s">
        <v>4999</v>
      </c>
    </row>
    <row r="14899" spans="1:3" x14ac:dyDescent="0.2">
      <c r="A14899" t="s">
        <v>5002</v>
      </c>
      <c r="B14899" t="str">
        <f>HYPERLINK("https://lindat.mff.cuni.cz/services/teitok/pdtc10/index.php?action=vallex&amp;frame=v-w1855f121_ZU", "mít (v-w1855f121_ZU)")</f>
        <v>mít (v-w1855f121_ZU)</v>
      </c>
    </row>
    <row r="14900" spans="1:3" x14ac:dyDescent="0.2">
      <c r="B14900" t="s">
        <v>1</v>
      </c>
    </row>
    <row r="14901" spans="1:3" x14ac:dyDescent="0.2">
      <c r="B14901" t="s">
        <v>5003</v>
      </c>
    </row>
    <row r="14903" spans="1:3" x14ac:dyDescent="0.2">
      <c r="A14903" t="s">
        <v>5004</v>
      </c>
      <c r="B14903" t="str">
        <f>HYPERLINK("https://lindat.mff.cuni.cz/services/teitok/pdtc10/index.php?action=vallex&amp;frame=v-w1855f239_ZU", "mít (v-w1855f239_ZU)")</f>
        <v>mít (v-w1855f239_ZU)</v>
      </c>
    </row>
    <row r="14904" spans="1:3" x14ac:dyDescent="0.2">
      <c r="B14904" t="s">
        <v>1</v>
      </c>
    </row>
    <row r="14905" spans="1:3" x14ac:dyDescent="0.2">
      <c r="B14905" t="s">
        <v>5005</v>
      </c>
    </row>
    <row r="14907" spans="1:3" x14ac:dyDescent="0.2">
      <c r="A14907" t="s">
        <v>5004</v>
      </c>
      <c r="B14907" t="str">
        <f>HYPERLINK("https://lindat.mff.cuni.cz/services/teitok/pdtc10/index.php?action=vallex&amp;frame=v-w1855f162_ZU", "mít (v-w1855f162_ZU) - substituted with v-w1855f239_ZU")</f>
        <v>mít (v-w1855f162_ZU) - substituted with v-w1855f239_ZU</v>
      </c>
    </row>
    <row r="14908" spans="1:3" x14ac:dyDescent="0.2">
      <c r="B14908" t="s">
        <v>1</v>
      </c>
      <c r="C14908" t="s">
        <v>4886</v>
      </c>
    </row>
    <row r="14909" spans="1:3" x14ac:dyDescent="0.2">
      <c r="B14909" t="s">
        <v>5005</v>
      </c>
      <c r="C14909" t="s">
        <v>4887</v>
      </c>
    </row>
    <row r="14911" spans="1:3" x14ac:dyDescent="0.2">
      <c r="A14911" t="s">
        <v>5004</v>
      </c>
      <c r="B14911" t="str">
        <f>HYPERLINK("https://lindat.mff.cuni.cz/services/teitok/pdtc10/index.php?action=vallex&amp;frame=v-w1855f17", "mít (v-w1855f17) - substituted with v-w1855f239_ZU")</f>
        <v>mít (v-w1855f17) - substituted with v-w1855f239_ZU</v>
      </c>
    </row>
    <row r="14912" spans="1:3" x14ac:dyDescent="0.2">
      <c r="B14912" t="s">
        <v>1</v>
      </c>
      <c r="C14912" t="s">
        <v>5006</v>
      </c>
    </row>
    <row r="14913" spans="1:3" x14ac:dyDescent="0.2">
      <c r="B14913" t="s">
        <v>5005</v>
      </c>
      <c r="C14913" t="s">
        <v>5007</v>
      </c>
    </row>
    <row r="14915" spans="1:3" x14ac:dyDescent="0.2">
      <c r="A14915" t="s">
        <v>5004</v>
      </c>
      <c r="B14915" t="str">
        <f>HYPERLINK("https://lindat.mff.cuni.cz/services/teitok/pdtc10/index.php?action=vallex&amp;frame=v-w1855f203_ZU", "mít (v-w1855f203_ZU) - substituted with v-w1855f239_ZU")</f>
        <v>mít (v-w1855f203_ZU) - substituted with v-w1855f239_ZU</v>
      </c>
    </row>
    <row r="14916" spans="1:3" x14ac:dyDescent="0.2">
      <c r="B14916" t="s">
        <v>1</v>
      </c>
      <c r="C14916" t="s">
        <v>1086</v>
      </c>
    </row>
    <row r="14917" spans="1:3" x14ac:dyDescent="0.2">
      <c r="B14917" t="s">
        <v>5005</v>
      </c>
      <c r="C14917" t="s">
        <v>1963</v>
      </c>
    </row>
    <row r="14919" spans="1:3" x14ac:dyDescent="0.2">
      <c r="A14919" t="s">
        <v>5004</v>
      </c>
      <c r="B14919" t="str">
        <f>HYPERLINK("https://lindat.mff.cuni.cz/services/teitok/pdtc10/index.php?action=vallex&amp;frame=v-w1855hsa_968", "mít (v-w1855hsa_968) - substituted with v-w1855f239_ZU")</f>
        <v>mít (v-w1855hsa_968) - substituted with v-w1855f239_ZU</v>
      </c>
    </row>
    <row r="14920" spans="1:3" x14ac:dyDescent="0.2">
      <c r="B14920" t="s">
        <v>1</v>
      </c>
    </row>
    <row r="14921" spans="1:3" x14ac:dyDescent="0.2">
      <c r="B14921" t="s">
        <v>5005</v>
      </c>
    </row>
    <row r="14923" spans="1:3" x14ac:dyDescent="0.2">
      <c r="A14923" t="s">
        <v>5008</v>
      </c>
      <c r="B14923" t="str">
        <f>HYPERLINK("https://lindat.mff.cuni.cz/services/teitok/pdtc10/index.php?action=vallex&amp;frame=v-w1855f126_ZU", "mít (v-w1855f126_ZU)")</f>
        <v>mít (v-w1855f126_ZU)</v>
      </c>
    </row>
    <row r="14924" spans="1:3" x14ac:dyDescent="0.2">
      <c r="B14924" t="s">
        <v>1</v>
      </c>
      <c r="C14924" t="s">
        <v>5009</v>
      </c>
    </row>
    <row r="14925" spans="1:3" x14ac:dyDescent="0.2">
      <c r="B14925" t="s">
        <v>5010</v>
      </c>
      <c r="C14925" t="s">
        <v>5011</v>
      </c>
    </row>
    <row r="14927" spans="1:3" x14ac:dyDescent="0.2">
      <c r="A14927" t="s">
        <v>5012</v>
      </c>
      <c r="B14927" t="str">
        <f>HYPERLINK("https://lindat.mff.cuni.cz/services/teitok/pdtc10/index.php?action=vallex&amp;frame=v-w1855f127_ZU", "mít (v-w1855f127_ZU)")</f>
        <v>mít (v-w1855f127_ZU)</v>
      </c>
    </row>
    <row r="14928" spans="1:3" x14ac:dyDescent="0.2">
      <c r="B14928" t="s">
        <v>1</v>
      </c>
      <c r="C14928" t="s">
        <v>1086</v>
      </c>
    </row>
    <row r="14929" spans="1:3" x14ac:dyDescent="0.2">
      <c r="B14929" t="s">
        <v>5013</v>
      </c>
      <c r="C14929" t="s">
        <v>1963</v>
      </c>
    </row>
    <row r="14931" spans="1:3" x14ac:dyDescent="0.2">
      <c r="A14931" t="s">
        <v>5014</v>
      </c>
      <c r="B14931" t="str">
        <f>HYPERLINK("https://lindat.mff.cuni.cz/services/teitok/pdtc10/index.php?action=vallex&amp;frame=v-w1855f110_ZU", "mít (v-w1855f110_ZU)")</f>
        <v>mít (v-w1855f110_ZU)</v>
      </c>
    </row>
    <row r="14932" spans="1:3" x14ac:dyDescent="0.2">
      <c r="B14932" t="s">
        <v>1</v>
      </c>
      <c r="C14932" t="s">
        <v>5015</v>
      </c>
    </row>
    <row r="14933" spans="1:3" x14ac:dyDescent="0.2">
      <c r="B14933" t="s">
        <v>5016</v>
      </c>
      <c r="C14933" t="s">
        <v>5017</v>
      </c>
    </row>
    <row r="14935" spans="1:3" x14ac:dyDescent="0.2">
      <c r="A14935" t="s">
        <v>5018</v>
      </c>
      <c r="B14935" t="str">
        <f>HYPERLINK("https://lindat.mff.cuni.cz/services/teitok/pdtc10/index.php?action=vallex&amp;frame=v-w1855f94_ZU", "mít (v-w1855f94_ZU)")</f>
        <v>mít (v-w1855f94_ZU)</v>
      </c>
    </row>
    <row r="14936" spans="1:3" x14ac:dyDescent="0.2">
      <c r="B14936" t="s">
        <v>1</v>
      </c>
      <c r="C14936" t="s">
        <v>1895</v>
      </c>
    </row>
    <row r="14937" spans="1:3" x14ac:dyDescent="0.2">
      <c r="B14937" t="s">
        <v>5019</v>
      </c>
    </row>
    <row r="14939" spans="1:3" x14ac:dyDescent="0.2">
      <c r="A14939" t="s">
        <v>5020</v>
      </c>
      <c r="B14939" t="str">
        <f>HYPERLINK("https://lindat.mff.cuni.cz/services/teitok/pdtc10/index.php?action=vallex&amp;frame=v-w1855f104_ZU", "mít (v-w1855f104_ZU)")</f>
        <v>mít (v-w1855f104_ZU)</v>
      </c>
    </row>
    <row r="14940" spans="1:3" x14ac:dyDescent="0.2">
      <c r="B14940" t="s">
        <v>1</v>
      </c>
      <c r="C14940" t="s">
        <v>1086</v>
      </c>
    </row>
    <row r="14941" spans="1:3" x14ac:dyDescent="0.2">
      <c r="B14941" t="s">
        <v>5021</v>
      </c>
      <c r="C14941" t="s">
        <v>1963</v>
      </c>
    </row>
    <row r="14943" spans="1:3" x14ac:dyDescent="0.2">
      <c r="A14943" t="s">
        <v>5022</v>
      </c>
      <c r="B14943" t="str">
        <f>HYPERLINK("https://lindat.mff.cuni.cz/services/teitok/pdtc10/index.php?action=vallex&amp;frame=v-w1855hsa_1122", "mít (v-w1855hsa_1122)")</f>
        <v>mít (v-w1855hsa_1122)</v>
      </c>
    </row>
    <row r="14944" spans="1:3" x14ac:dyDescent="0.2">
      <c r="B14944" t="s">
        <v>1</v>
      </c>
      <c r="C14944" t="s">
        <v>5023</v>
      </c>
    </row>
    <row r="14945" spans="1:3" x14ac:dyDescent="0.2">
      <c r="B14945" t="s">
        <v>5024</v>
      </c>
      <c r="C14945" t="s">
        <v>5025</v>
      </c>
    </row>
    <row r="14947" spans="1:3" x14ac:dyDescent="0.2">
      <c r="A14947" t="s">
        <v>5022</v>
      </c>
      <c r="B14947" t="str">
        <f>HYPERLINK("https://lindat.mff.cuni.cz/services/teitok/pdtc10/index.php?action=vallex&amp;frame=v-w1855f116_ZU", "mít (v-w1855f116_ZU) - substituted with v-w1855hsa_1122")</f>
        <v>mít (v-w1855f116_ZU) - substituted with v-w1855hsa_1122</v>
      </c>
    </row>
    <row r="14948" spans="1:3" x14ac:dyDescent="0.2">
      <c r="B14948" t="s">
        <v>1</v>
      </c>
      <c r="C14948" t="s">
        <v>1086</v>
      </c>
    </row>
    <row r="14949" spans="1:3" x14ac:dyDescent="0.2">
      <c r="B14949" t="s">
        <v>5024</v>
      </c>
      <c r="C14949" t="s">
        <v>1963</v>
      </c>
    </row>
    <row r="14951" spans="1:3" x14ac:dyDescent="0.2">
      <c r="A14951" t="s">
        <v>5026</v>
      </c>
      <c r="B14951" t="str">
        <f>HYPERLINK("https://lindat.mff.cuni.cz/services/teitok/pdtc10/index.php?action=vallex&amp;frame=v-w1855f222_ZU", "mít (v-w1855f222_ZU)")</f>
        <v>mít (v-w1855f222_ZU)</v>
      </c>
    </row>
    <row r="14952" spans="1:3" x14ac:dyDescent="0.2">
      <c r="B14952" t="s">
        <v>1</v>
      </c>
      <c r="C14952" t="s">
        <v>1086</v>
      </c>
    </row>
    <row r="14953" spans="1:3" x14ac:dyDescent="0.2">
      <c r="B14953" t="s">
        <v>5027</v>
      </c>
      <c r="C14953" t="s">
        <v>1963</v>
      </c>
    </row>
    <row r="14955" spans="1:3" x14ac:dyDescent="0.2">
      <c r="A14955" t="s">
        <v>5026</v>
      </c>
      <c r="B14955" t="str">
        <f>HYPERLINK("https://lindat.mff.cuni.cz/services/teitok/pdtc10/index.php?action=vallex&amp;frame=v-w1855f150_ZU", "mít (v-w1855f150_ZU) - substituted with v-w1855f222_ZU")</f>
        <v>mít (v-w1855f150_ZU) - substituted with v-w1855f222_ZU</v>
      </c>
    </row>
    <row r="14956" spans="1:3" x14ac:dyDescent="0.2">
      <c r="B14956" t="s">
        <v>1</v>
      </c>
    </row>
    <row r="14957" spans="1:3" x14ac:dyDescent="0.2">
      <c r="B14957" t="s">
        <v>5027</v>
      </c>
    </row>
    <row r="14959" spans="1:3" x14ac:dyDescent="0.2">
      <c r="A14959" t="s">
        <v>5026</v>
      </c>
      <c r="B14959" t="str">
        <f>HYPERLINK("https://lindat.mff.cuni.cz/services/teitok/pdtc10/index.php?action=vallex&amp;frame=v-w1855f218_ZU", "mít (v-w1855f218_ZU) - substituted with v-w1855f222_ZU")</f>
        <v>mít (v-w1855f218_ZU) - substituted with v-w1855f222_ZU</v>
      </c>
    </row>
    <row r="14960" spans="1:3" x14ac:dyDescent="0.2">
      <c r="B14960" t="s">
        <v>1</v>
      </c>
    </row>
    <row r="14961" spans="1:3" x14ac:dyDescent="0.2">
      <c r="B14961" t="s">
        <v>5027</v>
      </c>
    </row>
    <row r="14963" spans="1:3" x14ac:dyDescent="0.2">
      <c r="A14963" t="s">
        <v>5026</v>
      </c>
      <c r="B14963" t="str">
        <f>HYPERLINK("https://lindat.mff.cuni.cz/services/teitok/pdtc10/index.php?action=vallex&amp;frame=v-w1855f220_ZU", "mít (v-w1855f220_ZU) - substituted with v-w1855f222_ZU")</f>
        <v>mít (v-w1855f220_ZU) - substituted with v-w1855f222_ZU</v>
      </c>
    </row>
    <row r="14964" spans="1:3" x14ac:dyDescent="0.2">
      <c r="B14964" t="s">
        <v>1</v>
      </c>
      <c r="C14964" t="s">
        <v>1086</v>
      </c>
    </row>
    <row r="14965" spans="1:3" x14ac:dyDescent="0.2">
      <c r="B14965" t="s">
        <v>5027</v>
      </c>
      <c r="C14965" t="s">
        <v>1963</v>
      </c>
    </row>
    <row r="14967" spans="1:3" x14ac:dyDescent="0.2">
      <c r="A14967" t="s">
        <v>5028</v>
      </c>
      <c r="B14967" t="str">
        <f>HYPERLINK("https://lindat.mff.cuni.cz/services/teitok/pdtc10/index.php?action=vallex&amp;frame=v-w1855f223_ZU", "mít (v-w1855f223_ZU)")</f>
        <v>mít (v-w1855f223_ZU)</v>
      </c>
    </row>
    <row r="14968" spans="1:3" x14ac:dyDescent="0.2">
      <c r="B14968" t="s">
        <v>1</v>
      </c>
    </row>
    <row r="14969" spans="1:3" x14ac:dyDescent="0.2">
      <c r="B14969" t="s">
        <v>5029</v>
      </c>
    </row>
    <row r="14971" spans="1:3" x14ac:dyDescent="0.2">
      <c r="A14971" t="s">
        <v>5028</v>
      </c>
      <c r="B14971" t="str">
        <f>HYPERLINK("https://lindat.mff.cuni.cz/services/teitok/pdtc10/index.php?action=vallex&amp;frame=v-w1855f101_ZU", "mít (v-w1855f101_ZU) - substituted with v-w1855f223_ZU")</f>
        <v>mít (v-w1855f101_ZU) - substituted with v-w1855f223_ZU</v>
      </c>
    </row>
    <row r="14972" spans="1:3" x14ac:dyDescent="0.2">
      <c r="B14972" t="s">
        <v>1</v>
      </c>
      <c r="C14972" t="s">
        <v>5030</v>
      </c>
    </row>
    <row r="14973" spans="1:3" x14ac:dyDescent="0.2">
      <c r="B14973" t="s">
        <v>5029</v>
      </c>
      <c r="C14973" t="s">
        <v>5031</v>
      </c>
    </row>
    <row r="14975" spans="1:3" x14ac:dyDescent="0.2">
      <c r="A14975" t="s">
        <v>5032</v>
      </c>
      <c r="B14975" t="str">
        <f>HYPERLINK("https://lindat.mff.cuni.cz/services/teitok/pdtc10/index.php?action=vallex&amp;frame=v-w1855f98_ZU", "mít (v-w1855f98_ZU)")</f>
        <v>mít (v-w1855f98_ZU)</v>
      </c>
    </row>
    <row r="14976" spans="1:3" x14ac:dyDescent="0.2">
      <c r="B14976" t="s">
        <v>1</v>
      </c>
      <c r="C14976" t="s">
        <v>5009</v>
      </c>
    </row>
    <row r="14977" spans="1:3" x14ac:dyDescent="0.2">
      <c r="B14977" t="s">
        <v>5033</v>
      </c>
      <c r="C14977" t="s">
        <v>5011</v>
      </c>
    </row>
    <row r="14979" spans="1:3" x14ac:dyDescent="0.2">
      <c r="A14979" t="s">
        <v>5032</v>
      </c>
      <c r="B14979" t="str">
        <f>HYPERLINK("https://lindat.mff.cuni.cz/services/teitok/pdtc10/index.php?action=vallex&amp;frame=v-w1855f97_ZU", "mít (v-w1855f97_ZU) - substituted with v-w1855f98_ZU")</f>
        <v>mít (v-w1855f97_ZU) - substituted with v-w1855f98_ZU</v>
      </c>
    </row>
    <row r="14980" spans="1:3" x14ac:dyDescent="0.2">
      <c r="B14980" t="s">
        <v>1</v>
      </c>
    </row>
    <row r="14981" spans="1:3" x14ac:dyDescent="0.2">
      <c r="B14981" t="s">
        <v>5033</v>
      </c>
    </row>
    <row r="14983" spans="1:3" x14ac:dyDescent="0.2">
      <c r="A14983" t="s">
        <v>5034</v>
      </c>
      <c r="B14983" t="str">
        <f>HYPERLINK("https://lindat.mff.cuni.cz/services/teitok/pdtc10/index.php?action=vallex&amp;frame=v-w1855f323_ZU", "mít (v-w1855f323_ZU)")</f>
        <v>mít (v-w1855f323_ZU)</v>
      </c>
    </row>
    <row r="14984" spans="1:3" x14ac:dyDescent="0.2">
      <c r="B14984" t="s">
        <v>1</v>
      </c>
    </row>
    <row r="14985" spans="1:3" x14ac:dyDescent="0.2">
      <c r="B14985" t="s">
        <v>5035</v>
      </c>
    </row>
    <row r="14987" spans="1:3" x14ac:dyDescent="0.2">
      <c r="A14987" t="s">
        <v>5034</v>
      </c>
      <c r="B14987" t="str">
        <f>HYPERLINK("https://lindat.mff.cuni.cz/services/teitok/pdtc10/index.php?action=vallex&amp;frame=v-w1855f142_ZU", "mít (v-w1855f142_ZU) - substituted with v-w1855f323_ZU")</f>
        <v>mít (v-w1855f142_ZU) - substituted with v-w1855f323_ZU</v>
      </c>
    </row>
    <row r="14988" spans="1:3" x14ac:dyDescent="0.2">
      <c r="B14988" t="s">
        <v>1</v>
      </c>
      <c r="C14988" t="s">
        <v>1086</v>
      </c>
    </row>
    <row r="14989" spans="1:3" x14ac:dyDescent="0.2">
      <c r="B14989" t="s">
        <v>5035</v>
      </c>
      <c r="C14989" t="s">
        <v>1963</v>
      </c>
    </row>
    <row r="14991" spans="1:3" x14ac:dyDescent="0.2">
      <c r="A14991" t="s">
        <v>5034</v>
      </c>
      <c r="B14991" t="str">
        <f>HYPERLINK("https://lindat.mff.cuni.cz/services/teitok/pdtc10/index.php?action=vallex&amp;frame=v-w1855f252_ZU", "mít (v-w1855f252_ZU) - substituted with v-w1855f323_ZU")</f>
        <v>mít (v-w1855f252_ZU) - substituted with v-w1855f323_ZU</v>
      </c>
    </row>
    <row r="14992" spans="1:3" x14ac:dyDescent="0.2">
      <c r="B14992" t="s">
        <v>1</v>
      </c>
    </row>
    <row r="14993" spans="1:3" x14ac:dyDescent="0.2">
      <c r="B14993" t="s">
        <v>5035</v>
      </c>
    </row>
    <row r="14995" spans="1:3" x14ac:dyDescent="0.2">
      <c r="A14995" t="s">
        <v>5036</v>
      </c>
      <c r="B14995" t="str">
        <f>HYPERLINK("https://lindat.mff.cuni.cz/services/teitok/pdtc10/index.php?action=vallex&amp;frame=v-w1855f135_ZU", "mít (v-w1855f135_ZU)")</f>
        <v>mít (v-w1855f135_ZU)</v>
      </c>
    </row>
    <row r="14996" spans="1:3" x14ac:dyDescent="0.2">
      <c r="B14996" t="s">
        <v>1</v>
      </c>
      <c r="C14996" t="s">
        <v>1086</v>
      </c>
    </row>
    <row r="14997" spans="1:3" x14ac:dyDescent="0.2">
      <c r="B14997" t="s">
        <v>5037</v>
      </c>
      <c r="C14997" t="s">
        <v>1963</v>
      </c>
    </row>
    <row r="14999" spans="1:3" x14ac:dyDescent="0.2">
      <c r="A14999" t="s">
        <v>5036</v>
      </c>
      <c r="B14999" t="str">
        <f>HYPERLINK("https://lindat.mff.cuni.cz/services/teitok/pdtc10/index.php?action=vallex&amp;frame=v-w1855f16", "mít (v-w1855f16) - substituted with v-w1855f135_ZU")</f>
        <v>mít (v-w1855f16) - substituted with v-w1855f135_ZU</v>
      </c>
    </row>
    <row r="15000" spans="1:3" x14ac:dyDescent="0.2">
      <c r="B15000" t="s">
        <v>1</v>
      </c>
      <c r="C15000" t="s">
        <v>5038</v>
      </c>
    </row>
    <row r="15001" spans="1:3" x14ac:dyDescent="0.2">
      <c r="B15001" t="s">
        <v>5037</v>
      </c>
      <c r="C15001" t="s">
        <v>5039</v>
      </c>
    </row>
    <row r="15003" spans="1:3" x14ac:dyDescent="0.2">
      <c r="A15003" t="s">
        <v>5040</v>
      </c>
      <c r="B15003" t="str">
        <f>HYPERLINK("https://lindat.mff.cuni.cz/services/teitok/pdtc10/index.php?action=vallex&amp;frame=v-w1855f109_ZU", "mít (v-w1855f109_ZU)")</f>
        <v>mít (v-w1855f109_ZU)</v>
      </c>
    </row>
    <row r="15004" spans="1:3" x14ac:dyDescent="0.2">
      <c r="B15004" t="s">
        <v>5041</v>
      </c>
      <c r="C15004" t="s">
        <v>4958</v>
      </c>
    </row>
    <row r="15005" spans="1:3" x14ac:dyDescent="0.2">
      <c r="B15005" t="s">
        <v>5041</v>
      </c>
      <c r="C15005" t="s">
        <v>4958</v>
      </c>
    </row>
    <row r="15006" spans="1:3" x14ac:dyDescent="0.2">
      <c r="B15006" t="s">
        <v>751</v>
      </c>
      <c r="C15006" t="s">
        <v>5042</v>
      </c>
    </row>
    <row r="15007" spans="1:3" x14ac:dyDescent="0.2">
      <c r="B15007" t="s">
        <v>172</v>
      </c>
    </row>
    <row r="15009" spans="1:2" x14ac:dyDescent="0.2">
      <c r="A15009" t="s">
        <v>5043</v>
      </c>
      <c r="B15009" t="str">
        <f>HYPERLINK("https://lindat.mff.cuni.cz/services/teitok/pdtc10/index.php?action=vallex&amp;frame=v-w1855f50", "mít (v-w1855f50)")</f>
        <v>mít (v-w1855f50)</v>
      </c>
    </row>
    <row r="15010" spans="1:2" x14ac:dyDescent="0.2">
      <c r="B15010" t="s">
        <v>1</v>
      </c>
    </row>
    <row r="15011" spans="1:2" x14ac:dyDescent="0.2">
      <c r="B15011" t="s">
        <v>5044</v>
      </c>
    </row>
    <row r="15012" spans="1:2" x14ac:dyDescent="0.2">
      <c r="B15012" t="s">
        <v>1417</v>
      </c>
    </row>
    <row r="15013" spans="1:2" x14ac:dyDescent="0.2">
      <c r="B15013" t="s">
        <v>35</v>
      </c>
    </row>
    <row r="15015" spans="1:2" x14ac:dyDescent="0.2">
      <c r="A15015" t="s">
        <v>5045</v>
      </c>
      <c r="B15015" t="str">
        <f>HYPERLINK("https://lindat.mff.cuni.cz/services/teitok/pdtc10/index.php?action=vallex&amp;frame=v-w1855f146_ZU", "mít (v-w1855f146_ZU)")</f>
        <v>mít (v-w1855f146_ZU)</v>
      </c>
    </row>
    <row r="15016" spans="1:2" x14ac:dyDescent="0.2">
      <c r="B15016" t="s">
        <v>1</v>
      </c>
    </row>
    <row r="15017" spans="1:2" x14ac:dyDescent="0.2">
      <c r="B15017" t="s">
        <v>5046</v>
      </c>
    </row>
    <row r="15018" spans="1:2" x14ac:dyDescent="0.2">
      <c r="B15018" t="s">
        <v>411</v>
      </c>
    </row>
    <row r="15019" spans="1:2" x14ac:dyDescent="0.2">
      <c r="B15019" t="s">
        <v>511</v>
      </c>
    </row>
    <row r="15021" spans="1:2" x14ac:dyDescent="0.2">
      <c r="A15021" t="s">
        <v>5045</v>
      </c>
      <c r="B15021" t="str">
        <f>HYPERLINK("https://lindat.mff.cuni.cz/services/teitok/pdtc10/index.php?action=vallex&amp;frame=v-w1855f145_ZU", "mít (v-w1855f145_ZU) - substituted with v-w1855f146_ZU")</f>
        <v>mít (v-w1855f145_ZU) - substituted with v-w1855f146_ZU</v>
      </c>
    </row>
    <row r="15022" spans="1:2" x14ac:dyDescent="0.2">
      <c r="B15022" t="s">
        <v>1</v>
      </c>
    </row>
    <row r="15023" spans="1:2" x14ac:dyDescent="0.2">
      <c r="B15023" t="s">
        <v>5046</v>
      </c>
    </row>
    <row r="15024" spans="1:2" x14ac:dyDescent="0.2">
      <c r="B15024" t="s">
        <v>411</v>
      </c>
    </row>
    <row r="15025" spans="1:4" x14ac:dyDescent="0.2">
      <c r="B15025" t="s">
        <v>511</v>
      </c>
    </row>
    <row r="15027" spans="1:4" x14ac:dyDescent="0.2">
      <c r="A15027" t="s">
        <v>5047</v>
      </c>
      <c r="B15027" t="str">
        <f>HYPERLINK("https://lindat.mff.cuni.cz/services/teitok/pdtc10/index.php?action=vallex&amp;frame=v-w1855f84", "mít (v-w1855f84)")</f>
        <v>mít (v-w1855f84)</v>
      </c>
    </row>
    <row r="15028" spans="1:4" x14ac:dyDescent="0.2">
      <c r="B15028" t="s">
        <v>1</v>
      </c>
    </row>
    <row r="15029" spans="1:4" x14ac:dyDescent="0.2">
      <c r="B15029" t="s">
        <v>5048</v>
      </c>
    </row>
    <row r="15030" spans="1:4" x14ac:dyDescent="0.2">
      <c r="B15030" t="s">
        <v>411</v>
      </c>
    </row>
    <row r="15032" spans="1:4" x14ac:dyDescent="0.2">
      <c r="A15032" t="s">
        <v>5049</v>
      </c>
      <c r="B15032" t="str">
        <f>HYPERLINK("https://lindat.mff.cuni.cz/services/teitok/pdtc10/index.php?action=vallex&amp;frame=v-w1855f85", "mít (v-w1855f85)")</f>
        <v>mít (v-w1855f85)</v>
      </c>
    </row>
    <row r="15033" spans="1:4" x14ac:dyDescent="0.2">
      <c r="B15033" t="s">
        <v>1</v>
      </c>
      <c r="C15033" t="s">
        <v>5050</v>
      </c>
      <c r="D15033" t="s">
        <v>23493</v>
      </c>
    </row>
    <row r="15034" spans="1:4" x14ac:dyDescent="0.2">
      <c r="B15034" t="s">
        <v>5051</v>
      </c>
      <c r="C15034" t="s">
        <v>5052</v>
      </c>
    </row>
    <row r="15035" spans="1:4" x14ac:dyDescent="0.2">
      <c r="B15035" t="s">
        <v>411</v>
      </c>
      <c r="D15035" t="s">
        <v>23494</v>
      </c>
    </row>
    <row r="15037" spans="1:4" x14ac:dyDescent="0.2">
      <c r="A15037" t="s">
        <v>5053</v>
      </c>
      <c r="B15037" t="str">
        <f>HYPERLINK("https://lindat.mff.cuni.cz/services/teitok/pdtc10/index.php?action=vallex&amp;frame=v-w1855f66", "mít (v-w1855f66)")</f>
        <v>mít (v-w1855f66)</v>
      </c>
    </row>
    <row r="15038" spans="1:4" x14ac:dyDescent="0.2">
      <c r="B15038" t="s">
        <v>1</v>
      </c>
    </row>
    <row r="15039" spans="1:4" x14ac:dyDescent="0.2">
      <c r="B15039" t="s">
        <v>5054</v>
      </c>
    </row>
    <row r="15040" spans="1:4" x14ac:dyDescent="0.2">
      <c r="B15040" t="s">
        <v>917</v>
      </c>
    </row>
    <row r="15042" spans="1:4" x14ac:dyDescent="0.2">
      <c r="A15042" t="s">
        <v>5055</v>
      </c>
      <c r="B15042" t="str">
        <f>HYPERLINK("https://lindat.mff.cuni.cz/services/teitok/pdtc10/index.php?action=vallex&amp;frame=v-w1855f11", "mít (v-w1855f11)")</f>
        <v>mít (v-w1855f11)</v>
      </c>
    </row>
    <row r="15043" spans="1:4" x14ac:dyDescent="0.2">
      <c r="B15043" t="s">
        <v>1</v>
      </c>
      <c r="C15043" t="s">
        <v>5056</v>
      </c>
      <c r="D15043" t="s">
        <v>23111</v>
      </c>
    </row>
    <row r="15044" spans="1:4" x14ac:dyDescent="0.2">
      <c r="B15044" t="s">
        <v>615</v>
      </c>
    </row>
    <row r="15045" spans="1:4" x14ac:dyDescent="0.2">
      <c r="B15045" t="s">
        <v>8</v>
      </c>
      <c r="C15045" t="s">
        <v>5057</v>
      </c>
      <c r="D15045" t="s">
        <v>23112</v>
      </c>
    </row>
    <row r="15047" spans="1:4" x14ac:dyDescent="0.2">
      <c r="A15047" t="s">
        <v>5058</v>
      </c>
      <c r="B15047" t="str">
        <f>HYPERLINK("https://lindat.mff.cuni.cz/services/teitok/pdtc10/index.php?action=vallex&amp;frame=v-w1855f23", "mít (v-w1855f23)")</f>
        <v>mít (v-w1855f23)</v>
      </c>
    </row>
    <row r="15048" spans="1:4" x14ac:dyDescent="0.2">
      <c r="B15048" t="s">
        <v>1</v>
      </c>
      <c r="C15048" t="s">
        <v>5059</v>
      </c>
      <c r="D15048" t="s">
        <v>22737</v>
      </c>
    </row>
    <row r="15049" spans="1:4" x14ac:dyDescent="0.2">
      <c r="B15049" t="s">
        <v>5060</v>
      </c>
      <c r="C15049" t="s">
        <v>397</v>
      </c>
    </row>
    <row r="15050" spans="1:4" x14ac:dyDescent="0.2">
      <c r="B15050" t="s">
        <v>124</v>
      </c>
      <c r="C15050" t="s">
        <v>5061</v>
      </c>
      <c r="D15050" t="s">
        <v>23487</v>
      </c>
    </row>
    <row r="15052" spans="1:4" x14ac:dyDescent="0.2">
      <c r="A15052" t="s">
        <v>5062</v>
      </c>
      <c r="B15052" t="str">
        <f>HYPERLINK("https://lindat.mff.cuni.cz/services/teitok/pdtc10/index.php?action=vallex&amp;frame=v-w1855f47", "mít (v-w1855f47)")</f>
        <v>mít (v-w1855f47)</v>
      </c>
    </row>
    <row r="15053" spans="1:4" x14ac:dyDescent="0.2">
      <c r="B15053" t="s">
        <v>1</v>
      </c>
      <c r="C15053" t="s">
        <v>5063</v>
      </c>
    </row>
    <row r="15054" spans="1:4" x14ac:dyDescent="0.2">
      <c r="B15054" t="s">
        <v>5064</v>
      </c>
      <c r="C15054" t="s">
        <v>5065</v>
      </c>
    </row>
    <row r="15055" spans="1:4" x14ac:dyDescent="0.2">
      <c r="B15055" t="s">
        <v>124</v>
      </c>
      <c r="C15055" t="s">
        <v>5066</v>
      </c>
    </row>
    <row r="15057" spans="1:2" x14ac:dyDescent="0.2">
      <c r="A15057" t="s">
        <v>5067</v>
      </c>
      <c r="B15057" t="str">
        <f>HYPERLINK("https://lindat.mff.cuni.cz/services/teitok/pdtc10/index.php?action=vallex&amp;frame=v-w1855f70", "mít (v-w1855f70)")</f>
        <v>mít (v-w1855f70)</v>
      </c>
    </row>
    <row r="15058" spans="1:2" x14ac:dyDescent="0.2">
      <c r="B15058" t="s">
        <v>1</v>
      </c>
    </row>
    <row r="15059" spans="1:2" x14ac:dyDescent="0.2">
      <c r="B15059" t="s">
        <v>5068</v>
      </c>
    </row>
    <row r="15060" spans="1:2" x14ac:dyDescent="0.2">
      <c r="B15060" t="s">
        <v>5069</v>
      </c>
    </row>
    <row r="15062" spans="1:2" x14ac:dyDescent="0.2">
      <c r="A15062" t="s">
        <v>5070</v>
      </c>
      <c r="B15062" t="str">
        <f>HYPERLINK("https://lindat.mff.cuni.cz/services/teitok/pdtc10/index.php?action=vallex&amp;frame=v-w1855f62", "mít (v-w1855f62)")</f>
        <v>mít (v-w1855f62)</v>
      </c>
    </row>
    <row r="15063" spans="1:2" x14ac:dyDescent="0.2">
      <c r="B15063" t="s">
        <v>1</v>
      </c>
    </row>
    <row r="15064" spans="1:2" x14ac:dyDescent="0.2">
      <c r="B15064" t="s">
        <v>5071</v>
      </c>
    </row>
    <row r="15065" spans="1:2" x14ac:dyDescent="0.2">
      <c r="B15065" t="s">
        <v>8</v>
      </c>
    </row>
    <row r="15067" spans="1:2" x14ac:dyDescent="0.2">
      <c r="A15067" t="s">
        <v>5072</v>
      </c>
      <c r="B15067" t="str">
        <f>HYPERLINK("https://lindat.mff.cuni.cz/services/teitok/pdtc10/index.php?action=vallex&amp;frame=v-w1855f298_ZU", "mít (v-w1855f298_ZU)")</f>
        <v>mít (v-w1855f298_ZU)</v>
      </c>
    </row>
    <row r="15068" spans="1:2" x14ac:dyDescent="0.2">
      <c r="B15068" t="s">
        <v>1</v>
      </c>
    </row>
    <row r="15069" spans="1:2" x14ac:dyDescent="0.2">
      <c r="B15069" t="s">
        <v>5073</v>
      </c>
    </row>
    <row r="15070" spans="1:2" x14ac:dyDescent="0.2">
      <c r="B15070" t="s">
        <v>5074</v>
      </c>
    </row>
    <row r="15072" spans="1:2" x14ac:dyDescent="0.2">
      <c r="A15072" t="s">
        <v>5072</v>
      </c>
      <c r="B15072" t="str">
        <f>HYPERLINK("https://lindat.mff.cuni.cz/services/teitok/pdtc10/index.php?action=vallex&amp;frame=v-w1855f28", "mít (v-w1855f28) - substituted with v-w1855f298_ZU")</f>
        <v>mít (v-w1855f28) - substituted with v-w1855f298_ZU</v>
      </c>
    </row>
    <row r="15073" spans="1:4" x14ac:dyDescent="0.2">
      <c r="B15073" t="s">
        <v>1</v>
      </c>
      <c r="C15073" t="s">
        <v>589</v>
      </c>
      <c r="D15073" t="s">
        <v>23495</v>
      </c>
    </row>
    <row r="15074" spans="1:4" x14ac:dyDescent="0.2">
      <c r="B15074" t="s">
        <v>5073</v>
      </c>
      <c r="C15074" t="s">
        <v>5075</v>
      </c>
    </row>
    <row r="15075" spans="1:4" x14ac:dyDescent="0.2">
      <c r="B15075" t="s">
        <v>5074</v>
      </c>
      <c r="D15075" t="s">
        <v>23127</v>
      </c>
    </row>
    <row r="15077" spans="1:4" x14ac:dyDescent="0.2">
      <c r="A15077" t="s">
        <v>5076</v>
      </c>
      <c r="B15077" t="str">
        <f>HYPERLINK("https://lindat.mff.cuni.cz/services/teitok/pdtc10/index.php?action=vallex&amp;frame=v-w1855f31", "mít (v-w1855f31)")</f>
        <v>mít (v-w1855f31)</v>
      </c>
    </row>
    <row r="15078" spans="1:4" x14ac:dyDescent="0.2">
      <c r="B15078" t="s">
        <v>1</v>
      </c>
      <c r="C15078" t="s">
        <v>5077</v>
      </c>
      <c r="D15078" t="s">
        <v>23496</v>
      </c>
    </row>
    <row r="15079" spans="1:4" x14ac:dyDescent="0.2">
      <c r="B15079" t="s">
        <v>5078</v>
      </c>
      <c r="C15079" t="s">
        <v>552</v>
      </c>
    </row>
    <row r="15080" spans="1:4" x14ac:dyDescent="0.2">
      <c r="B15080" t="s">
        <v>41</v>
      </c>
      <c r="C15080" t="s">
        <v>68</v>
      </c>
      <c r="D15080" t="s">
        <v>23497</v>
      </c>
    </row>
    <row r="15082" spans="1:4" x14ac:dyDescent="0.2">
      <c r="A15082" t="s">
        <v>5079</v>
      </c>
      <c r="B15082" t="str">
        <f>HYPERLINK("https://lindat.mff.cuni.cz/services/teitok/pdtc10/index.php?action=vallex&amp;frame=v-w1855f58", "mít (v-w1855f58)")</f>
        <v>mít (v-w1855f58)</v>
      </c>
    </row>
    <row r="15083" spans="1:4" x14ac:dyDescent="0.2">
      <c r="B15083" t="s">
        <v>1</v>
      </c>
    </row>
    <row r="15084" spans="1:4" x14ac:dyDescent="0.2">
      <c r="B15084" t="s">
        <v>5080</v>
      </c>
    </row>
    <row r="15085" spans="1:4" x14ac:dyDescent="0.2">
      <c r="B15085" t="s">
        <v>124</v>
      </c>
    </row>
    <row r="15087" spans="1:4" x14ac:dyDescent="0.2">
      <c r="A15087" t="s">
        <v>5081</v>
      </c>
      <c r="B15087" t="str">
        <f>HYPERLINK("https://lindat.mff.cuni.cz/services/teitok/pdtc10/index.php?action=vallex&amp;frame=v-w1855f88", "mít (v-w1855f88)")</f>
        <v>mít (v-w1855f88)</v>
      </c>
    </row>
    <row r="15088" spans="1:4" x14ac:dyDescent="0.2">
      <c r="B15088" t="s">
        <v>1</v>
      </c>
    </row>
    <row r="15089" spans="1:3" x14ac:dyDescent="0.2">
      <c r="B15089" t="s">
        <v>5082</v>
      </c>
    </row>
    <row r="15090" spans="1:3" x14ac:dyDescent="0.2">
      <c r="B15090" t="s">
        <v>917</v>
      </c>
    </row>
    <row r="15092" spans="1:3" x14ac:dyDescent="0.2">
      <c r="A15092" t="s">
        <v>5083</v>
      </c>
      <c r="B15092" t="str">
        <f>HYPERLINK("https://lindat.mff.cuni.cz/services/teitok/pdtc10/index.php?action=vallex&amp;frame=v-w1855f57", "mít (v-w1855f57)")</f>
        <v>mít (v-w1855f57)</v>
      </c>
    </row>
    <row r="15093" spans="1:3" x14ac:dyDescent="0.2">
      <c r="B15093" t="s">
        <v>1</v>
      </c>
      <c r="C15093" t="s">
        <v>230</v>
      </c>
    </row>
    <row r="15094" spans="1:3" x14ac:dyDescent="0.2">
      <c r="B15094" t="s">
        <v>5084</v>
      </c>
    </row>
    <row r="15095" spans="1:3" x14ac:dyDescent="0.2">
      <c r="B15095" t="s">
        <v>8</v>
      </c>
      <c r="C15095" t="s">
        <v>307</v>
      </c>
    </row>
    <row r="15097" spans="1:3" x14ac:dyDescent="0.2">
      <c r="A15097" t="s">
        <v>5085</v>
      </c>
      <c r="B15097" t="str">
        <f>HYPERLINK("https://lindat.mff.cuni.cz/services/teitok/pdtc10/index.php?action=vallex&amp;frame=v-w1855f48", "mít (v-w1855f48)")</f>
        <v>mít (v-w1855f48)</v>
      </c>
    </row>
    <row r="15098" spans="1:3" x14ac:dyDescent="0.2">
      <c r="B15098" t="s">
        <v>1</v>
      </c>
      <c r="C15098" t="s">
        <v>22</v>
      </c>
    </row>
    <row r="15099" spans="1:3" x14ac:dyDescent="0.2">
      <c r="B15099" t="s">
        <v>638</v>
      </c>
      <c r="C15099" t="s">
        <v>397</v>
      </c>
    </row>
    <row r="15100" spans="1:3" x14ac:dyDescent="0.2">
      <c r="B15100" t="s">
        <v>3766</v>
      </c>
      <c r="C15100" t="s">
        <v>54</v>
      </c>
    </row>
    <row r="15102" spans="1:3" x14ac:dyDescent="0.2">
      <c r="A15102" t="s">
        <v>5086</v>
      </c>
      <c r="B15102" t="str">
        <f>HYPERLINK("https://lindat.mff.cuni.cz/services/teitok/pdtc10/index.php?action=vallex&amp;frame=v-w1855f334_ZU", "mít (v-w1855f334_ZU)")</f>
        <v>mít (v-w1855f334_ZU)</v>
      </c>
    </row>
    <row r="15103" spans="1:3" x14ac:dyDescent="0.2">
      <c r="B15103" t="s">
        <v>1</v>
      </c>
    </row>
    <row r="15104" spans="1:3" x14ac:dyDescent="0.2">
      <c r="B15104" t="s">
        <v>5087</v>
      </c>
    </row>
    <row r="15105" spans="1:4" x14ac:dyDescent="0.2">
      <c r="B15105" t="s">
        <v>5088</v>
      </c>
    </row>
    <row r="15107" spans="1:4" x14ac:dyDescent="0.2">
      <c r="A15107" t="s">
        <v>5086</v>
      </c>
      <c r="B15107" t="str">
        <f>HYPERLINK("https://lindat.mff.cuni.cz/services/teitok/pdtc10/index.php?action=vallex&amp;frame=v-w1855f15", "mít (v-w1855f15) - substituted with v-w1855f334_ZU")</f>
        <v>mít (v-w1855f15) - substituted with v-w1855f334_ZU</v>
      </c>
    </row>
    <row r="15108" spans="1:4" x14ac:dyDescent="0.2">
      <c r="B15108" t="s">
        <v>1</v>
      </c>
      <c r="C15108" t="s">
        <v>5089</v>
      </c>
      <c r="D15108" t="s">
        <v>1566</v>
      </c>
    </row>
    <row r="15109" spans="1:4" x14ac:dyDescent="0.2">
      <c r="B15109" t="s">
        <v>5087</v>
      </c>
    </row>
    <row r="15110" spans="1:4" x14ac:dyDescent="0.2">
      <c r="B15110" t="s">
        <v>5088</v>
      </c>
      <c r="C15110" t="s">
        <v>5090</v>
      </c>
      <c r="D15110" t="s">
        <v>125</v>
      </c>
    </row>
    <row r="15112" spans="1:4" x14ac:dyDescent="0.2">
      <c r="A15112" t="s">
        <v>5086</v>
      </c>
      <c r="B15112" t="str">
        <f>HYPERLINK("https://lindat.mff.cuni.cz/services/teitok/pdtc10/index.php?action=vallex&amp;frame=v-w1855f242_ZU", "mít (v-w1855f242_ZU) - substituted with v-w1855f334_ZU")</f>
        <v>mít (v-w1855f242_ZU) - substituted with v-w1855f334_ZU</v>
      </c>
    </row>
    <row r="15113" spans="1:4" x14ac:dyDescent="0.2">
      <c r="B15113" t="s">
        <v>1</v>
      </c>
    </row>
    <row r="15114" spans="1:4" x14ac:dyDescent="0.2">
      <c r="B15114" t="s">
        <v>5087</v>
      </c>
    </row>
    <row r="15115" spans="1:4" x14ac:dyDescent="0.2">
      <c r="B15115" t="s">
        <v>5088</v>
      </c>
    </row>
    <row r="15117" spans="1:4" x14ac:dyDescent="0.2">
      <c r="A15117" t="s">
        <v>5086</v>
      </c>
      <c r="B15117" t="str">
        <f>HYPERLINK("https://lindat.mff.cuni.cz/services/teitok/pdtc10/index.php?action=vallex&amp;frame=v-w1855f254_ZU", "mít (v-w1855f254_ZU) - substituted with v-w1855f334_ZU")</f>
        <v>mít (v-w1855f254_ZU) - substituted with v-w1855f334_ZU</v>
      </c>
    </row>
    <row r="15118" spans="1:4" x14ac:dyDescent="0.2">
      <c r="B15118" t="s">
        <v>1</v>
      </c>
    </row>
    <row r="15119" spans="1:4" x14ac:dyDescent="0.2">
      <c r="B15119" t="s">
        <v>5087</v>
      </c>
    </row>
    <row r="15120" spans="1:4" x14ac:dyDescent="0.2">
      <c r="B15120" t="s">
        <v>5088</v>
      </c>
    </row>
    <row r="15122" spans="1:2" x14ac:dyDescent="0.2">
      <c r="A15122" t="s">
        <v>5086</v>
      </c>
      <c r="B15122" t="str">
        <f>HYPERLINK("https://lindat.mff.cuni.cz/services/teitok/pdtc10/index.php?action=vallex&amp;frame=v-w1855f294_ZU", "mít (v-w1855f294_ZU) - substituted with v-w1855f334_ZU")</f>
        <v>mít (v-w1855f294_ZU) - substituted with v-w1855f334_ZU</v>
      </c>
    </row>
    <row r="15123" spans="1:2" x14ac:dyDescent="0.2">
      <c r="B15123" t="s">
        <v>1</v>
      </c>
    </row>
    <row r="15124" spans="1:2" x14ac:dyDescent="0.2">
      <c r="B15124" t="s">
        <v>5087</v>
      </c>
    </row>
    <row r="15125" spans="1:2" x14ac:dyDescent="0.2">
      <c r="B15125" t="s">
        <v>5088</v>
      </c>
    </row>
    <row r="15127" spans="1:2" x14ac:dyDescent="0.2">
      <c r="A15127" t="s">
        <v>5086</v>
      </c>
      <c r="B15127" t="str">
        <f>HYPERLINK("https://lindat.mff.cuni.cz/services/teitok/pdtc10/index.php?action=vallex&amp;frame=v-w1855f320_ZU", "mít (v-w1855f320_ZU) - substituted with v-w1855f334_ZU")</f>
        <v>mít (v-w1855f320_ZU) - substituted with v-w1855f334_ZU</v>
      </c>
    </row>
    <row r="15128" spans="1:2" x14ac:dyDescent="0.2">
      <c r="B15128" t="s">
        <v>1</v>
      </c>
    </row>
    <row r="15129" spans="1:2" x14ac:dyDescent="0.2">
      <c r="B15129" t="s">
        <v>5087</v>
      </c>
    </row>
    <row r="15130" spans="1:2" x14ac:dyDescent="0.2">
      <c r="B15130" t="s">
        <v>5088</v>
      </c>
    </row>
    <row r="15132" spans="1:2" x14ac:dyDescent="0.2">
      <c r="A15132" t="s">
        <v>5086</v>
      </c>
      <c r="B15132" t="str">
        <f>HYPERLINK("https://lindat.mff.cuni.cz/services/teitok/pdtc10/index.php?action=vallex&amp;frame=v-w1855f331_ZU", "mít (v-w1855f331_ZU) - substituted with v-w1855f334_ZU")</f>
        <v>mít (v-w1855f331_ZU) - substituted with v-w1855f334_ZU</v>
      </c>
    </row>
    <row r="15133" spans="1:2" x14ac:dyDescent="0.2">
      <c r="B15133" t="s">
        <v>1</v>
      </c>
    </row>
    <row r="15134" spans="1:2" x14ac:dyDescent="0.2">
      <c r="B15134" t="s">
        <v>5087</v>
      </c>
    </row>
    <row r="15135" spans="1:2" x14ac:dyDescent="0.2">
      <c r="B15135" t="s">
        <v>5088</v>
      </c>
    </row>
    <row r="15137" spans="1:2" x14ac:dyDescent="0.2">
      <c r="A15137" t="s">
        <v>5091</v>
      </c>
      <c r="B15137" t="str">
        <f>HYPERLINK("https://lindat.mff.cuni.cz/services/teitok/pdtc10/index.php?action=vallex&amp;frame=v-w1855f60", "mít (v-w1855f60)")</f>
        <v>mít (v-w1855f60)</v>
      </c>
    </row>
    <row r="15138" spans="1:2" x14ac:dyDescent="0.2">
      <c r="B15138" t="s">
        <v>1</v>
      </c>
    </row>
    <row r="15139" spans="1:2" x14ac:dyDescent="0.2">
      <c r="B15139" t="s">
        <v>5092</v>
      </c>
    </row>
    <row r="15140" spans="1:2" x14ac:dyDescent="0.2">
      <c r="B15140" t="s">
        <v>28</v>
      </c>
    </row>
    <row r="15142" spans="1:2" x14ac:dyDescent="0.2">
      <c r="A15142" t="s">
        <v>5093</v>
      </c>
      <c r="B15142" t="str">
        <f>HYPERLINK("https://lindat.mff.cuni.cz/services/teitok/pdtc10/index.php?action=vallex&amp;frame=v-w1855f71", "mít (v-w1855f71)")</f>
        <v>mít (v-w1855f71)</v>
      </c>
    </row>
    <row r="15143" spans="1:2" x14ac:dyDescent="0.2">
      <c r="B15143" t="s">
        <v>1</v>
      </c>
    </row>
    <row r="15144" spans="1:2" x14ac:dyDescent="0.2">
      <c r="B15144" t="s">
        <v>642</v>
      </c>
    </row>
    <row r="15145" spans="1:2" x14ac:dyDescent="0.2">
      <c r="B15145" t="s">
        <v>8</v>
      </c>
    </row>
    <row r="15147" spans="1:2" x14ac:dyDescent="0.2">
      <c r="A15147" t="s">
        <v>5094</v>
      </c>
      <c r="B15147" t="str">
        <f>HYPERLINK("https://lindat.mff.cuni.cz/services/teitok/pdtc10/index.php?action=vallex&amp;frame=v-w1855f67", "mít (v-w1855f67)")</f>
        <v>mít (v-w1855f67)</v>
      </c>
    </row>
    <row r="15148" spans="1:2" x14ac:dyDescent="0.2">
      <c r="B15148" t="s">
        <v>1</v>
      </c>
    </row>
    <row r="15149" spans="1:2" x14ac:dyDescent="0.2">
      <c r="B15149" t="s">
        <v>5095</v>
      </c>
    </row>
    <row r="15150" spans="1:2" x14ac:dyDescent="0.2">
      <c r="B15150" t="s">
        <v>8</v>
      </c>
    </row>
    <row r="15152" spans="1:2" x14ac:dyDescent="0.2">
      <c r="A15152" t="s">
        <v>5096</v>
      </c>
      <c r="B15152" t="str">
        <f>HYPERLINK("https://lindat.mff.cuni.cz/services/teitok/pdtc10/index.php?action=vallex&amp;frame=v-w1855f64", "mít (v-w1855f64)")</f>
        <v>mít (v-w1855f64)</v>
      </c>
    </row>
    <row r="15153" spans="1:4" x14ac:dyDescent="0.2">
      <c r="B15153" t="s">
        <v>1</v>
      </c>
    </row>
    <row r="15154" spans="1:4" x14ac:dyDescent="0.2">
      <c r="B15154" t="s">
        <v>5097</v>
      </c>
    </row>
    <row r="15155" spans="1:4" x14ac:dyDescent="0.2">
      <c r="B15155" t="s">
        <v>8</v>
      </c>
    </row>
    <row r="15157" spans="1:4" x14ac:dyDescent="0.2">
      <c r="A15157" t="s">
        <v>5098</v>
      </c>
      <c r="B15157" t="str">
        <f>HYPERLINK("https://lindat.mff.cuni.cz/services/teitok/pdtc10/index.php?action=vallex&amp;frame=v-w1855f43", "mít (v-w1855f43)")</f>
        <v>mít (v-w1855f43)</v>
      </c>
    </row>
    <row r="15158" spans="1:4" x14ac:dyDescent="0.2">
      <c r="B15158" t="s">
        <v>1</v>
      </c>
      <c r="C15158" t="s">
        <v>5099</v>
      </c>
      <c r="D15158" t="s">
        <v>23491</v>
      </c>
    </row>
    <row r="15159" spans="1:4" x14ac:dyDescent="0.2">
      <c r="B15159" t="s">
        <v>5100</v>
      </c>
      <c r="C15159" t="s">
        <v>5101</v>
      </c>
    </row>
    <row r="15160" spans="1:4" x14ac:dyDescent="0.2">
      <c r="B15160" t="s">
        <v>5069</v>
      </c>
      <c r="C15160" t="s">
        <v>5102</v>
      </c>
      <c r="D15160" t="s">
        <v>23492</v>
      </c>
    </row>
    <row r="15162" spans="1:4" x14ac:dyDescent="0.2">
      <c r="A15162" t="s">
        <v>5103</v>
      </c>
      <c r="B15162" t="str">
        <f>HYPERLINK("https://lindat.mff.cuni.cz/services/teitok/pdtc10/index.php?action=vallex&amp;frame=v-w1855f86", "mít (v-w1855f86)")</f>
        <v>mít (v-w1855f86)</v>
      </c>
    </row>
    <row r="15163" spans="1:4" x14ac:dyDescent="0.2">
      <c r="B15163" t="s">
        <v>1</v>
      </c>
    </row>
    <row r="15164" spans="1:4" x14ac:dyDescent="0.2">
      <c r="B15164" t="s">
        <v>5104</v>
      </c>
    </row>
    <row r="15165" spans="1:4" x14ac:dyDescent="0.2">
      <c r="B15165" t="s">
        <v>8</v>
      </c>
    </row>
    <row r="15167" spans="1:4" x14ac:dyDescent="0.2">
      <c r="A15167" t="s">
        <v>5105</v>
      </c>
      <c r="B15167" t="str">
        <f>HYPERLINK("https://lindat.mff.cuni.cz/services/teitok/pdtc10/index.php?action=vallex&amp;frame=v-w1855f59", "mít (v-w1855f59)")</f>
        <v>mít (v-w1855f59)</v>
      </c>
    </row>
    <row r="15168" spans="1:4" x14ac:dyDescent="0.2">
      <c r="B15168" t="s">
        <v>1</v>
      </c>
    </row>
    <row r="15169" spans="1:3" x14ac:dyDescent="0.2">
      <c r="B15169" t="s">
        <v>5106</v>
      </c>
    </row>
    <row r="15170" spans="1:3" x14ac:dyDescent="0.2">
      <c r="B15170" t="s">
        <v>228</v>
      </c>
    </row>
    <row r="15172" spans="1:3" x14ac:dyDescent="0.2">
      <c r="A15172" t="s">
        <v>5107</v>
      </c>
      <c r="B15172" t="str">
        <f>HYPERLINK("https://lindat.mff.cuni.cz/services/teitok/pdtc10/index.php?action=vallex&amp;frame=v-w1855f63", "mít (v-w1855f63)")</f>
        <v>mít (v-w1855f63)</v>
      </c>
    </row>
    <row r="15173" spans="1:3" x14ac:dyDescent="0.2">
      <c r="B15173" t="s">
        <v>1</v>
      </c>
    </row>
    <row r="15174" spans="1:3" x14ac:dyDescent="0.2">
      <c r="B15174" t="s">
        <v>704</v>
      </c>
    </row>
    <row r="15175" spans="1:3" x14ac:dyDescent="0.2">
      <c r="B15175" t="s">
        <v>8</v>
      </c>
    </row>
    <row r="15177" spans="1:3" x14ac:dyDescent="0.2">
      <c r="A15177" t="s">
        <v>5108</v>
      </c>
      <c r="B15177" t="str">
        <f>HYPERLINK("https://lindat.mff.cuni.cz/services/teitok/pdtc10/index.php?action=vallex&amp;frame=v-w1855f61", "mít (v-w1855f61)")</f>
        <v>mít (v-w1855f61)</v>
      </c>
    </row>
    <row r="15178" spans="1:3" x14ac:dyDescent="0.2">
      <c r="B15178" t="s">
        <v>1</v>
      </c>
    </row>
    <row r="15179" spans="1:3" x14ac:dyDescent="0.2">
      <c r="B15179" t="s">
        <v>5109</v>
      </c>
    </row>
    <row r="15180" spans="1:3" x14ac:dyDescent="0.2">
      <c r="B15180" t="s">
        <v>8</v>
      </c>
    </row>
    <row r="15182" spans="1:3" x14ac:dyDescent="0.2">
      <c r="A15182" t="s">
        <v>5110</v>
      </c>
      <c r="B15182" t="str">
        <f>HYPERLINK("https://lindat.mff.cuni.cz/services/teitok/pdtc10/index.php?action=vallex&amp;frame=v-w1855f38", "mít (v-w1855f38)")</f>
        <v>mít (v-w1855f38)</v>
      </c>
    </row>
    <row r="15183" spans="1:3" x14ac:dyDescent="0.2">
      <c r="B15183" t="s">
        <v>1</v>
      </c>
      <c r="C15183" t="s">
        <v>1086</v>
      </c>
    </row>
    <row r="15184" spans="1:3" x14ac:dyDescent="0.2">
      <c r="B15184" t="s">
        <v>5111</v>
      </c>
    </row>
    <row r="15185" spans="1:4" x14ac:dyDescent="0.2">
      <c r="B15185" t="s">
        <v>8</v>
      </c>
      <c r="C15185" t="s">
        <v>1087</v>
      </c>
    </row>
    <row r="15187" spans="1:4" x14ac:dyDescent="0.2">
      <c r="A15187" t="s">
        <v>5112</v>
      </c>
      <c r="B15187" t="str">
        <f>HYPERLINK("https://lindat.mff.cuni.cz/services/teitok/pdtc10/index.php?action=vallex&amp;frame=v-w1855f89", "mít (v-w1855f89)")</f>
        <v>mít (v-w1855f89)</v>
      </c>
    </row>
    <row r="15188" spans="1:4" x14ac:dyDescent="0.2">
      <c r="B15188" t="s">
        <v>1</v>
      </c>
    </row>
    <row r="15189" spans="1:4" x14ac:dyDescent="0.2">
      <c r="B15189" t="s">
        <v>5113</v>
      </c>
    </row>
    <row r="15190" spans="1:4" x14ac:dyDescent="0.2">
      <c r="B15190" t="s">
        <v>8</v>
      </c>
    </row>
    <row r="15192" spans="1:4" x14ac:dyDescent="0.2">
      <c r="A15192" t="s">
        <v>5114</v>
      </c>
      <c r="B15192" t="str">
        <f>HYPERLINK("https://lindat.mff.cuni.cz/services/teitok/pdtc10/index.php?action=vallex&amp;frame=v-w1855f18", "mít (v-w1855f18)")</f>
        <v>mít (v-w1855f18)</v>
      </c>
    </row>
    <row r="15193" spans="1:4" x14ac:dyDescent="0.2">
      <c r="B15193" t="s">
        <v>1</v>
      </c>
      <c r="C15193" t="s">
        <v>5115</v>
      </c>
      <c r="D15193" t="s">
        <v>23491</v>
      </c>
    </row>
    <row r="15194" spans="1:4" x14ac:dyDescent="0.2">
      <c r="B15194" t="s">
        <v>5116</v>
      </c>
      <c r="C15194" t="s">
        <v>5117</v>
      </c>
    </row>
    <row r="15195" spans="1:4" x14ac:dyDescent="0.2">
      <c r="B15195" t="s">
        <v>5069</v>
      </c>
      <c r="C15195" t="s">
        <v>5118</v>
      </c>
      <c r="D15195" t="s">
        <v>23492</v>
      </c>
    </row>
    <row r="15197" spans="1:4" x14ac:dyDescent="0.2">
      <c r="A15197" t="s">
        <v>5119</v>
      </c>
      <c r="B15197" t="str">
        <f>HYPERLINK("https://lindat.mff.cuni.cz/services/teitok/pdtc10/index.php?action=vallex&amp;frame=v-w1855f87", "mít (v-w1855f87)")</f>
        <v>mít (v-w1855f87)</v>
      </c>
    </row>
    <row r="15198" spans="1:4" x14ac:dyDescent="0.2">
      <c r="B15198" t="s">
        <v>1</v>
      </c>
    </row>
    <row r="15199" spans="1:4" x14ac:dyDescent="0.2">
      <c r="B15199" t="s">
        <v>5120</v>
      </c>
    </row>
    <row r="15200" spans="1:4" x14ac:dyDescent="0.2">
      <c r="B15200" t="s">
        <v>8</v>
      </c>
    </row>
    <row r="15202" spans="1:4" x14ac:dyDescent="0.2">
      <c r="A15202" t="s">
        <v>5121</v>
      </c>
      <c r="B15202" t="str">
        <f>HYPERLINK("https://lindat.mff.cuni.cz/services/teitok/pdtc10/index.php?action=vallex&amp;frame=v-w1855f78", "mít (v-w1855f78)")</f>
        <v>mít (v-w1855f78)</v>
      </c>
    </row>
    <row r="15203" spans="1:4" x14ac:dyDescent="0.2">
      <c r="B15203" t="s">
        <v>1</v>
      </c>
    </row>
    <row r="15204" spans="1:4" x14ac:dyDescent="0.2">
      <c r="B15204" t="s">
        <v>5122</v>
      </c>
    </row>
    <row r="15205" spans="1:4" x14ac:dyDescent="0.2">
      <c r="B15205" t="s">
        <v>8</v>
      </c>
    </row>
    <row r="15207" spans="1:4" x14ac:dyDescent="0.2">
      <c r="A15207" t="s">
        <v>5123</v>
      </c>
      <c r="B15207" t="str">
        <f>HYPERLINK("https://lindat.mff.cuni.cz/services/teitok/pdtc10/index.php?action=vallex&amp;frame=v-w1855f42", "mít (v-w1855f42)")</f>
        <v>mít (v-w1855f42)</v>
      </c>
    </row>
    <row r="15208" spans="1:4" x14ac:dyDescent="0.2">
      <c r="B15208" t="s">
        <v>1</v>
      </c>
      <c r="C15208" t="s">
        <v>5124</v>
      </c>
      <c r="D15208" t="s">
        <v>23491</v>
      </c>
    </row>
    <row r="15209" spans="1:4" x14ac:dyDescent="0.2">
      <c r="B15209" t="s">
        <v>5125</v>
      </c>
    </row>
    <row r="15210" spans="1:4" x14ac:dyDescent="0.2">
      <c r="B15210" t="s">
        <v>228</v>
      </c>
      <c r="C15210" t="s">
        <v>5126</v>
      </c>
      <c r="D15210" t="s">
        <v>23492</v>
      </c>
    </row>
    <row r="15212" spans="1:4" x14ac:dyDescent="0.2">
      <c r="A15212" t="s">
        <v>5127</v>
      </c>
      <c r="B15212" t="str">
        <f>HYPERLINK("https://lindat.mff.cuni.cz/services/teitok/pdtc10/index.php?action=vallex&amp;frame=v-w1855f69", "mít (v-w1855f69)")</f>
        <v>mít (v-w1855f69)</v>
      </c>
    </row>
    <row r="15213" spans="1:4" x14ac:dyDescent="0.2">
      <c r="B15213" t="s">
        <v>1</v>
      </c>
      <c r="D15213" t="s">
        <v>23017</v>
      </c>
    </row>
    <row r="15214" spans="1:4" x14ac:dyDescent="0.2">
      <c r="B15214" t="s">
        <v>5128</v>
      </c>
    </row>
    <row r="15215" spans="1:4" x14ac:dyDescent="0.2">
      <c r="B15215" t="s">
        <v>41</v>
      </c>
      <c r="D15215" t="s">
        <v>23498</v>
      </c>
    </row>
    <row r="15217" spans="1:4" x14ac:dyDescent="0.2">
      <c r="A15217" t="s">
        <v>5129</v>
      </c>
      <c r="B15217" t="str">
        <f>HYPERLINK("https://lindat.mff.cuni.cz/services/teitok/pdtc10/index.php?action=vallex&amp;frame=v-w1855f83", "mít (v-w1855f83)")</f>
        <v>mít (v-w1855f83)</v>
      </c>
    </row>
    <row r="15218" spans="1:4" x14ac:dyDescent="0.2">
      <c r="B15218" t="s">
        <v>1</v>
      </c>
      <c r="D15218" t="s">
        <v>23017</v>
      </c>
    </row>
    <row r="15219" spans="1:4" x14ac:dyDescent="0.2">
      <c r="B15219" t="s">
        <v>5130</v>
      </c>
    </row>
    <row r="15220" spans="1:4" x14ac:dyDescent="0.2">
      <c r="B15220" t="s">
        <v>41</v>
      </c>
      <c r="D15220" t="s">
        <v>23498</v>
      </c>
    </row>
    <row r="15222" spans="1:4" x14ac:dyDescent="0.2">
      <c r="A15222" t="s">
        <v>5131</v>
      </c>
      <c r="B15222" t="str">
        <f>HYPERLINK("https://lindat.mff.cuni.cz/services/teitok/pdtc10/index.php?action=vallex&amp;frame=v-w1855f32", "mít (v-w1855f32)")</f>
        <v>mít (v-w1855f32)</v>
      </c>
    </row>
    <row r="15223" spans="1:4" x14ac:dyDescent="0.2">
      <c r="B15223" t="s">
        <v>1</v>
      </c>
      <c r="C15223" t="s">
        <v>5132</v>
      </c>
      <c r="D15223" t="s">
        <v>23017</v>
      </c>
    </row>
    <row r="15224" spans="1:4" x14ac:dyDescent="0.2">
      <c r="B15224" t="s">
        <v>5133</v>
      </c>
    </row>
    <row r="15225" spans="1:4" x14ac:dyDescent="0.2">
      <c r="B15225" t="s">
        <v>41</v>
      </c>
      <c r="C15225" t="s">
        <v>5134</v>
      </c>
      <c r="D15225" t="s">
        <v>23498</v>
      </c>
    </row>
    <row r="15227" spans="1:4" x14ac:dyDescent="0.2">
      <c r="A15227" t="s">
        <v>5135</v>
      </c>
      <c r="B15227" t="str">
        <f>HYPERLINK("https://lindat.mff.cuni.cz/services/teitok/pdtc10/index.php?action=vallex&amp;frame=v-w1855f33", "mít (v-w1855f33)")</f>
        <v>mít (v-w1855f33)</v>
      </c>
    </row>
    <row r="15228" spans="1:4" x14ac:dyDescent="0.2">
      <c r="B15228" t="s">
        <v>1</v>
      </c>
      <c r="C15228" t="s">
        <v>5136</v>
      </c>
      <c r="D15228" t="s">
        <v>23499</v>
      </c>
    </row>
    <row r="15229" spans="1:4" x14ac:dyDescent="0.2">
      <c r="B15229" t="s">
        <v>5137</v>
      </c>
    </row>
    <row r="15230" spans="1:4" x14ac:dyDescent="0.2">
      <c r="B15230" t="s">
        <v>41</v>
      </c>
      <c r="C15230" t="s">
        <v>121</v>
      </c>
      <c r="D15230" t="s">
        <v>23500</v>
      </c>
    </row>
    <row r="15232" spans="1:4" x14ac:dyDescent="0.2">
      <c r="A15232" t="s">
        <v>5138</v>
      </c>
      <c r="B15232" t="str">
        <f>HYPERLINK("https://lindat.mff.cuni.cz/services/teitok/pdtc10/index.php?action=vallex&amp;frame=v-w1855f56", "mít (v-w1855f56)")</f>
        <v>mít (v-w1855f56)</v>
      </c>
    </row>
    <row r="15233" spans="1:2" x14ac:dyDescent="0.2">
      <c r="B15233" t="s">
        <v>1</v>
      </c>
    </row>
    <row r="15234" spans="1:2" x14ac:dyDescent="0.2">
      <c r="B15234" t="s">
        <v>5139</v>
      </c>
    </row>
    <row r="15235" spans="1:2" x14ac:dyDescent="0.2">
      <c r="B15235" t="s">
        <v>917</v>
      </c>
    </row>
    <row r="15237" spans="1:2" x14ac:dyDescent="0.2">
      <c r="A15237" t="s">
        <v>5140</v>
      </c>
      <c r="B15237" t="str">
        <f>HYPERLINK("https://lindat.mff.cuni.cz/services/teitok/pdtc10/index.php?action=vallex&amp;frame=v-w1855f158_ZU", "mít (v-w1855f158_ZU)")</f>
        <v>mít (v-w1855f158_ZU)</v>
      </c>
    </row>
    <row r="15238" spans="1:2" x14ac:dyDescent="0.2">
      <c r="B15238" t="s">
        <v>1</v>
      </c>
    </row>
    <row r="15239" spans="1:2" x14ac:dyDescent="0.2">
      <c r="B15239" t="s">
        <v>5141</v>
      </c>
    </row>
    <row r="15240" spans="1:2" x14ac:dyDescent="0.2">
      <c r="B15240" t="s">
        <v>176</v>
      </c>
    </row>
    <row r="15242" spans="1:2" x14ac:dyDescent="0.2">
      <c r="A15242" t="s">
        <v>5142</v>
      </c>
      <c r="B15242" t="str">
        <f>HYPERLINK("https://lindat.mff.cuni.cz/services/teitok/pdtc10/index.php?action=vallex&amp;frame=v-w1855f151_ZU", "mít (v-w1855f151_ZU)")</f>
        <v>mít (v-w1855f151_ZU)</v>
      </c>
    </row>
    <row r="15243" spans="1:2" x14ac:dyDescent="0.2">
      <c r="B15243" t="s">
        <v>1</v>
      </c>
    </row>
    <row r="15244" spans="1:2" x14ac:dyDescent="0.2">
      <c r="B15244" t="s">
        <v>5143</v>
      </c>
    </row>
    <row r="15245" spans="1:2" x14ac:dyDescent="0.2">
      <c r="B15245" t="s">
        <v>8</v>
      </c>
    </row>
    <row r="15247" spans="1:2" x14ac:dyDescent="0.2">
      <c r="A15247" t="s">
        <v>5144</v>
      </c>
      <c r="B15247" t="str">
        <f>HYPERLINK("https://lindat.mff.cuni.cz/services/teitok/pdtc10/index.php?action=vallex&amp;frame=v-w1855f144_ZU", "mít (v-w1855f144_ZU)")</f>
        <v>mít (v-w1855f144_ZU)</v>
      </c>
    </row>
    <row r="15248" spans="1:2" x14ac:dyDescent="0.2">
      <c r="B15248" t="s">
        <v>1</v>
      </c>
    </row>
    <row r="15249" spans="1:4" x14ac:dyDescent="0.2">
      <c r="B15249" t="s">
        <v>5145</v>
      </c>
    </row>
    <row r="15250" spans="1:4" x14ac:dyDescent="0.2">
      <c r="B15250" t="s">
        <v>8</v>
      </c>
    </row>
    <row r="15252" spans="1:4" x14ac:dyDescent="0.2">
      <c r="A15252" t="s">
        <v>5146</v>
      </c>
      <c r="B15252" t="str">
        <f>HYPERLINK("https://lindat.mff.cuni.cz/services/teitok/pdtc10/index.php?action=vallex&amp;frame=v-w1855f114_ZU", "mít (v-w1855f114_ZU)")</f>
        <v>mít (v-w1855f114_ZU)</v>
      </c>
    </row>
    <row r="15253" spans="1:4" x14ac:dyDescent="0.2">
      <c r="B15253" t="s">
        <v>1</v>
      </c>
      <c r="C15253" t="s">
        <v>4968</v>
      </c>
    </row>
    <row r="15254" spans="1:4" x14ac:dyDescent="0.2">
      <c r="B15254" t="s">
        <v>5147</v>
      </c>
    </row>
    <row r="15255" spans="1:4" x14ac:dyDescent="0.2">
      <c r="B15255" t="s">
        <v>8</v>
      </c>
      <c r="C15255" t="s">
        <v>5148</v>
      </c>
    </row>
    <row r="15257" spans="1:4" x14ac:dyDescent="0.2">
      <c r="A15257" t="s">
        <v>5149</v>
      </c>
      <c r="B15257" t="str">
        <f>HYPERLINK("https://lindat.mff.cuni.cz/services/teitok/pdtc10/index.php?action=vallex&amp;frame=v-w1855f147_ZU", "mít (v-w1855f147_ZU)")</f>
        <v>mít (v-w1855f147_ZU)</v>
      </c>
    </row>
    <row r="15258" spans="1:4" x14ac:dyDescent="0.2">
      <c r="B15258" t="s">
        <v>1</v>
      </c>
    </row>
    <row r="15259" spans="1:4" x14ac:dyDescent="0.2">
      <c r="B15259" t="s">
        <v>5150</v>
      </c>
    </row>
    <row r="15260" spans="1:4" x14ac:dyDescent="0.2">
      <c r="B15260" t="s">
        <v>8</v>
      </c>
    </row>
    <row r="15262" spans="1:4" x14ac:dyDescent="0.2">
      <c r="A15262" t="s">
        <v>5151</v>
      </c>
      <c r="B15262" t="str">
        <f>HYPERLINK("https://lindat.mff.cuni.cz/services/teitok/pdtc10/index.php?action=vallex&amp;frame=v-w1855f133_ZU", "mít (v-w1855f133_ZU)")</f>
        <v>mít (v-w1855f133_ZU)</v>
      </c>
    </row>
    <row r="15263" spans="1:4" x14ac:dyDescent="0.2">
      <c r="B15263" t="s">
        <v>1</v>
      </c>
      <c r="D15263" t="s">
        <v>23017</v>
      </c>
    </row>
    <row r="15264" spans="1:4" x14ac:dyDescent="0.2">
      <c r="B15264" t="s">
        <v>5152</v>
      </c>
    </row>
    <row r="15265" spans="1:4" x14ac:dyDescent="0.2">
      <c r="B15265" t="s">
        <v>41</v>
      </c>
      <c r="D15265" t="s">
        <v>23498</v>
      </c>
    </row>
    <row r="15267" spans="1:4" x14ac:dyDescent="0.2">
      <c r="A15267" t="s">
        <v>5153</v>
      </c>
      <c r="B15267" t="str">
        <f>HYPERLINK("https://lindat.mff.cuni.cz/services/teitok/pdtc10/index.php?action=vallex&amp;frame=v-w1855f73", "mít (v-w1855f73)")</f>
        <v>mít (v-w1855f73)</v>
      </c>
    </row>
    <row r="15268" spans="1:4" x14ac:dyDescent="0.2">
      <c r="B15268" t="s">
        <v>1</v>
      </c>
    </row>
    <row r="15269" spans="1:4" x14ac:dyDescent="0.2">
      <c r="B15269" t="s">
        <v>5154</v>
      </c>
    </row>
    <row r="15270" spans="1:4" x14ac:dyDescent="0.2">
      <c r="B15270" t="s">
        <v>5</v>
      </c>
    </row>
    <row r="15272" spans="1:4" x14ac:dyDescent="0.2">
      <c r="A15272" t="s">
        <v>5155</v>
      </c>
      <c r="B15272" t="str">
        <f>HYPERLINK("https://lindat.mff.cuni.cz/services/teitok/pdtc10/index.php?action=vallex&amp;frame=v-w1855f131_ZU", "mít (v-w1855f131_ZU)")</f>
        <v>mít (v-w1855f131_ZU)</v>
      </c>
    </row>
    <row r="15273" spans="1:4" x14ac:dyDescent="0.2">
      <c r="B15273" t="s">
        <v>1</v>
      </c>
      <c r="C15273" t="s">
        <v>1086</v>
      </c>
    </row>
    <row r="15274" spans="1:4" x14ac:dyDescent="0.2">
      <c r="B15274" t="s">
        <v>751</v>
      </c>
      <c r="C15274" t="s">
        <v>5156</v>
      </c>
    </row>
    <row r="15275" spans="1:4" x14ac:dyDescent="0.2">
      <c r="B15275" t="s">
        <v>511</v>
      </c>
    </row>
    <row r="15277" spans="1:4" x14ac:dyDescent="0.2">
      <c r="A15277" t="s">
        <v>5157</v>
      </c>
      <c r="B15277" t="str">
        <f>HYPERLINK("https://lindat.mff.cuni.cz/services/teitok/pdtc10/index.php?action=vallex&amp;frame=v-w1855f79", "mít (v-w1855f79)")</f>
        <v>mít (v-w1855f79)</v>
      </c>
    </row>
    <row r="15278" spans="1:4" x14ac:dyDescent="0.2">
      <c r="B15278" t="s">
        <v>1</v>
      </c>
    </row>
    <row r="15279" spans="1:4" x14ac:dyDescent="0.2">
      <c r="B15279" t="s">
        <v>5158</v>
      </c>
    </row>
    <row r="15281" spans="1:2" x14ac:dyDescent="0.2">
      <c r="A15281" t="s">
        <v>5159</v>
      </c>
      <c r="B15281" t="str">
        <f>HYPERLINK("https://lindat.mff.cuni.cz/services/teitok/pdtc10/index.php?action=vallex&amp;frame=v-w1855f68", "mít (v-w1855f68)")</f>
        <v>mít (v-w1855f68)</v>
      </c>
    </row>
    <row r="15282" spans="1:2" x14ac:dyDescent="0.2">
      <c r="B15282" t="s">
        <v>1</v>
      </c>
    </row>
    <row r="15283" spans="1:2" x14ac:dyDescent="0.2">
      <c r="B15283" t="s">
        <v>5160</v>
      </c>
    </row>
    <row r="15285" spans="1:2" x14ac:dyDescent="0.2">
      <c r="A15285" t="s">
        <v>5161</v>
      </c>
      <c r="B15285" t="str">
        <f>HYPERLINK("https://lindat.mff.cuni.cz/services/teitok/pdtc10/index.php?action=vallex&amp;frame=v-w1855f46", "mít (v-w1855f46)")</f>
        <v>mít (v-w1855f46)</v>
      </c>
    </row>
    <row r="15286" spans="1:2" x14ac:dyDescent="0.2">
      <c r="B15286" t="s">
        <v>1</v>
      </c>
    </row>
    <row r="15287" spans="1:2" x14ac:dyDescent="0.2">
      <c r="B15287" t="s">
        <v>5162</v>
      </c>
    </row>
    <row r="15289" spans="1:2" x14ac:dyDescent="0.2">
      <c r="A15289" t="s">
        <v>5163</v>
      </c>
      <c r="B15289" t="str">
        <f>HYPERLINK("https://lindat.mff.cuni.cz/services/teitok/pdtc10/index.php?action=vallex&amp;frame=v-w1855f44", "mít (v-w1855f44)")</f>
        <v>mít (v-w1855f44)</v>
      </c>
    </row>
    <row r="15290" spans="1:2" x14ac:dyDescent="0.2">
      <c r="B15290" t="s">
        <v>1</v>
      </c>
    </row>
    <row r="15291" spans="1:2" x14ac:dyDescent="0.2">
      <c r="B15291" t="s">
        <v>5164</v>
      </c>
    </row>
    <row r="15293" spans="1:2" x14ac:dyDescent="0.2">
      <c r="A15293" t="s">
        <v>5165</v>
      </c>
      <c r="B15293" t="str">
        <f>HYPERLINK("https://lindat.mff.cuni.cz/services/teitok/pdtc10/index.php?action=vallex&amp;frame=v-w1855f80", "mít (v-w1855f80)")</f>
        <v>mít (v-w1855f80)</v>
      </c>
    </row>
    <row r="15294" spans="1:2" x14ac:dyDescent="0.2">
      <c r="B15294" t="s">
        <v>1</v>
      </c>
    </row>
    <row r="15295" spans="1:2" x14ac:dyDescent="0.2">
      <c r="B15295" t="s">
        <v>5166</v>
      </c>
    </row>
    <row r="15297" spans="1:2" x14ac:dyDescent="0.2">
      <c r="A15297" t="s">
        <v>5167</v>
      </c>
      <c r="B15297" t="str">
        <f>HYPERLINK("https://lindat.mff.cuni.cz/services/teitok/pdtc10/index.php?action=vallex&amp;frame=v-w1855f74", "mít (v-w1855f74)")</f>
        <v>mít (v-w1855f74)</v>
      </c>
    </row>
    <row r="15298" spans="1:2" x14ac:dyDescent="0.2">
      <c r="B15298" t="s">
        <v>1</v>
      </c>
    </row>
    <row r="15299" spans="1:2" x14ac:dyDescent="0.2">
      <c r="B15299" t="s">
        <v>5168</v>
      </c>
    </row>
    <row r="15301" spans="1:2" x14ac:dyDescent="0.2">
      <c r="A15301" t="s">
        <v>5169</v>
      </c>
      <c r="B15301" t="str">
        <f>HYPERLINK("https://lindat.mff.cuni.cz/services/teitok/pdtc10/index.php?action=vallex&amp;frame=v-w1855f65", "mít (v-w1855f65)")</f>
        <v>mít (v-w1855f65)</v>
      </c>
    </row>
    <row r="15302" spans="1:2" x14ac:dyDescent="0.2">
      <c r="B15302" t="s">
        <v>1</v>
      </c>
    </row>
    <row r="15303" spans="1:2" x14ac:dyDescent="0.2">
      <c r="B15303" t="s">
        <v>5170</v>
      </c>
    </row>
    <row r="15305" spans="1:2" x14ac:dyDescent="0.2">
      <c r="A15305" t="s">
        <v>5171</v>
      </c>
      <c r="B15305" t="str">
        <f>HYPERLINK("https://lindat.mff.cuni.cz/services/teitok/pdtc10/index.php?action=vallex&amp;frame=v-w1855f55", "mít (v-w1855f55)")</f>
        <v>mít (v-w1855f55)</v>
      </c>
    </row>
    <row r="15306" spans="1:2" x14ac:dyDescent="0.2">
      <c r="B15306" t="s">
        <v>1</v>
      </c>
    </row>
    <row r="15307" spans="1:2" x14ac:dyDescent="0.2">
      <c r="B15307" t="s">
        <v>5172</v>
      </c>
    </row>
    <row r="15309" spans="1:2" x14ac:dyDescent="0.2">
      <c r="A15309" t="s">
        <v>5173</v>
      </c>
      <c r="B15309" t="str">
        <f>HYPERLINK("https://lindat.mff.cuni.cz/services/teitok/pdtc10/index.php?action=vallex&amp;frame=v-w1855f51", "mít (v-w1855f51)")</f>
        <v>mít (v-w1855f51)</v>
      </c>
    </row>
    <row r="15310" spans="1:2" x14ac:dyDescent="0.2">
      <c r="B15310" t="s">
        <v>1</v>
      </c>
    </row>
    <row r="15311" spans="1:2" x14ac:dyDescent="0.2">
      <c r="B15311" t="s">
        <v>5174</v>
      </c>
    </row>
    <row r="15313" spans="1:3" x14ac:dyDescent="0.2">
      <c r="A15313" t="s">
        <v>5175</v>
      </c>
      <c r="B15313" t="str">
        <f>HYPERLINK("https://lindat.mff.cuni.cz/services/teitok/pdtc10/index.php?action=vallex&amp;frame=v-w1855f76", "mít (v-w1855f76)")</f>
        <v>mít (v-w1855f76)</v>
      </c>
    </row>
    <row r="15314" spans="1:3" x14ac:dyDescent="0.2">
      <c r="B15314" t="s">
        <v>1</v>
      </c>
    </row>
    <row r="15315" spans="1:3" x14ac:dyDescent="0.2">
      <c r="B15315" t="s">
        <v>5176</v>
      </c>
    </row>
    <row r="15317" spans="1:3" x14ac:dyDescent="0.2">
      <c r="A15317" t="s">
        <v>5177</v>
      </c>
      <c r="B15317" t="str">
        <f>HYPERLINK("https://lindat.mff.cuni.cz/services/teitok/pdtc10/index.php?action=vallex&amp;frame=v-w1855f82", "mít (v-w1855f82)")</f>
        <v>mít (v-w1855f82)</v>
      </c>
    </row>
    <row r="15318" spans="1:3" x14ac:dyDescent="0.2">
      <c r="B15318" t="s">
        <v>1</v>
      </c>
    </row>
    <row r="15319" spans="1:3" x14ac:dyDescent="0.2">
      <c r="B15319" t="s">
        <v>5178</v>
      </c>
    </row>
    <row r="15321" spans="1:3" x14ac:dyDescent="0.2">
      <c r="A15321" t="s">
        <v>5179</v>
      </c>
      <c r="B15321" t="str">
        <f>HYPERLINK("https://lindat.mff.cuni.cz/services/teitok/pdtc10/index.php?action=vallex&amp;frame=v-w1855f29", "mít (v-w1855f29)")</f>
        <v>mít (v-w1855f29)</v>
      </c>
    </row>
    <row r="15322" spans="1:3" x14ac:dyDescent="0.2">
      <c r="B15322" t="s">
        <v>1</v>
      </c>
      <c r="C15322" t="s">
        <v>1086</v>
      </c>
    </row>
    <row r="15323" spans="1:3" x14ac:dyDescent="0.2">
      <c r="B15323" t="s">
        <v>5180</v>
      </c>
      <c r="C15323" t="s">
        <v>5156</v>
      </c>
    </row>
    <row r="15325" spans="1:3" x14ac:dyDescent="0.2">
      <c r="A15325" t="s">
        <v>5181</v>
      </c>
      <c r="B15325" t="str">
        <f>HYPERLINK("https://lindat.mff.cuni.cz/services/teitok/pdtc10/index.php?action=vallex&amp;frame=v-w1855f77", "mít (v-w1855f77)")</f>
        <v>mít (v-w1855f77)</v>
      </c>
    </row>
    <row r="15326" spans="1:3" x14ac:dyDescent="0.2">
      <c r="B15326" t="s">
        <v>1</v>
      </c>
    </row>
    <row r="15327" spans="1:3" x14ac:dyDescent="0.2">
      <c r="B15327" t="s">
        <v>5182</v>
      </c>
    </row>
    <row r="15329" spans="1:3" x14ac:dyDescent="0.2">
      <c r="A15329" t="s">
        <v>5183</v>
      </c>
      <c r="B15329" t="str">
        <f>HYPERLINK("https://lindat.mff.cuni.cz/services/teitok/pdtc10/index.php?action=vallex&amp;frame=v-w1855f37", "mít (v-w1855f37)")</f>
        <v>mít (v-w1855f37)</v>
      </c>
    </row>
    <row r="15330" spans="1:3" x14ac:dyDescent="0.2">
      <c r="B15330" t="s">
        <v>1</v>
      </c>
      <c r="C15330" t="s">
        <v>5184</v>
      </c>
    </row>
    <row r="15331" spans="1:3" x14ac:dyDescent="0.2">
      <c r="B15331" t="s">
        <v>5185</v>
      </c>
      <c r="C15331" t="s">
        <v>5186</v>
      </c>
    </row>
    <row r="15333" spans="1:3" x14ac:dyDescent="0.2">
      <c r="A15333" t="s">
        <v>5187</v>
      </c>
      <c r="B15333" t="str">
        <f>HYPERLINK("https://lindat.mff.cuni.cz/services/teitok/pdtc10/index.php?action=vallex&amp;frame=v-w1855f52", "mít (v-w1855f52)")</f>
        <v>mít (v-w1855f52)</v>
      </c>
    </row>
    <row r="15334" spans="1:3" x14ac:dyDescent="0.2">
      <c r="B15334" t="s">
        <v>1</v>
      </c>
    </row>
    <row r="15335" spans="1:3" x14ac:dyDescent="0.2">
      <c r="B15335" t="s">
        <v>1984</v>
      </c>
    </row>
    <row r="15337" spans="1:3" x14ac:dyDescent="0.2">
      <c r="A15337" t="s">
        <v>5188</v>
      </c>
      <c r="B15337" t="str">
        <f>HYPERLINK("https://lindat.mff.cuni.cz/services/teitok/pdtc10/index.php?action=vallex&amp;frame=v-w1855f138_ZU", "mít (v-w1855f138_ZU)")</f>
        <v>mít (v-w1855f138_ZU)</v>
      </c>
    </row>
    <row r="15338" spans="1:3" x14ac:dyDescent="0.2">
      <c r="B15338" t="s">
        <v>1</v>
      </c>
    </row>
    <row r="15339" spans="1:3" x14ac:dyDescent="0.2">
      <c r="B15339" t="s">
        <v>5189</v>
      </c>
    </row>
    <row r="15341" spans="1:3" x14ac:dyDescent="0.2">
      <c r="A15341" t="s">
        <v>5188</v>
      </c>
      <c r="B15341" t="str">
        <f>HYPERLINK("https://lindat.mff.cuni.cz/services/teitok/pdtc10/index.php?action=vallex&amp;frame=v-w1855f136_ZU", "mít (v-w1855f136_ZU) - substituted with v-w1855f138_ZU")</f>
        <v>mít (v-w1855f136_ZU) - substituted with v-w1855f138_ZU</v>
      </c>
    </row>
    <row r="15342" spans="1:3" x14ac:dyDescent="0.2">
      <c r="B15342" t="s">
        <v>1</v>
      </c>
    </row>
    <row r="15343" spans="1:3" x14ac:dyDescent="0.2">
      <c r="B15343" t="s">
        <v>5189</v>
      </c>
    </row>
    <row r="15345" spans="1:3" x14ac:dyDescent="0.2">
      <c r="A15345" t="s">
        <v>5188</v>
      </c>
      <c r="B15345" t="str">
        <f>HYPERLINK("https://lindat.mff.cuni.cz/services/teitok/pdtc10/index.php?action=vallex&amp;frame=v-w1855f137_ZU", "mít (v-w1855f137_ZU) - substituted with v-w1855f138_ZU")</f>
        <v>mít (v-w1855f137_ZU) - substituted with v-w1855f138_ZU</v>
      </c>
    </row>
    <row r="15346" spans="1:3" x14ac:dyDescent="0.2">
      <c r="B15346" t="s">
        <v>1</v>
      </c>
    </row>
    <row r="15347" spans="1:3" x14ac:dyDescent="0.2">
      <c r="B15347" t="s">
        <v>5189</v>
      </c>
    </row>
    <row r="15349" spans="1:3" x14ac:dyDescent="0.2">
      <c r="A15349" t="s">
        <v>5190</v>
      </c>
      <c r="B15349" t="str">
        <f>HYPERLINK("https://lindat.mff.cuni.cz/services/teitok/pdtc10/index.php?action=vallex&amp;frame=v-w1855hsa_1126", "mít (v-w1855hsa_1126)")</f>
        <v>mít (v-w1855hsa_1126)</v>
      </c>
    </row>
    <row r="15350" spans="1:3" x14ac:dyDescent="0.2">
      <c r="B15350" t="s">
        <v>1</v>
      </c>
      <c r="C15350" t="s">
        <v>1086</v>
      </c>
    </row>
    <row r="15351" spans="1:3" x14ac:dyDescent="0.2">
      <c r="B15351" t="s">
        <v>5191</v>
      </c>
      <c r="C15351" t="s">
        <v>1963</v>
      </c>
    </row>
    <row r="15353" spans="1:3" x14ac:dyDescent="0.2">
      <c r="A15353" t="s">
        <v>5192</v>
      </c>
      <c r="B15353" t="str">
        <f>HYPERLINK("https://lindat.mff.cuni.cz/services/teitok/pdtc10/index.php?action=vallex&amp;frame=v-w1855f225_ZU", "mít (v-w1855f225_ZU)")</f>
        <v>mít (v-w1855f225_ZU)</v>
      </c>
    </row>
    <row r="15354" spans="1:3" x14ac:dyDescent="0.2">
      <c r="B15354" t="s">
        <v>1</v>
      </c>
      <c r="C15354" t="s">
        <v>5193</v>
      </c>
    </row>
    <row r="15355" spans="1:3" x14ac:dyDescent="0.2">
      <c r="B15355" t="s">
        <v>5194</v>
      </c>
      <c r="C15355" t="s">
        <v>5195</v>
      </c>
    </row>
    <row r="15356" spans="1:3" x14ac:dyDescent="0.2">
      <c r="B15356" t="s">
        <v>411</v>
      </c>
      <c r="C15356" t="s">
        <v>2439</v>
      </c>
    </row>
    <row r="15358" spans="1:3" x14ac:dyDescent="0.2">
      <c r="A15358" t="s">
        <v>5192</v>
      </c>
      <c r="B15358" t="str">
        <f>HYPERLINK("https://lindat.mff.cuni.cz/services/teitok/pdtc10/index.php?action=vallex&amp;frame=v-w1855hsa_1128", "mít (v-w1855hsa_1128) - substituted with v-w1855f225_ZU")</f>
        <v>mít (v-w1855hsa_1128) - substituted with v-w1855f225_ZU</v>
      </c>
    </row>
    <row r="15359" spans="1:3" x14ac:dyDescent="0.2">
      <c r="B15359" t="s">
        <v>1</v>
      </c>
    </row>
    <row r="15360" spans="1:3" x14ac:dyDescent="0.2">
      <c r="B15360" t="s">
        <v>5194</v>
      </c>
    </row>
    <row r="15361" spans="1:3" x14ac:dyDescent="0.2">
      <c r="B15361" t="s">
        <v>411</v>
      </c>
    </row>
    <row r="15363" spans="1:3" x14ac:dyDescent="0.2">
      <c r="A15363" t="s">
        <v>5196</v>
      </c>
      <c r="B15363" t="str">
        <f>HYPERLINK("https://lindat.mff.cuni.cz/services/teitok/pdtc10/index.php?action=vallex&amp;frame=v-w1855f189_ZU", "mít (v-w1855f189_ZU)")</f>
        <v>mít (v-w1855f189_ZU)</v>
      </c>
    </row>
    <row r="15364" spans="1:3" x14ac:dyDescent="0.2">
      <c r="B15364" t="s">
        <v>1</v>
      </c>
    </row>
    <row r="15365" spans="1:3" x14ac:dyDescent="0.2">
      <c r="B15365" t="s">
        <v>5197</v>
      </c>
    </row>
    <row r="15367" spans="1:3" x14ac:dyDescent="0.2">
      <c r="A15367" t="s">
        <v>5196</v>
      </c>
      <c r="B15367" t="str">
        <f>HYPERLINK("https://lindat.mff.cuni.cz/services/teitok/pdtc10/index.php?action=vallex&amp;frame=v-w1855hsa_1129", "mít (v-w1855hsa_1129) - substituted with v-w1855f189_ZU")</f>
        <v>mít (v-w1855hsa_1129) - substituted with v-w1855f189_ZU</v>
      </c>
    </row>
    <row r="15368" spans="1:3" x14ac:dyDescent="0.2">
      <c r="B15368" t="s">
        <v>1</v>
      </c>
    </row>
    <row r="15369" spans="1:3" x14ac:dyDescent="0.2">
      <c r="B15369" t="s">
        <v>5197</v>
      </c>
    </row>
    <row r="15371" spans="1:3" x14ac:dyDescent="0.2">
      <c r="A15371" t="s">
        <v>5198</v>
      </c>
      <c r="B15371" t="str">
        <f>HYPERLINK("https://lindat.mff.cuni.cz/services/teitok/pdtc10/index.php?action=vallex&amp;frame=v-w1855f174_ZU", "mít (v-w1855f174_ZU)")</f>
        <v>mít (v-w1855f174_ZU)</v>
      </c>
    </row>
    <row r="15372" spans="1:3" x14ac:dyDescent="0.2">
      <c r="B15372" t="s">
        <v>1</v>
      </c>
    </row>
    <row r="15373" spans="1:3" x14ac:dyDescent="0.2">
      <c r="B15373" t="s">
        <v>5199</v>
      </c>
      <c r="C15373" t="s">
        <v>647</v>
      </c>
    </row>
    <row r="15375" spans="1:3" x14ac:dyDescent="0.2">
      <c r="A15375" t="s">
        <v>5198</v>
      </c>
      <c r="B15375" t="str">
        <f>HYPERLINK("https://lindat.mff.cuni.cz/services/teitok/pdtc10/index.php?action=vallex&amp;frame=v-w1855hsa_1130", "mít (v-w1855hsa_1130) - substituted with v-w1855f174_ZU")</f>
        <v>mít (v-w1855hsa_1130) - substituted with v-w1855f174_ZU</v>
      </c>
    </row>
    <row r="15376" spans="1:3" x14ac:dyDescent="0.2">
      <c r="B15376" t="s">
        <v>1</v>
      </c>
    </row>
    <row r="15377" spans="1:3" x14ac:dyDescent="0.2">
      <c r="B15377" t="s">
        <v>5199</v>
      </c>
    </row>
    <row r="15379" spans="1:3" x14ac:dyDescent="0.2">
      <c r="A15379" t="s">
        <v>5200</v>
      </c>
      <c r="B15379" t="str">
        <f>HYPERLINK("https://lindat.mff.cuni.cz/services/teitok/pdtc10/index.php?action=vallex&amp;frame=v-w1855f175_ZU", "mít (v-w1855f175_ZU)")</f>
        <v>mít (v-w1855f175_ZU)</v>
      </c>
    </row>
    <row r="15380" spans="1:3" x14ac:dyDescent="0.2">
      <c r="B15380" t="s">
        <v>1</v>
      </c>
    </row>
    <row r="15381" spans="1:3" x14ac:dyDescent="0.2">
      <c r="B15381" t="s">
        <v>5201</v>
      </c>
    </row>
    <row r="15383" spans="1:3" x14ac:dyDescent="0.2">
      <c r="A15383" t="s">
        <v>5200</v>
      </c>
      <c r="B15383" t="str">
        <f>HYPERLINK("https://lindat.mff.cuni.cz/services/teitok/pdtc10/index.php?action=vallex&amp;frame=v-w1855hsa_1131", "mít (v-w1855hsa_1131) - substituted with v-w1855f175_ZU")</f>
        <v>mít (v-w1855hsa_1131) - substituted with v-w1855f175_ZU</v>
      </c>
    </row>
    <row r="15384" spans="1:3" x14ac:dyDescent="0.2">
      <c r="B15384" t="s">
        <v>1</v>
      </c>
    </row>
    <row r="15385" spans="1:3" x14ac:dyDescent="0.2">
      <c r="B15385" t="s">
        <v>5201</v>
      </c>
    </row>
    <row r="15387" spans="1:3" x14ac:dyDescent="0.2">
      <c r="A15387" t="s">
        <v>5202</v>
      </c>
      <c r="B15387" t="str">
        <f>HYPERLINK("https://lindat.mff.cuni.cz/services/teitok/pdtc10/index.php?action=vallex&amp;frame=v-w1855f178_ZU", "mít (v-w1855f178_ZU)")</f>
        <v>mít (v-w1855f178_ZU)</v>
      </c>
    </row>
    <row r="15388" spans="1:3" x14ac:dyDescent="0.2">
      <c r="B15388" t="s">
        <v>1</v>
      </c>
      <c r="C15388" t="s">
        <v>1086</v>
      </c>
    </row>
    <row r="15389" spans="1:3" x14ac:dyDescent="0.2">
      <c r="B15389" t="s">
        <v>5203</v>
      </c>
      <c r="C15389" t="s">
        <v>5156</v>
      </c>
    </row>
    <row r="15391" spans="1:3" x14ac:dyDescent="0.2">
      <c r="A15391" t="s">
        <v>5202</v>
      </c>
      <c r="B15391" t="str">
        <f>HYPERLINK("https://lindat.mff.cuni.cz/services/teitok/pdtc10/index.php?action=vallex&amp;frame=v-w1855f177_ZU", "mít (v-w1855f177_ZU) - substituted with v-w1855f178_ZU")</f>
        <v>mít (v-w1855f177_ZU) - substituted with v-w1855f178_ZU</v>
      </c>
    </row>
    <row r="15392" spans="1:3" x14ac:dyDescent="0.2">
      <c r="B15392" t="s">
        <v>1</v>
      </c>
    </row>
    <row r="15393" spans="1:2" x14ac:dyDescent="0.2">
      <c r="B15393" t="s">
        <v>5203</v>
      </c>
    </row>
    <row r="15395" spans="1:2" x14ac:dyDescent="0.2">
      <c r="A15395" t="s">
        <v>5202</v>
      </c>
      <c r="B15395" t="str">
        <f>HYPERLINK("https://lindat.mff.cuni.cz/services/teitok/pdtc10/index.php?action=vallex&amp;frame=v-w1855hsa_1133", "mít (v-w1855hsa_1133) - substituted with v-w1855f178_ZU")</f>
        <v>mít (v-w1855hsa_1133) - substituted with v-w1855f178_ZU</v>
      </c>
    </row>
    <row r="15396" spans="1:2" x14ac:dyDescent="0.2">
      <c r="B15396" t="s">
        <v>1</v>
      </c>
    </row>
    <row r="15397" spans="1:2" x14ac:dyDescent="0.2">
      <c r="B15397" t="s">
        <v>5203</v>
      </c>
    </row>
    <row r="15399" spans="1:2" x14ac:dyDescent="0.2">
      <c r="A15399" t="s">
        <v>5204</v>
      </c>
      <c r="B15399" t="str">
        <f>HYPERLINK("https://lindat.mff.cuni.cz/services/teitok/pdtc10/index.php?action=vallex&amp;frame=v-w1855f181_ZU", "mít (v-w1855f181_ZU)")</f>
        <v>mít (v-w1855f181_ZU)</v>
      </c>
    </row>
    <row r="15400" spans="1:2" x14ac:dyDescent="0.2">
      <c r="B15400" t="s">
        <v>1</v>
      </c>
    </row>
    <row r="15401" spans="1:2" x14ac:dyDescent="0.2">
      <c r="B15401" t="s">
        <v>5205</v>
      </c>
    </row>
    <row r="15402" spans="1:2" x14ac:dyDescent="0.2">
      <c r="B15402" t="s">
        <v>8</v>
      </c>
    </row>
    <row r="15404" spans="1:2" x14ac:dyDescent="0.2">
      <c r="A15404" t="s">
        <v>5204</v>
      </c>
      <c r="B15404" t="str">
        <f>HYPERLINK("https://lindat.mff.cuni.cz/services/teitok/pdtc10/index.php?action=vallex&amp;frame=v-w1855hsa_1135", "mít (v-w1855hsa_1135) - substituted with v-w1855f181_ZU")</f>
        <v>mít (v-w1855hsa_1135) - substituted with v-w1855f181_ZU</v>
      </c>
    </row>
    <row r="15405" spans="1:2" x14ac:dyDescent="0.2">
      <c r="B15405" t="s">
        <v>1</v>
      </c>
    </row>
    <row r="15406" spans="1:2" x14ac:dyDescent="0.2">
      <c r="B15406" t="s">
        <v>5205</v>
      </c>
    </row>
    <row r="15407" spans="1:2" x14ac:dyDescent="0.2">
      <c r="B15407" t="s">
        <v>8</v>
      </c>
    </row>
    <row r="15409" spans="1:3" x14ac:dyDescent="0.2">
      <c r="A15409" t="s">
        <v>5206</v>
      </c>
      <c r="B15409" t="str">
        <f>HYPERLINK("https://lindat.mff.cuni.cz/services/teitok/pdtc10/index.php?action=vallex&amp;frame=v-w1855f183_ZU", "mít (v-w1855f183_ZU)")</f>
        <v>mít (v-w1855f183_ZU)</v>
      </c>
    </row>
    <row r="15410" spans="1:3" x14ac:dyDescent="0.2">
      <c r="B15410" t="s">
        <v>1</v>
      </c>
      <c r="C15410" t="s">
        <v>140</v>
      </c>
    </row>
    <row r="15411" spans="1:3" x14ac:dyDescent="0.2">
      <c r="B15411" t="s">
        <v>5207</v>
      </c>
      <c r="C15411" t="s">
        <v>397</v>
      </c>
    </row>
    <row r="15413" spans="1:3" x14ac:dyDescent="0.2">
      <c r="A15413" t="s">
        <v>5206</v>
      </c>
      <c r="B15413" t="str">
        <f>HYPERLINK("https://lindat.mff.cuni.cz/services/teitok/pdtc10/index.php?action=vallex&amp;frame=v-w1855f182_ZU", "mít (v-w1855f182_ZU) - substituted with v-w1855f183_ZU")</f>
        <v>mít (v-w1855f182_ZU) - substituted with v-w1855f183_ZU</v>
      </c>
    </row>
    <row r="15414" spans="1:3" x14ac:dyDescent="0.2">
      <c r="B15414" t="s">
        <v>1</v>
      </c>
    </row>
    <row r="15415" spans="1:3" x14ac:dyDescent="0.2">
      <c r="B15415" t="s">
        <v>5207</v>
      </c>
    </row>
    <row r="15417" spans="1:3" x14ac:dyDescent="0.2">
      <c r="A15417" t="s">
        <v>5206</v>
      </c>
      <c r="B15417" t="str">
        <f>HYPERLINK("https://lindat.mff.cuni.cz/services/teitok/pdtc10/index.php?action=vallex&amp;frame=v-w1855hsa_1136", "mít (v-w1855hsa_1136) - substituted with v-w1855f183_ZU")</f>
        <v>mít (v-w1855hsa_1136) - substituted with v-w1855f183_ZU</v>
      </c>
    </row>
    <row r="15418" spans="1:3" x14ac:dyDescent="0.2">
      <c r="B15418" t="s">
        <v>1</v>
      </c>
    </row>
    <row r="15419" spans="1:3" x14ac:dyDescent="0.2">
      <c r="B15419" t="s">
        <v>5207</v>
      </c>
    </row>
    <row r="15421" spans="1:3" x14ac:dyDescent="0.2">
      <c r="A15421" t="s">
        <v>5208</v>
      </c>
      <c r="B15421" t="str">
        <f>HYPERLINK("https://lindat.mff.cuni.cz/services/teitok/pdtc10/index.php?action=vallex&amp;frame=v-w1855f184_ZU", "mít (v-w1855f184_ZU)")</f>
        <v>mít (v-w1855f184_ZU)</v>
      </c>
    </row>
    <row r="15422" spans="1:3" x14ac:dyDescent="0.2">
      <c r="B15422" t="s">
        <v>1</v>
      </c>
    </row>
    <row r="15423" spans="1:3" x14ac:dyDescent="0.2">
      <c r="B15423" t="s">
        <v>5209</v>
      </c>
    </row>
    <row r="15424" spans="1:3" x14ac:dyDescent="0.2">
      <c r="B15424" t="s">
        <v>5210</v>
      </c>
    </row>
    <row r="15426" spans="1:3" x14ac:dyDescent="0.2">
      <c r="A15426" t="s">
        <v>5208</v>
      </c>
      <c r="B15426" t="str">
        <f>HYPERLINK("https://lindat.mff.cuni.cz/services/teitok/pdtc10/index.php?action=vallex&amp;frame=v-w1855hsa_1137", "mít (v-w1855hsa_1137) - substituted with v-w1855f184_ZU")</f>
        <v>mít (v-w1855hsa_1137) - substituted with v-w1855f184_ZU</v>
      </c>
    </row>
    <row r="15427" spans="1:3" x14ac:dyDescent="0.2">
      <c r="B15427" t="s">
        <v>1</v>
      </c>
    </row>
    <row r="15428" spans="1:3" x14ac:dyDescent="0.2">
      <c r="B15428" t="s">
        <v>5209</v>
      </c>
    </row>
    <row r="15429" spans="1:3" x14ac:dyDescent="0.2">
      <c r="B15429" t="s">
        <v>5210</v>
      </c>
    </row>
    <row r="15431" spans="1:3" x14ac:dyDescent="0.2">
      <c r="A15431" t="s">
        <v>5211</v>
      </c>
      <c r="B15431" t="str">
        <f>HYPERLINK("https://lindat.mff.cuni.cz/services/teitok/pdtc10/index.php?action=vallex&amp;frame=v-w1855f188_ZU", "mít (v-w1855f188_ZU)")</f>
        <v>mít (v-w1855f188_ZU)</v>
      </c>
    </row>
    <row r="15432" spans="1:3" x14ac:dyDescent="0.2">
      <c r="B15432" t="s">
        <v>1</v>
      </c>
      <c r="C15432" t="s">
        <v>1086</v>
      </c>
    </row>
    <row r="15433" spans="1:3" x14ac:dyDescent="0.2">
      <c r="B15433" t="s">
        <v>5212</v>
      </c>
    </row>
    <row r="15434" spans="1:3" x14ac:dyDescent="0.2">
      <c r="B15434" t="s">
        <v>8</v>
      </c>
      <c r="C15434" t="s">
        <v>1087</v>
      </c>
    </row>
    <row r="15436" spans="1:3" x14ac:dyDescent="0.2">
      <c r="A15436" t="s">
        <v>5211</v>
      </c>
      <c r="B15436" t="str">
        <f>HYPERLINK("https://lindat.mff.cuni.cz/services/teitok/pdtc10/index.php?action=vallex&amp;frame=v-w1855hsa_1138", "mít (v-w1855hsa_1138) - substituted with v-w1855f188_ZU")</f>
        <v>mít (v-w1855hsa_1138) - substituted with v-w1855f188_ZU</v>
      </c>
    </row>
    <row r="15437" spans="1:3" x14ac:dyDescent="0.2">
      <c r="B15437" t="s">
        <v>1</v>
      </c>
    </row>
    <row r="15438" spans="1:3" x14ac:dyDescent="0.2">
      <c r="B15438" t="s">
        <v>5212</v>
      </c>
    </row>
    <row r="15439" spans="1:3" x14ac:dyDescent="0.2">
      <c r="B15439" t="s">
        <v>8</v>
      </c>
    </row>
    <row r="15441" spans="1:3" x14ac:dyDescent="0.2">
      <c r="A15441" t="s">
        <v>5213</v>
      </c>
      <c r="B15441" t="str">
        <f>HYPERLINK("https://lindat.mff.cuni.cz/services/teitok/pdtc10/index.php?action=vallex&amp;frame=v-w1855f187_ZU", "mít (v-w1855f187_ZU)")</f>
        <v>mít (v-w1855f187_ZU)</v>
      </c>
    </row>
    <row r="15442" spans="1:3" x14ac:dyDescent="0.2">
      <c r="B15442" t="s">
        <v>1</v>
      </c>
      <c r="C15442" t="s">
        <v>1086</v>
      </c>
    </row>
    <row r="15443" spans="1:3" x14ac:dyDescent="0.2">
      <c r="B15443" t="s">
        <v>5214</v>
      </c>
      <c r="C15443" t="s">
        <v>5156</v>
      </c>
    </row>
    <row r="15444" spans="1:3" x14ac:dyDescent="0.2">
      <c r="B15444" t="s">
        <v>28</v>
      </c>
    </row>
    <row r="15446" spans="1:3" x14ac:dyDescent="0.2">
      <c r="A15446" t="s">
        <v>5213</v>
      </c>
      <c r="B15446" t="str">
        <f>HYPERLINK("https://lindat.mff.cuni.cz/services/teitok/pdtc10/index.php?action=vallex&amp;frame=v-w1855hsa_1139", "mít (v-w1855hsa_1139) - substituted with v-w1855f187_ZU")</f>
        <v>mít (v-w1855hsa_1139) - substituted with v-w1855f187_ZU</v>
      </c>
    </row>
    <row r="15447" spans="1:3" x14ac:dyDescent="0.2">
      <c r="B15447" t="s">
        <v>1</v>
      </c>
    </row>
    <row r="15448" spans="1:3" x14ac:dyDescent="0.2">
      <c r="B15448" t="s">
        <v>5214</v>
      </c>
    </row>
    <row r="15449" spans="1:3" x14ac:dyDescent="0.2">
      <c r="B15449" t="s">
        <v>28</v>
      </c>
    </row>
    <row r="15451" spans="1:3" x14ac:dyDescent="0.2">
      <c r="A15451" t="s">
        <v>5215</v>
      </c>
      <c r="B15451" t="str">
        <f>HYPERLINK("https://lindat.mff.cuni.cz/services/teitok/pdtc10/index.php?action=vallex&amp;frame=v-w1855f277_ZU", "mít (v-w1855f277_ZU)")</f>
        <v>mít (v-w1855f277_ZU)</v>
      </c>
    </row>
    <row r="15452" spans="1:3" x14ac:dyDescent="0.2">
      <c r="B15452" t="s">
        <v>1</v>
      </c>
    </row>
    <row r="15453" spans="1:3" x14ac:dyDescent="0.2">
      <c r="B15453" t="s">
        <v>5216</v>
      </c>
    </row>
    <row r="15454" spans="1:3" x14ac:dyDescent="0.2">
      <c r="B15454" t="s">
        <v>557</v>
      </c>
    </row>
    <row r="15456" spans="1:3" x14ac:dyDescent="0.2">
      <c r="A15456" t="s">
        <v>5215</v>
      </c>
      <c r="B15456" t="str">
        <f>HYPERLINK("https://lindat.mff.cuni.cz/services/teitok/pdtc10/index.php?action=vallex&amp;frame=v-w1855f180_ZU", "mít (v-w1855f180_ZU) - substituted with v-w1855f277_ZU")</f>
        <v>mít (v-w1855f180_ZU) - substituted with v-w1855f277_ZU</v>
      </c>
    </row>
    <row r="15457" spans="1:3" x14ac:dyDescent="0.2">
      <c r="B15457" t="s">
        <v>1</v>
      </c>
      <c r="C15457" t="s">
        <v>5217</v>
      </c>
    </row>
    <row r="15458" spans="1:3" x14ac:dyDescent="0.2">
      <c r="B15458" t="s">
        <v>5216</v>
      </c>
      <c r="C15458" t="s">
        <v>5218</v>
      </c>
    </row>
    <row r="15459" spans="1:3" x14ac:dyDescent="0.2">
      <c r="B15459" t="s">
        <v>557</v>
      </c>
      <c r="C15459" t="s">
        <v>991</v>
      </c>
    </row>
    <row r="15461" spans="1:3" x14ac:dyDescent="0.2">
      <c r="A15461" t="s">
        <v>5215</v>
      </c>
      <c r="B15461" t="str">
        <f>HYPERLINK("https://lindat.mff.cuni.cz/services/teitok/pdtc10/index.php?action=vallex&amp;frame=v-w1855hsa_1140", "mít (v-w1855hsa_1140) - substituted with v-w1855f277_ZU")</f>
        <v>mít (v-w1855hsa_1140) - substituted with v-w1855f277_ZU</v>
      </c>
    </row>
    <row r="15462" spans="1:3" x14ac:dyDescent="0.2">
      <c r="B15462" t="s">
        <v>1</v>
      </c>
    </row>
    <row r="15463" spans="1:3" x14ac:dyDescent="0.2">
      <c r="B15463" t="s">
        <v>5216</v>
      </c>
    </row>
    <row r="15464" spans="1:3" x14ac:dyDescent="0.2">
      <c r="B15464" t="s">
        <v>557</v>
      </c>
    </row>
    <row r="15466" spans="1:3" x14ac:dyDescent="0.2">
      <c r="A15466" t="s">
        <v>5219</v>
      </c>
      <c r="B15466" t="str">
        <f>HYPERLINK("https://lindat.mff.cuni.cz/services/teitok/pdtc10/index.php?action=vallex&amp;frame=v-w1855f186_ZU", "mít (v-w1855f186_ZU)")</f>
        <v>mít (v-w1855f186_ZU)</v>
      </c>
    </row>
    <row r="15467" spans="1:3" x14ac:dyDescent="0.2">
      <c r="B15467" t="s">
        <v>1</v>
      </c>
      <c r="C15467" t="s">
        <v>1086</v>
      </c>
    </row>
    <row r="15468" spans="1:3" x14ac:dyDescent="0.2">
      <c r="B15468" t="s">
        <v>5220</v>
      </c>
      <c r="C15468" t="s">
        <v>5156</v>
      </c>
    </row>
    <row r="15470" spans="1:3" x14ac:dyDescent="0.2">
      <c r="A15470" t="s">
        <v>5219</v>
      </c>
      <c r="B15470" t="str">
        <f>HYPERLINK("https://lindat.mff.cuni.cz/services/teitok/pdtc10/index.php?action=vallex&amp;frame=v-w1855f185_ZU", "mít (v-w1855f185_ZU) - substituted with v-w1855f186_ZU")</f>
        <v>mít (v-w1855f185_ZU) - substituted with v-w1855f186_ZU</v>
      </c>
    </row>
    <row r="15471" spans="1:3" x14ac:dyDescent="0.2">
      <c r="B15471" t="s">
        <v>1</v>
      </c>
    </row>
    <row r="15472" spans="1:3" x14ac:dyDescent="0.2">
      <c r="B15472" t="s">
        <v>5220</v>
      </c>
    </row>
    <row r="15474" spans="1:3" x14ac:dyDescent="0.2">
      <c r="A15474" t="s">
        <v>5219</v>
      </c>
      <c r="B15474" t="str">
        <f>HYPERLINK("https://lindat.mff.cuni.cz/services/teitok/pdtc10/index.php?action=vallex&amp;frame=v-w1855hsa_1141", "mít (v-w1855hsa_1141) - substituted with v-w1855f186_ZU")</f>
        <v>mít (v-w1855hsa_1141) - substituted with v-w1855f186_ZU</v>
      </c>
    </row>
    <row r="15475" spans="1:3" x14ac:dyDescent="0.2">
      <c r="B15475" t="s">
        <v>1</v>
      </c>
    </row>
    <row r="15476" spans="1:3" x14ac:dyDescent="0.2">
      <c r="B15476" t="s">
        <v>5220</v>
      </c>
    </row>
    <row r="15478" spans="1:3" x14ac:dyDescent="0.2">
      <c r="A15478" t="s">
        <v>5221</v>
      </c>
      <c r="B15478" t="str">
        <f>HYPERLINK("https://lindat.mff.cuni.cz/services/teitok/pdtc10/index.php?action=vallex&amp;frame=v-w1855f176_ZU", "mít (v-w1855f176_ZU)")</f>
        <v>mít (v-w1855f176_ZU)</v>
      </c>
    </row>
    <row r="15479" spans="1:3" x14ac:dyDescent="0.2">
      <c r="B15479" t="s">
        <v>1</v>
      </c>
      <c r="C15479" t="s">
        <v>5222</v>
      </c>
    </row>
    <row r="15480" spans="1:3" x14ac:dyDescent="0.2">
      <c r="B15480" t="s">
        <v>751</v>
      </c>
      <c r="C15480" t="s">
        <v>5223</v>
      </c>
    </row>
    <row r="15482" spans="1:3" x14ac:dyDescent="0.2">
      <c r="A15482" t="s">
        <v>5224</v>
      </c>
      <c r="B15482" t="str">
        <f>HYPERLINK("https://lindat.mff.cuni.cz/services/teitok/pdtc10/index.php?action=vallex&amp;frame=v-w1855f179_ZU", "mít (v-w1855f179_ZU)")</f>
        <v>mít (v-w1855f179_ZU)</v>
      </c>
    </row>
    <row r="15483" spans="1:3" x14ac:dyDescent="0.2">
      <c r="B15483" t="s">
        <v>1</v>
      </c>
      <c r="C15483" t="s">
        <v>1086</v>
      </c>
    </row>
    <row r="15484" spans="1:3" x14ac:dyDescent="0.2">
      <c r="B15484" t="s">
        <v>5225</v>
      </c>
      <c r="C15484" t="s">
        <v>5156</v>
      </c>
    </row>
    <row r="15485" spans="1:3" x14ac:dyDescent="0.2">
      <c r="B15485" t="s">
        <v>557</v>
      </c>
    </row>
    <row r="15487" spans="1:3" x14ac:dyDescent="0.2">
      <c r="A15487" t="s">
        <v>5226</v>
      </c>
      <c r="B15487" t="str">
        <f>HYPERLINK("https://lindat.mff.cuni.cz/services/teitok/pdtc10/index.php?action=vallex&amp;frame=v-w1855f213_ZU", "mít (v-w1855f213_ZU)")</f>
        <v>mít (v-w1855f213_ZU)</v>
      </c>
    </row>
    <row r="15488" spans="1:3" x14ac:dyDescent="0.2">
      <c r="B15488" t="s">
        <v>1</v>
      </c>
      <c r="C15488" t="s">
        <v>1086</v>
      </c>
    </row>
    <row r="15489" spans="1:3" x14ac:dyDescent="0.2">
      <c r="B15489" t="s">
        <v>5227</v>
      </c>
      <c r="C15489" t="s">
        <v>1963</v>
      </c>
    </row>
    <row r="15491" spans="1:3" x14ac:dyDescent="0.2">
      <c r="A15491" t="s">
        <v>5228</v>
      </c>
      <c r="B15491" t="str">
        <f>HYPERLINK("https://lindat.mff.cuni.cz/services/teitok/pdtc10/index.php?action=vallex&amp;frame=v-w1855f113_ZU", "mít (v-w1855f113_ZU)")</f>
        <v>mít (v-w1855f113_ZU)</v>
      </c>
    </row>
    <row r="15492" spans="1:3" x14ac:dyDescent="0.2">
      <c r="B15492" t="s">
        <v>1</v>
      </c>
    </row>
    <row r="15493" spans="1:3" x14ac:dyDescent="0.2">
      <c r="B15493" t="s">
        <v>5229</v>
      </c>
    </row>
    <row r="15495" spans="1:3" x14ac:dyDescent="0.2">
      <c r="A15495" t="s">
        <v>5228</v>
      </c>
      <c r="B15495" t="str">
        <f>HYPERLINK("https://lindat.mff.cuni.cz/services/teitok/pdtc10/index.php?action=vallex&amp;frame=v-w1855f112_ZU", "mít (v-w1855f112_ZU) - substituted with v-w1855f113_ZU")</f>
        <v>mít (v-w1855f112_ZU) - substituted with v-w1855f113_ZU</v>
      </c>
    </row>
    <row r="15496" spans="1:3" x14ac:dyDescent="0.2">
      <c r="B15496" t="s">
        <v>1</v>
      </c>
    </row>
    <row r="15497" spans="1:3" x14ac:dyDescent="0.2">
      <c r="B15497" t="s">
        <v>5229</v>
      </c>
    </row>
    <row r="15499" spans="1:3" x14ac:dyDescent="0.2">
      <c r="A15499" t="s">
        <v>5230</v>
      </c>
      <c r="B15499" t="str">
        <f>HYPERLINK("https://lindat.mff.cuni.cz/services/teitok/pdtc10/index.php?action=vallex&amp;frame=v-w1855f124_ZU", "mít (v-w1855f124_ZU)")</f>
        <v>mít (v-w1855f124_ZU)</v>
      </c>
    </row>
    <row r="15500" spans="1:3" x14ac:dyDescent="0.2">
      <c r="B15500" t="s">
        <v>1</v>
      </c>
    </row>
    <row r="15501" spans="1:3" x14ac:dyDescent="0.2">
      <c r="B15501" t="s">
        <v>5231</v>
      </c>
    </row>
    <row r="15503" spans="1:3" x14ac:dyDescent="0.2">
      <c r="A15503" t="s">
        <v>5232</v>
      </c>
      <c r="B15503" t="str">
        <f>HYPERLINK("https://lindat.mff.cuni.cz/services/teitok/pdtc10/index.php?action=vallex&amp;frame=v-w1855f143_ZU", "mít (v-w1855f143_ZU)")</f>
        <v>mít (v-w1855f143_ZU)</v>
      </c>
    </row>
    <row r="15504" spans="1:3" x14ac:dyDescent="0.2">
      <c r="B15504" t="s">
        <v>1</v>
      </c>
    </row>
    <row r="15505" spans="1:2" x14ac:dyDescent="0.2">
      <c r="B15505" t="s">
        <v>5233</v>
      </c>
    </row>
    <row r="15507" spans="1:2" x14ac:dyDescent="0.2">
      <c r="A15507" t="s">
        <v>5234</v>
      </c>
      <c r="B15507" t="str">
        <f>HYPERLINK("https://lindat.mff.cuni.cz/services/teitok/pdtc10/index.php?action=vallex&amp;frame=v-w1855f154_ZU", "mít (v-w1855f154_ZU)")</f>
        <v>mít (v-w1855f154_ZU)</v>
      </c>
    </row>
    <row r="15508" spans="1:2" x14ac:dyDescent="0.2">
      <c r="B15508" t="s">
        <v>1</v>
      </c>
    </row>
    <row r="15509" spans="1:2" x14ac:dyDescent="0.2">
      <c r="B15509" t="s">
        <v>5235</v>
      </c>
    </row>
    <row r="15511" spans="1:2" x14ac:dyDescent="0.2">
      <c r="A15511" t="s">
        <v>5236</v>
      </c>
      <c r="B15511" t="str">
        <f>HYPERLINK("https://lindat.mff.cuni.cz/services/teitok/pdtc10/index.php?action=vallex&amp;frame=v-w1855f155_ZU", "mít (v-w1855f155_ZU)")</f>
        <v>mít (v-w1855f155_ZU)</v>
      </c>
    </row>
    <row r="15512" spans="1:2" x14ac:dyDescent="0.2">
      <c r="B15512" t="s">
        <v>1</v>
      </c>
    </row>
    <row r="15513" spans="1:2" x14ac:dyDescent="0.2">
      <c r="B15513" t="s">
        <v>5237</v>
      </c>
    </row>
    <row r="15515" spans="1:2" x14ac:dyDescent="0.2">
      <c r="A15515" t="s">
        <v>5238</v>
      </c>
      <c r="B15515" t="str">
        <f>HYPERLINK("https://lindat.mff.cuni.cz/services/teitok/pdtc10/index.php?action=vallex&amp;frame=v-w1855f226_ZU", "mít (v-w1855f226_ZU)")</f>
        <v>mít (v-w1855f226_ZU)</v>
      </c>
    </row>
    <row r="15516" spans="1:2" x14ac:dyDescent="0.2">
      <c r="B15516" t="s">
        <v>1</v>
      </c>
    </row>
    <row r="15517" spans="1:2" x14ac:dyDescent="0.2">
      <c r="B15517" t="s">
        <v>757</v>
      </c>
    </row>
    <row r="15518" spans="1:2" x14ac:dyDescent="0.2">
      <c r="B15518" t="s">
        <v>8</v>
      </c>
    </row>
    <row r="15520" spans="1:2" x14ac:dyDescent="0.2">
      <c r="A15520" t="s">
        <v>5238</v>
      </c>
      <c r="B15520" t="str">
        <f>HYPERLINK("https://lindat.mff.cuni.cz/services/teitok/pdtc10/index.php?action=vallex&amp;frame=v-w1855hsa_1132", "mít (v-w1855hsa_1132) - substituted with v-w1855f226_ZU")</f>
        <v>mít (v-w1855hsa_1132) - substituted with v-w1855f226_ZU</v>
      </c>
    </row>
    <row r="15521" spans="1:2" x14ac:dyDescent="0.2">
      <c r="B15521" t="s">
        <v>1</v>
      </c>
    </row>
    <row r="15522" spans="1:2" x14ac:dyDescent="0.2">
      <c r="B15522" t="s">
        <v>757</v>
      </c>
    </row>
    <row r="15523" spans="1:2" x14ac:dyDescent="0.2">
      <c r="B15523" t="s">
        <v>8</v>
      </c>
    </row>
    <row r="15525" spans="1:2" x14ac:dyDescent="0.2">
      <c r="A15525" t="s">
        <v>5239</v>
      </c>
      <c r="B15525" t="str">
        <f>HYPERLINK("https://lindat.mff.cuni.cz/services/teitok/pdtc10/index.php?action=vallex&amp;frame=v-w1855f227_ZU", "mít (v-w1855f227_ZU)")</f>
        <v>mít (v-w1855f227_ZU)</v>
      </c>
    </row>
    <row r="15526" spans="1:2" x14ac:dyDescent="0.2">
      <c r="B15526" t="s">
        <v>1</v>
      </c>
    </row>
    <row r="15527" spans="1:2" x14ac:dyDescent="0.2">
      <c r="B15527" t="s">
        <v>5240</v>
      </c>
    </row>
    <row r="15529" spans="1:2" x14ac:dyDescent="0.2">
      <c r="A15529" t="s">
        <v>5239</v>
      </c>
      <c r="B15529" t="str">
        <f>HYPERLINK("https://lindat.mff.cuni.cz/services/teitok/pdtc10/index.php?action=vallex&amp;frame=v-w1855hsa_1134", "mít (v-w1855hsa_1134) - substituted with v-w1855f227_ZU")</f>
        <v>mít (v-w1855hsa_1134) - substituted with v-w1855f227_ZU</v>
      </c>
    </row>
    <row r="15530" spans="1:2" x14ac:dyDescent="0.2">
      <c r="B15530" t="s">
        <v>1</v>
      </c>
    </row>
    <row r="15531" spans="1:2" x14ac:dyDescent="0.2">
      <c r="B15531" t="s">
        <v>5240</v>
      </c>
    </row>
    <row r="15533" spans="1:2" x14ac:dyDescent="0.2">
      <c r="A15533" t="s">
        <v>5241</v>
      </c>
      <c r="B15533" t="str">
        <f>HYPERLINK("https://lindat.mff.cuni.cz/services/teitok/pdtc10/index.php?action=vallex&amp;frame=v-w1855f228_ZU", "mít (v-w1855f228_ZU)")</f>
        <v>mít (v-w1855f228_ZU)</v>
      </c>
    </row>
    <row r="15534" spans="1:2" x14ac:dyDescent="0.2">
      <c r="B15534" t="s">
        <v>1</v>
      </c>
    </row>
    <row r="15535" spans="1:2" x14ac:dyDescent="0.2">
      <c r="B15535" t="s">
        <v>5242</v>
      </c>
    </row>
    <row r="15536" spans="1:2" x14ac:dyDescent="0.2">
      <c r="B15536" t="s">
        <v>321</v>
      </c>
    </row>
    <row r="15538" spans="1:3" x14ac:dyDescent="0.2">
      <c r="A15538" t="s">
        <v>5241</v>
      </c>
      <c r="B15538" t="str">
        <f>HYPERLINK("https://lindat.mff.cuni.cz/services/teitok/pdtc10/index.php?action=vallex&amp;frame=v-w1855f36", "mít (v-w1855f36) - substituted with v-w1855f228_ZU")</f>
        <v>mít (v-w1855f36) - substituted with v-w1855f228_ZU</v>
      </c>
    </row>
    <row r="15539" spans="1:3" x14ac:dyDescent="0.2">
      <c r="B15539" t="s">
        <v>1</v>
      </c>
      <c r="C15539" t="s">
        <v>1086</v>
      </c>
    </row>
    <row r="15540" spans="1:3" x14ac:dyDescent="0.2">
      <c r="B15540" t="s">
        <v>5242</v>
      </c>
      <c r="C15540" t="s">
        <v>1963</v>
      </c>
    </row>
    <row r="15541" spans="1:3" x14ac:dyDescent="0.2">
      <c r="B15541" t="s">
        <v>321</v>
      </c>
    </row>
    <row r="15543" spans="1:3" x14ac:dyDescent="0.2">
      <c r="A15543" t="s">
        <v>5241</v>
      </c>
      <c r="B15543" t="str">
        <f>HYPERLINK("https://lindat.mff.cuni.cz/services/teitok/pdtc10/index.php?action=vallex&amp;frame=v-w1855hsa_1119", "mít (v-w1855hsa_1119) - substituted with v-w1855f228_ZU")</f>
        <v>mít (v-w1855hsa_1119) - substituted with v-w1855f228_ZU</v>
      </c>
    </row>
    <row r="15544" spans="1:3" x14ac:dyDescent="0.2">
      <c r="B15544" t="s">
        <v>1</v>
      </c>
    </row>
    <row r="15545" spans="1:3" x14ac:dyDescent="0.2">
      <c r="B15545" t="s">
        <v>5242</v>
      </c>
    </row>
    <row r="15546" spans="1:3" x14ac:dyDescent="0.2">
      <c r="B15546" t="s">
        <v>321</v>
      </c>
    </row>
    <row r="15548" spans="1:3" x14ac:dyDescent="0.2">
      <c r="A15548" t="s">
        <v>5243</v>
      </c>
      <c r="B15548" t="str">
        <f>HYPERLINK("https://lindat.mff.cuni.cz/services/teitok/pdtc10/index.php?action=vallex&amp;frame=v-w1855f229_ZU", "mít (v-w1855f229_ZU)")</f>
        <v>mít (v-w1855f229_ZU)</v>
      </c>
    </row>
    <row r="15549" spans="1:3" x14ac:dyDescent="0.2">
      <c r="B15549" t="s">
        <v>1</v>
      </c>
    </row>
    <row r="15550" spans="1:3" x14ac:dyDescent="0.2">
      <c r="B15550" t="s">
        <v>5244</v>
      </c>
    </row>
    <row r="15552" spans="1:3" x14ac:dyDescent="0.2">
      <c r="A15552" t="s">
        <v>5243</v>
      </c>
      <c r="B15552" t="str">
        <f>HYPERLINK("https://lindat.mff.cuni.cz/services/teitok/pdtc10/index.php?action=vallex&amp;frame=v-w1855hsa_981", "mít (v-w1855hsa_981) - substituted with v-w1855f229_ZU")</f>
        <v>mít (v-w1855hsa_981) - substituted with v-w1855f229_ZU</v>
      </c>
    </row>
    <row r="15553" spans="1:2" x14ac:dyDescent="0.2">
      <c r="B15553" t="s">
        <v>1</v>
      </c>
    </row>
    <row r="15554" spans="1:2" x14ac:dyDescent="0.2">
      <c r="B15554" t="s">
        <v>5244</v>
      </c>
    </row>
    <row r="15556" spans="1:2" x14ac:dyDescent="0.2">
      <c r="A15556" t="s">
        <v>5245</v>
      </c>
      <c r="B15556" t="str">
        <f>HYPERLINK("https://lindat.mff.cuni.cz/services/teitok/pdtc10/index.php?action=vallex&amp;frame=v-w1855f230_ZU", "mít (v-w1855f230_ZU)")</f>
        <v>mít (v-w1855f230_ZU)</v>
      </c>
    </row>
    <row r="15557" spans="1:2" x14ac:dyDescent="0.2">
      <c r="B15557" t="s">
        <v>1</v>
      </c>
    </row>
    <row r="15558" spans="1:2" x14ac:dyDescent="0.2">
      <c r="B15558" t="s">
        <v>5246</v>
      </c>
    </row>
    <row r="15560" spans="1:2" x14ac:dyDescent="0.2">
      <c r="A15560" t="s">
        <v>5245</v>
      </c>
      <c r="B15560" t="str">
        <f>HYPERLINK("https://lindat.mff.cuni.cz/services/teitok/pdtc10/index.php?action=vallex&amp;frame=v-w1855hsa_982", "mít (v-w1855hsa_982) - substituted with v-w1855f230_ZU")</f>
        <v>mít (v-w1855hsa_982) - substituted with v-w1855f230_ZU</v>
      </c>
    </row>
    <row r="15561" spans="1:2" x14ac:dyDescent="0.2">
      <c r="B15561" t="s">
        <v>1</v>
      </c>
    </row>
    <row r="15562" spans="1:2" x14ac:dyDescent="0.2">
      <c r="B15562" t="s">
        <v>5246</v>
      </c>
    </row>
    <row r="15564" spans="1:2" x14ac:dyDescent="0.2">
      <c r="A15564" t="s">
        <v>5247</v>
      </c>
      <c r="B15564" t="str">
        <f>HYPERLINK("https://lindat.mff.cuni.cz/services/teitok/pdtc10/index.php?action=vallex&amp;frame=v-w1855f232_ZU", "mít (v-w1855f232_ZU)")</f>
        <v>mít (v-w1855f232_ZU)</v>
      </c>
    </row>
    <row r="15565" spans="1:2" x14ac:dyDescent="0.2">
      <c r="B15565" t="s">
        <v>1</v>
      </c>
    </row>
    <row r="15566" spans="1:2" x14ac:dyDescent="0.2">
      <c r="B15566" t="s">
        <v>731</v>
      </c>
    </row>
    <row r="15567" spans="1:2" x14ac:dyDescent="0.2">
      <c r="B15567" t="s">
        <v>8</v>
      </c>
    </row>
    <row r="15569" spans="1:2" x14ac:dyDescent="0.2">
      <c r="A15569" t="s">
        <v>5247</v>
      </c>
      <c r="B15569" t="str">
        <f>HYPERLINK("https://lindat.mff.cuni.cz/services/teitok/pdtc10/index.php?action=vallex&amp;frame=v-w1855hsa_985", "mít (v-w1855hsa_985) - substituted with v-w1855f232_ZU")</f>
        <v>mít (v-w1855hsa_985) - substituted with v-w1855f232_ZU</v>
      </c>
    </row>
    <row r="15570" spans="1:2" x14ac:dyDescent="0.2">
      <c r="B15570" t="s">
        <v>1</v>
      </c>
    </row>
    <row r="15571" spans="1:2" x14ac:dyDescent="0.2">
      <c r="B15571" t="s">
        <v>731</v>
      </c>
    </row>
    <row r="15572" spans="1:2" x14ac:dyDescent="0.2">
      <c r="B15572" t="s">
        <v>8</v>
      </c>
    </row>
    <row r="15574" spans="1:2" x14ac:dyDescent="0.2">
      <c r="A15574" t="s">
        <v>5248</v>
      </c>
      <c r="B15574" t="str">
        <f>HYPERLINK("https://lindat.mff.cuni.cz/services/teitok/pdtc10/index.php?action=vallex&amp;frame=v-w1855f233_ZU", "mít (v-w1855f233_ZU)")</f>
        <v>mít (v-w1855f233_ZU)</v>
      </c>
    </row>
    <row r="15575" spans="1:2" x14ac:dyDescent="0.2">
      <c r="B15575" t="s">
        <v>1</v>
      </c>
    </row>
    <row r="15576" spans="1:2" x14ac:dyDescent="0.2">
      <c r="B15576" t="s">
        <v>394</v>
      </c>
    </row>
    <row r="15577" spans="1:2" x14ac:dyDescent="0.2">
      <c r="B15577" t="s">
        <v>168</v>
      </c>
    </row>
    <row r="15579" spans="1:2" x14ac:dyDescent="0.2">
      <c r="A15579" t="s">
        <v>5248</v>
      </c>
      <c r="B15579" t="str">
        <f>HYPERLINK("https://lindat.mff.cuni.cz/services/teitok/pdtc10/index.php?action=vallex&amp;frame=v-w1855hsa_988", "mít (v-w1855hsa_988) - substituted with v-w1855f233_ZU")</f>
        <v>mít (v-w1855hsa_988) - substituted with v-w1855f233_ZU</v>
      </c>
    </row>
    <row r="15580" spans="1:2" x14ac:dyDescent="0.2">
      <c r="B15580" t="s">
        <v>1</v>
      </c>
    </row>
    <row r="15581" spans="1:2" x14ac:dyDescent="0.2">
      <c r="B15581" t="s">
        <v>394</v>
      </c>
    </row>
    <row r="15582" spans="1:2" x14ac:dyDescent="0.2">
      <c r="B15582" t="s">
        <v>168</v>
      </c>
    </row>
    <row r="15584" spans="1:2" x14ac:dyDescent="0.2">
      <c r="A15584" t="s">
        <v>5249</v>
      </c>
      <c r="B15584" t="str">
        <f>HYPERLINK("https://lindat.mff.cuni.cz/services/teitok/pdtc10/index.php?action=vallex&amp;frame=v-w1855f234_ZU", "mít (v-w1855f234_ZU)")</f>
        <v>mít (v-w1855f234_ZU)</v>
      </c>
    </row>
    <row r="15585" spans="1:2" x14ac:dyDescent="0.2">
      <c r="B15585" t="s">
        <v>1</v>
      </c>
    </row>
    <row r="15586" spans="1:2" x14ac:dyDescent="0.2">
      <c r="B15586" t="s">
        <v>5250</v>
      </c>
    </row>
    <row r="15587" spans="1:2" x14ac:dyDescent="0.2">
      <c r="B15587" t="s">
        <v>511</v>
      </c>
    </row>
    <row r="15589" spans="1:2" x14ac:dyDescent="0.2">
      <c r="A15589" t="s">
        <v>5249</v>
      </c>
      <c r="B15589" t="str">
        <f>HYPERLINK("https://lindat.mff.cuni.cz/services/teitok/pdtc10/index.php?action=vallex&amp;frame=v-w1855f231_ZU", "mít (v-w1855f231_ZU) - substituted with v-w1855f234_ZU")</f>
        <v>mít (v-w1855f231_ZU) - substituted with v-w1855f234_ZU</v>
      </c>
    </row>
    <row r="15590" spans="1:2" x14ac:dyDescent="0.2">
      <c r="B15590" t="s">
        <v>1</v>
      </c>
    </row>
    <row r="15591" spans="1:2" x14ac:dyDescent="0.2">
      <c r="B15591" t="s">
        <v>5250</v>
      </c>
    </row>
    <row r="15592" spans="1:2" x14ac:dyDescent="0.2">
      <c r="B15592" t="s">
        <v>511</v>
      </c>
    </row>
    <row r="15594" spans="1:2" x14ac:dyDescent="0.2">
      <c r="A15594" t="s">
        <v>5249</v>
      </c>
      <c r="B15594" t="str">
        <f>HYPERLINK("https://lindat.mff.cuni.cz/services/teitok/pdtc10/index.php?action=vallex&amp;frame=v-w1855hsa_983", "mít (v-w1855hsa_983) - substituted with v-w1855f234_ZU")</f>
        <v>mít (v-w1855hsa_983) - substituted with v-w1855f234_ZU</v>
      </c>
    </row>
    <row r="15595" spans="1:2" x14ac:dyDescent="0.2">
      <c r="B15595" t="s">
        <v>1</v>
      </c>
    </row>
    <row r="15596" spans="1:2" x14ac:dyDescent="0.2">
      <c r="B15596" t="s">
        <v>5250</v>
      </c>
    </row>
    <row r="15597" spans="1:2" x14ac:dyDescent="0.2">
      <c r="B15597" t="s">
        <v>511</v>
      </c>
    </row>
    <row r="15599" spans="1:2" x14ac:dyDescent="0.2">
      <c r="A15599" t="s">
        <v>5251</v>
      </c>
      <c r="B15599" t="str">
        <f>HYPERLINK("https://lindat.mff.cuni.cz/services/teitok/pdtc10/index.php?action=vallex&amp;frame=v-w1855f235_ZU", "mít (v-w1855f235_ZU)")</f>
        <v>mít (v-w1855f235_ZU)</v>
      </c>
    </row>
    <row r="15600" spans="1:2" x14ac:dyDescent="0.2">
      <c r="B15600" t="s">
        <v>1</v>
      </c>
    </row>
    <row r="15601" spans="1:2" x14ac:dyDescent="0.2">
      <c r="B15601" t="s">
        <v>5252</v>
      </c>
    </row>
    <row r="15602" spans="1:2" x14ac:dyDescent="0.2">
      <c r="B15602" t="s">
        <v>511</v>
      </c>
    </row>
    <row r="15604" spans="1:2" x14ac:dyDescent="0.2">
      <c r="A15604" t="s">
        <v>5251</v>
      </c>
      <c r="B15604" t="str">
        <f>HYPERLINK("https://lindat.mff.cuni.cz/services/teitok/pdtc10/index.php?action=vallex&amp;frame=v-w1855hsa_989", "mít (v-w1855hsa_989) - substituted with v-w1855f235_ZU")</f>
        <v>mít (v-w1855hsa_989) - substituted with v-w1855f235_ZU</v>
      </c>
    </row>
    <row r="15605" spans="1:2" x14ac:dyDescent="0.2">
      <c r="B15605" t="s">
        <v>1</v>
      </c>
    </row>
    <row r="15606" spans="1:2" x14ac:dyDescent="0.2">
      <c r="B15606" t="s">
        <v>5252</v>
      </c>
    </row>
    <row r="15607" spans="1:2" x14ac:dyDescent="0.2">
      <c r="B15607" t="s">
        <v>511</v>
      </c>
    </row>
    <row r="15609" spans="1:2" x14ac:dyDescent="0.2">
      <c r="A15609" t="s">
        <v>5253</v>
      </c>
      <c r="B15609" t="str">
        <f>HYPERLINK("https://lindat.mff.cuni.cz/services/teitok/pdtc10/index.php?action=vallex&amp;frame=v-w1855f236_ZU", "mít (v-w1855f236_ZU)")</f>
        <v>mít (v-w1855f236_ZU)</v>
      </c>
    </row>
    <row r="15610" spans="1:2" x14ac:dyDescent="0.2">
      <c r="B15610" t="s">
        <v>1</v>
      </c>
    </row>
    <row r="15611" spans="1:2" x14ac:dyDescent="0.2">
      <c r="B15611" t="s">
        <v>5254</v>
      </c>
    </row>
    <row r="15612" spans="1:2" x14ac:dyDescent="0.2">
      <c r="B15612" t="s">
        <v>8</v>
      </c>
    </row>
    <row r="15614" spans="1:2" x14ac:dyDescent="0.2">
      <c r="A15614" t="s">
        <v>5253</v>
      </c>
      <c r="B15614" t="str">
        <f>HYPERLINK("https://lindat.mff.cuni.cz/services/teitok/pdtc10/index.php?action=vallex&amp;frame=v-w1855hsa_992", "mít (v-w1855hsa_992) - substituted with v-w1855f236_ZU")</f>
        <v>mít (v-w1855hsa_992) - substituted with v-w1855f236_ZU</v>
      </c>
    </row>
    <row r="15615" spans="1:2" x14ac:dyDescent="0.2">
      <c r="B15615" t="s">
        <v>1</v>
      </c>
    </row>
    <row r="15616" spans="1:2" x14ac:dyDescent="0.2">
      <c r="B15616" t="s">
        <v>5254</v>
      </c>
    </row>
    <row r="15617" spans="1:2" x14ac:dyDescent="0.2">
      <c r="B15617" t="s">
        <v>8</v>
      </c>
    </row>
    <row r="15619" spans="1:2" x14ac:dyDescent="0.2">
      <c r="A15619" t="s">
        <v>5255</v>
      </c>
      <c r="B15619" t="str">
        <f>HYPERLINK("https://lindat.mff.cuni.cz/services/teitok/pdtc10/index.php?action=vallex&amp;frame=v-w1855f237_ZU", "mít (v-w1855f237_ZU)")</f>
        <v>mít (v-w1855f237_ZU)</v>
      </c>
    </row>
    <row r="15620" spans="1:2" x14ac:dyDescent="0.2">
      <c r="B15620" t="s">
        <v>1</v>
      </c>
    </row>
    <row r="15621" spans="1:2" x14ac:dyDescent="0.2">
      <c r="B15621" t="s">
        <v>5256</v>
      </c>
    </row>
    <row r="15622" spans="1:2" x14ac:dyDescent="0.2">
      <c r="B15622" t="s">
        <v>8</v>
      </c>
    </row>
    <row r="15624" spans="1:2" x14ac:dyDescent="0.2">
      <c r="A15624" t="s">
        <v>5255</v>
      </c>
      <c r="B15624" t="str">
        <f>HYPERLINK("https://lindat.mff.cuni.cz/services/teitok/pdtc10/index.php?action=vallex&amp;frame=v-w1855hsa_994", "mít (v-w1855hsa_994) - substituted with v-w1855f237_ZU")</f>
        <v>mít (v-w1855hsa_994) - substituted with v-w1855f237_ZU</v>
      </c>
    </row>
    <row r="15625" spans="1:2" x14ac:dyDescent="0.2">
      <c r="B15625" t="s">
        <v>1</v>
      </c>
    </row>
    <row r="15626" spans="1:2" x14ac:dyDescent="0.2">
      <c r="B15626" t="s">
        <v>5256</v>
      </c>
    </row>
    <row r="15627" spans="1:2" x14ac:dyDescent="0.2">
      <c r="B15627" t="s">
        <v>8</v>
      </c>
    </row>
    <row r="15629" spans="1:2" x14ac:dyDescent="0.2">
      <c r="A15629" t="s">
        <v>5257</v>
      </c>
      <c r="B15629" t="str">
        <f>HYPERLINK("https://lindat.mff.cuni.cz/services/teitok/pdtc10/index.php?action=vallex&amp;frame=v-w1855f243_ZU", "mít (v-w1855f243_ZU)")</f>
        <v>mít (v-w1855f243_ZU)</v>
      </c>
    </row>
    <row r="15630" spans="1:2" x14ac:dyDescent="0.2">
      <c r="B15630" t="s">
        <v>1</v>
      </c>
    </row>
    <row r="15631" spans="1:2" x14ac:dyDescent="0.2">
      <c r="B15631" t="s">
        <v>5258</v>
      </c>
    </row>
    <row r="15633" spans="1:2" x14ac:dyDescent="0.2">
      <c r="A15633" t="s">
        <v>5257</v>
      </c>
      <c r="B15633" t="str">
        <f>HYPERLINK("https://lindat.mff.cuni.cz/services/teitok/pdtc10/index.php?action=vallex&amp;frame=v-w1855hsa_990", "mít (v-w1855hsa_990) - substituted with v-w1855f243_ZU")</f>
        <v>mít (v-w1855hsa_990) - substituted with v-w1855f243_ZU</v>
      </c>
    </row>
    <row r="15634" spans="1:2" x14ac:dyDescent="0.2">
      <c r="B15634" t="s">
        <v>1</v>
      </c>
    </row>
    <row r="15635" spans="1:2" x14ac:dyDescent="0.2">
      <c r="B15635" t="s">
        <v>5258</v>
      </c>
    </row>
    <row r="15637" spans="1:2" x14ac:dyDescent="0.2">
      <c r="A15637" t="s">
        <v>5259</v>
      </c>
      <c r="B15637" t="str">
        <f>HYPERLINK("https://lindat.mff.cuni.cz/services/teitok/pdtc10/index.php?action=vallex&amp;frame=v-w1855f244_ZU", "mít (v-w1855f244_ZU)")</f>
        <v>mít (v-w1855f244_ZU)</v>
      </c>
    </row>
    <row r="15638" spans="1:2" x14ac:dyDescent="0.2">
      <c r="B15638" t="s">
        <v>1</v>
      </c>
    </row>
    <row r="15639" spans="1:2" x14ac:dyDescent="0.2">
      <c r="B15639" t="s">
        <v>5260</v>
      </c>
    </row>
    <row r="15640" spans="1:2" x14ac:dyDescent="0.2">
      <c r="B15640" t="s">
        <v>2423</v>
      </c>
    </row>
    <row r="15642" spans="1:2" x14ac:dyDescent="0.2">
      <c r="A15642" t="s">
        <v>5259</v>
      </c>
      <c r="B15642" t="str">
        <f>HYPERLINK("https://lindat.mff.cuni.cz/services/teitok/pdtc10/index.php?action=vallex&amp;frame=v-w1855hsa_991", "mít (v-w1855hsa_991) - substituted with v-w1855f244_ZU")</f>
        <v>mít (v-w1855hsa_991) - substituted with v-w1855f244_ZU</v>
      </c>
    </row>
    <row r="15643" spans="1:2" x14ac:dyDescent="0.2">
      <c r="B15643" t="s">
        <v>1</v>
      </c>
    </row>
    <row r="15644" spans="1:2" x14ac:dyDescent="0.2">
      <c r="B15644" t="s">
        <v>5260</v>
      </c>
    </row>
    <row r="15645" spans="1:2" x14ac:dyDescent="0.2">
      <c r="B15645" t="s">
        <v>2423</v>
      </c>
    </row>
    <row r="15647" spans="1:2" x14ac:dyDescent="0.2">
      <c r="A15647" t="s">
        <v>5261</v>
      </c>
      <c r="B15647" t="str">
        <f>HYPERLINK("https://lindat.mff.cuni.cz/services/teitok/pdtc10/index.php?action=vallex&amp;frame=v-w1855f245_ZU", "mít (v-w1855f245_ZU)")</f>
        <v>mít (v-w1855f245_ZU)</v>
      </c>
    </row>
    <row r="15648" spans="1:2" x14ac:dyDescent="0.2">
      <c r="B15648" t="s">
        <v>1</v>
      </c>
    </row>
    <row r="15649" spans="1:2" x14ac:dyDescent="0.2">
      <c r="B15649" t="s">
        <v>5262</v>
      </c>
    </row>
    <row r="15651" spans="1:2" x14ac:dyDescent="0.2">
      <c r="A15651" t="s">
        <v>5261</v>
      </c>
      <c r="B15651" t="str">
        <f>HYPERLINK("https://lindat.mff.cuni.cz/services/teitok/pdtc10/index.php?action=vallex&amp;frame=v-w1855hsa_993", "mít (v-w1855hsa_993) - substituted with v-w1855f245_ZU")</f>
        <v>mít (v-w1855hsa_993) - substituted with v-w1855f245_ZU</v>
      </c>
    </row>
    <row r="15652" spans="1:2" x14ac:dyDescent="0.2">
      <c r="B15652" t="s">
        <v>1</v>
      </c>
    </row>
    <row r="15653" spans="1:2" x14ac:dyDescent="0.2">
      <c r="B15653" t="s">
        <v>5262</v>
      </c>
    </row>
    <row r="15655" spans="1:2" x14ac:dyDescent="0.2">
      <c r="A15655" t="s">
        <v>5263</v>
      </c>
      <c r="B15655" t="str">
        <f>HYPERLINK("https://lindat.mff.cuni.cz/services/teitok/pdtc10/index.php?action=vallex&amp;frame=v-w1855f246_ZU", "mít (v-w1855f246_ZU)")</f>
        <v>mít (v-w1855f246_ZU)</v>
      </c>
    </row>
    <row r="15656" spans="1:2" x14ac:dyDescent="0.2">
      <c r="B15656" t="s">
        <v>1</v>
      </c>
    </row>
    <row r="15657" spans="1:2" x14ac:dyDescent="0.2">
      <c r="B15657" t="s">
        <v>5264</v>
      </c>
    </row>
    <row r="15658" spans="1:2" x14ac:dyDescent="0.2">
      <c r="B15658" t="s">
        <v>917</v>
      </c>
    </row>
    <row r="15660" spans="1:2" x14ac:dyDescent="0.2">
      <c r="A15660" t="s">
        <v>5263</v>
      </c>
      <c r="B15660" t="str">
        <f>HYPERLINK("https://lindat.mff.cuni.cz/services/teitok/pdtc10/index.php?action=vallex&amp;frame=v-w1855hsa_987", "mít (v-w1855hsa_987) - substituted with v-w1855f246_ZU")</f>
        <v>mít (v-w1855hsa_987) - substituted with v-w1855f246_ZU</v>
      </c>
    </row>
    <row r="15661" spans="1:2" x14ac:dyDescent="0.2">
      <c r="B15661" t="s">
        <v>1</v>
      </c>
    </row>
    <row r="15662" spans="1:2" x14ac:dyDescent="0.2">
      <c r="B15662" t="s">
        <v>5264</v>
      </c>
    </row>
    <row r="15663" spans="1:2" x14ac:dyDescent="0.2">
      <c r="B15663" t="s">
        <v>917</v>
      </c>
    </row>
    <row r="15665" spans="1:2" x14ac:dyDescent="0.2">
      <c r="A15665" t="s">
        <v>5265</v>
      </c>
      <c r="B15665" t="str">
        <f>HYPERLINK("https://lindat.mff.cuni.cz/services/teitok/pdtc10/index.php?action=vallex&amp;frame=v-w1855f247_ZU", "mít (v-w1855f247_ZU)")</f>
        <v>mít (v-w1855f247_ZU)</v>
      </c>
    </row>
    <row r="15666" spans="1:2" x14ac:dyDescent="0.2">
      <c r="B15666" t="s">
        <v>1</v>
      </c>
    </row>
    <row r="15667" spans="1:2" x14ac:dyDescent="0.2">
      <c r="B15667" t="s">
        <v>5266</v>
      </c>
    </row>
    <row r="15668" spans="1:2" x14ac:dyDescent="0.2">
      <c r="B15668" t="s">
        <v>8</v>
      </c>
    </row>
    <row r="15670" spans="1:2" x14ac:dyDescent="0.2">
      <c r="A15670" t="s">
        <v>5265</v>
      </c>
      <c r="B15670" t="str">
        <f>HYPERLINK("https://lindat.mff.cuni.cz/services/teitok/pdtc10/index.php?action=vallex&amp;frame=v-w1855hsa_995", "mít (v-w1855hsa_995) - substituted with v-w1855f247_ZU")</f>
        <v>mít (v-w1855hsa_995) - substituted with v-w1855f247_ZU</v>
      </c>
    </row>
    <row r="15671" spans="1:2" x14ac:dyDescent="0.2">
      <c r="B15671" t="s">
        <v>1</v>
      </c>
    </row>
    <row r="15672" spans="1:2" x14ac:dyDescent="0.2">
      <c r="B15672" t="s">
        <v>5266</v>
      </c>
    </row>
    <row r="15673" spans="1:2" x14ac:dyDescent="0.2">
      <c r="B15673" t="s">
        <v>8</v>
      </c>
    </row>
    <row r="15675" spans="1:2" x14ac:dyDescent="0.2">
      <c r="A15675" t="s">
        <v>5267</v>
      </c>
      <c r="B15675" t="str">
        <f>HYPERLINK("https://lindat.mff.cuni.cz/services/teitok/pdtc10/index.php?action=vallex&amp;frame=v-w1855f248_ZU", "mít (v-w1855f248_ZU)")</f>
        <v>mít (v-w1855f248_ZU)</v>
      </c>
    </row>
    <row r="15676" spans="1:2" x14ac:dyDescent="0.2">
      <c r="B15676" t="s">
        <v>1</v>
      </c>
    </row>
    <row r="15677" spans="1:2" x14ac:dyDescent="0.2">
      <c r="B15677" t="s">
        <v>5268</v>
      </c>
    </row>
    <row r="15678" spans="1:2" x14ac:dyDescent="0.2">
      <c r="B15678" t="s">
        <v>8</v>
      </c>
    </row>
    <row r="15680" spans="1:2" x14ac:dyDescent="0.2">
      <c r="A15680" t="s">
        <v>5267</v>
      </c>
      <c r="B15680" t="str">
        <f>HYPERLINK("https://lindat.mff.cuni.cz/services/teitok/pdtc10/index.php?action=vallex&amp;frame=v-w1855hsa_984", "mít (v-w1855hsa_984) - substituted with v-w1855f248_ZU")</f>
        <v>mít (v-w1855hsa_984) - substituted with v-w1855f248_ZU</v>
      </c>
    </row>
    <row r="15681" spans="1:2" x14ac:dyDescent="0.2">
      <c r="B15681" t="s">
        <v>1</v>
      </c>
    </row>
    <row r="15682" spans="1:2" x14ac:dyDescent="0.2">
      <c r="B15682" t="s">
        <v>5268</v>
      </c>
    </row>
    <row r="15683" spans="1:2" x14ac:dyDescent="0.2">
      <c r="B15683" t="s">
        <v>8</v>
      </c>
    </row>
    <row r="15685" spans="1:2" x14ac:dyDescent="0.2">
      <c r="A15685" t="s">
        <v>5269</v>
      </c>
      <c r="B15685" t="str">
        <f>HYPERLINK("https://lindat.mff.cuni.cz/services/teitok/pdtc10/index.php?action=vallex&amp;frame=v-w1855f249_ZU", "mít (v-w1855f249_ZU)")</f>
        <v>mít (v-w1855f249_ZU)</v>
      </c>
    </row>
    <row r="15686" spans="1:2" x14ac:dyDescent="0.2">
      <c r="B15686" t="s">
        <v>1</v>
      </c>
    </row>
    <row r="15687" spans="1:2" x14ac:dyDescent="0.2">
      <c r="B15687" t="s">
        <v>5270</v>
      </c>
    </row>
    <row r="15689" spans="1:2" x14ac:dyDescent="0.2">
      <c r="A15689" t="s">
        <v>5269</v>
      </c>
      <c r="B15689" t="str">
        <f>HYPERLINK("https://lindat.mff.cuni.cz/services/teitok/pdtc10/index.php?action=vallex&amp;frame=v-w1855hsa_986", "mít (v-w1855hsa_986) - substituted with v-w1855f249_ZU")</f>
        <v>mít (v-w1855hsa_986) - substituted with v-w1855f249_ZU</v>
      </c>
    </row>
    <row r="15690" spans="1:2" x14ac:dyDescent="0.2">
      <c r="B15690" t="s">
        <v>1</v>
      </c>
    </row>
    <row r="15691" spans="1:2" x14ac:dyDescent="0.2">
      <c r="B15691" t="s">
        <v>5270</v>
      </c>
    </row>
    <row r="15693" spans="1:2" x14ac:dyDescent="0.2">
      <c r="A15693" t="s">
        <v>5271</v>
      </c>
      <c r="B15693" t="str">
        <f>HYPERLINK("https://lindat.mff.cuni.cz/services/teitok/pdtc10/index.php?action=vallex&amp;frame=v-w1855f250_ZU", "mít (v-w1855f250_ZU)")</f>
        <v>mít (v-w1855f250_ZU)</v>
      </c>
    </row>
    <row r="15694" spans="1:2" x14ac:dyDescent="0.2">
      <c r="B15694" t="s">
        <v>1</v>
      </c>
    </row>
    <row r="15695" spans="1:2" x14ac:dyDescent="0.2">
      <c r="B15695" t="s">
        <v>5272</v>
      </c>
    </row>
    <row r="15697" spans="1:2" x14ac:dyDescent="0.2">
      <c r="A15697" t="s">
        <v>5273</v>
      </c>
      <c r="B15697" t="str">
        <f>HYPERLINK("https://lindat.mff.cuni.cz/services/teitok/pdtc10/index.php?action=vallex&amp;frame=v-w1855f256_ZU", "mít (v-w1855f256_ZU)")</f>
        <v>mít (v-w1855f256_ZU)</v>
      </c>
    </row>
    <row r="15698" spans="1:2" x14ac:dyDescent="0.2">
      <c r="B15698" t="s">
        <v>1</v>
      </c>
    </row>
    <row r="15699" spans="1:2" x14ac:dyDescent="0.2">
      <c r="B15699" t="s">
        <v>5274</v>
      </c>
    </row>
    <row r="15701" spans="1:2" x14ac:dyDescent="0.2">
      <c r="A15701" t="s">
        <v>5275</v>
      </c>
      <c r="B15701" t="str">
        <f>HYPERLINK("https://lindat.mff.cuni.cz/services/teitok/pdtc10/index.php?action=vallex&amp;frame=v-w1855f257_ZU", "mít (v-w1855f257_ZU)")</f>
        <v>mít (v-w1855f257_ZU)</v>
      </c>
    </row>
    <row r="15702" spans="1:2" x14ac:dyDescent="0.2">
      <c r="B15702" t="s">
        <v>1</v>
      </c>
    </row>
    <row r="15703" spans="1:2" x14ac:dyDescent="0.2">
      <c r="B15703" t="s">
        <v>5276</v>
      </c>
    </row>
    <row r="15704" spans="1:2" x14ac:dyDescent="0.2">
      <c r="B15704" t="s">
        <v>8</v>
      </c>
    </row>
    <row r="15705" spans="1:2" x14ac:dyDescent="0.2">
      <c r="B15705" t="s">
        <v>511</v>
      </c>
    </row>
    <row r="15707" spans="1:2" x14ac:dyDescent="0.2">
      <c r="A15707" t="s">
        <v>5277</v>
      </c>
      <c r="B15707" t="str">
        <f>HYPERLINK("https://lindat.mff.cuni.cz/services/teitok/pdtc10/index.php?action=vallex&amp;frame=v-w1855f259_ZU", "mít (v-w1855f259_ZU)")</f>
        <v>mít (v-w1855f259_ZU)</v>
      </c>
    </row>
    <row r="15708" spans="1:2" x14ac:dyDescent="0.2">
      <c r="B15708" t="s">
        <v>1</v>
      </c>
    </row>
    <row r="15709" spans="1:2" x14ac:dyDescent="0.2">
      <c r="B15709" t="s">
        <v>3766</v>
      </c>
    </row>
    <row r="15711" spans="1:2" x14ac:dyDescent="0.2">
      <c r="A15711" t="s">
        <v>5278</v>
      </c>
      <c r="B15711" t="str">
        <f>HYPERLINK("https://lindat.mff.cuni.cz/services/teitok/pdtc10/index.php?action=vallex&amp;frame=v-w1855f265_ZU", "mít (v-w1855f265_ZU)")</f>
        <v>mít (v-w1855f265_ZU)</v>
      </c>
    </row>
    <row r="15712" spans="1:2" x14ac:dyDescent="0.2">
      <c r="B15712" t="s">
        <v>1</v>
      </c>
    </row>
    <row r="15713" spans="1:2" x14ac:dyDescent="0.2">
      <c r="B15713" t="s">
        <v>5279</v>
      </c>
    </row>
    <row r="15714" spans="1:2" x14ac:dyDescent="0.2">
      <c r="B15714" t="s">
        <v>8</v>
      </c>
    </row>
    <row r="15716" spans="1:2" x14ac:dyDescent="0.2">
      <c r="A15716" t="s">
        <v>5280</v>
      </c>
      <c r="B15716" t="str">
        <f>HYPERLINK("https://lindat.mff.cuni.cz/services/teitok/pdtc10/index.php?action=vallex&amp;frame=v-w1855f267_ZU", "mít (v-w1855f267_ZU)")</f>
        <v>mít (v-w1855f267_ZU)</v>
      </c>
    </row>
    <row r="15717" spans="1:2" x14ac:dyDescent="0.2">
      <c r="B15717" t="s">
        <v>1</v>
      </c>
    </row>
    <row r="15718" spans="1:2" x14ac:dyDescent="0.2">
      <c r="B15718" t="s">
        <v>3766</v>
      </c>
    </row>
    <row r="15720" spans="1:2" x14ac:dyDescent="0.2">
      <c r="A15720" t="s">
        <v>5281</v>
      </c>
      <c r="B15720" t="str">
        <f>HYPERLINK("https://lindat.mff.cuni.cz/services/teitok/pdtc10/index.php?action=vallex&amp;frame=v-w1855f270_ZU", "mít (v-w1855f270_ZU)")</f>
        <v>mít (v-w1855f270_ZU)</v>
      </c>
    </row>
    <row r="15721" spans="1:2" x14ac:dyDescent="0.2">
      <c r="B15721" t="s">
        <v>1</v>
      </c>
    </row>
    <row r="15722" spans="1:2" x14ac:dyDescent="0.2">
      <c r="B15722" t="s">
        <v>5282</v>
      </c>
    </row>
    <row r="15724" spans="1:2" x14ac:dyDescent="0.2">
      <c r="A15724" t="s">
        <v>5283</v>
      </c>
      <c r="B15724" t="str">
        <f>HYPERLINK("https://lindat.mff.cuni.cz/services/teitok/pdtc10/index.php?action=vallex&amp;frame=v-w1855f271_ZU", "mít (v-w1855f271_ZU)")</f>
        <v>mít (v-w1855f271_ZU)</v>
      </c>
    </row>
    <row r="15725" spans="1:2" x14ac:dyDescent="0.2">
      <c r="B15725" t="s">
        <v>1</v>
      </c>
    </row>
    <row r="15726" spans="1:2" x14ac:dyDescent="0.2">
      <c r="B15726" t="s">
        <v>5284</v>
      </c>
    </row>
    <row r="15728" spans="1:2" x14ac:dyDescent="0.2">
      <c r="A15728" t="s">
        <v>5285</v>
      </c>
      <c r="B15728" t="str">
        <f>HYPERLINK("https://lindat.mff.cuni.cz/services/teitok/pdtc10/index.php?action=vallex&amp;frame=v-w1855f274_ZU", "mít (v-w1855f274_ZU)")</f>
        <v>mít (v-w1855f274_ZU)</v>
      </c>
    </row>
    <row r="15729" spans="1:2" x14ac:dyDescent="0.2">
      <c r="B15729" t="s">
        <v>1</v>
      </c>
    </row>
    <row r="15730" spans="1:2" x14ac:dyDescent="0.2">
      <c r="B15730" t="s">
        <v>8</v>
      </c>
    </row>
    <row r="15732" spans="1:2" x14ac:dyDescent="0.2">
      <c r="A15732" t="s">
        <v>5286</v>
      </c>
      <c r="B15732" t="str">
        <f>HYPERLINK("https://lindat.mff.cuni.cz/services/teitok/pdtc10/index.php?action=vallex&amp;frame=v-w1855f278_ZU", "mít (v-w1855f278_ZU)")</f>
        <v>mít (v-w1855f278_ZU)</v>
      </c>
    </row>
    <row r="15733" spans="1:2" x14ac:dyDescent="0.2">
      <c r="B15733" t="s">
        <v>1</v>
      </c>
    </row>
    <row r="15734" spans="1:2" x14ac:dyDescent="0.2">
      <c r="B15734" t="s">
        <v>5287</v>
      </c>
    </row>
    <row r="15735" spans="1:2" x14ac:dyDescent="0.2">
      <c r="B15735" t="s">
        <v>168</v>
      </c>
    </row>
    <row r="15737" spans="1:2" x14ac:dyDescent="0.2">
      <c r="A15737" t="s">
        <v>5288</v>
      </c>
      <c r="B15737" t="str">
        <f>HYPERLINK("https://lindat.mff.cuni.cz/services/teitok/pdtc10/index.php?action=vallex&amp;frame=v-w1855f284_ZU", "mít (v-w1855f284_ZU)")</f>
        <v>mít (v-w1855f284_ZU)</v>
      </c>
    </row>
    <row r="15738" spans="1:2" x14ac:dyDescent="0.2">
      <c r="B15738" t="s">
        <v>1</v>
      </c>
    </row>
    <row r="15739" spans="1:2" x14ac:dyDescent="0.2">
      <c r="B15739" t="s">
        <v>5289</v>
      </c>
    </row>
    <row r="15741" spans="1:2" x14ac:dyDescent="0.2">
      <c r="A15741" t="s">
        <v>5290</v>
      </c>
      <c r="B15741" t="str">
        <f>HYPERLINK("https://lindat.mff.cuni.cz/services/teitok/pdtc10/index.php?action=vallex&amp;frame=v-w1855f288_ZU", "mít (v-w1855f288_ZU)")</f>
        <v>mít (v-w1855f288_ZU)</v>
      </c>
    </row>
    <row r="15742" spans="1:2" x14ac:dyDescent="0.2">
      <c r="B15742" t="s">
        <v>1</v>
      </c>
    </row>
    <row r="15743" spans="1:2" x14ac:dyDescent="0.2">
      <c r="B15743" t="s">
        <v>5291</v>
      </c>
    </row>
    <row r="15744" spans="1:2" x14ac:dyDescent="0.2">
      <c r="B15744" t="s">
        <v>8</v>
      </c>
    </row>
    <row r="15746" spans="1:2" x14ac:dyDescent="0.2">
      <c r="A15746" t="s">
        <v>5292</v>
      </c>
      <c r="B15746" t="str">
        <f>HYPERLINK("https://lindat.mff.cuni.cz/services/teitok/pdtc10/index.php?action=vallex&amp;frame=v-w1855f293_ZU", "mít (v-w1855f293_ZU)")</f>
        <v>mít (v-w1855f293_ZU)</v>
      </c>
    </row>
    <row r="15747" spans="1:2" x14ac:dyDescent="0.2">
      <c r="B15747" t="s">
        <v>1</v>
      </c>
    </row>
    <row r="15748" spans="1:2" x14ac:dyDescent="0.2">
      <c r="B15748" t="s">
        <v>5293</v>
      </c>
    </row>
    <row r="15749" spans="1:2" x14ac:dyDescent="0.2">
      <c r="B15749" t="s">
        <v>8</v>
      </c>
    </row>
    <row r="15751" spans="1:2" x14ac:dyDescent="0.2">
      <c r="A15751" t="s">
        <v>5294</v>
      </c>
      <c r="B15751" t="str">
        <f>HYPERLINK("https://lindat.mff.cuni.cz/services/teitok/pdtc10/index.php?action=vallex&amp;frame=v-w1855f297_ZU", "mít (v-w1855f297_ZU)")</f>
        <v>mít (v-w1855f297_ZU)</v>
      </c>
    </row>
    <row r="15752" spans="1:2" x14ac:dyDescent="0.2">
      <c r="B15752" t="s">
        <v>1</v>
      </c>
    </row>
    <row r="15753" spans="1:2" x14ac:dyDescent="0.2">
      <c r="B15753" t="s">
        <v>5295</v>
      </c>
    </row>
    <row r="15754" spans="1:2" x14ac:dyDescent="0.2">
      <c r="B15754" t="s">
        <v>8</v>
      </c>
    </row>
    <row r="15756" spans="1:2" x14ac:dyDescent="0.2">
      <c r="A15756" t="s">
        <v>5296</v>
      </c>
      <c r="B15756" t="str">
        <f>HYPERLINK("https://lindat.mff.cuni.cz/services/teitok/pdtc10/index.php?action=vallex&amp;frame=v-w1855f302_ZU", "mít (v-w1855f302_ZU)")</f>
        <v>mít (v-w1855f302_ZU)</v>
      </c>
    </row>
    <row r="15757" spans="1:2" x14ac:dyDescent="0.2">
      <c r="B15757" t="s">
        <v>1</v>
      </c>
    </row>
    <row r="15758" spans="1:2" x14ac:dyDescent="0.2">
      <c r="B15758" t="s">
        <v>5166</v>
      </c>
    </row>
    <row r="15760" spans="1:2" x14ac:dyDescent="0.2">
      <c r="A15760" t="s">
        <v>5297</v>
      </c>
      <c r="B15760" t="str">
        <f>HYPERLINK("https://lindat.mff.cuni.cz/services/teitok/pdtc10/index.php?action=vallex&amp;frame=v-w1855f306_ZU", "mít (v-w1855f306_ZU)")</f>
        <v>mít (v-w1855f306_ZU)</v>
      </c>
    </row>
    <row r="15761" spans="1:2" x14ac:dyDescent="0.2">
      <c r="B15761" t="s">
        <v>1</v>
      </c>
    </row>
    <row r="15762" spans="1:2" x14ac:dyDescent="0.2">
      <c r="B15762" t="s">
        <v>5298</v>
      </c>
    </row>
    <row r="15764" spans="1:2" x14ac:dyDescent="0.2">
      <c r="A15764" t="s">
        <v>5299</v>
      </c>
      <c r="B15764" t="str">
        <f>HYPERLINK("https://lindat.mff.cuni.cz/services/teitok/pdtc10/index.php?action=vallex&amp;frame=v-w1855f309_ZU", "mít (v-w1855f309_ZU)")</f>
        <v>mít (v-w1855f309_ZU)</v>
      </c>
    </row>
    <row r="15765" spans="1:2" x14ac:dyDescent="0.2">
      <c r="B15765" t="s">
        <v>1</v>
      </c>
    </row>
    <row r="15766" spans="1:2" x14ac:dyDescent="0.2">
      <c r="B15766" t="s">
        <v>5300</v>
      </c>
    </row>
    <row r="15767" spans="1:2" x14ac:dyDescent="0.2">
      <c r="B15767" t="s">
        <v>8</v>
      </c>
    </row>
    <row r="15769" spans="1:2" x14ac:dyDescent="0.2">
      <c r="A15769" t="s">
        <v>5301</v>
      </c>
      <c r="B15769" t="str">
        <f>HYPERLINK("https://lindat.mff.cuni.cz/services/teitok/pdtc10/index.php?action=vallex&amp;frame=v-w1855f310_ZU", "mít (v-w1855f310_ZU)")</f>
        <v>mít (v-w1855f310_ZU)</v>
      </c>
    </row>
    <row r="15770" spans="1:2" x14ac:dyDescent="0.2">
      <c r="B15770" t="s">
        <v>1</v>
      </c>
    </row>
    <row r="15771" spans="1:2" x14ac:dyDescent="0.2">
      <c r="B15771" t="s">
        <v>8</v>
      </c>
    </row>
    <row r="15772" spans="1:2" x14ac:dyDescent="0.2">
      <c r="B15772" t="s">
        <v>2918</v>
      </c>
    </row>
    <row r="15774" spans="1:2" x14ac:dyDescent="0.2">
      <c r="A15774" t="s">
        <v>5302</v>
      </c>
      <c r="B15774" t="str">
        <f>HYPERLINK("https://lindat.mff.cuni.cz/services/teitok/pdtc10/index.php?action=vallex&amp;frame=v-w1855f312_ZU", "mít (v-w1855f312_ZU)")</f>
        <v>mít (v-w1855f312_ZU)</v>
      </c>
    </row>
    <row r="15775" spans="1:2" x14ac:dyDescent="0.2">
      <c r="B15775" t="s">
        <v>1</v>
      </c>
    </row>
    <row r="15776" spans="1:2" x14ac:dyDescent="0.2">
      <c r="B15776" t="s">
        <v>5303</v>
      </c>
    </row>
    <row r="15777" spans="1:2" x14ac:dyDescent="0.2">
      <c r="B15777" t="s">
        <v>8</v>
      </c>
    </row>
    <row r="15779" spans="1:2" x14ac:dyDescent="0.2">
      <c r="A15779" t="s">
        <v>5304</v>
      </c>
      <c r="B15779" t="str">
        <f>HYPERLINK("https://lindat.mff.cuni.cz/services/teitok/pdtc10/index.php?action=vallex&amp;frame=v-w1855f324_ZU", "mít (v-w1855f324_ZU)")</f>
        <v>mít (v-w1855f324_ZU)</v>
      </c>
    </row>
    <row r="15780" spans="1:2" x14ac:dyDescent="0.2">
      <c r="B15780" t="s">
        <v>1</v>
      </c>
    </row>
    <row r="15781" spans="1:2" x14ac:dyDescent="0.2">
      <c r="B15781" t="s">
        <v>8</v>
      </c>
    </row>
    <row r="15782" spans="1:2" x14ac:dyDescent="0.2">
      <c r="B15782" t="s">
        <v>5305</v>
      </c>
    </row>
    <row r="15784" spans="1:2" x14ac:dyDescent="0.2">
      <c r="A15784" t="s">
        <v>5306</v>
      </c>
      <c r="B15784" t="str">
        <f>HYPERLINK("https://lindat.mff.cuni.cz/services/teitok/pdtc10/index.php?action=vallex&amp;frame=v-w1855f325_ZU", "mít (v-w1855f325_ZU)")</f>
        <v>mít (v-w1855f325_ZU)</v>
      </c>
    </row>
    <row r="15785" spans="1:2" x14ac:dyDescent="0.2">
      <c r="B15785" t="s">
        <v>1</v>
      </c>
    </row>
    <row r="15786" spans="1:2" x14ac:dyDescent="0.2">
      <c r="B15786" t="s">
        <v>58</v>
      </c>
    </row>
    <row r="15787" spans="1:2" x14ac:dyDescent="0.2">
      <c r="B15787" t="s">
        <v>46</v>
      </c>
    </row>
    <row r="15789" spans="1:2" x14ac:dyDescent="0.2">
      <c r="A15789" t="s">
        <v>5307</v>
      </c>
      <c r="B15789" t="str">
        <f>HYPERLINK("https://lindat.mff.cuni.cz/services/teitok/pdtc10/index.php?action=vallex&amp;frame=v-w1855f326_ZU", "mít (v-w1855f326_ZU)")</f>
        <v>mít (v-w1855f326_ZU)</v>
      </c>
    </row>
    <row r="15790" spans="1:2" x14ac:dyDescent="0.2">
      <c r="B15790" t="s">
        <v>1</v>
      </c>
    </row>
    <row r="15791" spans="1:2" x14ac:dyDescent="0.2">
      <c r="B15791" t="s">
        <v>5308</v>
      </c>
    </row>
    <row r="15792" spans="1:2" x14ac:dyDescent="0.2">
      <c r="B15792" t="s">
        <v>183</v>
      </c>
    </row>
    <row r="15794" spans="1:2" x14ac:dyDescent="0.2">
      <c r="A15794" t="s">
        <v>5309</v>
      </c>
      <c r="B15794" t="str">
        <f>HYPERLINK("https://lindat.mff.cuni.cz/services/teitok/pdtc10/index.php?action=vallex&amp;frame=v-w1855f332_ZU", "mít (v-w1855f332_ZU)")</f>
        <v>mít (v-w1855f332_ZU)</v>
      </c>
    </row>
    <row r="15795" spans="1:2" x14ac:dyDescent="0.2">
      <c r="B15795" t="s">
        <v>1</v>
      </c>
    </row>
    <row r="15796" spans="1:2" x14ac:dyDescent="0.2">
      <c r="B15796" t="s">
        <v>5310</v>
      </c>
    </row>
    <row r="15798" spans="1:2" x14ac:dyDescent="0.2">
      <c r="A15798" t="s">
        <v>5311</v>
      </c>
      <c r="B15798" t="str">
        <f>HYPERLINK("https://lindat.mff.cuni.cz/services/teitok/pdtc10/index.php?action=vallex&amp;frame=v-w1855f333_ZU", "mít (v-w1855f333_ZU)")</f>
        <v>mít (v-w1855f333_ZU)</v>
      </c>
    </row>
    <row r="15799" spans="1:2" x14ac:dyDescent="0.2">
      <c r="B15799" t="s">
        <v>1</v>
      </c>
    </row>
    <row r="15800" spans="1:2" x14ac:dyDescent="0.2">
      <c r="B15800" t="s">
        <v>5312</v>
      </c>
    </row>
    <row r="15801" spans="1:2" x14ac:dyDescent="0.2">
      <c r="B15801" t="s">
        <v>8</v>
      </c>
    </row>
    <row r="15803" spans="1:2" x14ac:dyDescent="0.2">
      <c r="A15803" t="s">
        <v>5313</v>
      </c>
      <c r="B15803" t="str">
        <f>HYPERLINK("https://lindat.mff.cuni.cz/services/teitok/pdtc10/index.php?action=vallex&amp;frame=v-w1855f339_MM", "mít (v-w1855f339_MM)")</f>
        <v>mít (v-w1855f339_MM)</v>
      </c>
    </row>
    <row r="15804" spans="1:2" x14ac:dyDescent="0.2">
      <c r="B15804" t="s">
        <v>1</v>
      </c>
    </row>
    <row r="15805" spans="1:2" x14ac:dyDescent="0.2">
      <c r="B15805" t="s">
        <v>5314</v>
      </c>
    </row>
    <row r="15806" spans="1:2" x14ac:dyDescent="0.2">
      <c r="B15806" t="s">
        <v>3261</v>
      </c>
    </row>
    <row r="15808" spans="1:2" x14ac:dyDescent="0.2">
      <c r="A15808" t="s">
        <v>5315</v>
      </c>
      <c r="B15808" t="str">
        <f>HYPERLINK("https://lindat.mff.cuni.cz/services/teitok/pdtc10/index.php?action=vallex&amp;frame=v-w1855f348_MM", "mít (v-w1855f348_MM)")</f>
        <v>mít (v-w1855f348_MM)</v>
      </c>
    </row>
    <row r="15809" spans="1:2" x14ac:dyDescent="0.2">
      <c r="B15809" t="s">
        <v>1</v>
      </c>
    </row>
    <row r="15810" spans="1:2" x14ac:dyDescent="0.2">
      <c r="B15810" t="s">
        <v>5316</v>
      </c>
    </row>
    <row r="15811" spans="1:2" x14ac:dyDescent="0.2">
      <c r="B15811" t="s">
        <v>2821</v>
      </c>
    </row>
    <row r="15813" spans="1:2" x14ac:dyDescent="0.2">
      <c r="A15813" t="s">
        <v>5317</v>
      </c>
      <c r="B15813" t="str">
        <f>HYPERLINK("https://lindat.mff.cuni.cz/services/teitok/pdtc10/index.php?action=vallex&amp;frame=v-w1855hsa_964", "mít (v-w1855hsa_964)")</f>
        <v>mít (v-w1855hsa_964)</v>
      </c>
    </row>
    <row r="15814" spans="1:2" x14ac:dyDescent="0.2">
      <c r="B15814" t="s">
        <v>1</v>
      </c>
    </row>
    <row r="15815" spans="1:2" x14ac:dyDescent="0.2">
      <c r="B15815" t="s">
        <v>8</v>
      </c>
    </row>
    <row r="15817" spans="1:2" x14ac:dyDescent="0.2">
      <c r="A15817" t="s">
        <v>5318</v>
      </c>
      <c r="B15817" t="str">
        <f>HYPERLINK("https://lindat.mff.cuni.cz/services/teitok/pdtc10/index.php?action=vallex&amp;frame=v-w1855hsa_965", "mít (v-w1855hsa_965)")</f>
        <v>mít (v-w1855hsa_965)</v>
      </c>
    </row>
    <row r="15818" spans="1:2" x14ac:dyDescent="0.2">
      <c r="B15818" t="s">
        <v>1</v>
      </c>
    </row>
    <row r="15819" spans="1:2" x14ac:dyDescent="0.2">
      <c r="B15819" t="s">
        <v>8</v>
      </c>
    </row>
    <row r="15820" spans="1:2" x14ac:dyDescent="0.2">
      <c r="B15820" t="s">
        <v>484</v>
      </c>
    </row>
    <row r="15822" spans="1:2" x14ac:dyDescent="0.2">
      <c r="A15822" t="s">
        <v>5319</v>
      </c>
      <c r="B15822" t="str">
        <f>HYPERLINK("https://lindat.mff.cuni.cz/services/teitok/pdtc10/index.php?action=vallex&amp;frame=v-w1855hsa_966", "mít (v-w1855hsa_966)")</f>
        <v>mít (v-w1855hsa_966)</v>
      </c>
    </row>
    <row r="15823" spans="1:2" x14ac:dyDescent="0.2">
      <c r="B15823" t="s">
        <v>1</v>
      </c>
    </row>
    <row r="15824" spans="1:2" x14ac:dyDescent="0.2">
      <c r="B15824" t="s">
        <v>8</v>
      </c>
    </row>
    <row r="15825" spans="1:4" x14ac:dyDescent="0.2">
      <c r="B15825" t="s">
        <v>153</v>
      </c>
    </row>
    <row r="15827" spans="1:4" x14ac:dyDescent="0.2">
      <c r="A15827" t="s">
        <v>5320</v>
      </c>
      <c r="B15827" t="str">
        <f>HYPERLINK("https://lindat.mff.cuni.cz/services/teitok/pdtc10/index.php?action=vallex&amp;frame=v-w1855hsa_967", "mít (v-w1855hsa_967)")</f>
        <v>mít (v-w1855hsa_967)</v>
      </c>
    </row>
    <row r="15828" spans="1:4" x14ac:dyDescent="0.2">
      <c r="B15828" t="s">
        <v>1</v>
      </c>
    </row>
    <row r="15829" spans="1:4" x14ac:dyDescent="0.2">
      <c r="B15829" t="s">
        <v>507</v>
      </c>
    </row>
    <row r="15831" spans="1:4" x14ac:dyDescent="0.2">
      <c r="A15831" t="s">
        <v>5321</v>
      </c>
      <c r="B15831" t="str">
        <f>HYPERLINK("https://lindat.mff.cuni.cz/services/teitok/pdtc10/index.php?action=vallex&amp;frame=v-w1855hsa_972", "mít (v-w1855hsa_972)")</f>
        <v>mít (v-w1855hsa_972)</v>
      </c>
    </row>
    <row r="15832" spans="1:4" x14ac:dyDescent="0.2">
      <c r="B15832" t="s">
        <v>1</v>
      </c>
    </row>
    <row r="15833" spans="1:4" x14ac:dyDescent="0.2">
      <c r="B15833" t="s">
        <v>5322</v>
      </c>
    </row>
    <row r="15835" spans="1:4" x14ac:dyDescent="0.2">
      <c r="A15835" t="s">
        <v>5323</v>
      </c>
      <c r="B15835" t="str">
        <f>HYPERLINK("https://lindat.mff.cuni.cz/services/teitok/pdtc10/index.php?action=vallex&amp;frame=v-w1856f2", "mít se (v-w1856f2)")</f>
        <v>mít se (v-w1856f2)</v>
      </c>
    </row>
    <row r="15836" spans="1:4" x14ac:dyDescent="0.2">
      <c r="B15836" t="s">
        <v>1</v>
      </c>
    </row>
    <row r="15837" spans="1:4" x14ac:dyDescent="0.2">
      <c r="B15837" t="s">
        <v>176</v>
      </c>
    </row>
    <row r="15839" spans="1:4" x14ac:dyDescent="0.2">
      <c r="A15839" t="s">
        <v>5324</v>
      </c>
      <c r="B15839" t="str">
        <f>HYPERLINK("https://lindat.mff.cuni.cz/services/teitok/pdtc10/index.php?action=vallex&amp;frame=v-w1856f1", "mít se (v-w1856f1)")</f>
        <v>mít se (v-w1856f1)</v>
      </c>
    </row>
    <row r="15840" spans="1:4" x14ac:dyDescent="0.2">
      <c r="B15840" t="s">
        <v>1</v>
      </c>
      <c r="C15840" t="s">
        <v>5325</v>
      </c>
      <c r="D15840" t="s">
        <v>23029</v>
      </c>
    </row>
    <row r="15842" spans="1:4" x14ac:dyDescent="0.2">
      <c r="A15842" t="s">
        <v>5326</v>
      </c>
      <c r="B15842" t="str">
        <f>HYPERLINK("https://lindat.mff.cuni.cz/services/teitok/pdtc10/index.php?action=vallex&amp;frame=v-w1856f4_ZU", "mít se (v-w1856f4_ZU)")</f>
        <v>mít se (v-w1856f4_ZU)</v>
      </c>
    </row>
    <row r="15843" spans="1:4" x14ac:dyDescent="0.2">
      <c r="B15843" t="s">
        <v>1</v>
      </c>
      <c r="D15843" t="s">
        <v>80</v>
      </c>
    </row>
    <row r="15844" spans="1:4" x14ac:dyDescent="0.2">
      <c r="B15844" t="s">
        <v>5327</v>
      </c>
    </row>
    <row r="15845" spans="1:4" x14ac:dyDescent="0.2">
      <c r="B15845" t="s">
        <v>5328</v>
      </c>
      <c r="D15845" t="s">
        <v>23277</v>
      </c>
    </row>
    <row r="15847" spans="1:4" x14ac:dyDescent="0.2">
      <c r="A15847" t="s">
        <v>5329</v>
      </c>
      <c r="B15847" t="str">
        <f>HYPERLINK("https://lindat.mff.cuni.cz/services/teitok/pdtc10/index.php?action=vallex&amp;frame=v-w1856f3", "mít se (v-w1856f3)")</f>
        <v>mít se (v-w1856f3)</v>
      </c>
    </row>
    <row r="15848" spans="1:4" x14ac:dyDescent="0.2">
      <c r="B15848" t="s">
        <v>1</v>
      </c>
    </row>
    <row r="15849" spans="1:4" x14ac:dyDescent="0.2">
      <c r="B15849" t="s">
        <v>5330</v>
      </c>
    </row>
    <row r="15851" spans="1:4" x14ac:dyDescent="0.2">
      <c r="A15851" t="s">
        <v>5331</v>
      </c>
      <c r="B15851" t="str">
        <f>HYPERLINK("https://lindat.mff.cuni.cz/services/teitok/pdtc10/index.php?action=vallex&amp;frame=v-w1856f5_ZU", "mít se (v-w1856f5_ZU)")</f>
        <v>mít se (v-w1856f5_ZU)</v>
      </c>
    </row>
    <row r="15852" spans="1:4" x14ac:dyDescent="0.2">
      <c r="B15852" t="s">
        <v>5332</v>
      </c>
    </row>
    <row r="15853" spans="1:4" x14ac:dyDescent="0.2">
      <c r="B15853" t="s">
        <v>1012</v>
      </c>
    </row>
    <row r="15855" spans="1:4" x14ac:dyDescent="0.2">
      <c r="A15855" t="s">
        <v>5333</v>
      </c>
      <c r="B15855" t="str">
        <f>HYPERLINK("https://lindat.mff.cuni.cz/services/teitok/pdtc10/index.php?action=vallex&amp;frame=v-w1856hsa_792", "mít se (v-w1856hsa_792)")</f>
        <v>mít se (v-w1856hsa_792)</v>
      </c>
    </row>
    <row r="15856" spans="1:4" x14ac:dyDescent="0.2">
      <c r="B15856" t="s">
        <v>1</v>
      </c>
    </row>
    <row r="15857" spans="1:3" x14ac:dyDescent="0.2">
      <c r="B15857" t="s">
        <v>411</v>
      </c>
    </row>
    <row r="15859" spans="1:3" x14ac:dyDescent="0.2">
      <c r="A15859" t="s">
        <v>5334</v>
      </c>
      <c r="B15859" t="str">
        <f>HYPERLINK("https://lindat.mff.cuni.cz/services/teitok/pdtc10/index.php?action=vallex&amp;frame=v-w1856hsa_793", "mít se (v-w1856hsa_793)")</f>
        <v>mít se (v-w1856hsa_793)</v>
      </c>
    </row>
    <row r="15860" spans="1:3" x14ac:dyDescent="0.2">
      <c r="B15860" t="s">
        <v>1</v>
      </c>
    </row>
    <row r="15861" spans="1:3" x14ac:dyDescent="0.2">
      <c r="B15861" t="s">
        <v>5335</v>
      </c>
    </row>
    <row r="15862" spans="1:3" x14ac:dyDescent="0.2">
      <c r="B15862" t="s">
        <v>411</v>
      </c>
    </row>
    <row r="15864" spans="1:3" x14ac:dyDescent="0.2">
      <c r="A15864" t="s">
        <v>5336</v>
      </c>
      <c r="B15864" t="str">
        <f>HYPERLINK("https://lindat.mff.cuni.cz/services/teitok/pdtc10/index.php?action=vallex&amp;frame=v-w1857f2", "mívat (v-w1857f2)")</f>
        <v>mívat (v-w1857f2)</v>
      </c>
    </row>
    <row r="15865" spans="1:3" x14ac:dyDescent="0.2">
      <c r="B15865" t="s">
        <v>1</v>
      </c>
      <c r="C15865" t="s">
        <v>1086</v>
      </c>
    </row>
    <row r="15866" spans="1:3" x14ac:dyDescent="0.2">
      <c r="B15866" t="s">
        <v>8</v>
      </c>
      <c r="C15866" t="s">
        <v>1087</v>
      </c>
    </row>
    <row r="15868" spans="1:3" x14ac:dyDescent="0.2">
      <c r="A15868" t="s">
        <v>5337</v>
      </c>
      <c r="B15868" t="str">
        <f>HYPERLINK("https://lindat.mff.cuni.cz/services/teitok/pdtc10/index.php?action=vallex&amp;frame=v-w1857f24_ZU", "mívat (v-w1857f24_ZU)")</f>
        <v>mívat (v-w1857f24_ZU)</v>
      </c>
    </row>
    <row r="15869" spans="1:3" x14ac:dyDescent="0.2">
      <c r="B15869" t="s">
        <v>1</v>
      </c>
    </row>
    <row r="15870" spans="1:3" x14ac:dyDescent="0.2">
      <c r="B15870" t="s">
        <v>8</v>
      </c>
    </row>
    <row r="15872" spans="1:3" x14ac:dyDescent="0.2">
      <c r="A15872" t="s">
        <v>5337</v>
      </c>
      <c r="B15872" t="str">
        <f>HYPERLINK("https://lindat.mff.cuni.cz/services/teitok/pdtc10/index.php?action=vallex&amp;frame=v-w1857f3", "mívat (v-w1857f3) - substituted with v-w1857f24_ZU")</f>
        <v>mívat (v-w1857f3) - substituted with v-w1857f24_ZU</v>
      </c>
    </row>
    <row r="15873" spans="1:3" x14ac:dyDescent="0.2">
      <c r="B15873" t="s">
        <v>1</v>
      </c>
    </row>
    <row r="15874" spans="1:3" x14ac:dyDescent="0.2">
      <c r="B15874" t="s">
        <v>8</v>
      </c>
    </row>
    <row r="15876" spans="1:3" x14ac:dyDescent="0.2">
      <c r="A15876" t="s">
        <v>5338</v>
      </c>
      <c r="B15876" t="str">
        <f>HYPERLINK("https://lindat.mff.cuni.cz/services/teitok/pdtc10/index.php?action=vallex&amp;frame=v-w1857f9", "mívat (v-w1857f9)")</f>
        <v>mívat (v-w1857f9)</v>
      </c>
    </row>
    <row r="15877" spans="1:3" x14ac:dyDescent="0.2">
      <c r="B15877" t="s">
        <v>4868</v>
      </c>
    </row>
    <row r="15878" spans="1:3" x14ac:dyDescent="0.2">
      <c r="B15878" t="s">
        <v>4870</v>
      </c>
    </row>
    <row r="15880" spans="1:3" x14ac:dyDescent="0.2">
      <c r="A15880" t="s">
        <v>5339</v>
      </c>
      <c r="B15880" t="str">
        <f>HYPERLINK("https://lindat.mff.cuni.cz/services/teitok/pdtc10/index.php?action=vallex&amp;frame=v-w1857f19_ZU", "mívat (v-w1857f19_ZU)")</f>
        <v>mívat (v-w1857f19_ZU)</v>
      </c>
    </row>
    <row r="15881" spans="1:3" x14ac:dyDescent="0.2">
      <c r="B15881" t="s">
        <v>1</v>
      </c>
      <c r="C15881" t="s">
        <v>897</v>
      </c>
    </row>
    <row r="15882" spans="1:3" x14ac:dyDescent="0.2">
      <c r="B15882" t="s">
        <v>5340</v>
      </c>
      <c r="C15882" t="s">
        <v>5341</v>
      </c>
    </row>
    <row r="15884" spans="1:3" x14ac:dyDescent="0.2">
      <c r="A15884" t="s">
        <v>5339</v>
      </c>
      <c r="B15884" t="str">
        <f>HYPERLINK("https://lindat.mff.cuni.cz/services/teitok/pdtc10/index.php?action=vallex&amp;frame=v-w1857f8", "mívat (v-w1857f8) - substituted with v-w1857f19_ZU")</f>
        <v>mívat (v-w1857f8) - substituted with v-w1857f19_ZU</v>
      </c>
    </row>
    <row r="15885" spans="1:3" x14ac:dyDescent="0.2">
      <c r="B15885" t="s">
        <v>1</v>
      </c>
    </row>
    <row r="15886" spans="1:3" x14ac:dyDescent="0.2">
      <c r="B15886" t="s">
        <v>5340</v>
      </c>
    </row>
    <row r="15888" spans="1:3" x14ac:dyDescent="0.2">
      <c r="A15888" t="s">
        <v>5339</v>
      </c>
      <c r="B15888" t="str">
        <f>HYPERLINK("https://lindat.mff.cuni.cz/services/teitok/pdtc10/index.php?action=vallex&amp;frame=v-w1857hsa_498", "mívat (v-w1857hsa_498) - substituted with v-w1857f19_ZU")</f>
        <v>mívat (v-w1857hsa_498) - substituted with v-w1857f19_ZU</v>
      </c>
    </row>
    <row r="15889" spans="1:2" x14ac:dyDescent="0.2">
      <c r="B15889" t="s">
        <v>1</v>
      </c>
    </row>
    <row r="15890" spans="1:2" x14ac:dyDescent="0.2">
      <c r="B15890" t="s">
        <v>5340</v>
      </c>
    </row>
    <row r="15892" spans="1:2" x14ac:dyDescent="0.2">
      <c r="A15892" t="s">
        <v>5342</v>
      </c>
      <c r="B15892" t="str">
        <f>HYPERLINK("https://lindat.mff.cuni.cz/services/teitok/pdtc10/index.php?action=vallex&amp;frame=v-w1857f6", "mívat (v-w1857f6)")</f>
        <v>mívat (v-w1857f6)</v>
      </c>
    </row>
    <row r="15893" spans="1:2" x14ac:dyDescent="0.2">
      <c r="B15893" t="s">
        <v>1</v>
      </c>
    </row>
    <row r="15894" spans="1:2" x14ac:dyDescent="0.2">
      <c r="B15894" t="s">
        <v>5343</v>
      </c>
    </row>
    <row r="15896" spans="1:2" x14ac:dyDescent="0.2">
      <c r="A15896" t="s">
        <v>5344</v>
      </c>
      <c r="B15896" t="str">
        <f>HYPERLINK("https://lindat.mff.cuni.cz/services/teitok/pdtc10/index.php?action=vallex&amp;frame=v-w1857f15", "mívat (v-w1857f15)")</f>
        <v>mívat (v-w1857f15)</v>
      </c>
    </row>
    <row r="15897" spans="1:2" x14ac:dyDescent="0.2">
      <c r="B15897" t="s">
        <v>1</v>
      </c>
    </row>
    <row r="15898" spans="1:2" x14ac:dyDescent="0.2">
      <c r="B15898" t="s">
        <v>5345</v>
      </c>
    </row>
    <row r="15900" spans="1:2" x14ac:dyDescent="0.2">
      <c r="A15900" t="s">
        <v>5346</v>
      </c>
      <c r="B15900" t="str">
        <f>HYPERLINK("https://lindat.mff.cuni.cz/services/teitok/pdtc10/index.php?action=vallex&amp;frame=v-w1857f13", "mívat (v-w1857f13)")</f>
        <v>mívat (v-w1857f13)</v>
      </c>
    </row>
    <row r="15901" spans="1:2" x14ac:dyDescent="0.2">
      <c r="B15901" t="s">
        <v>1</v>
      </c>
    </row>
    <row r="15902" spans="1:2" x14ac:dyDescent="0.2">
      <c r="B15902" t="s">
        <v>5347</v>
      </c>
    </row>
    <row r="15904" spans="1:2" x14ac:dyDescent="0.2">
      <c r="A15904" t="s">
        <v>5348</v>
      </c>
      <c r="B15904" t="str">
        <f>HYPERLINK("https://lindat.mff.cuni.cz/services/teitok/pdtc10/index.php?action=vallex&amp;frame=v-w1857f7", "mívat (v-w1857f7)")</f>
        <v>mívat (v-w1857f7)</v>
      </c>
    </row>
    <row r="15905" spans="1:2" x14ac:dyDescent="0.2">
      <c r="B15905" t="s">
        <v>1</v>
      </c>
    </row>
    <row r="15906" spans="1:2" x14ac:dyDescent="0.2">
      <c r="B15906" t="s">
        <v>5349</v>
      </c>
    </row>
    <row r="15908" spans="1:2" x14ac:dyDescent="0.2">
      <c r="A15908" t="s">
        <v>5350</v>
      </c>
      <c r="B15908" t="str">
        <f>HYPERLINK("https://lindat.mff.cuni.cz/services/teitok/pdtc10/index.php?action=vallex&amp;frame=v-w1857f11", "mívat (v-w1857f11)")</f>
        <v>mívat (v-w1857f11)</v>
      </c>
    </row>
    <row r="15909" spans="1:2" x14ac:dyDescent="0.2">
      <c r="B15909" t="s">
        <v>1</v>
      </c>
    </row>
    <row r="15910" spans="1:2" x14ac:dyDescent="0.2">
      <c r="B15910" t="s">
        <v>5351</v>
      </c>
    </row>
    <row r="15912" spans="1:2" x14ac:dyDescent="0.2">
      <c r="A15912" t="s">
        <v>5352</v>
      </c>
      <c r="B15912" t="str">
        <f>HYPERLINK("https://lindat.mff.cuni.cz/services/teitok/pdtc10/index.php?action=vallex&amp;frame=v-w1857f1", "mívat (v-w1857f1)")</f>
        <v>mívat (v-w1857f1)</v>
      </c>
    </row>
    <row r="15913" spans="1:2" x14ac:dyDescent="0.2">
      <c r="B15913" t="s">
        <v>1</v>
      </c>
    </row>
    <row r="15914" spans="1:2" x14ac:dyDescent="0.2">
      <c r="B15914" t="s">
        <v>5353</v>
      </c>
    </row>
    <row r="15916" spans="1:2" x14ac:dyDescent="0.2">
      <c r="A15916" t="s">
        <v>5354</v>
      </c>
      <c r="B15916" t="str">
        <f>HYPERLINK("https://lindat.mff.cuni.cz/services/teitok/pdtc10/index.php?action=vallex&amp;frame=v-w1857f4", "mívat (v-w1857f4)")</f>
        <v>mívat (v-w1857f4)</v>
      </c>
    </row>
    <row r="15917" spans="1:2" x14ac:dyDescent="0.2">
      <c r="B15917" t="s">
        <v>1</v>
      </c>
    </row>
    <row r="15918" spans="1:2" x14ac:dyDescent="0.2">
      <c r="B15918" t="s">
        <v>5355</v>
      </c>
    </row>
    <row r="15920" spans="1:2" x14ac:dyDescent="0.2">
      <c r="A15920" t="s">
        <v>5356</v>
      </c>
      <c r="B15920" t="str">
        <f>HYPERLINK("https://lindat.mff.cuni.cz/services/teitok/pdtc10/index.php?action=vallex&amp;frame=v-w1857f12", "mívat (v-w1857f12)")</f>
        <v>mívat (v-w1857f12)</v>
      </c>
    </row>
    <row r="15921" spans="1:2" x14ac:dyDescent="0.2">
      <c r="B15921" t="s">
        <v>1</v>
      </c>
    </row>
    <row r="15922" spans="1:2" x14ac:dyDescent="0.2">
      <c r="B15922" t="s">
        <v>5357</v>
      </c>
    </row>
    <row r="15924" spans="1:2" x14ac:dyDescent="0.2">
      <c r="A15924" t="s">
        <v>5358</v>
      </c>
      <c r="B15924" t="str">
        <f>HYPERLINK("https://lindat.mff.cuni.cz/services/teitok/pdtc10/index.php?action=vallex&amp;frame=v-w1857f5", "mívat (v-w1857f5)")</f>
        <v>mívat (v-w1857f5)</v>
      </c>
    </row>
    <row r="15925" spans="1:2" x14ac:dyDescent="0.2">
      <c r="B15925" t="s">
        <v>1</v>
      </c>
    </row>
    <row r="15926" spans="1:2" x14ac:dyDescent="0.2">
      <c r="B15926" t="s">
        <v>5359</v>
      </c>
    </row>
    <row r="15928" spans="1:2" x14ac:dyDescent="0.2">
      <c r="A15928" t="s">
        <v>5360</v>
      </c>
      <c r="B15928" t="str">
        <f>HYPERLINK("https://lindat.mff.cuni.cz/services/teitok/pdtc10/index.php?action=vallex&amp;frame=v-w1857f10", "mívat (v-w1857f10)")</f>
        <v>mívat (v-w1857f10)</v>
      </c>
    </row>
    <row r="15929" spans="1:2" x14ac:dyDescent="0.2">
      <c r="B15929" t="s">
        <v>1</v>
      </c>
    </row>
    <row r="15930" spans="1:2" x14ac:dyDescent="0.2">
      <c r="B15930" t="s">
        <v>5361</v>
      </c>
    </row>
    <row r="15932" spans="1:2" x14ac:dyDescent="0.2">
      <c r="A15932" t="s">
        <v>5362</v>
      </c>
      <c r="B15932" t="str">
        <f>HYPERLINK("https://lindat.mff.cuni.cz/services/teitok/pdtc10/index.php?action=vallex&amp;frame=v-w1857f14", "mívat (v-w1857f14)")</f>
        <v>mívat (v-w1857f14)</v>
      </c>
    </row>
    <row r="15933" spans="1:2" x14ac:dyDescent="0.2">
      <c r="B15933" t="s">
        <v>1</v>
      </c>
    </row>
    <row r="15934" spans="1:2" x14ac:dyDescent="0.2">
      <c r="B15934" t="s">
        <v>5363</v>
      </c>
    </row>
    <row r="15936" spans="1:2" x14ac:dyDescent="0.2">
      <c r="A15936" t="s">
        <v>5364</v>
      </c>
      <c r="B15936" t="str">
        <f>HYPERLINK("https://lindat.mff.cuni.cz/services/teitok/pdtc10/index.php?action=vallex&amp;frame=v-w1857f16", "mívat (v-w1857f16)")</f>
        <v>mívat (v-w1857f16)</v>
      </c>
    </row>
    <row r="15937" spans="1:4" x14ac:dyDescent="0.2">
      <c r="B15937" t="s">
        <v>1</v>
      </c>
    </row>
    <row r="15938" spans="1:4" x14ac:dyDescent="0.2">
      <c r="B15938" t="s">
        <v>615</v>
      </c>
    </row>
    <row r="15939" spans="1:4" x14ac:dyDescent="0.2">
      <c r="B15939" t="s">
        <v>8</v>
      </c>
    </row>
    <row r="15941" spans="1:4" x14ac:dyDescent="0.2">
      <c r="A15941" t="s">
        <v>5365</v>
      </c>
      <c r="B15941" t="str">
        <f>HYPERLINK("https://lindat.mff.cuni.cz/services/teitok/pdtc10/index.php?action=vallex&amp;frame=v-w1857f17", "mívat (v-w1857f17)")</f>
        <v>mívat (v-w1857f17)</v>
      </c>
    </row>
    <row r="15942" spans="1:4" x14ac:dyDescent="0.2">
      <c r="B15942" t="s">
        <v>1</v>
      </c>
      <c r="D15942" t="s">
        <v>1566</v>
      </c>
    </row>
    <row r="15943" spans="1:4" x14ac:dyDescent="0.2">
      <c r="B15943" t="s">
        <v>5335</v>
      </c>
    </row>
    <row r="15944" spans="1:4" x14ac:dyDescent="0.2">
      <c r="B15944" t="s">
        <v>5366</v>
      </c>
      <c r="D15944" t="s">
        <v>125</v>
      </c>
    </row>
    <row r="15946" spans="1:4" x14ac:dyDescent="0.2">
      <c r="A15946" t="s">
        <v>5367</v>
      </c>
      <c r="B15946" t="str">
        <f>HYPERLINK("https://lindat.mff.cuni.cz/services/teitok/pdtc10/index.php?action=vallex&amp;frame=v-w1857f18", "mívat (v-w1857f18)")</f>
        <v>mívat (v-w1857f18)</v>
      </c>
    </row>
    <row r="15947" spans="1:4" x14ac:dyDescent="0.2">
      <c r="B15947" t="s">
        <v>1</v>
      </c>
      <c r="D15947" t="s">
        <v>23017</v>
      </c>
    </row>
    <row r="15948" spans="1:4" x14ac:dyDescent="0.2">
      <c r="B15948" t="s">
        <v>5133</v>
      </c>
    </row>
    <row r="15949" spans="1:4" x14ac:dyDescent="0.2">
      <c r="B15949" t="s">
        <v>41</v>
      </c>
      <c r="D15949" t="s">
        <v>23498</v>
      </c>
    </row>
    <row r="15951" spans="1:4" x14ac:dyDescent="0.2">
      <c r="A15951" t="s">
        <v>5368</v>
      </c>
      <c r="B15951" t="str">
        <f>HYPERLINK("https://lindat.mff.cuni.cz/services/teitok/pdtc10/index.php?action=vallex&amp;frame=v-w1857f20_ZU", "mívat (v-w1857f20_ZU)")</f>
        <v>mívat (v-w1857f20_ZU)</v>
      </c>
    </row>
    <row r="15952" spans="1:4" x14ac:dyDescent="0.2">
      <c r="B15952" t="s">
        <v>1</v>
      </c>
    </row>
    <row r="15953" spans="1:2" x14ac:dyDescent="0.2">
      <c r="B15953" t="s">
        <v>8</v>
      </c>
    </row>
    <row r="15955" spans="1:2" x14ac:dyDescent="0.2">
      <c r="A15955" t="s">
        <v>5369</v>
      </c>
      <c r="B15955" t="str">
        <f>HYPERLINK("https://lindat.mff.cuni.cz/services/teitok/pdtc10/index.php?action=vallex&amp;frame=v-w1857f22_ZU", "mívat (v-w1857f22_ZU)")</f>
        <v>mívat (v-w1857f22_ZU)</v>
      </c>
    </row>
    <row r="15956" spans="1:2" x14ac:dyDescent="0.2">
      <c r="B15956" t="s">
        <v>5041</v>
      </c>
    </row>
    <row r="15957" spans="1:2" x14ac:dyDescent="0.2">
      <c r="B15957" t="s">
        <v>5041</v>
      </c>
    </row>
    <row r="15958" spans="1:2" x14ac:dyDescent="0.2">
      <c r="B15958" t="s">
        <v>8</v>
      </c>
    </row>
    <row r="15959" spans="1:2" x14ac:dyDescent="0.2">
      <c r="B15959" t="s">
        <v>5370</v>
      </c>
    </row>
    <row r="15961" spans="1:2" x14ac:dyDescent="0.2">
      <c r="A15961" t="s">
        <v>5369</v>
      </c>
      <c r="B15961" t="str">
        <f>HYPERLINK("https://lindat.mff.cuni.cz/services/teitok/pdtc10/index.php?action=vallex&amp;frame=v-w1857f21_ZU", "mívat (v-w1857f21_ZU) - substituted with v-w1857f22_ZU")</f>
        <v>mívat (v-w1857f21_ZU) - substituted with v-w1857f22_ZU</v>
      </c>
    </row>
    <row r="15962" spans="1:2" x14ac:dyDescent="0.2">
      <c r="B15962" t="s">
        <v>5041</v>
      </c>
    </row>
    <row r="15963" spans="1:2" x14ac:dyDescent="0.2">
      <c r="B15963" t="s">
        <v>5041</v>
      </c>
    </row>
    <row r="15964" spans="1:2" x14ac:dyDescent="0.2">
      <c r="B15964" t="s">
        <v>8</v>
      </c>
    </row>
    <row r="15965" spans="1:2" x14ac:dyDescent="0.2">
      <c r="B15965" t="s">
        <v>5370</v>
      </c>
    </row>
    <row r="15967" spans="1:2" x14ac:dyDescent="0.2">
      <c r="A15967" t="s">
        <v>5371</v>
      </c>
      <c r="B15967" t="str">
        <f>HYPERLINK("https://lindat.mff.cuni.cz/services/teitok/pdtc10/index.php?action=vallex&amp;frame=v-w1857f23_ZU", "mívat (v-w1857f23_ZU)")</f>
        <v>mívat (v-w1857f23_ZU)</v>
      </c>
    </row>
    <row r="15968" spans="1:2" x14ac:dyDescent="0.2">
      <c r="B15968" t="s">
        <v>1</v>
      </c>
    </row>
    <row r="15969" spans="1:2" x14ac:dyDescent="0.2">
      <c r="B15969" t="s">
        <v>5372</v>
      </c>
    </row>
    <row r="15971" spans="1:2" x14ac:dyDescent="0.2">
      <c r="A15971" t="s">
        <v>5373</v>
      </c>
      <c r="B15971" t="str">
        <f>HYPERLINK("https://lindat.mff.cuni.cz/services/teitok/pdtc10/index.php?action=vallex&amp;frame=v-w1857f25_ZU", "mívat (v-w1857f25_ZU)")</f>
        <v>mívat (v-w1857f25_ZU)</v>
      </c>
    </row>
    <row r="15972" spans="1:2" x14ac:dyDescent="0.2">
      <c r="B15972" t="s">
        <v>1</v>
      </c>
    </row>
    <row r="15973" spans="1:2" x14ac:dyDescent="0.2">
      <c r="B15973" t="s">
        <v>8</v>
      </c>
    </row>
    <row r="15974" spans="1:2" x14ac:dyDescent="0.2">
      <c r="B15974" t="s">
        <v>1142</v>
      </c>
    </row>
    <row r="15976" spans="1:2" x14ac:dyDescent="0.2">
      <c r="A15976" t="s">
        <v>5373</v>
      </c>
      <c r="B15976" t="str">
        <f>HYPERLINK("https://lindat.mff.cuni.cz/services/teitok/pdtc10/index.php?action=vallex&amp;frame=v-w1857hsa_429", "mívat (v-w1857hsa_429) - substituted with v-w1857f25_ZU")</f>
        <v>mívat (v-w1857hsa_429) - substituted with v-w1857f25_ZU</v>
      </c>
    </row>
    <row r="15977" spans="1:2" x14ac:dyDescent="0.2">
      <c r="B15977" t="s">
        <v>1</v>
      </c>
    </row>
    <row r="15978" spans="1:2" x14ac:dyDescent="0.2">
      <c r="B15978" t="s">
        <v>8</v>
      </c>
    </row>
    <row r="15979" spans="1:2" x14ac:dyDescent="0.2">
      <c r="B15979" t="s">
        <v>1142</v>
      </c>
    </row>
    <row r="15981" spans="1:2" x14ac:dyDescent="0.2">
      <c r="A15981" t="s">
        <v>5374</v>
      </c>
      <c r="B15981" t="str">
        <f>HYPERLINK("https://lindat.mff.cuni.cz/services/teitok/pdtc10/index.php?action=vallex&amp;frame=v-w1847f4", "mířit (v-w1847f4)")</f>
        <v>mířit (v-w1847f4)</v>
      </c>
    </row>
    <row r="15982" spans="1:2" x14ac:dyDescent="0.2">
      <c r="B15982" t="s">
        <v>1</v>
      </c>
    </row>
    <row r="15983" spans="1:2" x14ac:dyDescent="0.2">
      <c r="B15983" t="s">
        <v>8</v>
      </c>
    </row>
    <row r="15984" spans="1:2" x14ac:dyDescent="0.2">
      <c r="B15984" t="s">
        <v>90</v>
      </c>
    </row>
    <row r="15986" spans="1:4" x14ac:dyDescent="0.2">
      <c r="A15986" t="s">
        <v>5375</v>
      </c>
      <c r="B15986" t="str">
        <f>HYPERLINK("https://lindat.mff.cuni.cz/services/teitok/pdtc10/index.php?action=vallex&amp;frame=v-w1847f3", "mířit (v-w1847f3)")</f>
        <v>mířit (v-w1847f3)</v>
      </c>
    </row>
    <row r="15987" spans="1:4" x14ac:dyDescent="0.2">
      <c r="B15987" t="s">
        <v>1</v>
      </c>
      <c r="C15987" t="s">
        <v>2264</v>
      </c>
      <c r="D15987" t="s">
        <v>23360</v>
      </c>
    </row>
    <row r="15988" spans="1:4" x14ac:dyDescent="0.2">
      <c r="B15988" t="s">
        <v>176</v>
      </c>
      <c r="D15988" t="s">
        <v>23361</v>
      </c>
    </row>
    <row r="15990" spans="1:4" x14ac:dyDescent="0.2">
      <c r="A15990" t="s">
        <v>5376</v>
      </c>
      <c r="B15990" t="str">
        <f>HYPERLINK("https://lindat.mff.cuni.cz/services/teitok/pdtc10/index.php?action=vallex&amp;frame=v-w1847f1", "mířit (v-w1847f1)")</f>
        <v>mířit (v-w1847f1)</v>
      </c>
    </row>
    <row r="15991" spans="1:4" x14ac:dyDescent="0.2">
      <c r="B15991" t="s">
        <v>1</v>
      </c>
      <c r="C15991" t="s">
        <v>5377</v>
      </c>
      <c r="D15991" t="s">
        <v>23501</v>
      </c>
    </row>
    <row r="15992" spans="1:4" x14ac:dyDescent="0.2">
      <c r="B15992" t="s">
        <v>90</v>
      </c>
      <c r="C15992" t="s">
        <v>5378</v>
      </c>
      <c r="D15992" t="s">
        <v>11579</v>
      </c>
    </row>
    <row r="15994" spans="1:4" x14ac:dyDescent="0.2">
      <c r="A15994" t="s">
        <v>5379</v>
      </c>
      <c r="B15994" t="str">
        <f>HYPERLINK("https://lindat.mff.cuni.cz/services/teitok/pdtc10/index.php?action=vallex&amp;frame=v-w1847f2", "mířit (v-w1847f2)")</f>
        <v>mířit (v-w1847f2)</v>
      </c>
    </row>
    <row r="15995" spans="1:4" x14ac:dyDescent="0.2">
      <c r="B15995" t="s">
        <v>1</v>
      </c>
      <c r="C15995" t="s">
        <v>5380</v>
      </c>
      <c r="D15995" t="s">
        <v>33</v>
      </c>
    </row>
    <row r="15996" spans="1:4" x14ac:dyDescent="0.2">
      <c r="B15996" t="s">
        <v>90</v>
      </c>
      <c r="C15996" t="s">
        <v>5381</v>
      </c>
    </row>
    <row r="15998" spans="1:4" x14ac:dyDescent="0.2">
      <c r="A15998" t="s">
        <v>5382</v>
      </c>
      <c r="B15998" t="str">
        <f>HYPERLINK("https://lindat.mff.cuni.cz/services/teitok/pdtc10/index.php?action=vallex&amp;frame=v-w1847f5_ZU", "mířit (v-w1847f5_ZU)")</f>
        <v>mířit (v-w1847f5_ZU)</v>
      </c>
    </row>
    <row r="15999" spans="1:4" x14ac:dyDescent="0.2">
      <c r="B15999" t="s">
        <v>1</v>
      </c>
      <c r="C15999" t="s">
        <v>964</v>
      </c>
      <c r="D15999" t="s">
        <v>3622</v>
      </c>
    </row>
    <row r="16000" spans="1:4" x14ac:dyDescent="0.2">
      <c r="B16000" t="s">
        <v>205</v>
      </c>
    </row>
    <row r="16002" spans="1:4" x14ac:dyDescent="0.2">
      <c r="A16002" t="s">
        <v>5383</v>
      </c>
      <c r="B16002" t="str">
        <f>HYPERLINK("https://lindat.mff.cuni.cz/services/teitok/pdtc10/index.php?action=vallex&amp;frame=v-w1915f1", "mýlit (v-w1915f1)")</f>
        <v>mýlit (v-w1915f1)</v>
      </c>
    </row>
    <row r="16003" spans="1:4" x14ac:dyDescent="0.2">
      <c r="B16003" t="s">
        <v>1</v>
      </c>
    </row>
    <row r="16004" spans="1:4" x14ac:dyDescent="0.2">
      <c r="B16004" t="s">
        <v>8</v>
      </c>
    </row>
    <row r="16006" spans="1:4" x14ac:dyDescent="0.2">
      <c r="A16006" t="s">
        <v>5384</v>
      </c>
      <c r="B16006" t="str">
        <f>HYPERLINK("https://lindat.mff.cuni.cz/services/teitok/pdtc10/index.php?action=vallex&amp;frame=v-w1916f1", "mýlit se (v-w1916f1)")</f>
        <v>mýlit se (v-w1916f1)</v>
      </c>
    </row>
    <row r="16007" spans="1:4" x14ac:dyDescent="0.2">
      <c r="B16007" t="s">
        <v>1</v>
      </c>
      <c r="C16007" t="s">
        <v>5385</v>
      </c>
      <c r="D16007" t="s">
        <v>83</v>
      </c>
    </row>
    <row r="16009" spans="1:4" x14ac:dyDescent="0.2">
      <c r="A16009" t="s">
        <v>5386</v>
      </c>
      <c r="B16009" t="str">
        <f>HYPERLINK("https://lindat.mff.cuni.cz/services/teitok/pdtc10/index.php?action=vallex&amp;frame=v-w1923f1", "mýt (v-w1923f1)")</f>
        <v>mýt (v-w1923f1)</v>
      </c>
    </row>
    <row r="16010" spans="1:4" x14ac:dyDescent="0.2">
      <c r="B16010" t="s">
        <v>1</v>
      </c>
      <c r="C16010" t="s">
        <v>33</v>
      </c>
      <c r="D16010" t="s">
        <v>80</v>
      </c>
    </row>
    <row r="16011" spans="1:4" x14ac:dyDescent="0.2">
      <c r="B16011" t="s">
        <v>8</v>
      </c>
      <c r="C16011" t="s">
        <v>991</v>
      </c>
      <c r="D16011" t="s">
        <v>23502</v>
      </c>
    </row>
    <row r="16013" spans="1:4" x14ac:dyDescent="0.2">
      <c r="A16013" t="s">
        <v>5387</v>
      </c>
      <c r="B16013" t="str">
        <f>HYPERLINK("https://lindat.mff.cuni.cz/services/teitok/pdtc10/index.php?action=vallex&amp;frame=v-w1814f3", "měnit (v-w1814f3)")</f>
        <v>měnit (v-w1814f3)</v>
      </c>
    </row>
    <row r="16014" spans="1:4" x14ac:dyDescent="0.2">
      <c r="B16014" t="s">
        <v>1</v>
      </c>
      <c r="C16014" t="s">
        <v>1366</v>
      </c>
      <c r="D16014" t="s">
        <v>16642</v>
      </c>
    </row>
    <row r="16015" spans="1:4" x14ac:dyDescent="0.2">
      <c r="B16015" t="s">
        <v>8</v>
      </c>
      <c r="C16015" t="s">
        <v>5388</v>
      </c>
      <c r="D16015" t="s">
        <v>23503</v>
      </c>
    </row>
    <row r="16016" spans="1:4" x14ac:dyDescent="0.2">
      <c r="B16016" t="s">
        <v>2328</v>
      </c>
      <c r="D16016" t="s">
        <v>6378</v>
      </c>
    </row>
    <row r="16017" spans="1:4" x14ac:dyDescent="0.2">
      <c r="B16017" t="s">
        <v>413</v>
      </c>
      <c r="C16017" t="s">
        <v>5389</v>
      </c>
      <c r="D16017" t="s">
        <v>23504</v>
      </c>
    </row>
    <row r="16019" spans="1:4" x14ac:dyDescent="0.2">
      <c r="A16019" t="s">
        <v>5390</v>
      </c>
      <c r="B16019" t="str">
        <f>HYPERLINK("https://lindat.mff.cuni.cz/services/teitok/pdtc10/index.php?action=vallex&amp;frame=v-w1814f1", "měnit (v-w1814f1)")</f>
        <v>měnit (v-w1814f1)</v>
      </c>
    </row>
    <row r="16020" spans="1:4" x14ac:dyDescent="0.2">
      <c r="B16020" t="s">
        <v>1</v>
      </c>
      <c r="C16020" t="s">
        <v>5391</v>
      </c>
      <c r="D16020" t="s">
        <v>22944</v>
      </c>
    </row>
    <row r="16021" spans="1:4" x14ac:dyDescent="0.2">
      <c r="B16021" t="s">
        <v>8</v>
      </c>
      <c r="C16021" t="s">
        <v>5392</v>
      </c>
      <c r="D16021" t="s">
        <v>22945</v>
      </c>
    </row>
    <row r="16022" spans="1:4" x14ac:dyDescent="0.2">
      <c r="B16022" t="s">
        <v>24</v>
      </c>
      <c r="C16022" t="s">
        <v>5393</v>
      </c>
      <c r="D16022" t="s">
        <v>22946</v>
      </c>
    </row>
    <row r="16023" spans="1:4" x14ac:dyDescent="0.2">
      <c r="B16023" t="s">
        <v>5394</v>
      </c>
      <c r="C16023" t="s">
        <v>5395</v>
      </c>
      <c r="D16023" t="s">
        <v>22947</v>
      </c>
    </row>
    <row r="16025" spans="1:4" x14ac:dyDescent="0.2">
      <c r="A16025" t="s">
        <v>5396</v>
      </c>
      <c r="B16025" t="str">
        <f>HYPERLINK("https://lindat.mff.cuni.cz/services/teitok/pdtc10/index.php?action=vallex&amp;frame=v-w1814f2", "měnit (v-w1814f2)")</f>
        <v>měnit (v-w1814f2)</v>
      </c>
    </row>
    <row r="16026" spans="1:4" x14ac:dyDescent="0.2">
      <c r="B16026" t="s">
        <v>488</v>
      </c>
      <c r="C16026" t="s">
        <v>5397</v>
      </c>
    </row>
    <row r="16027" spans="1:4" x14ac:dyDescent="0.2">
      <c r="B16027" t="s">
        <v>8</v>
      </c>
      <c r="C16027" t="s">
        <v>5398</v>
      </c>
    </row>
    <row r="16028" spans="1:4" x14ac:dyDescent="0.2">
      <c r="B16028" t="s">
        <v>442</v>
      </c>
      <c r="C16028" t="s">
        <v>5399</v>
      </c>
    </row>
    <row r="16030" spans="1:4" x14ac:dyDescent="0.2">
      <c r="A16030" t="s">
        <v>5400</v>
      </c>
      <c r="B16030" t="str">
        <f>HYPERLINK("https://lindat.mff.cuni.cz/services/teitok/pdtc10/index.php?action=vallex&amp;frame=v-w1814f4", "měnit (v-w1814f4)")</f>
        <v>měnit (v-w1814f4)</v>
      </c>
    </row>
    <row r="16031" spans="1:4" x14ac:dyDescent="0.2">
      <c r="B16031" t="s">
        <v>1</v>
      </c>
      <c r="C16031" t="s">
        <v>5401</v>
      </c>
      <c r="D16031" t="s">
        <v>23505</v>
      </c>
    </row>
    <row r="16032" spans="1:4" x14ac:dyDescent="0.2">
      <c r="B16032" t="s">
        <v>8</v>
      </c>
      <c r="C16032" t="s">
        <v>5402</v>
      </c>
      <c r="D16032" t="s">
        <v>8709</v>
      </c>
    </row>
    <row r="16033" spans="1:4" x14ac:dyDescent="0.2">
      <c r="B16033" t="s">
        <v>413</v>
      </c>
      <c r="C16033" t="s">
        <v>5403</v>
      </c>
      <c r="D16033" t="s">
        <v>5641</v>
      </c>
    </row>
    <row r="16035" spans="1:4" x14ac:dyDescent="0.2">
      <c r="A16035" t="s">
        <v>5404</v>
      </c>
      <c r="B16035" t="str">
        <f>HYPERLINK("https://lindat.mff.cuni.cz/services/teitok/pdtc10/index.php?action=vallex&amp;frame=v-w1815f2", "měnit se (v-w1815f2)")</f>
        <v>měnit se (v-w1815f2)</v>
      </c>
    </row>
    <row r="16036" spans="1:4" x14ac:dyDescent="0.2">
      <c r="B16036" t="s">
        <v>1</v>
      </c>
      <c r="C16036" t="s">
        <v>5405</v>
      </c>
      <c r="D16036" t="s">
        <v>23506</v>
      </c>
    </row>
    <row r="16037" spans="1:4" x14ac:dyDescent="0.2">
      <c r="B16037" t="s">
        <v>5406</v>
      </c>
      <c r="C16037" t="s">
        <v>5407</v>
      </c>
      <c r="D16037" t="s">
        <v>23507</v>
      </c>
    </row>
    <row r="16038" spans="1:4" x14ac:dyDescent="0.2">
      <c r="B16038" t="s">
        <v>24</v>
      </c>
      <c r="C16038" t="s">
        <v>5408</v>
      </c>
      <c r="D16038" t="s">
        <v>11827</v>
      </c>
    </row>
    <row r="16040" spans="1:4" x14ac:dyDescent="0.2">
      <c r="A16040" t="s">
        <v>5409</v>
      </c>
      <c r="B16040" t="str">
        <f>HYPERLINK("https://lindat.mff.cuni.cz/services/teitok/pdtc10/index.php?action=vallex&amp;frame=v-w1815f3", "měnit se (v-w1815f3)")</f>
        <v>měnit se (v-w1815f3)</v>
      </c>
    </row>
    <row r="16041" spans="1:4" x14ac:dyDescent="0.2">
      <c r="B16041" t="s">
        <v>1</v>
      </c>
    </row>
    <row r="16042" spans="1:4" x14ac:dyDescent="0.2">
      <c r="B16042" t="s">
        <v>411</v>
      </c>
    </row>
    <row r="16044" spans="1:4" x14ac:dyDescent="0.2">
      <c r="A16044" t="s">
        <v>5410</v>
      </c>
      <c r="B16044" t="str">
        <f>HYPERLINK("https://lindat.mff.cuni.cz/services/teitok/pdtc10/index.php?action=vallex&amp;frame=v-w1815f1", "měnit se (v-w1815f1)")</f>
        <v>měnit se (v-w1815f1)</v>
      </c>
    </row>
    <row r="16045" spans="1:4" x14ac:dyDescent="0.2">
      <c r="B16045" t="s">
        <v>1</v>
      </c>
      <c r="C16045" t="s">
        <v>5411</v>
      </c>
      <c r="D16045" t="s">
        <v>11669</v>
      </c>
    </row>
    <row r="16047" spans="1:4" x14ac:dyDescent="0.2">
      <c r="A16047" t="s">
        <v>5412</v>
      </c>
      <c r="B16047" t="str">
        <f>HYPERLINK("https://lindat.mff.cuni.cz/services/teitok/pdtc10/index.php?action=vallex&amp;frame=v-w1821f3", "měřit (v-w1821f3)")</f>
        <v>měřit (v-w1821f3)</v>
      </c>
    </row>
    <row r="16048" spans="1:4" x14ac:dyDescent="0.2">
      <c r="B16048" t="s">
        <v>1</v>
      </c>
      <c r="C16048" t="s">
        <v>140</v>
      </c>
    </row>
    <row r="16049" spans="1:4" x14ac:dyDescent="0.2">
      <c r="B16049" t="s">
        <v>8</v>
      </c>
      <c r="C16049" t="s">
        <v>1340</v>
      </c>
    </row>
    <row r="16050" spans="1:4" x14ac:dyDescent="0.2">
      <c r="B16050" t="s">
        <v>2604</v>
      </c>
    </row>
    <row r="16052" spans="1:4" x14ac:dyDescent="0.2">
      <c r="A16052" t="s">
        <v>5413</v>
      </c>
      <c r="B16052" t="str">
        <f>HYPERLINK("https://lindat.mff.cuni.cz/services/teitok/pdtc10/index.php?action=vallex&amp;frame=v-w1821f1", "měřit (v-w1821f1)")</f>
        <v>měřit (v-w1821f1)</v>
      </c>
    </row>
    <row r="16053" spans="1:4" x14ac:dyDescent="0.2">
      <c r="B16053" t="s">
        <v>1</v>
      </c>
      <c r="C16053" t="s">
        <v>5414</v>
      </c>
      <c r="D16053" t="s">
        <v>5414</v>
      </c>
    </row>
    <row r="16054" spans="1:4" x14ac:dyDescent="0.2">
      <c r="B16054" t="s">
        <v>8</v>
      </c>
      <c r="C16054" t="s">
        <v>977</v>
      </c>
      <c r="D16054" t="s">
        <v>977</v>
      </c>
    </row>
    <row r="16056" spans="1:4" x14ac:dyDescent="0.2">
      <c r="A16056" t="s">
        <v>5415</v>
      </c>
      <c r="B16056" t="str">
        <f>HYPERLINK("https://lindat.mff.cuni.cz/services/teitok/pdtc10/index.php?action=vallex&amp;frame=v-w1821f2", "měřit (v-w1821f2)")</f>
        <v>měřit (v-w1821f2)</v>
      </c>
    </row>
    <row r="16057" spans="1:4" x14ac:dyDescent="0.2">
      <c r="B16057" t="s">
        <v>1</v>
      </c>
      <c r="C16057" t="s">
        <v>715</v>
      </c>
      <c r="D16057" t="s">
        <v>23508</v>
      </c>
    </row>
    <row r="16058" spans="1:4" x14ac:dyDescent="0.2">
      <c r="B16058" t="s">
        <v>524</v>
      </c>
      <c r="C16058" t="s">
        <v>5416</v>
      </c>
      <c r="D16058" t="s">
        <v>23509</v>
      </c>
    </row>
    <row r="16060" spans="1:4" x14ac:dyDescent="0.2">
      <c r="A16060" t="s">
        <v>5417</v>
      </c>
      <c r="B16060" t="str">
        <f>HYPERLINK("https://lindat.mff.cuni.cz/services/teitok/pdtc10/index.php?action=vallex&amp;frame=v-w1821hsa_603", "měřit (v-w1821hsa_603)")</f>
        <v>měřit (v-w1821hsa_603)</v>
      </c>
    </row>
    <row r="16061" spans="1:4" x14ac:dyDescent="0.2">
      <c r="B16061" t="s">
        <v>1</v>
      </c>
    </row>
    <row r="16062" spans="1:4" x14ac:dyDescent="0.2">
      <c r="B16062" t="s">
        <v>8</v>
      </c>
    </row>
    <row r="16064" spans="1:4" x14ac:dyDescent="0.2">
      <c r="A16064" t="s">
        <v>5418</v>
      </c>
      <c r="B16064" t="str">
        <f>HYPERLINK("https://lindat.mff.cuni.cz/services/teitok/pdtc10/index.php?action=vallex&amp;frame=v-w1928f1", "mžourat (v-w1928f1)")</f>
        <v>mžourat (v-w1928f1)</v>
      </c>
    </row>
    <row r="16065" spans="1:4" x14ac:dyDescent="0.2">
      <c r="B16065" t="s">
        <v>1</v>
      </c>
      <c r="C16065" t="s">
        <v>249</v>
      </c>
      <c r="D16065" t="s">
        <v>317</v>
      </c>
    </row>
    <row r="16066" spans="1:4" x14ac:dyDescent="0.2">
      <c r="B16066" t="s">
        <v>90</v>
      </c>
      <c r="C16066" t="s">
        <v>1796</v>
      </c>
      <c r="D16066" t="s">
        <v>23313</v>
      </c>
    </row>
    <row r="16068" spans="1:4" x14ac:dyDescent="0.2">
      <c r="A16068" t="s">
        <v>5419</v>
      </c>
      <c r="B16068" t="str">
        <f>HYPERLINK("https://lindat.mff.cuni.cz/services/teitok/pdtc10/index.php?action=vallex&amp;frame=v-w1927f2", "mžít (v-w1927f2)")</f>
        <v>mžít (v-w1927f2)</v>
      </c>
    </row>
    <row r="16069" spans="1:4" x14ac:dyDescent="0.2">
      <c r="B16069" t="s">
        <v>1</v>
      </c>
    </row>
    <row r="16071" spans="1:4" x14ac:dyDescent="0.2">
      <c r="A16071" t="s">
        <v>5420</v>
      </c>
      <c r="B16071" t="str">
        <f>HYPERLINK("https://lindat.mff.cuni.cz/services/teitok/pdtc10/index.php?action=vallex&amp;frame=v-w1927f1", "mžít (v-w1927f1)")</f>
        <v>mžít (v-w1927f1)</v>
      </c>
    </row>
    <row r="16073" spans="1:4" x14ac:dyDescent="0.2">
      <c r="A16073" t="s">
        <v>5421</v>
      </c>
      <c r="B16073" t="str">
        <f>HYPERLINK("https://lindat.mff.cuni.cz/services/teitok/pdtc10/index.php?action=vallex&amp;frame=v-w1929f1", "naakumulovat (v-w1929f1)")</f>
        <v>naakumulovat (v-w1929f1)</v>
      </c>
    </row>
    <row r="16074" spans="1:4" x14ac:dyDescent="0.2">
      <c r="B16074" t="s">
        <v>1</v>
      </c>
    </row>
    <row r="16075" spans="1:4" x14ac:dyDescent="0.2">
      <c r="B16075" t="s">
        <v>8</v>
      </c>
    </row>
    <row r="16077" spans="1:4" x14ac:dyDescent="0.2">
      <c r="A16077" t="s">
        <v>5422</v>
      </c>
      <c r="B16077" t="str">
        <f>HYPERLINK("https://lindat.mff.cuni.cz/services/teitok/pdtc10/index.php?action=vallex&amp;frame=v-w1930f1", "naaranžovat (v-w1930f1)")</f>
        <v>naaranžovat (v-w1930f1)</v>
      </c>
    </row>
    <row r="16078" spans="1:4" x14ac:dyDescent="0.2">
      <c r="B16078" t="s">
        <v>1</v>
      </c>
      <c r="D16078" t="s">
        <v>140</v>
      </c>
    </row>
    <row r="16079" spans="1:4" x14ac:dyDescent="0.2">
      <c r="B16079" t="s">
        <v>8</v>
      </c>
      <c r="D16079" t="s">
        <v>113</v>
      </c>
    </row>
    <row r="16080" spans="1:4" x14ac:dyDescent="0.2">
      <c r="B16080" t="s">
        <v>24</v>
      </c>
    </row>
    <row r="16081" spans="1:2" x14ac:dyDescent="0.2">
      <c r="B16081" t="s">
        <v>4203</v>
      </c>
    </row>
    <row r="16083" spans="1:2" x14ac:dyDescent="0.2">
      <c r="A16083" t="s">
        <v>5423</v>
      </c>
      <c r="B16083" t="str">
        <f>HYPERLINK("https://lindat.mff.cuni.cz/services/teitok/pdtc10/index.php?action=vallex&amp;frame=v-w12256_ZUf1_ZU", "nabalit (v-w12256_ZUf1_ZU)")</f>
        <v>nabalit (v-w12256_ZUf1_ZU)</v>
      </c>
    </row>
    <row r="16084" spans="1:2" x14ac:dyDescent="0.2">
      <c r="B16084" t="s">
        <v>1</v>
      </c>
    </row>
    <row r="16085" spans="1:2" x14ac:dyDescent="0.2">
      <c r="B16085" t="s">
        <v>8</v>
      </c>
    </row>
    <row r="16087" spans="1:2" x14ac:dyDescent="0.2">
      <c r="A16087" t="s">
        <v>5424</v>
      </c>
      <c r="B16087" t="str">
        <f>HYPERLINK("https://lindat.mff.cuni.cz/services/teitok/pdtc10/index.php?action=vallex&amp;frame=v-w1934f1", "nabalovat (v-w1934f1)")</f>
        <v>nabalovat (v-w1934f1)</v>
      </c>
    </row>
    <row r="16088" spans="1:2" x14ac:dyDescent="0.2">
      <c r="B16088" t="s">
        <v>1</v>
      </c>
    </row>
    <row r="16089" spans="1:2" x14ac:dyDescent="0.2">
      <c r="B16089" t="s">
        <v>5425</v>
      </c>
    </row>
    <row r="16090" spans="1:2" x14ac:dyDescent="0.2">
      <c r="B16090" t="s">
        <v>8</v>
      </c>
    </row>
    <row r="16092" spans="1:2" x14ac:dyDescent="0.2">
      <c r="A16092" t="s">
        <v>5426</v>
      </c>
      <c r="B16092" t="str">
        <f>HYPERLINK("https://lindat.mff.cuni.cz/services/teitok/pdtc10/index.php?action=vallex&amp;frame=v-w1935f1", "nabalovat se (v-w1935f1)")</f>
        <v>nabalovat se (v-w1935f1)</v>
      </c>
    </row>
    <row r="16093" spans="1:2" x14ac:dyDescent="0.2">
      <c r="B16093" t="s">
        <v>1</v>
      </c>
    </row>
    <row r="16094" spans="1:2" x14ac:dyDescent="0.2">
      <c r="B16094" t="s">
        <v>28</v>
      </c>
    </row>
    <row r="16096" spans="1:2" x14ac:dyDescent="0.2">
      <c r="A16096" t="s">
        <v>5427</v>
      </c>
      <c r="B16096" t="str">
        <f>HYPERLINK("https://lindat.mff.cuni.cz/services/teitok/pdtc10/index.php?action=vallex&amp;frame=v-w1935f2", "nabalovat se (v-w1935f2)")</f>
        <v>nabalovat se (v-w1935f2)</v>
      </c>
    </row>
    <row r="16097" spans="1:4" x14ac:dyDescent="0.2">
      <c r="B16097" t="s">
        <v>1</v>
      </c>
    </row>
    <row r="16098" spans="1:4" x14ac:dyDescent="0.2">
      <c r="B16098" t="s">
        <v>90</v>
      </c>
    </row>
    <row r="16100" spans="1:4" x14ac:dyDescent="0.2">
      <c r="A16100" t="s">
        <v>5428</v>
      </c>
      <c r="B16100" t="str">
        <f>HYPERLINK("https://lindat.mff.cuni.cz/services/teitok/pdtc10/index.php?action=vallex&amp;frame=v-w12367_MMf1_MM", "nabančit (v-w12367_MMf1_MM)")</f>
        <v>nabančit (v-w12367_MMf1_MM)</v>
      </c>
    </row>
    <row r="16101" spans="1:4" x14ac:dyDescent="0.2">
      <c r="B16101" t="s">
        <v>1</v>
      </c>
    </row>
    <row r="16102" spans="1:4" x14ac:dyDescent="0.2">
      <c r="B16102" t="s">
        <v>103</v>
      </c>
    </row>
    <row r="16104" spans="1:4" x14ac:dyDescent="0.2">
      <c r="A16104" t="s">
        <v>5429</v>
      </c>
      <c r="B16104" t="str">
        <f>HYPERLINK("https://lindat.mff.cuni.cz/services/teitok/pdtc10/index.php?action=vallex&amp;frame=v-w10760f2", "nabarvit (v-w10760f2)")</f>
        <v>nabarvit (v-w10760f2)</v>
      </c>
    </row>
    <row r="16105" spans="1:4" x14ac:dyDescent="0.2">
      <c r="B16105" t="s">
        <v>1</v>
      </c>
      <c r="D16105" t="s">
        <v>3307</v>
      </c>
    </row>
    <row r="16106" spans="1:4" x14ac:dyDescent="0.2">
      <c r="B16106" t="s">
        <v>8</v>
      </c>
      <c r="D16106" t="s">
        <v>5666</v>
      </c>
    </row>
    <row r="16108" spans="1:4" x14ac:dyDescent="0.2">
      <c r="A16108" t="s">
        <v>5430</v>
      </c>
      <c r="B16108" t="str">
        <f>HYPERLINK("https://lindat.mff.cuni.cz/services/teitok/pdtc10/index.php?action=vallex&amp;frame=v-whsa_1310hsa_1311", "nabažit se (v-whsa_1310hsa_1311)")</f>
        <v>nabažit se (v-whsa_1310hsa_1311)</v>
      </c>
    </row>
    <row r="16109" spans="1:4" x14ac:dyDescent="0.2">
      <c r="B16109" t="s">
        <v>1</v>
      </c>
    </row>
    <row r="16110" spans="1:4" x14ac:dyDescent="0.2">
      <c r="B16110" t="s">
        <v>917</v>
      </c>
    </row>
    <row r="16112" spans="1:4" x14ac:dyDescent="0.2">
      <c r="A16112" t="s">
        <v>5431</v>
      </c>
      <c r="B16112" t="str">
        <f>HYPERLINK("https://lindat.mff.cuni.cz/services/teitok/pdtc10/index.php?action=vallex&amp;frame=v-whsa_1576hsa_1577", "nablbnout se (v-whsa_1576hsa_1577)")</f>
        <v>nablbnout se (v-whsa_1576hsa_1577)</v>
      </c>
    </row>
    <row r="16113" spans="1:4" x14ac:dyDescent="0.2">
      <c r="B16113" t="s">
        <v>1</v>
      </c>
    </row>
    <row r="16115" spans="1:4" x14ac:dyDescent="0.2">
      <c r="A16115" t="s">
        <v>5432</v>
      </c>
      <c r="B16115" t="str">
        <f>HYPERLINK("https://lindat.mff.cuni.cz/services/teitok/pdtc10/index.php?action=vallex&amp;frame=v-w1951f1", "nablít (v-w1951f1)")</f>
        <v>nablít (v-w1951f1)</v>
      </c>
    </row>
    <row r="16116" spans="1:4" x14ac:dyDescent="0.2">
      <c r="B16116" t="s">
        <v>1</v>
      </c>
    </row>
    <row r="16117" spans="1:4" x14ac:dyDescent="0.2">
      <c r="B16117" t="s">
        <v>8</v>
      </c>
    </row>
    <row r="16119" spans="1:4" x14ac:dyDescent="0.2">
      <c r="A16119" t="s">
        <v>5433</v>
      </c>
      <c r="B16119" t="str">
        <f>HYPERLINK("https://lindat.mff.cuni.cz/services/teitok/pdtc10/index.php?action=vallex&amp;frame=v-w10928f2", "nabobtnat (v-w10928f2)")</f>
        <v>nabobtnat (v-w10928f2)</v>
      </c>
    </row>
    <row r="16120" spans="1:4" x14ac:dyDescent="0.2">
      <c r="B16120" t="s">
        <v>1</v>
      </c>
      <c r="C16120" t="s">
        <v>127</v>
      </c>
      <c r="D16120" t="s">
        <v>23510</v>
      </c>
    </row>
    <row r="16121" spans="1:4" x14ac:dyDescent="0.2">
      <c r="B16121" t="s">
        <v>46</v>
      </c>
      <c r="C16121" t="s">
        <v>5434</v>
      </c>
      <c r="D16121" t="s">
        <v>23393</v>
      </c>
    </row>
    <row r="16122" spans="1:4" x14ac:dyDescent="0.2">
      <c r="B16122" t="s">
        <v>24</v>
      </c>
      <c r="C16122" t="s">
        <v>5435</v>
      </c>
      <c r="D16122" t="s">
        <v>23394</v>
      </c>
    </row>
    <row r="16124" spans="1:4" x14ac:dyDescent="0.2">
      <c r="A16124" t="s">
        <v>5436</v>
      </c>
      <c r="B16124" t="str">
        <f>HYPERLINK("https://lindat.mff.cuni.cz/services/teitok/pdtc10/index.php?action=vallex&amp;frame=v-w1953f1", "nabourat (v-w1953f1)")</f>
        <v>nabourat (v-w1953f1)</v>
      </c>
    </row>
    <row r="16125" spans="1:4" x14ac:dyDescent="0.2">
      <c r="B16125" t="s">
        <v>1</v>
      </c>
    </row>
    <row r="16126" spans="1:4" x14ac:dyDescent="0.2">
      <c r="B16126" t="s">
        <v>8</v>
      </c>
    </row>
    <row r="16128" spans="1:4" x14ac:dyDescent="0.2">
      <c r="A16128" t="s">
        <v>5437</v>
      </c>
      <c r="B16128" t="str">
        <f>HYPERLINK("https://lindat.mff.cuni.cz/services/teitok/pdtc10/index.php?action=vallex&amp;frame=v-w1953f2", "nabourat (v-w1953f2)")</f>
        <v>nabourat (v-w1953f2)</v>
      </c>
    </row>
    <row r="16129" spans="1:3" x14ac:dyDescent="0.2">
      <c r="B16129" t="s">
        <v>1</v>
      </c>
    </row>
    <row r="16130" spans="1:3" x14ac:dyDescent="0.2">
      <c r="B16130" t="s">
        <v>8</v>
      </c>
    </row>
    <row r="16132" spans="1:3" x14ac:dyDescent="0.2">
      <c r="A16132" t="s">
        <v>5438</v>
      </c>
      <c r="B16132" t="str">
        <f>HYPERLINK("https://lindat.mff.cuni.cz/services/teitok/pdtc10/index.php?action=vallex&amp;frame=v-w1954f1", "nabourat se (v-w1954f1)")</f>
        <v>nabourat se (v-w1954f1)</v>
      </c>
    </row>
    <row r="16133" spans="1:3" x14ac:dyDescent="0.2">
      <c r="B16133" t="s">
        <v>1</v>
      </c>
    </row>
    <row r="16135" spans="1:3" x14ac:dyDescent="0.2">
      <c r="A16135" t="s">
        <v>5439</v>
      </c>
      <c r="B16135" t="str">
        <f>HYPERLINK("https://lindat.mff.cuni.cz/services/teitok/pdtc10/index.php?action=vallex&amp;frame=v-w1954hsa_339", "nabourat se (v-w1954hsa_339)")</f>
        <v>nabourat se (v-w1954hsa_339)</v>
      </c>
    </row>
    <row r="16136" spans="1:3" x14ac:dyDescent="0.2">
      <c r="B16136" t="s">
        <v>1</v>
      </c>
      <c r="C16136" t="s">
        <v>33</v>
      </c>
    </row>
    <row r="16137" spans="1:3" x14ac:dyDescent="0.2">
      <c r="B16137" t="s">
        <v>817</v>
      </c>
    </row>
    <row r="16139" spans="1:3" x14ac:dyDescent="0.2">
      <c r="A16139" t="s">
        <v>5440</v>
      </c>
      <c r="B16139" t="str">
        <f>HYPERLINK("https://lindat.mff.cuni.cz/services/teitok/pdtc10/index.php?action=vallex&amp;frame=v-w1955f1", "nabourávat (v-w1955f1)")</f>
        <v>nabourávat (v-w1955f1)</v>
      </c>
    </row>
    <row r="16140" spans="1:3" x14ac:dyDescent="0.2">
      <c r="B16140" t="s">
        <v>1</v>
      </c>
    </row>
    <row r="16141" spans="1:3" x14ac:dyDescent="0.2">
      <c r="B16141" t="s">
        <v>8</v>
      </c>
    </row>
    <row r="16143" spans="1:3" x14ac:dyDescent="0.2">
      <c r="A16143" t="s">
        <v>5441</v>
      </c>
      <c r="B16143" t="str">
        <f>HYPERLINK("https://lindat.mff.cuni.cz/services/teitok/pdtc10/index.php?action=vallex&amp;frame=v-w12289_MMf1_MM", "nabořit (v-w12289_MMf1_MM)")</f>
        <v>nabořit (v-w12289_MMf1_MM)</v>
      </c>
    </row>
    <row r="16144" spans="1:3" x14ac:dyDescent="0.2">
      <c r="B16144" t="s">
        <v>1</v>
      </c>
    </row>
    <row r="16145" spans="1:4" x14ac:dyDescent="0.2">
      <c r="B16145" t="s">
        <v>8</v>
      </c>
    </row>
    <row r="16146" spans="1:4" x14ac:dyDescent="0.2">
      <c r="B16146" t="s">
        <v>35</v>
      </c>
    </row>
    <row r="16148" spans="1:4" x14ac:dyDescent="0.2">
      <c r="A16148" t="s">
        <v>5442</v>
      </c>
      <c r="B16148" t="str">
        <f>HYPERLINK("https://lindat.mff.cuni.cz/services/teitok/pdtc10/index.php?action=vallex&amp;frame=v-w1956f1", "nabrat (v-w1956f1)")</f>
        <v>nabrat (v-w1956f1)</v>
      </c>
    </row>
    <row r="16149" spans="1:4" x14ac:dyDescent="0.2">
      <c r="B16149" t="s">
        <v>1</v>
      </c>
      <c r="C16149" t="s">
        <v>5443</v>
      </c>
      <c r="D16149" t="s">
        <v>23198</v>
      </c>
    </row>
    <row r="16150" spans="1:4" x14ac:dyDescent="0.2">
      <c r="B16150" t="s">
        <v>3766</v>
      </c>
      <c r="C16150" t="s">
        <v>5444</v>
      </c>
      <c r="D16150" t="s">
        <v>23199</v>
      </c>
    </row>
    <row r="16152" spans="1:4" x14ac:dyDescent="0.2">
      <c r="A16152" t="s">
        <v>5445</v>
      </c>
      <c r="B16152" t="str">
        <f>HYPERLINK("https://lindat.mff.cuni.cz/services/teitok/pdtc10/index.php?action=vallex&amp;frame=v-w1956f2", "nabrat (v-w1956f2)")</f>
        <v>nabrat (v-w1956f2)</v>
      </c>
    </row>
    <row r="16153" spans="1:4" x14ac:dyDescent="0.2">
      <c r="B16153" t="s">
        <v>1</v>
      </c>
    </row>
    <row r="16154" spans="1:4" x14ac:dyDescent="0.2">
      <c r="B16154" t="s">
        <v>3766</v>
      </c>
    </row>
    <row r="16156" spans="1:4" x14ac:dyDescent="0.2">
      <c r="A16156" t="s">
        <v>5446</v>
      </c>
      <c r="B16156" t="str">
        <f>HYPERLINK("https://lindat.mff.cuni.cz/services/teitok/pdtc10/index.php?action=vallex&amp;frame=v-w1956f3_ZU", "nabrat (v-w1956f3_ZU)")</f>
        <v>nabrat (v-w1956f3_ZU)</v>
      </c>
    </row>
    <row r="16157" spans="1:4" x14ac:dyDescent="0.2">
      <c r="B16157" t="s">
        <v>1</v>
      </c>
    </row>
    <row r="16158" spans="1:4" x14ac:dyDescent="0.2">
      <c r="B16158" t="s">
        <v>8</v>
      </c>
    </row>
    <row r="16160" spans="1:4" x14ac:dyDescent="0.2">
      <c r="A16160" t="s">
        <v>5447</v>
      </c>
      <c r="B16160" t="str">
        <f>HYPERLINK("https://lindat.mff.cuni.cz/services/teitok/pdtc10/index.php?action=vallex&amp;frame=v-w1956f5_ZU", "nabrat (v-w1956f5_ZU)")</f>
        <v>nabrat (v-w1956f5_ZU)</v>
      </c>
    </row>
    <row r="16161" spans="1:2" x14ac:dyDescent="0.2">
      <c r="B16161" t="s">
        <v>1</v>
      </c>
    </row>
    <row r="16162" spans="1:2" x14ac:dyDescent="0.2">
      <c r="B16162" t="s">
        <v>5448</v>
      </c>
    </row>
    <row r="16163" spans="1:2" x14ac:dyDescent="0.2">
      <c r="B16163" t="s">
        <v>8</v>
      </c>
    </row>
    <row r="16165" spans="1:2" x14ac:dyDescent="0.2">
      <c r="A16165" t="s">
        <v>5447</v>
      </c>
      <c r="B16165" t="str">
        <f>HYPERLINK("https://lindat.mff.cuni.cz/services/teitok/pdtc10/index.php?action=vallex&amp;frame=v-w1956f4_ZU", "nabrat (v-w1956f4_ZU) - substituted with v-w1956f5_ZU")</f>
        <v>nabrat (v-w1956f4_ZU) - substituted with v-w1956f5_ZU</v>
      </c>
    </row>
    <row r="16166" spans="1:2" x14ac:dyDescent="0.2">
      <c r="B16166" t="s">
        <v>1</v>
      </c>
    </row>
    <row r="16167" spans="1:2" x14ac:dyDescent="0.2">
      <c r="B16167" t="s">
        <v>5448</v>
      </c>
    </row>
    <row r="16168" spans="1:2" x14ac:dyDescent="0.2">
      <c r="B16168" t="s">
        <v>8</v>
      </c>
    </row>
    <row r="16170" spans="1:2" x14ac:dyDescent="0.2">
      <c r="A16170" t="s">
        <v>5449</v>
      </c>
      <c r="B16170" t="str">
        <f>HYPERLINK("https://lindat.mff.cuni.cz/services/teitok/pdtc10/index.php?action=vallex&amp;frame=v-w1956hsa_243", "nabrat (v-w1956hsa_243)")</f>
        <v>nabrat (v-w1956hsa_243)</v>
      </c>
    </row>
    <row r="16171" spans="1:2" x14ac:dyDescent="0.2">
      <c r="B16171" t="s">
        <v>1</v>
      </c>
    </row>
    <row r="16172" spans="1:2" x14ac:dyDescent="0.2">
      <c r="B16172" t="s">
        <v>8</v>
      </c>
    </row>
    <row r="16174" spans="1:2" x14ac:dyDescent="0.2">
      <c r="A16174" t="s">
        <v>5450</v>
      </c>
      <c r="B16174" t="str">
        <f>HYPERLINK("https://lindat.mff.cuni.cz/services/teitok/pdtc10/index.php?action=vallex&amp;frame=v-w12155_ZUf1_ZU", "nabrousit (v-w12155_ZUf1_ZU)")</f>
        <v>nabrousit (v-w12155_ZUf1_ZU)</v>
      </c>
    </row>
    <row r="16175" spans="1:2" x14ac:dyDescent="0.2">
      <c r="B16175" t="s">
        <v>1</v>
      </c>
    </row>
    <row r="16176" spans="1:2" x14ac:dyDescent="0.2">
      <c r="B16176" t="s">
        <v>8</v>
      </c>
    </row>
    <row r="16178" spans="1:3" x14ac:dyDescent="0.2">
      <c r="A16178" t="s">
        <v>5451</v>
      </c>
      <c r="B16178" t="str">
        <f>HYPERLINK("https://lindat.mff.cuni.cz/services/teitok/pdtc10/index.php?action=vallex&amp;frame=v-w1933hsa_1230", "nabádat (v-w1933hsa_1230)")</f>
        <v>nabádat (v-w1933hsa_1230)</v>
      </c>
    </row>
    <row r="16179" spans="1:3" x14ac:dyDescent="0.2">
      <c r="B16179" t="s">
        <v>1</v>
      </c>
      <c r="C16179" t="s">
        <v>5452</v>
      </c>
    </row>
    <row r="16180" spans="1:3" x14ac:dyDescent="0.2">
      <c r="B16180" t="s">
        <v>58</v>
      </c>
      <c r="C16180" t="s">
        <v>5453</v>
      </c>
    </row>
    <row r="16181" spans="1:3" x14ac:dyDescent="0.2">
      <c r="B16181" t="s">
        <v>5454</v>
      </c>
      <c r="C16181" t="s">
        <v>5455</v>
      </c>
    </row>
    <row r="16183" spans="1:3" x14ac:dyDescent="0.2">
      <c r="A16183" t="s">
        <v>5451</v>
      </c>
      <c r="B16183" t="str">
        <f>HYPERLINK("https://lindat.mff.cuni.cz/services/teitok/pdtc10/index.php?action=vallex&amp;frame=v-w1933f1", "nabádat (v-w1933f1) - substituted with v-w1933hsa_1230")</f>
        <v>nabádat (v-w1933f1) - substituted with v-w1933hsa_1230</v>
      </c>
    </row>
    <row r="16184" spans="1:3" x14ac:dyDescent="0.2">
      <c r="B16184" t="s">
        <v>1</v>
      </c>
      <c r="C16184" t="s">
        <v>5456</v>
      </c>
    </row>
    <row r="16185" spans="1:3" x14ac:dyDescent="0.2">
      <c r="B16185" t="s">
        <v>58</v>
      </c>
      <c r="C16185" t="s">
        <v>5457</v>
      </c>
    </row>
    <row r="16186" spans="1:3" x14ac:dyDescent="0.2">
      <c r="B16186" t="s">
        <v>5454</v>
      </c>
      <c r="C16186" t="s">
        <v>5458</v>
      </c>
    </row>
    <row r="16188" spans="1:3" x14ac:dyDescent="0.2">
      <c r="A16188" t="s">
        <v>5459</v>
      </c>
      <c r="B16188" t="str">
        <f>HYPERLINK("https://lindat.mff.cuni.cz/services/teitok/pdtc10/index.php?action=vallex&amp;frame=v-w1940f2_ZU", "nabídnout (v-w1940f2_ZU)")</f>
        <v>nabídnout (v-w1940f2_ZU)</v>
      </c>
    </row>
    <row r="16189" spans="1:3" x14ac:dyDescent="0.2">
      <c r="B16189" t="s">
        <v>1</v>
      </c>
    </row>
    <row r="16190" spans="1:3" x14ac:dyDescent="0.2">
      <c r="B16190" t="s">
        <v>5460</v>
      </c>
    </row>
    <row r="16191" spans="1:3" x14ac:dyDescent="0.2">
      <c r="B16191" t="s">
        <v>35</v>
      </c>
    </row>
    <row r="16192" spans="1:3" x14ac:dyDescent="0.2">
      <c r="B16192" t="s">
        <v>413</v>
      </c>
    </row>
    <row r="16194" spans="1:4" x14ac:dyDescent="0.2">
      <c r="A16194" t="s">
        <v>5459</v>
      </c>
      <c r="B16194" t="str">
        <f>HYPERLINK("https://lindat.mff.cuni.cz/services/teitok/pdtc10/index.php?action=vallex&amp;frame=v-w1940f1", "nabídnout (v-w1940f1) - substituted with v-w1940f2_ZU")</f>
        <v>nabídnout (v-w1940f1) - substituted with v-w1940f2_ZU</v>
      </c>
    </row>
    <row r="16195" spans="1:4" x14ac:dyDescent="0.2">
      <c r="B16195" t="s">
        <v>1</v>
      </c>
      <c r="C16195" t="s">
        <v>5461</v>
      </c>
      <c r="D16195" t="s">
        <v>23262</v>
      </c>
    </row>
    <row r="16196" spans="1:4" x14ac:dyDescent="0.2">
      <c r="B16196" t="s">
        <v>5460</v>
      </c>
      <c r="C16196" t="s">
        <v>5462</v>
      </c>
      <c r="D16196" t="s">
        <v>23276</v>
      </c>
    </row>
    <row r="16197" spans="1:4" x14ac:dyDescent="0.2">
      <c r="B16197" t="s">
        <v>35</v>
      </c>
      <c r="C16197" t="s">
        <v>5463</v>
      </c>
      <c r="D16197" t="s">
        <v>23251</v>
      </c>
    </row>
    <row r="16198" spans="1:4" x14ac:dyDescent="0.2">
      <c r="B16198" t="s">
        <v>413</v>
      </c>
      <c r="C16198" t="s">
        <v>5464</v>
      </c>
    </row>
    <row r="16200" spans="1:4" x14ac:dyDescent="0.2">
      <c r="A16200" t="s">
        <v>5465</v>
      </c>
      <c r="B16200" t="str">
        <f>HYPERLINK("https://lindat.mff.cuni.cz/services/teitok/pdtc10/index.php?action=vallex&amp;frame=v-w11517_ZUf1_ZU", "nabídnout se (v-w11517_ZUf1_ZU)")</f>
        <v>nabídnout se (v-w11517_ZUf1_ZU)</v>
      </c>
    </row>
    <row r="16201" spans="1:4" x14ac:dyDescent="0.2">
      <c r="B16201" t="s">
        <v>1</v>
      </c>
      <c r="C16201" t="s">
        <v>5466</v>
      </c>
      <c r="D16201" t="s">
        <v>23262</v>
      </c>
    </row>
    <row r="16202" spans="1:4" x14ac:dyDescent="0.2">
      <c r="B16202" t="s">
        <v>5467</v>
      </c>
      <c r="C16202" t="s">
        <v>5468</v>
      </c>
      <c r="D16202" t="s">
        <v>23276</v>
      </c>
    </row>
    <row r="16203" spans="1:4" x14ac:dyDescent="0.2">
      <c r="B16203" t="s">
        <v>35</v>
      </c>
      <c r="C16203" t="s">
        <v>5469</v>
      </c>
      <c r="D16203" t="s">
        <v>23251</v>
      </c>
    </row>
    <row r="16205" spans="1:4" x14ac:dyDescent="0.2">
      <c r="A16205" t="s">
        <v>5470</v>
      </c>
      <c r="B16205" t="str">
        <f>HYPERLINK("https://lindat.mff.cuni.cz/services/teitok/pdtc10/index.php?action=vallex&amp;frame=v-w1942f2", "nabíhat (v-w1942f2)")</f>
        <v>nabíhat (v-w1942f2)</v>
      </c>
    </row>
    <row r="16206" spans="1:4" x14ac:dyDescent="0.2">
      <c r="B16206" t="s">
        <v>1</v>
      </c>
    </row>
    <row r="16207" spans="1:4" x14ac:dyDescent="0.2">
      <c r="B16207" t="s">
        <v>817</v>
      </c>
    </row>
    <row r="16209" spans="1:3" x14ac:dyDescent="0.2">
      <c r="A16209" t="s">
        <v>5471</v>
      </c>
      <c r="B16209" t="str">
        <f>HYPERLINK("https://lindat.mff.cuni.cz/services/teitok/pdtc10/index.php?action=vallex&amp;frame=v-w1942f1", "nabíhat (v-w1942f1)")</f>
        <v>nabíhat (v-w1942f1)</v>
      </c>
    </row>
    <row r="16210" spans="1:3" x14ac:dyDescent="0.2">
      <c r="B16210" t="s">
        <v>1</v>
      </c>
    </row>
    <row r="16212" spans="1:3" x14ac:dyDescent="0.2">
      <c r="A16212" t="s">
        <v>5472</v>
      </c>
      <c r="B16212" t="str">
        <f>HYPERLINK("https://lindat.mff.cuni.cz/services/teitok/pdtc10/index.php?action=vallex&amp;frame=v-w1943f2", "nabírat (v-w1943f2)")</f>
        <v>nabírat (v-w1943f2)</v>
      </c>
    </row>
    <row r="16213" spans="1:3" x14ac:dyDescent="0.2">
      <c r="B16213" t="s">
        <v>1</v>
      </c>
    </row>
    <row r="16214" spans="1:3" x14ac:dyDescent="0.2">
      <c r="B16214" t="s">
        <v>8</v>
      </c>
    </row>
    <row r="16216" spans="1:3" x14ac:dyDescent="0.2">
      <c r="A16216" t="s">
        <v>5473</v>
      </c>
      <c r="B16216" t="str">
        <f>HYPERLINK("https://lindat.mff.cuni.cz/services/teitok/pdtc10/index.php?action=vallex&amp;frame=v-w1943f3_ZU", "nabírat (v-w1943f3_ZU)")</f>
        <v>nabírat (v-w1943f3_ZU)</v>
      </c>
    </row>
    <row r="16217" spans="1:3" x14ac:dyDescent="0.2">
      <c r="B16217" t="s">
        <v>1</v>
      </c>
    </row>
    <row r="16218" spans="1:3" x14ac:dyDescent="0.2">
      <c r="B16218" t="s">
        <v>5474</v>
      </c>
    </row>
    <row r="16220" spans="1:3" x14ac:dyDescent="0.2">
      <c r="A16220" t="s">
        <v>5473</v>
      </c>
      <c r="B16220" t="str">
        <f>HYPERLINK("https://lindat.mff.cuni.cz/services/teitok/pdtc10/index.php?action=vallex&amp;frame=v-w1943f1", "nabírat (v-w1943f1) - substituted with v-w1943f3_ZU")</f>
        <v>nabírat (v-w1943f1) - substituted with v-w1943f3_ZU</v>
      </c>
    </row>
    <row r="16221" spans="1:3" x14ac:dyDescent="0.2">
      <c r="B16221" t="s">
        <v>1</v>
      </c>
      <c r="C16221" t="s">
        <v>5475</v>
      </c>
    </row>
    <row r="16222" spans="1:3" x14ac:dyDescent="0.2">
      <c r="B16222" t="s">
        <v>5474</v>
      </c>
      <c r="C16222" t="s">
        <v>1343</v>
      </c>
    </row>
    <row r="16224" spans="1:3" x14ac:dyDescent="0.2">
      <c r="A16224" t="s">
        <v>5476</v>
      </c>
      <c r="B16224" t="str">
        <f>HYPERLINK("https://lindat.mff.cuni.cz/services/teitok/pdtc10/index.php?action=vallex&amp;frame=v-w1943hsa_471", "nabírat (v-w1943hsa_471)")</f>
        <v>nabírat (v-w1943hsa_471)</v>
      </c>
    </row>
    <row r="16225" spans="1:3" x14ac:dyDescent="0.2">
      <c r="B16225" t="s">
        <v>1</v>
      </c>
      <c r="C16225" t="s">
        <v>249</v>
      </c>
    </row>
    <row r="16226" spans="1:3" x14ac:dyDescent="0.2">
      <c r="B16226" t="s">
        <v>8</v>
      </c>
      <c r="C16226" t="s">
        <v>1128</v>
      </c>
    </row>
    <row r="16228" spans="1:3" x14ac:dyDescent="0.2">
      <c r="A16228" t="s">
        <v>5477</v>
      </c>
      <c r="B16228" t="str">
        <f>HYPERLINK("https://lindat.mff.cuni.cz/services/teitok/pdtc10/index.php?action=vallex&amp;frame=v-w1943hsa_1482", "nabírat (v-w1943hsa_1482)")</f>
        <v>nabírat (v-w1943hsa_1482)</v>
      </c>
    </row>
    <row r="16229" spans="1:3" x14ac:dyDescent="0.2">
      <c r="B16229" t="s">
        <v>1</v>
      </c>
    </row>
    <row r="16230" spans="1:3" x14ac:dyDescent="0.2">
      <c r="B16230" t="s">
        <v>8</v>
      </c>
    </row>
    <row r="16232" spans="1:3" x14ac:dyDescent="0.2">
      <c r="A16232" t="s">
        <v>5478</v>
      </c>
      <c r="B16232" t="str">
        <f>HYPERLINK("https://lindat.mff.cuni.cz/services/teitok/pdtc10/index.php?action=vallex&amp;frame=v-w10239f3", "nabít (v-w10239f3)")</f>
        <v>nabít (v-w10239f3)</v>
      </c>
    </row>
    <row r="16233" spans="1:3" x14ac:dyDescent="0.2">
      <c r="B16233" t="s">
        <v>1</v>
      </c>
    </row>
    <row r="16234" spans="1:3" x14ac:dyDescent="0.2">
      <c r="B16234" t="s">
        <v>8</v>
      </c>
    </row>
    <row r="16235" spans="1:3" x14ac:dyDescent="0.2">
      <c r="B16235" t="s">
        <v>5479</v>
      </c>
    </row>
    <row r="16237" spans="1:3" x14ac:dyDescent="0.2">
      <c r="A16237" t="s">
        <v>5480</v>
      </c>
      <c r="B16237" t="str">
        <f>HYPERLINK("https://lindat.mff.cuni.cz/services/teitok/pdtc10/index.php?action=vallex&amp;frame=v-w10239f4_ZU", "nabít (v-w10239f4_ZU)")</f>
        <v>nabít (v-w10239f4_ZU)</v>
      </c>
    </row>
    <row r="16238" spans="1:3" x14ac:dyDescent="0.2">
      <c r="B16238" t="s">
        <v>1</v>
      </c>
    </row>
    <row r="16239" spans="1:3" x14ac:dyDescent="0.2">
      <c r="B16239" t="s">
        <v>8</v>
      </c>
    </row>
    <row r="16240" spans="1:3" x14ac:dyDescent="0.2">
      <c r="B16240" t="s">
        <v>252</v>
      </c>
    </row>
    <row r="16242" spans="1:4" x14ac:dyDescent="0.2">
      <c r="A16242" t="s">
        <v>5481</v>
      </c>
      <c r="B16242" t="str">
        <f>HYPERLINK("https://lindat.mff.cuni.cz/services/teitok/pdtc10/index.php?action=vallex&amp;frame=v-w1949f2_ZU", "nabízet (v-w1949f2_ZU)")</f>
        <v>nabízet (v-w1949f2_ZU)</v>
      </c>
    </row>
    <row r="16243" spans="1:4" x14ac:dyDescent="0.2">
      <c r="B16243" t="s">
        <v>1</v>
      </c>
    </row>
    <row r="16244" spans="1:4" x14ac:dyDescent="0.2">
      <c r="B16244" t="s">
        <v>5074</v>
      </c>
    </row>
    <row r="16245" spans="1:4" x14ac:dyDescent="0.2">
      <c r="B16245" t="s">
        <v>35</v>
      </c>
    </row>
    <row r="16246" spans="1:4" x14ac:dyDescent="0.2">
      <c r="B16246" t="s">
        <v>413</v>
      </c>
    </row>
    <row r="16248" spans="1:4" x14ac:dyDescent="0.2">
      <c r="A16248" t="s">
        <v>5481</v>
      </c>
      <c r="B16248" t="str">
        <f>HYPERLINK("https://lindat.mff.cuni.cz/services/teitok/pdtc10/index.php?action=vallex&amp;frame=v-w1949f1", "nabízet (v-w1949f1) - substituted with v-w1949f2_ZU")</f>
        <v>nabízet (v-w1949f1) - substituted with v-w1949f2_ZU</v>
      </c>
    </row>
    <row r="16249" spans="1:4" x14ac:dyDescent="0.2">
      <c r="B16249" t="s">
        <v>1</v>
      </c>
      <c r="C16249" t="s">
        <v>5482</v>
      </c>
      <c r="D16249" t="s">
        <v>23262</v>
      </c>
    </row>
    <row r="16250" spans="1:4" x14ac:dyDescent="0.2">
      <c r="B16250" t="s">
        <v>5074</v>
      </c>
      <c r="C16250" t="s">
        <v>5483</v>
      </c>
      <c r="D16250" t="s">
        <v>23276</v>
      </c>
    </row>
    <row r="16251" spans="1:4" x14ac:dyDescent="0.2">
      <c r="B16251" t="s">
        <v>35</v>
      </c>
      <c r="C16251" t="s">
        <v>5484</v>
      </c>
      <c r="D16251" t="s">
        <v>23251</v>
      </c>
    </row>
    <row r="16252" spans="1:4" x14ac:dyDescent="0.2">
      <c r="B16252" t="s">
        <v>413</v>
      </c>
      <c r="C16252" t="s">
        <v>5485</v>
      </c>
    </row>
    <row r="16254" spans="1:4" x14ac:dyDescent="0.2">
      <c r="A16254" t="s">
        <v>5486</v>
      </c>
      <c r="B16254" t="str">
        <f>HYPERLINK("https://lindat.mff.cuni.cz/services/teitok/pdtc10/index.php?action=vallex&amp;frame=v-w1950f2", "nabízet se (v-w1950f2)")</f>
        <v>nabízet se (v-w1950f2)</v>
      </c>
    </row>
    <row r="16255" spans="1:4" x14ac:dyDescent="0.2">
      <c r="B16255" t="s">
        <v>5487</v>
      </c>
      <c r="C16255" t="s">
        <v>5488</v>
      </c>
    </row>
    <row r="16256" spans="1:4" x14ac:dyDescent="0.2">
      <c r="B16256" t="s">
        <v>103</v>
      </c>
      <c r="C16256" t="s">
        <v>1301</v>
      </c>
    </row>
    <row r="16258" spans="1:4" x14ac:dyDescent="0.2">
      <c r="A16258" t="s">
        <v>5489</v>
      </c>
      <c r="B16258" t="str">
        <f>HYPERLINK("https://lindat.mff.cuni.cz/services/teitok/pdtc10/index.php?action=vallex&amp;frame=v-w1950f1", "nabízet se (v-w1950f1)")</f>
        <v>nabízet se (v-w1950f1)</v>
      </c>
    </row>
    <row r="16259" spans="1:4" x14ac:dyDescent="0.2">
      <c r="B16259" t="s">
        <v>5490</v>
      </c>
    </row>
    <row r="16260" spans="1:4" x14ac:dyDescent="0.2">
      <c r="B16260" t="s">
        <v>5491</v>
      </c>
    </row>
    <row r="16262" spans="1:4" x14ac:dyDescent="0.2">
      <c r="A16262" t="s">
        <v>5492</v>
      </c>
      <c r="B16262" t="str">
        <f>HYPERLINK("https://lindat.mff.cuni.cz/services/teitok/pdtc10/index.php?action=vallex&amp;frame=v-w1957f1", "nabýt (v-w1957f1)")</f>
        <v>nabýt (v-w1957f1)</v>
      </c>
    </row>
    <row r="16263" spans="1:4" x14ac:dyDescent="0.2">
      <c r="B16263" t="s">
        <v>1</v>
      </c>
      <c r="C16263" t="s">
        <v>5493</v>
      </c>
      <c r="D16263" t="s">
        <v>23198</v>
      </c>
    </row>
    <row r="16264" spans="1:4" x14ac:dyDescent="0.2">
      <c r="B16264" t="s">
        <v>3766</v>
      </c>
      <c r="C16264" t="s">
        <v>5494</v>
      </c>
      <c r="D16264" t="s">
        <v>23199</v>
      </c>
    </row>
    <row r="16266" spans="1:4" x14ac:dyDescent="0.2">
      <c r="A16266" t="s">
        <v>5495</v>
      </c>
      <c r="B16266" t="str">
        <f>HYPERLINK("https://lindat.mff.cuni.cz/services/teitok/pdtc10/index.php?action=vallex&amp;frame=v-w1957f3", "nabýt (v-w1957f3)")</f>
        <v>nabýt (v-w1957f3)</v>
      </c>
    </row>
    <row r="16267" spans="1:4" x14ac:dyDescent="0.2">
      <c r="B16267" t="s">
        <v>1</v>
      </c>
      <c r="C16267" t="s">
        <v>5496</v>
      </c>
      <c r="D16267" t="s">
        <v>23198</v>
      </c>
    </row>
    <row r="16268" spans="1:4" x14ac:dyDescent="0.2">
      <c r="B16268" t="s">
        <v>161</v>
      </c>
      <c r="C16268" t="s">
        <v>5497</v>
      </c>
      <c r="D16268" t="s">
        <v>23199</v>
      </c>
    </row>
    <row r="16270" spans="1:4" x14ac:dyDescent="0.2">
      <c r="A16270" t="s">
        <v>5498</v>
      </c>
      <c r="B16270" t="str">
        <f>HYPERLINK("https://lindat.mff.cuni.cz/services/teitok/pdtc10/index.php?action=vallex&amp;frame=v-w1957f2", "nabýt (v-w1957f2)")</f>
        <v>nabýt (v-w1957f2)</v>
      </c>
    </row>
    <row r="16271" spans="1:4" x14ac:dyDescent="0.2">
      <c r="B16271" t="s">
        <v>1</v>
      </c>
      <c r="C16271" t="s">
        <v>5499</v>
      </c>
    </row>
    <row r="16272" spans="1:4" x14ac:dyDescent="0.2">
      <c r="B16272" t="s">
        <v>5500</v>
      </c>
      <c r="C16272" t="s">
        <v>5501</v>
      </c>
    </row>
    <row r="16273" spans="1:4" x14ac:dyDescent="0.2">
      <c r="B16273" t="s">
        <v>2918</v>
      </c>
    </row>
    <row r="16275" spans="1:4" x14ac:dyDescent="0.2">
      <c r="A16275" t="s">
        <v>5502</v>
      </c>
      <c r="B16275" t="str">
        <f>HYPERLINK("https://lindat.mff.cuni.cz/services/teitok/pdtc10/index.php?action=vallex&amp;frame=v-w1961f1", "nabývat (v-w1961f1)")</f>
        <v>nabývat (v-w1961f1)</v>
      </c>
    </row>
    <row r="16276" spans="1:4" x14ac:dyDescent="0.2">
      <c r="B16276" t="s">
        <v>1</v>
      </c>
      <c r="C16276" t="s">
        <v>5503</v>
      </c>
      <c r="D16276" t="s">
        <v>23198</v>
      </c>
    </row>
    <row r="16277" spans="1:4" x14ac:dyDescent="0.2">
      <c r="B16277" t="s">
        <v>968</v>
      </c>
      <c r="C16277" t="s">
        <v>5504</v>
      </c>
      <c r="D16277" t="s">
        <v>23199</v>
      </c>
    </row>
    <row r="16279" spans="1:4" x14ac:dyDescent="0.2">
      <c r="A16279" t="s">
        <v>5505</v>
      </c>
      <c r="B16279" t="str">
        <f>HYPERLINK("https://lindat.mff.cuni.cz/services/teitok/pdtc10/index.php?action=vallex&amp;frame=v-w1961f2", "nabývat (v-w1961f2)")</f>
        <v>nabývat (v-w1961f2)</v>
      </c>
    </row>
    <row r="16280" spans="1:4" x14ac:dyDescent="0.2">
      <c r="B16280" t="s">
        <v>1</v>
      </c>
      <c r="C16280" t="s">
        <v>5506</v>
      </c>
      <c r="D16280" t="s">
        <v>23198</v>
      </c>
    </row>
    <row r="16281" spans="1:4" x14ac:dyDescent="0.2">
      <c r="B16281" t="s">
        <v>161</v>
      </c>
      <c r="C16281" t="s">
        <v>5507</v>
      </c>
      <c r="D16281" t="s">
        <v>23199</v>
      </c>
    </row>
    <row r="16283" spans="1:4" x14ac:dyDescent="0.2">
      <c r="A16283" t="s">
        <v>5508</v>
      </c>
      <c r="B16283" t="str">
        <f>HYPERLINK("https://lindat.mff.cuni.cz/services/teitok/pdtc10/index.php?action=vallex&amp;frame=v-w1937f1", "naběhat (v-w1937f1)")</f>
        <v>naběhat (v-w1937f1)</v>
      </c>
    </row>
    <row r="16284" spans="1:4" x14ac:dyDescent="0.2">
      <c r="B16284" t="s">
        <v>1</v>
      </c>
    </row>
    <row r="16285" spans="1:4" x14ac:dyDescent="0.2">
      <c r="B16285" t="s">
        <v>8</v>
      </c>
    </row>
    <row r="16287" spans="1:4" x14ac:dyDescent="0.2">
      <c r="A16287" t="s">
        <v>5509</v>
      </c>
      <c r="B16287" t="str">
        <f>HYPERLINK("https://lindat.mff.cuni.cz/services/teitok/pdtc10/index.php?action=vallex&amp;frame=v-whsa_751hsa_752", "naběhat se (v-whsa_751hsa_752)")</f>
        <v>naběhat se (v-whsa_751hsa_752)</v>
      </c>
    </row>
    <row r="16288" spans="1:4" x14ac:dyDescent="0.2">
      <c r="B16288" t="s">
        <v>1</v>
      </c>
    </row>
    <row r="16290" spans="1:2" x14ac:dyDescent="0.2">
      <c r="A16290" t="s">
        <v>5510</v>
      </c>
      <c r="B16290" t="str">
        <f>HYPERLINK("https://lindat.mff.cuni.cz/services/teitok/pdtc10/index.php?action=vallex&amp;frame=v-w1938f1", "naběhnout (v-w1938f1)")</f>
        <v>naběhnout (v-w1938f1)</v>
      </c>
    </row>
    <row r="16291" spans="1:2" x14ac:dyDescent="0.2">
      <c r="B16291" t="s">
        <v>1</v>
      </c>
    </row>
    <row r="16292" spans="1:2" x14ac:dyDescent="0.2">
      <c r="B16292" t="s">
        <v>28</v>
      </c>
    </row>
    <row r="16294" spans="1:2" x14ac:dyDescent="0.2">
      <c r="A16294" t="s">
        <v>5511</v>
      </c>
      <c r="B16294" t="str">
        <f>HYPERLINK("https://lindat.mff.cuni.cz/services/teitok/pdtc10/index.php?action=vallex&amp;frame=v-whsa_275hsa_276", "nacestovat se (v-whsa_275hsa_276)")</f>
        <v>nacestovat se (v-whsa_275hsa_276)</v>
      </c>
    </row>
    <row r="16295" spans="1:2" x14ac:dyDescent="0.2">
      <c r="B16295" t="s">
        <v>1</v>
      </c>
    </row>
    <row r="16297" spans="1:2" x14ac:dyDescent="0.2">
      <c r="A16297" t="s">
        <v>5512</v>
      </c>
      <c r="B16297" t="str">
        <f>HYPERLINK("https://lindat.mff.cuni.cz/services/teitok/pdtc10/index.php?action=vallex&amp;frame=v-w12269_ZUf1_ZU", "nachladit se (v-w12269_ZUf1_ZU)")</f>
        <v>nachladit se (v-w12269_ZUf1_ZU)</v>
      </c>
    </row>
    <row r="16298" spans="1:2" x14ac:dyDescent="0.2">
      <c r="B16298" t="s">
        <v>1</v>
      </c>
    </row>
    <row r="16300" spans="1:2" x14ac:dyDescent="0.2">
      <c r="A16300" t="s">
        <v>5513</v>
      </c>
      <c r="B16300" t="str">
        <f>HYPERLINK("https://lindat.mff.cuni.cz/services/teitok/pdtc10/index.php?action=vallex&amp;frame=v-w2025f1", "nachmelit se (v-w2025f1)")</f>
        <v>nachmelit se (v-w2025f1)</v>
      </c>
    </row>
    <row r="16301" spans="1:2" x14ac:dyDescent="0.2">
      <c r="B16301" t="s">
        <v>1</v>
      </c>
    </row>
    <row r="16303" spans="1:2" x14ac:dyDescent="0.2">
      <c r="A16303" t="s">
        <v>5514</v>
      </c>
      <c r="B16303" t="str">
        <f>HYPERLINK("https://lindat.mff.cuni.cz/services/teitok/pdtc10/index.php?action=vallex&amp;frame=v-w11898_ZUf1_ZU", "nachodit (v-w11898_ZUf1_ZU)")</f>
        <v>nachodit (v-w11898_ZUf1_ZU)</v>
      </c>
    </row>
    <row r="16304" spans="1:2" x14ac:dyDescent="0.2">
      <c r="B16304" t="s">
        <v>1</v>
      </c>
    </row>
    <row r="16305" spans="1:4" x14ac:dyDescent="0.2">
      <c r="B16305" t="s">
        <v>8</v>
      </c>
    </row>
    <row r="16307" spans="1:4" x14ac:dyDescent="0.2">
      <c r="A16307" t="s">
        <v>5515</v>
      </c>
      <c r="B16307" t="str">
        <f>HYPERLINK("https://lindat.mff.cuni.cz/services/teitok/pdtc10/index.php?action=vallex&amp;frame=v-w12022_ZUf1_ZU", "nachromovat (v-w12022_ZUf1_ZU)")</f>
        <v>nachromovat (v-w12022_ZUf1_ZU)</v>
      </c>
    </row>
    <row r="16308" spans="1:4" x14ac:dyDescent="0.2">
      <c r="B16308" t="s">
        <v>1</v>
      </c>
    </row>
    <row r="16309" spans="1:4" x14ac:dyDescent="0.2">
      <c r="B16309" t="s">
        <v>8</v>
      </c>
    </row>
    <row r="16311" spans="1:4" x14ac:dyDescent="0.2">
      <c r="A16311" t="s">
        <v>5516</v>
      </c>
      <c r="B16311" t="str">
        <f>HYPERLINK("https://lindat.mff.cuni.cz/services/teitok/pdtc10/index.php?action=vallex&amp;frame=v-w2029f1", "nachystat (v-w2029f1)")</f>
        <v>nachystat (v-w2029f1)</v>
      </c>
    </row>
    <row r="16312" spans="1:4" x14ac:dyDescent="0.2">
      <c r="B16312" t="s">
        <v>1</v>
      </c>
      <c r="C16312" t="s">
        <v>5517</v>
      </c>
      <c r="D16312" t="s">
        <v>23511</v>
      </c>
    </row>
    <row r="16313" spans="1:4" x14ac:dyDescent="0.2">
      <c r="B16313" t="s">
        <v>8</v>
      </c>
      <c r="C16313" t="s">
        <v>5518</v>
      </c>
      <c r="D16313" t="s">
        <v>23512</v>
      </c>
    </row>
    <row r="16314" spans="1:4" x14ac:dyDescent="0.2">
      <c r="B16314" t="s">
        <v>24</v>
      </c>
    </row>
    <row r="16316" spans="1:4" x14ac:dyDescent="0.2">
      <c r="A16316" t="s">
        <v>5519</v>
      </c>
      <c r="B16316" t="str">
        <f>HYPERLINK("https://lindat.mff.cuni.cz/services/teitok/pdtc10/index.php?action=vallex&amp;frame=v-w2029f2", "nachystat (v-w2029f2)")</f>
        <v>nachystat (v-w2029f2)</v>
      </c>
    </row>
    <row r="16317" spans="1:4" x14ac:dyDescent="0.2">
      <c r="B16317" t="s">
        <v>1</v>
      </c>
    </row>
    <row r="16318" spans="1:4" x14ac:dyDescent="0.2">
      <c r="B16318" t="s">
        <v>8</v>
      </c>
    </row>
    <row r="16320" spans="1:4" x14ac:dyDescent="0.2">
      <c r="A16320" t="s">
        <v>5520</v>
      </c>
      <c r="B16320" t="str">
        <f>HYPERLINK("https://lindat.mff.cuni.cz/services/teitok/pdtc10/index.php?action=vallex&amp;frame=v-w2030f1", "nachytat (v-w2030f1)")</f>
        <v>nachytat (v-w2030f1)</v>
      </c>
    </row>
    <row r="16321" spans="1:3" x14ac:dyDescent="0.2">
      <c r="B16321" t="s">
        <v>1</v>
      </c>
    </row>
    <row r="16322" spans="1:3" x14ac:dyDescent="0.2">
      <c r="B16322" t="s">
        <v>58</v>
      </c>
      <c r="C16322" t="s">
        <v>5521</v>
      </c>
    </row>
    <row r="16323" spans="1:3" x14ac:dyDescent="0.2">
      <c r="B16323" t="s">
        <v>5522</v>
      </c>
      <c r="C16323" t="s">
        <v>5507</v>
      </c>
    </row>
    <row r="16325" spans="1:3" x14ac:dyDescent="0.2">
      <c r="A16325" t="s">
        <v>5523</v>
      </c>
      <c r="B16325" t="str">
        <f>HYPERLINK("https://lindat.mff.cuni.cz/services/teitok/pdtc10/index.php?action=vallex&amp;frame=v-w2030f2_ZU", "nachytat (v-w2030f2_ZU)")</f>
        <v>nachytat (v-w2030f2_ZU)</v>
      </c>
    </row>
    <row r="16326" spans="1:3" x14ac:dyDescent="0.2">
      <c r="B16326" t="s">
        <v>1</v>
      </c>
    </row>
    <row r="16327" spans="1:3" x14ac:dyDescent="0.2">
      <c r="B16327" t="s">
        <v>8</v>
      </c>
    </row>
    <row r="16329" spans="1:3" x14ac:dyDescent="0.2">
      <c r="A16329" t="s">
        <v>5524</v>
      </c>
      <c r="B16329" t="str">
        <f>HYPERLINK("https://lindat.mff.cuni.cz/services/teitok/pdtc10/index.php?action=vallex&amp;frame=v-w12112_ZUf1_ZU", "nachytat se (v-w12112_ZUf1_ZU)")</f>
        <v>nachytat se (v-w12112_ZUf1_ZU)</v>
      </c>
    </row>
    <row r="16330" spans="1:3" x14ac:dyDescent="0.2">
      <c r="B16330" t="s">
        <v>1</v>
      </c>
    </row>
    <row r="16331" spans="1:3" x14ac:dyDescent="0.2">
      <c r="B16331" t="s">
        <v>46</v>
      </c>
    </row>
    <row r="16333" spans="1:3" x14ac:dyDescent="0.2">
      <c r="A16333" t="s">
        <v>5525</v>
      </c>
      <c r="B16333" t="str">
        <f>HYPERLINK("https://lindat.mff.cuni.cz/services/teitok/pdtc10/index.php?action=vallex&amp;frame=v-w12112_ZUf2_ZU", "nachytat se (v-w12112_ZUf2_ZU)")</f>
        <v>nachytat se (v-w12112_ZUf2_ZU)</v>
      </c>
    </row>
    <row r="16334" spans="1:3" x14ac:dyDescent="0.2">
      <c r="B16334" t="s">
        <v>1</v>
      </c>
    </row>
    <row r="16335" spans="1:3" x14ac:dyDescent="0.2">
      <c r="B16335" t="s">
        <v>889</v>
      </c>
    </row>
    <row r="16337" spans="1:4" x14ac:dyDescent="0.2">
      <c r="A16337" t="s">
        <v>5526</v>
      </c>
      <c r="B16337" t="str">
        <f>HYPERLINK("https://lindat.mff.cuni.cz/services/teitok/pdtc10/index.php?action=vallex&amp;frame=v-w2023f1", "nacházet (v-w2023f1)")</f>
        <v>nacházet (v-w2023f1)</v>
      </c>
    </row>
    <row r="16338" spans="1:4" x14ac:dyDescent="0.2">
      <c r="B16338" t="s">
        <v>1</v>
      </c>
      <c r="C16338" t="s">
        <v>5527</v>
      </c>
      <c r="D16338" t="s">
        <v>23513</v>
      </c>
    </row>
    <row r="16339" spans="1:4" x14ac:dyDescent="0.2">
      <c r="B16339" t="s">
        <v>124</v>
      </c>
      <c r="C16339" t="s">
        <v>5528</v>
      </c>
      <c r="D16339" t="s">
        <v>23514</v>
      </c>
    </row>
    <row r="16341" spans="1:4" x14ac:dyDescent="0.2">
      <c r="A16341" t="s">
        <v>5529</v>
      </c>
      <c r="B16341" t="str">
        <f>HYPERLINK("https://lindat.mff.cuni.cz/services/teitok/pdtc10/index.php?action=vallex&amp;frame=v-w2023f3_ZU", "nacházet (v-w2023f3_ZU)")</f>
        <v>nacházet (v-w2023f3_ZU)</v>
      </c>
    </row>
    <row r="16342" spans="1:4" x14ac:dyDescent="0.2">
      <c r="B16342" t="s">
        <v>1</v>
      </c>
      <c r="C16342" t="s">
        <v>2303</v>
      </c>
    </row>
    <row r="16343" spans="1:4" x14ac:dyDescent="0.2">
      <c r="B16343" t="s">
        <v>5530</v>
      </c>
      <c r="C16343" t="s">
        <v>5531</v>
      </c>
    </row>
    <row r="16345" spans="1:4" x14ac:dyDescent="0.2">
      <c r="A16345" t="s">
        <v>5529</v>
      </c>
      <c r="B16345" t="str">
        <f>HYPERLINK("https://lindat.mff.cuni.cz/services/teitok/pdtc10/index.php?action=vallex&amp;frame=v-w2023f2", "nacházet (v-w2023f2) - substituted with v-w2023f3_ZU")</f>
        <v>nacházet (v-w2023f2) - substituted with v-w2023f3_ZU</v>
      </c>
    </row>
    <row r="16346" spans="1:4" x14ac:dyDescent="0.2">
      <c r="B16346" t="s">
        <v>1</v>
      </c>
      <c r="C16346" t="s">
        <v>1086</v>
      </c>
    </row>
    <row r="16347" spans="1:4" x14ac:dyDescent="0.2">
      <c r="B16347" t="s">
        <v>5530</v>
      </c>
      <c r="C16347" t="s">
        <v>1963</v>
      </c>
    </row>
    <row r="16349" spans="1:4" x14ac:dyDescent="0.2">
      <c r="A16349" t="s">
        <v>5529</v>
      </c>
      <c r="B16349" t="str">
        <f>HYPERLINK("https://lindat.mff.cuni.cz/services/teitok/pdtc10/index.php?action=vallex&amp;frame=v-w2023hsa_933", "nacházet (v-w2023hsa_933) - substituted with v-w2023f3_ZU")</f>
        <v>nacházet (v-w2023hsa_933) - substituted with v-w2023f3_ZU</v>
      </c>
    </row>
    <row r="16350" spans="1:4" x14ac:dyDescent="0.2">
      <c r="B16350" t="s">
        <v>1</v>
      </c>
    </row>
    <row r="16351" spans="1:4" x14ac:dyDescent="0.2">
      <c r="B16351" t="s">
        <v>5530</v>
      </c>
    </row>
    <row r="16353" spans="1:4" x14ac:dyDescent="0.2">
      <c r="A16353" t="s">
        <v>5532</v>
      </c>
      <c r="B16353" t="str">
        <f>HYPERLINK("https://lindat.mff.cuni.cz/services/teitok/pdtc10/index.php?action=vallex&amp;frame=v-w2024f2", "nacházet se (v-w2024f2)")</f>
        <v>nacházet se (v-w2024f2)</v>
      </c>
    </row>
    <row r="16354" spans="1:4" x14ac:dyDescent="0.2">
      <c r="B16354" t="s">
        <v>1</v>
      </c>
      <c r="C16354" t="s">
        <v>5533</v>
      </c>
      <c r="D16354" t="s">
        <v>23515</v>
      </c>
    </row>
    <row r="16355" spans="1:4" x14ac:dyDescent="0.2">
      <c r="B16355" t="s">
        <v>2360</v>
      </c>
      <c r="C16355" t="s">
        <v>5534</v>
      </c>
      <c r="D16355" t="s">
        <v>23516</v>
      </c>
    </row>
    <row r="16357" spans="1:4" x14ac:dyDescent="0.2">
      <c r="A16357" t="s">
        <v>5535</v>
      </c>
      <c r="B16357" t="str">
        <f>HYPERLINK("https://lindat.mff.cuni.cz/services/teitok/pdtc10/index.php?action=vallex&amp;frame=v-w2024f1", "nacházet se (v-w2024f1)")</f>
        <v>nacházet se (v-w2024f1)</v>
      </c>
    </row>
    <row r="16358" spans="1:4" x14ac:dyDescent="0.2">
      <c r="B16358" t="s">
        <v>1</v>
      </c>
      <c r="C16358" t="s">
        <v>5536</v>
      </c>
      <c r="D16358" t="s">
        <v>23456</v>
      </c>
    </row>
    <row r="16359" spans="1:4" x14ac:dyDescent="0.2">
      <c r="B16359" t="s">
        <v>5</v>
      </c>
      <c r="C16359" t="s">
        <v>5537</v>
      </c>
      <c r="D16359" t="s">
        <v>23457</v>
      </c>
    </row>
    <row r="16361" spans="1:4" x14ac:dyDescent="0.2">
      <c r="A16361" t="s">
        <v>5538</v>
      </c>
      <c r="B16361" t="str">
        <f>HYPERLINK("https://lindat.mff.cuni.cz/services/teitok/pdtc10/index.php?action=vallex&amp;frame=v-whsa_901hsa_902", "nachýlit (v-whsa_901hsa_902)")</f>
        <v>nachýlit (v-whsa_901hsa_902)</v>
      </c>
    </row>
    <row r="16362" spans="1:4" x14ac:dyDescent="0.2">
      <c r="B16362" t="s">
        <v>1</v>
      </c>
      <c r="C16362" t="s">
        <v>140</v>
      </c>
      <c r="D16362" t="s">
        <v>13976</v>
      </c>
    </row>
    <row r="16363" spans="1:4" x14ac:dyDescent="0.2">
      <c r="B16363" t="s">
        <v>8</v>
      </c>
      <c r="C16363" t="s">
        <v>991</v>
      </c>
      <c r="D16363" t="s">
        <v>10414</v>
      </c>
    </row>
    <row r="16364" spans="1:4" x14ac:dyDescent="0.2">
      <c r="B16364" t="s">
        <v>90</v>
      </c>
      <c r="D16364" t="s">
        <v>23197</v>
      </c>
    </row>
    <row r="16366" spans="1:4" x14ac:dyDescent="0.2">
      <c r="A16366" t="s">
        <v>5539</v>
      </c>
      <c r="B16366" t="str">
        <f>HYPERLINK("https://lindat.mff.cuni.cz/services/teitok/pdtc10/index.php?action=vallex&amp;frame=v-w12238_ZUf1_ZU", "nacouvat (v-w12238_ZUf1_ZU)")</f>
        <v>nacouvat (v-w12238_ZUf1_ZU)</v>
      </c>
    </row>
    <row r="16367" spans="1:4" x14ac:dyDescent="0.2">
      <c r="B16367" t="s">
        <v>1</v>
      </c>
    </row>
    <row r="16368" spans="1:4" x14ac:dyDescent="0.2">
      <c r="B16368" t="s">
        <v>252</v>
      </c>
    </row>
    <row r="16370" spans="1:4" x14ac:dyDescent="0.2">
      <c r="A16370" t="s">
        <v>5540</v>
      </c>
      <c r="B16370" t="str">
        <f>HYPERLINK("https://lindat.mff.cuni.cz/services/teitok/pdtc10/index.php?action=vallex&amp;frame=v-w11201f3", "nacpat (v-w11201f3)")</f>
        <v>nacpat (v-w11201f3)</v>
      </c>
    </row>
    <row r="16371" spans="1:4" x14ac:dyDescent="0.2">
      <c r="B16371" t="s">
        <v>1</v>
      </c>
      <c r="C16371" t="s">
        <v>249</v>
      </c>
      <c r="D16371" t="s">
        <v>23517</v>
      </c>
    </row>
    <row r="16372" spans="1:4" x14ac:dyDescent="0.2">
      <c r="B16372" t="s">
        <v>8</v>
      </c>
      <c r="C16372" t="s">
        <v>1128</v>
      </c>
      <c r="D16372" t="s">
        <v>84</v>
      </c>
    </row>
    <row r="16373" spans="1:4" x14ac:dyDescent="0.2">
      <c r="B16373" t="s">
        <v>5479</v>
      </c>
      <c r="C16373" t="s">
        <v>131</v>
      </c>
      <c r="D16373" t="s">
        <v>23518</v>
      </c>
    </row>
    <row r="16375" spans="1:4" x14ac:dyDescent="0.2">
      <c r="A16375" t="s">
        <v>5541</v>
      </c>
      <c r="B16375" t="str">
        <f>HYPERLINK("https://lindat.mff.cuni.cz/services/teitok/pdtc10/index.php?action=vallex&amp;frame=v-w11201f2", "nacpat (v-w11201f2)")</f>
        <v>nacpat (v-w11201f2)</v>
      </c>
    </row>
    <row r="16376" spans="1:4" x14ac:dyDescent="0.2">
      <c r="B16376" t="s">
        <v>1</v>
      </c>
      <c r="D16376" t="s">
        <v>23517</v>
      </c>
    </row>
    <row r="16377" spans="1:4" x14ac:dyDescent="0.2">
      <c r="B16377" t="s">
        <v>8</v>
      </c>
      <c r="D16377" t="s">
        <v>23519</v>
      </c>
    </row>
    <row r="16378" spans="1:4" x14ac:dyDescent="0.2">
      <c r="B16378" t="s">
        <v>90</v>
      </c>
      <c r="C16378" t="s">
        <v>1796</v>
      </c>
      <c r="D16378" t="s">
        <v>14098</v>
      </c>
    </row>
    <row r="16380" spans="1:4" x14ac:dyDescent="0.2">
      <c r="A16380" t="s">
        <v>5542</v>
      </c>
      <c r="B16380" t="str">
        <f>HYPERLINK("https://lindat.mff.cuni.cz/services/teitok/pdtc10/index.php?action=vallex&amp;frame=v-whsa_1009hsa_1010", "nacvičit (v-whsa_1009hsa_1010)")</f>
        <v>nacvičit (v-whsa_1009hsa_1010)</v>
      </c>
    </row>
    <row r="16381" spans="1:4" x14ac:dyDescent="0.2">
      <c r="B16381" t="s">
        <v>1</v>
      </c>
      <c r="D16381" t="s">
        <v>23520</v>
      </c>
    </row>
    <row r="16382" spans="1:4" x14ac:dyDescent="0.2">
      <c r="B16382" t="s">
        <v>8</v>
      </c>
      <c r="D16382" t="s">
        <v>7625</v>
      </c>
    </row>
    <row r="16384" spans="1:4" x14ac:dyDescent="0.2">
      <c r="A16384" t="s">
        <v>5543</v>
      </c>
      <c r="B16384" t="str">
        <f>HYPERLINK("https://lindat.mff.cuni.cz/services/teitok/pdtc10/index.php?action=vallex&amp;frame=v-w1962f1", "nacvičovat (v-w1962f1)")</f>
        <v>nacvičovat (v-w1962f1)</v>
      </c>
    </row>
    <row r="16385" spans="1:4" x14ac:dyDescent="0.2">
      <c r="B16385" t="s">
        <v>1</v>
      </c>
    </row>
    <row r="16386" spans="1:4" x14ac:dyDescent="0.2">
      <c r="B16386" t="s">
        <v>8</v>
      </c>
    </row>
    <row r="16388" spans="1:4" x14ac:dyDescent="0.2">
      <c r="A16388" t="s">
        <v>5544</v>
      </c>
      <c r="B16388" t="str">
        <f>HYPERLINK("https://lindat.mff.cuni.cz/services/teitok/pdtc10/index.php?action=vallex&amp;frame=v-w1971f1", "nadat (v-w1971f1)")</f>
        <v>nadat (v-w1971f1)</v>
      </c>
    </row>
    <row r="16389" spans="1:4" x14ac:dyDescent="0.2">
      <c r="B16389" t="s">
        <v>1</v>
      </c>
    </row>
    <row r="16390" spans="1:4" x14ac:dyDescent="0.2">
      <c r="B16390" t="s">
        <v>158</v>
      </c>
    </row>
    <row r="16391" spans="1:4" x14ac:dyDescent="0.2">
      <c r="B16391" t="s">
        <v>58</v>
      </c>
    </row>
    <row r="16393" spans="1:4" x14ac:dyDescent="0.2">
      <c r="A16393" t="s">
        <v>5545</v>
      </c>
      <c r="B16393" t="str">
        <f>HYPERLINK("https://lindat.mff.cuni.cz/services/teitok/pdtc10/index.php?action=vallex&amp;frame=v-w1971f2_ZU", "nadat (v-w1971f2_ZU)")</f>
        <v>nadat (v-w1971f2_ZU)</v>
      </c>
    </row>
    <row r="16394" spans="1:4" x14ac:dyDescent="0.2">
      <c r="B16394" t="s">
        <v>1</v>
      </c>
    </row>
    <row r="16395" spans="1:4" x14ac:dyDescent="0.2">
      <c r="B16395" t="s">
        <v>35</v>
      </c>
    </row>
    <row r="16396" spans="1:4" x14ac:dyDescent="0.2">
      <c r="B16396" t="s">
        <v>3202</v>
      </c>
    </row>
    <row r="16398" spans="1:4" x14ac:dyDescent="0.2">
      <c r="A16398" t="s">
        <v>5546</v>
      </c>
      <c r="B16398" t="str">
        <f>HYPERLINK("https://lindat.mff.cuni.cz/services/teitok/pdtc10/index.php?action=vallex&amp;frame=v-w11016f2", "nadbíhat (v-w11016f2)")</f>
        <v>nadbíhat (v-w11016f2)</v>
      </c>
    </row>
    <row r="16399" spans="1:4" x14ac:dyDescent="0.2">
      <c r="B16399" t="s">
        <v>1</v>
      </c>
      <c r="C16399" t="s">
        <v>430</v>
      </c>
      <c r="D16399" t="s">
        <v>16255</v>
      </c>
    </row>
    <row r="16400" spans="1:4" x14ac:dyDescent="0.2">
      <c r="B16400" t="s">
        <v>103</v>
      </c>
      <c r="C16400" t="s">
        <v>54</v>
      </c>
      <c r="D16400" t="s">
        <v>23521</v>
      </c>
    </row>
    <row r="16402" spans="1:4" x14ac:dyDescent="0.2">
      <c r="A16402" t="s">
        <v>5547</v>
      </c>
      <c r="B16402" t="str">
        <f>HYPERLINK("https://lindat.mff.cuni.cz/services/teitok/pdtc10/index.php?action=vallex&amp;frame=v-w11518_ZUf1_ZU", "nadbízet (v-w11518_ZUf1_ZU)")</f>
        <v>nadbízet (v-w11518_ZUf1_ZU)</v>
      </c>
    </row>
    <row r="16403" spans="1:4" x14ac:dyDescent="0.2">
      <c r="B16403" t="s">
        <v>1</v>
      </c>
      <c r="C16403" t="s">
        <v>140</v>
      </c>
      <c r="D16403" t="s">
        <v>80</v>
      </c>
    </row>
    <row r="16404" spans="1:4" x14ac:dyDescent="0.2">
      <c r="B16404" t="s">
        <v>8</v>
      </c>
      <c r="C16404" t="s">
        <v>34</v>
      </c>
      <c r="D16404" t="s">
        <v>116</v>
      </c>
    </row>
    <row r="16406" spans="1:4" x14ac:dyDescent="0.2">
      <c r="A16406" t="s">
        <v>5548</v>
      </c>
      <c r="B16406" t="str">
        <f>HYPERLINK("https://lindat.mff.cuni.cz/services/teitok/pdtc10/index.php?action=vallex&amp;frame=v-w11231f2", "nadcenit (v-w11231f2)")</f>
        <v>nadcenit (v-w11231f2)</v>
      </c>
    </row>
    <row r="16407" spans="1:4" x14ac:dyDescent="0.2">
      <c r="B16407" t="s">
        <v>1</v>
      </c>
      <c r="C16407" t="s">
        <v>249</v>
      </c>
      <c r="D16407" t="s">
        <v>80</v>
      </c>
    </row>
    <row r="16408" spans="1:4" x14ac:dyDescent="0.2">
      <c r="B16408" t="s">
        <v>8</v>
      </c>
      <c r="C16408" t="s">
        <v>56</v>
      </c>
      <c r="D16408" t="s">
        <v>116</v>
      </c>
    </row>
    <row r="16410" spans="1:4" x14ac:dyDescent="0.2">
      <c r="A16410" t="s">
        <v>5549</v>
      </c>
      <c r="B16410" t="str">
        <f>HYPERLINK("https://lindat.mff.cuni.cz/services/teitok/pdtc10/index.php?action=vallex&amp;frame=v-w1983f1", "nadchnout (v-w1983f1)")</f>
        <v>nadchnout (v-w1983f1)</v>
      </c>
    </row>
    <row r="16411" spans="1:4" x14ac:dyDescent="0.2">
      <c r="B16411" t="s">
        <v>604</v>
      </c>
      <c r="C16411" t="s">
        <v>5550</v>
      </c>
      <c r="D16411" t="s">
        <v>5988</v>
      </c>
    </row>
    <row r="16412" spans="1:4" x14ac:dyDescent="0.2">
      <c r="B16412" t="s">
        <v>8</v>
      </c>
      <c r="C16412" t="s">
        <v>5551</v>
      </c>
      <c r="D16412" t="s">
        <v>1109</v>
      </c>
    </row>
    <row r="16414" spans="1:4" x14ac:dyDescent="0.2">
      <c r="A16414" t="s">
        <v>5552</v>
      </c>
      <c r="B16414" t="str">
        <f>HYPERLINK("https://lindat.mff.cuni.cz/services/teitok/pdtc10/index.php?action=vallex&amp;frame=v-w1984f1", "nadchnout se (v-w1984f1)")</f>
        <v>nadchnout se (v-w1984f1)</v>
      </c>
    </row>
    <row r="16415" spans="1:4" x14ac:dyDescent="0.2">
      <c r="B16415" t="s">
        <v>1</v>
      </c>
      <c r="C16415" t="s">
        <v>147</v>
      </c>
    </row>
    <row r="16416" spans="1:4" x14ac:dyDescent="0.2">
      <c r="B16416" t="s">
        <v>1410</v>
      </c>
    </row>
    <row r="16418" spans="1:4" x14ac:dyDescent="0.2">
      <c r="A16418" t="s">
        <v>5553</v>
      </c>
      <c r="B16418" t="str">
        <f>HYPERLINK("https://lindat.mff.cuni.cz/services/teitok/pdtc10/index.php?action=vallex&amp;frame=v-w1982f1", "nadcházet (v-w1982f1)")</f>
        <v>nadcházet (v-w1982f1)</v>
      </c>
    </row>
    <row r="16419" spans="1:4" x14ac:dyDescent="0.2">
      <c r="B16419" t="s">
        <v>1</v>
      </c>
    </row>
    <row r="16421" spans="1:4" x14ac:dyDescent="0.2">
      <c r="A16421" t="s">
        <v>5554</v>
      </c>
      <c r="B16421" t="str">
        <f>HYPERLINK("https://lindat.mff.cuni.cz/services/teitok/pdtc10/index.php?action=vallex&amp;frame=v-w11308f1", "nadechnout se (v-w11308f1)")</f>
        <v>nadechnout se (v-w11308f1)</v>
      </c>
    </row>
    <row r="16422" spans="1:4" x14ac:dyDescent="0.2">
      <c r="B16422" t="s">
        <v>1</v>
      </c>
      <c r="D16422" t="s">
        <v>140</v>
      </c>
    </row>
    <row r="16423" spans="1:4" x14ac:dyDescent="0.2">
      <c r="B16423" t="s">
        <v>582</v>
      </c>
      <c r="D16423" t="s">
        <v>113</v>
      </c>
    </row>
    <row r="16425" spans="1:4" x14ac:dyDescent="0.2">
      <c r="A16425" t="s">
        <v>5555</v>
      </c>
      <c r="B16425" t="str">
        <f>HYPERLINK("https://lindat.mff.cuni.cz/services/teitok/pdtc10/index.php?action=vallex&amp;frame=v-w10157f2", "nadejít (v-w10157f2)")</f>
        <v>nadejít (v-w10157f2)</v>
      </c>
    </row>
    <row r="16426" spans="1:4" x14ac:dyDescent="0.2">
      <c r="B16426" t="s">
        <v>1</v>
      </c>
      <c r="C16426" t="s">
        <v>5556</v>
      </c>
      <c r="D16426" t="s">
        <v>23208</v>
      </c>
    </row>
    <row r="16428" spans="1:4" x14ac:dyDescent="0.2">
      <c r="A16428" t="s">
        <v>5557</v>
      </c>
      <c r="B16428" t="str">
        <f>HYPERLINK("https://lindat.mff.cuni.cz/services/teitok/pdtc10/index.php?action=vallex&amp;frame=v-whsa_804f1_ZU", "nadhazovat (v-whsa_804f1_ZU)")</f>
        <v>nadhazovat (v-whsa_804f1_ZU)</v>
      </c>
    </row>
    <row r="16429" spans="1:4" x14ac:dyDescent="0.2">
      <c r="B16429" t="s">
        <v>1</v>
      </c>
      <c r="C16429" t="s">
        <v>133</v>
      </c>
      <c r="D16429" t="s">
        <v>4110</v>
      </c>
    </row>
    <row r="16430" spans="1:4" x14ac:dyDescent="0.2">
      <c r="B16430" t="s">
        <v>220</v>
      </c>
      <c r="C16430" t="s">
        <v>84</v>
      </c>
      <c r="D16430" t="s">
        <v>81</v>
      </c>
    </row>
    <row r="16431" spans="1:4" x14ac:dyDescent="0.2">
      <c r="B16431" t="s">
        <v>78</v>
      </c>
      <c r="C16431" t="s">
        <v>987</v>
      </c>
      <c r="D16431" t="s">
        <v>987</v>
      </c>
    </row>
    <row r="16433" spans="1:2" x14ac:dyDescent="0.2">
      <c r="A16433" t="s">
        <v>5557</v>
      </c>
      <c r="B16433" t="str">
        <f>HYPERLINK("https://lindat.mff.cuni.cz/services/teitok/pdtc10/index.php?action=vallex&amp;frame=v-whsa_804hsa_805", "nadhazovat (v-whsa_804hsa_805) - substituted with v-whsa_804f1_ZU")</f>
        <v>nadhazovat (v-whsa_804hsa_805) - substituted with v-whsa_804f1_ZU</v>
      </c>
    </row>
    <row r="16434" spans="1:2" x14ac:dyDescent="0.2">
      <c r="B16434" t="s">
        <v>1</v>
      </c>
    </row>
    <row r="16435" spans="1:2" x14ac:dyDescent="0.2">
      <c r="B16435" t="s">
        <v>220</v>
      </c>
    </row>
    <row r="16436" spans="1:2" x14ac:dyDescent="0.2">
      <c r="B16436" t="s">
        <v>78</v>
      </c>
    </row>
    <row r="16438" spans="1:2" x14ac:dyDescent="0.2">
      <c r="A16438" t="s">
        <v>5558</v>
      </c>
      <c r="B16438" t="str">
        <f>HYPERLINK("https://lindat.mff.cuni.cz/services/teitok/pdtc10/index.php?action=vallex&amp;frame=v-w1979f1", "nadhodit (v-w1979f1)")</f>
        <v>nadhodit (v-w1979f1)</v>
      </c>
    </row>
    <row r="16439" spans="1:2" x14ac:dyDescent="0.2">
      <c r="B16439" t="s">
        <v>1</v>
      </c>
    </row>
    <row r="16440" spans="1:2" x14ac:dyDescent="0.2">
      <c r="B16440" t="s">
        <v>5559</v>
      </c>
    </row>
    <row r="16442" spans="1:2" x14ac:dyDescent="0.2">
      <c r="A16442" t="s">
        <v>5560</v>
      </c>
      <c r="B16442" t="str">
        <f>HYPERLINK("https://lindat.mff.cuni.cz/services/teitok/pdtc10/index.php?action=vallex&amp;frame=v-w1979f2", "nadhodit (v-w1979f2)")</f>
        <v>nadhodit (v-w1979f2)</v>
      </c>
    </row>
    <row r="16443" spans="1:2" x14ac:dyDescent="0.2">
      <c r="B16443" t="s">
        <v>1</v>
      </c>
    </row>
    <row r="16444" spans="1:2" x14ac:dyDescent="0.2">
      <c r="B16444" t="s">
        <v>8</v>
      </c>
    </row>
    <row r="16446" spans="1:2" x14ac:dyDescent="0.2">
      <c r="A16446" t="s">
        <v>5561</v>
      </c>
      <c r="B16446" t="str">
        <f>HYPERLINK("https://lindat.mff.cuni.cz/services/teitok/pdtc10/index.php?action=vallex&amp;frame=v-w12210_ZUf1_ZU", "nadhodnocovat (v-w12210_ZUf1_ZU)")</f>
        <v>nadhodnocovat (v-w12210_ZUf1_ZU)</v>
      </c>
    </row>
    <row r="16447" spans="1:2" x14ac:dyDescent="0.2">
      <c r="B16447" t="s">
        <v>1</v>
      </c>
    </row>
    <row r="16448" spans="1:2" x14ac:dyDescent="0.2">
      <c r="B16448" t="s">
        <v>8</v>
      </c>
    </row>
    <row r="16450" spans="1:4" x14ac:dyDescent="0.2">
      <c r="A16450" t="s">
        <v>5562</v>
      </c>
      <c r="B16450" t="str">
        <f>HYPERLINK("https://lindat.mff.cuni.cz/services/teitok/pdtc10/index.php?action=vallex&amp;frame=v-w1981f1", "nadhodnotit (v-w1981f1)")</f>
        <v>nadhodnotit (v-w1981f1)</v>
      </c>
    </row>
    <row r="16451" spans="1:4" x14ac:dyDescent="0.2">
      <c r="B16451" t="s">
        <v>1</v>
      </c>
      <c r="D16451" t="s">
        <v>80</v>
      </c>
    </row>
    <row r="16452" spans="1:4" x14ac:dyDescent="0.2">
      <c r="B16452" t="s">
        <v>8</v>
      </c>
      <c r="D16452" t="s">
        <v>116</v>
      </c>
    </row>
    <row r="16454" spans="1:4" x14ac:dyDescent="0.2">
      <c r="A16454" t="s">
        <v>5563</v>
      </c>
      <c r="B16454" t="str">
        <f>HYPERLINK("https://lindat.mff.cuni.cz/services/teitok/pdtc10/index.php?action=vallex&amp;frame=v-w1985f1", "nadiktovat (v-w1985f1)")</f>
        <v>nadiktovat (v-w1985f1)</v>
      </c>
    </row>
    <row r="16455" spans="1:4" x14ac:dyDescent="0.2">
      <c r="B16455" t="s">
        <v>1</v>
      </c>
    </row>
    <row r="16456" spans="1:4" x14ac:dyDescent="0.2">
      <c r="B16456" t="s">
        <v>273</v>
      </c>
    </row>
    <row r="16457" spans="1:4" x14ac:dyDescent="0.2">
      <c r="B16457" t="s">
        <v>35</v>
      </c>
    </row>
    <row r="16459" spans="1:4" x14ac:dyDescent="0.2">
      <c r="A16459" t="s">
        <v>5564</v>
      </c>
      <c r="B16459" t="str">
        <f>HYPERLINK("https://lindat.mff.cuni.cz/services/teitok/pdtc10/index.php?action=vallex&amp;frame=v-w1987f1", "nadlehčit (v-w1987f1)")</f>
        <v>nadlehčit (v-w1987f1)</v>
      </c>
    </row>
    <row r="16460" spans="1:4" x14ac:dyDescent="0.2">
      <c r="B16460" t="s">
        <v>1</v>
      </c>
      <c r="D16460" t="s">
        <v>5889</v>
      </c>
    </row>
    <row r="16461" spans="1:4" x14ac:dyDescent="0.2">
      <c r="B16461" t="s">
        <v>124</v>
      </c>
      <c r="D16461" t="s">
        <v>17878</v>
      </c>
    </row>
    <row r="16463" spans="1:4" x14ac:dyDescent="0.2">
      <c r="A16463" t="s">
        <v>5565</v>
      </c>
      <c r="B16463" t="str">
        <f>HYPERLINK("https://lindat.mff.cuni.cz/services/teitok/pdtc10/index.php?action=vallex&amp;frame=v-w11803_ZUf1_ZU", "nadlábnout se (v-w11803_ZUf1_ZU)")</f>
        <v>nadlábnout se (v-w11803_ZUf1_ZU)</v>
      </c>
    </row>
    <row r="16464" spans="1:4" x14ac:dyDescent="0.2">
      <c r="B16464" t="s">
        <v>1</v>
      </c>
    </row>
    <row r="16465" spans="1:3" x14ac:dyDescent="0.2">
      <c r="B16465" t="s">
        <v>582</v>
      </c>
    </row>
    <row r="16467" spans="1:3" x14ac:dyDescent="0.2">
      <c r="A16467" t="s">
        <v>5566</v>
      </c>
      <c r="B16467" t="str">
        <f>HYPERLINK("https://lindat.mff.cuni.cz/services/teitok/pdtc10/index.php?action=vallex&amp;frame=v-w10425f3", "nadnášet (v-w10425f3)")</f>
        <v>nadnášet (v-w10425f3)</v>
      </c>
    </row>
    <row r="16468" spans="1:3" x14ac:dyDescent="0.2">
      <c r="B16468" t="s">
        <v>1</v>
      </c>
    </row>
    <row r="16469" spans="1:3" x14ac:dyDescent="0.2">
      <c r="B16469" t="s">
        <v>124</v>
      </c>
    </row>
    <row r="16471" spans="1:3" x14ac:dyDescent="0.2">
      <c r="A16471" t="s">
        <v>5567</v>
      </c>
      <c r="B16471" t="str">
        <f>HYPERLINK("https://lindat.mff.cuni.cz/services/teitok/pdtc10/index.php?action=vallex&amp;frame=v-w10425f2", "nadnášet (v-w10425f2)")</f>
        <v>nadnášet (v-w10425f2)</v>
      </c>
    </row>
    <row r="16472" spans="1:3" x14ac:dyDescent="0.2">
      <c r="B16472" t="s">
        <v>1</v>
      </c>
    </row>
    <row r="16473" spans="1:3" x14ac:dyDescent="0.2">
      <c r="B16473" t="s">
        <v>8</v>
      </c>
    </row>
    <row r="16475" spans="1:3" x14ac:dyDescent="0.2">
      <c r="A16475" t="s">
        <v>5568</v>
      </c>
      <c r="B16475" t="str">
        <f>HYPERLINK("https://lindat.mff.cuni.cz/services/teitok/pdtc10/index.php?action=vallex&amp;frame=v-w10425f4_MM", "nadnášet (v-w10425f4_MM)")</f>
        <v>nadnášet (v-w10425f4_MM)</v>
      </c>
    </row>
    <row r="16476" spans="1:3" x14ac:dyDescent="0.2">
      <c r="B16476" t="s">
        <v>1</v>
      </c>
    </row>
    <row r="16477" spans="1:3" x14ac:dyDescent="0.2">
      <c r="B16477" t="s">
        <v>8</v>
      </c>
    </row>
    <row r="16479" spans="1:3" x14ac:dyDescent="0.2">
      <c r="A16479" t="s">
        <v>5569</v>
      </c>
      <c r="B16479" t="str">
        <f>HYPERLINK("https://lindat.mff.cuni.cz/services/teitok/pdtc10/index.php?action=vallex&amp;frame=v-w11519_ZUf1_ZU", "nadnést (v-w11519_ZUf1_ZU)")</f>
        <v>nadnést (v-w11519_ZUf1_ZU)</v>
      </c>
    </row>
    <row r="16480" spans="1:3" x14ac:dyDescent="0.2">
      <c r="B16480" t="s">
        <v>1</v>
      </c>
      <c r="C16480" t="s">
        <v>5570</v>
      </c>
    </row>
    <row r="16481" spans="1:4" x14ac:dyDescent="0.2">
      <c r="B16481" t="s">
        <v>8</v>
      </c>
      <c r="C16481" t="s">
        <v>5571</v>
      </c>
    </row>
    <row r="16483" spans="1:4" x14ac:dyDescent="0.2">
      <c r="A16483" t="s">
        <v>5572</v>
      </c>
      <c r="B16483" t="str">
        <f>HYPERLINK("https://lindat.mff.cuni.cz/services/teitok/pdtc10/index.php?action=vallex&amp;frame=v-w11519_ZUhsa_1042", "nadnést (v-w11519_ZUhsa_1042)")</f>
        <v>nadnést (v-w11519_ZUhsa_1042)</v>
      </c>
    </row>
    <row r="16484" spans="1:4" x14ac:dyDescent="0.2">
      <c r="B16484" t="s">
        <v>1</v>
      </c>
      <c r="C16484" t="s">
        <v>80</v>
      </c>
    </row>
    <row r="16485" spans="1:4" x14ac:dyDescent="0.2">
      <c r="B16485" t="s">
        <v>8</v>
      </c>
      <c r="C16485" t="s">
        <v>56</v>
      </c>
    </row>
    <row r="16487" spans="1:4" x14ac:dyDescent="0.2">
      <c r="A16487" t="s">
        <v>5573</v>
      </c>
      <c r="B16487" t="str">
        <f>HYPERLINK("https://lindat.mff.cuni.cz/services/teitok/pdtc10/index.php?action=vallex&amp;frame=v-w11885_ZUf1_ZU", "nadrobit (v-w11885_ZUf1_ZU)")</f>
        <v>nadrobit (v-w11885_ZUf1_ZU)</v>
      </c>
    </row>
    <row r="16488" spans="1:4" x14ac:dyDescent="0.2">
      <c r="B16488" t="s">
        <v>1</v>
      </c>
    </row>
    <row r="16489" spans="1:4" x14ac:dyDescent="0.2">
      <c r="B16489" t="s">
        <v>8</v>
      </c>
    </row>
    <row r="16491" spans="1:4" x14ac:dyDescent="0.2">
      <c r="A16491" t="s">
        <v>5574</v>
      </c>
      <c r="B16491" t="str">
        <f>HYPERLINK("https://lindat.mff.cuni.cz/services/teitok/pdtc10/index.php?action=vallex&amp;frame=v-whsa_326hsa_327", "nadržovat (v-whsa_326hsa_327)")</f>
        <v>nadržovat (v-whsa_326hsa_327)</v>
      </c>
    </row>
    <row r="16492" spans="1:4" x14ac:dyDescent="0.2">
      <c r="B16492" t="s">
        <v>1</v>
      </c>
    </row>
    <row r="16493" spans="1:4" x14ac:dyDescent="0.2">
      <c r="B16493" t="s">
        <v>8</v>
      </c>
    </row>
    <row r="16495" spans="1:4" x14ac:dyDescent="0.2">
      <c r="A16495" t="s">
        <v>5575</v>
      </c>
      <c r="B16495" t="str">
        <f>HYPERLINK("https://lindat.mff.cuni.cz/services/teitok/pdtc10/index.php?action=vallex&amp;frame=v-w11141f3", "nadsadit (v-w11141f3)")</f>
        <v>nadsadit (v-w11141f3)</v>
      </c>
    </row>
    <row r="16496" spans="1:4" x14ac:dyDescent="0.2">
      <c r="B16496" t="s">
        <v>1</v>
      </c>
      <c r="C16496" t="s">
        <v>249</v>
      </c>
      <c r="D16496" t="s">
        <v>80</v>
      </c>
    </row>
    <row r="16497" spans="1:4" x14ac:dyDescent="0.2">
      <c r="B16497" t="s">
        <v>8</v>
      </c>
      <c r="C16497" t="s">
        <v>56</v>
      </c>
      <c r="D16497" t="s">
        <v>116</v>
      </c>
    </row>
    <row r="16499" spans="1:4" x14ac:dyDescent="0.2">
      <c r="A16499" t="s">
        <v>5576</v>
      </c>
      <c r="B16499" t="str">
        <f>HYPERLINK("https://lindat.mff.cuni.cz/services/teitok/pdtc10/index.php?action=vallex&amp;frame=v-w1990f1", "nadsazovat (v-w1990f1)")</f>
        <v>nadsazovat (v-w1990f1)</v>
      </c>
    </row>
    <row r="16500" spans="1:4" x14ac:dyDescent="0.2">
      <c r="B16500" t="s">
        <v>1</v>
      </c>
      <c r="C16500" t="s">
        <v>22</v>
      </c>
      <c r="D16500" t="s">
        <v>80</v>
      </c>
    </row>
    <row r="16501" spans="1:4" x14ac:dyDescent="0.2">
      <c r="B16501" t="s">
        <v>8</v>
      </c>
      <c r="C16501" t="s">
        <v>354</v>
      </c>
      <c r="D16501" t="s">
        <v>116</v>
      </c>
    </row>
    <row r="16503" spans="1:4" x14ac:dyDescent="0.2">
      <c r="A16503" t="s">
        <v>5577</v>
      </c>
      <c r="B16503" t="str">
        <f>HYPERLINK("https://lindat.mff.cuni.cz/services/teitok/pdtc10/index.php?action=vallex&amp;frame=v-w10582f2", "nadskočit (v-w10582f2)")</f>
        <v>nadskočit (v-w10582f2)</v>
      </c>
    </row>
    <row r="16504" spans="1:4" x14ac:dyDescent="0.2">
      <c r="B16504" t="s">
        <v>1</v>
      </c>
      <c r="C16504" t="s">
        <v>133</v>
      </c>
      <c r="D16504" t="s">
        <v>133</v>
      </c>
    </row>
    <row r="16506" spans="1:4" x14ac:dyDescent="0.2">
      <c r="A16506" t="s">
        <v>5578</v>
      </c>
      <c r="B16506" t="str">
        <f>HYPERLINK("https://lindat.mff.cuni.cz/services/teitok/pdtc10/index.php?action=vallex&amp;frame=v-w1993f1", "nadužít (v-w1993f1)")</f>
        <v>nadužít (v-w1993f1)</v>
      </c>
    </row>
    <row r="16507" spans="1:4" x14ac:dyDescent="0.2">
      <c r="B16507" t="s">
        <v>1</v>
      </c>
    </row>
    <row r="16508" spans="1:4" x14ac:dyDescent="0.2">
      <c r="B16508" t="s">
        <v>968</v>
      </c>
    </row>
    <row r="16510" spans="1:4" x14ac:dyDescent="0.2">
      <c r="A16510" t="s">
        <v>5579</v>
      </c>
      <c r="B16510" t="str">
        <f>HYPERLINK("https://lindat.mff.cuni.cz/services/teitok/pdtc10/index.php?action=vallex&amp;frame=v-whsa_1265hsa_1266", "nadzajistit (v-whsa_1265hsa_1266)")</f>
        <v>nadzajistit (v-whsa_1265hsa_1266)</v>
      </c>
    </row>
    <row r="16511" spans="1:4" x14ac:dyDescent="0.2">
      <c r="B16511" t="s">
        <v>1</v>
      </c>
    </row>
    <row r="16512" spans="1:4" x14ac:dyDescent="0.2">
      <c r="B16512" t="s">
        <v>8</v>
      </c>
    </row>
    <row r="16514" spans="1:4" x14ac:dyDescent="0.2">
      <c r="A16514" t="s">
        <v>5580</v>
      </c>
      <c r="B16514" t="str">
        <f>HYPERLINK("https://lindat.mff.cuni.cz/services/teitok/pdtc10/index.php?action=vallex&amp;frame=v-w10363f2", "nadzdvihnout (v-w10363f2)")</f>
        <v>nadzdvihnout (v-w10363f2)</v>
      </c>
    </row>
    <row r="16515" spans="1:4" x14ac:dyDescent="0.2">
      <c r="B16515" t="s">
        <v>1</v>
      </c>
      <c r="C16515" t="s">
        <v>140</v>
      </c>
      <c r="D16515" t="s">
        <v>334</v>
      </c>
    </row>
    <row r="16516" spans="1:4" x14ac:dyDescent="0.2">
      <c r="B16516" t="s">
        <v>8</v>
      </c>
      <c r="C16516" t="s">
        <v>34</v>
      </c>
      <c r="D16516" t="s">
        <v>2240</v>
      </c>
    </row>
    <row r="16518" spans="1:4" x14ac:dyDescent="0.2">
      <c r="A16518" t="s">
        <v>5581</v>
      </c>
      <c r="B16518" t="str">
        <f>HYPERLINK("https://lindat.mff.cuni.cz/services/teitok/pdtc10/index.php?action=vallex&amp;frame=v-w1997f1", "nadzvednout (v-w1997f1)")</f>
        <v>nadzvednout (v-w1997f1)</v>
      </c>
    </row>
    <row r="16519" spans="1:4" x14ac:dyDescent="0.2">
      <c r="B16519" t="s">
        <v>1</v>
      </c>
    </row>
    <row r="16520" spans="1:4" x14ac:dyDescent="0.2">
      <c r="B16520" t="s">
        <v>8</v>
      </c>
    </row>
    <row r="16522" spans="1:4" x14ac:dyDescent="0.2">
      <c r="A16522" t="s">
        <v>5582</v>
      </c>
      <c r="B16522" t="str">
        <f>HYPERLINK("https://lindat.mff.cuni.cz/services/teitok/pdtc10/index.php?action=vallex&amp;frame=v-w12170_ZUf1_ZU", "nadzvedávat (v-w12170_ZUf1_ZU)")</f>
        <v>nadzvedávat (v-w12170_ZUf1_ZU)</v>
      </c>
    </row>
    <row r="16523" spans="1:4" x14ac:dyDescent="0.2">
      <c r="B16523" t="s">
        <v>1</v>
      </c>
    </row>
    <row r="16524" spans="1:4" x14ac:dyDescent="0.2">
      <c r="B16524" t="s">
        <v>8</v>
      </c>
    </row>
    <row r="16526" spans="1:4" x14ac:dyDescent="0.2">
      <c r="A16526" t="s">
        <v>5583</v>
      </c>
      <c r="B16526" t="str">
        <f>HYPERLINK("https://lindat.mff.cuni.cz/services/teitok/pdtc10/index.php?action=vallex&amp;frame=v-w1972f1", "nadát se (v-w1972f1)")</f>
        <v>nadát se (v-w1972f1)</v>
      </c>
    </row>
    <row r="16527" spans="1:4" x14ac:dyDescent="0.2">
      <c r="B16527" t="s">
        <v>1</v>
      </c>
    </row>
    <row r="16528" spans="1:4" x14ac:dyDescent="0.2">
      <c r="B16528" t="s">
        <v>917</v>
      </c>
    </row>
    <row r="16529" spans="1:4" x14ac:dyDescent="0.2">
      <c r="B16529" t="s">
        <v>321</v>
      </c>
    </row>
    <row r="16531" spans="1:4" x14ac:dyDescent="0.2">
      <c r="A16531" t="s">
        <v>5584</v>
      </c>
      <c r="B16531" t="str">
        <f>HYPERLINK("https://lindat.mff.cuni.cz/services/teitok/pdtc10/index.php?action=vallex&amp;frame=v-w1973f2", "nadávat (v-w1973f2)")</f>
        <v>nadávat (v-w1973f2)</v>
      </c>
    </row>
    <row r="16532" spans="1:4" x14ac:dyDescent="0.2">
      <c r="B16532" t="s">
        <v>1</v>
      </c>
      <c r="C16532" t="s">
        <v>33</v>
      </c>
      <c r="D16532" t="s">
        <v>373</v>
      </c>
    </row>
    <row r="16533" spans="1:4" x14ac:dyDescent="0.2">
      <c r="B16533" t="s">
        <v>452</v>
      </c>
      <c r="D16533" t="s">
        <v>1128</v>
      </c>
    </row>
    <row r="16535" spans="1:4" x14ac:dyDescent="0.2">
      <c r="A16535" t="s">
        <v>5585</v>
      </c>
      <c r="B16535" t="str">
        <f>HYPERLINK("https://lindat.mff.cuni.cz/services/teitok/pdtc10/index.php?action=vallex&amp;frame=v-w1973f3_ZU", "nadávat (v-w1973f3_ZU)")</f>
        <v>nadávat (v-w1973f3_ZU)</v>
      </c>
    </row>
    <row r="16536" spans="1:4" x14ac:dyDescent="0.2">
      <c r="B16536" t="s">
        <v>1</v>
      </c>
    </row>
    <row r="16537" spans="1:4" x14ac:dyDescent="0.2">
      <c r="B16537" t="s">
        <v>35</v>
      </c>
    </row>
    <row r="16538" spans="1:4" x14ac:dyDescent="0.2">
      <c r="B16538" t="s">
        <v>5586</v>
      </c>
    </row>
    <row r="16540" spans="1:4" x14ac:dyDescent="0.2">
      <c r="A16540" t="s">
        <v>5585</v>
      </c>
      <c r="B16540" t="str">
        <f>HYPERLINK("https://lindat.mff.cuni.cz/services/teitok/pdtc10/index.php?action=vallex&amp;frame=v-w1973f1", "nadávat (v-w1973f1) - substituted with v-w1973f3_ZU")</f>
        <v>nadávat (v-w1973f1) - substituted with v-w1973f3_ZU</v>
      </c>
    </row>
    <row r="16541" spans="1:4" x14ac:dyDescent="0.2">
      <c r="B16541" t="s">
        <v>1</v>
      </c>
    </row>
    <row r="16542" spans="1:4" x14ac:dyDescent="0.2">
      <c r="B16542" t="s">
        <v>35</v>
      </c>
    </row>
    <row r="16543" spans="1:4" x14ac:dyDescent="0.2">
      <c r="B16543" t="s">
        <v>5586</v>
      </c>
    </row>
    <row r="16545" spans="1:4" x14ac:dyDescent="0.2">
      <c r="A16545" t="s">
        <v>5587</v>
      </c>
      <c r="B16545" t="str">
        <f>HYPERLINK("https://lindat.mff.cuni.cz/services/teitok/pdtc10/index.php?action=vallex&amp;frame=v-whsa_1993hsa_1994", "nadít (v-whsa_1993hsa_1994)")</f>
        <v>nadít (v-whsa_1993hsa_1994)</v>
      </c>
    </row>
    <row r="16546" spans="1:4" x14ac:dyDescent="0.2">
      <c r="B16546" t="s">
        <v>1</v>
      </c>
    </row>
    <row r="16547" spans="1:4" x14ac:dyDescent="0.2">
      <c r="B16547" t="s">
        <v>8</v>
      </c>
    </row>
    <row r="16548" spans="1:4" x14ac:dyDescent="0.2">
      <c r="B16548" t="s">
        <v>90</v>
      </c>
    </row>
    <row r="16550" spans="1:4" x14ac:dyDescent="0.2">
      <c r="A16550" t="s">
        <v>5588</v>
      </c>
      <c r="B16550" t="str">
        <f>HYPERLINK("https://lindat.mff.cuni.cz/services/teitok/pdtc10/index.php?action=vallex&amp;frame=v-w1996f1", "nadýchat se (v-w1996f1)")</f>
        <v>nadýchat se (v-w1996f1)</v>
      </c>
    </row>
    <row r="16551" spans="1:4" x14ac:dyDescent="0.2">
      <c r="B16551" t="s">
        <v>1</v>
      </c>
    </row>
    <row r="16552" spans="1:4" x14ac:dyDescent="0.2">
      <c r="B16552" t="s">
        <v>917</v>
      </c>
    </row>
    <row r="16554" spans="1:4" x14ac:dyDescent="0.2">
      <c r="A16554" t="s">
        <v>5589</v>
      </c>
      <c r="B16554" t="str">
        <f>HYPERLINK("https://lindat.mff.cuni.cz/services/teitok/pdtc10/index.php?action=vallex&amp;frame=v-w1977f1", "nadělat (v-w1977f1)")</f>
        <v>nadělat (v-w1977f1)</v>
      </c>
    </row>
    <row r="16555" spans="1:4" x14ac:dyDescent="0.2">
      <c r="B16555" t="s">
        <v>196</v>
      </c>
      <c r="C16555" t="s">
        <v>5590</v>
      </c>
      <c r="D16555" t="s">
        <v>23017</v>
      </c>
    </row>
    <row r="16556" spans="1:4" x14ac:dyDescent="0.2">
      <c r="B16556" t="s">
        <v>8</v>
      </c>
      <c r="C16556" t="s">
        <v>5591</v>
      </c>
      <c r="D16556" t="s">
        <v>23498</v>
      </c>
    </row>
    <row r="16557" spans="1:4" x14ac:dyDescent="0.2">
      <c r="B16557" t="s">
        <v>35</v>
      </c>
      <c r="C16557" t="s">
        <v>3029</v>
      </c>
      <c r="D16557" t="s">
        <v>23522</v>
      </c>
    </row>
    <row r="16559" spans="1:4" x14ac:dyDescent="0.2">
      <c r="A16559" t="s">
        <v>5592</v>
      </c>
      <c r="B16559" t="str">
        <f>HYPERLINK("https://lindat.mff.cuni.cz/services/teitok/pdtc10/index.php?action=vallex&amp;frame=v-w1977f2_ZU", "nadělat (v-w1977f2_ZU)")</f>
        <v>nadělat (v-w1977f2_ZU)</v>
      </c>
    </row>
    <row r="16560" spans="1:4" x14ac:dyDescent="0.2">
      <c r="B16560" t="s">
        <v>1</v>
      </c>
    </row>
    <row r="16561" spans="1:2" x14ac:dyDescent="0.2">
      <c r="B16561" t="s">
        <v>3766</v>
      </c>
    </row>
    <row r="16562" spans="1:2" x14ac:dyDescent="0.2">
      <c r="B16562" t="s">
        <v>2328</v>
      </c>
    </row>
    <row r="16564" spans="1:2" x14ac:dyDescent="0.2">
      <c r="A16564" t="s">
        <v>5592</v>
      </c>
      <c r="B16564" t="str">
        <f>HYPERLINK("https://lindat.mff.cuni.cz/services/teitok/pdtc10/index.php?action=vallex&amp;frame=v-w1977hsa_1255", "nadělat (v-w1977hsa_1255) - substituted with v-w1977f2_ZU")</f>
        <v>nadělat (v-w1977hsa_1255) - substituted with v-w1977f2_ZU</v>
      </c>
    </row>
    <row r="16565" spans="1:2" x14ac:dyDescent="0.2">
      <c r="B16565" t="s">
        <v>1</v>
      </c>
    </row>
    <row r="16566" spans="1:2" x14ac:dyDescent="0.2">
      <c r="B16566" t="s">
        <v>3766</v>
      </c>
    </row>
    <row r="16567" spans="1:2" x14ac:dyDescent="0.2">
      <c r="B16567" t="s">
        <v>2328</v>
      </c>
    </row>
    <row r="16569" spans="1:2" x14ac:dyDescent="0.2">
      <c r="A16569" t="s">
        <v>5593</v>
      </c>
      <c r="B16569" t="str">
        <f>HYPERLINK("https://lindat.mff.cuni.cz/services/teitok/pdtc10/index.php?action=vallex&amp;frame=v-w1977hsa_1256", "nadělat (v-w1977hsa_1256)")</f>
        <v>nadělat (v-w1977hsa_1256)</v>
      </c>
    </row>
    <row r="16570" spans="1:2" x14ac:dyDescent="0.2">
      <c r="B16570" t="s">
        <v>1</v>
      </c>
    </row>
    <row r="16571" spans="1:2" x14ac:dyDescent="0.2">
      <c r="B16571" t="s">
        <v>8</v>
      </c>
    </row>
    <row r="16572" spans="1:2" x14ac:dyDescent="0.2">
      <c r="B16572" t="s">
        <v>24</v>
      </c>
    </row>
    <row r="16574" spans="1:2" x14ac:dyDescent="0.2">
      <c r="A16574" t="s">
        <v>5594</v>
      </c>
      <c r="B16574" t="str">
        <f>HYPERLINK("https://lindat.mff.cuni.cz/services/teitok/pdtc10/index.php?action=vallex&amp;frame=v-w1977hsa_1063", "nadělat (v-w1977hsa_1063)")</f>
        <v>nadělat (v-w1977hsa_1063)</v>
      </c>
    </row>
    <row r="16575" spans="1:2" x14ac:dyDescent="0.2">
      <c r="B16575" t="s">
        <v>1</v>
      </c>
    </row>
    <row r="16576" spans="1:2" x14ac:dyDescent="0.2">
      <c r="B16576" t="s">
        <v>968</v>
      </c>
    </row>
    <row r="16578" spans="1:3" x14ac:dyDescent="0.2">
      <c r="A16578" t="s">
        <v>5595</v>
      </c>
      <c r="B16578" t="str">
        <f>HYPERLINK("https://lindat.mff.cuni.cz/services/teitok/pdtc10/index.php?action=vallex&amp;frame=v-whsa_853f1_ZU", "nadělat se (v-whsa_853f1_ZU)")</f>
        <v>nadělat se (v-whsa_853f1_ZU)</v>
      </c>
    </row>
    <row r="16579" spans="1:3" x14ac:dyDescent="0.2">
      <c r="B16579" t="s">
        <v>1</v>
      </c>
    </row>
    <row r="16580" spans="1:3" x14ac:dyDescent="0.2">
      <c r="B16580" t="s">
        <v>2712</v>
      </c>
    </row>
    <row r="16582" spans="1:3" x14ac:dyDescent="0.2">
      <c r="A16582" t="s">
        <v>5595</v>
      </c>
      <c r="B16582" t="str">
        <f>HYPERLINK("https://lindat.mff.cuni.cz/services/teitok/pdtc10/index.php?action=vallex&amp;frame=v-whsa_853hsa_854", "nadělat se (v-whsa_853hsa_854) - substituted with v-whsa_853f1_ZU")</f>
        <v>nadělat se (v-whsa_853hsa_854) - substituted with v-whsa_853f1_ZU</v>
      </c>
    </row>
    <row r="16583" spans="1:3" x14ac:dyDescent="0.2">
      <c r="B16583" t="s">
        <v>1</v>
      </c>
    </row>
    <row r="16584" spans="1:3" x14ac:dyDescent="0.2">
      <c r="B16584" t="s">
        <v>2712</v>
      </c>
    </row>
    <row r="16586" spans="1:3" x14ac:dyDescent="0.2">
      <c r="A16586" t="s">
        <v>5596</v>
      </c>
      <c r="B16586" t="str">
        <f>HYPERLINK("https://lindat.mff.cuni.cz/services/teitok/pdtc10/index.php?action=vallex&amp;frame=v-whsa_853hsa_855", "nadělat se (v-whsa_853hsa_855)")</f>
        <v>nadělat se (v-whsa_853hsa_855)</v>
      </c>
    </row>
    <row r="16587" spans="1:3" x14ac:dyDescent="0.2">
      <c r="B16587" t="s">
        <v>1</v>
      </c>
    </row>
    <row r="16588" spans="1:3" x14ac:dyDescent="0.2">
      <c r="B16588" t="s">
        <v>917</v>
      </c>
    </row>
    <row r="16590" spans="1:3" x14ac:dyDescent="0.2">
      <c r="A16590" t="s">
        <v>5597</v>
      </c>
      <c r="B16590" t="str">
        <f>HYPERLINK("https://lindat.mff.cuni.cz/services/teitok/pdtc10/index.php?action=vallex&amp;frame=v-w1978f1", "nadělit (v-w1978f1)")</f>
        <v>nadělit (v-w1978f1)</v>
      </c>
    </row>
    <row r="16591" spans="1:3" x14ac:dyDescent="0.2">
      <c r="B16591" t="s">
        <v>1</v>
      </c>
      <c r="C16591" t="s">
        <v>2486</v>
      </c>
    </row>
    <row r="16592" spans="1:3" x14ac:dyDescent="0.2">
      <c r="B16592" t="s">
        <v>8</v>
      </c>
      <c r="C16592" t="s">
        <v>2487</v>
      </c>
    </row>
    <row r="16593" spans="1:3" x14ac:dyDescent="0.2">
      <c r="B16593" t="s">
        <v>35</v>
      </c>
      <c r="C16593" t="s">
        <v>2488</v>
      </c>
    </row>
    <row r="16595" spans="1:3" x14ac:dyDescent="0.2">
      <c r="A16595" t="s">
        <v>5598</v>
      </c>
      <c r="B16595" t="str">
        <f>HYPERLINK("https://lindat.mff.cuni.cz/services/teitok/pdtc10/index.php?action=vallex&amp;frame=v-w1989f1", "nadřadit (v-w1989f1)")</f>
        <v>nadřadit (v-w1989f1)</v>
      </c>
    </row>
    <row r="16596" spans="1:3" x14ac:dyDescent="0.2">
      <c r="B16596" t="s">
        <v>1</v>
      </c>
    </row>
    <row r="16597" spans="1:3" x14ac:dyDescent="0.2">
      <c r="B16597" t="s">
        <v>8</v>
      </c>
    </row>
    <row r="16598" spans="1:3" x14ac:dyDescent="0.2">
      <c r="B16598" t="s">
        <v>35</v>
      </c>
    </row>
    <row r="16600" spans="1:3" x14ac:dyDescent="0.2">
      <c r="A16600" t="s">
        <v>5599</v>
      </c>
      <c r="B16600" t="str">
        <f>HYPERLINK("https://lindat.mff.cuni.cz/services/teitok/pdtc10/index.php?action=vallex&amp;frame=v-w11340f1", "nadřít se (v-w11340f1)")</f>
        <v>nadřít se (v-w11340f1)</v>
      </c>
    </row>
    <row r="16601" spans="1:3" x14ac:dyDescent="0.2">
      <c r="B16601" t="s">
        <v>1</v>
      </c>
    </row>
    <row r="16603" spans="1:3" x14ac:dyDescent="0.2">
      <c r="A16603" t="s">
        <v>5600</v>
      </c>
      <c r="B16603" t="str">
        <f>HYPERLINK("https://lindat.mff.cuni.cz/services/teitok/pdtc10/index.php?action=vallex&amp;frame=v-w1998f1", "nafackovat (v-w1998f1)")</f>
        <v>nafackovat (v-w1998f1)</v>
      </c>
    </row>
    <row r="16604" spans="1:3" x14ac:dyDescent="0.2">
      <c r="B16604" t="s">
        <v>1</v>
      </c>
    </row>
    <row r="16605" spans="1:3" x14ac:dyDescent="0.2">
      <c r="B16605" t="s">
        <v>5601</v>
      </c>
    </row>
    <row r="16607" spans="1:3" x14ac:dyDescent="0.2">
      <c r="A16607" t="s">
        <v>5602</v>
      </c>
      <c r="B16607" t="str">
        <f>HYPERLINK("https://lindat.mff.cuni.cz/services/teitok/pdtc10/index.php?action=vallex&amp;frame=v-w11866_ZUf1_ZU", "nafasovat (v-w11866_ZUf1_ZU)")</f>
        <v>nafasovat (v-w11866_ZUf1_ZU)</v>
      </c>
    </row>
    <row r="16608" spans="1:3" x14ac:dyDescent="0.2">
      <c r="B16608" t="s">
        <v>1</v>
      </c>
    </row>
    <row r="16609" spans="1:4" x14ac:dyDescent="0.2">
      <c r="B16609" t="s">
        <v>8</v>
      </c>
    </row>
    <row r="16611" spans="1:4" x14ac:dyDescent="0.2">
      <c r="A16611" t="s">
        <v>5603</v>
      </c>
      <c r="B16611" t="str">
        <f>HYPERLINK("https://lindat.mff.cuni.cz/services/teitok/pdtc10/index.php?action=vallex&amp;frame=v-w10116f2", "nafaxovat (v-w10116f2)")</f>
        <v>nafaxovat (v-w10116f2)</v>
      </c>
    </row>
    <row r="16612" spans="1:4" x14ac:dyDescent="0.2">
      <c r="B16612" t="s">
        <v>1</v>
      </c>
      <c r="C16612" t="s">
        <v>140</v>
      </c>
      <c r="D16612" t="s">
        <v>22967</v>
      </c>
    </row>
    <row r="16613" spans="1:4" x14ac:dyDescent="0.2">
      <c r="B16613" t="s">
        <v>5604</v>
      </c>
      <c r="C16613" t="s">
        <v>268</v>
      </c>
      <c r="D16613" t="s">
        <v>23120</v>
      </c>
    </row>
    <row r="16614" spans="1:4" x14ac:dyDescent="0.2">
      <c r="B16614" t="s">
        <v>269</v>
      </c>
    </row>
    <row r="16615" spans="1:4" x14ac:dyDescent="0.2">
      <c r="B16615" t="s">
        <v>78</v>
      </c>
      <c r="D16615" t="s">
        <v>22969</v>
      </c>
    </row>
    <row r="16617" spans="1:4" x14ac:dyDescent="0.2">
      <c r="A16617" t="s">
        <v>5605</v>
      </c>
      <c r="B16617" t="str">
        <f>HYPERLINK("https://lindat.mff.cuni.cz/services/teitok/pdtc10/index.php?action=vallex&amp;frame=v-w1999f1", "nafilmovat (v-w1999f1)")</f>
        <v>nafilmovat (v-w1999f1)</v>
      </c>
    </row>
    <row r="16618" spans="1:4" x14ac:dyDescent="0.2">
      <c r="B16618" t="s">
        <v>1</v>
      </c>
    </row>
    <row r="16619" spans="1:4" x14ac:dyDescent="0.2">
      <c r="B16619" t="s">
        <v>8</v>
      </c>
    </row>
    <row r="16621" spans="1:4" x14ac:dyDescent="0.2">
      <c r="A16621" t="s">
        <v>5606</v>
      </c>
      <c r="B16621" t="str">
        <f>HYPERLINK("https://lindat.mff.cuni.cz/services/teitok/pdtc10/index.php?action=vallex&amp;frame=v-w1999f2", "nafilmovat (v-w1999f2)")</f>
        <v>nafilmovat (v-w1999f2)</v>
      </c>
    </row>
    <row r="16622" spans="1:4" x14ac:dyDescent="0.2">
      <c r="B16622" t="s">
        <v>1</v>
      </c>
    </row>
    <row r="16623" spans="1:4" x14ac:dyDescent="0.2">
      <c r="B16623" t="s">
        <v>8</v>
      </c>
    </row>
    <row r="16625" spans="1:4" x14ac:dyDescent="0.2">
      <c r="A16625" t="s">
        <v>5607</v>
      </c>
      <c r="B16625" t="str">
        <f>HYPERLINK("https://lindat.mff.cuni.cz/services/teitok/pdtc10/index.php?action=vallex&amp;frame=v-w11984_ZUf2_ZU", "nafotit (v-w11984_ZUf2_ZU)")</f>
        <v>nafotit (v-w11984_ZUf2_ZU)</v>
      </c>
    </row>
    <row r="16626" spans="1:4" x14ac:dyDescent="0.2">
      <c r="B16626" t="s">
        <v>1</v>
      </c>
    </row>
    <row r="16627" spans="1:4" x14ac:dyDescent="0.2">
      <c r="B16627" t="s">
        <v>8</v>
      </c>
    </row>
    <row r="16629" spans="1:4" x14ac:dyDescent="0.2">
      <c r="A16629" t="s">
        <v>5607</v>
      </c>
      <c r="B16629" t="str">
        <f>HYPERLINK("https://lindat.mff.cuni.cz/services/teitok/pdtc10/index.php?action=vallex&amp;frame=v-w11984_ZUf1_ZU", "nafotit (v-w11984_ZUf1_ZU) - substituted with v-w11984_ZUf2_ZU")</f>
        <v>nafotit (v-w11984_ZUf1_ZU) - substituted with v-w11984_ZUf2_ZU</v>
      </c>
    </row>
    <row r="16630" spans="1:4" x14ac:dyDescent="0.2">
      <c r="B16630" t="s">
        <v>1</v>
      </c>
    </row>
    <row r="16631" spans="1:4" x14ac:dyDescent="0.2">
      <c r="B16631" t="s">
        <v>8</v>
      </c>
    </row>
    <row r="16633" spans="1:4" x14ac:dyDescent="0.2">
      <c r="A16633" t="s">
        <v>5608</v>
      </c>
      <c r="B16633" t="str">
        <f>HYPERLINK("https://lindat.mff.cuni.cz/services/teitok/pdtc10/index.php?action=vallex&amp;frame=v-w10649f5", "nafouknout (v-w10649f5)")</f>
        <v>nafouknout (v-w10649f5)</v>
      </c>
    </row>
    <row r="16634" spans="1:4" x14ac:dyDescent="0.2">
      <c r="B16634" t="s">
        <v>1</v>
      </c>
      <c r="C16634" t="s">
        <v>430</v>
      </c>
      <c r="D16634" t="s">
        <v>23523</v>
      </c>
    </row>
    <row r="16635" spans="1:4" x14ac:dyDescent="0.2">
      <c r="B16635" t="s">
        <v>8</v>
      </c>
      <c r="C16635" t="s">
        <v>1044</v>
      </c>
      <c r="D16635" t="s">
        <v>23524</v>
      </c>
    </row>
    <row r="16636" spans="1:4" x14ac:dyDescent="0.2">
      <c r="B16636" t="s">
        <v>24</v>
      </c>
      <c r="D16636" t="s">
        <v>23525</v>
      </c>
    </row>
    <row r="16637" spans="1:4" x14ac:dyDescent="0.2">
      <c r="B16637" t="s">
        <v>61</v>
      </c>
      <c r="C16637" t="s">
        <v>5609</v>
      </c>
      <c r="D16637" t="s">
        <v>23526</v>
      </c>
    </row>
    <row r="16639" spans="1:4" x14ac:dyDescent="0.2">
      <c r="A16639" t="s">
        <v>5610</v>
      </c>
      <c r="B16639" t="str">
        <f>HYPERLINK("https://lindat.mff.cuni.cz/services/teitok/pdtc10/index.php?action=vallex&amp;frame=v-w10649f2", "nafouknout (v-w10649f2)")</f>
        <v>nafouknout (v-w10649f2)</v>
      </c>
    </row>
    <row r="16640" spans="1:4" x14ac:dyDescent="0.2">
      <c r="B16640" t="s">
        <v>1</v>
      </c>
    </row>
    <row r="16641" spans="1:4" x14ac:dyDescent="0.2">
      <c r="B16641" t="s">
        <v>124</v>
      </c>
    </row>
    <row r="16643" spans="1:4" x14ac:dyDescent="0.2">
      <c r="A16643" t="s">
        <v>5611</v>
      </c>
      <c r="B16643" t="str">
        <f>HYPERLINK("https://lindat.mff.cuni.cz/services/teitok/pdtc10/index.php?action=vallex&amp;frame=v-w10649f3", "nafouknout (v-w10649f3)")</f>
        <v>nafouknout (v-w10649f3)</v>
      </c>
    </row>
    <row r="16644" spans="1:4" x14ac:dyDescent="0.2">
      <c r="B16644" t="s">
        <v>1</v>
      </c>
    </row>
    <row r="16645" spans="1:4" x14ac:dyDescent="0.2">
      <c r="B16645" t="s">
        <v>8</v>
      </c>
    </row>
    <row r="16647" spans="1:4" x14ac:dyDescent="0.2">
      <c r="A16647" t="s">
        <v>5612</v>
      </c>
      <c r="B16647" t="str">
        <f>HYPERLINK("https://lindat.mff.cuni.cz/services/teitok/pdtc10/index.php?action=vallex&amp;frame=v-w10261f2", "nafukovat (v-w10261f2)")</f>
        <v>nafukovat (v-w10261f2)</v>
      </c>
    </row>
    <row r="16648" spans="1:4" x14ac:dyDescent="0.2">
      <c r="B16648" t="s">
        <v>1</v>
      </c>
      <c r="D16648" t="s">
        <v>80</v>
      </c>
    </row>
    <row r="16649" spans="1:4" x14ac:dyDescent="0.2">
      <c r="B16649" t="s">
        <v>124</v>
      </c>
      <c r="C16649" t="s">
        <v>113</v>
      </c>
      <c r="D16649" t="s">
        <v>116</v>
      </c>
    </row>
    <row r="16651" spans="1:4" x14ac:dyDescent="0.2">
      <c r="A16651" t="s">
        <v>5613</v>
      </c>
      <c r="B16651" t="str">
        <f>HYPERLINK("https://lindat.mff.cuni.cz/services/teitok/pdtc10/index.php?action=vallex&amp;frame=v-w10391f3", "nahazovat (v-w10391f3)")</f>
        <v>nahazovat (v-w10391f3)</v>
      </c>
    </row>
    <row r="16652" spans="1:4" x14ac:dyDescent="0.2">
      <c r="B16652" t="s">
        <v>1</v>
      </c>
      <c r="C16652" t="s">
        <v>33</v>
      </c>
      <c r="D16652" t="s">
        <v>4110</v>
      </c>
    </row>
    <row r="16653" spans="1:4" x14ac:dyDescent="0.2">
      <c r="B16653" t="s">
        <v>8</v>
      </c>
      <c r="C16653" t="s">
        <v>113</v>
      </c>
      <c r="D16653" t="s">
        <v>81</v>
      </c>
    </row>
    <row r="16654" spans="1:4" x14ac:dyDescent="0.2">
      <c r="B16654" t="s">
        <v>78</v>
      </c>
      <c r="D16654" t="s">
        <v>987</v>
      </c>
    </row>
    <row r="16656" spans="1:4" x14ac:dyDescent="0.2">
      <c r="A16656" t="s">
        <v>5614</v>
      </c>
      <c r="B16656" t="str">
        <f>HYPERLINK("https://lindat.mff.cuni.cz/services/teitok/pdtc10/index.php?action=vallex&amp;frame=v-w10391f4_ZU", "nahazovat (v-w10391f4_ZU)")</f>
        <v>nahazovat (v-w10391f4_ZU)</v>
      </c>
    </row>
    <row r="16657" spans="1:4" x14ac:dyDescent="0.2">
      <c r="B16657" t="s">
        <v>1</v>
      </c>
    </row>
    <row r="16658" spans="1:4" x14ac:dyDescent="0.2">
      <c r="B16658" t="s">
        <v>8</v>
      </c>
    </row>
    <row r="16660" spans="1:4" x14ac:dyDescent="0.2">
      <c r="A16660" t="s">
        <v>5615</v>
      </c>
      <c r="B16660" t="str">
        <f>HYPERLINK("https://lindat.mff.cuni.cz/services/teitok/pdtc10/index.php?action=vallex&amp;frame=v-w2003f1", "nahlašovat (v-w2003f1)")</f>
        <v>nahlašovat (v-w2003f1)</v>
      </c>
    </row>
    <row r="16661" spans="1:4" x14ac:dyDescent="0.2">
      <c r="B16661" t="s">
        <v>1</v>
      </c>
      <c r="D16661" t="s">
        <v>22967</v>
      </c>
    </row>
    <row r="16662" spans="1:4" x14ac:dyDescent="0.2">
      <c r="B16662" t="s">
        <v>120</v>
      </c>
      <c r="D16662" t="s">
        <v>22968</v>
      </c>
    </row>
    <row r="16663" spans="1:4" x14ac:dyDescent="0.2">
      <c r="B16663" t="s">
        <v>35</v>
      </c>
      <c r="D16663" t="s">
        <v>22969</v>
      </c>
    </row>
    <row r="16665" spans="1:4" x14ac:dyDescent="0.2">
      <c r="A16665" t="s">
        <v>5616</v>
      </c>
      <c r="B16665" t="str">
        <f>HYPERLINK("https://lindat.mff.cuni.cz/services/teitok/pdtc10/index.php?action=vallex&amp;frame=v-w2003f2", "nahlašovat (v-w2003f2)")</f>
        <v>nahlašovat (v-w2003f2)</v>
      </c>
    </row>
    <row r="16666" spans="1:4" x14ac:dyDescent="0.2">
      <c r="B16666" t="s">
        <v>1</v>
      </c>
    </row>
    <row r="16667" spans="1:4" x14ac:dyDescent="0.2">
      <c r="B16667" t="s">
        <v>120</v>
      </c>
    </row>
    <row r="16668" spans="1:4" x14ac:dyDescent="0.2">
      <c r="B16668" t="s">
        <v>90</v>
      </c>
    </row>
    <row r="16670" spans="1:4" x14ac:dyDescent="0.2">
      <c r="A16670" t="s">
        <v>5617</v>
      </c>
      <c r="B16670" t="str">
        <f>HYPERLINK("https://lindat.mff.cuni.cz/services/teitok/pdtc10/index.php?action=vallex&amp;frame=v-w11743_ZUf1_ZU", "nahledat se (v-w11743_ZUf1_ZU)")</f>
        <v>nahledat se (v-w11743_ZUf1_ZU)</v>
      </c>
    </row>
    <row r="16671" spans="1:4" x14ac:dyDescent="0.2">
      <c r="B16671" t="s">
        <v>1</v>
      </c>
    </row>
    <row r="16672" spans="1:4" x14ac:dyDescent="0.2">
      <c r="B16672" t="s">
        <v>917</v>
      </c>
    </row>
    <row r="16674" spans="1:4" x14ac:dyDescent="0.2">
      <c r="A16674" t="s">
        <v>5618</v>
      </c>
      <c r="B16674" t="str">
        <f>HYPERLINK("https://lindat.mff.cuni.cz/services/teitok/pdtc10/index.php?action=vallex&amp;frame=v-w2009f1", "nahlodat (v-w2009f1)")</f>
        <v>nahlodat (v-w2009f1)</v>
      </c>
    </row>
    <row r="16675" spans="1:4" x14ac:dyDescent="0.2">
      <c r="B16675" t="s">
        <v>1</v>
      </c>
      <c r="C16675" t="s">
        <v>430</v>
      </c>
      <c r="D16675" t="s">
        <v>1294</v>
      </c>
    </row>
    <row r="16676" spans="1:4" x14ac:dyDescent="0.2">
      <c r="B16676" t="s">
        <v>8</v>
      </c>
      <c r="C16676" t="s">
        <v>54</v>
      </c>
      <c r="D16676" t="s">
        <v>732</v>
      </c>
    </row>
    <row r="16678" spans="1:4" x14ac:dyDescent="0.2">
      <c r="A16678" t="s">
        <v>5619</v>
      </c>
      <c r="B16678" t="str">
        <f>HYPERLINK("https://lindat.mff.cuni.cz/services/teitok/pdtc10/index.php?action=vallex&amp;frame=v-w2002f1", "nahlásit (v-w2002f1)")</f>
        <v>nahlásit (v-w2002f1)</v>
      </c>
    </row>
    <row r="16679" spans="1:4" x14ac:dyDescent="0.2">
      <c r="B16679" t="s">
        <v>1</v>
      </c>
      <c r="C16679" t="s">
        <v>5620</v>
      </c>
      <c r="D16679" t="s">
        <v>22967</v>
      </c>
    </row>
    <row r="16680" spans="1:4" x14ac:dyDescent="0.2">
      <c r="B16680" t="s">
        <v>120</v>
      </c>
      <c r="C16680" t="s">
        <v>5621</v>
      </c>
      <c r="D16680" t="s">
        <v>22968</v>
      </c>
    </row>
    <row r="16681" spans="1:4" x14ac:dyDescent="0.2">
      <c r="B16681" t="s">
        <v>35</v>
      </c>
      <c r="C16681" t="s">
        <v>3275</v>
      </c>
      <c r="D16681" t="s">
        <v>22969</v>
      </c>
    </row>
    <row r="16683" spans="1:4" x14ac:dyDescent="0.2">
      <c r="A16683" t="s">
        <v>5622</v>
      </c>
      <c r="B16683" t="str">
        <f>HYPERLINK("https://lindat.mff.cuni.cz/services/teitok/pdtc10/index.php?action=vallex&amp;frame=v-w2002f2", "nahlásit (v-w2002f2)")</f>
        <v>nahlásit (v-w2002f2)</v>
      </c>
    </row>
    <row r="16684" spans="1:4" x14ac:dyDescent="0.2">
      <c r="B16684" t="s">
        <v>1</v>
      </c>
    </row>
    <row r="16685" spans="1:4" x14ac:dyDescent="0.2">
      <c r="B16685" t="s">
        <v>8</v>
      </c>
    </row>
    <row r="16686" spans="1:4" x14ac:dyDescent="0.2">
      <c r="B16686" t="s">
        <v>90</v>
      </c>
    </row>
    <row r="16688" spans="1:4" x14ac:dyDescent="0.2">
      <c r="A16688" t="s">
        <v>5623</v>
      </c>
      <c r="B16688" t="str">
        <f>HYPERLINK("https://lindat.mff.cuni.cz/services/teitok/pdtc10/index.php?action=vallex&amp;frame=v-w2005f3", "nahlédnout (v-w2005f3)")</f>
        <v>nahlédnout (v-w2005f3)</v>
      </c>
    </row>
    <row r="16689" spans="1:4" x14ac:dyDescent="0.2">
      <c r="B16689" t="s">
        <v>1</v>
      </c>
    </row>
    <row r="16690" spans="1:4" x14ac:dyDescent="0.2">
      <c r="B16690" t="s">
        <v>28</v>
      </c>
    </row>
    <row r="16691" spans="1:4" x14ac:dyDescent="0.2">
      <c r="B16691" t="s">
        <v>415</v>
      </c>
    </row>
    <row r="16692" spans="1:4" x14ac:dyDescent="0.2">
      <c r="B16692" t="s">
        <v>346</v>
      </c>
    </row>
    <row r="16693" spans="1:4" x14ac:dyDescent="0.2">
      <c r="B16693" t="s">
        <v>348</v>
      </c>
    </row>
    <row r="16694" spans="1:4" x14ac:dyDescent="0.2">
      <c r="B16694" t="s">
        <v>349</v>
      </c>
    </row>
    <row r="16695" spans="1:4" x14ac:dyDescent="0.2">
      <c r="B16695" t="s">
        <v>350</v>
      </c>
    </row>
    <row r="16696" spans="1:4" x14ac:dyDescent="0.2">
      <c r="B16696" t="s">
        <v>351</v>
      </c>
    </row>
    <row r="16698" spans="1:4" x14ac:dyDescent="0.2">
      <c r="A16698" t="s">
        <v>5624</v>
      </c>
      <c r="B16698" t="str">
        <f>HYPERLINK("https://lindat.mff.cuni.cz/services/teitok/pdtc10/index.php?action=vallex&amp;frame=v-w2005f2", "nahlédnout (v-w2005f2)")</f>
        <v>nahlédnout (v-w2005f2)</v>
      </c>
    </row>
    <row r="16699" spans="1:4" x14ac:dyDescent="0.2">
      <c r="B16699" t="s">
        <v>1</v>
      </c>
      <c r="D16699" t="s">
        <v>3081</v>
      </c>
    </row>
    <row r="16700" spans="1:4" x14ac:dyDescent="0.2">
      <c r="B16700" t="s">
        <v>4047</v>
      </c>
      <c r="D16700" t="s">
        <v>7127</v>
      </c>
    </row>
    <row r="16702" spans="1:4" x14ac:dyDescent="0.2">
      <c r="A16702" t="s">
        <v>5625</v>
      </c>
      <c r="B16702" t="str">
        <f>HYPERLINK("https://lindat.mff.cuni.cz/services/teitok/pdtc10/index.php?action=vallex&amp;frame=v-w2005f1", "nahlédnout (v-w2005f1)")</f>
        <v>nahlédnout (v-w2005f1)</v>
      </c>
    </row>
    <row r="16703" spans="1:4" x14ac:dyDescent="0.2">
      <c r="B16703" t="s">
        <v>1</v>
      </c>
    </row>
    <row r="16704" spans="1:4" x14ac:dyDescent="0.2">
      <c r="B16704" t="s">
        <v>90</v>
      </c>
    </row>
    <row r="16706" spans="1:4" x14ac:dyDescent="0.2">
      <c r="A16706" t="s">
        <v>5626</v>
      </c>
      <c r="B16706" t="str">
        <f>HYPERLINK("https://lindat.mff.cuni.cz/services/teitok/pdtc10/index.php?action=vallex&amp;frame=v-w2007f2", "nahlížet (v-w2007f2)")</f>
        <v>nahlížet (v-w2007f2)</v>
      </c>
    </row>
    <row r="16707" spans="1:4" x14ac:dyDescent="0.2">
      <c r="B16707" t="s">
        <v>1</v>
      </c>
      <c r="C16707" t="s">
        <v>3580</v>
      </c>
      <c r="D16707" t="s">
        <v>23008</v>
      </c>
    </row>
    <row r="16708" spans="1:4" x14ac:dyDescent="0.2">
      <c r="B16708" t="s">
        <v>28</v>
      </c>
      <c r="C16708" t="s">
        <v>345</v>
      </c>
      <c r="D16708" t="s">
        <v>17729</v>
      </c>
    </row>
    <row r="16709" spans="1:4" x14ac:dyDescent="0.2">
      <c r="B16709" t="s">
        <v>415</v>
      </c>
      <c r="D16709" t="s">
        <v>23527</v>
      </c>
    </row>
    <row r="16710" spans="1:4" x14ac:dyDescent="0.2">
      <c r="B16710" t="s">
        <v>346</v>
      </c>
      <c r="C16710" t="s">
        <v>5627</v>
      </c>
      <c r="D16710" t="s">
        <v>23309</v>
      </c>
    </row>
    <row r="16711" spans="1:4" x14ac:dyDescent="0.2">
      <c r="B16711" t="s">
        <v>348</v>
      </c>
      <c r="D16711" t="s">
        <v>23528</v>
      </c>
    </row>
    <row r="16712" spans="1:4" x14ac:dyDescent="0.2">
      <c r="B16712" t="s">
        <v>349</v>
      </c>
      <c r="D16712" t="s">
        <v>23310</v>
      </c>
    </row>
    <row r="16713" spans="1:4" x14ac:dyDescent="0.2">
      <c r="B16713" t="s">
        <v>350</v>
      </c>
      <c r="D16713" t="s">
        <v>23311</v>
      </c>
    </row>
    <row r="16714" spans="1:4" x14ac:dyDescent="0.2">
      <c r="B16714" t="s">
        <v>351</v>
      </c>
      <c r="D16714" t="s">
        <v>23312</v>
      </c>
    </row>
    <row r="16716" spans="1:4" x14ac:dyDescent="0.2">
      <c r="A16716" t="s">
        <v>5628</v>
      </c>
      <c r="B16716" t="str">
        <f>HYPERLINK("https://lindat.mff.cuni.cz/services/teitok/pdtc10/index.php?action=vallex&amp;frame=v-w2007f1", "nahlížet (v-w2007f1)")</f>
        <v>nahlížet (v-w2007f1)</v>
      </c>
    </row>
    <row r="16717" spans="1:4" x14ac:dyDescent="0.2">
      <c r="B16717" t="s">
        <v>1</v>
      </c>
    </row>
    <row r="16718" spans="1:4" x14ac:dyDescent="0.2">
      <c r="B16718" t="s">
        <v>90</v>
      </c>
    </row>
    <row r="16720" spans="1:4" x14ac:dyDescent="0.2">
      <c r="A16720" t="s">
        <v>5629</v>
      </c>
      <c r="B16720" t="str">
        <f>HYPERLINK("https://lindat.mff.cuni.cz/services/teitok/pdtc10/index.php?action=vallex&amp;frame=v-w2010f2", "nahnat (v-w2010f2)")</f>
        <v>nahnat (v-w2010f2)</v>
      </c>
    </row>
    <row r="16721" spans="1:3" x14ac:dyDescent="0.2">
      <c r="B16721" t="s">
        <v>1</v>
      </c>
    </row>
    <row r="16722" spans="1:3" x14ac:dyDescent="0.2">
      <c r="B16722" t="s">
        <v>8</v>
      </c>
    </row>
    <row r="16723" spans="1:3" x14ac:dyDescent="0.2">
      <c r="B16723" t="s">
        <v>35</v>
      </c>
    </row>
    <row r="16725" spans="1:3" x14ac:dyDescent="0.2">
      <c r="A16725" t="s">
        <v>5630</v>
      </c>
      <c r="B16725" t="str">
        <f>HYPERLINK("https://lindat.mff.cuni.cz/services/teitok/pdtc10/index.php?action=vallex&amp;frame=v-w2010f1", "nahnat (v-w2010f1)")</f>
        <v>nahnat (v-w2010f1)</v>
      </c>
    </row>
    <row r="16726" spans="1:3" x14ac:dyDescent="0.2">
      <c r="B16726" t="s">
        <v>1</v>
      </c>
    </row>
    <row r="16727" spans="1:3" x14ac:dyDescent="0.2">
      <c r="B16727" t="s">
        <v>8</v>
      </c>
    </row>
    <row r="16728" spans="1:3" x14ac:dyDescent="0.2">
      <c r="B16728" t="s">
        <v>90</v>
      </c>
    </row>
    <row r="16730" spans="1:3" x14ac:dyDescent="0.2">
      <c r="A16730" t="s">
        <v>5631</v>
      </c>
      <c r="B16730" t="str">
        <f>HYPERLINK("https://lindat.mff.cuni.cz/services/teitok/pdtc10/index.php?action=vallex&amp;frame=v-w2011f1", "nahodit (v-w2011f1)")</f>
        <v>nahodit (v-w2011f1)</v>
      </c>
    </row>
    <row r="16731" spans="1:3" x14ac:dyDescent="0.2">
      <c r="B16731" t="s">
        <v>1</v>
      </c>
    </row>
    <row r="16732" spans="1:3" x14ac:dyDescent="0.2">
      <c r="B16732" t="s">
        <v>8</v>
      </c>
    </row>
    <row r="16734" spans="1:3" x14ac:dyDescent="0.2">
      <c r="A16734" t="s">
        <v>5632</v>
      </c>
      <c r="B16734" t="str">
        <f>HYPERLINK("https://lindat.mff.cuni.cz/services/teitok/pdtc10/index.php?action=vallex&amp;frame=v-w2011f3", "nahodit (v-w2011f3)")</f>
        <v>nahodit (v-w2011f3)</v>
      </c>
    </row>
    <row r="16735" spans="1:3" x14ac:dyDescent="0.2">
      <c r="B16735" t="s">
        <v>1</v>
      </c>
      <c r="C16735" t="s">
        <v>140</v>
      </c>
    </row>
    <row r="16736" spans="1:3" x14ac:dyDescent="0.2">
      <c r="B16736" t="s">
        <v>8</v>
      </c>
      <c r="C16736" t="s">
        <v>34</v>
      </c>
    </row>
    <row r="16738" spans="1:3" x14ac:dyDescent="0.2">
      <c r="A16738" t="s">
        <v>5633</v>
      </c>
      <c r="B16738" t="str">
        <f>HYPERLINK("https://lindat.mff.cuni.cz/services/teitok/pdtc10/index.php?action=vallex&amp;frame=v-w2011f2", "nahodit (v-w2011f2)")</f>
        <v>nahodit (v-w2011f2)</v>
      </c>
    </row>
    <row r="16739" spans="1:3" x14ac:dyDescent="0.2">
      <c r="B16739" t="s">
        <v>1</v>
      </c>
    </row>
    <row r="16740" spans="1:3" x14ac:dyDescent="0.2">
      <c r="B16740" t="s">
        <v>8</v>
      </c>
    </row>
    <row r="16742" spans="1:3" x14ac:dyDescent="0.2">
      <c r="A16742" t="s">
        <v>5634</v>
      </c>
      <c r="B16742" t="str">
        <f>HYPERLINK("https://lindat.mff.cuni.cz/services/teitok/pdtc10/index.php?action=vallex&amp;frame=v-w2011hsa_1008", "nahodit (v-w2011hsa_1008)")</f>
        <v>nahodit (v-w2011hsa_1008)</v>
      </c>
    </row>
    <row r="16743" spans="1:3" x14ac:dyDescent="0.2">
      <c r="B16743" t="s">
        <v>1</v>
      </c>
    </row>
    <row r="16744" spans="1:3" x14ac:dyDescent="0.2">
      <c r="B16744" t="s">
        <v>8</v>
      </c>
    </row>
    <row r="16745" spans="1:3" x14ac:dyDescent="0.2">
      <c r="B16745" t="s">
        <v>90</v>
      </c>
    </row>
    <row r="16747" spans="1:3" x14ac:dyDescent="0.2">
      <c r="A16747" t="s">
        <v>5635</v>
      </c>
      <c r="B16747" t="str">
        <f>HYPERLINK("https://lindat.mff.cuni.cz/services/teitok/pdtc10/index.php?action=vallex&amp;frame=v-w2012f1", "nahrabat (v-w2012f1)")</f>
        <v>nahrabat (v-w2012f1)</v>
      </c>
    </row>
    <row r="16748" spans="1:3" x14ac:dyDescent="0.2">
      <c r="B16748" t="s">
        <v>1</v>
      </c>
    </row>
    <row r="16749" spans="1:3" x14ac:dyDescent="0.2">
      <c r="B16749" t="s">
        <v>8</v>
      </c>
    </row>
    <row r="16751" spans="1:3" x14ac:dyDescent="0.2">
      <c r="A16751" t="s">
        <v>5636</v>
      </c>
      <c r="B16751" t="str">
        <f>HYPERLINK("https://lindat.mff.cuni.cz/services/teitok/pdtc10/index.php?action=vallex&amp;frame=v-w2014f3", "nahradit (v-w2014f3)")</f>
        <v>nahradit (v-w2014f3)</v>
      </c>
    </row>
    <row r="16752" spans="1:3" x14ac:dyDescent="0.2">
      <c r="B16752" t="s">
        <v>1</v>
      </c>
      <c r="C16752" t="s">
        <v>1065</v>
      </c>
    </row>
    <row r="16753" spans="1:4" x14ac:dyDescent="0.2">
      <c r="B16753" t="s">
        <v>8</v>
      </c>
      <c r="C16753" t="s">
        <v>1529</v>
      </c>
    </row>
    <row r="16754" spans="1:4" x14ac:dyDescent="0.2">
      <c r="B16754" t="s">
        <v>35</v>
      </c>
    </row>
    <row r="16756" spans="1:4" x14ac:dyDescent="0.2">
      <c r="A16756" t="s">
        <v>5637</v>
      </c>
      <c r="B16756" t="str">
        <f>HYPERLINK("https://lindat.mff.cuni.cz/services/teitok/pdtc10/index.php?action=vallex&amp;frame=v-w2014f1", "nahradit (v-w2014f1)")</f>
        <v>nahradit (v-w2014f1)</v>
      </c>
    </row>
    <row r="16757" spans="1:4" x14ac:dyDescent="0.2">
      <c r="B16757" t="s">
        <v>1</v>
      </c>
      <c r="C16757" t="s">
        <v>5638</v>
      </c>
      <c r="D16757" t="s">
        <v>23505</v>
      </c>
    </row>
    <row r="16758" spans="1:4" x14ac:dyDescent="0.2">
      <c r="B16758" t="s">
        <v>8</v>
      </c>
      <c r="C16758" t="s">
        <v>5639</v>
      </c>
      <c r="D16758" t="s">
        <v>8709</v>
      </c>
    </row>
    <row r="16759" spans="1:4" x14ac:dyDescent="0.2">
      <c r="B16759" t="s">
        <v>5640</v>
      </c>
      <c r="C16759" t="s">
        <v>5641</v>
      </c>
      <c r="D16759" t="s">
        <v>5641</v>
      </c>
    </row>
    <row r="16761" spans="1:4" x14ac:dyDescent="0.2">
      <c r="A16761" t="s">
        <v>5642</v>
      </c>
      <c r="B16761" t="str">
        <f>HYPERLINK("https://lindat.mff.cuni.cz/services/teitok/pdtc10/index.php?action=vallex&amp;frame=v-w2014f2", "nahradit (v-w2014f2)")</f>
        <v>nahradit (v-w2014f2)</v>
      </c>
    </row>
    <row r="16762" spans="1:4" x14ac:dyDescent="0.2">
      <c r="B16762" t="s">
        <v>1</v>
      </c>
      <c r="C16762" t="s">
        <v>5643</v>
      </c>
      <c r="D16762" t="s">
        <v>23529</v>
      </c>
    </row>
    <row r="16763" spans="1:4" x14ac:dyDescent="0.2">
      <c r="B16763" t="s">
        <v>8</v>
      </c>
      <c r="C16763" t="s">
        <v>5644</v>
      </c>
      <c r="D16763" t="s">
        <v>23530</v>
      </c>
    </row>
    <row r="16765" spans="1:4" x14ac:dyDescent="0.2">
      <c r="A16765" t="s">
        <v>5645</v>
      </c>
      <c r="B16765" t="str">
        <f>HYPERLINK("https://lindat.mff.cuni.cz/services/teitok/pdtc10/index.php?action=vallex&amp;frame=v-w2020f3", "nahrazovat (v-w2020f3)")</f>
        <v>nahrazovat (v-w2020f3)</v>
      </c>
    </row>
    <row r="16766" spans="1:4" x14ac:dyDescent="0.2">
      <c r="B16766" t="s">
        <v>1</v>
      </c>
    </row>
    <row r="16767" spans="1:4" x14ac:dyDescent="0.2">
      <c r="B16767" t="s">
        <v>8</v>
      </c>
    </row>
    <row r="16768" spans="1:4" x14ac:dyDescent="0.2">
      <c r="B16768" t="s">
        <v>35</v>
      </c>
    </row>
    <row r="16770" spans="1:4" x14ac:dyDescent="0.2">
      <c r="A16770" t="s">
        <v>5646</v>
      </c>
      <c r="B16770" t="str">
        <f>HYPERLINK("https://lindat.mff.cuni.cz/services/teitok/pdtc10/index.php?action=vallex&amp;frame=v-w2020f1", "nahrazovat (v-w2020f1)")</f>
        <v>nahrazovat (v-w2020f1)</v>
      </c>
    </row>
    <row r="16771" spans="1:4" x14ac:dyDescent="0.2">
      <c r="B16771" t="s">
        <v>1</v>
      </c>
      <c r="C16771" t="s">
        <v>5647</v>
      </c>
      <c r="D16771" t="s">
        <v>23505</v>
      </c>
    </row>
    <row r="16772" spans="1:4" x14ac:dyDescent="0.2">
      <c r="B16772" t="s">
        <v>172</v>
      </c>
      <c r="C16772" t="s">
        <v>5648</v>
      </c>
      <c r="D16772" t="s">
        <v>8709</v>
      </c>
    </row>
    <row r="16773" spans="1:4" x14ac:dyDescent="0.2">
      <c r="B16773" t="s">
        <v>5640</v>
      </c>
      <c r="C16773" t="s">
        <v>5649</v>
      </c>
      <c r="D16773" t="s">
        <v>5641</v>
      </c>
    </row>
    <row r="16775" spans="1:4" x14ac:dyDescent="0.2">
      <c r="A16775" t="s">
        <v>5650</v>
      </c>
      <c r="B16775" t="str">
        <f>HYPERLINK("https://lindat.mff.cuni.cz/services/teitok/pdtc10/index.php?action=vallex&amp;frame=v-w2020f2", "nahrazovat (v-w2020f2)")</f>
        <v>nahrazovat (v-w2020f2)</v>
      </c>
    </row>
    <row r="16776" spans="1:4" x14ac:dyDescent="0.2">
      <c r="B16776" t="s">
        <v>1</v>
      </c>
      <c r="C16776" t="s">
        <v>5651</v>
      </c>
      <c r="D16776" t="s">
        <v>23529</v>
      </c>
    </row>
    <row r="16777" spans="1:4" x14ac:dyDescent="0.2">
      <c r="B16777" t="s">
        <v>8</v>
      </c>
      <c r="C16777" t="s">
        <v>5652</v>
      </c>
      <c r="D16777" t="s">
        <v>23530</v>
      </c>
    </row>
    <row r="16779" spans="1:4" x14ac:dyDescent="0.2">
      <c r="A16779" t="s">
        <v>5653</v>
      </c>
      <c r="B16779" t="str">
        <f>HYPERLINK("https://lindat.mff.cuni.cz/services/teitok/pdtc10/index.php?action=vallex&amp;frame=v-w11094f2", "nahromadit (v-w11094f2)")</f>
        <v>nahromadit (v-w11094f2)</v>
      </c>
    </row>
    <row r="16780" spans="1:4" x14ac:dyDescent="0.2">
      <c r="B16780" t="s">
        <v>1</v>
      </c>
      <c r="C16780" t="s">
        <v>140</v>
      </c>
      <c r="D16780" t="s">
        <v>16226</v>
      </c>
    </row>
    <row r="16781" spans="1:4" x14ac:dyDescent="0.2">
      <c r="B16781" t="s">
        <v>8</v>
      </c>
      <c r="C16781" t="s">
        <v>34</v>
      </c>
      <c r="D16781" t="s">
        <v>3270</v>
      </c>
    </row>
    <row r="16783" spans="1:4" x14ac:dyDescent="0.2">
      <c r="A16783" t="s">
        <v>5654</v>
      </c>
      <c r="B16783" t="str">
        <f>HYPERLINK("https://lindat.mff.cuni.cz/services/teitok/pdtc10/index.php?action=vallex&amp;frame=v-w11461f1", "nahromadit se (v-w11461f1)")</f>
        <v>nahromadit se (v-w11461f1)</v>
      </c>
    </row>
    <row r="16784" spans="1:4" x14ac:dyDescent="0.2">
      <c r="B16784" t="s">
        <v>1</v>
      </c>
      <c r="C16784" t="s">
        <v>579</v>
      </c>
      <c r="D16784" t="s">
        <v>23531</v>
      </c>
    </row>
    <row r="16786" spans="1:4" x14ac:dyDescent="0.2">
      <c r="A16786" t="s">
        <v>5655</v>
      </c>
      <c r="B16786" t="str">
        <f>HYPERLINK("https://lindat.mff.cuni.cz/services/teitok/pdtc10/index.php?action=vallex&amp;frame=v-w2015f4", "nahrát (v-w2015f4)")</f>
        <v>nahrát (v-w2015f4)</v>
      </c>
    </row>
    <row r="16787" spans="1:4" x14ac:dyDescent="0.2">
      <c r="B16787" t="s">
        <v>1</v>
      </c>
    </row>
    <row r="16788" spans="1:4" x14ac:dyDescent="0.2">
      <c r="B16788" t="s">
        <v>3513</v>
      </c>
    </row>
    <row r="16789" spans="1:4" x14ac:dyDescent="0.2">
      <c r="B16789" t="s">
        <v>2288</v>
      </c>
    </row>
    <row r="16790" spans="1:4" x14ac:dyDescent="0.2">
      <c r="B16790" t="s">
        <v>1632</v>
      </c>
    </row>
    <row r="16792" spans="1:4" x14ac:dyDescent="0.2">
      <c r="A16792" t="s">
        <v>5656</v>
      </c>
      <c r="B16792" t="str">
        <f>HYPERLINK("https://lindat.mff.cuni.cz/services/teitok/pdtc10/index.php?action=vallex&amp;frame=v-w2015f3", "nahrát (v-w2015f3)")</f>
        <v>nahrát (v-w2015f3)</v>
      </c>
    </row>
    <row r="16793" spans="1:4" x14ac:dyDescent="0.2">
      <c r="B16793" t="s">
        <v>1</v>
      </c>
    </row>
    <row r="16794" spans="1:4" x14ac:dyDescent="0.2">
      <c r="B16794" t="s">
        <v>8</v>
      </c>
    </row>
    <row r="16795" spans="1:4" x14ac:dyDescent="0.2">
      <c r="B16795" t="s">
        <v>35</v>
      </c>
    </row>
    <row r="16797" spans="1:4" x14ac:dyDescent="0.2">
      <c r="A16797" t="s">
        <v>5657</v>
      </c>
      <c r="B16797" t="str">
        <f>HYPERLINK("https://lindat.mff.cuni.cz/services/teitok/pdtc10/index.php?action=vallex&amp;frame=v-w2015f1", "nahrát (v-w2015f1)")</f>
        <v>nahrát (v-w2015f1)</v>
      </c>
    </row>
    <row r="16798" spans="1:4" x14ac:dyDescent="0.2">
      <c r="B16798" t="s">
        <v>1</v>
      </c>
      <c r="C16798" t="s">
        <v>83</v>
      </c>
      <c r="D16798" t="s">
        <v>1106</v>
      </c>
    </row>
    <row r="16799" spans="1:4" x14ac:dyDescent="0.2">
      <c r="B16799" t="s">
        <v>8</v>
      </c>
      <c r="C16799" t="s">
        <v>335</v>
      </c>
      <c r="D16799" t="s">
        <v>9714</v>
      </c>
    </row>
    <row r="16801" spans="1:3" x14ac:dyDescent="0.2">
      <c r="A16801" t="s">
        <v>5658</v>
      </c>
      <c r="B16801" t="str">
        <f>HYPERLINK("https://lindat.mff.cuni.cz/services/teitok/pdtc10/index.php?action=vallex&amp;frame=v-w2015f2", "nahrát (v-w2015f2)")</f>
        <v>nahrát (v-w2015f2)</v>
      </c>
    </row>
    <row r="16802" spans="1:3" x14ac:dyDescent="0.2">
      <c r="B16802" t="s">
        <v>1</v>
      </c>
      <c r="C16802" t="s">
        <v>5659</v>
      </c>
    </row>
    <row r="16803" spans="1:3" x14ac:dyDescent="0.2">
      <c r="B16803" t="s">
        <v>35</v>
      </c>
      <c r="C16803" t="s">
        <v>5660</v>
      </c>
    </row>
    <row r="16804" spans="1:3" x14ac:dyDescent="0.2">
      <c r="B16804" t="s">
        <v>5661</v>
      </c>
    </row>
    <row r="16806" spans="1:3" x14ac:dyDescent="0.2">
      <c r="A16806" t="s">
        <v>5662</v>
      </c>
      <c r="B16806" t="str">
        <f>HYPERLINK("https://lindat.mff.cuni.cz/services/teitok/pdtc10/index.php?action=vallex&amp;frame=v-w2015f5_ZU", "nahrát (v-w2015f5_ZU)")</f>
        <v>nahrát (v-w2015f5_ZU)</v>
      </c>
    </row>
    <row r="16807" spans="1:3" x14ac:dyDescent="0.2">
      <c r="B16807" t="s">
        <v>1</v>
      </c>
    </row>
    <row r="16808" spans="1:3" x14ac:dyDescent="0.2">
      <c r="B16808" t="s">
        <v>8</v>
      </c>
    </row>
    <row r="16810" spans="1:3" x14ac:dyDescent="0.2">
      <c r="A16810" t="s">
        <v>5663</v>
      </c>
      <c r="B16810" t="str">
        <f>HYPERLINK("https://lindat.mff.cuni.cz/services/teitok/pdtc10/index.php?action=vallex&amp;frame=v-w2015hsa_536", "nahrát (v-w2015hsa_536)")</f>
        <v>nahrát (v-w2015hsa_536)</v>
      </c>
    </row>
    <row r="16811" spans="1:3" x14ac:dyDescent="0.2">
      <c r="B16811" t="s">
        <v>1</v>
      </c>
    </row>
    <row r="16812" spans="1:3" x14ac:dyDescent="0.2">
      <c r="B16812" t="s">
        <v>8</v>
      </c>
    </row>
    <row r="16813" spans="1:3" x14ac:dyDescent="0.2">
      <c r="B16813" t="s">
        <v>90</v>
      </c>
    </row>
    <row r="16815" spans="1:3" x14ac:dyDescent="0.2">
      <c r="A16815" t="s">
        <v>5664</v>
      </c>
      <c r="B16815" t="str">
        <f>HYPERLINK("https://lindat.mff.cuni.cz/services/teitok/pdtc10/index.php?action=vallex&amp;frame=v-w2017f2", "nahrávat (v-w2017f2)")</f>
        <v>nahrávat (v-w2017f2)</v>
      </c>
    </row>
    <row r="16816" spans="1:3" x14ac:dyDescent="0.2">
      <c r="B16816" t="s">
        <v>1</v>
      </c>
    </row>
    <row r="16817" spans="1:4" x14ac:dyDescent="0.2">
      <c r="B16817" t="s">
        <v>8</v>
      </c>
    </row>
    <row r="16818" spans="1:4" x14ac:dyDescent="0.2">
      <c r="B16818" t="s">
        <v>35</v>
      </c>
    </row>
    <row r="16820" spans="1:4" x14ac:dyDescent="0.2">
      <c r="A16820" t="s">
        <v>5665</v>
      </c>
      <c r="B16820" t="str">
        <f>HYPERLINK("https://lindat.mff.cuni.cz/services/teitok/pdtc10/index.php?action=vallex&amp;frame=v-w2017f1", "nahrávat (v-w2017f1)")</f>
        <v>nahrávat (v-w2017f1)</v>
      </c>
    </row>
    <row r="16821" spans="1:4" x14ac:dyDescent="0.2">
      <c r="B16821" t="s">
        <v>1</v>
      </c>
      <c r="C16821" t="s">
        <v>2264</v>
      </c>
      <c r="D16821" t="s">
        <v>1106</v>
      </c>
    </row>
    <row r="16822" spans="1:4" x14ac:dyDescent="0.2">
      <c r="B16822" t="s">
        <v>8</v>
      </c>
      <c r="C16822" t="s">
        <v>5666</v>
      </c>
      <c r="D16822" t="s">
        <v>9714</v>
      </c>
    </row>
    <row r="16824" spans="1:4" x14ac:dyDescent="0.2">
      <c r="A16824" t="s">
        <v>5667</v>
      </c>
      <c r="B16824" t="str">
        <f>HYPERLINK("https://lindat.mff.cuni.cz/services/teitok/pdtc10/index.php?action=vallex&amp;frame=v-w2017f3", "nahrávat (v-w2017f3)")</f>
        <v>nahrávat (v-w2017f3)</v>
      </c>
    </row>
    <row r="16825" spans="1:4" x14ac:dyDescent="0.2">
      <c r="B16825" t="s">
        <v>1</v>
      </c>
      <c r="C16825" t="s">
        <v>5668</v>
      </c>
    </row>
    <row r="16826" spans="1:4" x14ac:dyDescent="0.2">
      <c r="B16826" t="s">
        <v>35</v>
      </c>
      <c r="C16826" t="s">
        <v>5669</v>
      </c>
    </row>
    <row r="16827" spans="1:4" x14ac:dyDescent="0.2">
      <c r="B16827" t="s">
        <v>5661</v>
      </c>
    </row>
    <row r="16829" spans="1:4" x14ac:dyDescent="0.2">
      <c r="A16829" t="s">
        <v>5670</v>
      </c>
      <c r="B16829" t="str">
        <f>HYPERLINK("https://lindat.mff.cuni.cz/services/teitok/pdtc10/index.php?action=vallex&amp;frame=v-w2000f1", "nahánět (v-w2000f1)")</f>
        <v>nahánět (v-w2000f1)</v>
      </c>
    </row>
    <row r="16830" spans="1:4" x14ac:dyDescent="0.2">
      <c r="B16830" t="s">
        <v>1</v>
      </c>
    </row>
    <row r="16831" spans="1:4" x14ac:dyDescent="0.2">
      <c r="B16831" t="s">
        <v>8</v>
      </c>
    </row>
    <row r="16832" spans="1:4" x14ac:dyDescent="0.2">
      <c r="B16832" t="s">
        <v>35</v>
      </c>
    </row>
    <row r="16834" spans="1:4" x14ac:dyDescent="0.2">
      <c r="A16834" t="s">
        <v>5671</v>
      </c>
      <c r="B16834" t="str">
        <f>HYPERLINK("https://lindat.mff.cuni.cz/services/teitok/pdtc10/index.php?action=vallex&amp;frame=v-w2001f1", "naházet (v-w2001f1)")</f>
        <v>naházet (v-w2001f1)</v>
      </c>
    </row>
    <row r="16835" spans="1:4" x14ac:dyDescent="0.2">
      <c r="B16835" t="s">
        <v>1</v>
      </c>
      <c r="D16835" t="s">
        <v>1077</v>
      </c>
    </row>
    <row r="16836" spans="1:4" x14ac:dyDescent="0.2">
      <c r="B16836" t="s">
        <v>8</v>
      </c>
      <c r="D16836" t="s">
        <v>3324</v>
      </c>
    </row>
    <row r="16837" spans="1:4" x14ac:dyDescent="0.2">
      <c r="B16837" t="s">
        <v>90</v>
      </c>
    </row>
    <row r="16839" spans="1:4" x14ac:dyDescent="0.2">
      <c r="A16839" t="s">
        <v>5672</v>
      </c>
      <c r="B16839" t="str">
        <f>HYPERLINK("https://lindat.mff.cuni.cz/services/teitok/pdtc10/index.php?action=vallex&amp;frame=v-w12391_MMf1_MM", "nahřát (v-w12391_MMf1_MM)")</f>
        <v>nahřát (v-w12391_MMf1_MM)</v>
      </c>
    </row>
    <row r="16840" spans="1:4" x14ac:dyDescent="0.2">
      <c r="B16840" t="s">
        <v>1</v>
      </c>
    </row>
    <row r="16841" spans="1:4" x14ac:dyDescent="0.2">
      <c r="B16841" t="s">
        <v>8</v>
      </c>
    </row>
    <row r="16843" spans="1:4" x14ac:dyDescent="0.2">
      <c r="A16843" t="s">
        <v>5673</v>
      </c>
      <c r="B16843" t="str">
        <f>HYPERLINK("https://lindat.mff.cuni.cz/services/teitok/pdtc10/index.php?action=vallex&amp;frame=v-w10048f2", "nainstalovat (v-w10048f2)")</f>
        <v>nainstalovat (v-w10048f2)</v>
      </c>
    </row>
    <row r="16844" spans="1:4" x14ac:dyDescent="0.2">
      <c r="B16844" t="s">
        <v>1</v>
      </c>
      <c r="C16844" t="s">
        <v>990</v>
      </c>
      <c r="D16844" t="s">
        <v>2555</v>
      </c>
    </row>
    <row r="16845" spans="1:4" x14ac:dyDescent="0.2">
      <c r="B16845" t="s">
        <v>8</v>
      </c>
      <c r="C16845" t="s">
        <v>5674</v>
      </c>
      <c r="D16845" t="s">
        <v>7921</v>
      </c>
    </row>
    <row r="16847" spans="1:4" x14ac:dyDescent="0.2">
      <c r="A16847" t="s">
        <v>5675</v>
      </c>
      <c r="B16847" t="str">
        <f>HYPERLINK("https://lindat.mff.cuni.cz/services/teitok/pdtc10/index.php?action=vallex&amp;frame=v-w10048f3_MM", "nainstalovat (v-w10048f3_MM)")</f>
        <v>nainstalovat (v-w10048f3_MM)</v>
      </c>
    </row>
    <row r="16848" spans="1:4" x14ac:dyDescent="0.2">
      <c r="B16848" t="s">
        <v>1</v>
      </c>
    </row>
    <row r="16849" spans="1:4" x14ac:dyDescent="0.2">
      <c r="B16849" t="s">
        <v>8</v>
      </c>
    </row>
    <row r="16851" spans="1:4" x14ac:dyDescent="0.2">
      <c r="A16851" t="s">
        <v>5676</v>
      </c>
      <c r="B16851" t="str">
        <f>HYPERLINK("https://lindat.mff.cuni.cz/services/teitok/pdtc10/index.php?action=vallex&amp;frame=v-w2036f3", "najet (v-w2036f3)")</f>
        <v>najet (v-w2036f3)</v>
      </c>
    </row>
    <row r="16852" spans="1:4" x14ac:dyDescent="0.2">
      <c r="B16852" t="s">
        <v>331</v>
      </c>
    </row>
    <row r="16853" spans="1:4" x14ac:dyDescent="0.2">
      <c r="B16853" t="s">
        <v>8</v>
      </c>
    </row>
    <row r="16854" spans="1:4" x14ac:dyDescent="0.2">
      <c r="B16854" t="s">
        <v>88</v>
      </c>
    </row>
    <row r="16856" spans="1:4" x14ac:dyDescent="0.2">
      <c r="A16856" t="s">
        <v>5677</v>
      </c>
      <c r="B16856" t="str">
        <f>HYPERLINK("https://lindat.mff.cuni.cz/services/teitok/pdtc10/index.php?action=vallex&amp;frame=v-w2036f2", "najet (v-w2036f2)")</f>
        <v>najet (v-w2036f2)</v>
      </c>
    </row>
    <row r="16857" spans="1:4" x14ac:dyDescent="0.2">
      <c r="B16857" t="s">
        <v>1</v>
      </c>
    </row>
    <row r="16858" spans="1:4" x14ac:dyDescent="0.2">
      <c r="B16858" t="s">
        <v>8</v>
      </c>
    </row>
    <row r="16860" spans="1:4" x14ac:dyDescent="0.2">
      <c r="A16860" t="s">
        <v>5678</v>
      </c>
      <c r="B16860" t="str">
        <f>HYPERLINK("https://lindat.mff.cuni.cz/services/teitok/pdtc10/index.php?action=vallex&amp;frame=v-w2036f1", "najet (v-w2036f1)")</f>
        <v>najet (v-w2036f1)</v>
      </c>
    </row>
    <row r="16861" spans="1:4" x14ac:dyDescent="0.2">
      <c r="B16861" t="s">
        <v>1</v>
      </c>
      <c r="D16861" t="s">
        <v>23532</v>
      </c>
    </row>
    <row r="16862" spans="1:4" x14ac:dyDescent="0.2">
      <c r="B16862" t="s">
        <v>90</v>
      </c>
      <c r="D16862" t="s">
        <v>1902</v>
      </c>
    </row>
    <row r="16864" spans="1:4" x14ac:dyDescent="0.2">
      <c r="A16864" t="s">
        <v>5679</v>
      </c>
      <c r="B16864" t="str">
        <f>HYPERLINK("https://lindat.mff.cuni.cz/services/teitok/pdtc10/index.php?action=vallex&amp;frame=v-whsa_1445hsa_1446", "najezdit (v-whsa_1445hsa_1446)")</f>
        <v>najezdit (v-whsa_1445hsa_1446)</v>
      </c>
    </row>
    <row r="16865" spans="1:4" x14ac:dyDescent="0.2">
      <c r="B16865" t="s">
        <v>1</v>
      </c>
    </row>
    <row r="16866" spans="1:4" x14ac:dyDescent="0.2">
      <c r="B16866" t="s">
        <v>8</v>
      </c>
    </row>
    <row r="16868" spans="1:4" x14ac:dyDescent="0.2">
      <c r="A16868" t="s">
        <v>5680</v>
      </c>
      <c r="B16868" t="str">
        <f>HYPERLINK("https://lindat.mff.cuni.cz/services/teitok/pdtc10/index.php?action=vallex&amp;frame=v-whsa_900hsa_901", "najezdit se (v-whsa_900hsa_901)")</f>
        <v>najezdit se (v-whsa_900hsa_901)</v>
      </c>
    </row>
    <row r="16869" spans="1:4" x14ac:dyDescent="0.2">
      <c r="B16869" t="s">
        <v>1</v>
      </c>
    </row>
    <row r="16871" spans="1:4" x14ac:dyDescent="0.2">
      <c r="A16871" t="s">
        <v>5681</v>
      </c>
      <c r="B16871" t="str">
        <f>HYPERLINK("https://lindat.mff.cuni.cz/services/teitok/pdtc10/index.php?action=vallex&amp;frame=v-whsa_900hsa_902", "najezdit se (v-whsa_900hsa_902)")</f>
        <v>najezdit se (v-whsa_900hsa_902)</v>
      </c>
    </row>
    <row r="16872" spans="1:4" x14ac:dyDescent="0.2">
      <c r="B16872" t="s">
        <v>1</v>
      </c>
    </row>
    <row r="16874" spans="1:4" x14ac:dyDescent="0.2">
      <c r="A16874" t="s">
        <v>5682</v>
      </c>
      <c r="B16874" t="str">
        <f>HYPERLINK("https://lindat.mff.cuni.cz/services/teitok/pdtc10/index.php?action=vallex&amp;frame=v-w2044f1", "najmout (v-w2044f1)")</f>
        <v>najmout (v-w2044f1)</v>
      </c>
    </row>
    <row r="16875" spans="1:4" x14ac:dyDescent="0.2">
      <c r="B16875" t="s">
        <v>1</v>
      </c>
      <c r="C16875" t="s">
        <v>4695</v>
      </c>
      <c r="D16875" t="s">
        <v>96</v>
      </c>
    </row>
    <row r="16876" spans="1:4" x14ac:dyDescent="0.2">
      <c r="B16876" t="s">
        <v>8</v>
      </c>
      <c r="C16876" t="s">
        <v>5683</v>
      </c>
      <c r="D16876" t="s">
        <v>23533</v>
      </c>
    </row>
    <row r="16878" spans="1:4" x14ac:dyDescent="0.2">
      <c r="A16878" t="s">
        <v>5684</v>
      </c>
      <c r="B16878" t="str">
        <f>HYPERLINK("https://lindat.mff.cuni.cz/services/teitok/pdtc10/index.php?action=vallex&amp;frame=v-w2040f1", "najímat (v-w2040f1)")</f>
        <v>najímat (v-w2040f1)</v>
      </c>
    </row>
    <row r="16879" spans="1:4" x14ac:dyDescent="0.2">
      <c r="B16879" t="s">
        <v>1</v>
      </c>
      <c r="C16879" t="s">
        <v>5685</v>
      </c>
      <c r="D16879" t="s">
        <v>96</v>
      </c>
    </row>
    <row r="16880" spans="1:4" x14ac:dyDescent="0.2">
      <c r="B16880" t="s">
        <v>8</v>
      </c>
      <c r="C16880" t="s">
        <v>5686</v>
      </c>
      <c r="D16880" t="s">
        <v>23533</v>
      </c>
    </row>
    <row r="16882" spans="1:4" x14ac:dyDescent="0.2">
      <c r="A16882" t="s">
        <v>5687</v>
      </c>
      <c r="B16882" t="str">
        <f>HYPERLINK("https://lindat.mff.cuni.cz/services/teitok/pdtc10/index.php?action=vallex&amp;frame=v-w2041f2_ZU", "najíst se (v-w2041f2_ZU)")</f>
        <v>najíst se (v-w2041f2_ZU)</v>
      </c>
    </row>
    <row r="16883" spans="1:4" x14ac:dyDescent="0.2">
      <c r="B16883" t="s">
        <v>1</v>
      </c>
    </row>
    <row r="16884" spans="1:4" x14ac:dyDescent="0.2">
      <c r="B16884" t="s">
        <v>582</v>
      </c>
    </row>
    <row r="16886" spans="1:4" x14ac:dyDescent="0.2">
      <c r="A16886" t="s">
        <v>5687</v>
      </c>
      <c r="B16886" t="str">
        <f>HYPERLINK("https://lindat.mff.cuni.cz/services/teitok/pdtc10/index.php?action=vallex&amp;frame=v-w2041f1", "najíst se (v-w2041f1) - substituted with v-w2041f2_ZU")</f>
        <v>najíst se (v-w2041f1) - substituted with v-w2041f2_ZU</v>
      </c>
    </row>
    <row r="16887" spans="1:4" x14ac:dyDescent="0.2">
      <c r="B16887" t="s">
        <v>1</v>
      </c>
    </row>
    <row r="16888" spans="1:4" x14ac:dyDescent="0.2">
      <c r="B16888" t="s">
        <v>582</v>
      </c>
    </row>
    <row r="16890" spans="1:4" x14ac:dyDescent="0.2">
      <c r="A16890" t="s">
        <v>5688</v>
      </c>
      <c r="B16890" t="str">
        <f>HYPERLINK("https://lindat.mff.cuni.cz/services/teitok/pdtc10/index.php?action=vallex&amp;frame=v-w2042f3", "najít (v-w2042f3)")</f>
        <v>najít (v-w2042f3)</v>
      </c>
    </row>
    <row r="16891" spans="1:4" x14ac:dyDescent="0.2">
      <c r="B16891" t="s">
        <v>1</v>
      </c>
    </row>
    <row r="16892" spans="1:4" x14ac:dyDescent="0.2">
      <c r="B16892" t="s">
        <v>411</v>
      </c>
    </row>
    <row r="16893" spans="1:4" x14ac:dyDescent="0.2">
      <c r="B16893" t="s">
        <v>1056</v>
      </c>
    </row>
    <row r="16895" spans="1:4" x14ac:dyDescent="0.2">
      <c r="A16895" t="s">
        <v>5689</v>
      </c>
      <c r="B16895" t="str">
        <f>HYPERLINK("https://lindat.mff.cuni.cz/services/teitok/pdtc10/index.php?action=vallex&amp;frame=v-w2042f1", "najít (v-w2042f1)")</f>
        <v>najít (v-w2042f1)</v>
      </c>
    </row>
    <row r="16896" spans="1:4" x14ac:dyDescent="0.2">
      <c r="B16896" t="s">
        <v>1</v>
      </c>
      <c r="C16896" t="s">
        <v>5690</v>
      </c>
      <c r="D16896" t="s">
        <v>23513</v>
      </c>
    </row>
    <row r="16897" spans="1:4" x14ac:dyDescent="0.2">
      <c r="B16897" t="s">
        <v>124</v>
      </c>
      <c r="C16897" t="s">
        <v>5691</v>
      </c>
      <c r="D16897" t="s">
        <v>23514</v>
      </c>
    </row>
    <row r="16899" spans="1:4" x14ac:dyDescent="0.2">
      <c r="A16899" t="s">
        <v>5692</v>
      </c>
      <c r="B16899" t="str">
        <f>HYPERLINK("https://lindat.mff.cuni.cz/services/teitok/pdtc10/index.php?action=vallex&amp;frame=v-w2042f7_ZU", "najít (v-w2042f7_ZU)")</f>
        <v>najít (v-w2042f7_ZU)</v>
      </c>
    </row>
    <row r="16900" spans="1:4" x14ac:dyDescent="0.2">
      <c r="B16900" t="s">
        <v>1</v>
      </c>
    </row>
    <row r="16901" spans="1:4" x14ac:dyDescent="0.2">
      <c r="B16901" t="s">
        <v>5693</v>
      </c>
    </row>
    <row r="16903" spans="1:4" x14ac:dyDescent="0.2">
      <c r="A16903" t="s">
        <v>5692</v>
      </c>
      <c r="B16903" t="str">
        <f>HYPERLINK("https://lindat.mff.cuni.cz/services/teitok/pdtc10/index.php?action=vallex&amp;frame=v-w2042f2", "najít (v-w2042f2) - substituted with v-w2042f7_ZU")</f>
        <v>najít (v-w2042f2) - substituted with v-w2042f7_ZU</v>
      </c>
    </row>
    <row r="16904" spans="1:4" x14ac:dyDescent="0.2">
      <c r="B16904" t="s">
        <v>1</v>
      </c>
    </row>
    <row r="16905" spans="1:4" x14ac:dyDescent="0.2">
      <c r="B16905" t="s">
        <v>5693</v>
      </c>
    </row>
    <row r="16907" spans="1:4" x14ac:dyDescent="0.2">
      <c r="A16907" t="s">
        <v>5692</v>
      </c>
      <c r="B16907" t="str">
        <f>HYPERLINK("https://lindat.mff.cuni.cz/services/teitok/pdtc10/index.php?action=vallex&amp;frame=v-w2042f4_ZU", "najít (v-w2042f4_ZU) - substituted with v-w2042f7_ZU")</f>
        <v>najít (v-w2042f4_ZU) - substituted with v-w2042f7_ZU</v>
      </c>
    </row>
    <row r="16908" spans="1:4" x14ac:dyDescent="0.2">
      <c r="B16908" t="s">
        <v>1</v>
      </c>
      <c r="C16908" t="s">
        <v>4985</v>
      </c>
    </row>
    <row r="16909" spans="1:4" x14ac:dyDescent="0.2">
      <c r="B16909" t="s">
        <v>5693</v>
      </c>
      <c r="C16909" t="s">
        <v>4986</v>
      </c>
    </row>
    <row r="16911" spans="1:4" x14ac:dyDescent="0.2">
      <c r="A16911" t="s">
        <v>5692</v>
      </c>
      <c r="B16911" t="str">
        <f>HYPERLINK("https://lindat.mff.cuni.cz/services/teitok/pdtc10/index.php?action=vallex&amp;frame=v-w2042f5_ZU", "najít (v-w2042f5_ZU) - substituted with v-w2042f7_ZU")</f>
        <v>najít (v-w2042f5_ZU) - substituted with v-w2042f7_ZU</v>
      </c>
    </row>
    <row r="16912" spans="1:4" x14ac:dyDescent="0.2">
      <c r="B16912" t="s">
        <v>1</v>
      </c>
      <c r="C16912" t="s">
        <v>5694</v>
      </c>
    </row>
    <row r="16913" spans="1:4" x14ac:dyDescent="0.2">
      <c r="B16913" t="s">
        <v>5693</v>
      </c>
      <c r="C16913" t="s">
        <v>5695</v>
      </c>
    </row>
    <row r="16915" spans="1:4" x14ac:dyDescent="0.2">
      <c r="A16915" t="s">
        <v>5692</v>
      </c>
      <c r="B16915" t="str">
        <f>HYPERLINK("https://lindat.mff.cuni.cz/services/teitok/pdtc10/index.php?action=vallex&amp;frame=v-w2042f6_ZU", "najít (v-w2042f6_ZU) - substituted with v-w2042f7_ZU")</f>
        <v>najít (v-w2042f6_ZU) - substituted with v-w2042f7_ZU</v>
      </c>
    </row>
    <row r="16916" spans="1:4" x14ac:dyDescent="0.2">
      <c r="B16916" t="s">
        <v>1</v>
      </c>
    </row>
    <row r="16917" spans="1:4" x14ac:dyDescent="0.2">
      <c r="B16917" t="s">
        <v>5693</v>
      </c>
    </row>
    <row r="16919" spans="1:4" x14ac:dyDescent="0.2">
      <c r="A16919" t="s">
        <v>5692</v>
      </c>
      <c r="B16919" t="str">
        <f>HYPERLINK("https://lindat.mff.cuni.cz/services/teitok/pdtc10/index.php?action=vallex&amp;frame=v-w2042hsa_1059", "najít (v-w2042hsa_1059) - substituted with v-w2042f7_ZU")</f>
        <v>najít (v-w2042hsa_1059) - substituted with v-w2042f7_ZU</v>
      </c>
    </row>
    <row r="16920" spans="1:4" x14ac:dyDescent="0.2">
      <c r="B16920" t="s">
        <v>1</v>
      </c>
      <c r="C16920" t="s">
        <v>4985</v>
      </c>
      <c r="D16920" t="s">
        <v>23513</v>
      </c>
    </row>
    <row r="16921" spans="1:4" x14ac:dyDescent="0.2">
      <c r="B16921" t="s">
        <v>5693</v>
      </c>
      <c r="C16921" t="s">
        <v>4986</v>
      </c>
      <c r="D16921" t="s">
        <v>23534</v>
      </c>
    </row>
    <row r="16923" spans="1:4" x14ac:dyDescent="0.2">
      <c r="A16923" t="s">
        <v>5692</v>
      </c>
      <c r="B16923" t="str">
        <f>HYPERLINK("https://lindat.mff.cuni.cz/services/teitok/pdtc10/index.php?action=vallex&amp;frame=v-w2042hsa_910", "najít (v-w2042hsa_910) - substituted with v-w2042f7_ZU")</f>
        <v>najít (v-w2042hsa_910) - substituted with v-w2042f7_ZU</v>
      </c>
    </row>
    <row r="16924" spans="1:4" x14ac:dyDescent="0.2">
      <c r="B16924" t="s">
        <v>1</v>
      </c>
    </row>
    <row r="16925" spans="1:4" x14ac:dyDescent="0.2">
      <c r="B16925" t="s">
        <v>5693</v>
      </c>
    </row>
    <row r="16927" spans="1:4" x14ac:dyDescent="0.2">
      <c r="A16927" t="s">
        <v>5696</v>
      </c>
      <c r="B16927" t="str">
        <f>HYPERLINK("https://lindat.mff.cuni.cz/services/teitok/pdtc10/index.php?action=vallex&amp;frame=v-w2043f1", "najít se (v-w2043f1)")</f>
        <v>najít se (v-w2043f1)</v>
      </c>
    </row>
    <row r="16928" spans="1:4" x14ac:dyDescent="0.2">
      <c r="B16928" t="s">
        <v>1</v>
      </c>
    </row>
    <row r="16929" spans="1:4" x14ac:dyDescent="0.2">
      <c r="B16929" t="s">
        <v>5</v>
      </c>
    </row>
    <row r="16931" spans="1:4" x14ac:dyDescent="0.2">
      <c r="A16931" t="s">
        <v>5697</v>
      </c>
      <c r="B16931" t="str">
        <f>HYPERLINK("https://lindat.mff.cuni.cz/services/teitok/pdtc10/index.php?action=vallex&amp;frame=v-w2043f2", "najít se (v-w2043f2)")</f>
        <v>najít se (v-w2043f2)</v>
      </c>
    </row>
    <row r="16932" spans="1:4" x14ac:dyDescent="0.2">
      <c r="B16932" t="s">
        <v>1</v>
      </c>
    </row>
    <row r="16933" spans="1:4" x14ac:dyDescent="0.2">
      <c r="B16933" t="s">
        <v>5</v>
      </c>
    </row>
    <row r="16935" spans="1:4" x14ac:dyDescent="0.2">
      <c r="A16935" t="s">
        <v>5698</v>
      </c>
      <c r="B16935" t="str">
        <f>HYPERLINK("https://lindat.mff.cuni.cz/services/teitok/pdtc10/index.php?action=vallex&amp;frame=v-w11520_ZUf1_ZU", "najíždět (v-w11520_ZUf1_ZU)")</f>
        <v>najíždět (v-w11520_ZUf1_ZU)</v>
      </c>
    </row>
    <row r="16936" spans="1:4" x14ac:dyDescent="0.2">
      <c r="B16936" t="s">
        <v>1</v>
      </c>
      <c r="C16936" t="s">
        <v>5699</v>
      </c>
    </row>
    <row r="16937" spans="1:4" x14ac:dyDescent="0.2">
      <c r="B16937" t="s">
        <v>28</v>
      </c>
      <c r="C16937" t="s">
        <v>5507</v>
      </c>
    </row>
    <row r="16939" spans="1:4" x14ac:dyDescent="0.2">
      <c r="A16939" t="s">
        <v>5700</v>
      </c>
      <c r="B16939" t="str">
        <f>HYPERLINK("https://lindat.mff.cuni.cz/services/teitok/pdtc10/index.php?action=vallex&amp;frame=v-w11922_ZUf1_ZU", "nakapat (v-w11922_ZUf1_ZU)")</f>
        <v>nakapat (v-w11922_ZUf1_ZU)</v>
      </c>
    </row>
    <row r="16940" spans="1:4" x14ac:dyDescent="0.2">
      <c r="B16940" t="s">
        <v>1</v>
      </c>
    </row>
    <row r="16941" spans="1:4" x14ac:dyDescent="0.2">
      <c r="B16941" t="s">
        <v>252</v>
      </c>
    </row>
    <row r="16943" spans="1:4" x14ac:dyDescent="0.2">
      <c r="A16943" t="s">
        <v>5701</v>
      </c>
      <c r="B16943" t="str">
        <f>HYPERLINK("https://lindat.mff.cuni.cz/services/teitok/pdtc10/index.php?action=vallex&amp;frame=v-w2046f1", "nakazit (v-w2046f1)")</f>
        <v>nakazit (v-w2046f1)</v>
      </c>
    </row>
    <row r="16944" spans="1:4" x14ac:dyDescent="0.2">
      <c r="B16944" t="s">
        <v>1</v>
      </c>
      <c r="C16944" t="s">
        <v>5702</v>
      </c>
      <c r="D16944" t="s">
        <v>1425</v>
      </c>
    </row>
    <row r="16945" spans="1:4" x14ac:dyDescent="0.2">
      <c r="B16945" t="s">
        <v>158</v>
      </c>
      <c r="C16945" t="s">
        <v>4060</v>
      </c>
      <c r="D16945" t="s">
        <v>299</v>
      </c>
    </row>
    <row r="16946" spans="1:4" x14ac:dyDescent="0.2">
      <c r="B16946" t="s">
        <v>58</v>
      </c>
      <c r="C16946" t="s">
        <v>5703</v>
      </c>
      <c r="D16946" t="s">
        <v>23535</v>
      </c>
    </row>
    <row r="16948" spans="1:4" x14ac:dyDescent="0.2">
      <c r="A16948" t="s">
        <v>5704</v>
      </c>
      <c r="B16948" t="str">
        <f>HYPERLINK("https://lindat.mff.cuni.cz/services/teitok/pdtc10/index.php?action=vallex&amp;frame=v-w2047f1", "nakazit se (v-w2047f1)")</f>
        <v>nakazit se (v-w2047f1)</v>
      </c>
    </row>
    <row r="16949" spans="1:4" x14ac:dyDescent="0.2">
      <c r="B16949" t="s">
        <v>1</v>
      </c>
      <c r="C16949" t="s">
        <v>5705</v>
      </c>
      <c r="D16949" t="s">
        <v>1168</v>
      </c>
    </row>
    <row r="16950" spans="1:4" x14ac:dyDescent="0.2">
      <c r="B16950" t="s">
        <v>3225</v>
      </c>
      <c r="C16950" t="s">
        <v>5706</v>
      </c>
      <c r="D16950" t="s">
        <v>2691</v>
      </c>
    </row>
    <row r="16951" spans="1:4" x14ac:dyDescent="0.2">
      <c r="B16951" t="s">
        <v>1142</v>
      </c>
    </row>
    <row r="16953" spans="1:4" x14ac:dyDescent="0.2">
      <c r="A16953" t="s">
        <v>5707</v>
      </c>
      <c r="B16953" t="str">
        <f>HYPERLINK("https://lindat.mff.cuni.cz/services/teitok/pdtc10/index.php?action=vallex&amp;frame=v-w2056f1", "naklonit (v-w2056f1)")</f>
        <v>naklonit (v-w2056f1)</v>
      </c>
    </row>
    <row r="16954" spans="1:4" x14ac:dyDescent="0.2">
      <c r="B16954" t="s">
        <v>1</v>
      </c>
      <c r="C16954" t="s">
        <v>33</v>
      </c>
      <c r="D16954" t="s">
        <v>8785</v>
      </c>
    </row>
    <row r="16955" spans="1:4" x14ac:dyDescent="0.2">
      <c r="B16955" t="s">
        <v>8</v>
      </c>
      <c r="C16955" t="s">
        <v>34</v>
      </c>
      <c r="D16955" t="s">
        <v>23536</v>
      </c>
    </row>
    <row r="16957" spans="1:4" x14ac:dyDescent="0.2">
      <c r="A16957" t="s">
        <v>5708</v>
      </c>
      <c r="B16957" t="str">
        <f>HYPERLINK("https://lindat.mff.cuni.cz/services/teitok/pdtc10/index.php?action=vallex&amp;frame=v-w11440f2", "naklonit se (v-w11440f2)")</f>
        <v>naklonit se (v-w11440f2)</v>
      </c>
    </row>
    <row r="16958" spans="1:4" x14ac:dyDescent="0.2">
      <c r="B16958" t="s">
        <v>1</v>
      </c>
      <c r="C16958" t="s">
        <v>249</v>
      </c>
    </row>
    <row r="16960" spans="1:4" x14ac:dyDescent="0.2">
      <c r="A16960" t="s">
        <v>5709</v>
      </c>
      <c r="B16960" t="str">
        <f>HYPERLINK("https://lindat.mff.cuni.cz/services/teitok/pdtc10/index.php?action=vallex&amp;frame=v-w11440f1", "naklonit se (v-w11440f1)")</f>
        <v>naklonit se (v-w11440f1)</v>
      </c>
    </row>
    <row r="16961" spans="1:4" x14ac:dyDescent="0.2">
      <c r="B16961" t="s">
        <v>1</v>
      </c>
      <c r="C16961" t="s">
        <v>5710</v>
      </c>
      <c r="D16961" t="s">
        <v>8785</v>
      </c>
    </row>
    <row r="16963" spans="1:4" x14ac:dyDescent="0.2">
      <c r="A16963" t="s">
        <v>5711</v>
      </c>
      <c r="B16963" t="str">
        <f>HYPERLINK("https://lindat.mff.cuni.cz/services/teitok/pdtc10/index.php?action=vallex&amp;frame=v-w2057f1", "naklonit si (v-w2057f1)")</f>
        <v>naklonit si (v-w2057f1)</v>
      </c>
    </row>
    <row r="16964" spans="1:4" x14ac:dyDescent="0.2">
      <c r="B16964" t="s">
        <v>1</v>
      </c>
    </row>
    <row r="16965" spans="1:4" x14ac:dyDescent="0.2">
      <c r="B16965" t="s">
        <v>8</v>
      </c>
    </row>
    <row r="16967" spans="1:4" x14ac:dyDescent="0.2">
      <c r="A16967" t="s">
        <v>5712</v>
      </c>
      <c r="B16967" t="str">
        <f>HYPERLINK("https://lindat.mff.cuni.cz/services/teitok/pdtc10/index.php?action=vallex&amp;frame=v-w2051f2", "nakládat (v-w2051f2)")</f>
        <v>nakládat (v-w2051f2)</v>
      </c>
    </row>
    <row r="16968" spans="1:4" x14ac:dyDescent="0.2">
      <c r="B16968" t="s">
        <v>1</v>
      </c>
    </row>
    <row r="16969" spans="1:4" x14ac:dyDescent="0.2">
      <c r="B16969" t="s">
        <v>8</v>
      </c>
    </row>
    <row r="16970" spans="1:4" x14ac:dyDescent="0.2">
      <c r="B16970" t="s">
        <v>90</v>
      </c>
    </row>
    <row r="16972" spans="1:4" x14ac:dyDescent="0.2">
      <c r="A16972" t="s">
        <v>5713</v>
      </c>
      <c r="B16972" t="str">
        <f>HYPERLINK("https://lindat.mff.cuni.cz/services/teitok/pdtc10/index.php?action=vallex&amp;frame=v-w2051f1", "nakládat (v-w2051f1)")</f>
        <v>nakládat (v-w2051f1)</v>
      </c>
    </row>
    <row r="16973" spans="1:4" x14ac:dyDescent="0.2">
      <c r="B16973" t="s">
        <v>1</v>
      </c>
      <c r="C16973" t="s">
        <v>2125</v>
      </c>
      <c r="D16973" t="s">
        <v>230</v>
      </c>
    </row>
    <row r="16974" spans="1:4" x14ac:dyDescent="0.2">
      <c r="B16974" t="s">
        <v>411</v>
      </c>
      <c r="C16974" t="s">
        <v>5714</v>
      </c>
      <c r="D16974" t="s">
        <v>1078</v>
      </c>
    </row>
    <row r="16975" spans="1:4" x14ac:dyDescent="0.2">
      <c r="B16975" t="s">
        <v>346</v>
      </c>
      <c r="C16975" t="s">
        <v>5715</v>
      </c>
      <c r="D16975" t="s">
        <v>23051</v>
      </c>
    </row>
    <row r="16976" spans="1:4" x14ac:dyDescent="0.2">
      <c r="B16976" t="s">
        <v>349</v>
      </c>
    </row>
    <row r="16977" spans="1:4" x14ac:dyDescent="0.2">
      <c r="B16977" t="s">
        <v>350</v>
      </c>
    </row>
    <row r="16978" spans="1:4" x14ac:dyDescent="0.2">
      <c r="B16978" t="s">
        <v>351</v>
      </c>
    </row>
    <row r="16980" spans="1:4" x14ac:dyDescent="0.2">
      <c r="A16980" t="s">
        <v>5716</v>
      </c>
      <c r="B16980" t="str">
        <f>HYPERLINK("https://lindat.mff.cuni.cz/services/teitok/pdtc10/index.php?action=vallex&amp;frame=v-w2051hsa_249", "nakládat (v-w2051hsa_249)")</f>
        <v>nakládat (v-w2051hsa_249)</v>
      </c>
    </row>
    <row r="16981" spans="1:4" x14ac:dyDescent="0.2">
      <c r="B16981" t="s">
        <v>1</v>
      </c>
      <c r="C16981" t="s">
        <v>140</v>
      </c>
      <c r="D16981" t="s">
        <v>2486</v>
      </c>
    </row>
    <row r="16982" spans="1:4" x14ac:dyDescent="0.2">
      <c r="B16982" t="s">
        <v>8</v>
      </c>
      <c r="C16982" t="s">
        <v>991</v>
      </c>
      <c r="D16982" t="s">
        <v>2487</v>
      </c>
    </row>
    <row r="16983" spans="1:4" x14ac:dyDescent="0.2">
      <c r="B16983" t="s">
        <v>88</v>
      </c>
      <c r="D16983" t="s">
        <v>2488</v>
      </c>
    </row>
    <row r="16985" spans="1:4" x14ac:dyDescent="0.2">
      <c r="A16985" t="s">
        <v>5717</v>
      </c>
      <c r="B16985" t="str">
        <f>HYPERLINK("https://lindat.mff.cuni.cz/services/teitok/pdtc10/index.php?action=vallex&amp;frame=v-w2051f3_ZU", "nakládat (v-w2051f3_ZU)")</f>
        <v>nakládat (v-w2051f3_ZU)</v>
      </c>
    </row>
    <row r="16986" spans="1:4" x14ac:dyDescent="0.2">
      <c r="B16986" t="s">
        <v>1</v>
      </c>
    </row>
    <row r="16987" spans="1:4" x14ac:dyDescent="0.2">
      <c r="B16987" t="s">
        <v>8</v>
      </c>
      <c r="C16987" t="s">
        <v>991</v>
      </c>
      <c r="D16987" t="s">
        <v>991</v>
      </c>
    </row>
    <row r="16988" spans="1:4" x14ac:dyDescent="0.2">
      <c r="B16988" t="s">
        <v>5479</v>
      </c>
    </row>
    <row r="16990" spans="1:4" x14ac:dyDescent="0.2">
      <c r="A16990" t="s">
        <v>5717</v>
      </c>
      <c r="B16990" t="str">
        <f>HYPERLINK("https://lindat.mff.cuni.cz/services/teitok/pdtc10/index.php?action=vallex&amp;frame=v-w2051hsa_250", "nakládat (v-w2051hsa_250) - substituted with v-w2051f3_ZU")</f>
        <v>nakládat (v-w2051hsa_250) - substituted with v-w2051f3_ZU</v>
      </c>
    </row>
    <row r="16991" spans="1:4" x14ac:dyDescent="0.2">
      <c r="B16991" t="s">
        <v>1</v>
      </c>
    </row>
    <row r="16992" spans="1:4" x14ac:dyDescent="0.2">
      <c r="B16992" t="s">
        <v>8</v>
      </c>
    </row>
    <row r="16993" spans="1:4" x14ac:dyDescent="0.2">
      <c r="B16993" t="s">
        <v>5479</v>
      </c>
    </row>
    <row r="16995" spans="1:4" x14ac:dyDescent="0.2">
      <c r="A16995" t="s">
        <v>5718</v>
      </c>
      <c r="B16995" t="str">
        <f>HYPERLINK("https://lindat.mff.cuni.cz/services/teitok/pdtc10/index.php?action=vallex&amp;frame=v-w2051f5_ZU", "nakládat (v-w2051f5_ZU)")</f>
        <v>nakládat (v-w2051f5_ZU)</v>
      </c>
    </row>
    <row r="16996" spans="1:4" x14ac:dyDescent="0.2">
      <c r="B16996" t="s">
        <v>1</v>
      </c>
    </row>
    <row r="16997" spans="1:4" x14ac:dyDescent="0.2">
      <c r="B16997" t="s">
        <v>8</v>
      </c>
    </row>
    <row r="16999" spans="1:4" x14ac:dyDescent="0.2">
      <c r="A16999" t="s">
        <v>5718</v>
      </c>
      <c r="B16999" t="str">
        <f>HYPERLINK("https://lindat.mff.cuni.cz/services/teitok/pdtc10/index.php?action=vallex&amp;frame=v-w2051f4_ZU", "nakládat (v-w2051f4_ZU) - substituted with v-w2051f5_ZU")</f>
        <v>nakládat (v-w2051f4_ZU) - substituted with v-w2051f5_ZU</v>
      </c>
    </row>
    <row r="17000" spans="1:4" x14ac:dyDescent="0.2">
      <c r="B17000" t="s">
        <v>1</v>
      </c>
    </row>
    <row r="17001" spans="1:4" x14ac:dyDescent="0.2">
      <c r="B17001" t="s">
        <v>8</v>
      </c>
    </row>
    <row r="17003" spans="1:4" x14ac:dyDescent="0.2">
      <c r="A17003" t="s">
        <v>5719</v>
      </c>
      <c r="B17003" t="str">
        <f>HYPERLINK("https://lindat.mff.cuni.cz/services/teitok/pdtc10/index.php?action=vallex&amp;frame=v-w2053f1", "naklánět se (v-w2053f1)")</f>
        <v>naklánět se (v-w2053f1)</v>
      </c>
    </row>
    <row r="17004" spans="1:4" x14ac:dyDescent="0.2">
      <c r="B17004" t="s">
        <v>1</v>
      </c>
      <c r="D17004" t="s">
        <v>8785</v>
      </c>
    </row>
    <row r="17006" spans="1:4" x14ac:dyDescent="0.2">
      <c r="A17006" t="s">
        <v>5720</v>
      </c>
      <c r="B17006" t="str">
        <f>HYPERLINK("https://lindat.mff.cuni.cz/services/teitok/pdtc10/index.php?action=vallex&amp;frame=v-w2054f2", "naklást (v-w2054f2)")</f>
        <v>naklást (v-w2054f2)</v>
      </c>
    </row>
    <row r="17007" spans="1:4" x14ac:dyDescent="0.2">
      <c r="B17007" t="s">
        <v>1</v>
      </c>
    </row>
    <row r="17008" spans="1:4" x14ac:dyDescent="0.2">
      <c r="B17008" t="s">
        <v>8</v>
      </c>
    </row>
    <row r="17009" spans="1:2" x14ac:dyDescent="0.2">
      <c r="B17009" t="s">
        <v>90</v>
      </c>
    </row>
    <row r="17011" spans="1:2" x14ac:dyDescent="0.2">
      <c r="A17011" t="s">
        <v>5721</v>
      </c>
      <c r="B17011" t="str">
        <f>HYPERLINK("https://lindat.mff.cuni.cz/services/teitok/pdtc10/index.php?action=vallex&amp;frame=v-w2054f1", "naklást (v-w2054f1)")</f>
        <v>naklást (v-w2054f1)</v>
      </c>
    </row>
    <row r="17012" spans="1:2" x14ac:dyDescent="0.2">
      <c r="B17012" t="s">
        <v>1</v>
      </c>
    </row>
    <row r="17013" spans="1:2" x14ac:dyDescent="0.2">
      <c r="B17013" t="s">
        <v>8</v>
      </c>
    </row>
    <row r="17015" spans="1:2" x14ac:dyDescent="0.2">
      <c r="A17015" t="s">
        <v>5722</v>
      </c>
      <c r="B17015" t="str">
        <f>HYPERLINK("https://lindat.mff.cuni.cz/services/teitok/pdtc10/index.php?action=vallex&amp;frame=v-whsa_1208hsa_1209", "nakonfigurovat (v-whsa_1208hsa_1209)")</f>
        <v>nakonfigurovat (v-whsa_1208hsa_1209)</v>
      </c>
    </row>
    <row r="17016" spans="1:2" x14ac:dyDescent="0.2">
      <c r="B17016" t="s">
        <v>1</v>
      </c>
    </row>
    <row r="17017" spans="1:2" x14ac:dyDescent="0.2">
      <c r="B17017" t="s">
        <v>8</v>
      </c>
    </row>
    <row r="17018" spans="1:2" x14ac:dyDescent="0.2">
      <c r="B17018" t="s">
        <v>61</v>
      </c>
    </row>
    <row r="17020" spans="1:2" x14ac:dyDescent="0.2">
      <c r="A17020" t="s">
        <v>5723</v>
      </c>
      <c r="B17020" t="str">
        <f>HYPERLINK("https://lindat.mff.cuni.cz/services/teitok/pdtc10/index.php?action=vallex&amp;frame=v-w11658_ZUf2_ZU", "nakopat (v-w11658_ZUf2_ZU)")</f>
        <v>nakopat (v-w11658_ZUf2_ZU)</v>
      </c>
    </row>
    <row r="17021" spans="1:2" x14ac:dyDescent="0.2">
      <c r="B17021" t="s">
        <v>1</v>
      </c>
    </row>
    <row r="17022" spans="1:2" x14ac:dyDescent="0.2">
      <c r="B17022" t="s">
        <v>103</v>
      </c>
    </row>
    <row r="17023" spans="1:2" x14ac:dyDescent="0.2">
      <c r="B17023" t="s">
        <v>5724</v>
      </c>
    </row>
    <row r="17025" spans="1:2" x14ac:dyDescent="0.2">
      <c r="A17025" t="s">
        <v>5723</v>
      </c>
      <c r="B17025" t="str">
        <f>HYPERLINK("https://lindat.mff.cuni.cz/services/teitok/pdtc10/index.php?action=vallex&amp;frame=v-w11658_ZUf1_ZU", "nakopat (v-w11658_ZUf1_ZU) - substituted with v-w11658_ZUf2_ZU")</f>
        <v>nakopat (v-w11658_ZUf1_ZU) - substituted with v-w11658_ZUf2_ZU</v>
      </c>
    </row>
    <row r="17026" spans="1:2" x14ac:dyDescent="0.2">
      <c r="B17026" t="s">
        <v>1</v>
      </c>
    </row>
    <row r="17027" spans="1:2" x14ac:dyDescent="0.2">
      <c r="B17027" t="s">
        <v>103</v>
      </c>
    </row>
    <row r="17028" spans="1:2" x14ac:dyDescent="0.2">
      <c r="B17028" t="s">
        <v>5724</v>
      </c>
    </row>
    <row r="17030" spans="1:2" x14ac:dyDescent="0.2">
      <c r="A17030" t="s">
        <v>5725</v>
      </c>
      <c r="B17030" t="str">
        <f>HYPERLINK("https://lindat.mff.cuni.cz/services/teitok/pdtc10/index.php?action=vallex&amp;frame=v-w11873_ZUf1_ZU", "nakopnout (v-w11873_ZUf1_ZU)")</f>
        <v>nakopnout (v-w11873_ZUf1_ZU)</v>
      </c>
    </row>
    <row r="17031" spans="1:2" x14ac:dyDescent="0.2">
      <c r="B17031" t="s">
        <v>1</v>
      </c>
    </row>
    <row r="17032" spans="1:2" x14ac:dyDescent="0.2">
      <c r="B17032" t="s">
        <v>8</v>
      </c>
    </row>
    <row r="17034" spans="1:2" x14ac:dyDescent="0.2">
      <c r="A17034" t="s">
        <v>5726</v>
      </c>
      <c r="B17034" t="str">
        <f>HYPERLINK("https://lindat.mff.cuni.cz/services/teitok/pdtc10/index.php?action=vallex&amp;frame=v-w12191_ZUf1_ZU", "nakoupat (v-w12191_ZUf1_ZU)")</f>
        <v>nakoupat (v-w12191_ZUf1_ZU)</v>
      </c>
    </row>
    <row r="17035" spans="1:2" x14ac:dyDescent="0.2">
      <c r="B17035" t="s">
        <v>1</v>
      </c>
    </row>
    <row r="17036" spans="1:2" x14ac:dyDescent="0.2">
      <c r="B17036" t="s">
        <v>8</v>
      </c>
    </row>
    <row r="17038" spans="1:2" x14ac:dyDescent="0.2">
      <c r="A17038" t="s">
        <v>5727</v>
      </c>
      <c r="B17038" t="str">
        <f>HYPERLINK("https://lindat.mff.cuni.cz/services/teitok/pdtc10/index.php?action=vallex&amp;frame=v-whsa_178hsa_179", "nakoupat se (v-whsa_178hsa_179)")</f>
        <v>nakoupat se (v-whsa_178hsa_179)</v>
      </c>
    </row>
    <row r="17039" spans="1:2" x14ac:dyDescent="0.2">
      <c r="B17039" t="s">
        <v>1</v>
      </c>
    </row>
    <row r="17041" spans="1:4" x14ac:dyDescent="0.2">
      <c r="A17041" t="s">
        <v>5728</v>
      </c>
      <c r="B17041" t="str">
        <f>HYPERLINK("https://lindat.mff.cuni.cz/services/teitok/pdtc10/index.php?action=vallex&amp;frame=v-w2060f1", "nakoupit (v-w2060f1)")</f>
        <v>nakoupit (v-w2060f1)</v>
      </c>
    </row>
    <row r="17042" spans="1:4" x14ac:dyDescent="0.2">
      <c r="B17042" t="s">
        <v>1</v>
      </c>
      <c r="C17042" t="s">
        <v>5729</v>
      </c>
      <c r="D17042" t="s">
        <v>23430</v>
      </c>
    </row>
    <row r="17043" spans="1:4" x14ac:dyDescent="0.2">
      <c r="B17043" t="s">
        <v>8</v>
      </c>
      <c r="C17043" t="s">
        <v>5730</v>
      </c>
      <c r="D17043" t="s">
        <v>23431</v>
      </c>
    </row>
    <row r="17044" spans="1:4" x14ac:dyDescent="0.2">
      <c r="B17044" t="s">
        <v>1629</v>
      </c>
      <c r="C17044" t="s">
        <v>4242</v>
      </c>
      <c r="D17044" t="s">
        <v>4242</v>
      </c>
    </row>
    <row r="17045" spans="1:4" x14ac:dyDescent="0.2">
      <c r="B17045" t="s">
        <v>321</v>
      </c>
      <c r="C17045" t="s">
        <v>5731</v>
      </c>
      <c r="D17045" t="s">
        <v>5731</v>
      </c>
    </row>
    <row r="17047" spans="1:4" x14ac:dyDescent="0.2">
      <c r="A17047" t="s">
        <v>5732</v>
      </c>
      <c r="B17047" t="str">
        <f>HYPERLINK("https://lindat.mff.cuni.cz/services/teitok/pdtc10/index.php?action=vallex&amp;frame=v-w2061f1", "nakousnout (v-w2061f1)")</f>
        <v>nakousnout (v-w2061f1)</v>
      </c>
    </row>
    <row r="17048" spans="1:4" x14ac:dyDescent="0.2">
      <c r="B17048" t="s">
        <v>1</v>
      </c>
    </row>
    <row r="17049" spans="1:4" x14ac:dyDescent="0.2">
      <c r="B17049" t="s">
        <v>8</v>
      </c>
    </row>
    <row r="17051" spans="1:4" x14ac:dyDescent="0.2">
      <c r="A17051" t="s">
        <v>5733</v>
      </c>
      <c r="B17051" t="str">
        <f>HYPERLINK("https://lindat.mff.cuni.cz/services/teitok/pdtc10/index.php?action=vallex&amp;frame=v-w2061f2_ZU", "nakousnout (v-w2061f2_ZU)")</f>
        <v>nakousnout (v-w2061f2_ZU)</v>
      </c>
    </row>
    <row r="17052" spans="1:4" x14ac:dyDescent="0.2">
      <c r="B17052" t="s">
        <v>1</v>
      </c>
    </row>
    <row r="17053" spans="1:4" x14ac:dyDescent="0.2">
      <c r="B17053" t="s">
        <v>8</v>
      </c>
    </row>
    <row r="17055" spans="1:4" x14ac:dyDescent="0.2">
      <c r="A17055" t="s">
        <v>5734</v>
      </c>
      <c r="B17055" t="str">
        <f>HYPERLINK("https://lindat.mff.cuni.cz/services/teitok/pdtc10/index.php?action=vallex&amp;frame=v-w2064f1", "nakreslit (v-w2064f1)")</f>
        <v>nakreslit (v-w2064f1)</v>
      </c>
    </row>
    <row r="17056" spans="1:4" x14ac:dyDescent="0.2">
      <c r="B17056" t="s">
        <v>1</v>
      </c>
    </row>
    <row r="17057" spans="1:4" x14ac:dyDescent="0.2">
      <c r="B17057" t="s">
        <v>8</v>
      </c>
    </row>
    <row r="17059" spans="1:4" x14ac:dyDescent="0.2">
      <c r="A17059" t="s">
        <v>5735</v>
      </c>
      <c r="B17059" t="str">
        <f>HYPERLINK("https://lindat.mff.cuni.cz/services/teitok/pdtc10/index.php?action=vallex&amp;frame=v-whsa_1271hsa_1272", "nakrmit (v-whsa_1271hsa_1272)")</f>
        <v>nakrmit (v-whsa_1271hsa_1272)</v>
      </c>
    </row>
    <row r="17060" spans="1:4" x14ac:dyDescent="0.2">
      <c r="B17060" t="s">
        <v>1</v>
      </c>
      <c r="C17060" t="s">
        <v>33</v>
      </c>
      <c r="D17060" t="s">
        <v>430</v>
      </c>
    </row>
    <row r="17061" spans="1:4" x14ac:dyDescent="0.2">
      <c r="B17061" t="s">
        <v>8</v>
      </c>
      <c r="C17061" t="s">
        <v>5736</v>
      </c>
      <c r="D17061" t="s">
        <v>23435</v>
      </c>
    </row>
    <row r="17063" spans="1:4" x14ac:dyDescent="0.2">
      <c r="A17063" t="s">
        <v>5737</v>
      </c>
      <c r="B17063" t="str">
        <f>HYPERLINK("https://lindat.mff.cuni.cz/services/teitok/pdtc10/index.php?action=vallex&amp;frame=v-whsa_1271f1_ZU", "nakrmit (v-whsa_1271f1_ZU)")</f>
        <v>nakrmit (v-whsa_1271f1_ZU)</v>
      </c>
    </row>
    <row r="17064" spans="1:4" x14ac:dyDescent="0.2">
      <c r="B17064" t="s">
        <v>1</v>
      </c>
    </row>
    <row r="17065" spans="1:4" x14ac:dyDescent="0.2">
      <c r="B17065" t="s">
        <v>8</v>
      </c>
    </row>
    <row r="17067" spans="1:4" x14ac:dyDescent="0.2">
      <c r="A17067" t="s">
        <v>5738</v>
      </c>
      <c r="B17067" t="str">
        <f>HYPERLINK("https://lindat.mff.cuni.cz/services/teitok/pdtc10/index.php?action=vallex&amp;frame=v-whsa_115hsa_116", "nakrojit (v-whsa_115hsa_116)")</f>
        <v>nakrojit (v-whsa_115hsa_116)</v>
      </c>
    </row>
    <row r="17068" spans="1:4" x14ac:dyDescent="0.2">
      <c r="B17068" t="s">
        <v>1</v>
      </c>
    </row>
    <row r="17069" spans="1:4" x14ac:dyDescent="0.2">
      <c r="B17069" t="s">
        <v>8</v>
      </c>
    </row>
    <row r="17071" spans="1:4" x14ac:dyDescent="0.2">
      <c r="A17071" t="s">
        <v>5739</v>
      </c>
      <c r="B17071" t="str">
        <f>HYPERLINK("https://lindat.mff.cuni.cz/services/teitok/pdtc10/index.php?action=vallex&amp;frame=v-w11983_ZUf1_ZU", "nakročit (v-w11983_ZUf1_ZU)")</f>
        <v>nakročit (v-w11983_ZUf1_ZU)</v>
      </c>
    </row>
    <row r="17072" spans="1:4" x14ac:dyDescent="0.2">
      <c r="B17072" t="s">
        <v>1</v>
      </c>
    </row>
    <row r="17074" spans="1:4" x14ac:dyDescent="0.2">
      <c r="A17074" t="s">
        <v>5740</v>
      </c>
      <c r="B17074" t="str">
        <f>HYPERLINK("https://lindat.mff.cuni.cz/services/teitok/pdtc10/index.php?action=vallex&amp;frame=v-w2062f1", "nakrájet (v-w2062f1)")</f>
        <v>nakrájet (v-w2062f1)</v>
      </c>
    </row>
    <row r="17075" spans="1:4" x14ac:dyDescent="0.2">
      <c r="B17075" t="s">
        <v>1</v>
      </c>
      <c r="D17075" t="s">
        <v>23432</v>
      </c>
    </row>
    <row r="17076" spans="1:4" x14ac:dyDescent="0.2">
      <c r="B17076" t="s">
        <v>8</v>
      </c>
      <c r="D17076" t="s">
        <v>23433</v>
      </c>
    </row>
    <row r="17077" spans="1:4" x14ac:dyDescent="0.2">
      <c r="B17077" t="s">
        <v>4283</v>
      </c>
      <c r="D17077" t="s">
        <v>23434</v>
      </c>
    </row>
    <row r="17079" spans="1:4" x14ac:dyDescent="0.2">
      <c r="A17079" t="s">
        <v>5741</v>
      </c>
      <c r="B17079" t="str">
        <f>HYPERLINK("https://lindat.mff.cuni.cz/services/teitok/pdtc10/index.php?action=vallex&amp;frame=v-w2063f1", "nakrást (v-w2063f1)")</f>
        <v>nakrást (v-w2063f1)</v>
      </c>
    </row>
    <row r="17080" spans="1:4" x14ac:dyDescent="0.2">
      <c r="B17080" t="s">
        <v>1</v>
      </c>
    </row>
    <row r="17081" spans="1:4" x14ac:dyDescent="0.2">
      <c r="B17081" t="s">
        <v>8</v>
      </c>
    </row>
    <row r="17083" spans="1:4" x14ac:dyDescent="0.2">
      <c r="A17083" t="s">
        <v>5742</v>
      </c>
      <c r="B17083" t="str">
        <f>HYPERLINK("https://lindat.mff.cuni.cz/services/teitok/pdtc10/index.php?action=vallex&amp;frame=v-whsa_1328f1_ZU", "nakrýt (v-whsa_1328f1_ZU)")</f>
        <v>nakrýt (v-whsa_1328f1_ZU)</v>
      </c>
    </row>
    <row r="17084" spans="1:4" x14ac:dyDescent="0.2">
      <c r="B17084" t="s">
        <v>1</v>
      </c>
    </row>
    <row r="17085" spans="1:4" x14ac:dyDescent="0.2">
      <c r="B17085" t="s">
        <v>8</v>
      </c>
    </row>
    <row r="17086" spans="1:4" x14ac:dyDescent="0.2">
      <c r="B17086" t="s">
        <v>5479</v>
      </c>
    </row>
    <row r="17088" spans="1:4" x14ac:dyDescent="0.2">
      <c r="A17088" t="s">
        <v>5742</v>
      </c>
      <c r="B17088" t="str">
        <f>HYPERLINK("https://lindat.mff.cuni.cz/services/teitok/pdtc10/index.php?action=vallex&amp;frame=v-whsa_1328hsa_1329", "nakrýt (v-whsa_1328hsa_1329) - substituted with v-whsa_1328f1_ZU")</f>
        <v>nakrýt (v-whsa_1328hsa_1329) - substituted with v-whsa_1328f1_ZU</v>
      </c>
    </row>
    <row r="17089" spans="1:4" x14ac:dyDescent="0.2">
      <c r="B17089" t="s">
        <v>1</v>
      </c>
    </row>
    <row r="17090" spans="1:4" x14ac:dyDescent="0.2">
      <c r="B17090" t="s">
        <v>8</v>
      </c>
    </row>
    <row r="17091" spans="1:4" x14ac:dyDescent="0.2">
      <c r="B17091" t="s">
        <v>5479</v>
      </c>
    </row>
    <row r="17093" spans="1:4" x14ac:dyDescent="0.2">
      <c r="A17093" t="s">
        <v>5743</v>
      </c>
      <c r="B17093" t="str">
        <f>HYPERLINK("https://lindat.mff.cuni.cz/services/teitok/pdtc10/index.php?action=vallex&amp;frame=v-w2066f1", "nakupit (v-w2066f1)")</f>
        <v>nakupit (v-w2066f1)</v>
      </c>
    </row>
    <row r="17094" spans="1:4" x14ac:dyDescent="0.2">
      <c r="B17094" t="s">
        <v>1</v>
      </c>
    </row>
    <row r="17095" spans="1:4" x14ac:dyDescent="0.2">
      <c r="B17095" t="s">
        <v>8</v>
      </c>
    </row>
    <row r="17097" spans="1:4" x14ac:dyDescent="0.2">
      <c r="A17097" t="s">
        <v>5744</v>
      </c>
      <c r="B17097" t="str">
        <f>HYPERLINK("https://lindat.mff.cuni.cz/services/teitok/pdtc10/index.php?action=vallex&amp;frame=v-w2066f2", "nakupit (v-w2066f2)")</f>
        <v>nakupit (v-w2066f2)</v>
      </c>
    </row>
    <row r="17098" spans="1:4" x14ac:dyDescent="0.2">
      <c r="B17098" t="s">
        <v>1</v>
      </c>
    </row>
    <row r="17099" spans="1:4" x14ac:dyDescent="0.2">
      <c r="B17099" t="s">
        <v>8</v>
      </c>
    </row>
    <row r="17101" spans="1:4" x14ac:dyDescent="0.2">
      <c r="A17101" t="s">
        <v>5745</v>
      </c>
      <c r="B17101" t="str">
        <f>HYPERLINK("https://lindat.mff.cuni.cz/services/teitok/pdtc10/index.php?action=vallex&amp;frame=v-w11242f1", "nakupit se (v-w11242f1)")</f>
        <v>nakupit se (v-w11242f1)</v>
      </c>
    </row>
    <row r="17102" spans="1:4" x14ac:dyDescent="0.2">
      <c r="B17102" t="s">
        <v>1</v>
      </c>
      <c r="C17102" t="s">
        <v>1811</v>
      </c>
      <c r="D17102" t="s">
        <v>23531</v>
      </c>
    </row>
    <row r="17103" spans="1:4" x14ac:dyDescent="0.2">
      <c r="B17103" t="s">
        <v>5</v>
      </c>
      <c r="D17103" t="s">
        <v>23537</v>
      </c>
    </row>
    <row r="17105" spans="1:4" x14ac:dyDescent="0.2">
      <c r="A17105" t="s">
        <v>5746</v>
      </c>
      <c r="B17105" t="str">
        <f>HYPERLINK("https://lindat.mff.cuni.cz/services/teitok/pdtc10/index.php?action=vallex&amp;frame=v-w2068f1", "nakupovat (v-w2068f1)")</f>
        <v>nakupovat (v-w2068f1)</v>
      </c>
    </row>
    <row r="17106" spans="1:4" x14ac:dyDescent="0.2">
      <c r="B17106" t="s">
        <v>1</v>
      </c>
      <c r="C17106" t="s">
        <v>5747</v>
      </c>
      <c r="D17106" t="s">
        <v>23430</v>
      </c>
    </row>
    <row r="17107" spans="1:4" x14ac:dyDescent="0.2">
      <c r="B17107" t="s">
        <v>8</v>
      </c>
      <c r="C17107" t="s">
        <v>5748</v>
      </c>
      <c r="D17107" t="s">
        <v>23431</v>
      </c>
    </row>
    <row r="17108" spans="1:4" x14ac:dyDescent="0.2">
      <c r="B17108" t="s">
        <v>1629</v>
      </c>
      <c r="C17108" t="s">
        <v>4242</v>
      </c>
      <c r="D17108" t="s">
        <v>4242</v>
      </c>
    </row>
    <row r="17109" spans="1:4" x14ac:dyDescent="0.2">
      <c r="B17109" t="s">
        <v>321</v>
      </c>
      <c r="C17109" t="s">
        <v>5749</v>
      </c>
      <c r="D17109" t="s">
        <v>5731</v>
      </c>
    </row>
    <row r="17111" spans="1:4" x14ac:dyDescent="0.2">
      <c r="A17111" t="s">
        <v>5750</v>
      </c>
      <c r="B17111" t="str">
        <f>HYPERLINK("https://lindat.mff.cuni.cz/services/teitok/pdtc10/index.php?action=vallex&amp;frame=v-w12374_MMf1_MM", "nakusovat (v-w12374_MMf1_MM)")</f>
        <v>nakusovat (v-w12374_MMf1_MM)</v>
      </c>
    </row>
    <row r="17112" spans="1:4" x14ac:dyDescent="0.2">
      <c r="B17112" t="s">
        <v>1</v>
      </c>
    </row>
    <row r="17113" spans="1:4" x14ac:dyDescent="0.2">
      <c r="B17113" t="s">
        <v>8</v>
      </c>
    </row>
    <row r="17115" spans="1:4" x14ac:dyDescent="0.2">
      <c r="A17115" t="s">
        <v>5751</v>
      </c>
      <c r="B17115" t="str">
        <f>HYPERLINK("https://lindat.mff.cuni.cz/services/teitok/pdtc10/index.php?action=vallex&amp;frame=v-w12164_ZUf1_ZU", "nakynout (v-w12164_ZUf1_ZU)")</f>
        <v>nakynout (v-w12164_ZUf1_ZU)</v>
      </c>
    </row>
    <row r="17116" spans="1:4" x14ac:dyDescent="0.2">
      <c r="B17116" t="s">
        <v>1</v>
      </c>
    </row>
    <row r="17118" spans="1:4" x14ac:dyDescent="0.2">
      <c r="A17118" t="s">
        <v>5752</v>
      </c>
      <c r="B17118" t="str">
        <f>HYPERLINK("https://lindat.mff.cuni.cz/services/teitok/pdtc10/index.php?action=vallex&amp;frame=v-w2070f1", "naladit (v-w2070f1)")</f>
        <v>naladit (v-w2070f1)</v>
      </c>
    </row>
    <row r="17119" spans="1:4" x14ac:dyDescent="0.2">
      <c r="B17119" t="s">
        <v>1</v>
      </c>
      <c r="C17119" t="s">
        <v>33</v>
      </c>
    </row>
    <row r="17120" spans="1:4" x14ac:dyDescent="0.2">
      <c r="B17120" t="s">
        <v>8</v>
      </c>
    </row>
    <row r="17122" spans="1:4" x14ac:dyDescent="0.2">
      <c r="A17122" t="s">
        <v>5753</v>
      </c>
      <c r="B17122" t="str">
        <f>HYPERLINK("https://lindat.mff.cuni.cz/services/teitok/pdtc10/index.php?action=vallex&amp;frame=v-w2070f2", "naladit (v-w2070f2)")</f>
        <v>naladit (v-w2070f2)</v>
      </c>
    </row>
    <row r="17123" spans="1:4" x14ac:dyDescent="0.2">
      <c r="B17123" t="s">
        <v>1</v>
      </c>
      <c r="C17123" t="s">
        <v>249</v>
      </c>
      <c r="D17123" t="s">
        <v>22944</v>
      </c>
    </row>
    <row r="17124" spans="1:4" x14ac:dyDescent="0.2">
      <c r="B17124" t="s">
        <v>8</v>
      </c>
      <c r="C17124" t="s">
        <v>5754</v>
      </c>
      <c r="D17124" t="s">
        <v>22945</v>
      </c>
    </row>
    <row r="17126" spans="1:4" x14ac:dyDescent="0.2">
      <c r="A17126" t="s">
        <v>5755</v>
      </c>
      <c r="B17126" t="str">
        <f>HYPERLINK("https://lindat.mff.cuni.cz/services/teitok/pdtc10/index.php?action=vallex&amp;frame=v-w2070hsa_519", "naladit (v-w2070hsa_519)")</f>
        <v>naladit (v-w2070hsa_519)</v>
      </c>
    </row>
    <row r="17127" spans="1:4" x14ac:dyDescent="0.2">
      <c r="B17127" t="s">
        <v>1</v>
      </c>
      <c r="C17127" t="s">
        <v>33</v>
      </c>
    </row>
    <row r="17128" spans="1:4" x14ac:dyDescent="0.2">
      <c r="B17128" t="s">
        <v>8</v>
      </c>
      <c r="C17128" t="s">
        <v>113</v>
      </c>
    </row>
    <row r="17130" spans="1:4" x14ac:dyDescent="0.2">
      <c r="A17130" t="s">
        <v>5756</v>
      </c>
      <c r="B17130" t="str">
        <f>HYPERLINK("https://lindat.mff.cuni.cz/services/teitok/pdtc10/index.php?action=vallex&amp;frame=v-w12037_ZUf1_ZU", "nalakovat (v-w12037_ZUf1_ZU)")</f>
        <v>nalakovat (v-w12037_ZUf1_ZU)</v>
      </c>
    </row>
    <row r="17131" spans="1:4" x14ac:dyDescent="0.2">
      <c r="B17131" t="s">
        <v>1</v>
      </c>
    </row>
    <row r="17132" spans="1:4" x14ac:dyDescent="0.2">
      <c r="B17132" t="s">
        <v>8</v>
      </c>
    </row>
    <row r="17134" spans="1:4" x14ac:dyDescent="0.2">
      <c r="A17134" t="s">
        <v>5757</v>
      </c>
      <c r="B17134" t="str">
        <f>HYPERLINK("https://lindat.mff.cuni.cz/services/teitok/pdtc10/index.php?action=vallex&amp;frame=v-w2074f1", "nalepit (v-w2074f1)")</f>
        <v>nalepit (v-w2074f1)</v>
      </c>
    </row>
    <row r="17135" spans="1:4" x14ac:dyDescent="0.2">
      <c r="B17135" t="s">
        <v>1</v>
      </c>
    </row>
    <row r="17136" spans="1:4" x14ac:dyDescent="0.2">
      <c r="B17136" t="s">
        <v>8</v>
      </c>
    </row>
    <row r="17138" spans="1:4" x14ac:dyDescent="0.2">
      <c r="A17138" t="s">
        <v>5758</v>
      </c>
      <c r="B17138" t="str">
        <f>HYPERLINK("https://lindat.mff.cuni.cz/services/teitok/pdtc10/index.php?action=vallex&amp;frame=v-w2075f1", "nalepovat (v-w2075f1)")</f>
        <v>nalepovat (v-w2075f1)</v>
      </c>
    </row>
    <row r="17139" spans="1:4" x14ac:dyDescent="0.2">
      <c r="B17139" t="s">
        <v>1</v>
      </c>
    </row>
    <row r="17140" spans="1:4" x14ac:dyDescent="0.2">
      <c r="B17140" t="s">
        <v>8</v>
      </c>
    </row>
    <row r="17142" spans="1:4" x14ac:dyDescent="0.2">
      <c r="A17142" t="s">
        <v>5759</v>
      </c>
      <c r="B17142" t="str">
        <f>HYPERLINK("https://lindat.mff.cuni.cz/services/teitok/pdtc10/index.php?action=vallex&amp;frame=v-w2076f1", "naleptávat (v-w2076f1)")</f>
        <v>naleptávat (v-w2076f1)</v>
      </c>
    </row>
    <row r="17143" spans="1:4" x14ac:dyDescent="0.2">
      <c r="B17143" t="s">
        <v>1</v>
      </c>
    </row>
    <row r="17144" spans="1:4" x14ac:dyDescent="0.2">
      <c r="B17144" t="s">
        <v>8</v>
      </c>
    </row>
    <row r="17146" spans="1:4" x14ac:dyDescent="0.2">
      <c r="A17146" t="s">
        <v>5760</v>
      </c>
      <c r="B17146" t="str">
        <f>HYPERLINK("https://lindat.mff.cuni.cz/services/teitok/pdtc10/index.php?action=vallex&amp;frame=v-w2077f1", "naletět (v-w2077f1)")</f>
        <v>naletět (v-w2077f1)</v>
      </c>
    </row>
    <row r="17147" spans="1:4" x14ac:dyDescent="0.2">
      <c r="B17147" t="s">
        <v>1</v>
      </c>
    </row>
    <row r="17148" spans="1:4" x14ac:dyDescent="0.2">
      <c r="B17148" t="s">
        <v>86</v>
      </c>
    </row>
    <row r="17150" spans="1:4" x14ac:dyDescent="0.2">
      <c r="A17150" t="s">
        <v>5761</v>
      </c>
      <c r="B17150" t="str">
        <f>HYPERLINK("https://lindat.mff.cuni.cz/services/teitok/pdtc10/index.php?action=vallex&amp;frame=v-w2084f1", "naleznout (v-w2084f1)")</f>
        <v>naleznout (v-w2084f1)</v>
      </c>
    </row>
    <row r="17151" spans="1:4" x14ac:dyDescent="0.2">
      <c r="B17151" t="s">
        <v>1</v>
      </c>
      <c r="C17151" t="s">
        <v>5762</v>
      </c>
      <c r="D17151" t="s">
        <v>23513</v>
      </c>
    </row>
    <row r="17152" spans="1:4" x14ac:dyDescent="0.2">
      <c r="B17152" t="s">
        <v>8</v>
      </c>
      <c r="C17152" t="s">
        <v>5763</v>
      </c>
      <c r="D17152" t="s">
        <v>23514</v>
      </c>
    </row>
    <row r="17154" spans="1:2" x14ac:dyDescent="0.2">
      <c r="A17154" t="s">
        <v>5764</v>
      </c>
      <c r="B17154" t="str">
        <f>HYPERLINK("https://lindat.mff.cuni.cz/services/teitok/pdtc10/index.php?action=vallex&amp;frame=v-w11011f2", "naleštit (v-w11011f2)")</f>
        <v>naleštit (v-w11011f2)</v>
      </c>
    </row>
    <row r="17155" spans="1:2" x14ac:dyDescent="0.2">
      <c r="B17155" t="s">
        <v>1</v>
      </c>
    </row>
    <row r="17156" spans="1:2" x14ac:dyDescent="0.2">
      <c r="B17156" t="s">
        <v>8</v>
      </c>
    </row>
    <row r="17158" spans="1:2" x14ac:dyDescent="0.2">
      <c r="A17158" t="s">
        <v>5765</v>
      </c>
      <c r="B17158" t="str">
        <f>HYPERLINK("https://lindat.mff.cuni.cz/services/teitok/pdtc10/index.php?action=vallex&amp;frame=v-w2088f1", "nalistovat (v-w2088f1)")</f>
        <v>nalistovat (v-w2088f1)</v>
      </c>
    </row>
    <row r="17159" spans="1:2" x14ac:dyDescent="0.2">
      <c r="B17159" t="s">
        <v>1</v>
      </c>
    </row>
    <row r="17160" spans="1:2" x14ac:dyDescent="0.2">
      <c r="B17160" t="s">
        <v>124</v>
      </c>
    </row>
    <row r="17162" spans="1:2" x14ac:dyDescent="0.2">
      <c r="A17162" t="s">
        <v>5766</v>
      </c>
      <c r="B17162" t="str">
        <f>HYPERLINK("https://lindat.mff.cuni.cz/services/teitok/pdtc10/index.php?action=vallex&amp;frame=v-w2091f1", "nalodit (v-w2091f1)")</f>
        <v>nalodit (v-w2091f1)</v>
      </c>
    </row>
    <row r="17163" spans="1:2" x14ac:dyDescent="0.2">
      <c r="B17163" t="s">
        <v>1</v>
      </c>
    </row>
    <row r="17164" spans="1:2" x14ac:dyDescent="0.2">
      <c r="B17164" t="s">
        <v>8</v>
      </c>
    </row>
    <row r="17165" spans="1:2" x14ac:dyDescent="0.2">
      <c r="B17165" t="s">
        <v>90</v>
      </c>
    </row>
    <row r="17167" spans="1:2" x14ac:dyDescent="0.2">
      <c r="A17167" t="s">
        <v>5767</v>
      </c>
      <c r="B17167" t="str">
        <f>HYPERLINK("https://lindat.mff.cuni.cz/services/teitok/pdtc10/index.php?action=vallex&amp;frame=v-w2092f1", "nalodit se (v-w2092f1)")</f>
        <v>nalodit se (v-w2092f1)</v>
      </c>
    </row>
    <row r="17168" spans="1:2" x14ac:dyDescent="0.2">
      <c r="B17168" t="s">
        <v>1</v>
      </c>
    </row>
    <row r="17169" spans="1:2" x14ac:dyDescent="0.2">
      <c r="B17169" t="s">
        <v>90</v>
      </c>
    </row>
    <row r="17171" spans="1:2" x14ac:dyDescent="0.2">
      <c r="A17171" t="s">
        <v>5768</v>
      </c>
      <c r="B17171" t="str">
        <f>HYPERLINK("https://lindat.mff.cuni.cz/services/teitok/pdtc10/index.php?action=vallex&amp;frame=v-w2093f1", "nalomit (v-w2093f1)")</f>
        <v>nalomit (v-w2093f1)</v>
      </c>
    </row>
    <row r="17172" spans="1:2" x14ac:dyDescent="0.2">
      <c r="B17172" t="s">
        <v>1</v>
      </c>
    </row>
    <row r="17173" spans="1:2" x14ac:dyDescent="0.2">
      <c r="B17173" t="s">
        <v>8</v>
      </c>
    </row>
    <row r="17174" spans="1:2" x14ac:dyDescent="0.2">
      <c r="B17174" t="s">
        <v>2334</v>
      </c>
    </row>
    <row r="17176" spans="1:2" x14ac:dyDescent="0.2">
      <c r="A17176" t="s">
        <v>5769</v>
      </c>
      <c r="B17176" t="str">
        <f>HYPERLINK("https://lindat.mff.cuni.cz/services/teitok/pdtc10/index.php?action=vallex&amp;frame=v-w2094f1", "naloupit (v-w2094f1)")</f>
        <v>naloupit (v-w2094f1)</v>
      </c>
    </row>
    <row r="17177" spans="1:2" x14ac:dyDescent="0.2">
      <c r="B17177" t="s">
        <v>1</v>
      </c>
    </row>
    <row r="17178" spans="1:2" x14ac:dyDescent="0.2">
      <c r="B17178" t="s">
        <v>8</v>
      </c>
    </row>
    <row r="17180" spans="1:2" x14ac:dyDescent="0.2">
      <c r="A17180" t="s">
        <v>5770</v>
      </c>
      <c r="B17180" t="str">
        <f>HYPERLINK("https://lindat.mff.cuni.cz/services/teitok/pdtc10/index.php?action=vallex&amp;frame=v-w12291_MMf1_MM", "naloďovat se (v-w12291_MMf1_MM)")</f>
        <v>naloďovat se (v-w12291_MMf1_MM)</v>
      </c>
    </row>
    <row r="17181" spans="1:2" x14ac:dyDescent="0.2">
      <c r="B17181" t="s">
        <v>1</v>
      </c>
    </row>
    <row r="17182" spans="1:2" x14ac:dyDescent="0.2">
      <c r="B17182" t="s">
        <v>90</v>
      </c>
    </row>
    <row r="17184" spans="1:2" x14ac:dyDescent="0.2">
      <c r="A17184" t="s">
        <v>5771</v>
      </c>
      <c r="B17184" t="str">
        <f>HYPERLINK("https://lindat.mff.cuni.cz/services/teitok/pdtc10/index.php?action=vallex&amp;frame=v-w2096f3", "naložit (v-w2096f3)")</f>
        <v>naložit (v-w2096f3)</v>
      </c>
    </row>
    <row r="17185" spans="1:3" x14ac:dyDescent="0.2">
      <c r="B17185" t="s">
        <v>1</v>
      </c>
    </row>
    <row r="17186" spans="1:3" x14ac:dyDescent="0.2">
      <c r="B17186" t="s">
        <v>8</v>
      </c>
    </row>
    <row r="17187" spans="1:3" x14ac:dyDescent="0.2">
      <c r="B17187" t="s">
        <v>5479</v>
      </c>
    </row>
    <row r="17189" spans="1:3" x14ac:dyDescent="0.2">
      <c r="A17189" t="s">
        <v>5772</v>
      </c>
      <c r="B17189" t="str">
        <f>HYPERLINK("https://lindat.mff.cuni.cz/services/teitok/pdtc10/index.php?action=vallex&amp;frame=v-w2096f2", "naložit (v-w2096f2)")</f>
        <v>naložit (v-w2096f2)</v>
      </c>
    </row>
    <row r="17190" spans="1:3" x14ac:dyDescent="0.2">
      <c r="B17190" t="s">
        <v>1</v>
      </c>
    </row>
    <row r="17191" spans="1:3" x14ac:dyDescent="0.2">
      <c r="B17191" t="s">
        <v>8</v>
      </c>
    </row>
    <row r="17192" spans="1:3" x14ac:dyDescent="0.2">
      <c r="B17192" t="s">
        <v>90</v>
      </c>
    </row>
    <row r="17194" spans="1:3" x14ac:dyDescent="0.2">
      <c r="A17194" t="s">
        <v>5773</v>
      </c>
      <c r="B17194" t="str">
        <f>HYPERLINK("https://lindat.mff.cuni.cz/services/teitok/pdtc10/index.php?action=vallex&amp;frame=v-w2096f1", "naložit (v-w2096f1)")</f>
        <v>naložit (v-w2096f1)</v>
      </c>
    </row>
    <row r="17195" spans="1:3" x14ac:dyDescent="0.2">
      <c r="B17195" t="s">
        <v>1</v>
      </c>
      <c r="C17195" t="s">
        <v>976</v>
      </c>
    </row>
    <row r="17196" spans="1:3" x14ac:dyDescent="0.2">
      <c r="B17196" t="s">
        <v>411</v>
      </c>
      <c r="C17196" t="s">
        <v>307</v>
      </c>
    </row>
    <row r="17197" spans="1:3" x14ac:dyDescent="0.2">
      <c r="B17197" t="s">
        <v>346</v>
      </c>
    </row>
    <row r="17198" spans="1:3" x14ac:dyDescent="0.2">
      <c r="B17198" t="s">
        <v>349</v>
      </c>
    </row>
    <row r="17199" spans="1:3" x14ac:dyDescent="0.2">
      <c r="B17199" t="s">
        <v>350</v>
      </c>
    </row>
    <row r="17200" spans="1:3" x14ac:dyDescent="0.2">
      <c r="B17200" t="s">
        <v>351</v>
      </c>
    </row>
    <row r="17202" spans="1:3" x14ac:dyDescent="0.2">
      <c r="A17202" t="s">
        <v>5774</v>
      </c>
      <c r="B17202" t="str">
        <f>HYPERLINK("https://lindat.mff.cuni.cz/services/teitok/pdtc10/index.php?action=vallex&amp;frame=v-w2096hsa_698", "naložit (v-w2096hsa_698)")</f>
        <v>naložit (v-w2096hsa_698)</v>
      </c>
    </row>
    <row r="17203" spans="1:3" x14ac:dyDescent="0.2">
      <c r="B17203" t="s">
        <v>1</v>
      </c>
    </row>
    <row r="17204" spans="1:3" x14ac:dyDescent="0.2">
      <c r="B17204" t="s">
        <v>8</v>
      </c>
      <c r="C17204" t="s">
        <v>299</v>
      </c>
    </row>
    <row r="17206" spans="1:3" x14ac:dyDescent="0.2">
      <c r="A17206" t="s">
        <v>5775</v>
      </c>
      <c r="B17206" t="str">
        <f>HYPERLINK("https://lindat.mff.cuni.cz/services/teitok/pdtc10/index.php?action=vallex&amp;frame=v-w2096hsa_699", "naložit (v-w2096hsa_699)")</f>
        <v>naložit (v-w2096hsa_699)</v>
      </c>
    </row>
    <row r="17207" spans="1:3" x14ac:dyDescent="0.2">
      <c r="B17207" t="s">
        <v>1</v>
      </c>
    </row>
    <row r="17208" spans="1:3" x14ac:dyDescent="0.2">
      <c r="B17208" t="s">
        <v>8</v>
      </c>
    </row>
    <row r="17209" spans="1:3" x14ac:dyDescent="0.2">
      <c r="B17209" t="s">
        <v>35</v>
      </c>
    </row>
    <row r="17211" spans="1:3" x14ac:dyDescent="0.2">
      <c r="A17211" t="s">
        <v>5776</v>
      </c>
      <c r="B17211" t="str">
        <f>HYPERLINK("https://lindat.mff.cuni.cz/services/teitok/pdtc10/index.php?action=vallex&amp;frame=v-w2096f4_ZU", "naložit (v-w2096f4_ZU)")</f>
        <v>naložit (v-w2096f4_ZU)</v>
      </c>
    </row>
    <row r="17212" spans="1:3" x14ac:dyDescent="0.2">
      <c r="B17212" t="s">
        <v>1</v>
      </c>
    </row>
    <row r="17213" spans="1:3" x14ac:dyDescent="0.2">
      <c r="B17213" t="s">
        <v>8</v>
      </c>
    </row>
    <row r="17214" spans="1:3" x14ac:dyDescent="0.2">
      <c r="B17214" t="s">
        <v>24</v>
      </c>
    </row>
    <row r="17216" spans="1:3" x14ac:dyDescent="0.2">
      <c r="A17216" t="s">
        <v>5777</v>
      </c>
      <c r="B17216" t="str">
        <f>HYPERLINK("https://lindat.mff.cuni.cz/services/teitok/pdtc10/index.php?action=vallex&amp;frame=v-w2071f1", "nalákat (v-w2071f1)")</f>
        <v>nalákat (v-w2071f1)</v>
      </c>
    </row>
    <row r="17217" spans="1:4" x14ac:dyDescent="0.2">
      <c r="B17217" t="s">
        <v>1</v>
      </c>
      <c r="C17217" t="s">
        <v>4110</v>
      </c>
      <c r="D17217" t="s">
        <v>23460</v>
      </c>
    </row>
    <row r="17218" spans="1:4" x14ac:dyDescent="0.2">
      <c r="B17218" t="s">
        <v>58</v>
      </c>
      <c r="C17218" t="s">
        <v>5778</v>
      </c>
      <c r="D17218" t="s">
        <v>23461</v>
      </c>
    </row>
    <row r="17219" spans="1:4" x14ac:dyDescent="0.2">
      <c r="B17219" t="s">
        <v>5522</v>
      </c>
      <c r="C17219" t="s">
        <v>2902</v>
      </c>
      <c r="D17219" t="s">
        <v>23462</v>
      </c>
    </row>
    <row r="17221" spans="1:4" x14ac:dyDescent="0.2">
      <c r="A17221" t="s">
        <v>5779</v>
      </c>
      <c r="B17221" t="str">
        <f>HYPERLINK("https://lindat.mff.cuni.cz/services/teitok/pdtc10/index.php?action=vallex&amp;frame=v-w2073f1", "naléhat (v-w2073f1)")</f>
        <v>naléhat (v-w2073f1)</v>
      </c>
    </row>
    <row r="17222" spans="1:4" x14ac:dyDescent="0.2">
      <c r="B17222" t="s">
        <v>1</v>
      </c>
      <c r="C17222" t="s">
        <v>5780</v>
      </c>
      <c r="D17222" t="s">
        <v>23055</v>
      </c>
    </row>
    <row r="17223" spans="1:4" x14ac:dyDescent="0.2">
      <c r="B17223" t="s">
        <v>28</v>
      </c>
      <c r="C17223" t="s">
        <v>5781</v>
      </c>
      <c r="D17223" t="s">
        <v>23538</v>
      </c>
    </row>
    <row r="17225" spans="1:4" x14ac:dyDescent="0.2">
      <c r="A17225" t="s">
        <v>5782</v>
      </c>
      <c r="B17225" t="str">
        <f>HYPERLINK("https://lindat.mff.cuni.cz/services/teitok/pdtc10/index.php?action=vallex&amp;frame=v-w2073hsa_68", "naléhat (v-w2073hsa_68)")</f>
        <v>naléhat (v-w2073hsa_68)</v>
      </c>
    </row>
    <row r="17226" spans="1:4" x14ac:dyDescent="0.2">
      <c r="B17226" t="s">
        <v>1</v>
      </c>
      <c r="C17226" t="s">
        <v>3765</v>
      </c>
    </row>
    <row r="17227" spans="1:4" x14ac:dyDescent="0.2">
      <c r="B17227" t="s">
        <v>28</v>
      </c>
      <c r="C17227" t="s">
        <v>5783</v>
      </c>
    </row>
    <row r="17229" spans="1:4" x14ac:dyDescent="0.2">
      <c r="A17229" t="s">
        <v>5784</v>
      </c>
      <c r="B17229" t="str">
        <f>HYPERLINK("https://lindat.mff.cuni.cz/services/teitok/pdtc10/index.php?action=vallex&amp;frame=v-w11521_ZUf1_ZU", "nalétat (v-w11521_ZUf1_ZU)")</f>
        <v>nalétat (v-w11521_ZUf1_ZU)</v>
      </c>
    </row>
    <row r="17230" spans="1:4" x14ac:dyDescent="0.2">
      <c r="B17230" t="s">
        <v>1</v>
      </c>
    </row>
    <row r="17231" spans="1:4" x14ac:dyDescent="0.2">
      <c r="B17231" t="s">
        <v>8</v>
      </c>
    </row>
    <row r="17233" spans="1:4" x14ac:dyDescent="0.2">
      <c r="A17233" t="s">
        <v>5785</v>
      </c>
      <c r="B17233" t="str">
        <f>HYPERLINK("https://lindat.mff.cuni.cz/services/teitok/pdtc10/index.php?action=vallex&amp;frame=v-w12088_ZUf1_ZU", "nalétnout (v-w12088_ZUf1_ZU)")</f>
        <v>nalétnout (v-w12088_ZUf1_ZU)</v>
      </c>
    </row>
    <row r="17234" spans="1:4" x14ac:dyDescent="0.2">
      <c r="B17234" t="s">
        <v>1</v>
      </c>
    </row>
    <row r="17235" spans="1:4" x14ac:dyDescent="0.2">
      <c r="B17235" t="s">
        <v>252</v>
      </c>
    </row>
    <row r="17237" spans="1:4" x14ac:dyDescent="0.2">
      <c r="A17237" t="s">
        <v>5786</v>
      </c>
      <c r="B17237" t="str">
        <f>HYPERLINK("https://lindat.mff.cuni.cz/services/teitok/pdtc10/index.php?action=vallex&amp;frame=v-w2078f1", "nalévat (v-w2078f1)")</f>
        <v>nalévat (v-w2078f1)</v>
      </c>
    </row>
    <row r="17238" spans="1:4" x14ac:dyDescent="0.2">
      <c r="B17238" t="s">
        <v>1</v>
      </c>
      <c r="C17238" t="s">
        <v>115</v>
      </c>
    </row>
    <row r="17239" spans="1:4" x14ac:dyDescent="0.2">
      <c r="B17239" t="s">
        <v>8</v>
      </c>
      <c r="C17239" t="s">
        <v>116</v>
      </c>
    </row>
    <row r="17240" spans="1:4" x14ac:dyDescent="0.2">
      <c r="B17240" t="s">
        <v>78</v>
      </c>
    </row>
    <row r="17242" spans="1:4" x14ac:dyDescent="0.2">
      <c r="A17242" t="s">
        <v>5787</v>
      </c>
      <c r="B17242" t="str">
        <f>HYPERLINK("https://lindat.mff.cuni.cz/services/teitok/pdtc10/index.php?action=vallex&amp;frame=v-w2078hsa_541", "nalévat (v-w2078hsa_541)")</f>
        <v>nalévat (v-w2078hsa_541)</v>
      </c>
    </row>
    <row r="17243" spans="1:4" x14ac:dyDescent="0.2">
      <c r="B17243" t="s">
        <v>1</v>
      </c>
      <c r="C17243" t="s">
        <v>115</v>
      </c>
      <c r="D17243" t="s">
        <v>23066</v>
      </c>
    </row>
    <row r="17244" spans="1:4" x14ac:dyDescent="0.2">
      <c r="B17244" t="s">
        <v>8</v>
      </c>
      <c r="C17244" t="s">
        <v>116</v>
      </c>
      <c r="D17244" t="s">
        <v>23067</v>
      </c>
    </row>
    <row r="17245" spans="1:4" x14ac:dyDescent="0.2">
      <c r="B17245" t="s">
        <v>90</v>
      </c>
      <c r="D17245" t="s">
        <v>23068</v>
      </c>
    </row>
    <row r="17247" spans="1:4" x14ac:dyDescent="0.2">
      <c r="A17247" t="s">
        <v>5788</v>
      </c>
      <c r="B17247" t="str">
        <f>HYPERLINK("https://lindat.mff.cuni.cz/services/teitok/pdtc10/index.php?action=vallex&amp;frame=v-w2080f1", "nalézat (v-w2080f1)")</f>
        <v>nalézat (v-w2080f1)</v>
      </c>
    </row>
    <row r="17248" spans="1:4" x14ac:dyDescent="0.2">
      <c r="B17248" t="s">
        <v>1</v>
      </c>
      <c r="C17248" t="s">
        <v>5789</v>
      </c>
      <c r="D17248" t="s">
        <v>23513</v>
      </c>
    </row>
    <row r="17249" spans="1:4" x14ac:dyDescent="0.2">
      <c r="B17249" t="s">
        <v>8</v>
      </c>
      <c r="C17249" t="s">
        <v>1042</v>
      </c>
      <c r="D17249" t="s">
        <v>23514</v>
      </c>
    </row>
    <row r="17251" spans="1:4" x14ac:dyDescent="0.2">
      <c r="A17251" t="s">
        <v>5790</v>
      </c>
      <c r="B17251" t="str">
        <f>HYPERLINK("https://lindat.mff.cuni.cz/services/teitok/pdtc10/index.php?action=vallex&amp;frame=v-w2081f1", "nalézat se (v-w2081f1)")</f>
        <v>nalézat se (v-w2081f1)</v>
      </c>
    </row>
    <row r="17252" spans="1:4" x14ac:dyDescent="0.2">
      <c r="B17252" t="s">
        <v>1</v>
      </c>
    </row>
    <row r="17253" spans="1:4" x14ac:dyDescent="0.2">
      <c r="B17253" t="s">
        <v>5</v>
      </c>
    </row>
    <row r="17255" spans="1:4" x14ac:dyDescent="0.2">
      <c r="A17255" t="s">
        <v>5791</v>
      </c>
      <c r="B17255" t="str">
        <f>HYPERLINK("https://lindat.mff.cuni.cz/services/teitok/pdtc10/index.php?action=vallex&amp;frame=v-w2085f1", "nalézt (v-w2085f1)")</f>
        <v>nalézt (v-w2085f1)</v>
      </c>
    </row>
    <row r="17256" spans="1:4" x14ac:dyDescent="0.2">
      <c r="B17256" t="s">
        <v>1</v>
      </c>
      <c r="C17256" t="s">
        <v>5792</v>
      </c>
      <c r="D17256" t="s">
        <v>23513</v>
      </c>
    </row>
    <row r="17257" spans="1:4" x14ac:dyDescent="0.2">
      <c r="B17257" t="s">
        <v>8</v>
      </c>
      <c r="C17257" t="s">
        <v>5793</v>
      </c>
      <c r="D17257" t="s">
        <v>23514</v>
      </c>
    </row>
    <row r="17259" spans="1:4" x14ac:dyDescent="0.2">
      <c r="A17259" t="s">
        <v>5794</v>
      </c>
      <c r="B17259" t="str">
        <f>HYPERLINK("https://lindat.mff.cuni.cz/services/teitok/pdtc10/index.php?action=vallex&amp;frame=v-w2085f7_ZU", "nalézt (v-w2085f7_ZU)")</f>
        <v>nalézt (v-w2085f7_ZU)</v>
      </c>
    </row>
    <row r="17260" spans="1:4" x14ac:dyDescent="0.2">
      <c r="B17260" t="s">
        <v>1</v>
      </c>
      <c r="D17260" t="s">
        <v>23513</v>
      </c>
    </row>
    <row r="17261" spans="1:4" x14ac:dyDescent="0.2">
      <c r="B17261" t="s">
        <v>5795</v>
      </c>
      <c r="D17261" t="s">
        <v>23534</v>
      </c>
    </row>
    <row r="17263" spans="1:4" x14ac:dyDescent="0.2">
      <c r="A17263" t="s">
        <v>5794</v>
      </c>
      <c r="B17263" t="str">
        <f>HYPERLINK("https://lindat.mff.cuni.cz/services/teitok/pdtc10/index.php?action=vallex&amp;frame=v-w2085f2", "nalézt (v-w2085f2) - substituted with v-w2085f7_ZU")</f>
        <v>nalézt (v-w2085f2) - substituted with v-w2085f7_ZU</v>
      </c>
    </row>
    <row r="17264" spans="1:4" x14ac:dyDescent="0.2">
      <c r="B17264" t="s">
        <v>1</v>
      </c>
      <c r="C17264" t="s">
        <v>2031</v>
      </c>
    </row>
    <row r="17265" spans="1:3" x14ac:dyDescent="0.2">
      <c r="B17265" t="s">
        <v>5795</v>
      </c>
      <c r="C17265" t="s">
        <v>5796</v>
      </c>
    </row>
    <row r="17267" spans="1:3" x14ac:dyDescent="0.2">
      <c r="A17267" t="s">
        <v>5794</v>
      </c>
      <c r="B17267" t="str">
        <f>HYPERLINK("https://lindat.mff.cuni.cz/services/teitok/pdtc10/index.php?action=vallex&amp;frame=v-w2085f3_ZU", "nalézt (v-w2085f3_ZU) - substituted with v-w2085f7_ZU")</f>
        <v>nalézt (v-w2085f3_ZU) - substituted with v-w2085f7_ZU</v>
      </c>
    </row>
    <row r="17268" spans="1:3" x14ac:dyDescent="0.2">
      <c r="B17268" t="s">
        <v>1</v>
      </c>
      <c r="C17268" t="s">
        <v>364</v>
      </c>
    </row>
    <row r="17269" spans="1:3" x14ac:dyDescent="0.2">
      <c r="B17269" t="s">
        <v>5795</v>
      </c>
      <c r="C17269" t="s">
        <v>366</v>
      </c>
    </row>
    <row r="17271" spans="1:3" x14ac:dyDescent="0.2">
      <c r="A17271" t="s">
        <v>5794</v>
      </c>
      <c r="B17271" t="str">
        <f>HYPERLINK("https://lindat.mff.cuni.cz/services/teitok/pdtc10/index.php?action=vallex&amp;frame=v-w2085f4_ZU", "nalézt (v-w2085f4_ZU) - substituted with v-w2085f7_ZU")</f>
        <v>nalézt (v-w2085f4_ZU) - substituted with v-w2085f7_ZU</v>
      </c>
    </row>
    <row r="17272" spans="1:3" x14ac:dyDescent="0.2">
      <c r="B17272" t="s">
        <v>1</v>
      </c>
      <c r="C17272" t="s">
        <v>430</v>
      </c>
    </row>
    <row r="17273" spans="1:3" x14ac:dyDescent="0.2">
      <c r="B17273" t="s">
        <v>5795</v>
      </c>
      <c r="C17273" t="s">
        <v>5797</v>
      </c>
    </row>
    <row r="17275" spans="1:3" x14ac:dyDescent="0.2">
      <c r="A17275" t="s">
        <v>5794</v>
      </c>
      <c r="B17275" t="str">
        <f>HYPERLINK("https://lindat.mff.cuni.cz/services/teitok/pdtc10/index.php?action=vallex&amp;frame=v-w2085f6_ZU", "nalézt (v-w2085f6_ZU) - substituted with v-w2085f7_ZU")</f>
        <v>nalézt (v-w2085f6_ZU) - substituted with v-w2085f7_ZU</v>
      </c>
    </row>
    <row r="17276" spans="1:3" x14ac:dyDescent="0.2">
      <c r="B17276" t="s">
        <v>1</v>
      </c>
      <c r="C17276" t="s">
        <v>4985</v>
      </c>
    </row>
    <row r="17277" spans="1:3" x14ac:dyDescent="0.2">
      <c r="B17277" t="s">
        <v>5795</v>
      </c>
      <c r="C17277" t="s">
        <v>4986</v>
      </c>
    </row>
    <row r="17279" spans="1:3" x14ac:dyDescent="0.2">
      <c r="A17279" t="s">
        <v>5794</v>
      </c>
      <c r="B17279" t="str">
        <f>HYPERLINK("https://lindat.mff.cuni.cz/services/teitok/pdtc10/index.php?action=vallex&amp;frame=v-w2085hsa_261", "nalézt (v-w2085hsa_261) - substituted with v-w2085f7_ZU")</f>
        <v>nalézt (v-w2085hsa_261) - substituted with v-w2085f7_ZU</v>
      </c>
    </row>
    <row r="17280" spans="1:3" x14ac:dyDescent="0.2">
      <c r="B17280" t="s">
        <v>1</v>
      </c>
    </row>
    <row r="17281" spans="1:3" x14ac:dyDescent="0.2">
      <c r="B17281" t="s">
        <v>5795</v>
      </c>
    </row>
    <row r="17283" spans="1:3" x14ac:dyDescent="0.2">
      <c r="A17283" t="s">
        <v>5798</v>
      </c>
      <c r="B17283" t="str">
        <f>HYPERLINK("https://lindat.mff.cuni.cz/services/teitok/pdtc10/index.php?action=vallex&amp;frame=v-w2085f5_ZU", "nalézt (v-w2085f5_ZU)")</f>
        <v>nalézt (v-w2085f5_ZU)</v>
      </c>
    </row>
    <row r="17284" spans="1:3" x14ac:dyDescent="0.2">
      <c r="B17284" t="s">
        <v>1</v>
      </c>
      <c r="C17284" t="s">
        <v>4985</v>
      </c>
    </row>
    <row r="17285" spans="1:3" x14ac:dyDescent="0.2">
      <c r="B17285" t="s">
        <v>5141</v>
      </c>
      <c r="C17285" t="s">
        <v>5799</v>
      </c>
    </row>
    <row r="17286" spans="1:3" x14ac:dyDescent="0.2">
      <c r="B17286" t="s">
        <v>176</v>
      </c>
    </row>
    <row r="17288" spans="1:3" x14ac:dyDescent="0.2">
      <c r="A17288" t="s">
        <v>5798</v>
      </c>
      <c r="B17288" t="str">
        <f>HYPERLINK("https://lindat.mff.cuni.cz/services/teitok/pdtc10/index.php?action=vallex&amp;frame=v-w2085hsa_262", "nalézt (v-w2085hsa_262) - substituted with v-w2085f5_ZU")</f>
        <v>nalézt (v-w2085hsa_262) - substituted with v-w2085f5_ZU</v>
      </c>
    </row>
    <row r="17289" spans="1:3" x14ac:dyDescent="0.2">
      <c r="B17289" t="s">
        <v>1</v>
      </c>
    </row>
    <row r="17290" spans="1:3" x14ac:dyDescent="0.2">
      <c r="B17290" t="s">
        <v>5141</v>
      </c>
    </row>
    <row r="17291" spans="1:3" x14ac:dyDescent="0.2">
      <c r="B17291" t="s">
        <v>176</v>
      </c>
    </row>
    <row r="17293" spans="1:3" x14ac:dyDescent="0.2">
      <c r="A17293" t="s">
        <v>5800</v>
      </c>
      <c r="B17293" t="str">
        <f>HYPERLINK("https://lindat.mff.cuni.cz/services/teitok/pdtc10/index.php?action=vallex&amp;frame=v-w2089f1", "nalít (v-w2089f1)")</f>
        <v>nalít (v-w2089f1)</v>
      </c>
    </row>
    <row r="17294" spans="1:3" x14ac:dyDescent="0.2">
      <c r="B17294" t="s">
        <v>1</v>
      </c>
      <c r="C17294" t="s">
        <v>115</v>
      </c>
    </row>
    <row r="17295" spans="1:3" x14ac:dyDescent="0.2">
      <c r="B17295" t="s">
        <v>8</v>
      </c>
      <c r="C17295" t="s">
        <v>116</v>
      </c>
    </row>
    <row r="17296" spans="1:3" x14ac:dyDescent="0.2">
      <c r="B17296" t="s">
        <v>78</v>
      </c>
    </row>
    <row r="17298" spans="1:4" x14ac:dyDescent="0.2">
      <c r="A17298" t="s">
        <v>5801</v>
      </c>
      <c r="B17298" t="str">
        <f>HYPERLINK("https://lindat.mff.cuni.cz/services/teitok/pdtc10/index.php?action=vallex&amp;frame=v-w2089f2", "nalít (v-w2089f2)")</f>
        <v>nalít (v-w2089f2)</v>
      </c>
    </row>
    <row r="17299" spans="1:4" x14ac:dyDescent="0.2">
      <c r="B17299" t="s">
        <v>1</v>
      </c>
      <c r="C17299" t="s">
        <v>3583</v>
      </c>
    </row>
    <row r="17300" spans="1:4" x14ac:dyDescent="0.2">
      <c r="B17300" t="s">
        <v>8</v>
      </c>
      <c r="C17300" t="s">
        <v>969</v>
      </c>
    </row>
    <row r="17301" spans="1:4" x14ac:dyDescent="0.2">
      <c r="B17301" t="s">
        <v>90</v>
      </c>
    </row>
    <row r="17303" spans="1:4" x14ac:dyDescent="0.2">
      <c r="A17303" t="s">
        <v>5802</v>
      </c>
      <c r="B17303" t="str">
        <f>HYPERLINK("https://lindat.mff.cuni.cz/services/teitok/pdtc10/index.php?action=vallex&amp;frame=v-w2089hsa_9", "nalít (v-w2089hsa_9)")</f>
        <v>nalít (v-w2089hsa_9)</v>
      </c>
    </row>
    <row r="17304" spans="1:4" x14ac:dyDescent="0.2">
      <c r="B17304" t="s">
        <v>1</v>
      </c>
      <c r="C17304" t="s">
        <v>5803</v>
      </c>
      <c r="D17304" t="s">
        <v>23066</v>
      </c>
    </row>
    <row r="17305" spans="1:4" x14ac:dyDescent="0.2">
      <c r="B17305" t="s">
        <v>8</v>
      </c>
      <c r="C17305" t="s">
        <v>5804</v>
      </c>
      <c r="D17305" t="s">
        <v>23067</v>
      </c>
    </row>
    <row r="17306" spans="1:4" x14ac:dyDescent="0.2">
      <c r="B17306" t="s">
        <v>90</v>
      </c>
      <c r="D17306" t="s">
        <v>23068</v>
      </c>
    </row>
    <row r="17308" spans="1:4" x14ac:dyDescent="0.2">
      <c r="A17308" t="s">
        <v>5805</v>
      </c>
      <c r="B17308" t="str">
        <f>HYPERLINK("https://lindat.mff.cuni.cz/services/teitok/pdtc10/index.php?action=vallex&amp;frame=v-whsb_1195hsa_1196", "nalítnout (v-whsb_1195hsa_1196)")</f>
        <v>nalítnout (v-whsb_1195hsa_1196)</v>
      </c>
    </row>
    <row r="17309" spans="1:4" x14ac:dyDescent="0.2">
      <c r="B17309" t="s">
        <v>1</v>
      </c>
    </row>
    <row r="17310" spans="1:4" x14ac:dyDescent="0.2">
      <c r="B17310" t="s">
        <v>90</v>
      </c>
    </row>
    <row r="17312" spans="1:4" x14ac:dyDescent="0.2">
      <c r="A17312" t="s">
        <v>5806</v>
      </c>
      <c r="B17312" t="str">
        <f>HYPERLINK("https://lindat.mff.cuni.cz/services/teitok/pdtc10/index.php?action=vallex&amp;frame=v-w12233_ZUf1_ZU", "nalívat (v-w12233_ZUf1_ZU)")</f>
        <v>nalívat (v-w12233_ZUf1_ZU)</v>
      </c>
    </row>
    <row r="17313" spans="1:4" x14ac:dyDescent="0.2">
      <c r="B17313" t="s">
        <v>1</v>
      </c>
    </row>
    <row r="17314" spans="1:4" x14ac:dyDescent="0.2">
      <c r="B17314" t="s">
        <v>8</v>
      </c>
    </row>
    <row r="17315" spans="1:4" x14ac:dyDescent="0.2">
      <c r="B17315" t="s">
        <v>252</v>
      </c>
    </row>
    <row r="17317" spans="1:4" x14ac:dyDescent="0.2">
      <c r="A17317" t="s">
        <v>5807</v>
      </c>
      <c r="B17317" t="str">
        <f>HYPERLINK("https://lindat.mff.cuni.cz/services/teitok/pdtc10/index.php?action=vallex&amp;frame=v-w2087f2", "nalíčit (v-w2087f2)")</f>
        <v>nalíčit (v-w2087f2)</v>
      </c>
    </row>
    <row r="17318" spans="1:4" x14ac:dyDescent="0.2">
      <c r="B17318" t="s">
        <v>1</v>
      </c>
    </row>
    <row r="17319" spans="1:4" x14ac:dyDescent="0.2">
      <c r="B17319" t="s">
        <v>8</v>
      </c>
    </row>
    <row r="17320" spans="1:4" x14ac:dyDescent="0.2">
      <c r="B17320" t="s">
        <v>24</v>
      </c>
    </row>
    <row r="17322" spans="1:4" x14ac:dyDescent="0.2">
      <c r="A17322" t="s">
        <v>5808</v>
      </c>
      <c r="B17322" t="str">
        <f>HYPERLINK("https://lindat.mff.cuni.cz/services/teitok/pdtc10/index.php?action=vallex&amp;frame=v-w2087f1", "nalíčit (v-w2087f1)")</f>
        <v>nalíčit (v-w2087f1)</v>
      </c>
    </row>
    <row r="17323" spans="1:4" x14ac:dyDescent="0.2">
      <c r="B17323" t="s">
        <v>1</v>
      </c>
      <c r="C17323" t="s">
        <v>1125</v>
      </c>
      <c r="D17323" t="s">
        <v>83</v>
      </c>
    </row>
    <row r="17324" spans="1:4" x14ac:dyDescent="0.2">
      <c r="B17324" t="s">
        <v>8</v>
      </c>
      <c r="C17324" t="s">
        <v>23</v>
      </c>
      <c r="D17324" t="s">
        <v>56</v>
      </c>
    </row>
    <row r="17326" spans="1:4" x14ac:dyDescent="0.2">
      <c r="A17326" t="s">
        <v>5809</v>
      </c>
      <c r="B17326" t="str">
        <f>HYPERLINK("https://lindat.mff.cuni.cz/services/teitok/pdtc10/index.php?action=vallex&amp;frame=v-w2099f1", "namalovat (v-w2099f1)")</f>
        <v>namalovat (v-w2099f1)</v>
      </c>
    </row>
    <row r="17327" spans="1:4" x14ac:dyDescent="0.2">
      <c r="B17327" t="s">
        <v>1</v>
      </c>
      <c r="C17327" t="s">
        <v>2347</v>
      </c>
      <c r="D17327" t="s">
        <v>83</v>
      </c>
    </row>
    <row r="17328" spans="1:4" x14ac:dyDescent="0.2">
      <c r="B17328" t="s">
        <v>8</v>
      </c>
      <c r="C17328" t="s">
        <v>1044</v>
      </c>
      <c r="D17328" t="s">
        <v>56</v>
      </c>
    </row>
    <row r="17330" spans="1:2" x14ac:dyDescent="0.2">
      <c r="A17330" t="s">
        <v>5810</v>
      </c>
      <c r="B17330" t="str">
        <f>HYPERLINK("https://lindat.mff.cuni.cz/services/teitok/pdtc10/index.php?action=vallex&amp;frame=v-w2099f3_ZU", "namalovat (v-w2099f3_ZU)")</f>
        <v>namalovat (v-w2099f3_ZU)</v>
      </c>
    </row>
    <row r="17331" spans="1:2" x14ac:dyDescent="0.2">
      <c r="B17331" t="s">
        <v>1</v>
      </c>
    </row>
    <row r="17332" spans="1:2" x14ac:dyDescent="0.2">
      <c r="B17332" t="s">
        <v>8</v>
      </c>
    </row>
    <row r="17334" spans="1:2" x14ac:dyDescent="0.2">
      <c r="A17334" t="s">
        <v>5810</v>
      </c>
      <c r="B17334" t="str">
        <f>HYPERLINK("https://lindat.mff.cuni.cz/services/teitok/pdtc10/index.php?action=vallex&amp;frame=v-w2099f2_ZU", "namalovat (v-w2099f2_ZU) - substituted with v-w2099f3_ZU")</f>
        <v>namalovat (v-w2099f2_ZU) - substituted with v-w2099f3_ZU</v>
      </c>
    </row>
    <row r="17335" spans="1:2" x14ac:dyDescent="0.2">
      <c r="B17335" t="s">
        <v>1</v>
      </c>
    </row>
    <row r="17336" spans="1:2" x14ac:dyDescent="0.2">
      <c r="B17336" t="s">
        <v>8</v>
      </c>
    </row>
    <row r="17338" spans="1:2" x14ac:dyDescent="0.2">
      <c r="A17338" t="s">
        <v>5811</v>
      </c>
      <c r="B17338" t="str">
        <f>HYPERLINK("https://lindat.mff.cuni.cz/services/teitok/pdtc10/index.php?action=vallex&amp;frame=v-w12093_ZUf1_ZU", "namasírovat (v-w12093_ZUf1_ZU)")</f>
        <v>namasírovat (v-w12093_ZUf1_ZU)</v>
      </c>
    </row>
    <row r="17339" spans="1:2" x14ac:dyDescent="0.2">
      <c r="B17339" t="s">
        <v>1</v>
      </c>
    </row>
    <row r="17340" spans="1:2" x14ac:dyDescent="0.2">
      <c r="B17340" t="s">
        <v>8</v>
      </c>
    </row>
    <row r="17342" spans="1:2" x14ac:dyDescent="0.2">
      <c r="A17342" t="s">
        <v>5812</v>
      </c>
      <c r="B17342" t="str">
        <f>HYPERLINK("https://lindat.mff.cuni.cz/services/teitok/pdtc10/index.php?action=vallex&amp;frame=v-whsa_1566f1_ZU", "namazat (v-whsa_1566f1_ZU)")</f>
        <v>namazat (v-whsa_1566f1_ZU)</v>
      </c>
    </row>
    <row r="17343" spans="1:2" x14ac:dyDescent="0.2">
      <c r="B17343" t="s">
        <v>1</v>
      </c>
    </row>
    <row r="17344" spans="1:2" x14ac:dyDescent="0.2">
      <c r="B17344" t="s">
        <v>8</v>
      </c>
    </row>
    <row r="17345" spans="1:4" x14ac:dyDescent="0.2">
      <c r="B17345" t="s">
        <v>252</v>
      </c>
    </row>
    <row r="17347" spans="1:4" x14ac:dyDescent="0.2">
      <c r="A17347" t="s">
        <v>5813</v>
      </c>
      <c r="B17347" t="str">
        <f>HYPERLINK("https://lindat.mff.cuni.cz/services/teitok/pdtc10/index.php?action=vallex&amp;frame=v-whsa_1566hsa_1567", "namazat (v-whsa_1566hsa_1567)")</f>
        <v>namazat (v-whsa_1566hsa_1567)</v>
      </c>
    </row>
    <row r="17348" spans="1:4" x14ac:dyDescent="0.2">
      <c r="B17348" t="s">
        <v>1</v>
      </c>
    </row>
    <row r="17349" spans="1:4" x14ac:dyDescent="0.2">
      <c r="B17349" t="s">
        <v>8</v>
      </c>
    </row>
    <row r="17351" spans="1:4" x14ac:dyDescent="0.2">
      <c r="A17351" t="s">
        <v>5814</v>
      </c>
      <c r="B17351" t="str">
        <f>HYPERLINK("https://lindat.mff.cuni.cz/services/teitok/pdtc10/index.php?action=vallex&amp;frame=v-w11799_ZUf1_ZU", "namazat se (v-w11799_ZUf1_ZU)")</f>
        <v>namazat se (v-w11799_ZUf1_ZU)</v>
      </c>
    </row>
    <row r="17352" spans="1:4" x14ac:dyDescent="0.2">
      <c r="B17352" t="s">
        <v>1</v>
      </c>
    </row>
    <row r="17354" spans="1:4" x14ac:dyDescent="0.2">
      <c r="A17354" t="s">
        <v>5815</v>
      </c>
      <c r="B17354" t="str">
        <f>HYPERLINK("https://lindat.mff.cuni.cz/services/teitok/pdtc10/index.php?action=vallex&amp;frame=v-whsa_109hsa_110", "namačkat (v-whsa_109hsa_110)")</f>
        <v>namačkat (v-whsa_109hsa_110)</v>
      </c>
    </row>
    <row r="17355" spans="1:4" x14ac:dyDescent="0.2">
      <c r="B17355" t="s">
        <v>1</v>
      </c>
      <c r="C17355" t="s">
        <v>33</v>
      </c>
      <c r="D17355" t="s">
        <v>23539</v>
      </c>
    </row>
    <row r="17356" spans="1:4" x14ac:dyDescent="0.2">
      <c r="B17356" t="s">
        <v>8</v>
      </c>
      <c r="C17356" t="s">
        <v>84</v>
      </c>
      <c r="D17356" t="s">
        <v>23540</v>
      </c>
    </row>
    <row r="17357" spans="1:4" x14ac:dyDescent="0.2">
      <c r="B17357" t="s">
        <v>90</v>
      </c>
      <c r="D17357" t="s">
        <v>23541</v>
      </c>
    </row>
    <row r="17359" spans="1:4" x14ac:dyDescent="0.2">
      <c r="A17359" t="s">
        <v>5816</v>
      </c>
      <c r="B17359" t="str">
        <f>HYPERLINK("https://lindat.mff.cuni.cz/services/teitok/pdtc10/index.php?action=vallex&amp;frame=v-w11495f1", "namačkat se (v-w11495f1)")</f>
        <v>namačkat se (v-w11495f1)</v>
      </c>
    </row>
    <row r="17360" spans="1:4" x14ac:dyDescent="0.2">
      <c r="B17360" t="s">
        <v>1</v>
      </c>
      <c r="C17360" t="s">
        <v>5817</v>
      </c>
      <c r="D17360" t="s">
        <v>23472</v>
      </c>
    </row>
    <row r="17361" spans="1:4" x14ac:dyDescent="0.2">
      <c r="B17361" t="s">
        <v>90</v>
      </c>
      <c r="C17361" t="s">
        <v>3819</v>
      </c>
      <c r="D17361" t="s">
        <v>23542</v>
      </c>
    </row>
    <row r="17363" spans="1:4" x14ac:dyDescent="0.2">
      <c r="A17363" t="s">
        <v>5818</v>
      </c>
      <c r="B17363" t="str">
        <f>HYPERLINK("https://lindat.mff.cuni.cz/services/teitok/pdtc10/index.php?action=vallex&amp;frame=v-w10997f2", "namixovat (v-w10997f2)")</f>
        <v>namixovat (v-w10997f2)</v>
      </c>
    </row>
    <row r="17364" spans="1:4" x14ac:dyDescent="0.2">
      <c r="B17364" t="s">
        <v>1</v>
      </c>
      <c r="C17364" t="s">
        <v>249</v>
      </c>
      <c r="D17364" t="s">
        <v>23403</v>
      </c>
    </row>
    <row r="17365" spans="1:4" x14ac:dyDescent="0.2">
      <c r="B17365" t="s">
        <v>8</v>
      </c>
      <c r="C17365" t="s">
        <v>1128</v>
      </c>
      <c r="D17365" t="s">
        <v>23404</v>
      </c>
    </row>
    <row r="17366" spans="1:4" x14ac:dyDescent="0.2">
      <c r="B17366" t="s">
        <v>2604</v>
      </c>
      <c r="D17366" t="s">
        <v>23405</v>
      </c>
    </row>
    <row r="17368" spans="1:4" x14ac:dyDescent="0.2">
      <c r="A17368" t="s">
        <v>5819</v>
      </c>
      <c r="B17368" t="str">
        <f>HYPERLINK("https://lindat.mff.cuni.cz/services/teitok/pdtc10/index.php?action=vallex&amp;frame=v-whsb_308f1_MM", "namlouvat (v-whsb_308f1_MM)")</f>
        <v>namlouvat (v-whsb_308f1_MM)</v>
      </c>
    </row>
    <row r="17369" spans="1:4" x14ac:dyDescent="0.2">
      <c r="B17369" t="s">
        <v>1</v>
      </c>
    </row>
    <row r="17370" spans="1:4" x14ac:dyDescent="0.2">
      <c r="B17370" t="s">
        <v>8</v>
      </c>
    </row>
    <row r="17371" spans="1:4" x14ac:dyDescent="0.2">
      <c r="B17371" t="s">
        <v>35</v>
      </c>
    </row>
    <row r="17373" spans="1:4" x14ac:dyDescent="0.2">
      <c r="A17373" t="s">
        <v>5820</v>
      </c>
      <c r="B17373" t="str">
        <f>HYPERLINK("https://lindat.mff.cuni.cz/services/teitok/pdtc10/index.php?action=vallex&amp;frame=v-whsb_308hsa_309", "namlouvat (v-whsb_308hsa_309)")</f>
        <v>namlouvat (v-whsb_308hsa_309)</v>
      </c>
    </row>
    <row r="17374" spans="1:4" x14ac:dyDescent="0.2">
      <c r="B17374" t="s">
        <v>1</v>
      </c>
    </row>
    <row r="17375" spans="1:4" x14ac:dyDescent="0.2">
      <c r="B17375" t="s">
        <v>8</v>
      </c>
    </row>
    <row r="17377" spans="1:2" x14ac:dyDescent="0.2">
      <c r="A17377" t="s">
        <v>5821</v>
      </c>
      <c r="B17377" t="str">
        <f>HYPERLINK("https://lindat.mff.cuni.cz/services/teitok/pdtc10/index.php?action=vallex&amp;frame=v-whsa_308hsa_310", "namlouvat (v-whsa_308hsa_310)")</f>
        <v>namlouvat (v-whsa_308hsa_310)</v>
      </c>
    </row>
    <row r="17378" spans="1:2" x14ac:dyDescent="0.2">
      <c r="B17378" t="s">
        <v>1</v>
      </c>
    </row>
    <row r="17379" spans="1:2" x14ac:dyDescent="0.2">
      <c r="B17379" t="s">
        <v>41</v>
      </c>
    </row>
    <row r="17380" spans="1:2" x14ac:dyDescent="0.2">
      <c r="B17380" t="s">
        <v>35</v>
      </c>
    </row>
    <row r="17382" spans="1:2" x14ac:dyDescent="0.2">
      <c r="A17382" t="s">
        <v>5822</v>
      </c>
      <c r="B17382" t="str">
        <f>HYPERLINK("https://lindat.mff.cuni.cz/services/teitok/pdtc10/index.php?action=vallex&amp;frame=v-w2109f1", "namluvit (v-w2109f1)")</f>
        <v>namluvit (v-w2109f1)</v>
      </c>
    </row>
    <row r="17383" spans="1:2" x14ac:dyDescent="0.2">
      <c r="B17383" t="s">
        <v>1</v>
      </c>
    </row>
    <row r="17384" spans="1:2" x14ac:dyDescent="0.2">
      <c r="B17384" t="s">
        <v>8</v>
      </c>
    </row>
    <row r="17386" spans="1:2" x14ac:dyDescent="0.2">
      <c r="A17386" t="s">
        <v>5823</v>
      </c>
      <c r="B17386" t="str">
        <f>HYPERLINK("https://lindat.mff.cuni.cz/services/teitok/pdtc10/index.php?action=vallex&amp;frame=v-w2109hsa_1769", "namluvit (v-w2109hsa_1769)")</f>
        <v>namluvit (v-w2109hsa_1769)</v>
      </c>
    </row>
    <row r="17387" spans="1:2" x14ac:dyDescent="0.2">
      <c r="B17387" t="s">
        <v>1</v>
      </c>
    </row>
    <row r="17388" spans="1:2" x14ac:dyDescent="0.2">
      <c r="B17388" t="s">
        <v>8</v>
      </c>
    </row>
    <row r="17389" spans="1:2" x14ac:dyDescent="0.2">
      <c r="B17389" t="s">
        <v>35</v>
      </c>
    </row>
    <row r="17391" spans="1:2" x14ac:dyDescent="0.2">
      <c r="A17391" t="s">
        <v>5824</v>
      </c>
      <c r="B17391" t="str">
        <f>HYPERLINK("https://lindat.mff.cuni.cz/services/teitok/pdtc10/index.php?action=vallex&amp;frame=v-w2109hsa_1770", "namluvit (v-w2109hsa_1770)")</f>
        <v>namluvit (v-w2109hsa_1770)</v>
      </c>
    </row>
    <row r="17392" spans="1:2" x14ac:dyDescent="0.2">
      <c r="B17392" t="s">
        <v>1</v>
      </c>
    </row>
    <row r="17393" spans="1:4" x14ac:dyDescent="0.2">
      <c r="B17393" t="s">
        <v>8</v>
      </c>
    </row>
    <row r="17395" spans="1:4" x14ac:dyDescent="0.2">
      <c r="A17395" t="s">
        <v>5825</v>
      </c>
      <c r="B17395" t="str">
        <f>HYPERLINK("https://lindat.mff.cuni.cz/services/teitok/pdtc10/index.php?action=vallex&amp;frame=v-whsa_24f1_ZU", "namlít (v-whsa_24f1_ZU)")</f>
        <v>namlít (v-whsa_24f1_ZU)</v>
      </c>
    </row>
    <row r="17396" spans="1:4" x14ac:dyDescent="0.2">
      <c r="B17396" t="s">
        <v>1</v>
      </c>
    </row>
    <row r="17397" spans="1:4" x14ac:dyDescent="0.2">
      <c r="B17397" t="s">
        <v>8</v>
      </c>
    </row>
    <row r="17398" spans="1:4" x14ac:dyDescent="0.2">
      <c r="B17398" t="s">
        <v>61</v>
      </c>
    </row>
    <row r="17400" spans="1:4" x14ac:dyDescent="0.2">
      <c r="A17400" t="s">
        <v>5825</v>
      </c>
      <c r="B17400" t="str">
        <f>HYPERLINK("https://lindat.mff.cuni.cz/services/teitok/pdtc10/index.php?action=vallex&amp;frame=v-whsa_24hsa_25", "namlít (v-whsa_24hsa_25) - substituted with v-whsa_24f1_ZU")</f>
        <v>namlít (v-whsa_24hsa_25) - substituted with v-whsa_24f1_ZU</v>
      </c>
    </row>
    <row r="17401" spans="1:4" x14ac:dyDescent="0.2">
      <c r="B17401" t="s">
        <v>1</v>
      </c>
    </row>
    <row r="17402" spans="1:4" x14ac:dyDescent="0.2">
      <c r="B17402" t="s">
        <v>8</v>
      </c>
    </row>
    <row r="17403" spans="1:4" x14ac:dyDescent="0.2">
      <c r="B17403" t="s">
        <v>61</v>
      </c>
    </row>
    <row r="17405" spans="1:4" x14ac:dyDescent="0.2">
      <c r="A17405" t="s">
        <v>5826</v>
      </c>
      <c r="B17405" t="str">
        <f>HYPERLINK("https://lindat.mff.cuni.cz/services/teitok/pdtc10/index.php?action=vallex&amp;frame=v-w2111f1", "namnožit (v-w2111f1)")</f>
        <v>namnožit (v-w2111f1)</v>
      </c>
    </row>
    <row r="17406" spans="1:4" x14ac:dyDescent="0.2">
      <c r="B17406" t="s">
        <v>1</v>
      </c>
      <c r="D17406" t="s">
        <v>83</v>
      </c>
    </row>
    <row r="17407" spans="1:4" x14ac:dyDescent="0.2">
      <c r="B17407" t="s">
        <v>8</v>
      </c>
      <c r="D17407" t="s">
        <v>2240</v>
      </c>
    </row>
    <row r="17409" spans="1:2" x14ac:dyDescent="0.2">
      <c r="A17409" t="s">
        <v>5827</v>
      </c>
      <c r="B17409" t="str">
        <f>HYPERLINK("https://lindat.mff.cuni.cz/services/teitok/pdtc10/index.php?action=vallex&amp;frame=v-w11260f1", "namoci si (v-w11260f1)")</f>
        <v>namoci si (v-w11260f1)</v>
      </c>
    </row>
    <row r="17410" spans="1:2" x14ac:dyDescent="0.2">
      <c r="B17410" t="s">
        <v>1</v>
      </c>
    </row>
    <row r="17411" spans="1:2" x14ac:dyDescent="0.2">
      <c r="B17411" t="s">
        <v>8</v>
      </c>
    </row>
    <row r="17413" spans="1:2" x14ac:dyDescent="0.2">
      <c r="A17413" t="s">
        <v>5828</v>
      </c>
      <c r="B17413" t="str">
        <f>HYPERLINK("https://lindat.mff.cuni.cz/services/teitok/pdtc10/index.php?action=vallex&amp;frame=v-w2113f2", "namontovat (v-w2113f2)")</f>
        <v>namontovat (v-w2113f2)</v>
      </c>
    </row>
    <row r="17414" spans="1:2" x14ac:dyDescent="0.2">
      <c r="B17414" t="s">
        <v>1</v>
      </c>
    </row>
    <row r="17415" spans="1:2" x14ac:dyDescent="0.2">
      <c r="B17415" t="s">
        <v>8</v>
      </c>
    </row>
    <row r="17416" spans="1:2" x14ac:dyDescent="0.2">
      <c r="B17416" t="s">
        <v>5</v>
      </c>
    </row>
    <row r="17418" spans="1:2" x14ac:dyDescent="0.2">
      <c r="A17418" t="s">
        <v>5829</v>
      </c>
      <c r="B17418" t="str">
        <f>HYPERLINK("https://lindat.mff.cuni.cz/services/teitok/pdtc10/index.php?action=vallex&amp;frame=v-w2113f1", "namontovat (v-w2113f1)")</f>
        <v>namontovat (v-w2113f1)</v>
      </c>
    </row>
    <row r="17419" spans="1:2" x14ac:dyDescent="0.2">
      <c r="B17419" t="s">
        <v>1</v>
      </c>
    </row>
    <row r="17420" spans="1:2" x14ac:dyDescent="0.2">
      <c r="B17420" t="s">
        <v>8</v>
      </c>
    </row>
    <row r="17421" spans="1:2" x14ac:dyDescent="0.2">
      <c r="B17421" t="s">
        <v>90</v>
      </c>
    </row>
    <row r="17423" spans="1:2" x14ac:dyDescent="0.2">
      <c r="A17423" t="s">
        <v>5830</v>
      </c>
      <c r="B17423" t="str">
        <f>HYPERLINK("https://lindat.mff.cuni.cz/services/teitok/pdtc10/index.php?action=vallex&amp;frame=v-w11698_ZUf1_ZU", "namotat (v-w11698_ZUf1_ZU)")</f>
        <v>namotat (v-w11698_ZUf1_ZU)</v>
      </c>
    </row>
    <row r="17424" spans="1:2" x14ac:dyDescent="0.2">
      <c r="B17424" t="s">
        <v>1</v>
      </c>
    </row>
    <row r="17425" spans="1:3" x14ac:dyDescent="0.2">
      <c r="B17425" t="s">
        <v>8</v>
      </c>
    </row>
    <row r="17426" spans="1:3" x14ac:dyDescent="0.2">
      <c r="B17426" t="s">
        <v>90</v>
      </c>
    </row>
    <row r="17428" spans="1:3" x14ac:dyDescent="0.2">
      <c r="A17428" t="s">
        <v>5831</v>
      </c>
      <c r="B17428" t="str">
        <f>HYPERLINK("https://lindat.mff.cuni.cz/services/teitok/pdtc10/index.php?action=vallex&amp;frame=v-w11254f1", "namotat se (v-w11254f1)")</f>
        <v>namotat se (v-w11254f1)</v>
      </c>
    </row>
    <row r="17429" spans="1:3" x14ac:dyDescent="0.2">
      <c r="B17429" t="s">
        <v>1</v>
      </c>
      <c r="C17429" t="s">
        <v>186</v>
      </c>
    </row>
    <row r="17430" spans="1:3" x14ac:dyDescent="0.2">
      <c r="B17430" t="s">
        <v>90</v>
      </c>
    </row>
    <row r="17432" spans="1:3" x14ac:dyDescent="0.2">
      <c r="A17432" t="s">
        <v>5832</v>
      </c>
      <c r="B17432" t="str">
        <f>HYPERLINK("https://lindat.mff.cuni.cz/services/teitok/pdtc10/index.php?action=vallex&amp;frame=v-whsa_1678hsa_1679", "namočit (v-whsa_1678hsa_1679)")</f>
        <v>namočit (v-whsa_1678hsa_1679)</v>
      </c>
    </row>
    <row r="17433" spans="1:3" x14ac:dyDescent="0.2">
      <c r="B17433" t="s">
        <v>1</v>
      </c>
    </row>
    <row r="17434" spans="1:3" x14ac:dyDescent="0.2">
      <c r="B17434" t="s">
        <v>8</v>
      </c>
    </row>
    <row r="17436" spans="1:3" x14ac:dyDescent="0.2">
      <c r="A17436" t="s">
        <v>5833</v>
      </c>
      <c r="B17436" t="str">
        <f>HYPERLINK("https://lindat.mff.cuni.cz/services/teitok/pdtc10/index.php?action=vallex&amp;frame=v-w2112f1", "namočit se (v-w2112f1)")</f>
        <v>namočit se (v-w2112f1)</v>
      </c>
    </row>
    <row r="17437" spans="1:3" x14ac:dyDescent="0.2">
      <c r="B17437" t="s">
        <v>1</v>
      </c>
    </row>
    <row r="17438" spans="1:3" x14ac:dyDescent="0.2">
      <c r="B17438" t="s">
        <v>90</v>
      </c>
    </row>
    <row r="17440" spans="1:3" x14ac:dyDescent="0.2">
      <c r="A17440" t="s">
        <v>5834</v>
      </c>
      <c r="B17440" t="str">
        <f>HYPERLINK("https://lindat.mff.cuni.cz/services/teitok/pdtc10/index.php?action=vallex&amp;frame=v-w2112f3_ZU", "namočit se (v-w2112f3_ZU)")</f>
        <v>namočit se (v-w2112f3_ZU)</v>
      </c>
    </row>
    <row r="17441" spans="1:3" x14ac:dyDescent="0.2">
      <c r="B17441" t="s">
        <v>1</v>
      </c>
    </row>
    <row r="17443" spans="1:3" x14ac:dyDescent="0.2">
      <c r="A17443" t="s">
        <v>5834</v>
      </c>
      <c r="B17443" t="str">
        <f>HYPERLINK("https://lindat.mff.cuni.cz/services/teitok/pdtc10/index.php?action=vallex&amp;frame=v-w2112f2_ZU", "namočit se (v-w2112f2_ZU) - substituted with v-w2112f3_ZU")</f>
        <v>namočit se (v-w2112f2_ZU) - substituted with v-w2112f3_ZU</v>
      </c>
    </row>
    <row r="17444" spans="1:3" x14ac:dyDescent="0.2">
      <c r="B17444" t="s">
        <v>1</v>
      </c>
    </row>
    <row r="17446" spans="1:3" x14ac:dyDescent="0.2">
      <c r="A17446" t="s">
        <v>5835</v>
      </c>
      <c r="B17446" t="str">
        <f>HYPERLINK("https://lindat.mff.cuni.cz/services/teitok/pdtc10/index.php?action=vallex&amp;frame=v-w12203_ZUf1_ZU", "namrazit (v-w12203_ZUf1_ZU)")</f>
        <v>namrazit (v-w12203_ZUf1_ZU)</v>
      </c>
    </row>
    <row r="17447" spans="1:3" x14ac:dyDescent="0.2">
      <c r="B17447" t="s">
        <v>1</v>
      </c>
    </row>
    <row r="17448" spans="1:3" x14ac:dyDescent="0.2">
      <c r="B17448" t="s">
        <v>8</v>
      </c>
    </row>
    <row r="17450" spans="1:3" x14ac:dyDescent="0.2">
      <c r="A17450" t="s">
        <v>5836</v>
      </c>
      <c r="B17450" t="str">
        <f>HYPERLINK("https://lindat.mff.cuni.cz/services/teitok/pdtc10/index.php?action=vallex&amp;frame=v-whsb_335hsa_336", "namrzat (v-whsb_335hsa_336)")</f>
        <v>namrzat (v-whsb_335hsa_336)</v>
      </c>
    </row>
    <row r="17451" spans="1:3" x14ac:dyDescent="0.2">
      <c r="B17451" t="s">
        <v>1</v>
      </c>
    </row>
    <row r="17453" spans="1:3" x14ac:dyDescent="0.2">
      <c r="A17453" t="s">
        <v>5837</v>
      </c>
      <c r="B17453" t="str">
        <f>HYPERLINK("https://lindat.mff.cuni.cz/services/teitok/pdtc10/index.php?action=vallex&amp;frame=v-w2097f1", "namáhat (v-w2097f1)")</f>
        <v>namáhat (v-w2097f1)</v>
      </c>
    </row>
    <row r="17454" spans="1:3" x14ac:dyDescent="0.2">
      <c r="B17454" t="s">
        <v>1</v>
      </c>
      <c r="C17454" t="s">
        <v>140</v>
      </c>
    </row>
    <row r="17455" spans="1:3" x14ac:dyDescent="0.2">
      <c r="B17455" t="s">
        <v>8</v>
      </c>
      <c r="C17455" t="s">
        <v>34</v>
      </c>
    </row>
    <row r="17457" spans="1:4" x14ac:dyDescent="0.2">
      <c r="A17457" t="s">
        <v>5838</v>
      </c>
      <c r="B17457" t="str">
        <f>HYPERLINK("https://lindat.mff.cuni.cz/services/teitok/pdtc10/index.php?action=vallex&amp;frame=v-w2098f1", "namáhat se (v-w2098f1)")</f>
        <v>namáhat se (v-w2098f1)</v>
      </c>
    </row>
    <row r="17458" spans="1:4" x14ac:dyDescent="0.2">
      <c r="B17458" t="s">
        <v>1</v>
      </c>
    </row>
    <row r="17459" spans="1:4" x14ac:dyDescent="0.2">
      <c r="B17459" t="s">
        <v>557</v>
      </c>
    </row>
    <row r="17461" spans="1:4" x14ac:dyDescent="0.2">
      <c r="A17461" t="s">
        <v>5839</v>
      </c>
      <c r="B17461" t="str">
        <f>HYPERLINK("https://lindat.mff.cuni.cz/services/teitok/pdtc10/index.php?action=vallex&amp;frame=v-w11734_ZUf1_ZU", "namáčet (v-w11734_ZUf1_ZU)")</f>
        <v>namáčet (v-w11734_ZUf1_ZU)</v>
      </c>
    </row>
    <row r="17462" spans="1:4" x14ac:dyDescent="0.2">
      <c r="B17462" t="s">
        <v>1</v>
      </c>
    </row>
    <row r="17463" spans="1:4" x14ac:dyDescent="0.2">
      <c r="B17463" t="s">
        <v>8</v>
      </c>
    </row>
    <row r="17465" spans="1:4" x14ac:dyDescent="0.2">
      <c r="A17465" t="s">
        <v>5840</v>
      </c>
      <c r="B17465" t="str">
        <f>HYPERLINK("https://lindat.mff.cuni.cz/services/teitok/pdtc10/index.php?action=vallex&amp;frame=v-w2103f2_ZU", "namíchat (v-w2103f2_ZU)")</f>
        <v>namíchat (v-w2103f2_ZU)</v>
      </c>
    </row>
    <row r="17466" spans="1:4" x14ac:dyDescent="0.2">
      <c r="B17466" t="s">
        <v>1</v>
      </c>
    </row>
    <row r="17467" spans="1:4" x14ac:dyDescent="0.2">
      <c r="B17467" t="s">
        <v>172</v>
      </c>
    </row>
    <row r="17468" spans="1:4" x14ac:dyDescent="0.2">
      <c r="B17468" t="s">
        <v>24</v>
      </c>
    </row>
    <row r="17470" spans="1:4" x14ac:dyDescent="0.2">
      <c r="A17470" t="s">
        <v>5840</v>
      </c>
      <c r="B17470" t="str">
        <f>HYPERLINK("https://lindat.mff.cuni.cz/services/teitok/pdtc10/index.php?action=vallex&amp;frame=v-w2103f1", "namíchat (v-w2103f1) - substituted with v-w2103f2_ZU")</f>
        <v>namíchat (v-w2103f1) - substituted with v-w2103f2_ZU</v>
      </c>
    </row>
    <row r="17471" spans="1:4" x14ac:dyDescent="0.2">
      <c r="B17471" t="s">
        <v>1</v>
      </c>
      <c r="D17471" t="s">
        <v>23488</v>
      </c>
    </row>
    <row r="17472" spans="1:4" x14ac:dyDescent="0.2">
      <c r="B17472" t="s">
        <v>172</v>
      </c>
      <c r="D17472" t="s">
        <v>15821</v>
      </c>
    </row>
    <row r="17473" spans="1:4" x14ac:dyDescent="0.2">
      <c r="B17473" t="s">
        <v>24</v>
      </c>
      <c r="D17473" t="s">
        <v>7352</v>
      </c>
    </row>
    <row r="17475" spans="1:4" x14ac:dyDescent="0.2">
      <c r="A17475" t="s">
        <v>5841</v>
      </c>
      <c r="B17475" t="str">
        <f>HYPERLINK("https://lindat.mff.cuni.cz/services/teitok/pdtc10/index.php?action=vallex&amp;frame=v-w11659_ZUf1_ZU", "namíchnout (v-w11659_ZUf1_ZU)")</f>
        <v>namíchnout (v-w11659_ZUf1_ZU)</v>
      </c>
    </row>
    <row r="17476" spans="1:4" x14ac:dyDescent="0.2">
      <c r="B17476" t="s">
        <v>1</v>
      </c>
      <c r="C17476" t="s">
        <v>140</v>
      </c>
      <c r="D17476" t="s">
        <v>249</v>
      </c>
    </row>
    <row r="17477" spans="1:4" x14ac:dyDescent="0.2">
      <c r="B17477" t="s">
        <v>8</v>
      </c>
      <c r="C17477" t="s">
        <v>113</v>
      </c>
      <c r="D17477" t="s">
        <v>335</v>
      </c>
    </row>
    <row r="17479" spans="1:4" x14ac:dyDescent="0.2">
      <c r="A17479" t="s">
        <v>5842</v>
      </c>
      <c r="B17479" t="str">
        <f>HYPERLINK("https://lindat.mff.cuni.cz/services/teitok/pdtc10/index.php?action=vallex&amp;frame=v-w2106f1", "namítat (v-w2106f1)")</f>
        <v>namítat (v-w2106f1)</v>
      </c>
    </row>
    <row r="17480" spans="1:4" x14ac:dyDescent="0.2">
      <c r="B17480" t="s">
        <v>1</v>
      </c>
      <c r="C17480" t="s">
        <v>5843</v>
      </c>
      <c r="D17480" t="s">
        <v>12476</v>
      </c>
    </row>
    <row r="17481" spans="1:4" x14ac:dyDescent="0.2">
      <c r="B17481" t="s">
        <v>4749</v>
      </c>
      <c r="C17481" t="s">
        <v>5844</v>
      </c>
      <c r="D17481" t="s">
        <v>268</v>
      </c>
    </row>
    <row r="17482" spans="1:4" x14ac:dyDescent="0.2">
      <c r="B17482" t="s">
        <v>46</v>
      </c>
      <c r="C17482" t="s">
        <v>5845</v>
      </c>
      <c r="D17482" t="s">
        <v>125</v>
      </c>
    </row>
    <row r="17483" spans="1:4" x14ac:dyDescent="0.2">
      <c r="B17483" t="s">
        <v>78</v>
      </c>
      <c r="C17483" t="s">
        <v>5846</v>
      </c>
      <c r="D17483" t="s">
        <v>987</v>
      </c>
    </row>
    <row r="17485" spans="1:4" x14ac:dyDescent="0.2">
      <c r="A17485" t="s">
        <v>5847</v>
      </c>
      <c r="B17485" t="str">
        <f>HYPERLINK("https://lindat.mff.cuni.cz/services/teitok/pdtc10/index.php?action=vallex&amp;frame=v-w2108hsa_1297", "namítnout (v-w2108hsa_1297)")</f>
        <v>namítnout (v-w2108hsa_1297)</v>
      </c>
    </row>
    <row r="17486" spans="1:4" x14ac:dyDescent="0.2">
      <c r="B17486" t="s">
        <v>1</v>
      </c>
      <c r="D17486" t="s">
        <v>12476</v>
      </c>
    </row>
    <row r="17487" spans="1:4" x14ac:dyDescent="0.2">
      <c r="B17487" t="s">
        <v>4749</v>
      </c>
      <c r="D17487" t="s">
        <v>268</v>
      </c>
    </row>
    <row r="17488" spans="1:4" x14ac:dyDescent="0.2">
      <c r="B17488" t="s">
        <v>5848</v>
      </c>
      <c r="D17488" t="s">
        <v>125</v>
      </c>
    </row>
    <row r="17489" spans="1:4" x14ac:dyDescent="0.2">
      <c r="B17489" t="s">
        <v>78</v>
      </c>
      <c r="D17489" t="s">
        <v>987</v>
      </c>
    </row>
    <row r="17491" spans="1:4" x14ac:dyDescent="0.2">
      <c r="A17491" t="s">
        <v>5847</v>
      </c>
      <c r="B17491" t="str">
        <f>HYPERLINK("https://lindat.mff.cuni.cz/services/teitok/pdtc10/index.php?action=vallex&amp;frame=v-w2108f1", "namítnout (v-w2108f1) - substituted with v-w2108hsa_1297")</f>
        <v>namítnout (v-w2108f1) - substituted with v-w2108hsa_1297</v>
      </c>
    </row>
    <row r="17492" spans="1:4" x14ac:dyDescent="0.2">
      <c r="B17492" t="s">
        <v>1</v>
      </c>
      <c r="C17492" t="s">
        <v>5849</v>
      </c>
    </row>
    <row r="17493" spans="1:4" x14ac:dyDescent="0.2">
      <c r="B17493" t="s">
        <v>4749</v>
      </c>
      <c r="C17493" t="s">
        <v>5850</v>
      </c>
    </row>
    <row r="17494" spans="1:4" x14ac:dyDescent="0.2">
      <c r="B17494" t="s">
        <v>5848</v>
      </c>
      <c r="C17494" t="s">
        <v>5851</v>
      </c>
    </row>
    <row r="17495" spans="1:4" x14ac:dyDescent="0.2">
      <c r="B17495" t="s">
        <v>78</v>
      </c>
      <c r="C17495" t="s">
        <v>3728</v>
      </c>
    </row>
    <row r="17497" spans="1:4" x14ac:dyDescent="0.2">
      <c r="A17497" t="s">
        <v>5852</v>
      </c>
      <c r="B17497" t="str">
        <f>HYPERLINK("https://lindat.mff.cuni.cz/services/teitok/pdtc10/index.php?action=vallex&amp;frame=v-w2105f1", "namířit (v-w2105f1)")</f>
        <v>namířit (v-w2105f1)</v>
      </c>
    </row>
    <row r="17498" spans="1:4" x14ac:dyDescent="0.2">
      <c r="B17498" t="s">
        <v>1</v>
      </c>
      <c r="C17498" t="s">
        <v>1366</v>
      </c>
    </row>
    <row r="17499" spans="1:4" x14ac:dyDescent="0.2">
      <c r="B17499" t="s">
        <v>8</v>
      </c>
      <c r="C17499" t="s">
        <v>5853</v>
      </c>
    </row>
    <row r="17500" spans="1:4" x14ac:dyDescent="0.2">
      <c r="B17500" t="s">
        <v>90</v>
      </c>
      <c r="C17500" t="s">
        <v>5854</v>
      </c>
    </row>
    <row r="17502" spans="1:4" x14ac:dyDescent="0.2">
      <c r="A17502" t="s">
        <v>5855</v>
      </c>
      <c r="B17502" t="str">
        <f>HYPERLINK("https://lindat.mff.cuni.cz/services/teitok/pdtc10/index.php?action=vallex&amp;frame=v-w2105f3", "namířit (v-w2105f3)")</f>
        <v>namířit (v-w2105f3)</v>
      </c>
    </row>
    <row r="17503" spans="1:4" x14ac:dyDescent="0.2">
      <c r="B17503" t="s">
        <v>1</v>
      </c>
    </row>
    <row r="17504" spans="1:4" x14ac:dyDescent="0.2">
      <c r="B17504" t="s">
        <v>90</v>
      </c>
    </row>
    <row r="17506" spans="1:2" x14ac:dyDescent="0.2">
      <c r="A17506" t="s">
        <v>5856</v>
      </c>
      <c r="B17506" t="str">
        <f>HYPERLINK("https://lindat.mff.cuni.cz/services/teitok/pdtc10/index.php?action=vallex&amp;frame=v-w2105f2", "namířit (v-w2105f2)")</f>
        <v>namířit (v-w2105f2)</v>
      </c>
    </row>
    <row r="17507" spans="1:2" x14ac:dyDescent="0.2">
      <c r="B17507" t="s">
        <v>1</v>
      </c>
    </row>
    <row r="17508" spans="1:2" x14ac:dyDescent="0.2">
      <c r="B17508" t="s">
        <v>90</v>
      </c>
    </row>
    <row r="17510" spans="1:2" x14ac:dyDescent="0.2">
      <c r="A17510" t="s">
        <v>5857</v>
      </c>
      <c r="B17510" t="str">
        <f>HYPERLINK("https://lindat.mff.cuni.cz/services/teitok/pdtc10/index.php?action=vallex&amp;frame=v-w2100f1", "naměřit (v-w2100f1)")</f>
        <v>naměřit (v-w2100f1)</v>
      </c>
    </row>
    <row r="17511" spans="1:2" x14ac:dyDescent="0.2">
      <c r="B17511" t="s">
        <v>1</v>
      </c>
    </row>
    <row r="17512" spans="1:2" x14ac:dyDescent="0.2">
      <c r="B17512" t="s">
        <v>8</v>
      </c>
    </row>
    <row r="17514" spans="1:2" x14ac:dyDescent="0.2">
      <c r="A17514" t="s">
        <v>5858</v>
      </c>
      <c r="B17514" t="str">
        <f>HYPERLINK("https://lindat.mff.cuni.cz/services/teitok/pdtc10/index.php?action=vallex&amp;frame=v-w2115f1", "nandat (v-w2115f1)")</f>
        <v>nandat (v-w2115f1)</v>
      </c>
    </row>
    <row r="17515" spans="1:2" x14ac:dyDescent="0.2">
      <c r="B17515" t="s">
        <v>1</v>
      </c>
    </row>
    <row r="17516" spans="1:2" x14ac:dyDescent="0.2">
      <c r="B17516" t="s">
        <v>390</v>
      </c>
    </row>
    <row r="17517" spans="1:2" x14ac:dyDescent="0.2">
      <c r="B17517" t="s">
        <v>103</v>
      </c>
    </row>
    <row r="17519" spans="1:2" x14ac:dyDescent="0.2">
      <c r="A17519" t="s">
        <v>5859</v>
      </c>
      <c r="B17519" t="str">
        <f>HYPERLINK("https://lindat.mff.cuni.cz/services/teitok/pdtc10/index.php?action=vallex&amp;frame=v-w2115hsa_113", "nandat (v-w2115hsa_113)")</f>
        <v>nandat (v-w2115hsa_113)</v>
      </c>
    </row>
    <row r="17520" spans="1:2" x14ac:dyDescent="0.2">
      <c r="B17520" t="s">
        <v>1</v>
      </c>
    </row>
    <row r="17521" spans="1:2" x14ac:dyDescent="0.2">
      <c r="B17521" t="s">
        <v>8</v>
      </c>
    </row>
    <row r="17522" spans="1:2" x14ac:dyDescent="0.2">
      <c r="B17522" t="s">
        <v>78</v>
      </c>
    </row>
    <row r="17524" spans="1:2" x14ac:dyDescent="0.2">
      <c r="A17524" t="s">
        <v>5860</v>
      </c>
      <c r="B17524" t="str">
        <f>HYPERLINK("https://lindat.mff.cuni.cz/services/teitok/pdtc10/index.php?action=vallex&amp;frame=v-w2115hsa_114", "nandat (v-w2115hsa_114)")</f>
        <v>nandat (v-w2115hsa_114)</v>
      </c>
    </row>
    <row r="17525" spans="1:2" x14ac:dyDescent="0.2">
      <c r="B17525" t="s">
        <v>1</v>
      </c>
    </row>
    <row r="17526" spans="1:2" x14ac:dyDescent="0.2">
      <c r="B17526" t="s">
        <v>8</v>
      </c>
    </row>
    <row r="17527" spans="1:2" x14ac:dyDescent="0.2">
      <c r="B17527" t="s">
        <v>90</v>
      </c>
    </row>
    <row r="17529" spans="1:2" x14ac:dyDescent="0.2">
      <c r="A17529" t="s">
        <v>5861</v>
      </c>
      <c r="B17529" t="str">
        <f>HYPERLINK("https://lindat.mff.cuni.cz/services/teitok/pdtc10/index.php?action=vallex&amp;frame=v-whsa_457hsa_458", "nanosit (v-whsa_457hsa_458)")</f>
        <v>nanosit (v-whsa_457hsa_458)</v>
      </c>
    </row>
    <row r="17530" spans="1:2" x14ac:dyDescent="0.2">
      <c r="B17530" t="s">
        <v>1</v>
      </c>
    </row>
    <row r="17531" spans="1:2" x14ac:dyDescent="0.2">
      <c r="B17531" t="s">
        <v>8</v>
      </c>
    </row>
    <row r="17533" spans="1:2" x14ac:dyDescent="0.2">
      <c r="A17533" t="s">
        <v>5862</v>
      </c>
      <c r="B17533" t="str">
        <f>HYPERLINK("https://lindat.mff.cuni.cz/services/teitok/pdtc10/index.php?action=vallex&amp;frame=v-w2114f1", "nanášet (v-w2114f1)")</f>
        <v>nanášet (v-w2114f1)</v>
      </c>
    </row>
    <row r="17534" spans="1:2" x14ac:dyDescent="0.2">
      <c r="B17534" t="s">
        <v>1</v>
      </c>
    </row>
    <row r="17535" spans="1:2" x14ac:dyDescent="0.2">
      <c r="B17535" t="s">
        <v>8</v>
      </c>
    </row>
    <row r="17536" spans="1:2" x14ac:dyDescent="0.2">
      <c r="B17536" t="s">
        <v>90</v>
      </c>
    </row>
    <row r="17538" spans="1:2" x14ac:dyDescent="0.2">
      <c r="A17538" t="s">
        <v>5863</v>
      </c>
      <c r="B17538" t="str">
        <f>HYPERLINK("https://lindat.mff.cuni.cz/services/teitok/pdtc10/index.php?action=vallex&amp;frame=v-w2117f1", "nanést (v-w2117f1)")</f>
        <v>nanést (v-w2117f1)</v>
      </c>
    </row>
    <row r="17539" spans="1:2" x14ac:dyDescent="0.2">
      <c r="B17539" t="s">
        <v>1</v>
      </c>
    </row>
    <row r="17540" spans="1:2" x14ac:dyDescent="0.2">
      <c r="B17540" t="s">
        <v>8</v>
      </c>
    </row>
    <row r="17541" spans="1:2" x14ac:dyDescent="0.2">
      <c r="B17541" t="s">
        <v>90</v>
      </c>
    </row>
    <row r="17543" spans="1:2" x14ac:dyDescent="0.2">
      <c r="A17543" t="s">
        <v>5864</v>
      </c>
      <c r="B17543" t="str">
        <f>HYPERLINK("https://lindat.mff.cuni.cz/services/teitok/pdtc10/index.php?action=vallex&amp;frame=v-w2118f1", "naoktrojovat (v-w2118f1)")</f>
        <v>naoktrojovat (v-w2118f1)</v>
      </c>
    </row>
    <row r="17544" spans="1:2" x14ac:dyDescent="0.2">
      <c r="B17544" t="s">
        <v>1</v>
      </c>
    </row>
    <row r="17545" spans="1:2" x14ac:dyDescent="0.2">
      <c r="B17545" t="s">
        <v>8</v>
      </c>
    </row>
    <row r="17547" spans="1:2" x14ac:dyDescent="0.2">
      <c r="A17547" t="s">
        <v>5865</v>
      </c>
      <c r="B17547" t="str">
        <f>HYPERLINK("https://lindat.mff.cuni.cz/services/teitok/pdtc10/index.php?action=vallex&amp;frame=v-w11522_ZUf1_ZU", "naočkovat (v-w11522_ZUf1_ZU)")</f>
        <v>naočkovat (v-w11522_ZUf1_ZU)</v>
      </c>
    </row>
    <row r="17548" spans="1:2" x14ac:dyDescent="0.2">
      <c r="B17548" t="s">
        <v>1</v>
      </c>
    </row>
    <row r="17549" spans="1:2" x14ac:dyDescent="0.2">
      <c r="B17549" t="s">
        <v>58</v>
      </c>
    </row>
    <row r="17550" spans="1:2" x14ac:dyDescent="0.2">
      <c r="B17550" t="s">
        <v>1310</v>
      </c>
    </row>
    <row r="17552" spans="1:2" x14ac:dyDescent="0.2">
      <c r="A17552" t="s">
        <v>5866</v>
      </c>
      <c r="B17552" t="str">
        <f>HYPERLINK("https://lindat.mff.cuni.cz/services/teitok/pdtc10/index.php?action=vallex&amp;frame=v-w2121f2", "napadat (v-w2121f2)")</f>
        <v>napadat (v-w2121f2)</v>
      </c>
    </row>
    <row r="17553" spans="1:4" x14ac:dyDescent="0.2">
      <c r="B17553" t="s">
        <v>1</v>
      </c>
      <c r="C17553" t="s">
        <v>5867</v>
      </c>
      <c r="D17553" t="s">
        <v>22964</v>
      </c>
    </row>
    <row r="17554" spans="1:4" x14ac:dyDescent="0.2">
      <c r="B17554" t="s">
        <v>8</v>
      </c>
      <c r="C17554" t="s">
        <v>5868</v>
      </c>
      <c r="D17554" t="s">
        <v>1798</v>
      </c>
    </row>
    <row r="17556" spans="1:4" x14ac:dyDescent="0.2">
      <c r="A17556" t="s">
        <v>5869</v>
      </c>
      <c r="B17556" t="str">
        <f>HYPERLINK("https://lindat.mff.cuni.cz/services/teitok/pdtc10/index.php?action=vallex&amp;frame=v-w2121hsa_1407", "napadat (v-w2121hsa_1407)")</f>
        <v>napadat (v-w2121hsa_1407)</v>
      </c>
    </row>
    <row r="17557" spans="1:4" x14ac:dyDescent="0.2">
      <c r="B17557" t="s">
        <v>5870</v>
      </c>
    </row>
    <row r="17558" spans="1:4" x14ac:dyDescent="0.2">
      <c r="B17558" t="s">
        <v>5871</v>
      </c>
    </row>
    <row r="17560" spans="1:4" x14ac:dyDescent="0.2">
      <c r="A17560" t="s">
        <v>5869</v>
      </c>
      <c r="B17560" t="str">
        <f>HYPERLINK("https://lindat.mff.cuni.cz/services/teitok/pdtc10/index.php?action=vallex&amp;frame=v-w2121f1", "napadat (v-w2121f1) - substituted with v-w2121hsa_1407")</f>
        <v>napadat (v-w2121f1) - substituted with v-w2121hsa_1407</v>
      </c>
    </row>
    <row r="17561" spans="1:4" x14ac:dyDescent="0.2">
      <c r="B17561" t="s">
        <v>5870</v>
      </c>
      <c r="C17561" t="s">
        <v>22</v>
      </c>
    </row>
    <row r="17562" spans="1:4" x14ac:dyDescent="0.2">
      <c r="B17562" t="s">
        <v>5871</v>
      </c>
      <c r="C17562" t="s">
        <v>335</v>
      </c>
    </row>
    <row r="17564" spans="1:4" x14ac:dyDescent="0.2">
      <c r="A17564" t="s">
        <v>5872</v>
      </c>
      <c r="B17564" t="str">
        <f>HYPERLINK("https://lindat.mff.cuni.cz/services/teitok/pdtc10/index.php?action=vallex&amp;frame=v-w2121f3", "napadat (v-w2121f3)")</f>
        <v>napadat (v-w2121f3)</v>
      </c>
    </row>
    <row r="17565" spans="1:4" x14ac:dyDescent="0.2">
      <c r="B17565" t="s">
        <v>2003</v>
      </c>
    </row>
    <row r="17567" spans="1:4" x14ac:dyDescent="0.2">
      <c r="A17567" t="s">
        <v>5873</v>
      </c>
      <c r="B17567" t="str">
        <f>HYPERLINK("https://lindat.mff.cuni.cz/services/teitok/pdtc10/index.php?action=vallex&amp;frame=v-w2121hsa_1406", "napadat (v-w2121hsa_1406)")</f>
        <v>napadat (v-w2121hsa_1406)</v>
      </c>
    </row>
    <row r="17568" spans="1:4" x14ac:dyDescent="0.2">
      <c r="B17568" t="s">
        <v>1</v>
      </c>
    </row>
    <row r="17569" spans="1:4" x14ac:dyDescent="0.2">
      <c r="B17569" t="s">
        <v>28</v>
      </c>
    </row>
    <row r="17571" spans="1:4" x14ac:dyDescent="0.2">
      <c r="A17571" t="s">
        <v>5874</v>
      </c>
      <c r="B17571" t="str">
        <f>HYPERLINK("https://lindat.mff.cuni.cz/services/teitok/pdtc10/index.php?action=vallex&amp;frame=v-w2123f1", "napadnout (v-w2123f1)")</f>
        <v>napadnout (v-w2123f1)</v>
      </c>
    </row>
    <row r="17572" spans="1:4" x14ac:dyDescent="0.2">
      <c r="B17572" t="s">
        <v>1</v>
      </c>
      <c r="C17572" t="s">
        <v>5875</v>
      </c>
      <c r="D17572" t="s">
        <v>22964</v>
      </c>
    </row>
    <row r="17573" spans="1:4" x14ac:dyDescent="0.2">
      <c r="B17573" t="s">
        <v>8</v>
      </c>
      <c r="C17573" t="s">
        <v>5876</v>
      </c>
      <c r="D17573" t="s">
        <v>1798</v>
      </c>
    </row>
    <row r="17575" spans="1:4" x14ac:dyDescent="0.2">
      <c r="A17575" t="s">
        <v>5877</v>
      </c>
      <c r="B17575" t="str">
        <f>HYPERLINK("https://lindat.mff.cuni.cz/services/teitok/pdtc10/index.php?action=vallex&amp;frame=v-w2123f2", "napadnout (v-w2123f2)")</f>
        <v>napadnout (v-w2123f2)</v>
      </c>
    </row>
    <row r="17576" spans="1:4" x14ac:dyDescent="0.2">
      <c r="B17576" t="s">
        <v>146</v>
      </c>
      <c r="C17576" t="s">
        <v>5878</v>
      </c>
      <c r="D17576" t="s">
        <v>23543</v>
      </c>
    </row>
    <row r="17577" spans="1:4" x14ac:dyDescent="0.2">
      <c r="B17577" t="s">
        <v>5879</v>
      </c>
      <c r="C17577" t="s">
        <v>5880</v>
      </c>
      <c r="D17577" t="s">
        <v>23544</v>
      </c>
    </row>
    <row r="17579" spans="1:4" x14ac:dyDescent="0.2">
      <c r="A17579" t="s">
        <v>5881</v>
      </c>
      <c r="B17579" t="str">
        <f>HYPERLINK("https://lindat.mff.cuni.cz/services/teitok/pdtc10/index.php?action=vallex&amp;frame=v-w2123f4_ZU", "napadnout (v-w2123f4_ZU)")</f>
        <v>napadnout (v-w2123f4_ZU)</v>
      </c>
    </row>
    <row r="17580" spans="1:4" x14ac:dyDescent="0.2">
      <c r="B17580" t="s">
        <v>1</v>
      </c>
      <c r="C17580" t="s">
        <v>3307</v>
      </c>
      <c r="D17580" t="s">
        <v>23545</v>
      </c>
    </row>
    <row r="17581" spans="1:4" x14ac:dyDescent="0.2">
      <c r="B17581" t="s">
        <v>8</v>
      </c>
      <c r="C17581" t="s">
        <v>3308</v>
      </c>
      <c r="D17581" t="s">
        <v>23546</v>
      </c>
    </row>
    <row r="17583" spans="1:4" x14ac:dyDescent="0.2">
      <c r="A17583" t="s">
        <v>5882</v>
      </c>
      <c r="B17583" t="str">
        <f>HYPERLINK("https://lindat.mff.cuni.cz/services/teitok/pdtc10/index.php?action=vallex&amp;frame=v-w2123f3", "napadnout (v-w2123f3)")</f>
        <v>napadnout (v-w2123f3)</v>
      </c>
    </row>
    <row r="17584" spans="1:4" x14ac:dyDescent="0.2">
      <c r="B17584" t="s">
        <v>2003</v>
      </c>
    </row>
    <row r="17586" spans="1:4" x14ac:dyDescent="0.2">
      <c r="A17586" t="s">
        <v>5883</v>
      </c>
      <c r="B17586" t="str">
        <f>HYPERLINK("https://lindat.mff.cuni.cz/services/teitok/pdtc10/index.php?action=vallex&amp;frame=v-w12001_ZUf1_ZU", "napadávat (v-w12001_ZUf1_ZU)")</f>
        <v>napadávat (v-w12001_ZUf1_ZU)</v>
      </c>
    </row>
    <row r="17587" spans="1:4" x14ac:dyDescent="0.2">
      <c r="B17587" t="s">
        <v>1</v>
      </c>
    </row>
    <row r="17588" spans="1:4" x14ac:dyDescent="0.2">
      <c r="B17588" t="s">
        <v>8</v>
      </c>
    </row>
    <row r="17590" spans="1:4" x14ac:dyDescent="0.2">
      <c r="A17590" t="s">
        <v>5884</v>
      </c>
      <c r="B17590" t="str">
        <f>HYPERLINK("https://lindat.mff.cuni.cz/services/teitok/pdtc10/index.php?action=vallex&amp;frame=v-w11713_ZUf1_ZU", "naparádit (v-w11713_ZUf1_ZU)")</f>
        <v>naparádit (v-w11713_ZUf1_ZU)</v>
      </c>
    </row>
    <row r="17591" spans="1:4" x14ac:dyDescent="0.2">
      <c r="B17591" t="s">
        <v>1</v>
      </c>
    </row>
    <row r="17592" spans="1:4" x14ac:dyDescent="0.2">
      <c r="B17592" t="s">
        <v>8</v>
      </c>
    </row>
    <row r="17593" spans="1:4" x14ac:dyDescent="0.2">
      <c r="B17593" t="s">
        <v>130</v>
      </c>
    </row>
    <row r="17595" spans="1:4" x14ac:dyDescent="0.2">
      <c r="A17595" t="s">
        <v>5885</v>
      </c>
      <c r="B17595" t="str">
        <f>HYPERLINK("https://lindat.mff.cuni.cz/services/teitok/pdtc10/index.php?action=vallex&amp;frame=v-w10180f2", "napasovat (v-w10180f2)")</f>
        <v>napasovat (v-w10180f2)</v>
      </c>
    </row>
    <row r="17596" spans="1:4" x14ac:dyDescent="0.2">
      <c r="B17596" t="s">
        <v>1</v>
      </c>
      <c r="D17596" t="s">
        <v>23181</v>
      </c>
    </row>
    <row r="17597" spans="1:4" x14ac:dyDescent="0.2">
      <c r="B17597" t="s">
        <v>8</v>
      </c>
      <c r="C17597" t="s">
        <v>113</v>
      </c>
      <c r="D17597" t="s">
        <v>23182</v>
      </c>
    </row>
    <row r="17598" spans="1:4" x14ac:dyDescent="0.2">
      <c r="B17598" t="s">
        <v>90</v>
      </c>
      <c r="D17598" t="s">
        <v>11579</v>
      </c>
    </row>
    <row r="17600" spans="1:4" x14ac:dyDescent="0.2">
      <c r="A17600" t="s">
        <v>5886</v>
      </c>
      <c r="B17600" t="str">
        <f>HYPERLINK("https://lindat.mff.cuni.cz/services/teitok/pdtc10/index.php?action=vallex&amp;frame=v-whsa_599hsa_600", "napichovat (v-whsa_599hsa_600)")</f>
        <v>napichovat (v-whsa_599hsa_600)</v>
      </c>
    </row>
    <row r="17601" spans="1:4" x14ac:dyDescent="0.2">
      <c r="B17601" t="s">
        <v>1</v>
      </c>
      <c r="C17601" t="s">
        <v>2749</v>
      </c>
      <c r="D17601" t="s">
        <v>23181</v>
      </c>
    </row>
    <row r="17602" spans="1:4" x14ac:dyDescent="0.2">
      <c r="B17602" t="s">
        <v>8</v>
      </c>
      <c r="C17602" t="s">
        <v>2750</v>
      </c>
      <c r="D17602" t="s">
        <v>23182</v>
      </c>
    </row>
    <row r="17603" spans="1:4" x14ac:dyDescent="0.2">
      <c r="B17603" t="s">
        <v>90</v>
      </c>
      <c r="D17603" t="s">
        <v>11579</v>
      </c>
    </row>
    <row r="17605" spans="1:4" x14ac:dyDescent="0.2">
      <c r="A17605" t="s">
        <v>5887</v>
      </c>
      <c r="B17605" t="str">
        <f>HYPERLINK("https://lindat.mff.cuni.cz/services/teitok/pdtc10/index.php?action=vallex&amp;frame=v-whsa_817hsa_818", "naplakat se (v-whsa_817hsa_818)")</f>
        <v>naplakat se (v-whsa_817hsa_818)</v>
      </c>
    </row>
    <row r="17606" spans="1:4" x14ac:dyDescent="0.2">
      <c r="B17606" t="s">
        <v>1</v>
      </c>
    </row>
    <row r="17608" spans="1:4" x14ac:dyDescent="0.2">
      <c r="A17608" t="s">
        <v>5888</v>
      </c>
      <c r="B17608" t="str">
        <f>HYPERLINK("https://lindat.mff.cuni.cz/services/teitok/pdtc10/index.php?action=vallex&amp;frame=v-w2132f5_ZU", "naplnit (v-w2132f5_ZU)")</f>
        <v>naplnit (v-w2132f5_ZU)</v>
      </c>
    </row>
    <row r="17609" spans="1:4" x14ac:dyDescent="0.2">
      <c r="B17609" t="s">
        <v>1</v>
      </c>
    </row>
    <row r="17610" spans="1:4" x14ac:dyDescent="0.2">
      <c r="B17610" t="s">
        <v>8</v>
      </c>
    </row>
    <row r="17611" spans="1:4" x14ac:dyDescent="0.2">
      <c r="B17611" t="s">
        <v>5479</v>
      </c>
    </row>
    <row r="17613" spans="1:4" x14ac:dyDescent="0.2">
      <c r="A17613" t="s">
        <v>5888</v>
      </c>
      <c r="B17613" t="str">
        <f>HYPERLINK("https://lindat.mff.cuni.cz/services/teitok/pdtc10/index.php?action=vallex&amp;frame=v-w2132f2", "naplnit (v-w2132f2) - substituted with v-w2132f5_ZU")</f>
        <v>naplnit (v-w2132f2) - substituted with v-w2132f5_ZU</v>
      </c>
    </row>
    <row r="17614" spans="1:4" x14ac:dyDescent="0.2">
      <c r="B17614" t="s">
        <v>1</v>
      </c>
      <c r="C17614" t="s">
        <v>5889</v>
      </c>
      <c r="D17614" t="s">
        <v>7907</v>
      </c>
    </row>
    <row r="17615" spans="1:4" x14ac:dyDescent="0.2">
      <c r="B17615" t="s">
        <v>8</v>
      </c>
      <c r="C17615" t="s">
        <v>5890</v>
      </c>
      <c r="D17615" t="s">
        <v>23547</v>
      </c>
    </row>
    <row r="17616" spans="1:4" x14ac:dyDescent="0.2">
      <c r="B17616" t="s">
        <v>5479</v>
      </c>
      <c r="C17616" t="s">
        <v>5891</v>
      </c>
      <c r="D17616" t="s">
        <v>23548</v>
      </c>
    </row>
    <row r="17618" spans="1:4" x14ac:dyDescent="0.2">
      <c r="A17618" t="s">
        <v>5892</v>
      </c>
      <c r="B17618" t="str">
        <f>HYPERLINK("https://lindat.mff.cuni.cz/services/teitok/pdtc10/index.php?action=vallex&amp;frame=v-w2132f1", "naplnit (v-w2132f1)")</f>
        <v>naplnit (v-w2132f1)</v>
      </c>
    </row>
    <row r="17619" spans="1:4" x14ac:dyDescent="0.2">
      <c r="B17619" t="s">
        <v>1</v>
      </c>
      <c r="C17619" t="s">
        <v>5893</v>
      </c>
      <c r="D17619" t="s">
        <v>23549</v>
      </c>
    </row>
    <row r="17620" spans="1:4" x14ac:dyDescent="0.2">
      <c r="B17620" t="s">
        <v>172</v>
      </c>
      <c r="C17620" t="s">
        <v>5894</v>
      </c>
      <c r="D17620" t="s">
        <v>15577</v>
      </c>
    </row>
    <row r="17622" spans="1:4" x14ac:dyDescent="0.2">
      <c r="A17622" t="s">
        <v>5895</v>
      </c>
      <c r="B17622" t="str">
        <f>HYPERLINK("https://lindat.mff.cuni.cz/services/teitok/pdtc10/index.php?action=vallex&amp;frame=v-w2132f3_ZU", "naplnit (v-w2132f3_ZU)")</f>
        <v>naplnit (v-w2132f3_ZU)</v>
      </c>
    </row>
    <row r="17623" spans="1:4" x14ac:dyDescent="0.2">
      <c r="B17623" t="s">
        <v>1</v>
      </c>
    </row>
    <row r="17624" spans="1:4" x14ac:dyDescent="0.2">
      <c r="B17624" t="s">
        <v>8</v>
      </c>
    </row>
    <row r="17625" spans="1:4" x14ac:dyDescent="0.2">
      <c r="B17625" t="s">
        <v>252</v>
      </c>
    </row>
    <row r="17627" spans="1:4" x14ac:dyDescent="0.2">
      <c r="A17627" t="s">
        <v>5896</v>
      </c>
      <c r="B17627" t="str">
        <f>HYPERLINK("https://lindat.mff.cuni.cz/services/teitok/pdtc10/index.php?action=vallex&amp;frame=v-w2132f4_ZU", "naplnit (v-w2132f4_ZU)")</f>
        <v>naplnit (v-w2132f4_ZU)</v>
      </c>
    </row>
    <row r="17628" spans="1:4" x14ac:dyDescent="0.2">
      <c r="B17628" t="s">
        <v>1</v>
      </c>
    </row>
    <row r="17629" spans="1:4" x14ac:dyDescent="0.2">
      <c r="B17629" t="s">
        <v>889</v>
      </c>
    </row>
    <row r="17631" spans="1:4" x14ac:dyDescent="0.2">
      <c r="A17631" t="s">
        <v>5897</v>
      </c>
      <c r="B17631" t="str">
        <f>HYPERLINK("https://lindat.mff.cuni.cz/services/teitok/pdtc10/index.php?action=vallex&amp;frame=v-w2133f1", "naplnit se (v-w2133f1)")</f>
        <v>naplnit se (v-w2133f1)</v>
      </c>
    </row>
    <row r="17632" spans="1:4" x14ac:dyDescent="0.2">
      <c r="B17632" t="s">
        <v>1</v>
      </c>
    </row>
    <row r="17634" spans="1:4" x14ac:dyDescent="0.2">
      <c r="A17634" t="s">
        <v>5898</v>
      </c>
      <c r="B17634" t="str">
        <f>HYPERLINK("https://lindat.mff.cuni.cz/services/teitok/pdtc10/index.php?action=vallex&amp;frame=v-w2133f3_MM", "naplnit se (v-w2133f3_MM)")</f>
        <v>naplnit se (v-w2133f3_MM)</v>
      </c>
    </row>
    <row r="17635" spans="1:4" x14ac:dyDescent="0.2">
      <c r="B17635" t="s">
        <v>1</v>
      </c>
    </row>
    <row r="17636" spans="1:4" x14ac:dyDescent="0.2">
      <c r="B17636" t="s">
        <v>3225</v>
      </c>
    </row>
    <row r="17638" spans="1:4" x14ac:dyDescent="0.2">
      <c r="A17638" t="s">
        <v>5898</v>
      </c>
      <c r="B17638" t="str">
        <f>HYPERLINK("https://lindat.mff.cuni.cz/services/teitok/pdtc10/index.php?action=vallex&amp;frame=v-w2133f2_ZU", "naplnit se (v-w2133f2_ZU) - substituted with v-w2133f3_MM")</f>
        <v>naplnit se (v-w2133f2_ZU) - substituted with v-w2133f3_MM</v>
      </c>
    </row>
    <row r="17639" spans="1:4" x14ac:dyDescent="0.2">
      <c r="B17639" t="s">
        <v>1</v>
      </c>
    </row>
    <row r="17640" spans="1:4" x14ac:dyDescent="0.2">
      <c r="B17640" t="s">
        <v>3225</v>
      </c>
    </row>
    <row r="17642" spans="1:4" x14ac:dyDescent="0.2">
      <c r="A17642" t="s">
        <v>5899</v>
      </c>
      <c r="B17642" t="str">
        <f>HYPERLINK("https://lindat.mff.cuni.cz/services/teitok/pdtc10/index.php?action=vallex&amp;frame=v-w2129f1", "naplánovat (v-w2129f1)")</f>
        <v>naplánovat (v-w2129f1)</v>
      </c>
    </row>
    <row r="17643" spans="1:4" x14ac:dyDescent="0.2">
      <c r="B17643" t="s">
        <v>1</v>
      </c>
      <c r="C17643" t="s">
        <v>5900</v>
      </c>
      <c r="D17643" t="s">
        <v>23491</v>
      </c>
    </row>
    <row r="17644" spans="1:4" x14ac:dyDescent="0.2">
      <c r="B17644" t="s">
        <v>5901</v>
      </c>
      <c r="C17644" t="s">
        <v>5902</v>
      </c>
      <c r="D17644" t="s">
        <v>23492</v>
      </c>
    </row>
    <row r="17646" spans="1:4" x14ac:dyDescent="0.2">
      <c r="A17646" t="s">
        <v>5903</v>
      </c>
      <c r="B17646" t="str">
        <f>HYPERLINK("https://lindat.mff.cuni.cz/services/teitok/pdtc10/index.php?action=vallex&amp;frame=v-w2135f1", "naplňovat (v-w2135f1)")</f>
        <v>naplňovat (v-w2135f1)</v>
      </c>
    </row>
    <row r="17647" spans="1:4" x14ac:dyDescent="0.2">
      <c r="B17647" t="s">
        <v>1</v>
      </c>
      <c r="D17647" t="s">
        <v>7907</v>
      </c>
    </row>
    <row r="17648" spans="1:4" x14ac:dyDescent="0.2">
      <c r="B17648" t="s">
        <v>8</v>
      </c>
      <c r="D17648" t="s">
        <v>23547</v>
      </c>
    </row>
    <row r="17649" spans="1:4" x14ac:dyDescent="0.2">
      <c r="B17649" t="s">
        <v>5479</v>
      </c>
      <c r="D17649" t="s">
        <v>23548</v>
      </c>
    </row>
    <row r="17651" spans="1:4" x14ac:dyDescent="0.2">
      <c r="A17651" t="s">
        <v>5904</v>
      </c>
      <c r="B17651" t="str">
        <f>HYPERLINK("https://lindat.mff.cuni.cz/services/teitok/pdtc10/index.php?action=vallex&amp;frame=v-w2135f2", "naplňovat (v-w2135f2)")</f>
        <v>naplňovat (v-w2135f2)</v>
      </c>
    </row>
    <row r="17652" spans="1:4" x14ac:dyDescent="0.2">
      <c r="B17652" t="s">
        <v>1</v>
      </c>
      <c r="C17652" t="s">
        <v>5905</v>
      </c>
      <c r="D17652" t="s">
        <v>23121</v>
      </c>
    </row>
    <row r="17653" spans="1:4" x14ac:dyDescent="0.2">
      <c r="B17653" t="s">
        <v>172</v>
      </c>
      <c r="C17653" t="s">
        <v>5906</v>
      </c>
      <c r="D17653" t="s">
        <v>23122</v>
      </c>
    </row>
    <row r="17655" spans="1:4" x14ac:dyDescent="0.2">
      <c r="A17655" t="s">
        <v>5907</v>
      </c>
      <c r="B17655" t="str">
        <f>HYPERLINK("https://lindat.mff.cuni.cz/services/teitok/pdtc10/index.php?action=vallex&amp;frame=v-w2136f1", "naplňovat se (v-w2136f1)")</f>
        <v>naplňovat se (v-w2136f1)</v>
      </c>
    </row>
    <row r="17656" spans="1:4" x14ac:dyDescent="0.2">
      <c r="B17656" t="s">
        <v>1</v>
      </c>
    </row>
    <row r="17658" spans="1:4" x14ac:dyDescent="0.2">
      <c r="A17658" t="s">
        <v>5908</v>
      </c>
      <c r="B17658" t="str">
        <f>HYPERLINK("https://lindat.mff.cuni.cz/services/teitok/pdtc10/index.php?action=vallex&amp;frame=v-w2138f3", "napnout (v-w2138f3)")</f>
        <v>napnout (v-w2138f3)</v>
      </c>
    </row>
    <row r="17659" spans="1:4" x14ac:dyDescent="0.2">
      <c r="B17659" t="s">
        <v>1</v>
      </c>
      <c r="C17659" t="s">
        <v>80</v>
      </c>
    </row>
    <row r="17660" spans="1:4" x14ac:dyDescent="0.2">
      <c r="B17660" t="s">
        <v>5909</v>
      </c>
      <c r="C17660" t="s">
        <v>2240</v>
      </c>
    </row>
    <row r="17662" spans="1:4" x14ac:dyDescent="0.2">
      <c r="A17662" t="s">
        <v>5910</v>
      </c>
      <c r="B17662" t="str">
        <f>HYPERLINK("https://lindat.mff.cuni.cz/services/teitok/pdtc10/index.php?action=vallex&amp;frame=v-w2138f1", "napnout (v-w2138f1)")</f>
        <v>napnout (v-w2138f1)</v>
      </c>
    </row>
    <row r="17663" spans="1:4" x14ac:dyDescent="0.2">
      <c r="B17663" t="s">
        <v>1</v>
      </c>
    </row>
    <row r="17664" spans="1:4" x14ac:dyDescent="0.2">
      <c r="B17664" t="s">
        <v>8</v>
      </c>
    </row>
    <row r="17666" spans="1:4" x14ac:dyDescent="0.2">
      <c r="A17666" t="s">
        <v>5911</v>
      </c>
      <c r="B17666" t="str">
        <f>HYPERLINK("https://lindat.mff.cuni.cz/services/teitok/pdtc10/index.php?action=vallex&amp;frame=v-w11275f1", "napnout se (v-w11275f1)")</f>
        <v>napnout se (v-w11275f1)</v>
      </c>
    </row>
    <row r="17667" spans="1:4" x14ac:dyDescent="0.2">
      <c r="B17667" t="s">
        <v>1</v>
      </c>
      <c r="D17667" t="s">
        <v>23550</v>
      </c>
    </row>
    <row r="17669" spans="1:4" x14ac:dyDescent="0.2">
      <c r="A17669" t="s">
        <v>5912</v>
      </c>
      <c r="B17669" t="str">
        <f>HYPERLINK("https://lindat.mff.cuni.cz/services/teitok/pdtc10/index.php?action=vallex&amp;frame=v-w2142f1", "napodobit (v-w2142f1)")</f>
        <v>napodobit (v-w2142f1)</v>
      </c>
    </row>
    <row r="17670" spans="1:4" x14ac:dyDescent="0.2">
      <c r="B17670" t="s">
        <v>1</v>
      </c>
      <c r="C17670" t="s">
        <v>5913</v>
      </c>
      <c r="D17670" t="s">
        <v>2303</v>
      </c>
    </row>
    <row r="17671" spans="1:4" x14ac:dyDescent="0.2">
      <c r="B17671" t="s">
        <v>67</v>
      </c>
      <c r="C17671" t="s">
        <v>5914</v>
      </c>
      <c r="D17671" t="s">
        <v>2240</v>
      </c>
    </row>
    <row r="17673" spans="1:4" x14ac:dyDescent="0.2">
      <c r="A17673" t="s">
        <v>5915</v>
      </c>
      <c r="B17673" t="str">
        <f>HYPERLINK("https://lindat.mff.cuni.cz/services/teitok/pdtc10/index.php?action=vallex&amp;frame=v-w2144f1", "napodobovat (v-w2144f1)")</f>
        <v>napodobovat (v-w2144f1)</v>
      </c>
    </row>
    <row r="17674" spans="1:4" x14ac:dyDescent="0.2">
      <c r="B17674" t="s">
        <v>1</v>
      </c>
      <c r="C17674" t="s">
        <v>5916</v>
      </c>
      <c r="D17674" t="s">
        <v>2303</v>
      </c>
    </row>
    <row r="17675" spans="1:4" x14ac:dyDescent="0.2">
      <c r="B17675" t="s">
        <v>67</v>
      </c>
      <c r="C17675" t="s">
        <v>5917</v>
      </c>
      <c r="D17675" t="s">
        <v>2240</v>
      </c>
    </row>
    <row r="17677" spans="1:4" x14ac:dyDescent="0.2">
      <c r="A17677" t="s">
        <v>5918</v>
      </c>
      <c r="B17677" t="str">
        <f>HYPERLINK("https://lindat.mff.cuni.cz/services/teitok/pdtc10/index.php?action=vallex&amp;frame=v-w2146f1", "napojit (v-w2146f1)")</f>
        <v>napojit (v-w2146f1)</v>
      </c>
    </row>
    <row r="17678" spans="1:4" x14ac:dyDescent="0.2">
      <c r="B17678" t="s">
        <v>1</v>
      </c>
      <c r="D17678" t="s">
        <v>4281</v>
      </c>
    </row>
    <row r="17679" spans="1:4" x14ac:dyDescent="0.2">
      <c r="B17679" t="s">
        <v>8</v>
      </c>
      <c r="D17679" t="s">
        <v>1025</v>
      </c>
    </row>
    <row r="17680" spans="1:4" x14ac:dyDescent="0.2">
      <c r="B17680" t="s">
        <v>90</v>
      </c>
      <c r="D17680" t="s">
        <v>23551</v>
      </c>
    </row>
    <row r="17682" spans="1:3" x14ac:dyDescent="0.2">
      <c r="A17682" t="s">
        <v>5919</v>
      </c>
      <c r="B17682" t="str">
        <f>HYPERLINK("https://lindat.mff.cuni.cz/services/teitok/pdtc10/index.php?action=vallex&amp;frame=v-w2146f2", "napojit (v-w2146f2)")</f>
        <v>napojit (v-w2146f2)</v>
      </c>
    </row>
    <row r="17683" spans="1:3" x14ac:dyDescent="0.2">
      <c r="B17683" t="s">
        <v>1</v>
      </c>
    </row>
    <row r="17684" spans="1:3" x14ac:dyDescent="0.2">
      <c r="B17684" t="s">
        <v>8</v>
      </c>
    </row>
    <row r="17686" spans="1:3" x14ac:dyDescent="0.2">
      <c r="A17686" t="s">
        <v>5920</v>
      </c>
      <c r="B17686" t="str">
        <f>HYPERLINK("https://lindat.mff.cuni.cz/services/teitok/pdtc10/index.php?action=vallex&amp;frame=v-w11523_ZUf1_ZU", "napojit se (v-w11523_ZUf1_ZU)")</f>
        <v>napojit se (v-w11523_ZUf1_ZU)</v>
      </c>
    </row>
    <row r="17687" spans="1:3" x14ac:dyDescent="0.2">
      <c r="B17687" t="s">
        <v>1</v>
      </c>
      <c r="C17687" t="s">
        <v>133</v>
      </c>
    </row>
    <row r="17688" spans="1:3" x14ac:dyDescent="0.2">
      <c r="B17688" t="s">
        <v>28</v>
      </c>
      <c r="C17688" t="s">
        <v>5921</v>
      </c>
    </row>
    <row r="17690" spans="1:3" x14ac:dyDescent="0.2">
      <c r="A17690" t="s">
        <v>5922</v>
      </c>
      <c r="B17690" t="str">
        <f>HYPERLINK("https://lindat.mff.cuni.cz/services/teitok/pdtc10/index.php?action=vallex&amp;frame=v-w11857_ZUf1_ZU", "napojovat (v-w11857_ZUf1_ZU)")</f>
        <v>napojovat (v-w11857_ZUf1_ZU)</v>
      </c>
    </row>
    <row r="17691" spans="1:3" x14ac:dyDescent="0.2">
      <c r="B17691" t="s">
        <v>1</v>
      </c>
    </row>
    <row r="17692" spans="1:3" x14ac:dyDescent="0.2">
      <c r="B17692" t="s">
        <v>8</v>
      </c>
    </row>
    <row r="17693" spans="1:3" x14ac:dyDescent="0.2">
      <c r="B17693" t="s">
        <v>252</v>
      </c>
    </row>
    <row r="17695" spans="1:3" x14ac:dyDescent="0.2">
      <c r="A17695" t="s">
        <v>5923</v>
      </c>
      <c r="B17695" t="str">
        <f>HYPERLINK("https://lindat.mff.cuni.cz/services/teitok/pdtc10/index.php?action=vallex&amp;frame=v-w2149f1", "napomenout (v-w2149f1)")</f>
        <v>napomenout (v-w2149f1)</v>
      </c>
    </row>
    <row r="17696" spans="1:3" x14ac:dyDescent="0.2">
      <c r="B17696" t="s">
        <v>1</v>
      </c>
    </row>
    <row r="17697" spans="1:4" x14ac:dyDescent="0.2">
      <c r="B17697" t="s">
        <v>8</v>
      </c>
    </row>
    <row r="17699" spans="1:4" x14ac:dyDescent="0.2">
      <c r="A17699" t="s">
        <v>5924</v>
      </c>
      <c r="B17699" t="str">
        <f>HYPERLINK("https://lindat.mff.cuni.cz/services/teitok/pdtc10/index.php?action=vallex&amp;frame=v-w2151f2", "napomoci (v-w2151f2)")</f>
        <v>napomoci (v-w2151f2)</v>
      </c>
    </row>
    <row r="17700" spans="1:4" x14ac:dyDescent="0.2">
      <c r="B17700" t="s">
        <v>1</v>
      </c>
      <c r="C17700" t="s">
        <v>5925</v>
      </c>
      <c r="D17700" t="s">
        <v>23552</v>
      </c>
    </row>
    <row r="17701" spans="1:4" x14ac:dyDescent="0.2">
      <c r="B17701" t="s">
        <v>198</v>
      </c>
      <c r="C17701" t="s">
        <v>5926</v>
      </c>
      <c r="D17701" t="s">
        <v>23553</v>
      </c>
    </row>
    <row r="17703" spans="1:4" x14ac:dyDescent="0.2">
      <c r="A17703" t="s">
        <v>5927</v>
      </c>
      <c r="B17703" t="str">
        <f>HYPERLINK("https://lindat.mff.cuni.cz/services/teitok/pdtc10/index.php?action=vallex&amp;frame=v-w2151f3", "napomoci (v-w2151f3)")</f>
        <v>napomoci (v-w2151f3)</v>
      </c>
    </row>
    <row r="17704" spans="1:4" x14ac:dyDescent="0.2">
      <c r="B17704" t="s">
        <v>811</v>
      </c>
      <c r="C17704" t="s">
        <v>5928</v>
      </c>
      <c r="D17704" t="s">
        <v>23554</v>
      </c>
    </row>
    <row r="17705" spans="1:4" x14ac:dyDescent="0.2">
      <c r="B17705" t="s">
        <v>35</v>
      </c>
      <c r="C17705" t="s">
        <v>5929</v>
      </c>
      <c r="D17705" t="s">
        <v>23555</v>
      </c>
    </row>
    <row r="17706" spans="1:4" x14ac:dyDescent="0.2">
      <c r="B17706" t="s">
        <v>5930</v>
      </c>
      <c r="C17706" t="s">
        <v>5931</v>
      </c>
      <c r="D17706" t="s">
        <v>23556</v>
      </c>
    </row>
    <row r="17708" spans="1:4" x14ac:dyDescent="0.2">
      <c r="A17708" t="s">
        <v>5932</v>
      </c>
      <c r="B17708" t="str">
        <f>HYPERLINK("https://lindat.mff.cuni.cz/services/teitok/pdtc10/index.php?action=vallex&amp;frame=v-w2151f1", "napomoci (v-w2151f1)")</f>
        <v>napomoci (v-w2151f1)</v>
      </c>
    </row>
    <row r="17709" spans="1:4" x14ac:dyDescent="0.2">
      <c r="B17709" t="s">
        <v>1</v>
      </c>
      <c r="C17709" t="s">
        <v>5933</v>
      </c>
      <c r="D17709" t="s">
        <v>23554</v>
      </c>
    </row>
    <row r="17710" spans="1:4" x14ac:dyDescent="0.2">
      <c r="B17710" t="s">
        <v>35</v>
      </c>
      <c r="C17710" t="s">
        <v>5934</v>
      </c>
      <c r="D17710" t="s">
        <v>23555</v>
      </c>
    </row>
    <row r="17711" spans="1:4" x14ac:dyDescent="0.2">
      <c r="B17711" t="s">
        <v>5935</v>
      </c>
      <c r="C17711" t="s">
        <v>5931</v>
      </c>
      <c r="D17711" t="s">
        <v>23556</v>
      </c>
    </row>
    <row r="17713" spans="1:4" x14ac:dyDescent="0.2">
      <c r="A17713" t="s">
        <v>5936</v>
      </c>
      <c r="B17713" t="str">
        <f>HYPERLINK("https://lindat.mff.cuni.cz/services/teitok/pdtc10/index.php?action=vallex&amp;frame=v-w2148f1", "napomáhat (v-w2148f1)")</f>
        <v>napomáhat (v-w2148f1)</v>
      </c>
    </row>
    <row r="17714" spans="1:4" x14ac:dyDescent="0.2">
      <c r="B17714" t="s">
        <v>1</v>
      </c>
      <c r="C17714" t="s">
        <v>5937</v>
      </c>
      <c r="D17714" t="s">
        <v>23552</v>
      </c>
    </row>
    <row r="17715" spans="1:4" x14ac:dyDescent="0.2">
      <c r="B17715" t="s">
        <v>198</v>
      </c>
      <c r="C17715" t="s">
        <v>4676</v>
      </c>
      <c r="D17715" t="s">
        <v>23553</v>
      </c>
    </row>
    <row r="17717" spans="1:4" x14ac:dyDescent="0.2">
      <c r="A17717" t="s">
        <v>5938</v>
      </c>
      <c r="B17717" t="str">
        <f>HYPERLINK("https://lindat.mff.cuni.cz/services/teitok/pdtc10/index.php?action=vallex&amp;frame=v-w2148f3", "napomáhat (v-w2148f3)")</f>
        <v>napomáhat (v-w2148f3)</v>
      </c>
    </row>
    <row r="17718" spans="1:4" x14ac:dyDescent="0.2">
      <c r="B17718" t="s">
        <v>1</v>
      </c>
      <c r="C17718" t="s">
        <v>5939</v>
      </c>
      <c r="D17718" t="s">
        <v>23554</v>
      </c>
    </row>
    <row r="17719" spans="1:4" x14ac:dyDescent="0.2">
      <c r="B17719" t="s">
        <v>35</v>
      </c>
      <c r="C17719" t="s">
        <v>5929</v>
      </c>
      <c r="D17719" t="s">
        <v>23555</v>
      </c>
    </row>
    <row r="17720" spans="1:4" x14ac:dyDescent="0.2">
      <c r="B17720" t="s">
        <v>5935</v>
      </c>
      <c r="C17720" t="s">
        <v>5940</v>
      </c>
      <c r="D17720" t="s">
        <v>23556</v>
      </c>
    </row>
    <row r="17722" spans="1:4" x14ac:dyDescent="0.2">
      <c r="A17722" t="s">
        <v>5941</v>
      </c>
      <c r="B17722" t="str">
        <f>HYPERLINK("https://lindat.mff.cuni.cz/services/teitok/pdtc10/index.php?action=vallex&amp;frame=v-w2148f4_ZU", "napomáhat (v-w2148f4_ZU)")</f>
        <v>napomáhat (v-w2148f4_ZU)</v>
      </c>
    </row>
    <row r="17723" spans="1:4" x14ac:dyDescent="0.2">
      <c r="B17723" t="s">
        <v>5942</v>
      </c>
      <c r="D17723" t="s">
        <v>23554</v>
      </c>
    </row>
    <row r="17724" spans="1:4" x14ac:dyDescent="0.2">
      <c r="B17724" t="s">
        <v>35</v>
      </c>
      <c r="D17724" t="s">
        <v>23555</v>
      </c>
    </row>
    <row r="17725" spans="1:4" x14ac:dyDescent="0.2">
      <c r="B17725" t="s">
        <v>5930</v>
      </c>
      <c r="D17725" t="s">
        <v>23556</v>
      </c>
    </row>
    <row r="17727" spans="1:4" x14ac:dyDescent="0.2">
      <c r="A17727" t="s">
        <v>5941</v>
      </c>
      <c r="B17727" t="str">
        <f>HYPERLINK("https://lindat.mff.cuni.cz/services/teitok/pdtc10/index.php?action=vallex&amp;frame=v-w2148f2", "napomáhat (v-w2148f2) - substituted with v-w2148f4_ZU")</f>
        <v>napomáhat (v-w2148f2) - substituted with v-w2148f4_ZU</v>
      </c>
    </row>
    <row r="17728" spans="1:4" x14ac:dyDescent="0.2">
      <c r="B17728" t="s">
        <v>5942</v>
      </c>
    </row>
    <row r="17729" spans="1:4" x14ac:dyDescent="0.2">
      <c r="B17729" t="s">
        <v>35</v>
      </c>
    </row>
    <row r="17730" spans="1:4" x14ac:dyDescent="0.2">
      <c r="B17730" t="s">
        <v>5930</v>
      </c>
    </row>
    <row r="17732" spans="1:4" x14ac:dyDescent="0.2">
      <c r="A17732" t="s">
        <v>5943</v>
      </c>
      <c r="B17732" t="str">
        <f>HYPERLINK("https://lindat.mff.cuni.cz/services/teitok/pdtc10/index.php?action=vallex&amp;frame=v-w11524_ZUf1_ZU", "napomínat (v-w11524_ZUf1_ZU)")</f>
        <v>napomínat (v-w11524_ZUf1_ZU)</v>
      </c>
    </row>
    <row r="17733" spans="1:4" x14ac:dyDescent="0.2">
      <c r="B17733" t="s">
        <v>1</v>
      </c>
      <c r="D17733" t="s">
        <v>976</v>
      </c>
    </row>
    <row r="17734" spans="1:4" x14ac:dyDescent="0.2">
      <c r="B17734" t="s">
        <v>8</v>
      </c>
      <c r="C17734" t="s">
        <v>113</v>
      </c>
      <c r="D17734" t="s">
        <v>23557</v>
      </c>
    </row>
    <row r="17736" spans="1:4" x14ac:dyDescent="0.2">
      <c r="A17736" t="s">
        <v>5944</v>
      </c>
      <c r="B17736" t="str">
        <f>HYPERLINK("https://lindat.mff.cuni.cz/services/teitok/pdtc10/index.php?action=vallex&amp;frame=v-whsb_165hsa_166", "naporcovat (v-whsb_165hsa_166)")</f>
        <v>naporcovat (v-whsb_165hsa_166)</v>
      </c>
    </row>
    <row r="17737" spans="1:4" x14ac:dyDescent="0.2">
      <c r="B17737" t="s">
        <v>1</v>
      </c>
    </row>
    <row r="17738" spans="1:4" x14ac:dyDescent="0.2">
      <c r="B17738" t="s">
        <v>8</v>
      </c>
    </row>
    <row r="17739" spans="1:4" x14ac:dyDescent="0.2">
      <c r="B17739" t="s">
        <v>61</v>
      </c>
    </row>
    <row r="17741" spans="1:4" x14ac:dyDescent="0.2">
      <c r="A17741" t="s">
        <v>5945</v>
      </c>
      <c r="B17741" t="str">
        <f>HYPERLINK("https://lindat.mff.cuni.cz/services/teitok/pdtc10/index.php?action=vallex&amp;frame=v-w2154f1", "napovídat (v-w2154f1)")</f>
        <v>napovídat (v-w2154f1)</v>
      </c>
    </row>
    <row r="17742" spans="1:4" x14ac:dyDescent="0.2">
      <c r="B17742" t="s">
        <v>1</v>
      </c>
      <c r="C17742" t="s">
        <v>5946</v>
      </c>
      <c r="D17742" t="s">
        <v>23558</v>
      </c>
    </row>
    <row r="17743" spans="1:4" x14ac:dyDescent="0.2">
      <c r="B17743" t="s">
        <v>5559</v>
      </c>
      <c r="C17743" t="s">
        <v>5947</v>
      </c>
      <c r="D17743" t="s">
        <v>23559</v>
      </c>
    </row>
    <row r="17744" spans="1:4" x14ac:dyDescent="0.2">
      <c r="B17744" t="s">
        <v>35</v>
      </c>
      <c r="C17744" t="s">
        <v>5948</v>
      </c>
      <c r="D17744" t="s">
        <v>6378</v>
      </c>
    </row>
    <row r="17746" spans="1:4" x14ac:dyDescent="0.2">
      <c r="A17746" t="s">
        <v>5949</v>
      </c>
      <c r="B17746" t="str">
        <f>HYPERLINK("https://lindat.mff.cuni.cz/services/teitok/pdtc10/index.php?action=vallex&amp;frame=v-w2154f2", "napovídat (v-w2154f2)")</f>
        <v>napovídat (v-w2154f2)</v>
      </c>
    </row>
    <row r="17747" spans="1:4" x14ac:dyDescent="0.2">
      <c r="B17747" t="s">
        <v>1</v>
      </c>
    </row>
    <row r="17748" spans="1:4" x14ac:dyDescent="0.2">
      <c r="B17748" t="s">
        <v>5950</v>
      </c>
    </row>
    <row r="17749" spans="1:4" x14ac:dyDescent="0.2">
      <c r="B17749" t="s">
        <v>269</v>
      </c>
    </row>
    <row r="17750" spans="1:4" x14ac:dyDescent="0.2">
      <c r="B17750" t="s">
        <v>78</v>
      </c>
    </row>
    <row r="17752" spans="1:4" x14ac:dyDescent="0.2">
      <c r="A17752" t="s">
        <v>5951</v>
      </c>
      <c r="B17752" t="str">
        <f>HYPERLINK("https://lindat.mff.cuni.cz/services/teitok/pdtc10/index.php?action=vallex&amp;frame=v-w2154hsa_454", "napovídat (v-w2154hsa_454)")</f>
        <v>napovídat (v-w2154hsa_454)</v>
      </c>
    </row>
    <row r="17753" spans="1:4" x14ac:dyDescent="0.2">
      <c r="B17753" t="s">
        <v>1</v>
      </c>
      <c r="D17753" t="s">
        <v>23558</v>
      </c>
    </row>
    <row r="17754" spans="1:4" x14ac:dyDescent="0.2">
      <c r="B17754" t="s">
        <v>1609</v>
      </c>
      <c r="D17754" t="s">
        <v>23560</v>
      </c>
    </row>
    <row r="17755" spans="1:4" x14ac:dyDescent="0.2">
      <c r="B17755" t="s">
        <v>269</v>
      </c>
      <c r="D17755" t="s">
        <v>23559</v>
      </c>
    </row>
    <row r="17756" spans="1:4" x14ac:dyDescent="0.2">
      <c r="B17756" t="s">
        <v>78</v>
      </c>
      <c r="D17756" t="s">
        <v>6378</v>
      </c>
    </row>
    <row r="17758" spans="1:4" x14ac:dyDescent="0.2">
      <c r="A17758" t="s">
        <v>5952</v>
      </c>
      <c r="B17758" t="str">
        <f>HYPERLINK("https://lindat.mff.cuni.cz/services/teitok/pdtc10/index.php?action=vallex&amp;frame=v-w2153f1", "napovědět (v-w2153f1)")</f>
        <v>napovědět (v-w2153f1)</v>
      </c>
    </row>
    <row r="17759" spans="1:4" x14ac:dyDescent="0.2">
      <c r="B17759" t="s">
        <v>1</v>
      </c>
      <c r="D17759" t="s">
        <v>23558</v>
      </c>
    </row>
    <row r="17760" spans="1:4" x14ac:dyDescent="0.2">
      <c r="B17760" t="s">
        <v>5953</v>
      </c>
      <c r="D17760" t="s">
        <v>23559</v>
      </c>
    </row>
    <row r="17761" spans="1:4" x14ac:dyDescent="0.2">
      <c r="B17761" t="s">
        <v>35</v>
      </c>
      <c r="D17761" t="s">
        <v>6378</v>
      </c>
    </row>
    <row r="17763" spans="1:4" x14ac:dyDescent="0.2">
      <c r="A17763" t="s">
        <v>5954</v>
      </c>
      <c r="B17763" t="str">
        <f>HYPERLINK("https://lindat.mff.cuni.cz/services/teitok/pdtc10/index.php?action=vallex&amp;frame=v-w2139f1", "napočítat (v-w2139f1)")</f>
        <v>napočítat (v-w2139f1)</v>
      </c>
    </row>
    <row r="17764" spans="1:4" x14ac:dyDescent="0.2">
      <c r="B17764" t="s">
        <v>1</v>
      </c>
      <c r="C17764" t="s">
        <v>1125</v>
      </c>
    </row>
    <row r="17765" spans="1:4" x14ac:dyDescent="0.2">
      <c r="B17765" t="s">
        <v>8</v>
      </c>
      <c r="C17765" t="s">
        <v>1340</v>
      </c>
    </row>
    <row r="17767" spans="1:4" x14ac:dyDescent="0.2">
      <c r="A17767" t="s">
        <v>5955</v>
      </c>
      <c r="B17767" t="str">
        <f>HYPERLINK("https://lindat.mff.cuni.cz/services/teitok/pdtc10/index.php?action=vallex&amp;frame=v-w2139f2_MM", "napočítat (v-w2139f2_MM)")</f>
        <v>napočítat (v-w2139f2_MM)</v>
      </c>
    </row>
    <row r="17768" spans="1:4" x14ac:dyDescent="0.2">
      <c r="B17768" t="s">
        <v>1</v>
      </c>
    </row>
    <row r="17769" spans="1:4" x14ac:dyDescent="0.2">
      <c r="B17769" t="s">
        <v>8</v>
      </c>
    </row>
    <row r="17770" spans="1:4" x14ac:dyDescent="0.2">
      <c r="B17770" t="s">
        <v>61</v>
      </c>
    </row>
    <row r="17772" spans="1:4" x14ac:dyDescent="0.2">
      <c r="A17772" t="s">
        <v>5956</v>
      </c>
      <c r="B17772" t="str">
        <f>HYPERLINK("https://lindat.mff.cuni.cz/services/teitok/pdtc10/index.php?action=vallex&amp;frame=v-whsb_567hsa_568", "napracovat (v-whsb_567hsa_568)")</f>
        <v>napracovat (v-whsb_567hsa_568)</v>
      </c>
    </row>
    <row r="17773" spans="1:4" x14ac:dyDescent="0.2">
      <c r="B17773" t="s">
        <v>1</v>
      </c>
    </row>
    <row r="17774" spans="1:4" x14ac:dyDescent="0.2">
      <c r="B17774" t="s">
        <v>8</v>
      </c>
    </row>
    <row r="17776" spans="1:4" x14ac:dyDescent="0.2">
      <c r="A17776" t="s">
        <v>5957</v>
      </c>
      <c r="B17776" t="str">
        <f>HYPERLINK("https://lindat.mff.cuni.cz/services/teitok/pdtc10/index.php?action=vallex&amp;frame=v-w12122_ZUf1_ZU", "napracovat se (v-w12122_ZUf1_ZU)")</f>
        <v>napracovat se (v-w12122_ZUf1_ZU)</v>
      </c>
    </row>
    <row r="17777" spans="1:4" x14ac:dyDescent="0.2">
      <c r="B17777" t="s">
        <v>1</v>
      </c>
    </row>
    <row r="17778" spans="1:4" x14ac:dyDescent="0.2">
      <c r="B17778" t="s">
        <v>2712</v>
      </c>
    </row>
    <row r="17780" spans="1:4" x14ac:dyDescent="0.2">
      <c r="A17780" t="s">
        <v>5958</v>
      </c>
      <c r="B17780" t="str">
        <f>HYPERLINK("https://lindat.mff.cuni.cz/services/teitok/pdtc10/index.php?action=vallex&amp;frame=v-whsb_147f1_ZU", "napracovávat (v-whsb_147f1_ZU)")</f>
        <v>napracovávat (v-whsb_147f1_ZU)</v>
      </c>
    </row>
    <row r="17781" spans="1:4" x14ac:dyDescent="0.2">
      <c r="B17781" t="s">
        <v>1</v>
      </c>
    </row>
    <row r="17782" spans="1:4" x14ac:dyDescent="0.2">
      <c r="B17782" t="s">
        <v>8</v>
      </c>
    </row>
    <row r="17784" spans="1:4" x14ac:dyDescent="0.2">
      <c r="A17784" t="s">
        <v>5958</v>
      </c>
      <c r="B17784" t="str">
        <f>HYPERLINK("https://lindat.mff.cuni.cz/services/teitok/pdtc10/index.php?action=vallex&amp;frame=v-whsb_147hsa_148", "napracovávat (v-whsb_147hsa_148) - substituted with v-whsb_147f1_ZU")</f>
        <v>napracovávat (v-whsb_147hsa_148) - substituted with v-whsb_147f1_ZU</v>
      </c>
    </row>
    <row r="17785" spans="1:4" x14ac:dyDescent="0.2">
      <c r="B17785" t="s">
        <v>1</v>
      </c>
    </row>
    <row r="17786" spans="1:4" x14ac:dyDescent="0.2">
      <c r="B17786" t="s">
        <v>8</v>
      </c>
    </row>
    <row r="17788" spans="1:4" x14ac:dyDescent="0.2">
      <c r="A17788" t="s">
        <v>5959</v>
      </c>
      <c r="B17788" t="str">
        <f>HYPERLINK("https://lindat.mff.cuni.cz/services/teitok/pdtc10/index.php?action=vallex&amp;frame=v-w2158f1", "napravit (v-w2158f1)")</f>
        <v>napravit (v-w2158f1)</v>
      </c>
    </row>
    <row r="17789" spans="1:4" x14ac:dyDescent="0.2">
      <c r="B17789" t="s">
        <v>1</v>
      </c>
      <c r="C17789" t="s">
        <v>5960</v>
      </c>
      <c r="D17789" t="s">
        <v>4082</v>
      </c>
    </row>
    <row r="17790" spans="1:4" x14ac:dyDescent="0.2">
      <c r="B17790" t="s">
        <v>8</v>
      </c>
      <c r="C17790" t="s">
        <v>341</v>
      </c>
      <c r="D17790" t="s">
        <v>23406</v>
      </c>
    </row>
    <row r="17792" spans="1:4" x14ac:dyDescent="0.2">
      <c r="A17792" t="s">
        <v>5961</v>
      </c>
      <c r="B17792" t="str">
        <f>HYPERLINK("https://lindat.mff.cuni.cz/services/teitok/pdtc10/index.php?action=vallex&amp;frame=v-w2159f1", "napravovat (v-w2159f1)")</f>
        <v>napravovat (v-w2159f1)</v>
      </c>
    </row>
    <row r="17793" spans="1:4" x14ac:dyDescent="0.2">
      <c r="B17793" t="s">
        <v>1</v>
      </c>
      <c r="D17793" t="s">
        <v>4082</v>
      </c>
    </row>
    <row r="17794" spans="1:4" x14ac:dyDescent="0.2">
      <c r="B17794" t="s">
        <v>8</v>
      </c>
      <c r="D17794" t="s">
        <v>23406</v>
      </c>
    </row>
    <row r="17796" spans="1:4" x14ac:dyDescent="0.2">
      <c r="A17796" t="s">
        <v>5962</v>
      </c>
      <c r="B17796" t="str">
        <f>HYPERLINK("https://lindat.mff.cuni.cz/services/teitok/pdtc10/index.php?action=vallex&amp;frame=v-w11079f2", "naprogramovat (v-w11079f2)")</f>
        <v>naprogramovat (v-w11079f2)</v>
      </c>
    </row>
    <row r="17797" spans="1:4" x14ac:dyDescent="0.2">
      <c r="B17797" t="s">
        <v>1</v>
      </c>
      <c r="C17797" t="s">
        <v>140</v>
      </c>
      <c r="D17797" t="s">
        <v>140</v>
      </c>
    </row>
    <row r="17798" spans="1:4" x14ac:dyDescent="0.2">
      <c r="B17798" t="s">
        <v>8</v>
      </c>
      <c r="C17798" t="s">
        <v>5963</v>
      </c>
      <c r="D17798" t="s">
        <v>7745</v>
      </c>
    </row>
    <row r="17800" spans="1:4" x14ac:dyDescent="0.2">
      <c r="A17800" t="s">
        <v>5964</v>
      </c>
      <c r="B17800" t="str">
        <f>HYPERLINK("https://lindat.mff.cuni.cz/services/teitok/pdtc10/index.php?action=vallex&amp;frame=v-whsa_1913hsa_1914", "napršet (v-whsa_1913hsa_1914)")</f>
        <v>napršet (v-whsa_1913hsa_1914)</v>
      </c>
    </row>
    <row r="17802" spans="1:4" x14ac:dyDescent="0.2">
      <c r="A17802" t="s">
        <v>5965</v>
      </c>
      <c r="B17802" t="str">
        <f>HYPERLINK("https://lindat.mff.cuni.cz/services/teitok/pdtc10/index.php?action=vallex&amp;frame=v-w2163f5", "napsat (v-w2163f5)")</f>
        <v>napsat (v-w2163f5)</v>
      </c>
    </row>
    <row r="17803" spans="1:4" x14ac:dyDescent="0.2">
      <c r="B17803" t="s">
        <v>1</v>
      </c>
    </row>
    <row r="17804" spans="1:4" x14ac:dyDescent="0.2">
      <c r="B17804" t="s">
        <v>467</v>
      </c>
    </row>
    <row r="17805" spans="1:4" x14ac:dyDescent="0.2">
      <c r="B17805" t="s">
        <v>35</v>
      </c>
    </row>
    <row r="17807" spans="1:4" x14ac:dyDescent="0.2">
      <c r="A17807" t="s">
        <v>5966</v>
      </c>
      <c r="B17807" t="str">
        <f>HYPERLINK("https://lindat.mff.cuni.cz/services/teitok/pdtc10/index.php?action=vallex&amp;frame=v-w2163f6", "napsat (v-w2163f6)")</f>
        <v>napsat (v-w2163f6)</v>
      </c>
    </row>
    <row r="17808" spans="1:4" x14ac:dyDescent="0.2">
      <c r="B17808" t="s">
        <v>1</v>
      </c>
    </row>
    <row r="17809" spans="1:4" x14ac:dyDescent="0.2">
      <c r="B17809" t="s">
        <v>183</v>
      </c>
    </row>
    <row r="17810" spans="1:4" x14ac:dyDescent="0.2">
      <c r="B17810" t="s">
        <v>78</v>
      </c>
    </row>
    <row r="17812" spans="1:4" x14ac:dyDescent="0.2">
      <c r="A17812" t="s">
        <v>5967</v>
      </c>
      <c r="B17812" t="str">
        <f>HYPERLINK("https://lindat.mff.cuni.cz/services/teitok/pdtc10/index.php?action=vallex&amp;frame=v-w2163hsa_705", "napsat (v-w2163hsa_705)")</f>
        <v>napsat (v-w2163hsa_705)</v>
      </c>
    </row>
    <row r="17813" spans="1:4" x14ac:dyDescent="0.2">
      <c r="B17813" t="s">
        <v>1</v>
      </c>
    </row>
    <row r="17814" spans="1:4" x14ac:dyDescent="0.2">
      <c r="B17814" t="s">
        <v>120</v>
      </c>
    </row>
    <row r="17815" spans="1:4" x14ac:dyDescent="0.2">
      <c r="B17815" t="s">
        <v>5</v>
      </c>
    </row>
    <row r="17817" spans="1:4" x14ac:dyDescent="0.2">
      <c r="A17817" t="s">
        <v>5967</v>
      </c>
      <c r="B17817" t="str">
        <f>HYPERLINK("https://lindat.mff.cuni.cz/services/teitok/pdtc10/index.php?action=vallex&amp;frame=v-w2163f4", "napsat (v-w2163f4) - substituted with v-w2163hsa_705")</f>
        <v>napsat (v-w2163f4) - substituted with v-w2163hsa_705</v>
      </c>
    </row>
    <row r="17818" spans="1:4" x14ac:dyDescent="0.2">
      <c r="B17818" t="s">
        <v>1</v>
      </c>
      <c r="C17818" t="s">
        <v>5968</v>
      </c>
      <c r="D17818" t="s">
        <v>2303</v>
      </c>
    </row>
    <row r="17819" spans="1:4" x14ac:dyDescent="0.2">
      <c r="B17819" t="s">
        <v>120</v>
      </c>
      <c r="C17819" t="s">
        <v>31</v>
      </c>
      <c r="D17819" t="s">
        <v>23561</v>
      </c>
    </row>
    <row r="17820" spans="1:4" x14ac:dyDescent="0.2">
      <c r="B17820" t="s">
        <v>5</v>
      </c>
    </row>
    <row r="17822" spans="1:4" x14ac:dyDescent="0.2">
      <c r="A17822" t="s">
        <v>5969</v>
      </c>
      <c r="B17822" t="str">
        <f>HYPERLINK("https://lindat.mff.cuni.cz/services/teitok/pdtc10/index.php?action=vallex&amp;frame=v-w2163f3", "napsat (v-w2163f3)")</f>
        <v>napsat (v-w2163f3)</v>
      </c>
    </row>
    <row r="17823" spans="1:4" x14ac:dyDescent="0.2">
      <c r="B17823" t="s">
        <v>1</v>
      </c>
      <c r="C17823" t="s">
        <v>5968</v>
      </c>
      <c r="D17823" t="s">
        <v>2303</v>
      </c>
    </row>
    <row r="17824" spans="1:4" x14ac:dyDescent="0.2">
      <c r="B17824" t="s">
        <v>5970</v>
      </c>
      <c r="C17824" t="s">
        <v>5971</v>
      </c>
      <c r="D17824" t="s">
        <v>23561</v>
      </c>
    </row>
    <row r="17825" spans="1:4" x14ac:dyDescent="0.2">
      <c r="B17825" t="s">
        <v>90</v>
      </c>
    </row>
    <row r="17827" spans="1:4" x14ac:dyDescent="0.2">
      <c r="A17827" t="s">
        <v>5972</v>
      </c>
      <c r="B17827" t="str">
        <f>HYPERLINK("https://lindat.mff.cuni.cz/services/teitok/pdtc10/index.php?action=vallex&amp;frame=v-w2163f7", "napsat (v-w2163f7)")</f>
        <v>napsat (v-w2163f7)</v>
      </c>
    </row>
    <row r="17828" spans="1:4" x14ac:dyDescent="0.2">
      <c r="B17828" t="s">
        <v>1</v>
      </c>
    </row>
    <row r="17829" spans="1:4" x14ac:dyDescent="0.2">
      <c r="B17829" t="s">
        <v>467</v>
      </c>
    </row>
    <row r="17830" spans="1:4" x14ac:dyDescent="0.2">
      <c r="B17830" t="s">
        <v>90</v>
      </c>
    </row>
    <row r="17832" spans="1:4" x14ac:dyDescent="0.2">
      <c r="A17832" t="s">
        <v>5973</v>
      </c>
      <c r="B17832" t="str">
        <f>HYPERLINK("https://lindat.mff.cuni.cz/services/teitok/pdtc10/index.php?action=vallex&amp;frame=v-w2163f2", "napsat (v-w2163f2)")</f>
        <v>napsat (v-w2163f2)</v>
      </c>
    </row>
    <row r="17833" spans="1:4" x14ac:dyDescent="0.2">
      <c r="B17833" t="s">
        <v>1</v>
      </c>
      <c r="C17833" t="s">
        <v>5974</v>
      </c>
      <c r="D17833" t="s">
        <v>1566</v>
      </c>
    </row>
    <row r="17834" spans="1:4" x14ac:dyDescent="0.2">
      <c r="B17834" t="s">
        <v>8</v>
      </c>
      <c r="C17834" t="s">
        <v>5975</v>
      </c>
      <c r="D17834" t="s">
        <v>125</v>
      </c>
    </row>
    <row r="17836" spans="1:4" x14ac:dyDescent="0.2">
      <c r="A17836" t="s">
        <v>5976</v>
      </c>
      <c r="B17836" t="str">
        <f>HYPERLINK("https://lindat.mff.cuni.cz/services/teitok/pdtc10/index.php?action=vallex&amp;frame=v-w2163f1", "napsat (v-w2163f1)")</f>
        <v>napsat (v-w2163f1)</v>
      </c>
    </row>
    <row r="17837" spans="1:4" x14ac:dyDescent="0.2">
      <c r="B17837" t="s">
        <v>1</v>
      </c>
      <c r="C17837" t="s">
        <v>5977</v>
      </c>
      <c r="D17837" t="s">
        <v>22967</v>
      </c>
    </row>
    <row r="17838" spans="1:4" x14ac:dyDescent="0.2">
      <c r="B17838" t="s">
        <v>5604</v>
      </c>
      <c r="C17838" t="s">
        <v>5978</v>
      </c>
      <c r="D17838" t="s">
        <v>23120</v>
      </c>
    </row>
    <row r="17839" spans="1:4" x14ac:dyDescent="0.2">
      <c r="B17839" t="s">
        <v>269</v>
      </c>
      <c r="C17839" t="s">
        <v>5979</v>
      </c>
      <c r="D17839" t="s">
        <v>22968</v>
      </c>
    </row>
    <row r="17840" spans="1:4" x14ac:dyDescent="0.2">
      <c r="B17840" t="s">
        <v>78</v>
      </c>
      <c r="C17840" t="s">
        <v>5980</v>
      </c>
      <c r="D17840" t="s">
        <v>22969</v>
      </c>
    </row>
    <row r="17842" spans="1:3" x14ac:dyDescent="0.2">
      <c r="A17842" t="s">
        <v>5981</v>
      </c>
      <c r="B17842" t="str">
        <f>HYPERLINK("https://lindat.mff.cuni.cz/services/teitok/pdtc10/index.php?action=vallex&amp;frame=v-w2163hsa_841", "napsat (v-w2163hsa_841)")</f>
        <v>napsat (v-w2163hsa_841)</v>
      </c>
    </row>
    <row r="17843" spans="1:3" x14ac:dyDescent="0.2">
      <c r="B17843" t="s">
        <v>1</v>
      </c>
      <c r="C17843" t="s">
        <v>2400</v>
      </c>
    </row>
    <row r="17844" spans="1:3" x14ac:dyDescent="0.2">
      <c r="B17844" t="s">
        <v>8</v>
      </c>
      <c r="C17844" t="s">
        <v>3324</v>
      </c>
    </row>
    <row r="17846" spans="1:3" x14ac:dyDescent="0.2">
      <c r="A17846" t="s">
        <v>5982</v>
      </c>
      <c r="B17846" t="str">
        <f>HYPERLINK("https://lindat.mff.cuni.cz/services/teitok/pdtc10/index.php?action=vallex&amp;frame=v-w2163f8_ZU", "napsat (v-w2163f8_ZU)")</f>
        <v>napsat (v-w2163f8_ZU)</v>
      </c>
    </row>
    <row r="17847" spans="1:3" x14ac:dyDescent="0.2">
      <c r="B17847" t="s">
        <v>1</v>
      </c>
    </row>
    <row r="17848" spans="1:3" x14ac:dyDescent="0.2">
      <c r="B17848" t="s">
        <v>5983</v>
      </c>
    </row>
    <row r="17849" spans="1:3" x14ac:dyDescent="0.2">
      <c r="B17849" t="s">
        <v>35</v>
      </c>
    </row>
    <row r="17851" spans="1:3" x14ac:dyDescent="0.2">
      <c r="A17851" t="s">
        <v>5982</v>
      </c>
      <c r="B17851" t="str">
        <f>HYPERLINK("https://lindat.mff.cuni.cz/services/teitok/pdtc10/index.php?action=vallex&amp;frame=v-w2163hsa_704", "napsat (v-w2163hsa_704) - substituted with v-w2163f8_ZU")</f>
        <v>napsat (v-w2163hsa_704) - substituted with v-w2163f8_ZU</v>
      </c>
    </row>
    <row r="17852" spans="1:3" x14ac:dyDescent="0.2">
      <c r="B17852" t="s">
        <v>1</v>
      </c>
    </row>
    <row r="17853" spans="1:3" x14ac:dyDescent="0.2">
      <c r="B17853" t="s">
        <v>5983</v>
      </c>
    </row>
    <row r="17854" spans="1:3" x14ac:dyDescent="0.2">
      <c r="B17854" t="s">
        <v>35</v>
      </c>
    </row>
    <row r="17856" spans="1:3" x14ac:dyDescent="0.2">
      <c r="A17856" t="s">
        <v>5984</v>
      </c>
      <c r="B17856" t="str">
        <f>HYPERLINK("https://lindat.mff.cuni.cz/services/teitok/pdtc10/index.php?action=vallex&amp;frame=v-w2163f9_ZU", "napsat (v-w2163f9_ZU)")</f>
        <v>napsat (v-w2163f9_ZU)</v>
      </c>
    </row>
    <row r="17857" spans="1:4" x14ac:dyDescent="0.2">
      <c r="B17857" t="s">
        <v>1</v>
      </c>
    </row>
    <row r="17858" spans="1:4" x14ac:dyDescent="0.2">
      <c r="B17858" t="s">
        <v>8</v>
      </c>
    </row>
    <row r="17859" spans="1:4" x14ac:dyDescent="0.2">
      <c r="B17859" t="s">
        <v>5985</v>
      </c>
    </row>
    <row r="17861" spans="1:4" x14ac:dyDescent="0.2">
      <c r="A17861" t="s">
        <v>5986</v>
      </c>
      <c r="B17861" t="str">
        <f>HYPERLINK("https://lindat.mff.cuni.cz/services/teitok/pdtc10/index.php?action=vallex&amp;frame=v-w2163hsa_703", "napsat (v-w2163hsa_703)")</f>
        <v>napsat (v-w2163hsa_703)</v>
      </c>
    </row>
    <row r="17862" spans="1:4" x14ac:dyDescent="0.2">
      <c r="B17862" t="s">
        <v>1</v>
      </c>
    </row>
    <row r="17863" spans="1:4" x14ac:dyDescent="0.2">
      <c r="B17863" t="s">
        <v>8</v>
      </c>
    </row>
    <row r="17864" spans="1:4" x14ac:dyDescent="0.2">
      <c r="B17864" t="s">
        <v>35</v>
      </c>
    </row>
    <row r="17866" spans="1:4" x14ac:dyDescent="0.2">
      <c r="A17866" t="s">
        <v>5987</v>
      </c>
      <c r="B17866" t="str">
        <f>HYPERLINK("https://lindat.mff.cuni.cz/services/teitok/pdtc10/index.php?action=vallex&amp;frame=v-w10570f2", "napumpovat (v-w10570f2)")</f>
        <v>napumpovat (v-w10570f2)</v>
      </c>
    </row>
    <row r="17867" spans="1:4" x14ac:dyDescent="0.2">
      <c r="B17867" t="s">
        <v>1</v>
      </c>
      <c r="C17867" t="s">
        <v>5988</v>
      </c>
      <c r="D17867" t="s">
        <v>23066</v>
      </c>
    </row>
    <row r="17868" spans="1:4" x14ac:dyDescent="0.2">
      <c r="B17868" t="s">
        <v>8</v>
      </c>
      <c r="C17868" t="s">
        <v>5989</v>
      </c>
      <c r="D17868" t="s">
        <v>23067</v>
      </c>
    </row>
    <row r="17869" spans="1:4" x14ac:dyDescent="0.2">
      <c r="B17869" t="s">
        <v>90</v>
      </c>
      <c r="C17869" t="s">
        <v>1796</v>
      </c>
      <c r="D17869" t="s">
        <v>23068</v>
      </c>
    </row>
    <row r="17871" spans="1:4" x14ac:dyDescent="0.2">
      <c r="A17871" t="s">
        <v>5990</v>
      </c>
      <c r="B17871" t="str">
        <f>HYPERLINK("https://lindat.mff.cuni.cz/services/teitok/pdtc10/index.php?action=vallex&amp;frame=v-w2164f1", "napustit (v-w2164f1)")</f>
        <v>napustit (v-w2164f1)</v>
      </c>
    </row>
    <row r="17872" spans="1:4" x14ac:dyDescent="0.2">
      <c r="B17872" t="s">
        <v>1</v>
      </c>
    </row>
    <row r="17873" spans="1:4" x14ac:dyDescent="0.2">
      <c r="B17873" t="s">
        <v>8</v>
      </c>
    </row>
    <row r="17875" spans="1:4" x14ac:dyDescent="0.2">
      <c r="A17875" t="s">
        <v>5991</v>
      </c>
      <c r="B17875" t="str">
        <f>HYPERLINK("https://lindat.mff.cuni.cz/services/teitok/pdtc10/index.php?action=vallex&amp;frame=v-whsb_597hsa_598", "napytlíkovat (v-whsb_597hsa_598)")</f>
        <v>napytlíkovat (v-whsb_597hsa_598)</v>
      </c>
    </row>
    <row r="17876" spans="1:4" x14ac:dyDescent="0.2">
      <c r="B17876" t="s">
        <v>1</v>
      </c>
    </row>
    <row r="17877" spans="1:4" x14ac:dyDescent="0.2">
      <c r="B17877" t="s">
        <v>8</v>
      </c>
    </row>
    <row r="17879" spans="1:4" x14ac:dyDescent="0.2">
      <c r="A17879" t="s">
        <v>5992</v>
      </c>
      <c r="B17879" t="str">
        <f>HYPERLINK("https://lindat.mff.cuni.cz/services/teitok/pdtc10/index.php?action=vallex&amp;frame=v-w10700f2", "napáchat (v-w10700f2)")</f>
        <v>napáchat (v-w10700f2)</v>
      </c>
    </row>
    <row r="17880" spans="1:4" x14ac:dyDescent="0.2">
      <c r="B17880" t="s">
        <v>1</v>
      </c>
      <c r="C17880" t="s">
        <v>3622</v>
      </c>
      <c r="D17880" t="s">
        <v>23017</v>
      </c>
    </row>
    <row r="17881" spans="1:4" x14ac:dyDescent="0.2">
      <c r="B17881" t="s">
        <v>8</v>
      </c>
      <c r="C17881" t="s">
        <v>5993</v>
      </c>
      <c r="D17881" t="s">
        <v>23498</v>
      </c>
    </row>
    <row r="17883" spans="1:4" x14ac:dyDescent="0.2">
      <c r="A17883" t="s">
        <v>5994</v>
      </c>
      <c r="B17883" t="str">
        <f>HYPERLINK("https://lindat.mff.cuni.cz/services/teitok/pdtc10/index.php?action=vallex&amp;frame=v-w2124f2", "napájet (v-w2124f2)")</f>
        <v>napájet (v-w2124f2)</v>
      </c>
    </row>
    <row r="17884" spans="1:4" x14ac:dyDescent="0.2">
      <c r="B17884" t="s">
        <v>1</v>
      </c>
      <c r="D17884" t="s">
        <v>4281</v>
      </c>
    </row>
    <row r="17885" spans="1:4" x14ac:dyDescent="0.2">
      <c r="B17885" t="s">
        <v>8</v>
      </c>
      <c r="D17885" t="s">
        <v>1025</v>
      </c>
    </row>
    <row r="17886" spans="1:4" x14ac:dyDescent="0.2">
      <c r="B17886" t="s">
        <v>90</v>
      </c>
      <c r="D17886" t="s">
        <v>23551</v>
      </c>
    </row>
    <row r="17888" spans="1:4" x14ac:dyDescent="0.2">
      <c r="A17888" t="s">
        <v>5995</v>
      </c>
      <c r="B17888" t="str">
        <f>HYPERLINK("https://lindat.mff.cuni.cz/services/teitok/pdtc10/index.php?action=vallex&amp;frame=v-w2124f1", "napájet (v-w2124f1)")</f>
        <v>napájet (v-w2124f1)</v>
      </c>
    </row>
    <row r="17889" spans="1:4" x14ac:dyDescent="0.2">
      <c r="B17889" t="s">
        <v>1</v>
      </c>
      <c r="D17889" t="s">
        <v>23562</v>
      </c>
    </row>
    <row r="17890" spans="1:4" x14ac:dyDescent="0.2">
      <c r="B17890" t="s">
        <v>8</v>
      </c>
      <c r="C17890" t="s">
        <v>2253</v>
      </c>
      <c r="D17890" t="s">
        <v>8709</v>
      </c>
    </row>
    <row r="17892" spans="1:4" x14ac:dyDescent="0.2">
      <c r="A17892" t="s">
        <v>5996</v>
      </c>
      <c r="B17892" t="str">
        <f>HYPERLINK("https://lindat.mff.cuni.cz/services/teitok/pdtc10/index.php?action=vallex&amp;frame=v-w2124f3", "napájet (v-w2124f3)")</f>
        <v>napájet (v-w2124f3)</v>
      </c>
    </row>
    <row r="17893" spans="1:4" x14ac:dyDescent="0.2">
      <c r="B17893" t="s">
        <v>1</v>
      </c>
    </row>
    <row r="17894" spans="1:4" x14ac:dyDescent="0.2">
      <c r="B17894" t="s">
        <v>8</v>
      </c>
    </row>
    <row r="17896" spans="1:4" x14ac:dyDescent="0.2">
      <c r="A17896" t="s">
        <v>5997</v>
      </c>
      <c r="B17896" t="str">
        <f>HYPERLINK("https://lindat.mff.cuni.cz/services/teitok/pdtc10/index.php?action=vallex&amp;frame=v-w2125f1", "napálit (v-w2125f1)")</f>
        <v>napálit (v-w2125f1)</v>
      </c>
    </row>
    <row r="17897" spans="1:4" x14ac:dyDescent="0.2">
      <c r="B17897" t="s">
        <v>1</v>
      </c>
    </row>
    <row r="17898" spans="1:4" x14ac:dyDescent="0.2">
      <c r="B17898" t="s">
        <v>8</v>
      </c>
    </row>
    <row r="17900" spans="1:4" x14ac:dyDescent="0.2">
      <c r="A17900" t="s">
        <v>5998</v>
      </c>
      <c r="B17900" t="str">
        <f>HYPERLINK("https://lindat.mff.cuni.cz/services/teitok/pdtc10/index.php?action=vallex&amp;frame=v-w2125hsa_1033", "napálit (v-w2125hsa_1033)")</f>
        <v>napálit (v-w2125hsa_1033)</v>
      </c>
    </row>
    <row r="17901" spans="1:4" x14ac:dyDescent="0.2">
      <c r="B17901" t="s">
        <v>1</v>
      </c>
      <c r="C17901" t="s">
        <v>249</v>
      </c>
    </row>
    <row r="17902" spans="1:4" x14ac:dyDescent="0.2">
      <c r="B17902" t="s">
        <v>8</v>
      </c>
    </row>
    <row r="17903" spans="1:4" x14ac:dyDescent="0.2">
      <c r="B17903" t="s">
        <v>90</v>
      </c>
      <c r="C17903" t="s">
        <v>5999</v>
      </c>
    </row>
    <row r="17905" spans="1:2" x14ac:dyDescent="0.2">
      <c r="A17905" t="s">
        <v>6000</v>
      </c>
      <c r="B17905" t="str">
        <f>HYPERLINK("https://lindat.mff.cuni.cz/services/teitok/pdtc10/index.php?action=vallex&amp;frame=v-whsa_394hsa_395", "napéci (v-whsa_394hsa_395)")</f>
        <v>napéci (v-whsa_394hsa_395)</v>
      </c>
    </row>
    <row r="17906" spans="1:2" x14ac:dyDescent="0.2">
      <c r="B17906" t="s">
        <v>1</v>
      </c>
    </row>
    <row r="17907" spans="1:2" x14ac:dyDescent="0.2">
      <c r="B17907" t="s">
        <v>8</v>
      </c>
    </row>
    <row r="17908" spans="1:2" x14ac:dyDescent="0.2">
      <c r="B17908" t="s">
        <v>24</v>
      </c>
    </row>
    <row r="17910" spans="1:2" x14ac:dyDescent="0.2">
      <c r="A17910" t="s">
        <v>6001</v>
      </c>
      <c r="B17910" t="str">
        <f>HYPERLINK("https://lindat.mff.cuni.cz/services/teitok/pdtc10/index.php?action=vallex&amp;frame=v-w12292_MMf1_MM", "napíchnout (v-w12292_MMf1_MM)")</f>
        <v>napíchnout (v-w12292_MMf1_MM)</v>
      </c>
    </row>
    <row r="17911" spans="1:2" x14ac:dyDescent="0.2">
      <c r="B17911" t="s">
        <v>1</v>
      </c>
    </row>
    <row r="17912" spans="1:2" x14ac:dyDescent="0.2">
      <c r="B17912" t="s">
        <v>8</v>
      </c>
    </row>
    <row r="17913" spans="1:2" x14ac:dyDescent="0.2">
      <c r="B17913" t="s">
        <v>90</v>
      </c>
    </row>
    <row r="17915" spans="1:2" x14ac:dyDescent="0.2">
      <c r="A17915" t="s">
        <v>6002</v>
      </c>
      <c r="B17915" t="str">
        <f>HYPERLINK("https://lindat.mff.cuni.cz/services/teitok/pdtc10/index.php?action=vallex&amp;frame=v-w11078f2", "napínat (v-w11078f2)")</f>
        <v>napínat (v-w11078f2)</v>
      </c>
    </row>
    <row r="17916" spans="1:2" x14ac:dyDescent="0.2">
      <c r="B17916" t="s">
        <v>1</v>
      </c>
    </row>
    <row r="17917" spans="1:2" x14ac:dyDescent="0.2">
      <c r="B17917" t="s">
        <v>8</v>
      </c>
    </row>
    <row r="17918" spans="1:2" x14ac:dyDescent="0.2">
      <c r="B17918" t="s">
        <v>24</v>
      </c>
    </row>
    <row r="17919" spans="1:2" x14ac:dyDescent="0.2">
      <c r="B17919" t="s">
        <v>61</v>
      </c>
    </row>
    <row r="17921" spans="1:4" x14ac:dyDescent="0.2">
      <c r="A17921" t="s">
        <v>6003</v>
      </c>
      <c r="B17921" t="str">
        <f>HYPERLINK("https://lindat.mff.cuni.cz/services/teitok/pdtc10/index.php?action=vallex&amp;frame=v-w2128f1", "napít se (v-w2128f1)")</f>
        <v>napít se (v-w2128f1)</v>
      </c>
    </row>
    <row r="17922" spans="1:4" x14ac:dyDescent="0.2">
      <c r="B17922" t="s">
        <v>1</v>
      </c>
    </row>
    <row r="17923" spans="1:4" x14ac:dyDescent="0.2">
      <c r="B17923" t="s">
        <v>917</v>
      </c>
    </row>
    <row r="17925" spans="1:4" x14ac:dyDescent="0.2">
      <c r="A17925" t="s">
        <v>6004</v>
      </c>
      <c r="B17925" t="str">
        <f>HYPERLINK("https://lindat.mff.cuni.cz/services/teitok/pdtc10/index.php?action=vallex&amp;frame=v-w11269f1", "napěchovat se (v-w11269f1)")</f>
        <v>napěchovat se (v-w11269f1)</v>
      </c>
    </row>
    <row r="17926" spans="1:4" x14ac:dyDescent="0.2">
      <c r="B17926" t="s">
        <v>1</v>
      </c>
      <c r="C17926" t="s">
        <v>140</v>
      </c>
      <c r="D17926" t="s">
        <v>23563</v>
      </c>
    </row>
    <row r="17927" spans="1:4" x14ac:dyDescent="0.2">
      <c r="B17927" t="s">
        <v>90</v>
      </c>
      <c r="D17927" t="s">
        <v>23564</v>
      </c>
    </row>
    <row r="17929" spans="1:4" x14ac:dyDescent="0.2">
      <c r="A17929" t="s">
        <v>6005</v>
      </c>
      <c r="B17929" t="str">
        <f>HYPERLINK("https://lindat.mff.cuni.cz/services/teitok/pdtc10/index.php?action=vallex&amp;frame=v-w11464f1", "napřemýšlet se (v-w11464f1)")</f>
        <v>napřemýšlet se (v-w11464f1)</v>
      </c>
    </row>
    <row r="17930" spans="1:4" x14ac:dyDescent="0.2">
      <c r="B17930" t="s">
        <v>1</v>
      </c>
    </row>
    <row r="17931" spans="1:4" x14ac:dyDescent="0.2">
      <c r="B17931" t="s">
        <v>269</v>
      </c>
    </row>
    <row r="17933" spans="1:4" x14ac:dyDescent="0.2">
      <c r="A17933" t="s">
        <v>6006</v>
      </c>
      <c r="B17933" t="str">
        <f>HYPERLINK("https://lindat.mff.cuni.cz/services/teitok/pdtc10/index.php?action=vallex&amp;frame=v-whsa_354hsa_355", "napřáhnout (v-whsa_354hsa_355)")</f>
        <v>napřáhnout (v-whsa_354hsa_355)</v>
      </c>
    </row>
    <row r="17934" spans="1:4" x14ac:dyDescent="0.2">
      <c r="B17934" t="s">
        <v>1</v>
      </c>
      <c r="C17934" t="s">
        <v>186</v>
      </c>
    </row>
    <row r="17935" spans="1:4" x14ac:dyDescent="0.2">
      <c r="B17935" t="s">
        <v>8</v>
      </c>
    </row>
    <row r="17937" spans="1:2" x14ac:dyDescent="0.2">
      <c r="A17937" t="s">
        <v>6007</v>
      </c>
      <c r="B17937" t="str">
        <f>HYPERLINK("https://lindat.mff.cuni.cz/services/teitok/pdtc10/index.php?action=vallex&amp;frame=v-w2160f2", "napřít (v-w2160f2)")</f>
        <v>napřít (v-w2160f2)</v>
      </c>
    </row>
    <row r="17938" spans="1:2" x14ac:dyDescent="0.2">
      <c r="B17938" t="s">
        <v>1</v>
      </c>
    </row>
    <row r="17939" spans="1:2" x14ac:dyDescent="0.2">
      <c r="B17939" t="s">
        <v>8</v>
      </c>
    </row>
    <row r="17940" spans="1:2" x14ac:dyDescent="0.2">
      <c r="B17940" t="s">
        <v>6008</v>
      </c>
    </row>
    <row r="17942" spans="1:2" x14ac:dyDescent="0.2">
      <c r="A17942" t="s">
        <v>6009</v>
      </c>
      <c r="B17942" t="str">
        <f>HYPERLINK("https://lindat.mff.cuni.cz/services/teitok/pdtc10/index.php?action=vallex&amp;frame=v-w2160f1", "napřít (v-w2160f1)")</f>
        <v>napřít (v-w2160f1)</v>
      </c>
    </row>
    <row r="17943" spans="1:2" x14ac:dyDescent="0.2">
      <c r="B17943" t="s">
        <v>1</v>
      </c>
    </row>
    <row r="17944" spans="1:2" x14ac:dyDescent="0.2">
      <c r="B17944" t="s">
        <v>8</v>
      </c>
    </row>
    <row r="17945" spans="1:2" x14ac:dyDescent="0.2">
      <c r="B17945" t="s">
        <v>90</v>
      </c>
    </row>
    <row r="17947" spans="1:2" x14ac:dyDescent="0.2">
      <c r="A17947" t="s">
        <v>6010</v>
      </c>
      <c r="B17947" t="str">
        <f>HYPERLINK("https://lindat.mff.cuni.cz/services/teitok/pdtc10/index.php?action=vallex&amp;frame=v-w2168f3", "narazit (v-w2168f3)")</f>
        <v>narazit (v-w2168f3)</v>
      </c>
    </row>
    <row r="17948" spans="1:2" x14ac:dyDescent="0.2">
      <c r="B17948" t="s">
        <v>1</v>
      </c>
    </row>
    <row r="17949" spans="1:2" x14ac:dyDescent="0.2">
      <c r="B17949" t="s">
        <v>8</v>
      </c>
    </row>
    <row r="17950" spans="1:2" x14ac:dyDescent="0.2">
      <c r="B17950" t="s">
        <v>90</v>
      </c>
    </row>
    <row r="17952" spans="1:2" x14ac:dyDescent="0.2">
      <c r="A17952" t="s">
        <v>6011</v>
      </c>
      <c r="B17952" t="str">
        <f>HYPERLINK("https://lindat.mff.cuni.cz/services/teitok/pdtc10/index.php?action=vallex&amp;frame=v-w2168f4", "narazit (v-w2168f4)")</f>
        <v>narazit (v-w2168f4)</v>
      </c>
    </row>
    <row r="17953" spans="1:4" x14ac:dyDescent="0.2">
      <c r="B17953" t="s">
        <v>1</v>
      </c>
    </row>
    <row r="17954" spans="1:4" x14ac:dyDescent="0.2">
      <c r="B17954" t="s">
        <v>8</v>
      </c>
    </row>
    <row r="17956" spans="1:4" x14ac:dyDescent="0.2">
      <c r="A17956" t="s">
        <v>6012</v>
      </c>
      <c r="B17956" t="str">
        <f>HYPERLINK("https://lindat.mff.cuni.cz/services/teitok/pdtc10/index.php?action=vallex&amp;frame=v-w2168f5", "narazit (v-w2168f5)")</f>
        <v>narazit (v-w2168f5)</v>
      </c>
    </row>
    <row r="17957" spans="1:4" x14ac:dyDescent="0.2">
      <c r="B17957" t="s">
        <v>1</v>
      </c>
    </row>
    <row r="17958" spans="1:4" x14ac:dyDescent="0.2">
      <c r="B17958" t="s">
        <v>8</v>
      </c>
    </row>
    <row r="17960" spans="1:4" x14ac:dyDescent="0.2">
      <c r="A17960" t="s">
        <v>6013</v>
      </c>
      <c r="B17960" t="str">
        <f>HYPERLINK("https://lindat.mff.cuni.cz/services/teitok/pdtc10/index.php?action=vallex&amp;frame=v-w2168f1", "narazit (v-w2168f1)")</f>
        <v>narazit (v-w2168f1)</v>
      </c>
    </row>
    <row r="17961" spans="1:4" x14ac:dyDescent="0.2">
      <c r="B17961" t="s">
        <v>1</v>
      </c>
      <c r="C17961" t="s">
        <v>6014</v>
      </c>
      <c r="D17961" t="s">
        <v>23565</v>
      </c>
    </row>
    <row r="17962" spans="1:4" x14ac:dyDescent="0.2">
      <c r="B17962" t="s">
        <v>28</v>
      </c>
      <c r="C17962" t="s">
        <v>1607</v>
      </c>
      <c r="D17962" t="s">
        <v>23566</v>
      </c>
    </row>
    <row r="17964" spans="1:4" x14ac:dyDescent="0.2">
      <c r="A17964" t="s">
        <v>6015</v>
      </c>
      <c r="B17964" t="str">
        <f>HYPERLINK("https://lindat.mff.cuni.cz/services/teitok/pdtc10/index.php?action=vallex&amp;frame=v-w2168f7_ZU", "narazit (v-w2168f7_ZU)")</f>
        <v>narazit (v-w2168f7_ZU)</v>
      </c>
    </row>
    <row r="17965" spans="1:4" x14ac:dyDescent="0.2">
      <c r="B17965" t="s">
        <v>1</v>
      </c>
    </row>
    <row r="17966" spans="1:4" x14ac:dyDescent="0.2">
      <c r="B17966" t="s">
        <v>6016</v>
      </c>
    </row>
    <row r="17968" spans="1:4" x14ac:dyDescent="0.2">
      <c r="A17968" t="s">
        <v>6015</v>
      </c>
      <c r="B17968" t="str">
        <f>HYPERLINK("https://lindat.mff.cuni.cz/services/teitok/pdtc10/index.php?action=vallex&amp;frame=v-w2168f6_ZU", "narazit (v-w2168f6_ZU) - substituted with v-w2168f7_ZU")</f>
        <v>narazit (v-w2168f6_ZU) - substituted with v-w2168f7_ZU</v>
      </c>
    </row>
    <row r="17969" spans="1:4" x14ac:dyDescent="0.2">
      <c r="B17969" t="s">
        <v>1</v>
      </c>
    </row>
    <row r="17970" spans="1:4" x14ac:dyDescent="0.2">
      <c r="B17970" t="s">
        <v>6016</v>
      </c>
    </row>
    <row r="17972" spans="1:4" x14ac:dyDescent="0.2">
      <c r="A17972" t="s">
        <v>6017</v>
      </c>
      <c r="B17972" t="str">
        <f>HYPERLINK("https://lindat.mff.cuni.cz/services/teitok/pdtc10/index.php?action=vallex&amp;frame=v-w2168f2", "narazit (v-w2168f2)")</f>
        <v>narazit (v-w2168f2)</v>
      </c>
    </row>
    <row r="17973" spans="1:4" x14ac:dyDescent="0.2">
      <c r="B17973" t="s">
        <v>1</v>
      </c>
      <c r="C17973" t="s">
        <v>6018</v>
      </c>
      <c r="D17973" t="s">
        <v>23532</v>
      </c>
    </row>
    <row r="17974" spans="1:4" x14ac:dyDescent="0.2">
      <c r="B17974" t="s">
        <v>90</v>
      </c>
      <c r="C17974" t="s">
        <v>1902</v>
      </c>
      <c r="D17974" t="s">
        <v>1902</v>
      </c>
    </row>
    <row r="17976" spans="1:4" x14ac:dyDescent="0.2">
      <c r="A17976" t="s">
        <v>6019</v>
      </c>
      <c r="B17976" t="str">
        <f>HYPERLINK("https://lindat.mff.cuni.cz/services/teitok/pdtc10/index.php?action=vallex&amp;frame=v-w2169f1", "narazit si (v-w2169f1)")</f>
        <v>narazit si (v-w2169f1)</v>
      </c>
    </row>
    <row r="17977" spans="1:4" x14ac:dyDescent="0.2">
      <c r="B17977" t="s">
        <v>1</v>
      </c>
    </row>
    <row r="17978" spans="1:4" x14ac:dyDescent="0.2">
      <c r="B17978" t="s">
        <v>411</v>
      </c>
    </row>
    <row r="17980" spans="1:4" x14ac:dyDescent="0.2">
      <c r="A17980" t="s">
        <v>6020</v>
      </c>
      <c r="B17980" t="str">
        <f>HYPERLINK("https://lindat.mff.cuni.cz/services/teitok/pdtc10/index.php?action=vallex&amp;frame=v-w12000_ZUf1_ZU", "narobit (v-w12000_ZUf1_ZU)")</f>
        <v>narobit (v-w12000_ZUf1_ZU)</v>
      </c>
    </row>
    <row r="17981" spans="1:4" x14ac:dyDescent="0.2">
      <c r="B17981" t="s">
        <v>1</v>
      </c>
    </row>
    <row r="17982" spans="1:4" x14ac:dyDescent="0.2">
      <c r="B17982" t="s">
        <v>8</v>
      </c>
    </row>
    <row r="17984" spans="1:4" x14ac:dyDescent="0.2">
      <c r="A17984" t="s">
        <v>6021</v>
      </c>
      <c r="B17984" t="str">
        <f>HYPERLINK("https://lindat.mff.cuni.cz/services/teitok/pdtc10/index.php?action=vallex&amp;frame=v-w2173f2", "narodit se (v-w2173f2)")</f>
        <v>narodit se (v-w2173f2)</v>
      </c>
    </row>
    <row r="17985" spans="1:4" x14ac:dyDescent="0.2">
      <c r="B17985" t="s">
        <v>1</v>
      </c>
    </row>
    <row r="17986" spans="1:4" x14ac:dyDescent="0.2">
      <c r="B17986" t="s">
        <v>168</v>
      </c>
    </row>
    <row r="17988" spans="1:4" x14ac:dyDescent="0.2">
      <c r="A17988" t="s">
        <v>6022</v>
      </c>
      <c r="B17988" t="str">
        <f>HYPERLINK("https://lindat.mff.cuni.cz/services/teitok/pdtc10/index.php?action=vallex&amp;frame=v-w2173f3_ZU", "narodit se (v-w2173f3_ZU)")</f>
        <v>narodit se (v-w2173f3_ZU)</v>
      </c>
    </row>
    <row r="17989" spans="1:4" x14ac:dyDescent="0.2">
      <c r="B17989" t="s">
        <v>1</v>
      </c>
    </row>
    <row r="17990" spans="1:4" x14ac:dyDescent="0.2">
      <c r="B17990" t="s">
        <v>86</v>
      </c>
    </row>
    <row r="17991" spans="1:4" x14ac:dyDescent="0.2">
      <c r="B17991" t="s">
        <v>24</v>
      </c>
    </row>
    <row r="17993" spans="1:4" x14ac:dyDescent="0.2">
      <c r="A17993" t="s">
        <v>6022</v>
      </c>
      <c r="B17993" t="str">
        <f>HYPERLINK("https://lindat.mff.cuni.cz/services/teitok/pdtc10/index.php?action=vallex&amp;frame=v-w2173f1", "narodit se (v-w2173f1) - substituted with v-w2173f3_ZU")</f>
        <v>narodit se (v-w2173f1) - substituted with v-w2173f3_ZU</v>
      </c>
    </row>
    <row r="17994" spans="1:4" x14ac:dyDescent="0.2">
      <c r="B17994" t="s">
        <v>1</v>
      </c>
      <c r="C17994" t="s">
        <v>3345</v>
      </c>
      <c r="D17994" t="s">
        <v>3345</v>
      </c>
    </row>
    <row r="17995" spans="1:4" x14ac:dyDescent="0.2">
      <c r="B17995" t="s">
        <v>86</v>
      </c>
      <c r="D17995" t="s">
        <v>13046</v>
      </c>
    </row>
    <row r="17996" spans="1:4" x14ac:dyDescent="0.2">
      <c r="B17996" t="s">
        <v>24</v>
      </c>
    </row>
    <row r="17998" spans="1:4" x14ac:dyDescent="0.2">
      <c r="A17998" t="s">
        <v>6023</v>
      </c>
      <c r="B17998" t="str">
        <f>HYPERLINK("https://lindat.mff.cuni.cz/services/teitok/pdtc10/index.php?action=vallex&amp;frame=v-w11322f1", "naroubovat (v-w11322f1)")</f>
        <v>naroubovat (v-w11322f1)</v>
      </c>
    </row>
    <row r="17999" spans="1:4" x14ac:dyDescent="0.2">
      <c r="B17999" t="s">
        <v>1</v>
      </c>
      <c r="C17999" t="s">
        <v>140</v>
      </c>
      <c r="D17999" t="s">
        <v>83</v>
      </c>
    </row>
    <row r="18000" spans="1:4" x14ac:dyDescent="0.2">
      <c r="B18000" t="s">
        <v>8</v>
      </c>
      <c r="C18000" t="s">
        <v>1301</v>
      </c>
      <c r="D18000" t="s">
        <v>8366</v>
      </c>
    </row>
    <row r="18002" spans="1:4" x14ac:dyDescent="0.2">
      <c r="A18002" t="s">
        <v>6024</v>
      </c>
      <c r="B18002" t="str">
        <f>HYPERLINK("https://lindat.mff.cuni.cz/services/teitok/pdtc10/index.php?action=vallex&amp;frame=v-w11322f2_ZU", "naroubovat (v-w11322f2_ZU)")</f>
        <v>naroubovat (v-w11322f2_ZU)</v>
      </c>
    </row>
    <row r="18003" spans="1:4" x14ac:dyDescent="0.2">
      <c r="B18003" t="s">
        <v>1</v>
      </c>
      <c r="D18003" t="s">
        <v>33</v>
      </c>
    </row>
    <row r="18004" spans="1:4" x14ac:dyDescent="0.2">
      <c r="B18004" t="s">
        <v>8</v>
      </c>
      <c r="D18004" t="s">
        <v>1044</v>
      </c>
    </row>
    <row r="18005" spans="1:4" x14ac:dyDescent="0.2">
      <c r="B18005" t="s">
        <v>1462</v>
      </c>
    </row>
    <row r="18007" spans="1:4" x14ac:dyDescent="0.2">
      <c r="A18007" t="s">
        <v>6024</v>
      </c>
      <c r="B18007" t="str">
        <f>HYPERLINK("https://lindat.mff.cuni.cz/services/teitok/pdtc10/index.php?action=vallex&amp;frame=v-w11322hsa_990", "naroubovat (v-w11322hsa_990) - substituted with v-w11322f2_ZU")</f>
        <v>naroubovat (v-w11322hsa_990) - substituted with v-w11322f2_ZU</v>
      </c>
    </row>
    <row r="18008" spans="1:4" x14ac:dyDescent="0.2">
      <c r="B18008" t="s">
        <v>1</v>
      </c>
    </row>
    <row r="18009" spans="1:4" x14ac:dyDescent="0.2">
      <c r="B18009" t="s">
        <v>8</v>
      </c>
    </row>
    <row r="18010" spans="1:4" x14ac:dyDescent="0.2">
      <c r="B18010" t="s">
        <v>1462</v>
      </c>
    </row>
    <row r="18012" spans="1:4" x14ac:dyDescent="0.2">
      <c r="A18012" t="s">
        <v>6025</v>
      </c>
      <c r="B18012" t="str">
        <f>HYPERLINK("https://lindat.mff.cuni.cz/services/teitok/pdtc10/index.php?action=vallex&amp;frame=v-w2175f1", "naroubovat se (v-w2175f1)")</f>
        <v>naroubovat se (v-w2175f1)</v>
      </c>
    </row>
    <row r="18013" spans="1:4" x14ac:dyDescent="0.2">
      <c r="B18013" t="s">
        <v>1</v>
      </c>
    </row>
    <row r="18014" spans="1:4" x14ac:dyDescent="0.2">
      <c r="B18014" t="s">
        <v>28</v>
      </c>
    </row>
    <row r="18016" spans="1:4" x14ac:dyDescent="0.2">
      <c r="A18016" t="s">
        <v>6026</v>
      </c>
      <c r="B18016" t="str">
        <f>HYPERLINK("https://lindat.mff.cuni.cz/services/teitok/pdtc10/index.php?action=vallex&amp;frame=v-w11026f2", "narovnat (v-w11026f2)")</f>
        <v>narovnat (v-w11026f2)</v>
      </c>
    </row>
    <row r="18017" spans="1:4" x14ac:dyDescent="0.2">
      <c r="B18017" t="s">
        <v>1</v>
      </c>
    </row>
    <row r="18018" spans="1:4" x14ac:dyDescent="0.2">
      <c r="B18018" t="s">
        <v>8</v>
      </c>
    </row>
    <row r="18020" spans="1:4" x14ac:dyDescent="0.2">
      <c r="A18020" t="s">
        <v>6027</v>
      </c>
      <c r="B18020" t="str">
        <f>HYPERLINK("https://lindat.mff.cuni.cz/services/teitok/pdtc10/index.php?action=vallex&amp;frame=v-w12218_ZUf1_ZU", "narovnat se (v-w12218_ZUf1_ZU)")</f>
        <v>narovnat se (v-w12218_ZUf1_ZU)</v>
      </c>
    </row>
    <row r="18021" spans="1:4" x14ac:dyDescent="0.2">
      <c r="B18021" t="s">
        <v>1</v>
      </c>
    </row>
    <row r="18023" spans="1:4" x14ac:dyDescent="0.2">
      <c r="A18023" t="s">
        <v>6028</v>
      </c>
      <c r="B18023" t="str">
        <f>HYPERLINK("https://lindat.mff.cuni.cz/services/teitok/pdtc10/index.php?action=vallex&amp;frame=v-w11473f1", "narovnávat se (v-w11473f1)")</f>
        <v>narovnávat se (v-w11473f1)</v>
      </c>
    </row>
    <row r="18024" spans="1:4" x14ac:dyDescent="0.2">
      <c r="B18024" t="s">
        <v>1</v>
      </c>
      <c r="D18024" t="s">
        <v>7489</v>
      </c>
    </row>
    <row r="18026" spans="1:4" x14ac:dyDescent="0.2">
      <c r="A18026" t="s">
        <v>6029</v>
      </c>
      <c r="B18026" t="str">
        <f>HYPERLINK("https://lindat.mff.cuni.cz/services/teitok/pdtc10/index.php?action=vallex&amp;frame=v-whsa_1377f1_MM", "narukovat (v-whsa_1377f1_MM)")</f>
        <v>narukovat (v-whsa_1377f1_MM)</v>
      </c>
    </row>
    <row r="18027" spans="1:4" x14ac:dyDescent="0.2">
      <c r="B18027" t="s">
        <v>1</v>
      </c>
    </row>
    <row r="18028" spans="1:4" x14ac:dyDescent="0.2">
      <c r="B18028" t="s">
        <v>8</v>
      </c>
    </row>
    <row r="18030" spans="1:4" x14ac:dyDescent="0.2">
      <c r="A18030" t="s">
        <v>6030</v>
      </c>
      <c r="B18030" t="str">
        <f>HYPERLINK("https://lindat.mff.cuni.cz/services/teitok/pdtc10/index.php?action=vallex&amp;frame=v-whsa_1377hsa_1378", "narukovat (v-whsa_1377hsa_1378)")</f>
        <v>narukovat (v-whsa_1377hsa_1378)</v>
      </c>
    </row>
    <row r="18031" spans="1:4" x14ac:dyDescent="0.2">
      <c r="B18031" t="s">
        <v>1</v>
      </c>
    </row>
    <row r="18033" spans="1:4" x14ac:dyDescent="0.2">
      <c r="A18033" t="s">
        <v>6031</v>
      </c>
      <c r="B18033" t="str">
        <f>HYPERLINK("https://lindat.mff.cuni.cz/services/teitok/pdtc10/index.php?action=vallex&amp;frame=v-w2185f1", "narušit (v-w2185f1)")</f>
        <v>narušit (v-w2185f1)</v>
      </c>
    </row>
    <row r="18034" spans="1:4" x14ac:dyDescent="0.2">
      <c r="B18034" t="s">
        <v>1</v>
      </c>
      <c r="C18034" t="s">
        <v>6032</v>
      </c>
      <c r="D18034" t="s">
        <v>23567</v>
      </c>
    </row>
    <row r="18035" spans="1:4" x14ac:dyDescent="0.2">
      <c r="B18035" t="s">
        <v>8</v>
      </c>
      <c r="C18035" t="s">
        <v>6033</v>
      </c>
      <c r="D18035" t="s">
        <v>23568</v>
      </c>
    </row>
    <row r="18037" spans="1:4" x14ac:dyDescent="0.2">
      <c r="A18037" t="s">
        <v>6034</v>
      </c>
      <c r="B18037" t="str">
        <f>HYPERLINK("https://lindat.mff.cuni.cz/services/teitok/pdtc10/index.php?action=vallex&amp;frame=v-w2188f1", "narušovat (v-w2188f1)")</f>
        <v>narušovat (v-w2188f1)</v>
      </c>
    </row>
    <row r="18038" spans="1:4" x14ac:dyDescent="0.2">
      <c r="B18038" t="s">
        <v>1</v>
      </c>
      <c r="C18038" t="s">
        <v>6035</v>
      </c>
      <c r="D18038" t="s">
        <v>23567</v>
      </c>
    </row>
    <row r="18039" spans="1:4" x14ac:dyDescent="0.2">
      <c r="B18039" t="s">
        <v>8</v>
      </c>
      <c r="C18039" t="s">
        <v>6036</v>
      </c>
      <c r="D18039" t="s">
        <v>23568</v>
      </c>
    </row>
    <row r="18041" spans="1:4" x14ac:dyDescent="0.2">
      <c r="A18041" t="s">
        <v>6037</v>
      </c>
      <c r="B18041" t="str">
        <f>HYPERLINK("https://lindat.mff.cuni.cz/services/teitok/pdtc10/index.php?action=vallex&amp;frame=v-w2170f3", "narážet (v-w2170f3)")</f>
        <v>narážet (v-w2170f3)</v>
      </c>
    </row>
    <row r="18042" spans="1:4" x14ac:dyDescent="0.2">
      <c r="B18042" t="s">
        <v>1</v>
      </c>
    </row>
    <row r="18043" spans="1:4" x14ac:dyDescent="0.2">
      <c r="B18043" t="s">
        <v>8</v>
      </c>
    </row>
    <row r="18044" spans="1:4" x14ac:dyDescent="0.2">
      <c r="B18044" t="s">
        <v>90</v>
      </c>
    </row>
    <row r="18046" spans="1:4" x14ac:dyDescent="0.2">
      <c r="A18046" t="s">
        <v>6038</v>
      </c>
      <c r="B18046" t="str">
        <f>HYPERLINK("https://lindat.mff.cuni.cz/services/teitok/pdtc10/index.php?action=vallex&amp;frame=v-w2170f6_ZU", "narážet (v-w2170f6_ZU)")</f>
        <v>narážet (v-w2170f6_ZU)</v>
      </c>
    </row>
    <row r="18047" spans="1:4" x14ac:dyDescent="0.2">
      <c r="B18047" t="s">
        <v>1</v>
      </c>
      <c r="C18047" t="s">
        <v>6039</v>
      </c>
    </row>
    <row r="18048" spans="1:4" x14ac:dyDescent="0.2">
      <c r="B18048" t="s">
        <v>28</v>
      </c>
      <c r="C18048" t="s">
        <v>6040</v>
      </c>
    </row>
    <row r="18050" spans="1:4" x14ac:dyDescent="0.2">
      <c r="A18050" t="s">
        <v>6041</v>
      </c>
      <c r="B18050" t="str">
        <f>HYPERLINK("https://lindat.mff.cuni.cz/services/teitok/pdtc10/index.php?action=vallex&amp;frame=v-w2170f5_ZU", "narážet (v-w2170f5_ZU)")</f>
        <v>narážet (v-w2170f5_ZU)</v>
      </c>
    </row>
    <row r="18051" spans="1:4" x14ac:dyDescent="0.2">
      <c r="B18051" t="s">
        <v>1</v>
      </c>
      <c r="C18051" t="s">
        <v>6042</v>
      </c>
    </row>
    <row r="18052" spans="1:4" x14ac:dyDescent="0.2">
      <c r="B18052" t="s">
        <v>28</v>
      </c>
      <c r="C18052" t="s">
        <v>6043</v>
      </c>
    </row>
    <row r="18054" spans="1:4" x14ac:dyDescent="0.2">
      <c r="A18054" t="s">
        <v>6041</v>
      </c>
      <c r="B18054" t="str">
        <f>HYPERLINK("https://lindat.mff.cuni.cz/services/teitok/pdtc10/index.php?action=vallex&amp;frame=v-w2170f1", "narážet (v-w2170f1) - substituted with v-w2170f5_ZU")</f>
        <v>narážet (v-w2170f1) - substituted with v-w2170f5_ZU</v>
      </c>
    </row>
    <row r="18055" spans="1:4" x14ac:dyDescent="0.2">
      <c r="B18055" t="s">
        <v>1</v>
      </c>
      <c r="C18055" t="s">
        <v>6044</v>
      </c>
    </row>
    <row r="18056" spans="1:4" x14ac:dyDescent="0.2">
      <c r="B18056" t="s">
        <v>28</v>
      </c>
      <c r="C18056" t="s">
        <v>6045</v>
      </c>
    </row>
    <row r="18058" spans="1:4" x14ac:dyDescent="0.2">
      <c r="A18058" t="s">
        <v>6041</v>
      </c>
      <c r="B18058" t="str">
        <f>HYPERLINK("https://lindat.mff.cuni.cz/services/teitok/pdtc10/index.php?action=vallex&amp;frame=v-w2170f4_ZU", "narážet (v-w2170f4_ZU) - substituted with v-w2170f5_ZU")</f>
        <v>narážet (v-w2170f4_ZU) - substituted with v-w2170f5_ZU</v>
      </c>
    </row>
    <row r="18059" spans="1:4" x14ac:dyDescent="0.2">
      <c r="B18059" t="s">
        <v>1</v>
      </c>
    </row>
    <row r="18060" spans="1:4" x14ac:dyDescent="0.2">
      <c r="B18060" t="s">
        <v>28</v>
      </c>
    </row>
    <row r="18062" spans="1:4" x14ac:dyDescent="0.2">
      <c r="A18062" t="s">
        <v>6046</v>
      </c>
      <c r="B18062" t="str">
        <f>HYPERLINK("https://lindat.mff.cuni.cz/services/teitok/pdtc10/index.php?action=vallex&amp;frame=v-w2170f2", "narážet (v-w2170f2)")</f>
        <v>narážet (v-w2170f2)</v>
      </c>
    </row>
    <row r="18063" spans="1:4" x14ac:dyDescent="0.2">
      <c r="B18063" t="s">
        <v>1</v>
      </c>
      <c r="D18063" t="s">
        <v>23532</v>
      </c>
    </row>
    <row r="18064" spans="1:4" x14ac:dyDescent="0.2">
      <c r="B18064" t="s">
        <v>90</v>
      </c>
      <c r="D18064" t="s">
        <v>1902</v>
      </c>
    </row>
    <row r="18066" spans="1:4" x14ac:dyDescent="0.2">
      <c r="A18066" t="s">
        <v>6047</v>
      </c>
      <c r="B18066" t="str">
        <f>HYPERLINK("https://lindat.mff.cuni.cz/services/teitok/pdtc10/index.php?action=vallex&amp;frame=v-w2170f7_ZU", "narážet (v-w2170f7_ZU)")</f>
        <v>narážet (v-w2170f7_ZU)</v>
      </c>
    </row>
    <row r="18067" spans="1:4" x14ac:dyDescent="0.2">
      <c r="B18067" t="s">
        <v>1</v>
      </c>
    </row>
    <row r="18068" spans="1:4" x14ac:dyDescent="0.2">
      <c r="B18068" t="s">
        <v>8</v>
      </c>
    </row>
    <row r="18070" spans="1:4" x14ac:dyDescent="0.2">
      <c r="A18070" t="s">
        <v>6048</v>
      </c>
      <c r="B18070" t="str">
        <f>HYPERLINK("https://lindat.mff.cuni.cz/services/teitok/pdtc10/index.php?action=vallex&amp;frame=v-w2179f1", "narůst (v-w2179f1)")</f>
        <v>narůst (v-w2179f1)</v>
      </c>
    </row>
    <row r="18071" spans="1:4" x14ac:dyDescent="0.2">
      <c r="B18071" t="s">
        <v>1</v>
      </c>
      <c r="C18071" t="s">
        <v>6049</v>
      </c>
      <c r="D18071" t="s">
        <v>23510</v>
      </c>
    </row>
    <row r="18072" spans="1:4" x14ac:dyDescent="0.2">
      <c r="B18072" t="s">
        <v>46</v>
      </c>
      <c r="C18072" t="s">
        <v>6050</v>
      </c>
      <c r="D18072" t="s">
        <v>23393</v>
      </c>
    </row>
    <row r="18073" spans="1:4" x14ac:dyDescent="0.2">
      <c r="B18073" t="s">
        <v>24</v>
      </c>
      <c r="C18073" t="s">
        <v>6051</v>
      </c>
      <c r="D18073" t="s">
        <v>23394</v>
      </c>
    </row>
    <row r="18075" spans="1:4" x14ac:dyDescent="0.2">
      <c r="A18075" t="s">
        <v>6052</v>
      </c>
      <c r="B18075" t="str">
        <f>HYPERLINK("https://lindat.mff.cuni.cz/services/teitok/pdtc10/index.php?action=vallex&amp;frame=v-w2179hsa_1536", "narůst (v-w2179hsa_1536)")</f>
        <v>narůst (v-w2179hsa_1536)</v>
      </c>
    </row>
    <row r="18076" spans="1:4" x14ac:dyDescent="0.2">
      <c r="B18076" t="s">
        <v>1</v>
      </c>
    </row>
    <row r="18078" spans="1:4" x14ac:dyDescent="0.2">
      <c r="A18078" t="s">
        <v>6053</v>
      </c>
      <c r="B18078" t="str">
        <f>HYPERLINK("https://lindat.mff.cuni.cz/services/teitok/pdtc10/index.php?action=vallex&amp;frame=v-w2182f1", "narůstat (v-w2182f1)")</f>
        <v>narůstat (v-w2182f1)</v>
      </c>
    </row>
    <row r="18079" spans="1:4" x14ac:dyDescent="0.2">
      <c r="B18079" t="s">
        <v>1</v>
      </c>
      <c r="C18079" t="s">
        <v>6054</v>
      </c>
      <c r="D18079" t="s">
        <v>23510</v>
      </c>
    </row>
    <row r="18080" spans="1:4" x14ac:dyDescent="0.2">
      <c r="B18080" t="s">
        <v>46</v>
      </c>
      <c r="C18080" t="s">
        <v>6055</v>
      </c>
      <c r="D18080" t="s">
        <v>23393</v>
      </c>
    </row>
    <row r="18081" spans="1:4" x14ac:dyDescent="0.2">
      <c r="B18081" t="s">
        <v>24</v>
      </c>
      <c r="C18081" t="s">
        <v>6056</v>
      </c>
      <c r="D18081" t="s">
        <v>23394</v>
      </c>
    </row>
    <row r="18083" spans="1:4" x14ac:dyDescent="0.2">
      <c r="A18083" t="s">
        <v>6057</v>
      </c>
      <c r="B18083" t="str">
        <f>HYPERLINK("https://lindat.mff.cuni.cz/services/teitok/pdtc10/index.php?action=vallex&amp;frame=v-w2200f3", "nasadit (v-w2200f3)")</f>
        <v>nasadit (v-w2200f3)</v>
      </c>
    </row>
    <row r="18084" spans="1:4" x14ac:dyDescent="0.2">
      <c r="B18084" t="s">
        <v>1</v>
      </c>
    </row>
    <row r="18085" spans="1:4" x14ac:dyDescent="0.2">
      <c r="B18085" t="s">
        <v>8</v>
      </c>
    </row>
    <row r="18086" spans="1:4" x14ac:dyDescent="0.2">
      <c r="B18086" t="s">
        <v>35</v>
      </c>
    </row>
    <row r="18088" spans="1:4" x14ac:dyDescent="0.2">
      <c r="A18088" t="s">
        <v>6058</v>
      </c>
      <c r="B18088" t="str">
        <f>HYPERLINK("https://lindat.mff.cuni.cz/services/teitok/pdtc10/index.php?action=vallex&amp;frame=v-w2200f6", "nasadit (v-w2200f6)")</f>
        <v>nasadit (v-w2200f6)</v>
      </c>
    </row>
    <row r="18089" spans="1:4" x14ac:dyDescent="0.2">
      <c r="B18089" t="s">
        <v>1</v>
      </c>
    </row>
    <row r="18090" spans="1:4" x14ac:dyDescent="0.2">
      <c r="B18090" t="s">
        <v>8</v>
      </c>
    </row>
    <row r="18091" spans="1:4" x14ac:dyDescent="0.2">
      <c r="B18091" t="s">
        <v>90</v>
      </c>
    </row>
    <row r="18093" spans="1:4" x14ac:dyDescent="0.2">
      <c r="A18093" t="s">
        <v>6059</v>
      </c>
      <c r="B18093" t="str">
        <f>HYPERLINK("https://lindat.mff.cuni.cz/services/teitok/pdtc10/index.php?action=vallex&amp;frame=v-w2200f1", "nasadit (v-w2200f1)")</f>
        <v>nasadit (v-w2200f1)</v>
      </c>
    </row>
    <row r="18094" spans="1:4" x14ac:dyDescent="0.2">
      <c r="B18094" t="s">
        <v>1</v>
      </c>
      <c r="D18094" t="s">
        <v>22958</v>
      </c>
    </row>
    <row r="18095" spans="1:4" x14ac:dyDescent="0.2">
      <c r="B18095" t="s">
        <v>8</v>
      </c>
      <c r="C18095" t="s">
        <v>113</v>
      </c>
      <c r="D18095" t="s">
        <v>22959</v>
      </c>
    </row>
    <row r="18097" spans="1:4" x14ac:dyDescent="0.2">
      <c r="A18097" t="s">
        <v>6060</v>
      </c>
      <c r="B18097" t="str">
        <f>HYPERLINK("https://lindat.mff.cuni.cz/services/teitok/pdtc10/index.php?action=vallex&amp;frame=v-w2200f2", "nasadit (v-w2200f2)")</f>
        <v>nasadit (v-w2200f2)</v>
      </c>
    </row>
    <row r="18098" spans="1:4" x14ac:dyDescent="0.2">
      <c r="B18098" t="s">
        <v>1</v>
      </c>
      <c r="D18098" t="s">
        <v>22950</v>
      </c>
    </row>
    <row r="18099" spans="1:4" x14ac:dyDescent="0.2">
      <c r="B18099" t="s">
        <v>8</v>
      </c>
      <c r="D18099" t="s">
        <v>22951</v>
      </c>
    </row>
    <row r="18101" spans="1:4" x14ac:dyDescent="0.2">
      <c r="A18101" t="s">
        <v>6061</v>
      </c>
      <c r="B18101" t="str">
        <f>HYPERLINK("https://lindat.mff.cuni.cz/services/teitok/pdtc10/index.php?action=vallex&amp;frame=v-w2200f5", "nasadit (v-w2200f5)")</f>
        <v>nasadit (v-w2200f5)</v>
      </c>
    </row>
    <row r="18102" spans="1:4" x14ac:dyDescent="0.2">
      <c r="B18102" t="s">
        <v>1</v>
      </c>
    </row>
    <row r="18103" spans="1:4" x14ac:dyDescent="0.2">
      <c r="B18103" t="s">
        <v>8</v>
      </c>
    </row>
    <row r="18105" spans="1:4" x14ac:dyDescent="0.2">
      <c r="A18105" t="s">
        <v>6062</v>
      </c>
      <c r="B18105" t="str">
        <f>HYPERLINK("https://lindat.mff.cuni.cz/services/teitok/pdtc10/index.php?action=vallex&amp;frame=v-w2200f4", "nasadit (v-w2200f4)")</f>
        <v>nasadit (v-w2200f4)</v>
      </c>
    </row>
    <row r="18106" spans="1:4" x14ac:dyDescent="0.2">
      <c r="B18106" t="s">
        <v>1</v>
      </c>
    </row>
    <row r="18107" spans="1:4" x14ac:dyDescent="0.2">
      <c r="B18107" t="s">
        <v>6063</v>
      </c>
    </row>
    <row r="18108" spans="1:4" x14ac:dyDescent="0.2">
      <c r="B18108" t="s">
        <v>103</v>
      </c>
    </row>
    <row r="18110" spans="1:4" x14ac:dyDescent="0.2">
      <c r="A18110" t="s">
        <v>6064</v>
      </c>
      <c r="B18110" t="str">
        <f>HYPERLINK("https://lindat.mff.cuni.cz/services/teitok/pdtc10/index.php?action=vallex&amp;frame=v-w2200f7_ZU", "nasadit (v-w2200f7_ZU)")</f>
        <v>nasadit (v-w2200f7_ZU)</v>
      </c>
    </row>
    <row r="18111" spans="1:4" x14ac:dyDescent="0.2">
      <c r="B18111" t="s">
        <v>1</v>
      </c>
    </row>
    <row r="18112" spans="1:4" x14ac:dyDescent="0.2">
      <c r="B18112" t="s">
        <v>8</v>
      </c>
    </row>
    <row r="18114" spans="1:4" x14ac:dyDescent="0.2">
      <c r="A18114" t="s">
        <v>6065</v>
      </c>
      <c r="B18114" t="str">
        <f>HYPERLINK("https://lindat.mff.cuni.cz/services/teitok/pdtc10/index.php?action=vallex&amp;frame=v-whsa_908hsa_909", "nasadit se (v-whsa_908hsa_909)")</f>
        <v>nasadit se (v-whsa_908hsa_909)</v>
      </c>
    </row>
    <row r="18115" spans="1:4" x14ac:dyDescent="0.2">
      <c r="B18115" t="s">
        <v>1</v>
      </c>
    </row>
    <row r="18116" spans="1:4" x14ac:dyDescent="0.2">
      <c r="B18116" t="s">
        <v>90</v>
      </c>
    </row>
    <row r="18118" spans="1:4" x14ac:dyDescent="0.2">
      <c r="A18118" t="s">
        <v>6066</v>
      </c>
      <c r="B18118" t="str">
        <f>HYPERLINK("https://lindat.mff.cuni.cz/services/teitok/pdtc10/index.php?action=vallex&amp;frame=v-w2204f1", "nasazovat (v-w2204f1)")</f>
        <v>nasazovat (v-w2204f1)</v>
      </c>
    </row>
    <row r="18119" spans="1:4" x14ac:dyDescent="0.2">
      <c r="B18119" t="s">
        <v>1</v>
      </c>
    </row>
    <row r="18120" spans="1:4" x14ac:dyDescent="0.2">
      <c r="B18120" t="s">
        <v>8</v>
      </c>
    </row>
    <row r="18121" spans="1:4" x14ac:dyDescent="0.2">
      <c r="B18121" t="s">
        <v>35</v>
      </c>
    </row>
    <row r="18123" spans="1:4" x14ac:dyDescent="0.2">
      <c r="A18123" t="s">
        <v>6067</v>
      </c>
      <c r="B18123" t="str">
        <f>HYPERLINK("https://lindat.mff.cuni.cz/services/teitok/pdtc10/index.php?action=vallex&amp;frame=v-w2204f2", "nasazovat (v-w2204f2)")</f>
        <v>nasazovat (v-w2204f2)</v>
      </c>
    </row>
    <row r="18124" spans="1:4" x14ac:dyDescent="0.2">
      <c r="B18124" t="s">
        <v>1</v>
      </c>
    </row>
    <row r="18125" spans="1:4" x14ac:dyDescent="0.2">
      <c r="B18125" t="s">
        <v>8</v>
      </c>
    </row>
    <row r="18127" spans="1:4" x14ac:dyDescent="0.2">
      <c r="A18127" t="s">
        <v>6068</v>
      </c>
      <c r="B18127" t="str">
        <f>HYPERLINK("https://lindat.mff.cuni.cz/services/teitok/pdtc10/index.php?action=vallex&amp;frame=v-w2204f3", "nasazovat (v-w2204f3)")</f>
        <v>nasazovat (v-w2204f3)</v>
      </c>
    </row>
    <row r="18128" spans="1:4" x14ac:dyDescent="0.2">
      <c r="B18128" t="s">
        <v>1</v>
      </c>
      <c r="C18128" t="s">
        <v>249</v>
      </c>
      <c r="D18128" t="s">
        <v>22950</v>
      </c>
    </row>
    <row r="18129" spans="1:4" x14ac:dyDescent="0.2">
      <c r="B18129" t="s">
        <v>8</v>
      </c>
      <c r="C18129" t="s">
        <v>991</v>
      </c>
      <c r="D18129" t="s">
        <v>22951</v>
      </c>
    </row>
    <row r="18131" spans="1:4" x14ac:dyDescent="0.2">
      <c r="A18131" t="s">
        <v>6069</v>
      </c>
      <c r="B18131" t="str">
        <f>HYPERLINK("https://lindat.mff.cuni.cz/services/teitok/pdtc10/index.php?action=vallex&amp;frame=v-w2204f4", "nasazovat (v-w2204f4)")</f>
        <v>nasazovat (v-w2204f4)</v>
      </c>
    </row>
    <row r="18132" spans="1:4" x14ac:dyDescent="0.2">
      <c r="B18132" t="s">
        <v>1</v>
      </c>
    </row>
    <row r="18133" spans="1:4" x14ac:dyDescent="0.2">
      <c r="B18133" t="s">
        <v>8</v>
      </c>
    </row>
    <row r="18135" spans="1:4" x14ac:dyDescent="0.2">
      <c r="A18135" t="s">
        <v>6070</v>
      </c>
      <c r="B18135" t="str">
        <f>HYPERLINK("https://lindat.mff.cuni.cz/services/teitok/pdtc10/index.php?action=vallex&amp;frame=v-w2204f5", "nasazovat (v-w2204f5)")</f>
        <v>nasazovat (v-w2204f5)</v>
      </c>
    </row>
    <row r="18136" spans="1:4" x14ac:dyDescent="0.2">
      <c r="B18136" t="s">
        <v>1</v>
      </c>
    </row>
    <row r="18137" spans="1:4" x14ac:dyDescent="0.2">
      <c r="B18137" t="s">
        <v>6063</v>
      </c>
    </row>
    <row r="18138" spans="1:4" x14ac:dyDescent="0.2">
      <c r="B18138" t="s">
        <v>103</v>
      </c>
    </row>
    <row r="18140" spans="1:4" x14ac:dyDescent="0.2">
      <c r="A18140" t="s">
        <v>6071</v>
      </c>
      <c r="B18140" t="str">
        <f>HYPERLINK("https://lindat.mff.cuni.cz/services/teitok/pdtc10/index.php?action=vallex&amp;frame=v-w2204f6_ZU", "nasazovat (v-w2204f6_ZU)")</f>
        <v>nasazovat (v-w2204f6_ZU)</v>
      </c>
    </row>
    <row r="18141" spans="1:4" x14ac:dyDescent="0.2">
      <c r="B18141" t="s">
        <v>1</v>
      </c>
      <c r="D18141" t="s">
        <v>370</v>
      </c>
    </row>
    <row r="18142" spans="1:4" x14ac:dyDescent="0.2">
      <c r="B18142" t="s">
        <v>6072</v>
      </c>
      <c r="C18142" t="s">
        <v>3062</v>
      </c>
      <c r="D18142" t="s">
        <v>23569</v>
      </c>
    </row>
    <row r="18144" spans="1:4" x14ac:dyDescent="0.2">
      <c r="A18144" t="s">
        <v>6071</v>
      </c>
      <c r="B18144" t="str">
        <f>HYPERLINK("https://lindat.mff.cuni.cz/services/teitok/pdtc10/index.php?action=vallex&amp;frame=v-w2204hsa_635", "nasazovat (v-w2204hsa_635) - substituted with v-w2204f6_ZU")</f>
        <v>nasazovat (v-w2204hsa_635) - substituted with v-w2204f6_ZU</v>
      </c>
    </row>
    <row r="18145" spans="1:4" x14ac:dyDescent="0.2">
      <c r="B18145" t="s">
        <v>1</v>
      </c>
    </row>
    <row r="18146" spans="1:4" x14ac:dyDescent="0.2">
      <c r="B18146" t="s">
        <v>6072</v>
      </c>
    </row>
    <row r="18148" spans="1:4" x14ac:dyDescent="0.2">
      <c r="A18148" t="s">
        <v>6073</v>
      </c>
      <c r="B18148" t="str">
        <f>HYPERLINK("https://lindat.mff.cuni.cz/services/teitok/pdtc10/index.php?action=vallex&amp;frame=v-w2204hsa_1614", "nasazovat (v-w2204hsa_1614)")</f>
        <v>nasazovat (v-w2204hsa_1614)</v>
      </c>
    </row>
    <row r="18149" spans="1:4" x14ac:dyDescent="0.2">
      <c r="B18149" t="s">
        <v>1</v>
      </c>
    </row>
    <row r="18150" spans="1:4" x14ac:dyDescent="0.2">
      <c r="B18150" t="s">
        <v>8</v>
      </c>
    </row>
    <row r="18151" spans="1:4" x14ac:dyDescent="0.2">
      <c r="B18151" t="s">
        <v>90</v>
      </c>
    </row>
    <row r="18153" spans="1:4" x14ac:dyDescent="0.2">
      <c r="A18153" t="s">
        <v>6074</v>
      </c>
      <c r="B18153" t="str">
        <f>HYPERLINK("https://lindat.mff.cuni.cz/services/teitok/pdtc10/index.php?action=vallex&amp;frame=v-w2205f1", "nasbírat (v-w2205f1)")</f>
        <v>nasbírat (v-w2205f1)</v>
      </c>
    </row>
    <row r="18154" spans="1:4" x14ac:dyDescent="0.2">
      <c r="B18154" t="s">
        <v>1</v>
      </c>
      <c r="C18154" t="s">
        <v>2409</v>
      </c>
      <c r="D18154" t="s">
        <v>16226</v>
      </c>
    </row>
    <row r="18155" spans="1:4" x14ac:dyDescent="0.2">
      <c r="B18155" t="s">
        <v>8</v>
      </c>
      <c r="C18155" t="s">
        <v>2235</v>
      </c>
      <c r="D18155" t="s">
        <v>3270</v>
      </c>
    </row>
    <row r="18157" spans="1:4" x14ac:dyDescent="0.2">
      <c r="A18157" t="s">
        <v>6075</v>
      </c>
      <c r="B18157" t="str">
        <f>HYPERLINK("https://lindat.mff.cuni.cz/services/teitok/pdtc10/index.php?action=vallex&amp;frame=v-w2205hsa_667", "nasbírat (v-w2205hsa_667)")</f>
        <v>nasbírat (v-w2205hsa_667)</v>
      </c>
    </row>
    <row r="18158" spans="1:4" x14ac:dyDescent="0.2">
      <c r="B18158" t="s">
        <v>1</v>
      </c>
      <c r="C18158" t="s">
        <v>2239</v>
      </c>
    </row>
    <row r="18159" spans="1:4" x14ac:dyDescent="0.2">
      <c r="B18159" t="s">
        <v>6076</v>
      </c>
      <c r="C18159" t="s">
        <v>5797</v>
      </c>
    </row>
    <row r="18161" spans="1:3" x14ac:dyDescent="0.2">
      <c r="A18161" t="s">
        <v>6075</v>
      </c>
      <c r="B18161" t="str">
        <f>HYPERLINK("https://lindat.mff.cuni.cz/services/teitok/pdtc10/index.php?action=vallex&amp;frame=v-w2205f2", "nasbírat (v-w2205f2) - substituted with v-w2205hsa_667")</f>
        <v>nasbírat (v-w2205f2) - substituted with v-w2205hsa_667</v>
      </c>
    </row>
    <row r="18162" spans="1:3" x14ac:dyDescent="0.2">
      <c r="B18162" t="s">
        <v>1</v>
      </c>
    </row>
    <row r="18163" spans="1:3" x14ac:dyDescent="0.2">
      <c r="B18163" t="s">
        <v>6076</v>
      </c>
    </row>
    <row r="18165" spans="1:3" x14ac:dyDescent="0.2">
      <c r="A18165" t="s">
        <v>6077</v>
      </c>
      <c r="B18165" t="str">
        <f>HYPERLINK("https://lindat.mff.cuni.cz/services/teitok/pdtc10/index.php?action=vallex&amp;frame=v-w2205f3_ZU", "nasbírat (v-w2205f3_ZU)")</f>
        <v>nasbírat (v-w2205f3_ZU)</v>
      </c>
    </row>
    <row r="18166" spans="1:3" x14ac:dyDescent="0.2">
      <c r="B18166" t="s">
        <v>1</v>
      </c>
    </row>
    <row r="18167" spans="1:3" x14ac:dyDescent="0.2">
      <c r="B18167" t="s">
        <v>8</v>
      </c>
    </row>
    <row r="18169" spans="1:3" x14ac:dyDescent="0.2">
      <c r="A18169" t="s">
        <v>6077</v>
      </c>
      <c r="B18169" t="str">
        <f>HYPERLINK("https://lindat.mff.cuni.cz/services/teitok/pdtc10/index.php?action=vallex&amp;frame=v-w2205hsa_666", "nasbírat (v-w2205hsa_666) - substituted with v-w2205f3_ZU")</f>
        <v>nasbírat (v-w2205hsa_666) - substituted with v-w2205f3_ZU</v>
      </c>
    </row>
    <row r="18170" spans="1:3" x14ac:dyDescent="0.2">
      <c r="B18170" t="s">
        <v>1</v>
      </c>
    </row>
    <row r="18171" spans="1:3" x14ac:dyDescent="0.2">
      <c r="B18171" t="s">
        <v>8</v>
      </c>
    </row>
    <row r="18173" spans="1:3" x14ac:dyDescent="0.2">
      <c r="A18173" t="s">
        <v>6078</v>
      </c>
      <c r="B18173" t="str">
        <f>HYPERLINK("https://lindat.mff.cuni.cz/services/teitok/pdtc10/index.php?action=vallex&amp;frame=v-w2207f1", "nasedat (v-w2207f1)")</f>
        <v>nasedat (v-w2207f1)</v>
      </c>
    </row>
    <row r="18174" spans="1:3" x14ac:dyDescent="0.2">
      <c r="B18174" t="s">
        <v>1</v>
      </c>
      <c r="C18174" t="s">
        <v>4011</v>
      </c>
    </row>
    <row r="18175" spans="1:3" x14ac:dyDescent="0.2">
      <c r="B18175" t="s">
        <v>90</v>
      </c>
    </row>
    <row r="18177" spans="1:3" x14ac:dyDescent="0.2">
      <c r="A18177" t="s">
        <v>6079</v>
      </c>
      <c r="B18177" t="str">
        <f>HYPERLINK("https://lindat.mff.cuni.cz/services/teitok/pdtc10/index.php?action=vallex&amp;frame=v-whsb_231hsa_232", "nasedlat (v-whsb_231hsa_232)")</f>
        <v>nasedlat (v-whsb_231hsa_232)</v>
      </c>
    </row>
    <row r="18178" spans="1:3" x14ac:dyDescent="0.2">
      <c r="B18178" t="s">
        <v>1</v>
      </c>
    </row>
    <row r="18179" spans="1:3" x14ac:dyDescent="0.2">
      <c r="B18179" t="s">
        <v>8</v>
      </c>
    </row>
    <row r="18181" spans="1:3" x14ac:dyDescent="0.2">
      <c r="A18181" t="s">
        <v>6080</v>
      </c>
      <c r="B18181" t="str">
        <f>HYPERLINK("https://lindat.mff.cuni.cz/services/teitok/pdtc10/index.php?action=vallex&amp;frame=v-w11006f2", "nasednout (v-w11006f2)")</f>
        <v>nasednout (v-w11006f2)</v>
      </c>
    </row>
    <row r="18182" spans="1:3" x14ac:dyDescent="0.2">
      <c r="B18182" t="s">
        <v>1</v>
      </c>
      <c r="C18182" t="s">
        <v>80</v>
      </c>
    </row>
    <row r="18183" spans="1:3" x14ac:dyDescent="0.2">
      <c r="B18183" t="s">
        <v>90</v>
      </c>
      <c r="C18183" t="s">
        <v>6081</v>
      </c>
    </row>
    <row r="18185" spans="1:3" x14ac:dyDescent="0.2">
      <c r="A18185" t="s">
        <v>6082</v>
      </c>
      <c r="B18185" t="str">
        <f>HYPERLINK("https://lindat.mff.cuni.cz/services/teitok/pdtc10/index.php?action=vallex&amp;frame=v-whsa_1438hsa_1439", "nasekat (v-whsa_1438hsa_1439)")</f>
        <v>nasekat (v-whsa_1438hsa_1439)</v>
      </c>
    </row>
    <row r="18186" spans="1:3" x14ac:dyDescent="0.2">
      <c r="B18186" t="s">
        <v>1</v>
      </c>
    </row>
    <row r="18187" spans="1:3" x14ac:dyDescent="0.2">
      <c r="B18187" t="s">
        <v>8</v>
      </c>
    </row>
    <row r="18188" spans="1:3" x14ac:dyDescent="0.2">
      <c r="B18188" t="s">
        <v>61</v>
      </c>
    </row>
    <row r="18190" spans="1:3" x14ac:dyDescent="0.2">
      <c r="A18190" t="s">
        <v>6083</v>
      </c>
      <c r="B18190" t="str">
        <f>HYPERLINK("https://lindat.mff.cuni.cz/services/teitok/pdtc10/index.php?action=vallex&amp;frame=v-whsa_1438hsa_1440", "nasekat (v-whsa_1438hsa_1440)")</f>
        <v>nasekat (v-whsa_1438hsa_1440)</v>
      </c>
    </row>
    <row r="18191" spans="1:3" x14ac:dyDescent="0.2">
      <c r="B18191" t="s">
        <v>1</v>
      </c>
    </row>
    <row r="18192" spans="1:3" x14ac:dyDescent="0.2">
      <c r="B18192" t="s">
        <v>8</v>
      </c>
    </row>
    <row r="18193" spans="1:4" x14ac:dyDescent="0.2">
      <c r="B18193" t="s">
        <v>24</v>
      </c>
    </row>
    <row r="18195" spans="1:4" x14ac:dyDescent="0.2">
      <c r="A18195" t="s">
        <v>6084</v>
      </c>
      <c r="B18195" t="str">
        <f>HYPERLINK("https://lindat.mff.cuni.cz/services/teitok/pdtc10/index.php?action=vallex&amp;frame=v-w2208f1", "naservírovat (v-w2208f1)")</f>
        <v>naservírovat (v-w2208f1)</v>
      </c>
    </row>
    <row r="18196" spans="1:4" x14ac:dyDescent="0.2">
      <c r="B18196" t="s">
        <v>1</v>
      </c>
    </row>
    <row r="18197" spans="1:4" x14ac:dyDescent="0.2">
      <c r="B18197" t="s">
        <v>8</v>
      </c>
    </row>
    <row r="18198" spans="1:4" x14ac:dyDescent="0.2">
      <c r="B18198" t="s">
        <v>35</v>
      </c>
    </row>
    <row r="18200" spans="1:4" x14ac:dyDescent="0.2">
      <c r="A18200" t="s">
        <v>6085</v>
      </c>
      <c r="B18200" t="str">
        <f>HYPERLINK("https://lindat.mff.cuni.cz/services/teitok/pdtc10/index.php?action=vallex&amp;frame=v-w10744f2", "nashromáždit (v-w10744f2)")</f>
        <v>nashromáždit (v-w10744f2)</v>
      </c>
    </row>
    <row r="18201" spans="1:4" x14ac:dyDescent="0.2">
      <c r="B18201" t="s">
        <v>1</v>
      </c>
      <c r="C18201" t="s">
        <v>115</v>
      </c>
      <c r="D18201" t="s">
        <v>16226</v>
      </c>
    </row>
    <row r="18202" spans="1:4" x14ac:dyDescent="0.2">
      <c r="B18202" t="s">
        <v>8</v>
      </c>
      <c r="C18202" t="s">
        <v>2344</v>
      </c>
      <c r="D18202" t="s">
        <v>3270</v>
      </c>
    </row>
    <row r="18204" spans="1:4" x14ac:dyDescent="0.2">
      <c r="A18204" t="s">
        <v>6086</v>
      </c>
      <c r="B18204" t="str">
        <f>HYPERLINK("https://lindat.mff.cuni.cz/services/teitok/pdtc10/index.php?action=vallex&amp;frame=v-w2210f2", "naskakovat (v-w2210f2)")</f>
        <v>naskakovat (v-w2210f2)</v>
      </c>
    </row>
    <row r="18205" spans="1:4" x14ac:dyDescent="0.2">
      <c r="B18205" t="s">
        <v>1</v>
      </c>
    </row>
    <row r="18206" spans="1:4" x14ac:dyDescent="0.2">
      <c r="B18206" t="s">
        <v>90</v>
      </c>
    </row>
    <row r="18208" spans="1:4" x14ac:dyDescent="0.2">
      <c r="A18208" t="s">
        <v>6087</v>
      </c>
      <c r="B18208" t="str">
        <f>HYPERLINK("https://lindat.mff.cuni.cz/services/teitok/pdtc10/index.php?action=vallex&amp;frame=v-w2210f3", "naskakovat (v-w2210f3)")</f>
        <v>naskakovat (v-w2210f3)</v>
      </c>
    </row>
    <row r="18209" spans="1:4" x14ac:dyDescent="0.2">
      <c r="B18209" t="s">
        <v>1</v>
      </c>
      <c r="D18209" t="s">
        <v>553</v>
      </c>
    </row>
    <row r="18211" spans="1:4" x14ac:dyDescent="0.2">
      <c r="A18211" t="s">
        <v>6088</v>
      </c>
      <c r="B18211" t="str">
        <f>HYPERLINK("https://lindat.mff.cuni.cz/services/teitok/pdtc10/index.php?action=vallex&amp;frame=v-w2210f1", "naskakovat (v-w2210f1)")</f>
        <v>naskakovat (v-w2210f1)</v>
      </c>
    </row>
    <row r="18212" spans="1:4" x14ac:dyDescent="0.2">
      <c r="B18212" t="s">
        <v>455</v>
      </c>
    </row>
    <row r="18213" spans="1:4" x14ac:dyDescent="0.2">
      <c r="B18213" t="s">
        <v>6089</v>
      </c>
    </row>
    <row r="18215" spans="1:4" x14ac:dyDescent="0.2">
      <c r="A18215" t="s">
        <v>6090</v>
      </c>
      <c r="B18215" t="str">
        <f>HYPERLINK("https://lindat.mff.cuni.cz/services/teitok/pdtc10/index.php?action=vallex&amp;frame=v-w11778_ZUf1_ZU", "naskautovat (v-w11778_ZUf1_ZU)")</f>
        <v>naskautovat (v-w11778_ZUf1_ZU)</v>
      </c>
    </row>
    <row r="18216" spans="1:4" x14ac:dyDescent="0.2">
      <c r="B18216" t="s">
        <v>1</v>
      </c>
    </row>
    <row r="18217" spans="1:4" x14ac:dyDescent="0.2">
      <c r="B18217" t="s">
        <v>8</v>
      </c>
    </row>
    <row r="18219" spans="1:4" x14ac:dyDescent="0.2">
      <c r="A18219" t="s">
        <v>6091</v>
      </c>
      <c r="B18219" t="str">
        <f>HYPERLINK("https://lindat.mff.cuni.cz/services/teitok/pdtc10/index.php?action=vallex&amp;frame=v-whsa_527hsa_528", "naskenovat (v-whsa_527hsa_528)")</f>
        <v>naskenovat (v-whsa_527hsa_528)</v>
      </c>
    </row>
    <row r="18220" spans="1:4" x14ac:dyDescent="0.2">
      <c r="B18220" t="s">
        <v>1</v>
      </c>
    </row>
    <row r="18221" spans="1:4" x14ac:dyDescent="0.2">
      <c r="B18221" t="s">
        <v>8</v>
      </c>
    </row>
    <row r="18223" spans="1:4" x14ac:dyDescent="0.2">
      <c r="A18223" t="s">
        <v>6092</v>
      </c>
      <c r="B18223" t="str">
        <f>HYPERLINK("https://lindat.mff.cuni.cz/services/teitok/pdtc10/index.php?action=vallex&amp;frame=v-w2211f1", "naskicovat (v-w2211f1)")</f>
        <v>naskicovat (v-w2211f1)</v>
      </c>
    </row>
    <row r="18224" spans="1:4" x14ac:dyDescent="0.2">
      <c r="B18224" t="s">
        <v>1</v>
      </c>
    </row>
    <row r="18225" spans="1:4" x14ac:dyDescent="0.2">
      <c r="B18225" t="s">
        <v>172</v>
      </c>
    </row>
    <row r="18227" spans="1:4" x14ac:dyDescent="0.2">
      <c r="A18227" t="s">
        <v>6093</v>
      </c>
      <c r="B18227" t="str">
        <f>HYPERLINK("https://lindat.mff.cuni.cz/services/teitok/pdtc10/index.php?action=vallex&amp;frame=v-whsa_1235hsa_1236", "naskládat (v-whsa_1235hsa_1236)")</f>
        <v>naskládat (v-whsa_1235hsa_1236)</v>
      </c>
    </row>
    <row r="18228" spans="1:4" x14ac:dyDescent="0.2">
      <c r="B18228" t="s">
        <v>1</v>
      </c>
    </row>
    <row r="18229" spans="1:4" x14ac:dyDescent="0.2">
      <c r="B18229" t="s">
        <v>8</v>
      </c>
    </row>
    <row r="18230" spans="1:4" x14ac:dyDescent="0.2">
      <c r="B18230" t="s">
        <v>90</v>
      </c>
    </row>
    <row r="18232" spans="1:4" x14ac:dyDescent="0.2">
      <c r="A18232" t="s">
        <v>6094</v>
      </c>
      <c r="B18232" t="str">
        <f>HYPERLINK("https://lindat.mff.cuni.cz/services/teitok/pdtc10/index.php?action=vallex&amp;frame=v-w2212f2", "naskočit (v-w2212f2)")</f>
        <v>naskočit (v-w2212f2)</v>
      </c>
    </row>
    <row r="18233" spans="1:4" x14ac:dyDescent="0.2">
      <c r="B18233" t="s">
        <v>1</v>
      </c>
      <c r="C18233" t="s">
        <v>140</v>
      </c>
    </row>
    <row r="18234" spans="1:4" x14ac:dyDescent="0.2">
      <c r="B18234" t="s">
        <v>90</v>
      </c>
    </row>
    <row r="18236" spans="1:4" x14ac:dyDescent="0.2">
      <c r="A18236" t="s">
        <v>6095</v>
      </c>
      <c r="B18236" t="str">
        <f>HYPERLINK("https://lindat.mff.cuni.cz/services/teitok/pdtc10/index.php?action=vallex&amp;frame=v-w2212f3", "naskočit (v-w2212f3)")</f>
        <v>naskočit (v-w2212f3)</v>
      </c>
    </row>
    <row r="18237" spans="1:4" x14ac:dyDescent="0.2">
      <c r="B18237" t="s">
        <v>1</v>
      </c>
      <c r="C18237" t="s">
        <v>553</v>
      </c>
      <c r="D18237" t="s">
        <v>553</v>
      </c>
    </row>
    <row r="18239" spans="1:4" x14ac:dyDescent="0.2">
      <c r="A18239" t="s">
        <v>6096</v>
      </c>
      <c r="B18239" t="str">
        <f>HYPERLINK("https://lindat.mff.cuni.cz/services/teitok/pdtc10/index.php?action=vallex&amp;frame=v-w2212f1", "naskočit (v-w2212f1)")</f>
        <v>naskočit (v-w2212f1)</v>
      </c>
    </row>
    <row r="18240" spans="1:4" x14ac:dyDescent="0.2">
      <c r="B18240" t="s">
        <v>455</v>
      </c>
    </row>
    <row r="18241" spans="1:3" x14ac:dyDescent="0.2">
      <c r="B18241" t="s">
        <v>6089</v>
      </c>
    </row>
    <row r="18243" spans="1:3" x14ac:dyDescent="0.2">
      <c r="A18243" t="s">
        <v>6097</v>
      </c>
      <c r="B18243" t="str">
        <f>HYPERLINK("https://lindat.mff.cuni.cz/services/teitok/pdtc10/index.php?action=vallex&amp;frame=v-w2215f2_ZU", "naskytnout se (v-w2215f2_ZU)")</f>
        <v>naskytnout se (v-w2215f2_ZU)</v>
      </c>
    </row>
    <row r="18244" spans="1:3" x14ac:dyDescent="0.2">
      <c r="B18244" t="s">
        <v>1</v>
      </c>
      <c r="C18244" t="s">
        <v>1168</v>
      </c>
    </row>
    <row r="18246" spans="1:3" x14ac:dyDescent="0.2">
      <c r="A18246" t="s">
        <v>6098</v>
      </c>
      <c r="B18246" t="str">
        <f>HYPERLINK("https://lindat.mff.cuni.cz/services/teitok/pdtc10/index.php?action=vallex&amp;frame=v-w2215hsa_265", "naskytnout se (v-w2215hsa_265)")</f>
        <v>naskytnout se (v-w2215hsa_265)</v>
      </c>
    </row>
    <row r="18247" spans="1:3" x14ac:dyDescent="0.2">
      <c r="B18247" t="s">
        <v>6099</v>
      </c>
    </row>
    <row r="18248" spans="1:3" x14ac:dyDescent="0.2">
      <c r="B18248" t="s">
        <v>5491</v>
      </c>
    </row>
    <row r="18250" spans="1:3" x14ac:dyDescent="0.2">
      <c r="A18250" t="s">
        <v>6098</v>
      </c>
      <c r="B18250" t="str">
        <f>HYPERLINK("https://lindat.mff.cuni.cz/services/teitok/pdtc10/index.php?action=vallex&amp;frame=v-w2215f1", "naskytnout se (v-w2215f1) - substituted with v-w2215hsa_265")</f>
        <v>naskytnout se (v-w2215f1) - substituted with v-w2215hsa_265</v>
      </c>
    </row>
    <row r="18251" spans="1:3" x14ac:dyDescent="0.2">
      <c r="B18251" t="s">
        <v>6099</v>
      </c>
    </row>
    <row r="18252" spans="1:3" x14ac:dyDescent="0.2">
      <c r="B18252" t="s">
        <v>5491</v>
      </c>
    </row>
    <row r="18254" spans="1:3" x14ac:dyDescent="0.2">
      <c r="A18254" t="s">
        <v>6100</v>
      </c>
      <c r="B18254" t="str">
        <f>HYPERLINK("https://lindat.mff.cuni.cz/services/teitok/pdtc10/index.php?action=vallex&amp;frame=v-w2215hsa_266", "naskytnout se (v-w2215hsa_266)")</f>
        <v>naskytnout se (v-w2215hsa_266)</v>
      </c>
    </row>
    <row r="18255" spans="1:3" x14ac:dyDescent="0.2">
      <c r="B18255" t="s">
        <v>455</v>
      </c>
    </row>
    <row r="18256" spans="1:3" x14ac:dyDescent="0.2">
      <c r="B18256" t="s">
        <v>6101</v>
      </c>
      <c r="C18256" t="s">
        <v>6102</v>
      </c>
    </row>
    <row r="18258" spans="1:3" x14ac:dyDescent="0.2">
      <c r="A18258" t="s">
        <v>6103</v>
      </c>
      <c r="B18258" t="str">
        <f>HYPERLINK("https://lindat.mff.cuni.cz/services/teitok/pdtc10/index.php?action=vallex&amp;frame=v-whsa_41hsa_42", "naskákat se (v-whsa_41hsa_42)")</f>
        <v>naskákat se (v-whsa_41hsa_42)</v>
      </c>
    </row>
    <row r="18259" spans="1:3" x14ac:dyDescent="0.2">
      <c r="B18259" t="s">
        <v>1</v>
      </c>
    </row>
    <row r="18261" spans="1:3" x14ac:dyDescent="0.2">
      <c r="A18261" t="s">
        <v>6104</v>
      </c>
      <c r="B18261" t="str">
        <f>HYPERLINK("https://lindat.mff.cuni.cz/services/teitok/pdtc10/index.php?action=vallex&amp;frame=v-w2214f2", "naskýtat se (v-w2214f2)")</f>
        <v>naskýtat se (v-w2214f2)</v>
      </c>
    </row>
    <row r="18262" spans="1:3" x14ac:dyDescent="0.2">
      <c r="B18262" t="s">
        <v>1</v>
      </c>
      <c r="C18262" t="s">
        <v>579</v>
      </c>
    </row>
    <row r="18264" spans="1:3" x14ac:dyDescent="0.2">
      <c r="A18264" t="s">
        <v>6105</v>
      </c>
      <c r="B18264" t="str">
        <f>HYPERLINK("https://lindat.mff.cuni.cz/services/teitok/pdtc10/index.php?action=vallex&amp;frame=v-w2214f1", "naskýtat se (v-w2214f1)")</f>
        <v>naskýtat se (v-w2214f1)</v>
      </c>
    </row>
    <row r="18265" spans="1:3" x14ac:dyDescent="0.2">
      <c r="B18265" t="s">
        <v>6106</v>
      </c>
    </row>
    <row r="18266" spans="1:3" x14ac:dyDescent="0.2">
      <c r="B18266" t="s">
        <v>5491</v>
      </c>
    </row>
    <row r="18268" spans="1:3" x14ac:dyDescent="0.2">
      <c r="A18268" t="s">
        <v>6107</v>
      </c>
      <c r="B18268" t="str">
        <f>HYPERLINK("https://lindat.mff.cuni.cz/services/teitok/pdtc10/index.php?action=vallex&amp;frame=v-w11884_ZUf1_ZU", "naslinit (v-w11884_ZUf1_ZU)")</f>
        <v>naslinit (v-w11884_ZUf1_ZU)</v>
      </c>
    </row>
    <row r="18269" spans="1:3" x14ac:dyDescent="0.2">
      <c r="B18269" t="s">
        <v>1</v>
      </c>
    </row>
    <row r="18270" spans="1:3" x14ac:dyDescent="0.2">
      <c r="B18270" t="s">
        <v>8</v>
      </c>
    </row>
    <row r="18272" spans="1:3" x14ac:dyDescent="0.2">
      <c r="A18272" t="s">
        <v>6108</v>
      </c>
      <c r="B18272" t="str">
        <f>HYPERLINK("https://lindat.mff.cuni.cz/services/teitok/pdtc10/index.php?action=vallex&amp;frame=v-w2220f1", "naslouchat (v-w2220f1)")</f>
        <v>naslouchat (v-w2220f1)</v>
      </c>
    </row>
    <row r="18273" spans="1:4" x14ac:dyDescent="0.2">
      <c r="B18273" t="s">
        <v>1</v>
      </c>
      <c r="C18273" t="s">
        <v>3583</v>
      </c>
      <c r="D18273" t="s">
        <v>92</v>
      </c>
    </row>
    <row r="18274" spans="1:4" x14ac:dyDescent="0.2">
      <c r="B18274" t="s">
        <v>6109</v>
      </c>
      <c r="C18274" t="s">
        <v>116</v>
      </c>
      <c r="D18274" t="s">
        <v>359</v>
      </c>
    </row>
    <row r="18276" spans="1:4" x14ac:dyDescent="0.2">
      <c r="A18276" t="s">
        <v>6110</v>
      </c>
      <c r="B18276" t="str">
        <f>HYPERLINK("https://lindat.mff.cuni.cz/services/teitok/pdtc10/index.php?action=vallex&amp;frame=v-whsa_198hsa_199", "nasluhovat (v-whsa_198hsa_199)")</f>
        <v>nasluhovat (v-whsa_198hsa_199)</v>
      </c>
    </row>
    <row r="18277" spans="1:4" x14ac:dyDescent="0.2">
      <c r="B18277" t="s">
        <v>1</v>
      </c>
    </row>
    <row r="18278" spans="1:4" x14ac:dyDescent="0.2">
      <c r="B18278" t="s">
        <v>8</v>
      </c>
    </row>
    <row r="18280" spans="1:4" x14ac:dyDescent="0.2">
      <c r="A18280" t="s">
        <v>6111</v>
      </c>
      <c r="B18280" t="str">
        <f>HYPERLINK("https://lindat.mff.cuni.cz/services/teitok/pdtc10/index.php?action=vallex&amp;frame=v-w2223f1", "nasmlouvat (v-w2223f1)")</f>
        <v>nasmlouvat (v-w2223f1)</v>
      </c>
    </row>
    <row r="18281" spans="1:4" x14ac:dyDescent="0.2">
      <c r="B18281" t="s">
        <v>1</v>
      </c>
    </row>
    <row r="18282" spans="1:4" x14ac:dyDescent="0.2">
      <c r="B18282" t="s">
        <v>120</v>
      </c>
    </row>
    <row r="18283" spans="1:4" x14ac:dyDescent="0.2">
      <c r="B18283" t="s">
        <v>2328</v>
      </c>
    </row>
    <row r="18285" spans="1:4" x14ac:dyDescent="0.2">
      <c r="A18285" t="s">
        <v>6112</v>
      </c>
      <c r="B18285" t="str">
        <f>HYPERLINK("https://lindat.mff.cuni.cz/services/teitok/pdtc10/index.php?action=vallex&amp;frame=v-whsa_1180f1_ZU", "nasmát se (v-whsa_1180f1_ZU)")</f>
        <v>nasmát se (v-whsa_1180f1_ZU)</v>
      </c>
    </row>
    <row r="18286" spans="1:4" x14ac:dyDescent="0.2">
      <c r="B18286" t="s">
        <v>1</v>
      </c>
    </row>
    <row r="18287" spans="1:4" x14ac:dyDescent="0.2">
      <c r="B18287" t="s">
        <v>6113</v>
      </c>
    </row>
    <row r="18289" spans="1:4" x14ac:dyDescent="0.2">
      <c r="A18289" t="s">
        <v>6112</v>
      </c>
      <c r="B18289" t="str">
        <f>HYPERLINK("https://lindat.mff.cuni.cz/services/teitok/pdtc10/index.php?action=vallex&amp;frame=v-whsa_1180hsa_1181", "nasmát se (v-whsa_1180hsa_1181) - substituted with v-whsa_1180f1_ZU")</f>
        <v>nasmát se (v-whsa_1180hsa_1181) - substituted with v-whsa_1180f1_ZU</v>
      </c>
    </row>
    <row r="18290" spans="1:4" x14ac:dyDescent="0.2">
      <c r="B18290" t="s">
        <v>1</v>
      </c>
    </row>
    <row r="18291" spans="1:4" x14ac:dyDescent="0.2">
      <c r="B18291" t="s">
        <v>6113</v>
      </c>
    </row>
    <row r="18293" spans="1:4" x14ac:dyDescent="0.2">
      <c r="A18293" t="s">
        <v>6114</v>
      </c>
      <c r="B18293" t="str">
        <f>HYPERLINK("https://lindat.mff.cuni.cz/services/teitok/pdtc10/index.php?action=vallex&amp;frame=v-w2221f1", "nasměrovat (v-w2221f1)")</f>
        <v>nasměrovat (v-w2221f1)</v>
      </c>
    </row>
    <row r="18294" spans="1:4" x14ac:dyDescent="0.2">
      <c r="B18294" t="s">
        <v>1</v>
      </c>
      <c r="C18294" t="s">
        <v>6115</v>
      </c>
      <c r="D18294" t="s">
        <v>23069</v>
      </c>
    </row>
    <row r="18295" spans="1:4" x14ac:dyDescent="0.2">
      <c r="B18295" t="s">
        <v>8</v>
      </c>
      <c r="C18295" t="s">
        <v>6116</v>
      </c>
      <c r="D18295" t="s">
        <v>23070</v>
      </c>
    </row>
    <row r="18296" spans="1:4" x14ac:dyDescent="0.2">
      <c r="B18296" t="s">
        <v>90</v>
      </c>
      <c r="C18296" t="s">
        <v>6117</v>
      </c>
      <c r="D18296" t="s">
        <v>23570</v>
      </c>
    </row>
    <row r="18298" spans="1:4" x14ac:dyDescent="0.2">
      <c r="A18298" t="s">
        <v>6118</v>
      </c>
      <c r="B18298" t="str">
        <f>HYPERLINK("https://lindat.mff.cuni.cz/services/teitok/pdtc10/index.php?action=vallex&amp;frame=v-w2221f2_ZU", "nasměrovat (v-w2221f2_ZU)")</f>
        <v>nasměrovat (v-w2221f2_ZU)</v>
      </c>
    </row>
    <row r="18299" spans="1:4" x14ac:dyDescent="0.2">
      <c r="B18299" t="s">
        <v>1</v>
      </c>
      <c r="D18299" t="s">
        <v>23069</v>
      </c>
    </row>
    <row r="18300" spans="1:4" x14ac:dyDescent="0.2">
      <c r="B18300" t="s">
        <v>8</v>
      </c>
      <c r="D18300" t="s">
        <v>23070</v>
      </c>
    </row>
    <row r="18301" spans="1:4" x14ac:dyDescent="0.2">
      <c r="B18301" t="s">
        <v>205</v>
      </c>
      <c r="D18301" t="s">
        <v>23570</v>
      </c>
    </row>
    <row r="18303" spans="1:4" x14ac:dyDescent="0.2">
      <c r="A18303" t="s">
        <v>6119</v>
      </c>
      <c r="B18303" t="str">
        <f>HYPERLINK("https://lindat.mff.cuni.cz/services/teitok/pdtc10/index.php?action=vallex&amp;frame=v-w2221f3_ZU", "nasměrovat (v-w2221f3_ZU)")</f>
        <v>nasměrovat (v-w2221f3_ZU)</v>
      </c>
    </row>
    <row r="18304" spans="1:4" x14ac:dyDescent="0.2">
      <c r="B18304" t="s">
        <v>1</v>
      </c>
    </row>
    <row r="18305" spans="1:4" x14ac:dyDescent="0.2">
      <c r="B18305" t="s">
        <v>8</v>
      </c>
    </row>
    <row r="18306" spans="1:4" x14ac:dyDescent="0.2">
      <c r="B18306" t="s">
        <v>252</v>
      </c>
    </row>
    <row r="18308" spans="1:4" x14ac:dyDescent="0.2">
      <c r="A18308" t="s">
        <v>6120</v>
      </c>
      <c r="B18308" t="str">
        <f>HYPERLINK("https://lindat.mff.cuni.cz/services/teitok/pdtc10/index.php?action=vallex&amp;frame=v-w2222f1", "nasměrovávat (v-w2222f1)")</f>
        <v>nasměrovávat (v-w2222f1)</v>
      </c>
    </row>
    <row r="18309" spans="1:4" x14ac:dyDescent="0.2">
      <c r="B18309" t="s">
        <v>1</v>
      </c>
      <c r="C18309" t="s">
        <v>430</v>
      </c>
      <c r="D18309" t="s">
        <v>23069</v>
      </c>
    </row>
    <row r="18310" spans="1:4" x14ac:dyDescent="0.2">
      <c r="B18310" t="s">
        <v>8</v>
      </c>
      <c r="C18310" t="s">
        <v>56</v>
      </c>
      <c r="D18310" t="s">
        <v>23070</v>
      </c>
    </row>
    <row r="18311" spans="1:4" x14ac:dyDescent="0.2">
      <c r="B18311" t="s">
        <v>90</v>
      </c>
      <c r="D18311" t="s">
        <v>23570</v>
      </c>
    </row>
    <row r="18313" spans="1:4" x14ac:dyDescent="0.2">
      <c r="A18313" t="s">
        <v>6121</v>
      </c>
      <c r="B18313" t="str">
        <f>HYPERLINK("https://lindat.mff.cuni.cz/services/teitok/pdtc10/index.php?action=vallex&amp;frame=v-whsa_149hsa_150", "nasnídat se (v-whsa_149hsa_150)")</f>
        <v>nasnídat se (v-whsa_149hsa_150)</v>
      </c>
    </row>
    <row r="18314" spans="1:4" x14ac:dyDescent="0.2">
      <c r="B18314" t="s">
        <v>1</v>
      </c>
    </row>
    <row r="18316" spans="1:4" x14ac:dyDescent="0.2">
      <c r="A18316" t="s">
        <v>6122</v>
      </c>
      <c r="B18316" t="str">
        <f>HYPERLINK("https://lindat.mff.cuni.cz/services/teitok/pdtc10/index.php?action=vallex&amp;frame=v-w10330f2", "nasněžit (v-w10330f2)")</f>
        <v>nasněžit (v-w10330f2)</v>
      </c>
    </row>
    <row r="18317" spans="1:4" x14ac:dyDescent="0.2">
      <c r="B18317" t="s">
        <v>1</v>
      </c>
      <c r="C18317" t="s">
        <v>964</v>
      </c>
    </row>
    <row r="18318" spans="1:4" x14ac:dyDescent="0.2">
      <c r="B18318" t="s">
        <v>8</v>
      </c>
      <c r="C18318" t="s">
        <v>6123</v>
      </c>
    </row>
    <row r="18320" spans="1:4" x14ac:dyDescent="0.2">
      <c r="A18320" t="s">
        <v>6124</v>
      </c>
      <c r="B18320" t="str">
        <f>HYPERLINK("https://lindat.mff.cuni.cz/services/teitok/pdtc10/index.php?action=vallex&amp;frame=v-whsa_1635hsa_1636", "naspořit (v-whsa_1635hsa_1636)")</f>
        <v>naspořit (v-whsa_1635hsa_1636)</v>
      </c>
    </row>
    <row r="18321" spans="1:4" x14ac:dyDescent="0.2">
      <c r="B18321" t="s">
        <v>1</v>
      </c>
    </row>
    <row r="18322" spans="1:4" x14ac:dyDescent="0.2">
      <c r="B18322" t="s">
        <v>8</v>
      </c>
    </row>
    <row r="18324" spans="1:4" x14ac:dyDescent="0.2">
      <c r="A18324" t="s">
        <v>6125</v>
      </c>
      <c r="B18324" t="str">
        <f>HYPERLINK("https://lindat.mff.cuni.cz/services/teitok/pdtc10/index.php?action=vallex&amp;frame=v-w2227f1", "nastartovat (v-w2227f1)")</f>
        <v>nastartovat (v-w2227f1)</v>
      </c>
    </row>
    <row r="18325" spans="1:4" x14ac:dyDescent="0.2">
      <c r="B18325" t="s">
        <v>1</v>
      </c>
      <c r="C18325" t="s">
        <v>6126</v>
      </c>
      <c r="D18325" t="s">
        <v>22950</v>
      </c>
    </row>
    <row r="18326" spans="1:4" x14ac:dyDescent="0.2">
      <c r="B18326" t="s">
        <v>8</v>
      </c>
      <c r="C18326" t="s">
        <v>6127</v>
      </c>
      <c r="D18326" t="s">
        <v>22951</v>
      </c>
    </row>
    <row r="18328" spans="1:4" x14ac:dyDescent="0.2">
      <c r="A18328" t="s">
        <v>6128</v>
      </c>
      <c r="B18328" t="str">
        <f>HYPERLINK("https://lindat.mff.cuni.cz/services/teitok/pdtc10/index.php?action=vallex&amp;frame=v-w2228f1", "nastat (v-w2228f1)")</f>
        <v>nastat (v-w2228f1)</v>
      </c>
    </row>
    <row r="18329" spans="1:4" x14ac:dyDescent="0.2">
      <c r="B18329" t="s">
        <v>1</v>
      </c>
      <c r="C18329" t="s">
        <v>6129</v>
      </c>
      <c r="D18329" t="s">
        <v>23208</v>
      </c>
    </row>
    <row r="18331" spans="1:4" x14ac:dyDescent="0.2">
      <c r="A18331" t="s">
        <v>6130</v>
      </c>
      <c r="B18331" t="str">
        <f>HYPERLINK("https://lindat.mff.cuni.cz/services/teitok/pdtc10/index.php?action=vallex&amp;frame=v-w2231f1", "nastavit (v-w2231f1)")</f>
        <v>nastavit (v-w2231f1)</v>
      </c>
    </row>
    <row r="18332" spans="1:4" x14ac:dyDescent="0.2">
      <c r="B18332" t="s">
        <v>1</v>
      </c>
      <c r="C18332" t="s">
        <v>6131</v>
      </c>
      <c r="D18332" t="s">
        <v>2555</v>
      </c>
    </row>
    <row r="18333" spans="1:4" x14ac:dyDescent="0.2">
      <c r="B18333" t="s">
        <v>8</v>
      </c>
      <c r="C18333" t="s">
        <v>5971</v>
      </c>
      <c r="D18333" t="s">
        <v>7921</v>
      </c>
    </row>
    <row r="18335" spans="1:4" x14ac:dyDescent="0.2">
      <c r="A18335" t="s">
        <v>6132</v>
      </c>
      <c r="B18335" t="str">
        <f>HYPERLINK("https://lindat.mff.cuni.cz/services/teitok/pdtc10/index.php?action=vallex&amp;frame=v-w2231f2", "nastavit (v-w2231f2)")</f>
        <v>nastavit (v-w2231f2)</v>
      </c>
    </row>
    <row r="18336" spans="1:4" x14ac:dyDescent="0.2">
      <c r="B18336" t="s">
        <v>1</v>
      </c>
    </row>
    <row r="18337" spans="1:4" x14ac:dyDescent="0.2">
      <c r="B18337" t="s">
        <v>8</v>
      </c>
    </row>
    <row r="18339" spans="1:4" x14ac:dyDescent="0.2">
      <c r="A18339" t="s">
        <v>6133</v>
      </c>
      <c r="B18339" t="str">
        <f>HYPERLINK("https://lindat.mff.cuni.cz/services/teitok/pdtc10/index.php?action=vallex&amp;frame=v-w2231f4", "nastavit (v-w2231f4)")</f>
        <v>nastavit (v-w2231f4)</v>
      </c>
    </row>
    <row r="18340" spans="1:4" x14ac:dyDescent="0.2">
      <c r="B18340" t="s">
        <v>1</v>
      </c>
    </row>
    <row r="18341" spans="1:4" x14ac:dyDescent="0.2">
      <c r="B18341" t="s">
        <v>8</v>
      </c>
    </row>
    <row r="18343" spans="1:4" x14ac:dyDescent="0.2">
      <c r="A18343" t="s">
        <v>6134</v>
      </c>
      <c r="B18343" t="str">
        <f>HYPERLINK("https://lindat.mff.cuni.cz/services/teitok/pdtc10/index.php?action=vallex&amp;frame=v-w2231f3", "nastavit (v-w2231f3)")</f>
        <v>nastavit (v-w2231f3)</v>
      </c>
    </row>
    <row r="18344" spans="1:4" x14ac:dyDescent="0.2">
      <c r="B18344" t="s">
        <v>1</v>
      </c>
    </row>
    <row r="18345" spans="1:4" x14ac:dyDescent="0.2">
      <c r="B18345" t="s">
        <v>6135</v>
      </c>
    </row>
    <row r="18346" spans="1:4" x14ac:dyDescent="0.2">
      <c r="B18346" t="s">
        <v>103</v>
      </c>
    </row>
    <row r="18348" spans="1:4" x14ac:dyDescent="0.2">
      <c r="A18348" t="s">
        <v>6136</v>
      </c>
      <c r="B18348" t="str">
        <f>HYPERLINK("https://lindat.mff.cuni.cz/services/teitok/pdtc10/index.php?action=vallex&amp;frame=v-w2231f5_ZU", "nastavit (v-w2231f5_ZU)")</f>
        <v>nastavit (v-w2231f5_ZU)</v>
      </c>
    </row>
    <row r="18349" spans="1:4" x14ac:dyDescent="0.2">
      <c r="B18349" t="s">
        <v>1</v>
      </c>
      <c r="C18349" t="s">
        <v>1581</v>
      </c>
      <c r="D18349" t="s">
        <v>23042</v>
      </c>
    </row>
    <row r="18350" spans="1:4" x14ac:dyDescent="0.2">
      <c r="B18350" t="s">
        <v>8</v>
      </c>
      <c r="C18350" t="s">
        <v>3789</v>
      </c>
      <c r="D18350" t="s">
        <v>23043</v>
      </c>
    </row>
    <row r="18351" spans="1:4" x14ac:dyDescent="0.2">
      <c r="B18351" t="s">
        <v>25</v>
      </c>
      <c r="C18351" t="s">
        <v>1045</v>
      </c>
      <c r="D18351" t="s">
        <v>23044</v>
      </c>
    </row>
    <row r="18353" spans="1:4" x14ac:dyDescent="0.2">
      <c r="A18353" t="s">
        <v>6136</v>
      </c>
      <c r="B18353" t="str">
        <f>HYPERLINK("https://lindat.mff.cuni.cz/services/teitok/pdtc10/index.php?action=vallex&amp;frame=v-w2231hsa_62", "nastavit (v-w2231hsa_62) - substituted with v-w2231f5_ZU")</f>
        <v>nastavit (v-w2231hsa_62) - substituted with v-w2231f5_ZU</v>
      </c>
    </row>
    <row r="18354" spans="1:4" x14ac:dyDescent="0.2">
      <c r="B18354" t="s">
        <v>1</v>
      </c>
    </row>
    <row r="18355" spans="1:4" x14ac:dyDescent="0.2">
      <c r="B18355" t="s">
        <v>8</v>
      </c>
    </row>
    <row r="18356" spans="1:4" x14ac:dyDescent="0.2">
      <c r="B18356" t="s">
        <v>25</v>
      </c>
    </row>
    <row r="18358" spans="1:4" x14ac:dyDescent="0.2">
      <c r="A18358" t="s">
        <v>6137</v>
      </c>
      <c r="B18358" t="str">
        <f>HYPERLINK("https://lindat.mff.cuni.cz/services/teitok/pdtc10/index.php?action=vallex&amp;frame=v-w2232f1", "nastavovat (v-w2232f1)")</f>
        <v>nastavovat (v-w2232f1)</v>
      </c>
    </row>
    <row r="18359" spans="1:4" x14ac:dyDescent="0.2">
      <c r="B18359" t="s">
        <v>1</v>
      </c>
      <c r="C18359" t="s">
        <v>33</v>
      </c>
    </row>
    <row r="18360" spans="1:4" x14ac:dyDescent="0.2">
      <c r="B18360" t="s">
        <v>8</v>
      </c>
      <c r="C18360" t="s">
        <v>34</v>
      </c>
    </row>
    <row r="18362" spans="1:4" x14ac:dyDescent="0.2">
      <c r="A18362" t="s">
        <v>6138</v>
      </c>
      <c r="B18362" t="str">
        <f>HYPERLINK("https://lindat.mff.cuni.cz/services/teitok/pdtc10/index.php?action=vallex&amp;frame=v-w2232f2", "nastavovat (v-w2232f2)")</f>
        <v>nastavovat (v-w2232f2)</v>
      </c>
    </row>
    <row r="18363" spans="1:4" x14ac:dyDescent="0.2">
      <c r="B18363" t="s">
        <v>1</v>
      </c>
    </row>
    <row r="18364" spans="1:4" x14ac:dyDescent="0.2">
      <c r="B18364" t="s">
        <v>8</v>
      </c>
    </row>
    <row r="18366" spans="1:4" x14ac:dyDescent="0.2">
      <c r="A18366" t="s">
        <v>6139</v>
      </c>
      <c r="B18366" t="str">
        <f>HYPERLINK("https://lindat.mff.cuni.cz/services/teitok/pdtc10/index.php?action=vallex&amp;frame=v-w2232f3_ZU", "nastavovat (v-w2232f3_ZU)")</f>
        <v>nastavovat (v-w2232f3_ZU)</v>
      </c>
    </row>
    <row r="18367" spans="1:4" x14ac:dyDescent="0.2">
      <c r="B18367" t="s">
        <v>1</v>
      </c>
      <c r="D18367" t="s">
        <v>23261</v>
      </c>
    </row>
    <row r="18368" spans="1:4" x14ac:dyDescent="0.2">
      <c r="B18368" t="s">
        <v>8</v>
      </c>
      <c r="D18368" t="s">
        <v>9548</v>
      </c>
    </row>
    <row r="18370" spans="1:4" x14ac:dyDescent="0.2">
      <c r="A18370" t="s">
        <v>6140</v>
      </c>
      <c r="B18370" t="str">
        <f>HYPERLINK("https://lindat.mff.cuni.cz/services/teitok/pdtc10/index.php?action=vallex&amp;frame=v-w11090f2", "nastavět (v-w11090f2)")</f>
        <v>nastavět (v-w11090f2)</v>
      </c>
    </row>
    <row r="18371" spans="1:4" x14ac:dyDescent="0.2">
      <c r="B18371" t="s">
        <v>1</v>
      </c>
      <c r="C18371" t="s">
        <v>140</v>
      </c>
      <c r="D18371" t="s">
        <v>23418</v>
      </c>
    </row>
    <row r="18372" spans="1:4" x14ac:dyDescent="0.2">
      <c r="B18372" t="s">
        <v>8</v>
      </c>
      <c r="C18372" t="s">
        <v>34</v>
      </c>
      <c r="D18372" t="s">
        <v>23419</v>
      </c>
    </row>
    <row r="18373" spans="1:4" x14ac:dyDescent="0.2">
      <c r="B18373" t="s">
        <v>24</v>
      </c>
      <c r="D18373" t="s">
        <v>10345</v>
      </c>
    </row>
    <row r="18375" spans="1:4" x14ac:dyDescent="0.2">
      <c r="A18375" t="s">
        <v>6141</v>
      </c>
      <c r="B18375" t="str">
        <f>HYPERLINK("https://lindat.mff.cuni.cz/services/teitok/pdtc10/index.php?action=vallex&amp;frame=v-whsa_1281hsa_1282", "nastiňovat (v-whsa_1281hsa_1282)")</f>
        <v>nastiňovat (v-whsa_1281hsa_1282)</v>
      </c>
    </row>
    <row r="18376" spans="1:4" x14ac:dyDescent="0.2">
      <c r="B18376" t="s">
        <v>1</v>
      </c>
      <c r="C18376" t="s">
        <v>430</v>
      </c>
      <c r="D18376" t="s">
        <v>3255</v>
      </c>
    </row>
    <row r="18377" spans="1:4" x14ac:dyDescent="0.2">
      <c r="B18377" t="s">
        <v>8</v>
      </c>
      <c r="C18377" t="s">
        <v>1340</v>
      </c>
      <c r="D18377" t="s">
        <v>1241</v>
      </c>
    </row>
    <row r="18378" spans="1:4" x14ac:dyDescent="0.2">
      <c r="B18378" t="s">
        <v>78</v>
      </c>
    </row>
    <row r="18380" spans="1:4" x14ac:dyDescent="0.2">
      <c r="A18380" t="s">
        <v>6142</v>
      </c>
      <c r="B18380" t="str">
        <f>HYPERLINK("https://lindat.mff.cuni.cz/services/teitok/pdtc10/index.php?action=vallex&amp;frame=v-w2240f1", "nastolit (v-w2240f1)")</f>
        <v>nastolit (v-w2240f1)</v>
      </c>
    </row>
    <row r="18381" spans="1:4" x14ac:dyDescent="0.2">
      <c r="B18381" t="s">
        <v>1</v>
      </c>
      <c r="C18381" t="s">
        <v>3081</v>
      </c>
      <c r="D18381" t="s">
        <v>430</v>
      </c>
    </row>
    <row r="18382" spans="1:4" x14ac:dyDescent="0.2">
      <c r="B18382" t="s">
        <v>8</v>
      </c>
      <c r="C18382" t="s">
        <v>1277</v>
      </c>
      <c r="D18382" t="s">
        <v>969</v>
      </c>
    </row>
    <row r="18384" spans="1:4" x14ac:dyDescent="0.2">
      <c r="A18384" t="s">
        <v>6143</v>
      </c>
      <c r="B18384" t="str">
        <f>HYPERLINK("https://lindat.mff.cuni.cz/services/teitok/pdtc10/index.php?action=vallex&amp;frame=v-w2241f1", "nastolovat (v-w2241f1)")</f>
        <v>nastolovat (v-w2241f1)</v>
      </c>
    </row>
    <row r="18385" spans="1:4" x14ac:dyDescent="0.2">
      <c r="B18385" t="s">
        <v>1</v>
      </c>
      <c r="C18385" t="s">
        <v>6144</v>
      </c>
      <c r="D18385" t="s">
        <v>430</v>
      </c>
    </row>
    <row r="18386" spans="1:4" x14ac:dyDescent="0.2">
      <c r="B18386" t="s">
        <v>8</v>
      </c>
      <c r="C18386" t="s">
        <v>2886</v>
      </c>
      <c r="D18386" t="s">
        <v>969</v>
      </c>
    </row>
    <row r="18388" spans="1:4" x14ac:dyDescent="0.2">
      <c r="A18388" t="s">
        <v>6145</v>
      </c>
      <c r="B18388" t="str">
        <f>HYPERLINK("https://lindat.mff.cuni.cz/services/teitok/pdtc10/index.php?action=vallex&amp;frame=v-w2242f2", "nastoupit (v-w2242f2)")</f>
        <v>nastoupit (v-w2242f2)</v>
      </c>
    </row>
    <row r="18389" spans="1:4" x14ac:dyDescent="0.2">
      <c r="B18389" t="s">
        <v>1</v>
      </c>
      <c r="C18389" t="s">
        <v>6146</v>
      </c>
      <c r="D18389" t="s">
        <v>23334</v>
      </c>
    </row>
    <row r="18390" spans="1:4" x14ac:dyDescent="0.2">
      <c r="B18390" t="s">
        <v>6147</v>
      </c>
      <c r="C18390" t="s">
        <v>6148</v>
      </c>
      <c r="D18390" t="s">
        <v>10414</v>
      </c>
    </row>
    <row r="18392" spans="1:4" x14ac:dyDescent="0.2">
      <c r="A18392" t="s">
        <v>6149</v>
      </c>
      <c r="B18392" t="str">
        <f>HYPERLINK("https://lindat.mff.cuni.cz/services/teitok/pdtc10/index.php?action=vallex&amp;frame=v-w2242f1", "nastoupit (v-w2242f1)")</f>
        <v>nastoupit (v-w2242f1)</v>
      </c>
    </row>
    <row r="18393" spans="1:4" x14ac:dyDescent="0.2">
      <c r="B18393" t="s">
        <v>1</v>
      </c>
      <c r="C18393" t="s">
        <v>6150</v>
      </c>
      <c r="D18393" t="s">
        <v>23334</v>
      </c>
    </row>
    <row r="18394" spans="1:4" x14ac:dyDescent="0.2">
      <c r="B18394" t="s">
        <v>5</v>
      </c>
      <c r="C18394" t="s">
        <v>6151</v>
      </c>
      <c r="D18394" t="s">
        <v>23335</v>
      </c>
    </row>
    <row r="18396" spans="1:4" x14ac:dyDescent="0.2">
      <c r="A18396" t="s">
        <v>6152</v>
      </c>
      <c r="B18396" t="str">
        <f>HYPERLINK("https://lindat.mff.cuni.cz/services/teitok/pdtc10/index.php?action=vallex&amp;frame=v-w2242f3", "nastoupit (v-w2242f3)")</f>
        <v>nastoupit (v-w2242f3)</v>
      </c>
    </row>
    <row r="18397" spans="1:4" x14ac:dyDescent="0.2">
      <c r="B18397" t="s">
        <v>1</v>
      </c>
      <c r="C18397" t="s">
        <v>6153</v>
      </c>
    </row>
    <row r="18398" spans="1:4" x14ac:dyDescent="0.2">
      <c r="B18398" t="s">
        <v>90</v>
      </c>
    </row>
    <row r="18400" spans="1:4" x14ac:dyDescent="0.2">
      <c r="A18400" t="s">
        <v>6154</v>
      </c>
      <c r="B18400" t="str">
        <f>HYPERLINK("https://lindat.mff.cuni.cz/services/teitok/pdtc10/index.php?action=vallex&amp;frame=v-w2242f7_ZU", "nastoupit (v-w2242f7_ZU)")</f>
        <v>nastoupit (v-w2242f7_ZU)</v>
      </c>
    </row>
    <row r="18401" spans="1:4" x14ac:dyDescent="0.2">
      <c r="B18401" t="s">
        <v>1</v>
      </c>
    </row>
    <row r="18402" spans="1:4" x14ac:dyDescent="0.2">
      <c r="B18402" t="s">
        <v>90</v>
      </c>
    </row>
    <row r="18404" spans="1:4" x14ac:dyDescent="0.2">
      <c r="A18404" t="s">
        <v>6154</v>
      </c>
      <c r="B18404" t="str">
        <f>HYPERLINK("https://lindat.mff.cuni.cz/services/teitok/pdtc10/index.php?action=vallex&amp;frame=v-w2242f4", "nastoupit (v-w2242f4) - substituted with v-w2242f7_ZU")</f>
        <v>nastoupit (v-w2242f4) - substituted with v-w2242f7_ZU</v>
      </c>
    </row>
    <row r="18405" spans="1:4" x14ac:dyDescent="0.2">
      <c r="B18405" t="s">
        <v>1</v>
      </c>
      <c r="C18405" t="s">
        <v>6155</v>
      </c>
      <c r="D18405" t="s">
        <v>23334</v>
      </c>
    </row>
    <row r="18406" spans="1:4" x14ac:dyDescent="0.2">
      <c r="B18406" t="s">
        <v>90</v>
      </c>
      <c r="C18406" t="s">
        <v>6156</v>
      </c>
      <c r="D18406" t="s">
        <v>23571</v>
      </c>
    </row>
    <row r="18408" spans="1:4" x14ac:dyDescent="0.2">
      <c r="A18408" t="s">
        <v>6154</v>
      </c>
      <c r="B18408" t="str">
        <f>HYPERLINK("https://lindat.mff.cuni.cz/services/teitok/pdtc10/index.php?action=vallex&amp;frame=v-w2242f5_ZU", "nastoupit (v-w2242f5_ZU) - substituted with v-w2242f7_ZU")</f>
        <v>nastoupit (v-w2242f5_ZU) - substituted with v-w2242f7_ZU</v>
      </c>
    </row>
    <row r="18409" spans="1:4" x14ac:dyDescent="0.2">
      <c r="B18409" t="s">
        <v>1</v>
      </c>
    </row>
    <row r="18410" spans="1:4" x14ac:dyDescent="0.2">
      <c r="B18410" t="s">
        <v>90</v>
      </c>
    </row>
    <row r="18412" spans="1:4" x14ac:dyDescent="0.2">
      <c r="A18412" t="s">
        <v>6154</v>
      </c>
      <c r="B18412" t="str">
        <f>HYPERLINK("https://lindat.mff.cuni.cz/services/teitok/pdtc10/index.php?action=vallex&amp;frame=v-w2242f6_ZU", "nastoupit (v-w2242f6_ZU) - substituted with v-w2242f7_ZU")</f>
        <v>nastoupit (v-w2242f6_ZU) - substituted with v-w2242f7_ZU</v>
      </c>
    </row>
    <row r="18413" spans="1:4" x14ac:dyDescent="0.2">
      <c r="B18413" t="s">
        <v>1</v>
      </c>
    </row>
    <row r="18414" spans="1:4" x14ac:dyDescent="0.2">
      <c r="B18414" t="s">
        <v>90</v>
      </c>
    </row>
    <row r="18416" spans="1:4" x14ac:dyDescent="0.2">
      <c r="A18416" t="s">
        <v>6157</v>
      </c>
      <c r="B18416" t="str">
        <f>HYPERLINK("https://lindat.mff.cuni.cz/services/teitok/pdtc10/index.php?action=vallex&amp;frame=v-w2242f8_MM", "nastoupit (v-w2242f8_MM)")</f>
        <v>nastoupit (v-w2242f8_MM)</v>
      </c>
    </row>
    <row r="18417" spans="1:2" x14ac:dyDescent="0.2">
      <c r="B18417" t="s">
        <v>1</v>
      </c>
    </row>
    <row r="18418" spans="1:2" x14ac:dyDescent="0.2">
      <c r="B18418" t="s">
        <v>6158</v>
      </c>
    </row>
    <row r="18419" spans="1:2" x14ac:dyDescent="0.2">
      <c r="B18419" t="s">
        <v>24</v>
      </c>
    </row>
    <row r="18421" spans="1:2" x14ac:dyDescent="0.2">
      <c r="A18421" t="s">
        <v>6157</v>
      </c>
      <c r="B18421" t="str">
        <f>HYPERLINK("https://lindat.mff.cuni.cz/services/teitok/pdtc10/index.php?action=vallex&amp;frame=v-w2242hsa_107", "nastoupit (v-w2242hsa_107) - substituted with v-w2242f8_MM")</f>
        <v>nastoupit (v-w2242hsa_107) - substituted with v-w2242f8_MM</v>
      </c>
    </row>
    <row r="18422" spans="1:2" x14ac:dyDescent="0.2">
      <c r="B18422" t="s">
        <v>1</v>
      </c>
    </row>
    <row r="18423" spans="1:2" x14ac:dyDescent="0.2">
      <c r="B18423" t="s">
        <v>6158</v>
      </c>
    </row>
    <row r="18424" spans="1:2" x14ac:dyDescent="0.2">
      <c r="B18424" t="s">
        <v>24</v>
      </c>
    </row>
    <row r="18426" spans="1:2" x14ac:dyDescent="0.2">
      <c r="A18426" t="s">
        <v>6159</v>
      </c>
      <c r="B18426" t="str">
        <f>HYPERLINK("https://lindat.mff.cuni.cz/services/teitok/pdtc10/index.php?action=vallex&amp;frame=v-whsa_1122hsa_1123", "nastražit (v-whsa_1122hsa_1123)")</f>
        <v>nastražit (v-whsa_1122hsa_1123)</v>
      </c>
    </row>
    <row r="18427" spans="1:2" x14ac:dyDescent="0.2">
      <c r="B18427" t="s">
        <v>1</v>
      </c>
    </row>
    <row r="18428" spans="1:2" x14ac:dyDescent="0.2">
      <c r="B18428" t="s">
        <v>8</v>
      </c>
    </row>
    <row r="18430" spans="1:2" x14ac:dyDescent="0.2">
      <c r="A18430" t="s">
        <v>6160</v>
      </c>
      <c r="B18430" t="str">
        <f>HYPERLINK("https://lindat.mff.cuni.cz/services/teitok/pdtc10/index.php?action=vallex&amp;frame=v-w12169_ZUf1_ZU", "nastrkat (v-w12169_ZUf1_ZU)")</f>
        <v>nastrkat (v-w12169_ZUf1_ZU)</v>
      </c>
    </row>
    <row r="18431" spans="1:2" x14ac:dyDescent="0.2">
      <c r="B18431" t="s">
        <v>1</v>
      </c>
    </row>
    <row r="18432" spans="1:2" x14ac:dyDescent="0.2">
      <c r="B18432" t="s">
        <v>8</v>
      </c>
    </row>
    <row r="18433" spans="1:2" x14ac:dyDescent="0.2">
      <c r="B18433" t="s">
        <v>252</v>
      </c>
    </row>
    <row r="18435" spans="1:2" x14ac:dyDescent="0.2">
      <c r="A18435" t="s">
        <v>6161</v>
      </c>
      <c r="B18435" t="str">
        <f>HYPERLINK("https://lindat.mff.cuni.cz/services/teitok/pdtc10/index.php?action=vallex&amp;frame=v-whsa_906hsa_907", "nastrojit (v-whsa_906hsa_907)")</f>
        <v>nastrojit (v-whsa_906hsa_907)</v>
      </c>
    </row>
    <row r="18436" spans="1:2" x14ac:dyDescent="0.2">
      <c r="B18436" t="s">
        <v>1</v>
      </c>
    </row>
    <row r="18437" spans="1:2" x14ac:dyDescent="0.2">
      <c r="B18437" t="s">
        <v>8</v>
      </c>
    </row>
    <row r="18438" spans="1:2" x14ac:dyDescent="0.2">
      <c r="B18438" t="s">
        <v>130</v>
      </c>
    </row>
    <row r="18440" spans="1:2" x14ac:dyDescent="0.2">
      <c r="A18440" t="s">
        <v>6162</v>
      </c>
      <c r="B18440" t="str">
        <f>HYPERLINK("https://lindat.mff.cuni.cz/services/teitok/pdtc10/index.php?action=vallex&amp;frame=v-whsb_213hsa_214", "nastrouhat (v-whsb_213hsa_214)")</f>
        <v>nastrouhat (v-whsb_213hsa_214)</v>
      </c>
    </row>
    <row r="18441" spans="1:2" x14ac:dyDescent="0.2">
      <c r="B18441" t="s">
        <v>1</v>
      </c>
    </row>
    <row r="18442" spans="1:2" x14ac:dyDescent="0.2">
      <c r="B18442" t="s">
        <v>8</v>
      </c>
    </row>
    <row r="18444" spans="1:2" x14ac:dyDescent="0.2">
      <c r="A18444" t="s">
        <v>6163</v>
      </c>
      <c r="B18444" t="str">
        <f>HYPERLINK("https://lindat.mff.cuni.cz/services/teitok/pdtc10/index.php?action=vallex&amp;frame=v-w2243f1", "nastrčit (v-w2243f1)")</f>
        <v>nastrčit (v-w2243f1)</v>
      </c>
    </row>
    <row r="18445" spans="1:2" x14ac:dyDescent="0.2">
      <c r="B18445" t="s">
        <v>1</v>
      </c>
    </row>
    <row r="18446" spans="1:2" x14ac:dyDescent="0.2">
      <c r="B18446" t="s">
        <v>8</v>
      </c>
    </row>
    <row r="18447" spans="1:2" x14ac:dyDescent="0.2">
      <c r="B18447" t="s">
        <v>35</v>
      </c>
    </row>
    <row r="18449" spans="1:4" x14ac:dyDescent="0.2">
      <c r="A18449" t="s">
        <v>6164</v>
      </c>
      <c r="B18449" t="str">
        <f>HYPERLINK("https://lindat.mff.cuni.cz/services/teitok/pdtc10/index.php?action=vallex&amp;frame=v-w2243f2", "nastrčit (v-w2243f2)")</f>
        <v>nastrčit (v-w2243f2)</v>
      </c>
    </row>
    <row r="18450" spans="1:4" x14ac:dyDescent="0.2">
      <c r="B18450" t="s">
        <v>1</v>
      </c>
    </row>
    <row r="18451" spans="1:4" x14ac:dyDescent="0.2">
      <c r="B18451" t="s">
        <v>8</v>
      </c>
    </row>
    <row r="18452" spans="1:4" x14ac:dyDescent="0.2">
      <c r="B18452" t="s">
        <v>90</v>
      </c>
    </row>
    <row r="18454" spans="1:4" x14ac:dyDescent="0.2">
      <c r="A18454" t="s">
        <v>6165</v>
      </c>
      <c r="B18454" t="str">
        <f>HYPERLINK("https://lindat.mff.cuni.cz/services/teitok/pdtc10/index.php?action=vallex&amp;frame=v-w2251f1", "nastudovat (v-w2251f1)")</f>
        <v>nastudovat (v-w2251f1)</v>
      </c>
    </row>
    <row r="18455" spans="1:4" x14ac:dyDescent="0.2">
      <c r="B18455" t="s">
        <v>1</v>
      </c>
    </row>
    <row r="18456" spans="1:4" x14ac:dyDescent="0.2">
      <c r="B18456" t="s">
        <v>8</v>
      </c>
    </row>
    <row r="18458" spans="1:4" x14ac:dyDescent="0.2">
      <c r="A18458" t="s">
        <v>6166</v>
      </c>
      <c r="B18458" t="str">
        <f>HYPERLINK("https://lindat.mff.cuni.cz/services/teitok/pdtc10/index.php?action=vallex&amp;frame=v-w2251hsa_1134", "nastudovat (v-w2251hsa_1134)")</f>
        <v>nastudovat (v-w2251hsa_1134)</v>
      </c>
    </row>
    <row r="18459" spans="1:4" x14ac:dyDescent="0.2">
      <c r="B18459" t="s">
        <v>1</v>
      </c>
    </row>
    <row r="18460" spans="1:4" x14ac:dyDescent="0.2">
      <c r="B18460" t="s">
        <v>8</v>
      </c>
    </row>
    <row r="18462" spans="1:4" x14ac:dyDescent="0.2">
      <c r="A18462" t="s">
        <v>6167</v>
      </c>
      <c r="B18462" t="str">
        <f>HYPERLINK("https://lindat.mff.cuni.cz/services/teitok/pdtc10/index.php?action=vallex&amp;frame=v-w2256f2", "nastupovat (v-w2256f2)")</f>
        <v>nastupovat (v-w2256f2)</v>
      </c>
    </row>
    <row r="18463" spans="1:4" x14ac:dyDescent="0.2">
      <c r="B18463" t="s">
        <v>1</v>
      </c>
      <c r="C18463" t="s">
        <v>6168</v>
      </c>
      <c r="D18463" t="s">
        <v>23529</v>
      </c>
    </row>
    <row r="18464" spans="1:4" x14ac:dyDescent="0.2">
      <c r="B18464" t="s">
        <v>6147</v>
      </c>
      <c r="C18464" t="s">
        <v>6169</v>
      </c>
      <c r="D18464" t="s">
        <v>23530</v>
      </c>
    </row>
    <row r="18466" spans="1:4" x14ac:dyDescent="0.2">
      <c r="A18466" t="s">
        <v>6170</v>
      </c>
      <c r="B18466" t="str">
        <f>HYPERLINK("https://lindat.mff.cuni.cz/services/teitok/pdtc10/index.php?action=vallex&amp;frame=v-w2256f4", "nastupovat (v-w2256f4)")</f>
        <v>nastupovat (v-w2256f4)</v>
      </c>
    </row>
    <row r="18467" spans="1:4" x14ac:dyDescent="0.2">
      <c r="B18467" t="s">
        <v>1</v>
      </c>
      <c r="D18467" t="s">
        <v>23334</v>
      </c>
    </row>
    <row r="18468" spans="1:4" x14ac:dyDescent="0.2">
      <c r="B18468" t="s">
        <v>5</v>
      </c>
      <c r="D18468" t="s">
        <v>23335</v>
      </c>
    </row>
    <row r="18470" spans="1:4" x14ac:dyDescent="0.2">
      <c r="A18470" t="s">
        <v>6171</v>
      </c>
      <c r="B18470" t="str">
        <f>HYPERLINK("https://lindat.mff.cuni.cz/services/teitok/pdtc10/index.php?action=vallex&amp;frame=v-w2256f1", "nastupovat (v-w2256f1)")</f>
        <v>nastupovat (v-w2256f1)</v>
      </c>
    </row>
    <row r="18471" spans="1:4" x14ac:dyDescent="0.2">
      <c r="B18471" t="s">
        <v>1</v>
      </c>
    </row>
    <row r="18472" spans="1:4" x14ac:dyDescent="0.2">
      <c r="B18472" t="s">
        <v>90</v>
      </c>
    </row>
    <row r="18474" spans="1:4" x14ac:dyDescent="0.2">
      <c r="A18474" t="s">
        <v>6172</v>
      </c>
      <c r="B18474" t="str">
        <f>HYPERLINK("https://lindat.mff.cuni.cz/services/teitok/pdtc10/index.php?action=vallex&amp;frame=v-w2256f3", "nastupovat (v-w2256f3)")</f>
        <v>nastupovat (v-w2256f3)</v>
      </c>
    </row>
    <row r="18475" spans="1:4" x14ac:dyDescent="0.2">
      <c r="B18475" t="s">
        <v>1</v>
      </c>
      <c r="C18475" t="s">
        <v>6173</v>
      </c>
      <c r="D18475" t="s">
        <v>23334</v>
      </c>
    </row>
    <row r="18476" spans="1:4" x14ac:dyDescent="0.2">
      <c r="B18476" t="s">
        <v>90</v>
      </c>
      <c r="C18476" t="s">
        <v>6174</v>
      </c>
      <c r="D18476" t="s">
        <v>23571</v>
      </c>
    </row>
    <row r="18478" spans="1:4" x14ac:dyDescent="0.2">
      <c r="A18478" t="s">
        <v>6175</v>
      </c>
      <c r="B18478" t="str">
        <f>HYPERLINK("https://lindat.mff.cuni.cz/services/teitok/pdtc10/index.php?action=vallex&amp;frame=v-whsa_1322hsa_1323", "nastydnout (v-whsa_1322hsa_1323)")</f>
        <v>nastydnout (v-whsa_1322hsa_1323)</v>
      </c>
    </row>
    <row r="18479" spans="1:4" x14ac:dyDescent="0.2">
      <c r="B18479" t="s">
        <v>1</v>
      </c>
    </row>
    <row r="18481" spans="1:4" x14ac:dyDescent="0.2">
      <c r="A18481" t="s">
        <v>6176</v>
      </c>
      <c r="B18481" t="str">
        <f>HYPERLINK("https://lindat.mff.cuni.cz/services/teitok/pdtc10/index.php?action=vallex&amp;frame=v-w2229f1", "nastávat (v-w2229f1)")</f>
        <v>nastávat (v-w2229f1)</v>
      </c>
    </row>
    <row r="18482" spans="1:4" x14ac:dyDescent="0.2">
      <c r="B18482" t="s">
        <v>1</v>
      </c>
      <c r="C18482" t="s">
        <v>6177</v>
      </c>
      <c r="D18482" t="s">
        <v>23208</v>
      </c>
    </row>
    <row r="18484" spans="1:4" x14ac:dyDescent="0.2">
      <c r="A18484" t="s">
        <v>6178</v>
      </c>
      <c r="B18484" t="str">
        <f>HYPERLINK("https://lindat.mff.cuni.cz/services/teitok/pdtc10/index.php?action=vallex&amp;frame=v-w2237f1", "nastínit (v-w2237f1)")</f>
        <v>nastínit (v-w2237f1)</v>
      </c>
    </row>
    <row r="18485" spans="1:4" x14ac:dyDescent="0.2">
      <c r="B18485" t="s">
        <v>1</v>
      </c>
      <c r="C18485" t="s">
        <v>3542</v>
      </c>
      <c r="D18485" t="s">
        <v>3255</v>
      </c>
    </row>
    <row r="18486" spans="1:4" x14ac:dyDescent="0.2">
      <c r="B18486" t="s">
        <v>5559</v>
      </c>
      <c r="C18486" t="s">
        <v>3040</v>
      </c>
      <c r="D18486" t="s">
        <v>1241</v>
      </c>
    </row>
    <row r="18487" spans="1:4" x14ac:dyDescent="0.2">
      <c r="B18487" t="s">
        <v>78</v>
      </c>
    </row>
    <row r="18489" spans="1:4" x14ac:dyDescent="0.2">
      <c r="A18489" t="s">
        <v>6179</v>
      </c>
      <c r="B18489" t="str">
        <f>HYPERLINK("https://lindat.mff.cuni.cz/services/teitok/pdtc10/index.php?action=vallex&amp;frame=v-w2234f1", "nastěhovat (v-w2234f1)")</f>
        <v>nastěhovat (v-w2234f1)</v>
      </c>
    </row>
    <row r="18490" spans="1:4" x14ac:dyDescent="0.2">
      <c r="B18490" t="s">
        <v>1</v>
      </c>
    </row>
    <row r="18491" spans="1:4" x14ac:dyDescent="0.2">
      <c r="B18491" t="s">
        <v>8</v>
      </c>
    </row>
    <row r="18492" spans="1:4" x14ac:dyDescent="0.2">
      <c r="B18492" t="s">
        <v>90</v>
      </c>
    </row>
    <row r="18494" spans="1:4" x14ac:dyDescent="0.2">
      <c r="A18494" t="s">
        <v>6180</v>
      </c>
      <c r="B18494" t="str">
        <f>HYPERLINK("https://lindat.mff.cuni.cz/services/teitok/pdtc10/index.php?action=vallex&amp;frame=v-w2235f1", "nastěhovat se (v-w2235f1)")</f>
        <v>nastěhovat se (v-w2235f1)</v>
      </c>
    </row>
    <row r="18495" spans="1:4" x14ac:dyDescent="0.2">
      <c r="B18495" t="s">
        <v>1</v>
      </c>
      <c r="C18495" t="s">
        <v>6181</v>
      </c>
    </row>
    <row r="18496" spans="1:4" x14ac:dyDescent="0.2">
      <c r="B18496" t="s">
        <v>90</v>
      </c>
    </row>
    <row r="18498" spans="1:2" x14ac:dyDescent="0.2">
      <c r="A18498" t="s">
        <v>6182</v>
      </c>
      <c r="B18498" t="str">
        <f>HYPERLINK("https://lindat.mff.cuni.cz/services/teitok/pdtc10/index.php?action=vallex&amp;frame=v-w2247f1", "nastřelit (v-w2247f1)")</f>
        <v>nastřelit (v-w2247f1)</v>
      </c>
    </row>
    <row r="18499" spans="1:2" x14ac:dyDescent="0.2">
      <c r="B18499" t="s">
        <v>1</v>
      </c>
    </row>
    <row r="18500" spans="1:2" x14ac:dyDescent="0.2">
      <c r="B18500" t="s">
        <v>8</v>
      </c>
    </row>
    <row r="18502" spans="1:2" x14ac:dyDescent="0.2">
      <c r="A18502" t="s">
        <v>6183</v>
      </c>
      <c r="B18502" t="str">
        <f>HYPERLINK("https://lindat.mff.cuni.cz/services/teitok/pdtc10/index.php?action=vallex&amp;frame=v-w12077_ZUf1_ZU", "nastřihávat (v-w12077_ZUf1_ZU)")</f>
        <v>nastřihávat (v-w12077_ZUf1_ZU)</v>
      </c>
    </row>
    <row r="18503" spans="1:2" x14ac:dyDescent="0.2">
      <c r="B18503" t="s">
        <v>1</v>
      </c>
    </row>
    <row r="18504" spans="1:2" x14ac:dyDescent="0.2">
      <c r="B18504" t="s">
        <v>8</v>
      </c>
    </row>
    <row r="18506" spans="1:2" x14ac:dyDescent="0.2">
      <c r="A18506" t="s">
        <v>6184</v>
      </c>
      <c r="B18506" t="str">
        <f>HYPERLINK("https://lindat.mff.cuni.cz/services/teitok/pdtc10/index.php?action=vallex&amp;frame=v-w2248f1", "nastříkat (v-w2248f1)")</f>
        <v>nastříkat (v-w2248f1)</v>
      </c>
    </row>
    <row r="18507" spans="1:2" x14ac:dyDescent="0.2">
      <c r="B18507" t="s">
        <v>1</v>
      </c>
    </row>
    <row r="18508" spans="1:2" x14ac:dyDescent="0.2">
      <c r="B18508" t="s">
        <v>8</v>
      </c>
    </row>
    <row r="18509" spans="1:2" x14ac:dyDescent="0.2">
      <c r="B18509" t="s">
        <v>90</v>
      </c>
    </row>
    <row r="18511" spans="1:2" x14ac:dyDescent="0.2">
      <c r="A18511" t="s">
        <v>6185</v>
      </c>
      <c r="B18511" t="str">
        <f>HYPERLINK("https://lindat.mff.cuni.cz/services/teitok/pdtc10/index.php?action=vallex&amp;frame=v-w2248f2", "nastříkat (v-w2248f2)")</f>
        <v>nastříkat (v-w2248f2)</v>
      </c>
    </row>
    <row r="18512" spans="1:2" x14ac:dyDescent="0.2">
      <c r="B18512" t="s">
        <v>1</v>
      </c>
    </row>
    <row r="18513" spans="1:2" x14ac:dyDescent="0.2">
      <c r="B18513" t="s">
        <v>8</v>
      </c>
    </row>
    <row r="18515" spans="1:2" x14ac:dyDescent="0.2">
      <c r="A18515" t="s">
        <v>6186</v>
      </c>
      <c r="B18515" t="str">
        <f>HYPERLINK("https://lindat.mff.cuni.cz/services/teitok/pdtc10/index.php?action=vallex&amp;frame=v-w2249f2", "nastřílet (v-w2249f2)")</f>
        <v>nastřílet (v-w2249f2)</v>
      </c>
    </row>
    <row r="18516" spans="1:2" x14ac:dyDescent="0.2">
      <c r="B18516" t="s">
        <v>1</v>
      </c>
    </row>
    <row r="18517" spans="1:2" x14ac:dyDescent="0.2">
      <c r="B18517" t="s">
        <v>8</v>
      </c>
    </row>
    <row r="18518" spans="1:2" x14ac:dyDescent="0.2">
      <c r="B18518" t="s">
        <v>78</v>
      </c>
    </row>
    <row r="18520" spans="1:2" x14ac:dyDescent="0.2">
      <c r="A18520" t="s">
        <v>6187</v>
      </c>
      <c r="B18520" t="str">
        <f>HYPERLINK("https://lindat.mff.cuni.cz/services/teitok/pdtc10/index.php?action=vallex&amp;frame=v-w2249f1", "nastřílet (v-w2249f1)")</f>
        <v>nastřílet (v-w2249f1)</v>
      </c>
    </row>
    <row r="18521" spans="1:2" x14ac:dyDescent="0.2">
      <c r="B18521" t="s">
        <v>1</v>
      </c>
    </row>
    <row r="18522" spans="1:2" x14ac:dyDescent="0.2">
      <c r="B18522" t="s">
        <v>8</v>
      </c>
    </row>
    <row r="18524" spans="1:2" x14ac:dyDescent="0.2">
      <c r="A18524" t="s">
        <v>6188</v>
      </c>
      <c r="B18524" t="str">
        <f>HYPERLINK("https://lindat.mff.cuni.cz/services/teitok/pdtc10/index.php?action=vallex&amp;frame=v-w11761_ZUf1_ZU", "nasušit (v-w11761_ZUf1_ZU)")</f>
        <v>nasušit (v-w11761_ZUf1_ZU)</v>
      </c>
    </row>
    <row r="18525" spans="1:2" x14ac:dyDescent="0.2">
      <c r="B18525" t="s">
        <v>1</v>
      </c>
    </row>
    <row r="18526" spans="1:2" x14ac:dyDescent="0.2">
      <c r="B18526" t="s">
        <v>8</v>
      </c>
    </row>
    <row r="18528" spans="1:2" x14ac:dyDescent="0.2">
      <c r="A18528" t="s">
        <v>6189</v>
      </c>
      <c r="B18528" t="str">
        <f>HYPERLINK("https://lindat.mff.cuni.cz/services/teitok/pdtc10/index.php?action=vallex&amp;frame=v-w2257f1", "nasvědčovat (v-w2257f1)")</f>
        <v>nasvědčovat (v-w2257f1)</v>
      </c>
    </row>
    <row r="18529" spans="1:2" x14ac:dyDescent="0.2">
      <c r="B18529" t="s">
        <v>1</v>
      </c>
    </row>
    <row r="18530" spans="1:2" x14ac:dyDescent="0.2">
      <c r="B18530" t="s">
        <v>6190</v>
      </c>
    </row>
    <row r="18532" spans="1:2" x14ac:dyDescent="0.2">
      <c r="A18532" t="s">
        <v>6191</v>
      </c>
      <c r="B18532" t="str">
        <f>HYPERLINK("https://lindat.mff.cuni.cz/services/teitok/pdtc10/index.php?action=vallex&amp;frame=v-w12089_ZUf1_ZU", "nasycovat se (v-w12089_ZUf1_ZU)")</f>
        <v>nasycovat se (v-w12089_ZUf1_ZU)</v>
      </c>
    </row>
    <row r="18533" spans="1:2" x14ac:dyDescent="0.2">
      <c r="B18533" t="s">
        <v>1</v>
      </c>
    </row>
    <row r="18534" spans="1:2" x14ac:dyDescent="0.2">
      <c r="B18534" t="s">
        <v>3225</v>
      </c>
    </row>
    <row r="18536" spans="1:2" x14ac:dyDescent="0.2">
      <c r="A18536" t="s">
        <v>6192</v>
      </c>
      <c r="B18536" t="str">
        <f>HYPERLINK("https://lindat.mff.cuni.cz/services/teitok/pdtc10/index.php?action=vallex&amp;frame=v-w2259f1", "nasypat (v-w2259f1)")</f>
        <v>nasypat (v-w2259f1)</v>
      </c>
    </row>
    <row r="18537" spans="1:2" x14ac:dyDescent="0.2">
      <c r="B18537" t="s">
        <v>1</v>
      </c>
    </row>
    <row r="18538" spans="1:2" x14ac:dyDescent="0.2">
      <c r="B18538" t="s">
        <v>8</v>
      </c>
    </row>
    <row r="18539" spans="1:2" x14ac:dyDescent="0.2">
      <c r="B18539" t="s">
        <v>90</v>
      </c>
    </row>
    <row r="18541" spans="1:2" x14ac:dyDescent="0.2">
      <c r="A18541" t="s">
        <v>6193</v>
      </c>
      <c r="B18541" t="str">
        <f>HYPERLINK("https://lindat.mff.cuni.cz/services/teitok/pdtc10/index.php?action=vallex&amp;frame=v-w2260f1", "nasytit (v-w2260f1)")</f>
        <v>nasytit (v-w2260f1)</v>
      </c>
    </row>
    <row r="18542" spans="1:2" x14ac:dyDescent="0.2">
      <c r="B18542" t="s">
        <v>1</v>
      </c>
    </row>
    <row r="18543" spans="1:2" x14ac:dyDescent="0.2">
      <c r="B18543" t="s">
        <v>8</v>
      </c>
    </row>
    <row r="18545" spans="1:2" x14ac:dyDescent="0.2">
      <c r="A18545" t="s">
        <v>6194</v>
      </c>
      <c r="B18545" t="str">
        <f>HYPERLINK("https://lindat.mff.cuni.cz/services/teitok/pdtc10/index.php?action=vallex&amp;frame=v-w2201f1", "nasát (v-w2201f1)")</f>
        <v>nasát (v-w2201f1)</v>
      </c>
    </row>
    <row r="18546" spans="1:2" x14ac:dyDescent="0.2">
      <c r="B18546" t="s">
        <v>1</v>
      </c>
    </row>
    <row r="18547" spans="1:2" x14ac:dyDescent="0.2">
      <c r="B18547" t="s">
        <v>3766</v>
      </c>
    </row>
    <row r="18549" spans="1:2" x14ac:dyDescent="0.2">
      <c r="A18549" t="s">
        <v>6195</v>
      </c>
      <c r="B18549" t="str">
        <f>HYPERLINK("https://lindat.mff.cuni.cz/services/teitok/pdtc10/index.php?action=vallex&amp;frame=v-whsa_1952f1_MM", "nasávat (v-whsa_1952f1_MM)")</f>
        <v>nasávat (v-whsa_1952f1_MM)</v>
      </c>
    </row>
    <row r="18550" spans="1:2" x14ac:dyDescent="0.2">
      <c r="B18550" t="s">
        <v>1</v>
      </c>
    </row>
    <row r="18551" spans="1:2" x14ac:dyDescent="0.2">
      <c r="B18551" t="s">
        <v>8</v>
      </c>
    </row>
    <row r="18553" spans="1:2" x14ac:dyDescent="0.2">
      <c r="A18553" t="s">
        <v>6196</v>
      </c>
      <c r="B18553" t="str">
        <f>HYPERLINK("https://lindat.mff.cuni.cz/services/teitok/pdtc10/index.php?action=vallex&amp;frame=v-whsa_1952hsa_1953", "nasávat (v-whsa_1952hsa_1953)")</f>
        <v>nasávat (v-whsa_1952hsa_1953)</v>
      </c>
    </row>
    <row r="18554" spans="1:2" x14ac:dyDescent="0.2">
      <c r="B18554" t="s">
        <v>1</v>
      </c>
    </row>
    <row r="18555" spans="1:2" x14ac:dyDescent="0.2">
      <c r="B18555" t="s">
        <v>8</v>
      </c>
    </row>
    <row r="18557" spans="1:2" x14ac:dyDescent="0.2">
      <c r="A18557" t="s">
        <v>6197</v>
      </c>
      <c r="B18557" t="str">
        <f>HYPERLINK("https://lindat.mff.cuni.cz/services/teitok/pdtc10/index.php?action=vallex&amp;frame=v-w2203f1", "nasázet (v-w2203f1)")</f>
        <v>nasázet (v-w2203f1)</v>
      </c>
    </row>
    <row r="18558" spans="1:2" x14ac:dyDescent="0.2">
      <c r="B18558" t="s">
        <v>1</v>
      </c>
    </row>
    <row r="18559" spans="1:2" x14ac:dyDescent="0.2">
      <c r="B18559" t="s">
        <v>8</v>
      </c>
    </row>
    <row r="18560" spans="1:2" x14ac:dyDescent="0.2">
      <c r="B18560" t="s">
        <v>35</v>
      </c>
    </row>
    <row r="18562" spans="1:2" x14ac:dyDescent="0.2">
      <c r="A18562" t="s">
        <v>6198</v>
      </c>
      <c r="B18562" t="str">
        <f>HYPERLINK("https://lindat.mff.cuni.cz/services/teitok/pdtc10/index.php?action=vallex&amp;frame=v-w10451f2", "nasčítat (v-w10451f2)")</f>
        <v>nasčítat (v-w10451f2)</v>
      </c>
    </row>
    <row r="18563" spans="1:2" x14ac:dyDescent="0.2">
      <c r="B18563" t="s">
        <v>1</v>
      </c>
    </row>
    <row r="18564" spans="1:2" x14ac:dyDescent="0.2">
      <c r="B18564" t="s">
        <v>8</v>
      </c>
    </row>
    <row r="18565" spans="1:2" x14ac:dyDescent="0.2">
      <c r="B18565" t="s">
        <v>24</v>
      </c>
    </row>
    <row r="18566" spans="1:2" x14ac:dyDescent="0.2">
      <c r="B18566" t="s">
        <v>61</v>
      </c>
    </row>
    <row r="18568" spans="1:2" x14ac:dyDescent="0.2">
      <c r="A18568" t="s">
        <v>6199</v>
      </c>
      <c r="B18568" t="str">
        <f>HYPERLINK("https://lindat.mff.cuni.cz/services/teitok/pdtc10/index.php?action=vallex&amp;frame=v-w10451f3", "nasčítat (v-w10451f3)")</f>
        <v>nasčítat (v-w10451f3)</v>
      </c>
    </row>
    <row r="18569" spans="1:2" x14ac:dyDescent="0.2">
      <c r="B18569" t="s">
        <v>1</v>
      </c>
    </row>
    <row r="18570" spans="1:2" x14ac:dyDescent="0.2">
      <c r="B18570" t="s">
        <v>8</v>
      </c>
    </row>
    <row r="18572" spans="1:2" x14ac:dyDescent="0.2">
      <c r="A18572" t="s">
        <v>6200</v>
      </c>
      <c r="B18572" t="str">
        <f>HYPERLINK("https://lindat.mff.cuni.cz/services/teitok/pdtc10/index.php?action=vallex&amp;frame=v-w2269f2", "natahovat (v-w2269f2)")</f>
        <v>natahovat (v-w2269f2)</v>
      </c>
    </row>
    <row r="18573" spans="1:2" x14ac:dyDescent="0.2">
      <c r="B18573" t="s">
        <v>1</v>
      </c>
    </row>
    <row r="18574" spans="1:2" x14ac:dyDescent="0.2">
      <c r="B18574" t="s">
        <v>8</v>
      </c>
    </row>
    <row r="18575" spans="1:2" x14ac:dyDescent="0.2">
      <c r="B18575" t="s">
        <v>24</v>
      </c>
    </row>
    <row r="18576" spans="1:2" x14ac:dyDescent="0.2">
      <c r="B18576" t="s">
        <v>61</v>
      </c>
    </row>
    <row r="18578" spans="1:3" x14ac:dyDescent="0.2">
      <c r="A18578" t="s">
        <v>6201</v>
      </c>
      <c r="B18578" t="str">
        <f>HYPERLINK("https://lindat.mff.cuni.cz/services/teitok/pdtc10/index.php?action=vallex&amp;frame=v-w2269f1", "natahovat (v-w2269f1)")</f>
        <v>natahovat (v-w2269f1)</v>
      </c>
    </row>
    <row r="18579" spans="1:3" x14ac:dyDescent="0.2">
      <c r="B18579" t="s">
        <v>1</v>
      </c>
      <c r="C18579" t="s">
        <v>83</v>
      </c>
    </row>
    <row r="18580" spans="1:3" x14ac:dyDescent="0.2">
      <c r="B18580" t="s">
        <v>8</v>
      </c>
      <c r="C18580" t="s">
        <v>54</v>
      </c>
    </row>
    <row r="18582" spans="1:3" x14ac:dyDescent="0.2">
      <c r="A18582" t="s">
        <v>6202</v>
      </c>
      <c r="B18582" t="str">
        <f>HYPERLINK("https://lindat.mff.cuni.cz/services/teitok/pdtc10/index.php?action=vallex&amp;frame=v-w2269f3_ZU", "natahovat (v-w2269f3_ZU)")</f>
        <v>natahovat (v-w2269f3_ZU)</v>
      </c>
    </row>
    <row r="18583" spans="1:3" x14ac:dyDescent="0.2">
      <c r="B18583" t="s">
        <v>1</v>
      </c>
    </row>
    <row r="18584" spans="1:3" x14ac:dyDescent="0.2">
      <c r="B18584" t="s">
        <v>220</v>
      </c>
    </row>
    <row r="18586" spans="1:3" x14ac:dyDescent="0.2">
      <c r="A18586" t="s">
        <v>6203</v>
      </c>
      <c r="B18586" t="str">
        <f>HYPERLINK("https://lindat.mff.cuni.cz/services/teitok/pdtc10/index.php?action=vallex&amp;frame=v-whsa_838hsa_839", "natahovat se (v-whsa_838hsa_839)")</f>
        <v>natahovat se (v-whsa_838hsa_839)</v>
      </c>
    </row>
    <row r="18587" spans="1:3" x14ac:dyDescent="0.2">
      <c r="B18587" t="s">
        <v>1</v>
      </c>
      <c r="C18587" t="s">
        <v>6204</v>
      </c>
    </row>
    <row r="18588" spans="1:3" x14ac:dyDescent="0.2">
      <c r="B18588" t="s">
        <v>333</v>
      </c>
    </row>
    <row r="18589" spans="1:3" x14ac:dyDescent="0.2">
      <c r="B18589" t="s">
        <v>90</v>
      </c>
    </row>
    <row r="18591" spans="1:3" x14ac:dyDescent="0.2">
      <c r="A18591" t="s">
        <v>6205</v>
      </c>
      <c r="B18591" t="str">
        <f>HYPERLINK("https://lindat.mff.cuni.cz/services/teitok/pdtc10/index.php?action=vallex&amp;frame=v-w12295_MMf1_MM", "natankovat (v-w12295_MMf1_MM)")</f>
        <v>natankovat (v-w12295_MMf1_MM)</v>
      </c>
    </row>
    <row r="18592" spans="1:3" x14ac:dyDescent="0.2">
      <c r="B18592" t="s">
        <v>1</v>
      </c>
    </row>
    <row r="18593" spans="1:4" x14ac:dyDescent="0.2">
      <c r="B18593" t="s">
        <v>8</v>
      </c>
    </row>
    <row r="18595" spans="1:4" x14ac:dyDescent="0.2">
      <c r="A18595" t="s">
        <v>6206</v>
      </c>
      <c r="B18595" t="str">
        <f>HYPERLINK("https://lindat.mff.cuni.cz/services/teitok/pdtc10/index.php?action=vallex&amp;frame=v-w11366f1", "natlačit se (v-w11366f1)")</f>
        <v>natlačit se (v-w11366f1)</v>
      </c>
    </row>
    <row r="18596" spans="1:4" x14ac:dyDescent="0.2">
      <c r="B18596" t="s">
        <v>1</v>
      </c>
      <c r="C18596" t="s">
        <v>33</v>
      </c>
      <c r="D18596" t="s">
        <v>23472</v>
      </c>
    </row>
    <row r="18597" spans="1:4" x14ac:dyDescent="0.2">
      <c r="B18597" t="s">
        <v>90</v>
      </c>
      <c r="D18597" t="s">
        <v>23542</v>
      </c>
    </row>
    <row r="18599" spans="1:4" x14ac:dyDescent="0.2">
      <c r="A18599" t="s">
        <v>6207</v>
      </c>
      <c r="B18599" t="str">
        <f>HYPERLINK("https://lindat.mff.cuni.cz/services/teitok/pdtc10/index.php?action=vallex&amp;frame=v-w10587f2", "natlouci (v-w10587f2)")</f>
        <v>natlouci (v-w10587f2)</v>
      </c>
    </row>
    <row r="18600" spans="1:4" x14ac:dyDescent="0.2">
      <c r="B18600" t="s">
        <v>1</v>
      </c>
    </row>
    <row r="18601" spans="1:4" x14ac:dyDescent="0.2">
      <c r="B18601" t="s">
        <v>103</v>
      </c>
    </row>
    <row r="18603" spans="1:4" x14ac:dyDescent="0.2">
      <c r="A18603" t="s">
        <v>6208</v>
      </c>
      <c r="B18603" t="str">
        <f>HYPERLINK("https://lindat.mff.cuni.cz/services/teitok/pdtc10/index.php?action=vallex&amp;frame=v-w10587f3_MM", "natlouci (v-w10587f3_MM)")</f>
        <v>natlouci (v-w10587f3_MM)</v>
      </c>
    </row>
    <row r="18604" spans="1:4" x14ac:dyDescent="0.2">
      <c r="B18604" t="s">
        <v>1</v>
      </c>
    </row>
    <row r="18605" spans="1:4" x14ac:dyDescent="0.2">
      <c r="B18605" t="s">
        <v>8</v>
      </c>
    </row>
    <row r="18606" spans="1:4" x14ac:dyDescent="0.2">
      <c r="B18606" t="s">
        <v>90</v>
      </c>
    </row>
    <row r="18608" spans="1:4" x14ac:dyDescent="0.2">
      <c r="A18608" t="s">
        <v>6209</v>
      </c>
      <c r="B18608" t="str">
        <f>HYPERLINK("https://lindat.mff.cuni.cz/services/teitok/pdtc10/index.php?action=vallex&amp;frame=v-w2277f1", "natočit (v-w2277f1)")</f>
        <v>natočit (v-w2277f1)</v>
      </c>
    </row>
    <row r="18609" spans="1:4" x14ac:dyDescent="0.2">
      <c r="B18609" t="s">
        <v>1</v>
      </c>
      <c r="C18609" t="s">
        <v>6210</v>
      </c>
      <c r="D18609" t="s">
        <v>1106</v>
      </c>
    </row>
    <row r="18610" spans="1:4" x14ac:dyDescent="0.2">
      <c r="B18610" t="s">
        <v>8</v>
      </c>
      <c r="C18610" t="s">
        <v>6211</v>
      </c>
      <c r="D18610" t="s">
        <v>9714</v>
      </c>
    </row>
    <row r="18612" spans="1:4" x14ac:dyDescent="0.2">
      <c r="A18612" t="s">
        <v>6212</v>
      </c>
      <c r="B18612" t="str">
        <f>HYPERLINK("https://lindat.mff.cuni.cz/services/teitok/pdtc10/index.php?action=vallex&amp;frame=v-w2277hsa_889", "natočit (v-w2277hsa_889)")</f>
        <v>natočit (v-w2277hsa_889)</v>
      </c>
    </row>
    <row r="18613" spans="1:4" x14ac:dyDescent="0.2">
      <c r="B18613" t="s">
        <v>1</v>
      </c>
    </row>
    <row r="18614" spans="1:4" x14ac:dyDescent="0.2">
      <c r="B18614" t="s">
        <v>8</v>
      </c>
    </row>
    <row r="18616" spans="1:4" x14ac:dyDescent="0.2">
      <c r="A18616" t="s">
        <v>6213</v>
      </c>
      <c r="B18616" t="str">
        <f>HYPERLINK("https://lindat.mff.cuni.cz/services/teitok/pdtc10/index.php?action=vallex&amp;frame=v-w2277hsa_890", "natočit (v-w2277hsa_890)")</f>
        <v>natočit (v-w2277hsa_890)</v>
      </c>
    </row>
    <row r="18617" spans="1:4" x14ac:dyDescent="0.2">
      <c r="B18617" t="s">
        <v>1</v>
      </c>
    </row>
    <row r="18618" spans="1:4" x14ac:dyDescent="0.2">
      <c r="B18618" t="s">
        <v>8</v>
      </c>
    </row>
    <row r="18619" spans="1:4" x14ac:dyDescent="0.2">
      <c r="B18619" t="s">
        <v>78</v>
      </c>
    </row>
    <row r="18621" spans="1:4" x14ac:dyDescent="0.2">
      <c r="A18621" t="s">
        <v>6214</v>
      </c>
      <c r="B18621" t="str">
        <f>HYPERLINK("https://lindat.mff.cuni.cz/services/teitok/pdtc10/index.php?action=vallex&amp;frame=v-whsa_877f1_ZU", "natrefit (v-whsa_877f1_ZU)")</f>
        <v>natrefit (v-whsa_877f1_ZU)</v>
      </c>
    </row>
    <row r="18622" spans="1:4" x14ac:dyDescent="0.2">
      <c r="B18622" t="s">
        <v>1</v>
      </c>
    </row>
    <row r="18623" spans="1:4" x14ac:dyDescent="0.2">
      <c r="B18623" t="s">
        <v>28</v>
      </c>
    </row>
    <row r="18625" spans="1:2" x14ac:dyDescent="0.2">
      <c r="A18625" t="s">
        <v>6214</v>
      </c>
      <c r="B18625" t="str">
        <f>HYPERLINK("https://lindat.mff.cuni.cz/services/teitok/pdtc10/index.php?action=vallex&amp;frame=v-whsa_877hsa_878", "natrefit (v-whsa_877hsa_878) - substituted with v-whsa_877f1_ZU")</f>
        <v>natrefit (v-whsa_877hsa_878) - substituted with v-whsa_877f1_ZU</v>
      </c>
    </row>
    <row r="18626" spans="1:2" x14ac:dyDescent="0.2">
      <c r="B18626" t="s">
        <v>1</v>
      </c>
    </row>
    <row r="18627" spans="1:2" x14ac:dyDescent="0.2">
      <c r="B18627" t="s">
        <v>28</v>
      </c>
    </row>
    <row r="18629" spans="1:2" x14ac:dyDescent="0.2">
      <c r="A18629" t="s">
        <v>6215</v>
      </c>
      <c r="B18629" t="str">
        <f>HYPERLINK("https://lindat.mff.cuni.cz/services/teitok/pdtc10/index.php?action=vallex&amp;frame=v-whsa_1537hsa_1538", "natrhat (v-whsa_1537hsa_1538)")</f>
        <v>natrhat (v-whsa_1537hsa_1538)</v>
      </c>
    </row>
    <row r="18630" spans="1:2" x14ac:dyDescent="0.2">
      <c r="B18630" t="s">
        <v>1</v>
      </c>
    </row>
    <row r="18631" spans="1:2" x14ac:dyDescent="0.2">
      <c r="B18631" t="s">
        <v>8</v>
      </c>
    </row>
    <row r="18633" spans="1:2" x14ac:dyDescent="0.2">
      <c r="A18633" t="s">
        <v>6216</v>
      </c>
      <c r="B18633" t="str">
        <f>HYPERLINK("https://lindat.mff.cuni.cz/services/teitok/pdtc10/index.php?action=vallex&amp;frame=v-w2279f1", "natrhnout (v-w2279f1)")</f>
        <v>natrhnout (v-w2279f1)</v>
      </c>
    </row>
    <row r="18634" spans="1:2" x14ac:dyDescent="0.2">
      <c r="B18634" t="s">
        <v>1</v>
      </c>
    </row>
    <row r="18635" spans="1:2" x14ac:dyDescent="0.2">
      <c r="B18635" t="s">
        <v>8</v>
      </c>
    </row>
    <row r="18637" spans="1:2" x14ac:dyDescent="0.2">
      <c r="A18637" t="s">
        <v>6217</v>
      </c>
      <c r="B18637" t="str">
        <f>HYPERLINK("https://lindat.mff.cuni.cz/services/teitok/pdtc10/index.php?action=vallex&amp;frame=v-w2278f1", "natrénovat (v-w2278f1)")</f>
        <v>natrénovat (v-w2278f1)</v>
      </c>
    </row>
    <row r="18638" spans="1:2" x14ac:dyDescent="0.2">
      <c r="B18638" t="s">
        <v>1</v>
      </c>
    </row>
    <row r="18639" spans="1:2" x14ac:dyDescent="0.2">
      <c r="B18639" t="s">
        <v>8</v>
      </c>
    </row>
    <row r="18641" spans="1:4" x14ac:dyDescent="0.2">
      <c r="A18641" t="s">
        <v>6218</v>
      </c>
      <c r="B18641" t="str">
        <f>HYPERLINK("https://lindat.mff.cuni.cz/services/teitok/pdtc10/index.php?action=vallex&amp;frame=v-w2282f1", "naturalizovat se (v-w2282f1)")</f>
        <v>naturalizovat se (v-w2282f1)</v>
      </c>
    </row>
    <row r="18642" spans="1:4" x14ac:dyDescent="0.2">
      <c r="B18642" t="s">
        <v>1</v>
      </c>
    </row>
    <row r="18644" spans="1:4" x14ac:dyDescent="0.2">
      <c r="A18644" t="s">
        <v>6219</v>
      </c>
      <c r="B18644" t="str">
        <f>HYPERLINK("https://lindat.mff.cuni.cz/services/teitok/pdtc10/index.php?action=vallex&amp;frame=v-w2267f1", "natáhnout (v-w2267f1)")</f>
        <v>natáhnout (v-w2267f1)</v>
      </c>
    </row>
    <row r="18645" spans="1:4" x14ac:dyDescent="0.2">
      <c r="B18645" t="s">
        <v>1</v>
      </c>
      <c r="C18645" t="s">
        <v>22</v>
      </c>
      <c r="D18645" t="s">
        <v>33</v>
      </c>
    </row>
    <row r="18646" spans="1:4" x14ac:dyDescent="0.2">
      <c r="B18646" t="s">
        <v>8</v>
      </c>
      <c r="C18646" t="s">
        <v>54</v>
      </c>
      <c r="D18646" t="s">
        <v>113</v>
      </c>
    </row>
    <row r="18648" spans="1:4" x14ac:dyDescent="0.2">
      <c r="A18648" t="s">
        <v>6220</v>
      </c>
      <c r="B18648" t="str">
        <f>HYPERLINK("https://lindat.mff.cuni.cz/services/teitok/pdtc10/index.php?action=vallex&amp;frame=v-w2267f2_ZU", "natáhnout (v-w2267f2_ZU)")</f>
        <v>natáhnout (v-w2267f2_ZU)</v>
      </c>
    </row>
    <row r="18649" spans="1:4" x14ac:dyDescent="0.2">
      <c r="B18649" t="s">
        <v>1</v>
      </c>
    </row>
    <row r="18650" spans="1:4" x14ac:dyDescent="0.2">
      <c r="B18650" t="s">
        <v>8</v>
      </c>
    </row>
    <row r="18652" spans="1:4" x14ac:dyDescent="0.2">
      <c r="A18652" t="s">
        <v>6220</v>
      </c>
      <c r="B18652" t="str">
        <f>HYPERLINK("https://lindat.mff.cuni.cz/services/teitok/pdtc10/index.php?action=vallex&amp;frame=v-w2267hsa_1703", "natáhnout (v-w2267hsa_1703) - substituted with v-w2267f2_ZU")</f>
        <v>natáhnout (v-w2267hsa_1703) - substituted with v-w2267f2_ZU</v>
      </c>
    </row>
    <row r="18653" spans="1:4" x14ac:dyDescent="0.2">
      <c r="B18653" t="s">
        <v>1</v>
      </c>
    </row>
    <row r="18654" spans="1:4" x14ac:dyDescent="0.2">
      <c r="B18654" t="s">
        <v>8</v>
      </c>
    </row>
    <row r="18656" spans="1:4" x14ac:dyDescent="0.2">
      <c r="A18656" t="s">
        <v>6221</v>
      </c>
      <c r="B18656" t="str">
        <f>HYPERLINK("https://lindat.mff.cuni.cz/services/teitok/pdtc10/index.php?action=vallex&amp;frame=v-w2267f3_ZU", "natáhnout (v-w2267f3_ZU)")</f>
        <v>natáhnout (v-w2267f3_ZU)</v>
      </c>
    </row>
    <row r="18657" spans="1:2" x14ac:dyDescent="0.2">
      <c r="B18657" t="s">
        <v>1</v>
      </c>
    </row>
    <row r="18658" spans="1:2" x14ac:dyDescent="0.2">
      <c r="B18658" t="s">
        <v>8</v>
      </c>
    </row>
    <row r="18660" spans="1:2" x14ac:dyDescent="0.2">
      <c r="A18660" t="s">
        <v>6222</v>
      </c>
      <c r="B18660" t="str">
        <f>HYPERLINK("https://lindat.mff.cuni.cz/services/teitok/pdtc10/index.php?action=vallex&amp;frame=v-w2267hsa_1704", "natáhnout (v-w2267hsa_1704)")</f>
        <v>natáhnout (v-w2267hsa_1704)</v>
      </c>
    </row>
    <row r="18661" spans="1:2" x14ac:dyDescent="0.2">
      <c r="B18661" t="s">
        <v>1</v>
      </c>
    </row>
    <row r="18662" spans="1:2" x14ac:dyDescent="0.2">
      <c r="B18662" t="s">
        <v>8</v>
      </c>
    </row>
    <row r="18664" spans="1:2" x14ac:dyDescent="0.2">
      <c r="A18664" t="s">
        <v>6223</v>
      </c>
      <c r="B18664" t="str">
        <f>HYPERLINK("https://lindat.mff.cuni.cz/services/teitok/pdtc10/index.php?action=vallex&amp;frame=v-w11786_ZUf2_ZU", "natáhnout se (v-w11786_ZUf2_ZU)")</f>
        <v>natáhnout se (v-w11786_ZUf2_ZU)</v>
      </c>
    </row>
    <row r="18665" spans="1:2" x14ac:dyDescent="0.2">
      <c r="B18665" t="s">
        <v>1</v>
      </c>
    </row>
    <row r="18666" spans="1:2" x14ac:dyDescent="0.2">
      <c r="B18666" t="s">
        <v>252</v>
      </c>
    </row>
    <row r="18668" spans="1:2" x14ac:dyDescent="0.2">
      <c r="A18668" t="s">
        <v>6223</v>
      </c>
      <c r="B18668" t="str">
        <f>HYPERLINK("https://lindat.mff.cuni.cz/services/teitok/pdtc10/index.php?action=vallex&amp;frame=v-w11786_ZUf1_ZU", "natáhnout se (v-w11786_ZUf1_ZU) - substituted with v-w11786_ZUf2_ZU")</f>
        <v>natáhnout se (v-w11786_ZUf1_ZU) - substituted with v-w11786_ZUf2_ZU</v>
      </c>
    </row>
    <row r="18669" spans="1:2" x14ac:dyDescent="0.2">
      <c r="B18669" t="s">
        <v>1</v>
      </c>
    </row>
    <row r="18670" spans="1:2" x14ac:dyDescent="0.2">
      <c r="B18670" t="s">
        <v>252</v>
      </c>
    </row>
    <row r="18672" spans="1:2" x14ac:dyDescent="0.2">
      <c r="A18672" t="s">
        <v>6224</v>
      </c>
      <c r="B18672" t="str">
        <f>HYPERLINK("https://lindat.mff.cuni.cz/services/teitok/pdtc10/index.php?action=vallex&amp;frame=v-w11786_ZUf3_ZU", "natáhnout se (v-w11786_ZUf3_ZU)")</f>
        <v>natáhnout se (v-w11786_ZUf3_ZU)</v>
      </c>
    </row>
    <row r="18673" spans="1:4" x14ac:dyDescent="0.2">
      <c r="B18673" t="s">
        <v>1</v>
      </c>
    </row>
    <row r="18675" spans="1:4" x14ac:dyDescent="0.2">
      <c r="A18675" t="s">
        <v>6225</v>
      </c>
      <c r="B18675" t="str">
        <f>HYPERLINK("https://lindat.mff.cuni.cz/services/teitok/pdtc10/index.php?action=vallex&amp;frame=v-w2266f1", "natáčet (v-w2266f1)")</f>
        <v>natáčet (v-w2266f1)</v>
      </c>
    </row>
    <row r="18676" spans="1:4" x14ac:dyDescent="0.2">
      <c r="B18676" t="s">
        <v>1</v>
      </c>
      <c r="C18676" t="s">
        <v>6226</v>
      </c>
      <c r="D18676" t="s">
        <v>1106</v>
      </c>
    </row>
    <row r="18677" spans="1:4" x14ac:dyDescent="0.2">
      <c r="B18677" t="s">
        <v>8</v>
      </c>
      <c r="C18677" t="s">
        <v>6227</v>
      </c>
      <c r="D18677" t="s">
        <v>9714</v>
      </c>
    </row>
    <row r="18679" spans="1:4" x14ac:dyDescent="0.2">
      <c r="A18679" t="s">
        <v>6228</v>
      </c>
      <c r="B18679" t="str">
        <f>HYPERLINK("https://lindat.mff.cuni.cz/services/teitok/pdtc10/index.php?action=vallex&amp;frame=v-w2266f2_ZU", "natáčet (v-w2266f2_ZU)")</f>
        <v>natáčet (v-w2266f2_ZU)</v>
      </c>
    </row>
    <row r="18680" spans="1:4" x14ac:dyDescent="0.2">
      <c r="B18680" t="s">
        <v>1</v>
      </c>
    </row>
    <row r="18681" spans="1:4" x14ac:dyDescent="0.2">
      <c r="B18681" t="s">
        <v>8</v>
      </c>
    </row>
    <row r="18683" spans="1:4" x14ac:dyDescent="0.2">
      <c r="A18683" t="s">
        <v>6228</v>
      </c>
      <c r="B18683" t="str">
        <f>HYPERLINK("https://lindat.mff.cuni.cz/services/teitok/pdtc10/index.php?action=vallex&amp;frame=v-w2266hsa_802", "natáčet (v-w2266hsa_802) - substituted with v-w2266f2_ZU")</f>
        <v>natáčet (v-w2266hsa_802) - substituted with v-w2266f2_ZU</v>
      </c>
    </row>
    <row r="18684" spans="1:4" x14ac:dyDescent="0.2">
      <c r="B18684" t="s">
        <v>1</v>
      </c>
    </row>
    <row r="18685" spans="1:4" x14ac:dyDescent="0.2">
      <c r="B18685" t="s">
        <v>8</v>
      </c>
    </row>
    <row r="18687" spans="1:4" x14ac:dyDescent="0.2">
      <c r="A18687" t="s">
        <v>6229</v>
      </c>
      <c r="B18687" t="str">
        <f>HYPERLINK("https://lindat.mff.cuni.cz/services/teitok/pdtc10/index.php?action=vallex&amp;frame=v-w2266hsa_803", "natáčet (v-w2266hsa_803)")</f>
        <v>natáčet (v-w2266hsa_803)</v>
      </c>
    </row>
    <row r="18688" spans="1:4" x14ac:dyDescent="0.2">
      <c r="B18688" t="s">
        <v>1</v>
      </c>
    </row>
    <row r="18689" spans="1:2" x14ac:dyDescent="0.2">
      <c r="B18689" t="s">
        <v>8</v>
      </c>
    </row>
    <row r="18691" spans="1:2" x14ac:dyDescent="0.2">
      <c r="A18691" t="s">
        <v>6230</v>
      </c>
      <c r="B18691" t="str">
        <f>HYPERLINK("https://lindat.mff.cuni.cz/services/teitok/pdtc10/index.php?action=vallex&amp;frame=v-w2271f1", "natéci (v-w2271f1)")</f>
        <v>natéci (v-w2271f1)</v>
      </c>
    </row>
    <row r="18692" spans="1:2" x14ac:dyDescent="0.2">
      <c r="B18692" t="s">
        <v>1</v>
      </c>
    </row>
    <row r="18693" spans="1:2" x14ac:dyDescent="0.2">
      <c r="B18693" t="s">
        <v>90</v>
      </c>
    </row>
    <row r="18695" spans="1:2" x14ac:dyDescent="0.2">
      <c r="A18695" t="s">
        <v>6231</v>
      </c>
      <c r="B18695" t="str">
        <f>HYPERLINK("https://lindat.mff.cuni.cz/services/teitok/pdtc10/index.php?action=vallex&amp;frame=v-w2271f2", "natéci (v-w2271f2)")</f>
        <v>natéci (v-w2271f2)</v>
      </c>
    </row>
    <row r="18696" spans="1:2" x14ac:dyDescent="0.2">
      <c r="B18696" t="s">
        <v>1</v>
      </c>
    </row>
    <row r="18698" spans="1:2" x14ac:dyDescent="0.2">
      <c r="A18698" t="s">
        <v>6232</v>
      </c>
      <c r="B18698" t="str">
        <f>HYPERLINK("https://lindat.mff.cuni.cz/services/teitok/pdtc10/index.php?action=vallex&amp;frame=v-whsa_625hsa_626", "natírat (v-whsa_625hsa_626)")</f>
        <v>natírat (v-whsa_625hsa_626)</v>
      </c>
    </row>
    <row r="18699" spans="1:2" x14ac:dyDescent="0.2">
      <c r="B18699" t="s">
        <v>1</v>
      </c>
    </row>
    <row r="18700" spans="1:2" x14ac:dyDescent="0.2">
      <c r="B18700" t="s">
        <v>8</v>
      </c>
    </row>
    <row r="18702" spans="1:2" x14ac:dyDescent="0.2">
      <c r="A18702" t="s">
        <v>6233</v>
      </c>
      <c r="B18702" t="str">
        <f>HYPERLINK("https://lindat.mff.cuni.cz/services/teitok/pdtc10/index.php?action=vallex&amp;frame=v-w11309f1", "natěsnat se (v-w11309f1)")</f>
        <v>natěsnat se (v-w11309f1)</v>
      </c>
    </row>
    <row r="18703" spans="1:2" x14ac:dyDescent="0.2">
      <c r="B18703" t="s">
        <v>1</v>
      </c>
    </row>
    <row r="18704" spans="1:2" x14ac:dyDescent="0.2">
      <c r="B18704" t="s">
        <v>90</v>
      </c>
    </row>
    <row r="18706" spans="1:4" x14ac:dyDescent="0.2">
      <c r="A18706" t="s">
        <v>6234</v>
      </c>
      <c r="B18706" t="str">
        <f>HYPERLINK("https://lindat.mff.cuni.cz/services/teitok/pdtc10/index.php?action=vallex&amp;frame=v-w11309hsa_1186", "natěsnat se (v-w11309hsa_1186)")</f>
        <v>natěsnat se (v-w11309hsa_1186)</v>
      </c>
    </row>
    <row r="18707" spans="1:4" x14ac:dyDescent="0.2">
      <c r="B18707" t="s">
        <v>1</v>
      </c>
      <c r="C18707" t="s">
        <v>249</v>
      </c>
      <c r="D18707" t="s">
        <v>23572</v>
      </c>
    </row>
    <row r="18708" spans="1:4" x14ac:dyDescent="0.2">
      <c r="B18708" t="s">
        <v>5</v>
      </c>
      <c r="D18708" t="s">
        <v>23473</v>
      </c>
    </row>
    <row r="18710" spans="1:4" x14ac:dyDescent="0.2">
      <c r="A18710" t="s">
        <v>6235</v>
      </c>
      <c r="B18710" t="str">
        <f>HYPERLINK("https://lindat.mff.cuni.cz/services/teitok/pdtc10/index.php?action=vallex&amp;frame=v-whsa_1199hsa_1200", "natřepat (v-whsa_1199hsa_1200)")</f>
        <v>natřepat (v-whsa_1199hsa_1200)</v>
      </c>
    </row>
    <row r="18711" spans="1:4" x14ac:dyDescent="0.2">
      <c r="B18711" t="s">
        <v>1</v>
      </c>
    </row>
    <row r="18712" spans="1:4" x14ac:dyDescent="0.2">
      <c r="B18712" t="s">
        <v>103</v>
      </c>
    </row>
    <row r="18714" spans="1:4" x14ac:dyDescent="0.2">
      <c r="A18714" t="s">
        <v>6236</v>
      </c>
      <c r="B18714" t="str">
        <f>HYPERLINK("https://lindat.mff.cuni.cz/services/teitok/pdtc10/index.php?action=vallex&amp;frame=v-w2280f1", "natřít (v-w2280f1)")</f>
        <v>natřít (v-w2280f1)</v>
      </c>
    </row>
    <row r="18715" spans="1:4" x14ac:dyDescent="0.2">
      <c r="B18715" t="s">
        <v>1</v>
      </c>
      <c r="D18715" t="s">
        <v>83</v>
      </c>
    </row>
    <row r="18716" spans="1:4" x14ac:dyDescent="0.2">
      <c r="B18716" t="s">
        <v>8</v>
      </c>
      <c r="C18716" t="s">
        <v>113</v>
      </c>
      <c r="D18716" t="s">
        <v>56</v>
      </c>
    </row>
    <row r="18718" spans="1:4" x14ac:dyDescent="0.2">
      <c r="A18718" t="s">
        <v>6237</v>
      </c>
      <c r="B18718" t="str">
        <f>HYPERLINK("https://lindat.mff.cuni.cz/services/teitok/pdtc10/index.php?action=vallex&amp;frame=v-w2280f2_ZU", "natřít (v-w2280f2_ZU)")</f>
        <v>natřít (v-w2280f2_ZU)</v>
      </c>
    </row>
    <row r="18719" spans="1:4" x14ac:dyDescent="0.2">
      <c r="B18719" t="s">
        <v>1</v>
      </c>
    </row>
    <row r="18720" spans="1:4" x14ac:dyDescent="0.2">
      <c r="B18720" t="s">
        <v>390</v>
      </c>
    </row>
    <row r="18721" spans="1:4" x14ac:dyDescent="0.2">
      <c r="B18721" t="s">
        <v>103</v>
      </c>
    </row>
    <row r="18723" spans="1:4" x14ac:dyDescent="0.2">
      <c r="A18723" t="s">
        <v>6238</v>
      </c>
      <c r="B18723" t="str">
        <f>HYPERLINK("https://lindat.mff.cuni.cz/services/teitok/pdtc10/index.php?action=vallex&amp;frame=v-w2283f2_ZU", "naučit (v-w2283f2_ZU)")</f>
        <v>naučit (v-w2283f2_ZU)</v>
      </c>
    </row>
    <row r="18724" spans="1:4" x14ac:dyDescent="0.2">
      <c r="B18724" t="s">
        <v>1</v>
      </c>
      <c r="C18724" t="s">
        <v>6239</v>
      </c>
      <c r="D18724" t="s">
        <v>1106</v>
      </c>
    </row>
    <row r="18725" spans="1:4" x14ac:dyDescent="0.2">
      <c r="B18725" t="s">
        <v>6240</v>
      </c>
      <c r="C18725" t="s">
        <v>6241</v>
      </c>
      <c r="D18725" t="s">
        <v>23573</v>
      </c>
    </row>
    <row r="18726" spans="1:4" x14ac:dyDescent="0.2">
      <c r="B18726" t="s">
        <v>58</v>
      </c>
      <c r="C18726" t="s">
        <v>6242</v>
      </c>
      <c r="D18726" t="s">
        <v>23574</v>
      </c>
    </row>
    <row r="18728" spans="1:4" x14ac:dyDescent="0.2">
      <c r="A18728" t="s">
        <v>6238</v>
      </c>
      <c r="B18728" t="str">
        <f>HYPERLINK("https://lindat.mff.cuni.cz/services/teitok/pdtc10/index.php?action=vallex&amp;frame=v-w2283f1", "naučit (v-w2283f1) - substituted with v-w2283f2_ZU")</f>
        <v>naučit (v-w2283f1) - substituted with v-w2283f2_ZU</v>
      </c>
    </row>
    <row r="18729" spans="1:4" x14ac:dyDescent="0.2">
      <c r="B18729" t="s">
        <v>1</v>
      </c>
      <c r="C18729" t="s">
        <v>1366</v>
      </c>
    </row>
    <row r="18730" spans="1:4" x14ac:dyDescent="0.2">
      <c r="B18730" t="s">
        <v>6240</v>
      </c>
      <c r="C18730" t="s">
        <v>6243</v>
      </c>
    </row>
    <row r="18731" spans="1:4" x14ac:dyDescent="0.2">
      <c r="B18731" t="s">
        <v>58</v>
      </c>
      <c r="C18731" t="s">
        <v>3041</v>
      </c>
    </row>
    <row r="18733" spans="1:4" x14ac:dyDescent="0.2">
      <c r="A18733" t="s">
        <v>6244</v>
      </c>
      <c r="B18733" t="str">
        <f>HYPERLINK("https://lindat.mff.cuni.cz/services/teitok/pdtc10/index.php?action=vallex&amp;frame=v-w2284f1", "naučit se (v-w2284f1)")</f>
        <v>naučit se (v-w2284f1)</v>
      </c>
    </row>
    <row r="18734" spans="1:4" x14ac:dyDescent="0.2">
      <c r="B18734" t="s">
        <v>1</v>
      </c>
      <c r="C18734" t="s">
        <v>6245</v>
      </c>
      <c r="D18734" t="s">
        <v>9234</v>
      </c>
    </row>
    <row r="18735" spans="1:4" x14ac:dyDescent="0.2">
      <c r="B18735" t="s">
        <v>2196</v>
      </c>
      <c r="C18735" t="s">
        <v>6246</v>
      </c>
      <c r="D18735" t="s">
        <v>23186</v>
      </c>
    </row>
    <row r="18736" spans="1:4" x14ac:dyDescent="0.2">
      <c r="B18736" t="s">
        <v>1142</v>
      </c>
      <c r="C18736" t="s">
        <v>2079</v>
      </c>
      <c r="D18736" t="s">
        <v>2915</v>
      </c>
    </row>
    <row r="18738" spans="1:4" x14ac:dyDescent="0.2">
      <c r="A18738" t="s">
        <v>6247</v>
      </c>
      <c r="B18738" t="str">
        <f>HYPERLINK("https://lindat.mff.cuni.cz/services/teitok/pdtc10/index.php?action=vallex&amp;frame=v-w2284hsa_1250", "naučit se (v-w2284hsa_1250)")</f>
        <v>naučit se (v-w2284hsa_1250)</v>
      </c>
    </row>
    <row r="18739" spans="1:4" x14ac:dyDescent="0.2">
      <c r="B18739" t="s">
        <v>1</v>
      </c>
    </row>
    <row r="18740" spans="1:4" x14ac:dyDescent="0.2">
      <c r="B18740" t="s">
        <v>507</v>
      </c>
    </row>
    <row r="18741" spans="1:4" x14ac:dyDescent="0.2">
      <c r="B18741" t="s">
        <v>321</v>
      </c>
    </row>
    <row r="18743" spans="1:4" x14ac:dyDescent="0.2">
      <c r="A18743" t="s">
        <v>6248</v>
      </c>
      <c r="B18743" t="str">
        <f>HYPERLINK("https://lindat.mff.cuni.cz/services/teitok/pdtc10/index.php?action=vallex&amp;frame=v-w11502f1", "navalit se (v-w11502f1)")</f>
        <v>navalit se (v-w11502f1)</v>
      </c>
    </row>
    <row r="18744" spans="1:4" x14ac:dyDescent="0.2">
      <c r="B18744" t="s">
        <v>1</v>
      </c>
      <c r="D18744" t="s">
        <v>23575</v>
      </c>
    </row>
    <row r="18745" spans="1:4" x14ac:dyDescent="0.2">
      <c r="B18745" t="s">
        <v>28</v>
      </c>
      <c r="D18745" t="s">
        <v>1215</v>
      </c>
    </row>
    <row r="18747" spans="1:4" x14ac:dyDescent="0.2">
      <c r="A18747" t="s">
        <v>6249</v>
      </c>
      <c r="B18747" t="str">
        <f>HYPERLINK("https://lindat.mff.cuni.cz/services/teitok/pdtc10/index.php?action=vallex&amp;frame=v-w2294f3", "navazovat (v-w2294f3)")</f>
        <v>navazovat (v-w2294f3)</v>
      </c>
    </row>
    <row r="18748" spans="1:4" x14ac:dyDescent="0.2">
      <c r="B18748" t="s">
        <v>1</v>
      </c>
    </row>
    <row r="18749" spans="1:4" x14ac:dyDescent="0.2">
      <c r="B18749" t="s">
        <v>8</v>
      </c>
    </row>
    <row r="18751" spans="1:4" x14ac:dyDescent="0.2">
      <c r="A18751" t="s">
        <v>6250</v>
      </c>
      <c r="B18751" t="str">
        <f>HYPERLINK("https://lindat.mff.cuni.cz/services/teitok/pdtc10/index.php?action=vallex&amp;frame=v-w2294f4_ZU", "navazovat (v-w2294f4_ZU)")</f>
        <v>navazovat (v-w2294f4_ZU)</v>
      </c>
    </row>
    <row r="18752" spans="1:4" x14ac:dyDescent="0.2">
      <c r="B18752" t="s">
        <v>1</v>
      </c>
    </row>
    <row r="18753" spans="1:3" x14ac:dyDescent="0.2">
      <c r="B18753" t="s">
        <v>4318</v>
      </c>
    </row>
    <row r="18755" spans="1:3" x14ac:dyDescent="0.2">
      <c r="A18755" t="s">
        <v>6250</v>
      </c>
      <c r="B18755" t="str">
        <f>HYPERLINK("https://lindat.mff.cuni.cz/services/teitok/pdtc10/index.php?action=vallex&amp;frame=v-w2294f1", "navazovat (v-w2294f1) - substituted with v-w2294f4_ZU")</f>
        <v>navazovat (v-w2294f1) - substituted with v-w2294f4_ZU</v>
      </c>
    </row>
    <row r="18756" spans="1:3" x14ac:dyDescent="0.2">
      <c r="B18756" t="s">
        <v>1</v>
      </c>
      <c r="C18756" t="s">
        <v>6251</v>
      </c>
    </row>
    <row r="18757" spans="1:3" x14ac:dyDescent="0.2">
      <c r="B18757" t="s">
        <v>4318</v>
      </c>
      <c r="C18757" t="s">
        <v>6252</v>
      </c>
    </row>
    <row r="18759" spans="1:3" x14ac:dyDescent="0.2">
      <c r="A18759" t="s">
        <v>6253</v>
      </c>
      <c r="B18759" t="str">
        <f>HYPERLINK("https://lindat.mff.cuni.cz/services/teitok/pdtc10/index.php?action=vallex&amp;frame=v-w2294f7_ZU", "navazovat (v-w2294f7_ZU)")</f>
        <v>navazovat (v-w2294f7_ZU)</v>
      </c>
    </row>
    <row r="18760" spans="1:3" x14ac:dyDescent="0.2">
      <c r="B18760" t="s">
        <v>1</v>
      </c>
    </row>
    <row r="18761" spans="1:3" x14ac:dyDescent="0.2">
      <c r="B18761" t="s">
        <v>6254</v>
      </c>
    </row>
    <row r="18763" spans="1:3" x14ac:dyDescent="0.2">
      <c r="A18763" t="s">
        <v>6253</v>
      </c>
      <c r="B18763" t="str">
        <f>HYPERLINK("https://lindat.mff.cuni.cz/services/teitok/pdtc10/index.php?action=vallex&amp;frame=v-w2294f2", "navazovat (v-w2294f2) - substituted with v-w2294f7_ZU")</f>
        <v>navazovat (v-w2294f2) - substituted with v-w2294f7_ZU</v>
      </c>
    </row>
    <row r="18764" spans="1:3" x14ac:dyDescent="0.2">
      <c r="B18764" t="s">
        <v>1</v>
      </c>
    </row>
    <row r="18765" spans="1:3" x14ac:dyDescent="0.2">
      <c r="B18765" t="s">
        <v>6254</v>
      </c>
    </row>
    <row r="18767" spans="1:3" x14ac:dyDescent="0.2">
      <c r="A18767" t="s">
        <v>6253</v>
      </c>
      <c r="B18767" t="str">
        <f>HYPERLINK("https://lindat.mff.cuni.cz/services/teitok/pdtc10/index.php?action=vallex&amp;frame=v-w2294f5_ZU", "navazovat (v-w2294f5_ZU) - substituted with v-w2294f7_ZU")</f>
        <v>navazovat (v-w2294f5_ZU) - substituted with v-w2294f7_ZU</v>
      </c>
    </row>
    <row r="18768" spans="1:3" x14ac:dyDescent="0.2">
      <c r="B18768" t="s">
        <v>1</v>
      </c>
    </row>
    <row r="18769" spans="1:2" x14ac:dyDescent="0.2">
      <c r="B18769" t="s">
        <v>6254</v>
      </c>
    </row>
    <row r="18771" spans="1:2" x14ac:dyDescent="0.2">
      <c r="A18771" t="s">
        <v>6255</v>
      </c>
      <c r="B18771" t="str">
        <f>HYPERLINK("https://lindat.mff.cuni.cz/services/teitok/pdtc10/index.php?action=vallex&amp;frame=v-w2294f6_ZU", "navazovat (v-w2294f6_ZU)")</f>
        <v>navazovat (v-w2294f6_ZU)</v>
      </c>
    </row>
    <row r="18772" spans="1:2" x14ac:dyDescent="0.2">
      <c r="B18772" t="s">
        <v>1</v>
      </c>
    </row>
    <row r="18773" spans="1:2" x14ac:dyDescent="0.2">
      <c r="B18773" t="s">
        <v>8</v>
      </c>
    </row>
    <row r="18775" spans="1:2" x14ac:dyDescent="0.2">
      <c r="A18775" t="s">
        <v>6256</v>
      </c>
      <c r="B18775" t="str">
        <f>HYPERLINK("https://lindat.mff.cuni.cz/services/teitok/pdtc10/index.php?action=vallex&amp;frame=v-whsa_1080f1_ZU", "navařit (v-whsa_1080f1_ZU)")</f>
        <v>navařit (v-whsa_1080f1_ZU)</v>
      </c>
    </row>
    <row r="18776" spans="1:2" x14ac:dyDescent="0.2">
      <c r="B18776" t="s">
        <v>1</v>
      </c>
    </row>
    <row r="18777" spans="1:2" x14ac:dyDescent="0.2">
      <c r="B18777" t="s">
        <v>3766</v>
      </c>
    </row>
    <row r="18778" spans="1:2" x14ac:dyDescent="0.2">
      <c r="B18778" t="s">
        <v>24</v>
      </c>
    </row>
    <row r="18780" spans="1:2" x14ac:dyDescent="0.2">
      <c r="A18780" t="s">
        <v>6256</v>
      </c>
      <c r="B18780" t="str">
        <f>HYPERLINK("https://lindat.mff.cuni.cz/services/teitok/pdtc10/index.php?action=vallex&amp;frame=v-whsa_1080hsa_1081", "navařit (v-whsa_1080hsa_1081) - substituted with v-whsa_1080f1_ZU")</f>
        <v>navařit (v-whsa_1080hsa_1081) - substituted with v-whsa_1080f1_ZU</v>
      </c>
    </row>
    <row r="18781" spans="1:2" x14ac:dyDescent="0.2">
      <c r="B18781" t="s">
        <v>1</v>
      </c>
    </row>
    <row r="18782" spans="1:2" x14ac:dyDescent="0.2">
      <c r="B18782" t="s">
        <v>3766</v>
      </c>
    </row>
    <row r="18783" spans="1:2" x14ac:dyDescent="0.2">
      <c r="B18783" t="s">
        <v>24</v>
      </c>
    </row>
    <row r="18785" spans="1:2" x14ac:dyDescent="0.2">
      <c r="A18785" t="s">
        <v>6257</v>
      </c>
      <c r="B18785" t="str">
        <f>HYPERLINK("https://lindat.mff.cuni.cz/services/teitok/pdtc10/index.php?action=vallex&amp;frame=v-whsa_1080f2_ZU", "navařit (v-whsa_1080f2_ZU)")</f>
        <v>navařit (v-whsa_1080f2_ZU)</v>
      </c>
    </row>
    <row r="18786" spans="1:2" x14ac:dyDescent="0.2">
      <c r="B18786" t="s">
        <v>1</v>
      </c>
    </row>
    <row r="18787" spans="1:2" x14ac:dyDescent="0.2">
      <c r="B18787" t="s">
        <v>8</v>
      </c>
    </row>
    <row r="18789" spans="1:2" x14ac:dyDescent="0.2">
      <c r="A18789" t="s">
        <v>6258</v>
      </c>
      <c r="B18789" t="str">
        <f>HYPERLINK("https://lindat.mff.cuni.cz/services/teitok/pdtc10/index.php?action=vallex&amp;frame=v-w2297f1", "naverbovat (v-w2297f1)")</f>
        <v>naverbovat (v-w2297f1)</v>
      </c>
    </row>
    <row r="18790" spans="1:2" x14ac:dyDescent="0.2">
      <c r="B18790" t="s">
        <v>1</v>
      </c>
    </row>
    <row r="18791" spans="1:2" x14ac:dyDescent="0.2">
      <c r="B18791" t="s">
        <v>8</v>
      </c>
    </row>
    <row r="18793" spans="1:2" x14ac:dyDescent="0.2">
      <c r="A18793" t="s">
        <v>6259</v>
      </c>
      <c r="B18793" t="str">
        <f>HYPERLINK("https://lindat.mff.cuni.cz/services/teitok/pdtc10/index.php?action=vallex&amp;frame=v-w2296f1", "navečeřet se (v-w2296f1)")</f>
        <v>navečeřet se (v-w2296f1)</v>
      </c>
    </row>
    <row r="18794" spans="1:2" x14ac:dyDescent="0.2">
      <c r="B18794" t="s">
        <v>1</v>
      </c>
    </row>
    <row r="18796" spans="1:2" x14ac:dyDescent="0.2">
      <c r="A18796" t="s">
        <v>6260</v>
      </c>
      <c r="B18796" t="str">
        <f>HYPERLINK("https://lindat.mff.cuni.cz/services/teitok/pdtc10/index.php?action=vallex&amp;frame=v-w11760_ZUf1_ZU", "navlhnout (v-w11760_ZUf1_ZU)")</f>
        <v>navlhnout (v-w11760_ZUf1_ZU)</v>
      </c>
    </row>
    <row r="18797" spans="1:2" x14ac:dyDescent="0.2">
      <c r="B18797" t="s">
        <v>1</v>
      </c>
    </row>
    <row r="18799" spans="1:2" x14ac:dyDescent="0.2">
      <c r="A18799" t="s">
        <v>6261</v>
      </c>
      <c r="B18799" t="str">
        <f>HYPERLINK("https://lindat.mff.cuni.cz/services/teitok/pdtc10/index.php?action=vallex&amp;frame=v-w11846_ZUf1_ZU", "navlékat (v-w11846_ZUf1_ZU)")</f>
        <v>navlékat (v-w11846_ZUf1_ZU)</v>
      </c>
    </row>
    <row r="18800" spans="1:2" x14ac:dyDescent="0.2">
      <c r="B18800" t="s">
        <v>1</v>
      </c>
    </row>
    <row r="18801" spans="1:2" x14ac:dyDescent="0.2">
      <c r="B18801" t="s">
        <v>8</v>
      </c>
    </row>
    <row r="18802" spans="1:2" x14ac:dyDescent="0.2">
      <c r="B18802" t="s">
        <v>35</v>
      </c>
    </row>
    <row r="18804" spans="1:2" x14ac:dyDescent="0.2">
      <c r="A18804" t="s">
        <v>6262</v>
      </c>
      <c r="B18804" t="str">
        <f>HYPERLINK("https://lindat.mff.cuni.cz/services/teitok/pdtc10/index.php?action=vallex&amp;frame=v-w11846_ZUf2_ZU", "navlékat (v-w11846_ZUf2_ZU)")</f>
        <v>navlékat (v-w11846_ZUf2_ZU)</v>
      </c>
    </row>
    <row r="18805" spans="1:2" x14ac:dyDescent="0.2">
      <c r="B18805" t="s">
        <v>1</v>
      </c>
    </row>
    <row r="18806" spans="1:2" x14ac:dyDescent="0.2">
      <c r="B18806" t="s">
        <v>8</v>
      </c>
    </row>
    <row r="18808" spans="1:2" x14ac:dyDescent="0.2">
      <c r="A18808" t="s">
        <v>6263</v>
      </c>
      <c r="B18808" t="str">
        <f>HYPERLINK("https://lindat.mff.cuni.cz/services/teitok/pdtc10/index.php?action=vallex&amp;frame=v-w2298f1", "navléknout (v-w2298f1)")</f>
        <v>navléknout (v-w2298f1)</v>
      </c>
    </row>
    <row r="18809" spans="1:2" x14ac:dyDescent="0.2">
      <c r="B18809" t="s">
        <v>1</v>
      </c>
    </row>
    <row r="18810" spans="1:2" x14ac:dyDescent="0.2">
      <c r="B18810" t="s">
        <v>8</v>
      </c>
    </row>
    <row r="18811" spans="1:2" x14ac:dyDescent="0.2">
      <c r="B18811" t="s">
        <v>35</v>
      </c>
    </row>
    <row r="18813" spans="1:2" x14ac:dyDescent="0.2">
      <c r="A18813" t="s">
        <v>6264</v>
      </c>
      <c r="B18813" t="str">
        <f>HYPERLINK("https://lindat.mff.cuni.cz/services/teitok/pdtc10/index.php?action=vallex&amp;frame=v-w2298f2_ZU", "navléknout (v-w2298f2_ZU)")</f>
        <v>navléknout (v-w2298f2_ZU)</v>
      </c>
    </row>
    <row r="18814" spans="1:2" x14ac:dyDescent="0.2">
      <c r="B18814" t="s">
        <v>1</v>
      </c>
    </row>
    <row r="18815" spans="1:2" x14ac:dyDescent="0.2">
      <c r="B18815" t="s">
        <v>8</v>
      </c>
    </row>
    <row r="18816" spans="1:2" x14ac:dyDescent="0.2">
      <c r="B18816" t="s">
        <v>130</v>
      </c>
    </row>
    <row r="18818" spans="1:2" x14ac:dyDescent="0.2">
      <c r="A18818" t="s">
        <v>6265</v>
      </c>
      <c r="B18818" t="str">
        <f>HYPERLINK("https://lindat.mff.cuni.cz/services/teitok/pdtc10/index.php?action=vallex&amp;frame=v-w2298hsa_55", "navléknout (v-w2298hsa_55)")</f>
        <v>navléknout (v-w2298hsa_55)</v>
      </c>
    </row>
    <row r="18819" spans="1:2" x14ac:dyDescent="0.2">
      <c r="B18819" t="s">
        <v>1</v>
      </c>
    </row>
    <row r="18820" spans="1:2" x14ac:dyDescent="0.2">
      <c r="B18820" t="s">
        <v>8</v>
      </c>
    </row>
    <row r="18821" spans="1:2" x14ac:dyDescent="0.2">
      <c r="B18821" t="s">
        <v>90</v>
      </c>
    </row>
    <row r="18823" spans="1:2" x14ac:dyDescent="0.2">
      <c r="A18823" t="s">
        <v>6266</v>
      </c>
      <c r="B18823" t="str">
        <f>HYPERLINK("https://lindat.mff.cuni.cz/services/teitok/pdtc10/index.php?action=vallex&amp;frame=v-w12294_MMf1_MM", "navlíknout (v-w12294_MMf1_MM)")</f>
        <v>navlíknout (v-w12294_MMf1_MM)</v>
      </c>
    </row>
    <row r="18824" spans="1:2" x14ac:dyDescent="0.2">
      <c r="B18824" t="s">
        <v>1</v>
      </c>
    </row>
    <row r="18825" spans="1:2" x14ac:dyDescent="0.2">
      <c r="B18825" t="s">
        <v>8</v>
      </c>
    </row>
    <row r="18826" spans="1:2" x14ac:dyDescent="0.2">
      <c r="B18826" t="s">
        <v>35</v>
      </c>
    </row>
    <row r="18828" spans="1:2" x14ac:dyDescent="0.2">
      <c r="A18828" t="s">
        <v>6267</v>
      </c>
      <c r="B18828" t="str">
        <f>HYPERLINK("https://lindat.mff.cuni.cz/services/teitok/pdtc10/index.php?action=vallex&amp;frame=v-w12294_MMf2_MM", "navlíknout (v-w12294_MMf2_MM)")</f>
        <v>navlíknout (v-w12294_MMf2_MM)</v>
      </c>
    </row>
    <row r="18829" spans="1:2" x14ac:dyDescent="0.2">
      <c r="B18829" t="s">
        <v>1</v>
      </c>
    </row>
    <row r="18830" spans="1:2" x14ac:dyDescent="0.2">
      <c r="B18830" t="s">
        <v>8</v>
      </c>
    </row>
    <row r="18831" spans="1:2" x14ac:dyDescent="0.2">
      <c r="B18831" t="s">
        <v>130</v>
      </c>
    </row>
    <row r="18833" spans="1:4" x14ac:dyDescent="0.2">
      <c r="A18833" t="s">
        <v>6268</v>
      </c>
      <c r="B18833" t="str">
        <f>HYPERLINK("https://lindat.mff.cuni.cz/services/teitok/pdtc10/index.php?action=vallex&amp;frame=v-w12294_MMf3_MM", "navlíknout (v-w12294_MMf3_MM)")</f>
        <v>navlíknout (v-w12294_MMf3_MM)</v>
      </c>
    </row>
    <row r="18834" spans="1:4" x14ac:dyDescent="0.2">
      <c r="B18834" t="s">
        <v>1</v>
      </c>
    </row>
    <row r="18835" spans="1:4" x14ac:dyDescent="0.2">
      <c r="B18835" t="s">
        <v>8</v>
      </c>
    </row>
    <row r="18836" spans="1:4" x14ac:dyDescent="0.2">
      <c r="B18836" t="s">
        <v>35</v>
      </c>
    </row>
    <row r="18838" spans="1:4" x14ac:dyDescent="0.2">
      <c r="A18838" t="s">
        <v>6269</v>
      </c>
      <c r="B18838" t="str">
        <f>HYPERLINK("https://lindat.mff.cuni.cz/services/teitok/pdtc10/index.php?action=vallex&amp;frame=v-w2300f1", "navodit (v-w2300f1)")</f>
        <v>navodit (v-w2300f1)</v>
      </c>
    </row>
    <row r="18839" spans="1:4" x14ac:dyDescent="0.2">
      <c r="B18839" t="s">
        <v>1</v>
      </c>
    </row>
    <row r="18840" spans="1:4" x14ac:dyDescent="0.2">
      <c r="B18840" t="s">
        <v>8</v>
      </c>
    </row>
    <row r="18842" spans="1:4" x14ac:dyDescent="0.2">
      <c r="A18842" t="s">
        <v>6270</v>
      </c>
      <c r="B18842" t="str">
        <f>HYPERLINK("https://lindat.mff.cuni.cz/services/teitok/pdtc10/index.php?action=vallex&amp;frame=v-w2300hsa_412", "navodit (v-w2300hsa_412)")</f>
        <v>navodit (v-w2300hsa_412)</v>
      </c>
    </row>
    <row r="18843" spans="1:4" x14ac:dyDescent="0.2">
      <c r="B18843" t="s">
        <v>1</v>
      </c>
      <c r="C18843" t="s">
        <v>83</v>
      </c>
      <c r="D18843" t="s">
        <v>23017</v>
      </c>
    </row>
    <row r="18844" spans="1:4" x14ac:dyDescent="0.2">
      <c r="B18844" t="s">
        <v>6271</v>
      </c>
      <c r="C18844" t="s">
        <v>6272</v>
      </c>
      <c r="D18844" t="s">
        <v>23018</v>
      </c>
    </row>
    <row r="18845" spans="1:4" x14ac:dyDescent="0.2">
      <c r="B18845" t="s">
        <v>5</v>
      </c>
      <c r="D18845" t="s">
        <v>23019</v>
      </c>
    </row>
    <row r="18847" spans="1:4" x14ac:dyDescent="0.2">
      <c r="A18847" t="s">
        <v>6270</v>
      </c>
      <c r="B18847" t="str">
        <f>HYPERLINK("https://lindat.mff.cuni.cz/services/teitok/pdtc10/index.php?action=vallex&amp;frame=v-w2300f2", "navodit (v-w2300f2) - substituted with v-w2300hsa_412")</f>
        <v>navodit (v-w2300f2) - substituted with v-w2300hsa_412</v>
      </c>
    </row>
    <row r="18848" spans="1:4" x14ac:dyDescent="0.2">
      <c r="B18848" t="s">
        <v>1</v>
      </c>
    </row>
    <row r="18849" spans="1:4" x14ac:dyDescent="0.2">
      <c r="B18849" t="s">
        <v>6271</v>
      </c>
    </row>
    <row r="18850" spans="1:4" x14ac:dyDescent="0.2">
      <c r="B18850" t="s">
        <v>5</v>
      </c>
    </row>
    <row r="18852" spans="1:4" x14ac:dyDescent="0.2">
      <c r="A18852" t="s">
        <v>6273</v>
      </c>
      <c r="B18852" t="str">
        <f>HYPERLINK("https://lindat.mff.cuni.cz/services/teitok/pdtc10/index.php?action=vallex&amp;frame=v-w12296_MMf1_MM", "navonět (v-w12296_MMf1_MM)")</f>
        <v>navonět (v-w12296_MMf1_MM)</v>
      </c>
    </row>
    <row r="18853" spans="1:4" x14ac:dyDescent="0.2">
      <c r="B18853" t="s">
        <v>1</v>
      </c>
    </row>
    <row r="18854" spans="1:4" x14ac:dyDescent="0.2">
      <c r="B18854" t="s">
        <v>8</v>
      </c>
    </row>
    <row r="18856" spans="1:4" x14ac:dyDescent="0.2">
      <c r="A18856" t="s">
        <v>6274</v>
      </c>
      <c r="B18856" t="str">
        <f>HYPERLINK("https://lindat.mff.cuni.cz/services/teitok/pdtc10/index.php?action=vallex&amp;frame=v-w12258_ZUf1_ZU", "navozit (v-w12258_ZUf1_ZU)")</f>
        <v>navozit (v-w12258_ZUf1_ZU)</v>
      </c>
    </row>
    <row r="18857" spans="1:4" x14ac:dyDescent="0.2">
      <c r="B18857" t="s">
        <v>1</v>
      </c>
    </row>
    <row r="18858" spans="1:4" x14ac:dyDescent="0.2">
      <c r="B18858" t="s">
        <v>8</v>
      </c>
    </row>
    <row r="18860" spans="1:4" x14ac:dyDescent="0.2">
      <c r="A18860" t="s">
        <v>6275</v>
      </c>
      <c r="B18860" t="str">
        <f>HYPERLINK("https://lindat.mff.cuni.cz/services/teitok/pdtc10/index.php?action=vallex&amp;frame=v-w2301hsa_707", "navozovat (v-w2301hsa_707)")</f>
        <v>navozovat (v-w2301hsa_707)</v>
      </c>
    </row>
    <row r="18861" spans="1:4" x14ac:dyDescent="0.2">
      <c r="B18861" t="s">
        <v>1</v>
      </c>
      <c r="C18861" t="s">
        <v>83</v>
      </c>
      <c r="D18861" t="s">
        <v>23017</v>
      </c>
    </row>
    <row r="18862" spans="1:4" x14ac:dyDescent="0.2">
      <c r="B18862" t="s">
        <v>6276</v>
      </c>
      <c r="C18862" t="s">
        <v>6272</v>
      </c>
      <c r="D18862" t="s">
        <v>23018</v>
      </c>
    </row>
    <row r="18863" spans="1:4" x14ac:dyDescent="0.2">
      <c r="B18863" t="s">
        <v>5</v>
      </c>
      <c r="D18863" t="s">
        <v>23019</v>
      </c>
    </row>
    <row r="18865" spans="1:4" x14ac:dyDescent="0.2">
      <c r="A18865" t="s">
        <v>6275</v>
      </c>
      <c r="B18865" t="str">
        <f>HYPERLINK("https://lindat.mff.cuni.cz/services/teitok/pdtc10/index.php?action=vallex&amp;frame=v-w2301f1", "navozovat (v-w2301f1) - substituted with v-w2301hsa_707")</f>
        <v>navozovat (v-w2301f1) - substituted with v-w2301hsa_707</v>
      </c>
    </row>
    <row r="18866" spans="1:4" x14ac:dyDescent="0.2">
      <c r="B18866" t="s">
        <v>1</v>
      </c>
    </row>
    <row r="18867" spans="1:4" x14ac:dyDescent="0.2">
      <c r="B18867" t="s">
        <v>6276</v>
      </c>
    </row>
    <row r="18868" spans="1:4" x14ac:dyDescent="0.2">
      <c r="B18868" t="s">
        <v>5</v>
      </c>
    </row>
    <row r="18870" spans="1:4" x14ac:dyDescent="0.2">
      <c r="A18870" t="s">
        <v>6277</v>
      </c>
      <c r="B18870" t="str">
        <f>HYPERLINK("https://lindat.mff.cuni.cz/services/teitok/pdtc10/index.php?action=vallex&amp;frame=v-w2304f1", "navracet (v-w2304f1)")</f>
        <v>navracet (v-w2304f1)</v>
      </c>
    </row>
    <row r="18871" spans="1:4" x14ac:dyDescent="0.2">
      <c r="B18871" t="s">
        <v>1</v>
      </c>
      <c r="D18871" t="s">
        <v>3580</v>
      </c>
    </row>
    <row r="18872" spans="1:4" x14ac:dyDescent="0.2">
      <c r="B18872" t="s">
        <v>8</v>
      </c>
      <c r="D18872" t="s">
        <v>23576</v>
      </c>
    </row>
    <row r="18873" spans="1:4" x14ac:dyDescent="0.2">
      <c r="B18873" t="s">
        <v>35</v>
      </c>
      <c r="D18873" t="s">
        <v>6312</v>
      </c>
    </row>
    <row r="18875" spans="1:4" x14ac:dyDescent="0.2">
      <c r="A18875" t="s">
        <v>6278</v>
      </c>
      <c r="B18875" t="str">
        <f>HYPERLINK("https://lindat.mff.cuni.cz/services/teitok/pdtc10/index.php?action=vallex&amp;frame=v-w2304f2", "navracet (v-w2304f2)")</f>
        <v>navracet (v-w2304f2)</v>
      </c>
    </row>
    <row r="18876" spans="1:4" x14ac:dyDescent="0.2">
      <c r="B18876" t="s">
        <v>1</v>
      </c>
      <c r="D18876" t="s">
        <v>8467</v>
      </c>
    </row>
    <row r="18877" spans="1:4" x14ac:dyDescent="0.2">
      <c r="B18877" t="s">
        <v>8</v>
      </c>
      <c r="D18877" t="s">
        <v>23577</v>
      </c>
    </row>
    <row r="18878" spans="1:4" x14ac:dyDescent="0.2">
      <c r="B18878" t="s">
        <v>90</v>
      </c>
      <c r="D18878" t="s">
        <v>23578</v>
      </c>
    </row>
    <row r="18880" spans="1:4" x14ac:dyDescent="0.2">
      <c r="A18880" t="s">
        <v>6279</v>
      </c>
      <c r="B18880" t="str">
        <f>HYPERLINK("https://lindat.mff.cuni.cz/services/teitok/pdtc10/index.php?action=vallex&amp;frame=v-w11352f1", "navracet se (v-w11352f1)")</f>
        <v>navracet se (v-w11352f1)</v>
      </c>
    </row>
    <row r="18881" spans="1:4" x14ac:dyDescent="0.2">
      <c r="B18881" t="s">
        <v>1</v>
      </c>
      <c r="C18881" t="s">
        <v>6280</v>
      </c>
      <c r="D18881" t="s">
        <v>23579</v>
      </c>
    </row>
    <row r="18882" spans="1:4" x14ac:dyDescent="0.2">
      <c r="B18882" t="s">
        <v>205</v>
      </c>
      <c r="D18882" t="s">
        <v>22678</v>
      </c>
    </row>
    <row r="18884" spans="1:4" x14ac:dyDescent="0.2">
      <c r="A18884" t="s">
        <v>6281</v>
      </c>
      <c r="B18884" t="str">
        <f>HYPERLINK("https://lindat.mff.cuni.cz/services/teitok/pdtc10/index.php?action=vallex&amp;frame=v-w11352f2", "navracet se (v-w11352f2)")</f>
        <v>navracet se (v-w11352f2)</v>
      </c>
    </row>
    <row r="18885" spans="1:4" x14ac:dyDescent="0.2">
      <c r="B18885" t="s">
        <v>1</v>
      </c>
      <c r="C18885" t="s">
        <v>2031</v>
      </c>
      <c r="D18885" t="s">
        <v>23107</v>
      </c>
    </row>
    <row r="18886" spans="1:4" x14ac:dyDescent="0.2">
      <c r="B18886" t="s">
        <v>252</v>
      </c>
      <c r="D18886" t="s">
        <v>23108</v>
      </c>
    </row>
    <row r="18888" spans="1:4" x14ac:dyDescent="0.2">
      <c r="A18888" t="s">
        <v>6282</v>
      </c>
      <c r="B18888" t="str">
        <f>HYPERLINK("https://lindat.mff.cuni.cz/services/teitok/pdtc10/index.php?action=vallex&amp;frame=v-w2310f1", "navrhnout (v-w2310f1)")</f>
        <v>navrhnout (v-w2310f1)</v>
      </c>
    </row>
    <row r="18889" spans="1:4" x14ac:dyDescent="0.2">
      <c r="B18889" t="s">
        <v>1</v>
      </c>
      <c r="C18889" t="s">
        <v>6283</v>
      </c>
      <c r="D18889" t="s">
        <v>23098</v>
      </c>
    </row>
    <row r="18890" spans="1:4" x14ac:dyDescent="0.2">
      <c r="B18890" t="s">
        <v>6284</v>
      </c>
      <c r="C18890" t="s">
        <v>6285</v>
      </c>
      <c r="D18890" t="s">
        <v>23174</v>
      </c>
    </row>
    <row r="18891" spans="1:4" x14ac:dyDescent="0.2">
      <c r="B18891" t="s">
        <v>35</v>
      </c>
      <c r="C18891" t="s">
        <v>6286</v>
      </c>
      <c r="D18891" t="s">
        <v>23580</v>
      </c>
    </row>
    <row r="18893" spans="1:4" x14ac:dyDescent="0.2">
      <c r="A18893" t="s">
        <v>6287</v>
      </c>
      <c r="B18893" t="str">
        <f>HYPERLINK("https://lindat.mff.cuni.cz/services/teitok/pdtc10/index.php?action=vallex&amp;frame=v-w2310f2", "navrhnout (v-w2310f2)")</f>
        <v>navrhnout (v-w2310f2)</v>
      </c>
    </row>
    <row r="18894" spans="1:4" x14ac:dyDescent="0.2">
      <c r="B18894" t="s">
        <v>1</v>
      </c>
      <c r="C18894" t="s">
        <v>6288</v>
      </c>
      <c r="D18894" t="s">
        <v>23098</v>
      </c>
    </row>
    <row r="18895" spans="1:4" x14ac:dyDescent="0.2">
      <c r="B18895" t="s">
        <v>8</v>
      </c>
      <c r="C18895" t="s">
        <v>6289</v>
      </c>
      <c r="D18895" t="s">
        <v>23174</v>
      </c>
    </row>
    <row r="18896" spans="1:4" x14ac:dyDescent="0.2">
      <c r="B18896" t="s">
        <v>78</v>
      </c>
      <c r="C18896" t="s">
        <v>6290</v>
      </c>
      <c r="D18896" t="s">
        <v>23580</v>
      </c>
    </row>
    <row r="18898" spans="1:4" x14ac:dyDescent="0.2">
      <c r="A18898" t="s">
        <v>6291</v>
      </c>
      <c r="B18898" t="str">
        <f>HYPERLINK("https://lindat.mff.cuni.cz/services/teitok/pdtc10/index.php?action=vallex&amp;frame=v-w2310f4", "navrhnout (v-w2310f4)")</f>
        <v>navrhnout (v-w2310f4)</v>
      </c>
    </row>
    <row r="18899" spans="1:4" x14ac:dyDescent="0.2">
      <c r="B18899" t="s">
        <v>1</v>
      </c>
      <c r="C18899" t="s">
        <v>83</v>
      </c>
      <c r="D18899" t="s">
        <v>83</v>
      </c>
    </row>
    <row r="18900" spans="1:4" x14ac:dyDescent="0.2">
      <c r="B18900" t="s">
        <v>8</v>
      </c>
      <c r="C18900" t="s">
        <v>56</v>
      </c>
      <c r="D18900" t="s">
        <v>56</v>
      </c>
    </row>
    <row r="18901" spans="1:4" x14ac:dyDescent="0.2">
      <c r="B18901" t="s">
        <v>6292</v>
      </c>
    </row>
    <row r="18903" spans="1:4" x14ac:dyDescent="0.2">
      <c r="A18903" t="s">
        <v>6293</v>
      </c>
      <c r="B18903" t="str">
        <f>HYPERLINK("https://lindat.mff.cuni.cz/services/teitok/pdtc10/index.php?action=vallex&amp;frame=v-w2310f3", "navrhnout (v-w2310f3)")</f>
        <v>navrhnout (v-w2310f3)</v>
      </c>
    </row>
    <row r="18904" spans="1:4" x14ac:dyDescent="0.2">
      <c r="B18904" t="s">
        <v>1</v>
      </c>
      <c r="C18904" t="s">
        <v>6294</v>
      </c>
      <c r="D18904" t="s">
        <v>23412</v>
      </c>
    </row>
    <row r="18905" spans="1:4" x14ac:dyDescent="0.2">
      <c r="B18905" t="s">
        <v>8</v>
      </c>
      <c r="C18905" t="s">
        <v>6295</v>
      </c>
      <c r="D18905" t="s">
        <v>23413</v>
      </c>
    </row>
    <row r="18907" spans="1:4" x14ac:dyDescent="0.2">
      <c r="A18907" t="s">
        <v>6296</v>
      </c>
      <c r="B18907" t="str">
        <f>HYPERLINK("https://lindat.mff.cuni.cz/services/teitok/pdtc10/index.php?action=vallex&amp;frame=v-w2313f1", "navrhovat (v-w2313f1)")</f>
        <v>navrhovat (v-w2313f1)</v>
      </c>
    </row>
    <row r="18908" spans="1:4" x14ac:dyDescent="0.2">
      <c r="B18908" t="s">
        <v>1</v>
      </c>
      <c r="C18908" t="s">
        <v>6297</v>
      </c>
      <c r="D18908" t="s">
        <v>23098</v>
      </c>
    </row>
    <row r="18909" spans="1:4" x14ac:dyDescent="0.2">
      <c r="B18909" t="s">
        <v>6284</v>
      </c>
      <c r="C18909" t="s">
        <v>6298</v>
      </c>
      <c r="D18909" t="s">
        <v>23174</v>
      </c>
    </row>
    <row r="18910" spans="1:4" x14ac:dyDescent="0.2">
      <c r="B18910" t="s">
        <v>35</v>
      </c>
      <c r="C18910" t="s">
        <v>6299</v>
      </c>
      <c r="D18910" t="s">
        <v>23580</v>
      </c>
    </row>
    <row r="18912" spans="1:4" x14ac:dyDescent="0.2">
      <c r="A18912" t="s">
        <v>6300</v>
      </c>
      <c r="B18912" t="str">
        <f>HYPERLINK("https://lindat.mff.cuni.cz/services/teitok/pdtc10/index.php?action=vallex&amp;frame=v-w2313f2", "navrhovat (v-w2313f2)")</f>
        <v>navrhovat (v-w2313f2)</v>
      </c>
    </row>
    <row r="18913" spans="1:4" x14ac:dyDescent="0.2">
      <c r="B18913" t="s">
        <v>1</v>
      </c>
      <c r="C18913" t="s">
        <v>6301</v>
      </c>
      <c r="D18913" t="s">
        <v>23098</v>
      </c>
    </row>
    <row r="18914" spans="1:4" x14ac:dyDescent="0.2">
      <c r="B18914" t="s">
        <v>8</v>
      </c>
      <c r="C18914" t="s">
        <v>6302</v>
      </c>
      <c r="D18914" t="s">
        <v>23174</v>
      </c>
    </row>
    <row r="18915" spans="1:4" x14ac:dyDescent="0.2">
      <c r="B18915" t="s">
        <v>78</v>
      </c>
      <c r="C18915" t="s">
        <v>6303</v>
      </c>
      <c r="D18915" t="s">
        <v>23580</v>
      </c>
    </row>
    <row r="18917" spans="1:4" x14ac:dyDescent="0.2">
      <c r="A18917" t="s">
        <v>6304</v>
      </c>
      <c r="B18917" t="str">
        <f>HYPERLINK("https://lindat.mff.cuni.cz/services/teitok/pdtc10/index.php?action=vallex&amp;frame=v-w2313f4", "navrhovat (v-w2313f4)")</f>
        <v>navrhovat (v-w2313f4)</v>
      </c>
    </row>
    <row r="18918" spans="1:4" x14ac:dyDescent="0.2">
      <c r="B18918" t="s">
        <v>1</v>
      </c>
      <c r="D18918" t="s">
        <v>83</v>
      </c>
    </row>
    <row r="18919" spans="1:4" x14ac:dyDescent="0.2">
      <c r="B18919" t="s">
        <v>8</v>
      </c>
      <c r="D18919" t="s">
        <v>56</v>
      </c>
    </row>
    <row r="18920" spans="1:4" x14ac:dyDescent="0.2">
      <c r="B18920" t="s">
        <v>61</v>
      </c>
    </row>
    <row r="18922" spans="1:4" x14ac:dyDescent="0.2">
      <c r="A18922" t="s">
        <v>6305</v>
      </c>
      <c r="B18922" t="str">
        <f>HYPERLINK("https://lindat.mff.cuni.cz/services/teitok/pdtc10/index.php?action=vallex&amp;frame=v-w2313f3", "navrhovat (v-w2313f3)")</f>
        <v>navrhovat (v-w2313f3)</v>
      </c>
    </row>
    <row r="18923" spans="1:4" x14ac:dyDescent="0.2">
      <c r="B18923" t="s">
        <v>1</v>
      </c>
      <c r="C18923" t="s">
        <v>6306</v>
      </c>
      <c r="D18923" t="s">
        <v>23412</v>
      </c>
    </row>
    <row r="18924" spans="1:4" x14ac:dyDescent="0.2">
      <c r="B18924" t="s">
        <v>8</v>
      </c>
      <c r="C18924" t="s">
        <v>6307</v>
      </c>
      <c r="D18924" t="s">
        <v>23413</v>
      </c>
    </row>
    <row r="18926" spans="1:4" x14ac:dyDescent="0.2">
      <c r="A18926" t="s">
        <v>6308</v>
      </c>
      <c r="B18926" t="str">
        <f>HYPERLINK("https://lindat.mff.cuni.cz/services/teitok/pdtc10/index.php?action=vallex&amp;frame=v-w10515f2", "navrtat (v-w10515f2)")</f>
        <v>navrtat (v-w10515f2)</v>
      </c>
    </row>
    <row r="18927" spans="1:4" x14ac:dyDescent="0.2">
      <c r="B18927" t="s">
        <v>1</v>
      </c>
    </row>
    <row r="18928" spans="1:4" x14ac:dyDescent="0.2">
      <c r="B18928" t="s">
        <v>8</v>
      </c>
    </row>
    <row r="18930" spans="1:4" x14ac:dyDescent="0.2">
      <c r="A18930" t="s">
        <v>6309</v>
      </c>
      <c r="B18930" t="str">
        <f>HYPERLINK("https://lindat.mff.cuni.cz/services/teitok/pdtc10/index.php?action=vallex&amp;frame=v-whsa_925hsa_926", "navrtávat (v-whsa_925hsa_926)")</f>
        <v>navrtávat (v-whsa_925hsa_926)</v>
      </c>
    </row>
    <row r="18931" spans="1:4" x14ac:dyDescent="0.2">
      <c r="B18931" t="s">
        <v>1</v>
      </c>
    </row>
    <row r="18932" spans="1:4" x14ac:dyDescent="0.2">
      <c r="B18932" t="s">
        <v>8</v>
      </c>
    </row>
    <row r="18934" spans="1:4" x14ac:dyDescent="0.2">
      <c r="A18934" t="s">
        <v>6310</v>
      </c>
      <c r="B18934" t="str">
        <f>HYPERLINK("https://lindat.mff.cuni.cz/services/teitok/pdtc10/index.php?action=vallex&amp;frame=v-w2306f1", "navrátit (v-w2306f1)")</f>
        <v>navrátit (v-w2306f1)</v>
      </c>
    </row>
    <row r="18935" spans="1:4" x14ac:dyDescent="0.2">
      <c r="B18935" t="s">
        <v>1</v>
      </c>
      <c r="C18935" t="s">
        <v>3307</v>
      </c>
      <c r="D18935" t="s">
        <v>3580</v>
      </c>
    </row>
    <row r="18936" spans="1:4" x14ac:dyDescent="0.2">
      <c r="B18936" t="s">
        <v>8</v>
      </c>
      <c r="C18936" t="s">
        <v>6311</v>
      </c>
      <c r="D18936" t="s">
        <v>23576</v>
      </c>
    </row>
    <row r="18937" spans="1:4" x14ac:dyDescent="0.2">
      <c r="B18937" t="s">
        <v>35</v>
      </c>
      <c r="C18937" t="s">
        <v>6312</v>
      </c>
      <c r="D18937" t="s">
        <v>6312</v>
      </c>
    </row>
    <row r="18939" spans="1:4" x14ac:dyDescent="0.2">
      <c r="A18939" t="s">
        <v>6313</v>
      </c>
      <c r="B18939" t="str">
        <f>HYPERLINK("https://lindat.mff.cuni.cz/services/teitok/pdtc10/index.php?action=vallex&amp;frame=v-w2306f2", "navrátit (v-w2306f2)")</f>
        <v>navrátit (v-w2306f2)</v>
      </c>
    </row>
    <row r="18940" spans="1:4" x14ac:dyDescent="0.2">
      <c r="B18940" t="s">
        <v>1</v>
      </c>
      <c r="C18940" t="s">
        <v>334</v>
      </c>
      <c r="D18940" t="s">
        <v>8467</v>
      </c>
    </row>
    <row r="18941" spans="1:4" x14ac:dyDescent="0.2">
      <c r="B18941" t="s">
        <v>8</v>
      </c>
      <c r="C18941" t="s">
        <v>5851</v>
      </c>
      <c r="D18941" t="s">
        <v>23577</v>
      </c>
    </row>
    <row r="18942" spans="1:4" x14ac:dyDescent="0.2">
      <c r="B18942" t="s">
        <v>90</v>
      </c>
      <c r="C18942" t="s">
        <v>6314</v>
      </c>
      <c r="D18942" t="s">
        <v>23578</v>
      </c>
    </row>
    <row r="18944" spans="1:4" x14ac:dyDescent="0.2">
      <c r="A18944" t="s">
        <v>6315</v>
      </c>
      <c r="B18944" t="str">
        <f>HYPERLINK("https://lindat.mff.cuni.cz/services/teitok/pdtc10/index.php?action=vallex&amp;frame=v-w11525_ZUf1_ZU", "navrátit se (v-w11525_ZUf1_ZU)")</f>
        <v>navrátit se (v-w11525_ZUf1_ZU)</v>
      </c>
    </row>
    <row r="18945" spans="1:4" x14ac:dyDescent="0.2">
      <c r="B18945" t="s">
        <v>1</v>
      </c>
      <c r="C18945" t="s">
        <v>3824</v>
      </c>
    </row>
    <row r="18946" spans="1:4" x14ac:dyDescent="0.2">
      <c r="B18946" t="s">
        <v>90</v>
      </c>
    </row>
    <row r="18948" spans="1:4" x14ac:dyDescent="0.2">
      <c r="A18948" t="s">
        <v>6316</v>
      </c>
      <c r="B18948" t="str">
        <f>HYPERLINK("https://lindat.mff.cuni.cz/services/teitok/pdtc10/index.php?action=vallex&amp;frame=v-w11525_ZUhsa_730", "navrátit se (v-w11525_ZUhsa_730)")</f>
        <v>navrátit se (v-w11525_ZUhsa_730)</v>
      </c>
    </row>
    <row r="18949" spans="1:4" x14ac:dyDescent="0.2">
      <c r="B18949" t="s">
        <v>1</v>
      </c>
      <c r="C18949" t="s">
        <v>6317</v>
      </c>
      <c r="D18949" t="s">
        <v>23579</v>
      </c>
    </row>
    <row r="18950" spans="1:4" x14ac:dyDescent="0.2">
      <c r="B18950" t="s">
        <v>176</v>
      </c>
      <c r="D18950" t="s">
        <v>1128</v>
      </c>
    </row>
    <row r="18952" spans="1:4" x14ac:dyDescent="0.2">
      <c r="A18952" t="s">
        <v>6318</v>
      </c>
      <c r="B18952" t="str">
        <f>HYPERLINK("https://lindat.mff.cuni.cz/services/teitok/pdtc10/index.php?action=vallex&amp;frame=v-w10444f4", "navršit (v-w10444f4)")</f>
        <v>navršit (v-w10444f4)</v>
      </c>
    </row>
    <row r="18953" spans="1:4" x14ac:dyDescent="0.2">
      <c r="B18953" t="s">
        <v>1</v>
      </c>
    </row>
    <row r="18954" spans="1:4" x14ac:dyDescent="0.2">
      <c r="B18954" t="s">
        <v>8</v>
      </c>
    </row>
    <row r="18955" spans="1:4" x14ac:dyDescent="0.2">
      <c r="B18955" t="s">
        <v>90</v>
      </c>
    </row>
    <row r="18957" spans="1:4" x14ac:dyDescent="0.2">
      <c r="A18957" t="s">
        <v>6319</v>
      </c>
      <c r="B18957" t="str">
        <f>HYPERLINK("https://lindat.mff.cuni.cz/services/teitok/pdtc10/index.php?action=vallex&amp;frame=v-w10444f2", "navršit (v-w10444f2)")</f>
        <v>navršit (v-w10444f2)</v>
      </c>
    </row>
    <row r="18958" spans="1:4" x14ac:dyDescent="0.2">
      <c r="B18958" t="s">
        <v>1</v>
      </c>
    </row>
    <row r="18959" spans="1:4" x14ac:dyDescent="0.2">
      <c r="B18959" t="s">
        <v>8</v>
      </c>
    </row>
    <row r="18961" spans="1:3" x14ac:dyDescent="0.2">
      <c r="A18961" t="s">
        <v>6320</v>
      </c>
      <c r="B18961" t="str">
        <f>HYPERLINK("https://lindat.mff.cuni.cz/services/teitok/pdtc10/index.php?action=vallex&amp;frame=v-w10444f3", "navršit (v-w10444f3)")</f>
        <v>navršit (v-w10444f3)</v>
      </c>
    </row>
    <row r="18962" spans="1:3" x14ac:dyDescent="0.2">
      <c r="B18962" t="s">
        <v>1</v>
      </c>
      <c r="C18962" t="s">
        <v>715</v>
      </c>
    </row>
    <row r="18963" spans="1:3" x14ac:dyDescent="0.2">
      <c r="B18963" t="s">
        <v>8</v>
      </c>
    </row>
    <row r="18965" spans="1:3" x14ac:dyDescent="0.2">
      <c r="A18965" t="s">
        <v>6321</v>
      </c>
      <c r="B18965" t="str">
        <f>HYPERLINK("https://lindat.mff.cuni.cz/services/teitok/pdtc10/index.php?action=vallex&amp;frame=v-w11316f1", "navršit se (v-w11316f1)")</f>
        <v>navršit se (v-w11316f1)</v>
      </c>
    </row>
    <row r="18966" spans="1:3" x14ac:dyDescent="0.2">
      <c r="B18966" t="s">
        <v>1</v>
      </c>
    </row>
    <row r="18968" spans="1:3" x14ac:dyDescent="0.2">
      <c r="A18968" t="s">
        <v>6322</v>
      </c>
      <c r="B18968" t="str">
        <f>HYPERLINK("https://lindat.mff.cuni.cz/services/teitok/pdtc10/index.php?action=vallex&amp;frame=v-whsa_717f1_ZU", "navršovat (v-whsa_717f1_ZU)")</f>
        <v>navršovat (v-whsa_717f1_ZU)</v>
      </c>
    </row>
    <row r="18969" spans="1:3" x14ac:dyDescent="0.2">
      <c r="B18969" t="s">
        <v>1</v>
      </c>
    </row>
    <row r="18970" spans="1:3" x14ac:dyDescent="0.2">
      <c r="B18970" t="s">
        <v>8</v>
      </c>
    </row>
    <row r="18972" spans="1:3" x14ac:dyDescent="0.2">
      <c r="A18972" t="s">
        <v>6322</v>
      </c>
      <c r="B18972" t="str">
        <f>HYPERLINK("https://lindat.mff.cuni.cz/services/teitok/pdtc10/index.php?action=vallex&amp;frame=v-whsa_717hsa_718", "navršovat (v-whsa_717hsa_718) - substituted with v-whsa_717f1_ZU")</f>
        <v>navršovat (v-whsa_717hsa_718) - substituted with v-whsa_717f1_ZU</v>
      </c>
    </row>
    <row r="18973" spans="1:3" x14ac:dyDescent="0.2">
      <c r="B18973" t="s">
        <v>1</v>
      </c>
    </row>
    <row r="18974" spans="1:3" x14ac:dyDescent="0.2">
      <c r="B18974" t="s">
        <v>8</v>
      </c>
    </row>
    <row r="18976" spans="1:3" x14ac:dyDescent="0.2">
      <c r="A18976" t="s">
        <v>6323</v>
      </c>
      <c r="B18976" t="str">
        <f>HYPERLINK("https://lindat.mff.cuni.cz/services/teitok/pdtc10/index.php?action=vallex&amp;frame=v-w12099_ZUf1_ZU", "navyknout si (v-w12099_ZUf1_ZU)")</f>
        <v>navyknout si (v-w12099_ZUf1_ZU)</v>
      </c>
    </row>
    <row r="18977" spans="1:4" x14ac:dyDescent="0.2">
      <c r="B18977" t="s">
        <v>1</v>
      </c>
    </row>
    <row r="18978" spans="1:4" x14ac:dyDescent="0.2">
      <c r="B18978" t="s">
        <v>5601</v>
      </c>
    </row>
    <row r="18980" spans="1:4" x14ac:dyDescent="0.2">
      <c r="A18980" t="s">
        <v>6324</v>
      </c>
      <c r="B18980" t="str">
        <f>HYPERLINK("https://lindat.mff.cuni.cz/services/teitok/pdtc10/index.php?action=vallex&amp;frame=v-w2325f1", "navyšovat (v-w2325f1)")</f>
        <v>navyšovat (v-w2325f1)</v>
      </c>
    </row>
    <row r="18981" spans="1:4" x14ac:dyDescent="0.2">
      <c r="B18981" t="s">
        <v>1</v>
      </c>
      <c r="C18981" t="s">
        <v>6325</v>
      </c>
      <c r="D18981" t="s">
        <v>23523</v>
      </c>
    </row>
    <row r="18982" spans="1:4" x14ac:dyDescent="0.2">
      <c r="B18982" t="s">
        <v>8</v>
      </c>
      <c r="C18982" t="s">
        <v>6326</v>
      </c>
      <c r="D18982" t="s">
        <v>23524</v>
      </c>
    </row>
    <row r="18983" spans="1:4" x14ac:dyDescent="0.2">
      <c r="B18983" t="s">
        <v>24</v>
      </c>
      <c r="C18983" t="s">
        <v>6327</v>
      </c>
      <c r="D18983" t="s">
        <v>23525</v>
      </c>
    </row>
    <row r="18984" spans="1:4" x14ac:dyDescent="0.2">
      <c r="B18984" t="s">
        <v>61</v>
      </c>
      <c r="C18984" t="s">
        <v>6328</v>
      </c>
      <c r="D18984" t="s">
        <v>23526</v>
      </c>
    </row>
    <row r="18986" spans="1:4" x14ac:dyDescent="0.2">
      <c r="A18986" t="s">
        <v>6329</v>
      </c>
      <c r="B18986" t="str">
        <f>HYPERLINK("https://lindat.mff.cuni.cz/services/teitok/pdtc10/index.php?action=vallex&amp;frame=v-whsa_601hsa_602", "navzdouvat se (v-whsa_601hsa_602)")</f>
        <v>navzdouvat se (v-whsa_601hsa_602)</v>
      </c>
    </row>
    <row r="18987" spans="1:4" x14ac:dyDescent="0.2">
      <c r="B18987" t="s">
        <v>1</v>
      </c>
    </row>
    <row r="18989" spans="1:4" x14ac:dyDescent="0.2">
      <c r="A18989" t="s">
        <v>6330</v>
      </c>
      <c r="B18989" t="str">
        <f>HYPERLINK("https://lindat.mff.cuni.cz/services/teitok/pdtc10/index.php?action=vallex&amp;frame=v-w2288f2", "navádět (v-w2288f2)")</f>
        <v>navádět (v-w2288f2)</v>
      </c>
    </row>
    <row r="18990" spans="1:4" x14ac:dyDescent="0.2">
      <c r="B18990" t="s">
        <v>1</v>
      </c>
    </row>
    <row r="18991" spans="1:4" x14ac:dyDescent="0.2">
      <c r="B18991" t="s">
        <v>8</v>
      </c>
    </row>
    <row r="18992" spans="1:4" x14ac:dyDescent="0.2">
      <c r="B18992" t="s">
        <v>90</v>
      </c>
    </row>
    <row r="18994" spans="1:4" x14ac:dyDescent="0.2">
      <c r="A18994" t="s">
        <v>6331</v>
      </c>
      <c r="B18994" t="str">
        <f>HYPERLINK("https://lindat.mff.cuni.cz/services/teitok/pdtc10/index.php?action=vallex&amp;frame=v-w2288f1", "navádět (v-w2288f1)")</f>
        <v>navádět (v-w2288f1)</v>
      </c>
    </row>
    <row r="18995" spans="1:4" x14ac:dyDescent="0.2">
      <c r="B18995" t="s">
        <v>1</v>
      </c>
    </row>
    <row r="18996" spans="1:4" x14ac:dyDescent="0.2">
      <c r="B18996" t="s">
        <v>58</v>
      </c>
    </row>
    <row r="18997" spans="1:4" x14ac:dyDescent="0.2">
      <c r="B18997" t="s">
        <v>6332</v>
      </c>
    </row>
    <row r="18999" spans="1:4" x14ac:dyDescent="0.2">
      <c r="A18999" t="s">
        <v>6333</v>
      </c>
      <c r="B18999" t="str">
        <f>HYPERLINK("https://lindat.mff.cuni.cz/services/teitok/pdtc10/index.php?action=vallex&amp;frame=v-w2291f3", "navázat (v-w2291f3)")</f>
        <v>navázat (v-w2291f3)</v>
      </c>
    </row>
    <row r="19000" spans="1:4" x14ac:dyDescent="0.2">
      <c r="B19000" t="s">
        <v>1</v>
      </c>
    </row>
    <row r="19001" spans="1:4" x14ac:dyDescent="0.2">
      <c r="B19001" t="s">
        <v>8</v>
      </c>
    </row>
    <row r="19003" spans="1:4" x14ac:dyDescent="0.2">
      <c r="A19003" t="s">
        <v>6334</v>
      </c>
      <c r="B19003" t="str">
        <f>HYPERLINK("https://lindat.mff.cuni.cz/services/teitok/pdtc10/index.php?action=vallex&amp;frame=v-w2291f2", "navázat (v-w2291f2)")</f>
        <v>navázat (v-w2291f2)</v>
      </c>
    </row>
    <row r="19004" spans="1:4" x14ac:dyDescent="0.2">
      <c r="B19004" t="s">
        <v>1</v>
      </c>
      <c r="C19004" t="s">
        <v>6335</v>
      </c>
      <c r="D19004" t="s">
        <v>20771</v>
      </c>
    </row>
    <row r="19005" spans="1:4" x14ac:dyDescent="0.2">
      <c r="B19005" t="s">
        <v>28</v>
      </c>
      <c r="C19005" t="s">
        <v>6336</v>
      </c>
      <c r="D19005" t="s">
        <v>34</v>
      </c>
    </row>
    <row r="19007" spans="1:4" x14ac:dyDescent="0.2">
      <c r="A19007" t="s">
        <v>6337</v>
      </c>
      <c r="B19007" t="str">
        <f>HYPERLINK("https://lindat.mff.cuni.cz/services/teitok/pdtc10/index.php?action=vallex&amp;frame=v-w2291hsa_873", "navázat (v-w2291hsa_873)")</f>
        <v>navázat (v-w2291hsa_873)</v>
      </c>
    </row>
    <row r="19008" spans="1:4" x14ac:dyDescent="0.2">
      <c r="B19008" t="s">
        <v>1</v>
      </c>
    </row>
    <row r="19009" spans="1:3" x14ac:dyDescent="0.2">
      <c r="B19009" t="s">
        <v>6338</v>
      </c>
      <c r="C19009" t="s">
        <v>6339</v>
      </c>
    </row>
    <row r="19011" spans="1:3" x14ac:dyDescent="0.2">
      <c r="A19011" t="s">
        <v>6337</v>
      </c>
      <c r="B19011" t="str">
        <f>HYPERLINK("https://lindat.mff.cuni.cz/services/teitok/pdtc10/index.php?action=vallex&amp;frame=v-w2291f1", "navázat (v-w2291f1) - substituted with v-w2291hsa_873")</f>
        <v>navázat (v-w2291f1) - substituted with v-w2291hsa_873</v>
      </c>
    </row>
    <row r="19012" spans="1:3" x14ac:dyDescent="0.2">
      <c r="B19012" t="s">
        <v>1</v>
      </c>
      <c r="C19012" t="s">
        <v>2239</v>
      </c>
    </row>
    <row r="19013" spans="1:3" x14ac:dyDescent="0.2">
      <c r="B19013" t="s">
        <v>6338</v>
      </c>
      <c r="C19013" t="s">
        <v>6340</v>
      </c>
    </row>
    <row r="19015" spans="1:3" x14ac:dyDescent="0.2">
      <c r="A19015" t="s">
        <v>6341</v>
      </c>
      <c r="B19015" t="str">
        <f>HYPERLINK("https://lindat.mff.cuni.cz/services/teitok/pdtc10/index.php?action=vallex&amp;frame=v-w2291hsa_872", "navázat (v-w2291hsa_872)")</f>
        <v>navázat (v-w2291hsa_872)</v>
      </c>
    </row>
    <row r="19016" spans="1:3" x14ac:dyDescent="0.2">
      <c r="B19016" t="s">
        <v>1</v>
      </c>
      <c r="C19016" t="s">
        <v>2303</v>
      </c>
    </row>
    <row r="19017" spans="1:3" x14ac:dyDescent="0.2">
      <c r="B19017" t="s">
        <v>8</v>
      </c>
      <c r="C19017" t="s">
        <v>338</v>
      </c>
    </row>
    <row r="19018" spans="1:3" x14ac:dyDescent="0.2">
      <c r="B19018" t="s">
        <v>1462</v>
      </c>
      <c r="C19018" t="s">
        <v>6342</v>
      </c>
    </row>
    <row r="19020" spans="1:3" x14ac:dyDescent="0.2">
      <c r="A19020" t="s">
        <v>6343</v>
      </c>
      <c r="B19020" t="str">
        <f>HYPERLINK("https://lindat.mff.cuni.cz/services/teitok/pdtc10/index.php?action=vallex&amp;frame=v-w2291hsa_737", "navázat (v-w2291hsa_737)")</f>
        <v>navázat (v-w2291hsa_737)</v>
      </c>
    </row>
    <row r="19021" spans="1:3" x14ac:dyDescent="0.2">
      <c r="B19021" t="s">
        <v>1</v>
      </c>
    </row>
    <row r="19022" spans="1:3" x14ac:dyDescent="0.2">
      <c r="B19022" t="s">
        <v>8</v>
      </c>
    </row>
    <row r="19023" spans="1:3" x14ac:dyDescent="0.2">
      <c r="B19023" t="s">
        <v>90</v>
      </c>
    </row>
    <row r="19025" spans="1:3" x14ac:dyDescent="0.2">
      <c r="A19025" t="s">
        <v>6344</v>
      </c>
      <c r="B19025" t="str">
        <f>HYPERLINK("https://lindat.mff.cuni.cz/services/teitok/pdtc10/index.php?action=vallex&amp;frame=v-w11975_ZUf1_ZU", "navážet (v-w11975_ZUf1_ZU)")</f>
        <v>navážet (v-w11975_ZUf1_ZU)</v>
      </c>
    </row>
    <row r="19026" spans="1:3" x14ac:dyDescent="0.2">
      <c r="B19026" t="s">
        <v>1</v>
      </c>
    </row>
    <row r="19027" spans="1:3" x14ac:dyDescent="0.2">
      <c r="B19027" t="s">
        <v>8</v>
      </c>
    </row>
    <row r="19029" spans="1:3" x14ac:dyDescent="0.2">
      <c r="A19029" t="s">
        <v>6345</v>
      </c>
      <c r="B19029" t="str">
        <f>HYPERLINK("https://lindat.mff.cuni.cz/services/teitok/pdtc10/index.php?action=vallex&amp;frame=v-w11422f1", "navážet se (v-w11422f1)")</f>
        <v>navážet se (v-w11422f1)</v>
      </c>
    </row>
    <row r="19030" spans="1:3" x14ac:dyDescent="0.2">
      <c r="B19030" t="s">
        <v>1</v>
      </c>
    </row>
    <row r="19031" spans="1:3" x14ac:dyDescent="0.2">
      <c r="B19031" t="s">
        <v>817</v>
      </c>
    </row>
    <row r="19033" spans="1:3" x14ac:dyDescent="0.2">
      <c r="A19033" t="s">
        <v>6346</v>
      </c>
      <c r="B19033" t="str">
        <f>HYPERLINK("https://lindat.mff.cuni.cz/services/teitok/pdtc10/index.php?action=vallex&amp;frame=v-whsa_235hsa_236", "navést (v-whsa_235hsa_236)")</f>
        <v>navést (v-whsa_235hsa_236)</v>
      </c>
    </row>
    <row r="19034" spans="1:3" x14ac:dyDescent="0.2">
      <c r="B19034" t="s">
        <v>1</v>
      </c>
      <c r="C19034" t="s">
        <v>1680</v>
      </c>
    </row>
    <row r="19035" spans="1:3" x14ac:dyDescent="0.2">
      <c r="B19035" t="s">
        <v>28</v>
      </c>
    </row>
    <row r="19036" spans="1:3" x14ac:dyDescent="0.2">
      <c r="B19036" t="s">
        <v>58</v>
      </c>
      <c r="C19036" t="s">
        <v>6347</v>
      </c>
    </row>
    <row r="19038" spans="1:3" x14ac:dyDescent="0.2">
      <c r="A19038" t="s">
        <v>6348</v>
      </c>
      <c r="B19038" t="str">
        <f>HYPERLINK("https://lindat.mff.cuni.cz/services/teitok/pdtc10/index.php?action=vallex&amp;frame=v-whsb_235f1_MM", "navést (v-whsb_235f1_MM)")</f>
        <v>navést (v-whsb_235f1_MM)</v>
      </c>
    </row>
    <row r="19039" spans="1:3" x14ac:dyDescent="0.2">
      <c r="B19039" t="s">
        <v>1</v>
      </c>
    </row>
    <row r="19040" spans="1:3" x14ac:dyDescent="0.2">
      <c r="B19040" t="s">
        <v>8</v>
      </c>
    </row>
    <row r="19041" spans="1:4" x14ac:dyDescent="0.2">
      <c r="B19041" t="s">
        <v>90</v>
      </c>
    </row>
    <row r="19043" spans="1:4" x14ac:dyDescent="0.2">
      <c r="A19043" t="s">
        <v>6349</v>
      </c>
      <c r="B19043" t="str">
        <f>HYPERLINK("https://lindat.mff.cuni.cz/services/teitok/pdtc10/index.php?action=vallex&amp;frame=v-w11123f2", "navézt (v-w11123f2)")</f>
        <v>navézt (v-w11123f2)</v>
      </c>
    </row>
    <row r="19044" spans="1:4" x14ac:dyDescent="0.2">
      <c r="B19044" t="s">
        <v>1</v>
      </c>
      <c r="C19044" t="s">
        <v>33</v>
      </c>
      <c r="D19044" t="s">
        <v>96</v>
      </c>
    </row>
    <row r="19045" spans="1:4" x14ac:dyDescent="0.2">
      <c r="B19045" t="s">
        <v>8</v>
      </c>
      <c r="C19045" t="s">
        <v>34</v>
      </c>
      <c r="D19045" t="s">
        <v>23581</v>
      </c>
    </row>
    <row r="19047" spans="1:4" x14ac:dyDescent="0.2">
      <c r="A19047" t="s">
        <v>6350</v>
      </c>
      <c r="B19047" t="str">
        <f>HYPERLINK("https://lindat.mff.cuni.cz/services/teitok/pdtc10/index.php?action=vallex&amp;frame=v-w12386_MMf1_MM", "navíjet (v-w12386_MMf1_MM)")</f>
        <v>navíjet (v-w12386_MMf1_MM)</v>
      </c>
    </row>
    <row r="19048" spans="1:4" x14ac:dyDescent="0.2">
      <c r="B19048" t="s">
        <v>1</v>
      </c>
    </row>
    <row r="19049" spans="1:4" x14ac:dyDescent="0.2">
      <c r="B19049" t="s">
        <v>8</v>
      </c>
    </row>
    <row r="19051" spans="1:4" x14ac:dyDescent="0.2">
      <c r="A19051" t="s">
        <v>6351</v>
      </c>
      <c r="B19051" t="str">
        <f>HYPERLINK("https://lindat.mff.cuni.cz/services/teitok/pdtc10/index.php?action=vallex&amp;frame=v-w2323f1", "navýšit (v-w2323f1)")</f>
        <v>navýšit (v-w2323f1)</v>
      </c>
    </row>
    <row r="19052" spans="1:4" x14ac:dyDescent="0.2">
      <c r="B19052" t="s">
        <v>1</v>
      </c>
      <c r="C19052" t="s">
        <v>6352</v>
      </c>
      <c r="D19052" t="s">
        <v>23523</v>
      </c>
    </row>
    <row r="19053" spans="1:4" x14ac:dyDescent="0.2">
      <c r="B19053" t="s">
        <v>8</v>
      </c>
      <c r="C19053" t="s">
        <v>6353</v>
      </c>
      <c r="D19053" t="s">
        <v>23524</v>
      </c>
    </row>
    <row r="19054" spans="1:4" x14ac:dyDescent="0.2">
      <c r="B19054" t="s">
        <v>24</v>
      </c>
      <c r="C19054" t="s">
        <v>6354</v>
      </c>
      <c r="D19054" t="s">
        <v>23525</v>
      </c>
    </row>
    <row r="19055" spans="1:4" x14ac:dyDescent="0.2">
      <c r="B19055" t="s">
        <v>61</v>
      </c>
      <c r="C19055" t="s">
        <v>6355</v>
      </c>
      <c r="D19055" t="s">
        <v>23526</v>
      </c>
    </row>
    <row r="19057" spans="1:4" x14ac:dyDescent="0.2">
      <c r="A19057" t="s">
        <v>6356</v>
      </c>
      <c r="B19057" t="str">
        <f>HYPERLINK("https://lindat.mff.cuni.cz/services/teitok/pdtc10/index.php?action=vallex&amp;frame=v-w2323f2", "navýšit (v-w2323f2)")</f>
        <v>navýšit (v-w2323f2)</v>
      </c>
    </row>
    <row r="19058" spans="1:4" x14ac:dyDescent="0.2">
      <c r="B19058" t="s">
        <v>1</v>
      </c>
      <c r="C19058" t="s">
        <v>5659</v>
      </c>
      <c r="D19058" t="s">
        <v>23523</v>
      </c>
    </row>
    <row r="19059" spans="1:4" x14ac:dyDescent="0.2">
      <c r="B19059" t="s">
        <v>8</v>
      </c>
      <c r="C19059" t="s">
        <v>6357</v>
      </c>
      <c r="D19059" t="s">
        <v>23524</v>
      </c>
    </row>
    <row r="19061" spans="1:4" x14ac:dyDescent="0.2">
      <c r="A19061" t="s">
        <v>6358</v>
      </c>
      <c r="B19061" t="str">
        <f>HYPERLINK("https://lindat.mff.cuni.cz/services/teitok/pdtc10/index.php?action=vallex&amp;frame=v-whsa_829hsa_830", "navýšit se (v-whsa_829hsa_830)")</f>
        <v>navýšit se (v-whsa_829hsa_830)</v>
      </c>
    </row>
    <row r="19062" spans="1:4" x14ac:dyDescent="0.2">
      <c r="B19062" t="s">
        <v>1</v>
      </c>
    </row>
    <row r="19063" spans="1:4" x14ac:dyDescent="0.2">
      <c r="B19063" t="s">
        <v>24</v>
      </c>
    </row>
    <row r="19064" spans="1:4" x14ac:dyDescent="0.2">
      <c r="B19064" t="s">
        <v>46</v>
      </c>
    </row>
    <row r="19066" spans="1:4" x14ac:dyDescent="0.2">
      <c r="A19066" t="s">
        <v>6359</v>
      </c>
      <c r="B19066" t="str">
        <f>HYPERLINK("https://lindat.mff.cuni.cz/services/teitok/pdtc10/index.php?action=vallex&amp;frame=v-w12293_MMf1_MM", "navěsit (v-w12293_MMf1_MM)")</f>
        <v>navěsit (v-w12293_MMf1_MM)</v>
      </c>
    </row>
    <row r="19067" spans="1:4" x14ac:dyDescent="0.2">
      <c r="B19067" t="s">
        <v>1</v>
      </c>
    </row>
    <row r="19068" spans="1:4" x14ac:dyDescent="0.2">
      <c r="B19068" t="s">
        <v>8</v>
      </c>
    </row>
    <row r="19070" spans="1:4" x14ac:dyDescent="0.2">
      <c r="A19070" t="s">
        <v>6360</v>
      </c>
      <c r="B19070" t="str">
        <f>HYPERLINK("https://lindat.mff.cuni.cz/services/teitok/pdtc10/index.php?action=vallex&amp;frame=v-w2319f1", "navštívit (v-w2319f1)")</f>
        <v>navštívit (v-w2319f1)</v>
      </c>
    </row>
    <row r="19071" spans="1:4" x14ac:dyDescent="0.2">
      <c r="B19071" t="s">
        <v>1</v>
      </c>
      <c r="C19071" t="s">
        <v>6361</v>
      </c>
      <c r="D19071" t="s">
        <v>23207</v>
      </c>
    </row>
    <row r="19072" spans="1:4" x14ac:dyDescent="0.2">
      <c r="B19072" t="s">
        <v>8</v>
      </c>
      <c r="C19072" t="s">
        <v>232</v>
      </c>
      <c r="D19072" t="s">
        <v>23582</v>
      </c>
    </row>
    <row r="19074" spans="1:4" x14ac:dyDescent="0.2">
      <c r="A19074" t="s">
        <v>6362</v>
      </c>
      <c r="B19074" t="str">
        <f>HYPERLINK("https://lindat.mff.cuni.cz/services/teitok/pdtc10/index.php?action=vallex&amp;frame=v-w2319hsa_471", "navštívit (v-w2319hsa_471)")</f>
        <v>navštívit (v-w2319hsa_471)</v>
      </c>
    </row>
    <row r="19075" spans="1:4" x14ac:dyDescent="0.2">
      <c r="B19075" t="s">
        <v>1</v>
      </c>
    </row>
    <row r="19076" spans="1:4" x14ac:dyDescent="0.2">
      <c r="B19076" t="s">
        <v>8</v>
      </c>
    </row>
    <row r="19078" spans="1:4" x14ac:dyDescent="0.2">
      <c r="A19078" t="s">
        <v>6363</v>
      </c>
      <c r="B19078" t="str">
        <f>HYPERLINK("https://lindat.mff.cuni.cz/services/teitok/pdtc10/index.php?action=vallex&amp;frame=v-w2317f1", "navštěvovat (v-w2317f1)")</f>
        <v>navštěvovat (v-w2317f1)</v>
      </c>
    </row>
    <row r="19079" spans="1:4" x14ac:dyDescent="0.2">
      <c r="B19079" t="s">
        <v>1</v>
      </c>
      <c r="C19079" t="s">
        <v>4851</v>
      </c>
      <c r="D19079" t="s">
        <v>23207</v>
      </c>
    </row>
    <row r="19080" spans="1:4" x14ac:dyDescent="0.2">
      <c r="B19080" t="s">
        <v>8</v>
      </c>
      <c r="C19080" t="s">
        <v>6364</v>
      </c>
      <c r="D19080" t="s">
        <v>23582</v>
      </c>
    </row>
    <row r="19082" spans="1:4" x14ac:dyDescent="0.2">
      <c r="A19082" t="s">
        <v>6365</v>
      </c>
      <c r="B19082" t="str">
        <f>HYPERLINK("https://lindat.mff.cuni.cz/services/teitok/pdtc10/index.php?action=vallex&amp;frame=v-w2317hsa_130", "navštěvovat (v-w2317hsa_130)")</f>
        <v>navštěvovat (v-w2317hsa_130)</v>
      </c>
    </row>
    <row r="19083" spans="1:4" x14ac:dyDescent="0.2">
      <c r="B19083" t="s">
        <v>1</v>
      </c>
    </row>
    <row r="19084" spans="1:4" x14ac:dyDescent="0.2">
      <c r="B19084" t="s">
        <v>8</v>
      </c>
    </row>
    <row r="19086" spans="1:4" x14ac:dyDescent="0.2">
      <c r="A19086" t="s">
        <v>6366</v>
      </c>
      <c r="B19086" t="str">
        <f>HYPERLINK("https://lindat.mff.cuni.cz/services/teitok/pdtc10/index.php?action=vallex&amp;frame=v-whsa_1683hsa_1684", "navštěvovat se (v-whsa_1683hsa_1684)")</f>
        <v>navštěvovat se (v-whsa_1683hsa_1684)</v>
      </c>
    </row>
    <row r="19087" spans="1:4" x14ac:dyDescent="0.2">
      <c r="B19087" t="s">
        <v>1</v>
      </c>
    </row>
    <row r="19088" spans="1:4" x14ac:dyDescent="0.2">
      <c r="B19088" t="s">
        <v>411</v>
      </c>
    </row>
    <row r="19090" spans="1:4" x14ac:dyDescent="0.2">
      <c r="A19090" t="s">
        <v>6367</v>
      </c>
      <c r="B19090" t="str">
        <f>HYPERLINK("https://lindat.mff.cuni.cz/services/teitok/pdtc10/index.php?action=vallex&amp;frame=v-w2329f1", "naznačit (v-w2329f1)")</f>
        <v>naznačit (v-w2329f1)</v>
      </c>
    </row>
    <row r="19091" spans="1:4" x14ac:dyDescent="0.2">
      <c r="B19091" t="s">
        <v>1</v>
      </c>
      <c r="C19091" t="s">
        <v>6368</v>
      </c>
      <c r="D19091" t="s">
        <v>23583</v>
      </c>
    </row>
    <row r="19092" spans="1:4" x14ac:dyDescent="0.2">
      <c r="B19092" t="s">
        <v>5559</v>
      </c>
      <c r="C19092" t="s">
        <v>6369</v>
      </c>
      <c r="D19092" t="s">
        <v>23584</v>
      </c>
    </row>
    <row r="19093" spans="1:4" x14ac:dyDescent="0.2">
      <c r="B19093" t="s">
        <v>78</v>
      </c>
      <c r="C19093" t="s">
        <v>6370</v>
      </c>
      <c r="D19093" t="s">
        <v>23585</v>
      </c>
    </row>
    <row r="19095" spans="1:4" x14ac:dyDescent="0.2">
      <c r="A19095" t="s">
        <v>6371</v>
      </c>
      <c r="B19095" t="str">
        <f>HYPERLINK("https://lindat.mff.cuni.cz/services/teitok/pdtc10/index.php?action=vallex&amp;frame=v-w2330f1", "naznačovat (v-w2330f1)")</f>
        <v>naznačovat (v-w2330f1)</v>
      </c>
    </row>
    <row r="19096" spans="1:4" x14ac:dyDescent="0.2">
      <c r="B19096" t="s">
        <v>1</v>
      </c>
      <c r="C19096" t="s">
        <v>6372</v>
      </c>
      <c r="D19096" t="s">
        <v>23558</v>
      </c>
    </row>
    <row r="19097" spans="1:4" x14ac:dyDescent="0.2">
      <c r="B19097" t="s">
        <v>5559</v>
      </c>
      <c r="C19097" t="s">
        <v>6373</v>
      </c>
      <c r="D19097" t="s">
        <v>23559</v>
      </c>
    </row>
    <row r="19098" spans="1:4" x14ac:dyDescent="0.2">
      <c r="B19098" t="s">
        <v>35</v>
      </c>
      <c r="C19098" t="s">
        <v>6374</v>
      </c>
      <c r="D19098" t="s">
        <v>6378</v>
      </c>
    </row>
    <row r="19100" spans="1:4" x14ac:dyDescent="0.2">
      <c r="A19100" t="s">
        <v>6375</v>
      </c>
      <c r="B19100" t="str">
        <f>HYPERLINK("https://lindat.mff.cuni.cz/services/teitok/pdtc10/index.php?action=vallex&amp;frame=v-w2330f2", "naznačovat (v-w2330f2)")</f>
        <v>naznačovat (v-w2330f2)</v>
      </c>
    </row>
    <row r="19101" spans="1:4" x14ac:dyDescent="0.2">
      <c r="B19101" t="s">
        <v>1</v>
      </c>
      <c r="C19101" t="s">
        <v>6376</v>
      </c>
      <c r="D19101" t="s">
        <v>23583</v>
      </c>
    </row>
    <row r="19102" spans="1:4" x14ac:dyDescent="0.2">
      <c r="B19102" t="s">
        <v>5604</v>
      </c>
      <c r="C19102" t="s">
        <v>6377</v>
      </c>
      <c r="D19102" t="s">
        <v>23586</v>
      </c>
    </row>
    <row r="19103" spans="1:4" x14ac:dyDescent="0.2">
      <c r="B19103" t="s">
        <v>269</v>
      </c>
      <c r="C19103" t="s">
        <v>121</v>
      </c>
      <c r="D19103" t="s">
        <v>23584</v>
      </c>
    </row>
    <row r="19104" spans="1:4" x14ac:dyDescent="0.2">
      <c r="B19104" t="s">
        <v>78</v>
      </c>
      <c r="C19104" t="s">
        <v>6378</v>
      </c>
      <c r="D19104" t="s">
        <v>23585</v>
      </c>
    </row>
    <row r="19106" spans="1:4" x14ac:dyDescent="0.2">
      <c r="A19106" t="s">
        <v>6379</v>
      </c>
      <c r="B19106" t="str">
        <f>HYPERLINK("https://lindat.mff.cuni.cz/services/teitok/pdtc10/index.php?action=vallex&amp;frame=v-w12149_ZUf1_ZU", "nazout (v-w12149_ZUf1_ZU)")</f>
        <v>nazout (v-w12149_ZUf1_ZU)</v>
      </c>
    </row>
    <row r="19107" spans="1:4" x14ac:dyDescent="0.2">
      <c r="B19107" t="s">
        <v>1</v>
      </c>
    </row>
    <row r="19108" spans="1:4" x14ac:dyDescent="0.2">
      <c r="B19108" t="s">
        <v>8</v>
      </c>
    </row>
    <row r="19110" spans="1:4" x14ac:dyDescent="0.2">
      <c r="A19110" t="s">
        <v>6380</v>
      </c>
      <c r="B19110" t="str">
        <f>HYPERLINK("https://lindat.mff.cuni.cz/services/teitok/pdtc10/index.php?action=vallex&amp;frame=v-w2335f1", "nazpívat (v-w2335f1)")</f>
        <v>nazpívat (v-w2335f1)</v>
      </c>
    </row>
    <row r="19111" spans="1:4" x14ac:dyDescent="0.2">
      <c r="B19111" t="s">
        <v>1</v>
      </c>
      <c r="C19111" t="s">
        <v>373</v>
      </c>
    </row>
    <row r="19112" spans="1:4" x14ac:dyDescent="0.2">
      <c r="B19112" t="s">
        <v>8</v>
      </c>
      <c r="C19112" t="s">
        <v>1044</v>
      </c>
    </row>
    <row r="19114" spans="1:4" x14ac:dyDescent="0.2">
      <c r="A19114" t="s">
        <v>6381</v>
      </c>
      <c r="B19114" t="str">
        <f>HYPERLINK("https://lindat.mff.cuni.cz/services/teitok/pdtc10/index.php?action=vallex&amp;frame=v-w2336f1", "nazrát (v-w2336f1)")</f>
        <v>nazrát (v-w2336f1)</v>
      </c>
    </row>
    <row r="19115" spans="1:4" x14ac:dyDescent="0.2">
      <c r="B19115" t="s">
        <v>1</v>
      </c>
      <c r="D19115" t="s">
        <v>23587</v>
      </c>
    </row>
    <row r="19117" spans="1:4" x14ac:dyDescent="0.2">
      <c r="A19117" t="s">
        <v>6382</v>
      </c>
      <c r="B19117" t="str">
        <f>HYPERLINK("https://lindat.mff.cuni.cz/services/teitok/pdtc10/index.php?action=vallex&amp;frame=v-w2338f1", "nazvat (v-w2338f1)")</f>
        <v>nazvat (v-w2338f1)</v>
      </c>
    </row>
    <row r="19118" spans="1:4" x14ac:dyDescent="0.2">
      <c r="B19118" t="s">
        <v>1</v>
      </c>
      <c r="C19118" t="s">
        <v>6383</v>
      </c>
      <c r="D19118" t="s">
        <v>7388</v>
      </c>
    </row>
    <row r="19119" spans="1:4" x14ac:dyDescent="0.2">
      <c r="B19119" t="s">
        <v>8</v>
      </c>
      <c r="C19119" t="s">
        <v>6384</v>
      </c>
      <c r="D19119" t="s">
        <v>23588</v>
      </c>
    </row>
    <row r="19120" spans="1:4" x14ac:dyDescent="0.2">
      <c r="B19120" t="s">
        <v>6385</v>
      </c>
      <c r="C19120" t="s">
        <v>6386</v>
      </c>
      <c r="D19120" t="s">
        <v>23589</v>
      </c>
    </row>
    <row r="19122" spans="1:4" x14ac:dyDescent="0.2">
      <c r="A19122" t="s">
        <v>6387</v>
      </c>
      <c r="B19122" t="str">
        <f>HYPERLINK("https://lindat.mff.cuni.cz/services/teitok/pdtc10/index.php?action=vallex&amp;frame=v-w2338f2", "nazvat (v-w2338f2)")</f>
        <v>nazvat (v-w2338f2)</v>
      </c>
    </row>
    <row r="19123" spans="1:4" x14ac:dyDescent="0.2">
      <c r="B19123" t="s">
        <v>1</v>
      </c>
      <c r="C19123" t="s">
        <v>6388</v>
      </c>
      <c r="D19123" t="s">
        <v>7388</v>
      </c>
    </row>
    <row r="19124" spans="1:4" x14ac:dyDescent="0.2">
      <c r="B19124" t="s">
        <v>8</v>
      </c>
      <c r="C19124" t="s">
        <v>6389</v>
      </c>
      <c r="D19124" t="s">
        <v>23588</v>
      </c>
    </row>
    <row r="19125" spans="1:4" x14ac:dyDescent="0.2">
      <c r="B19125" t="s">
        <v>507</v>
      </c>
      <c r="C19125" t="s">
        <v>6390</v>
      </c>
      <c r="D19125" t="s">
        <v>23590</v>
      </c>
    </row>
    <row r="19127" spans="1:4" x14ac:dyDescent="0.2">
      <c r="A19127" t="s">
        <v>6391</v>
      </c>
      <c r="B19127" t="str">
        <f>HYPERLINK("https://lindat.mff.cuni.cz/services/teitok/pdtc10/index.php?action=vallex&amp;frame=v-w2328f1", "nazírat (v-w2328f1)")</f>
        <v>nazírat (v-w2328f1)</v>
      </c>
    </row>
    <row r="19128" spans="1:4" x14ac:dyDescent="0.2">
      <c r="B19128" t="s">
        <v>1</v>
      </c>
    </row>
    <row r="19129" spans="1:4" x14ac:dyDescent="0.2">
      <c r="B19129" t="s">
        <v>28</v>
      </c>
    </row>
    <row r="19130" spans="1:4" x14ac:dyDescent="0.2">
      <c r="B19130" t="s">
        <v>2880</v>
      </c>
    </row>
    <row r="19131" spans="1:4" x14ac:dyDescent="0.2">
      <c r="B19131" t="s">
        <v>346</v>
      </c>
    </row>
    <row r="19132" spans="1:4" x14ac:dyDescent="0.2">
      <c r="B19132" t="s">
        <v>349</v>
      </c>
    </row>
    <row r="19133" spans="1:4" x14ac:dyDescent="0.2">
      <c r="B19133" t="s">
        <v>350</v>
      </c>
    </row>
    <row r="19134" spans="1:4" x14ac:dyDescent="0.2">
      <c r="B19134" t="s">
        <v>351</v>
      </c>
    </row>
    <row r="19136" spans="1:4" x14ac:dyDescent="0.2">
      <c r="A19136" t="s">
        <v>6392</v>
      </c>
      <c r="B19136" t="str">
        <f>HYPERLINK("https://lindat.mff.cuni.cz/services/teitok/pdtc10/index.php?action=vallex&amp;frame=v-w2340f1", "nazývat (v-w2340f1)")</f>
        <v>nazývat (v-w2340f1)</v>
      </c>
    </row>
    <row r="19137" spans="1:4" x14ac:dyDescent="0.2">
      <c r="B19137" t="s">
        <v>1</v>
      </c>
      <c r="C19137" t="s">
        <v>6393</v>
      </c>
      <c r="D19137" t="s">
        <v>7388</v>
      </c>
    </row>
    <row r="19138" spans="1:4" x14ac:dyDescent="0.2">
      <c r="B19138" t="s">
        <v>8</v>
      </c>
      <c r="C19138" t="s">
        <v>121</v>
      </c>
      <c r="D19138" t="s">
        <v>23588</v>
      </c>
    </row>
    <row r="19139" spans="1:4" x14ac:dyDescent="0.2">
      <c r="B19139" t="s">
        <v>6385</v>
      </c>
      <c r="C19139" t="s">
        <v>6394</v>
      </c>
      <c r="D19139" t="s">
        <v>23589</v>
      </c>
    </row>
    <row r="19141" spans="1:4" x14ac:dyDescent="0.2">
      <c r="A19141" t="s">
        <v>6395</v>
      </c>
      <c r="B19141" t="str">
        <f>HYPERLINK("https://lindat.mff.cuni.cz/services/teitok/pdtc10/index.php?action=vallex&amp;frame=v-w2340f2", "nazývat (v-w2340f2)")</f>
        <v>nazývat (v-w2340f2)</v>
      </c>
    </row>
    <row r="19142" spans="1:4" x14ac:dyDescent="0.2">
      <c r="B19142" t="s">
        <v>1</v>
      </c>
      <c r="C19142" t="s">
        <v>6388</v>
      </c>
      <c r="D19142" t="s">
        <v>7388</v>
      </c>
    </row>
    <row r="19143" spans="1:4" x14ac:dyDescent="0.2">
      <c r="B19143" t="s">
        <v>8</v>
      </c>
      <c r="C19143" t="s">
        <v>6389</v>
      </c>
      <c r="D19143" t="s">
        <v>23588</v>
      </c>
    </row>
    <row r="19144" spans="1:4" x14ac:dyDescent="0.2">
      <c r="B19144" t="s">
        <v>507</v>
      </c>
      <c r="C19144" t="s">
        <v>6390</v>
      </c>
      <c r="D19144" t="s">
        <v>23590</v>
      </c>
    </row>
    <row r="19146" spans="1:4" x14ac:dyDescent="0.2">
      <c r="A19146" t="s">
        <v>6396</v>
      </c>
      <c r="B19146" t="str">
        <f>HYPERLINK("https://lindat.mff.cuni.cz/services/teitok/pdtc10/index.php?action=vallex&amp;frame=v-w2341f1", "nazývat se (v-w2341f1)")</f>
        <v>nazývat se (v-w2341f1)</v>
      </c>
    </row>
    <row r="19147" spans="1:4" x14ac:dyDescent="0.2">
      <c r="B19147" t="s">
        <v>1</v>
      </c>
      <c r="C19147" t="s">
        <v>6397</v>
      </c>
      <c r="D19147" t="s">
        <v>23382</v>
      </c>
    </row>
    <row r="19148" spans="1:4" x14ac:dyDescent="0.2">
      <c r="B19148" t="s">
        <v>6398</v>
      </c>
      <c r="C19148" t="s">
        <v>6399</v>
      </c>
      <c r="D19148" t="s">
        <v>23383</v>
      </c>
    </row>
    <row r="19150" spans="1:4" x14ac:dyDescent="0.2">
      <c r="A19150" t="s">
        <v>6400</v>
      </c>
      <c r="B19150" t="str">
        <f>HYPERLINK("https://lindat.mff.cuni.cz/services/teitok/pdtc10/index.php?action=vallex&amp;frame=v-w2341f2", "nazývat se (v-w2341f2)")</f>
        <v>nazývat se (v-w2341f2)</v>
      </c>
    </row>
    <row r="19151" spans="1:4" x14ac:dyDescent="0.2">
      <c r="B19151" t="s">
        <v>1</v>
      </c>
      <c r="C19151" t="s">
        <v>6401</v>
      </c>
    </row>
    <row r="19152" spans="1:4" x14ac:dyDescent="0.2">
      <c r="B19152" t="s">
        <v>507</v>
      </c>
      <c r="C19152" t="s">
        <v>6390</v>
      </c>
    </row>
    <row r="19154" spans="1:2" x14ac:dyDescent="0.2">
      <c r="A19154" t="s">
        <v>6402</v>
      </c>
      <c r="B19154" t="str">
        <f>HYPERLINK("https://lindat.mff.cuni.cz/services/teitok/pdtc10/index.php?action=vallex&amp;frame=v-w2285f1", "naúčtovat (v-w2285f1)")</f>
        <v>naúčtovat (v-w2285f1)</v>
      </c>
    </row>
    <row r="19155" spans="1:2" x14ac:dyDescent="0.2">
      <c r="B19155" t="s">
        <v>1</v>
      </c>
    </row>
    <row r="19156" spans="1:2" x14ac:dyDescent="0.2">
      <c r="B19156" t="s">
        <v>8</v>
      </c>
    </row>
    <row r="19157" spans="1:2" x14ac:dyDescent="0.2">
      <c r="B19157" t="s">
        <v>35</v>
      </c>
    </row>
    <row r="19158" spans="1:2" x14ac:dyDescent="0.2">
      <c r="B19158" t="s">
        <v>413</v>
      </c>
    </row>
    <row r="19160" spans="1:2" x14ac:dyDescent="0.2">
      <c r="A19160" t="s">
        <v>6403</v>
      </c>
      <c r="B19160" t="str">
        <f>HYPERLINK("https://lindat.mff.cuni.cz/services/teitok/pdtc10/index.php?action=vallex&amp;frame=v-w12381_MMf1_MM", "načančat (v-w12381_MMf1_MM)")</f>
        <v>načančat (v-w12381_MMf1_MM)</v>
      </c>
    </row>
    <row r="19161" spans="1:2" x14ac:dyDescent="0.2">
      <c r="B19161" t="s">
        <v>1</v>
      </c>
    </row>
    <row r="19162" spans="1:2" x14ac:dyDescent="0.2">
      <c r="B19162" t="s">
        <v>8</v>
      </c>
    </row>
    <row r="19164" spans="1:2" x14ac:dyDescent="0.2">
      <c r="A19164" t="s">
        <v>6404</v>
      </c>
      <c r="B19164" t="str">
        <f>HYPERLINK("https://lindat.mff.cuni.cz/services/teitok/pdtc10/index.php?action=vallex&amp;frame=v-w12040_ZUf1_ZU", "načapat (v-w12040_ZUf1_ZU)")</f>
        <v>načapat (v-w12040_ZUf1_ZU)</v>
      </c>
    </row>
    <row r="19165" spans="1:2" x14ac:dyDescent="0.2">
      <c r="B19165" t="s">
        <v>1</v>
      </c>
    </row>
    <row r="19166" spans="1:2" x14ac:dyDescent="0.2">
      <c r="B19166" t="s">
        <v>8</v>
      </c>
    </row>
    <row r="19168" spans="1:2" x14ac:dyDescent="0.2">
      <c r="A19168" t="s">
        <v>6405</v>
      </c>
      <c r="B19168" t="str">
        <f>HYPERLINK("https://lindat.mff.cuni.cz/services/teitok/pdtc10/index.php?action=vallex&amp;frame=v-w1964hsa_1177", "načasovat (v-w1964hsa_1177)")</f>
        <v>načasovat (v-w1964hsa_1177)</v>
      </c>
    </row>
    <row r="19169" spans="1:3" x14ac:dyDescent="0.2">
      <c r="B19169" t="s">
        <v>1</v>
      </c>
    </row>
    <row r="19170" spans="1:3" x14ac:dyDescent="0.2">
      <c r="B19170" t="s">
        <v>172</v>
      </c>
    </row>
    <row r="19172" spans="1:3" x14ac:dyDescent="0.2">
      <c r="A19172" t="s">
        <v>6405</v>
      </c>
      <c r="B19172" t="str">
        <f>HYPERLINK("https://lindat.mff.cuni.cz/services/teitok/pdtc10/index.php?action=vallex&amp;frame=v-w1964f1", "načasovat (v-w1964f1) - substituted with v-w1964hsa_1177")</f>
        <v>načasovat (v-w1964f1) - substituted with v-w1964hsa_1177</v>
      </c>
    </row>
    <row r="19173" spans="1:3" x14ac:dyDescent="0.2">
      <c r="B19173" t="s">
        <v>1</v>
      </c>
      <c r="C19173" t="s">
        <v>2698</v>
      </c>
    </row>
    <row r="19174" spans="1:3" x14ac:dyDescent="0.2">
      <c r="B19174" t="s">
        <v>172</v>
      </c>
      <c r="C19174" t="s">
        <v>1044</v>
      </c>
    </row>
    <row r="19176" spans="1:3" x14ac:dyDescent="0.2">
      <c r="A19176" t="s">
        <v>6406</v>
      </c>
      <c r="B19176" t="str">
        <f>HYPERLINK("https://lindat.mff.cuni.cz/services/teitok/pdtc10/index.php?action=vallex&amp;frame=v-w1964f2", "načasovat (v-w1964f2)")</f>
        <v>načasovat (v-w1964f2)</v>
      </c>
    </row>
    <row r="19177" spans="1:3" x14ac:dyDescent="0.2">
      <c r="B19177" t="s">
        <v>1</v>
      </c>
    </row>
    <row r="19178" spans="1:3" x14ac:dyDescent="0.2">
      <c r="B19178" t="s">
        <v>8</v>
      </c>
    </row>
    <row r="19180" spans="1:3" x14ac:dyDescent="0.2">
      <c r="A19180" t="s">
        <v>6407</v>
      </c>
      <c r="B19180" t="str">
        <f>HYPERLINK("https://lindat.mff.cuni.cz/services/teitok/pdtc10/index.php?action=vallex&amp;frame=v-w1965f1", "načechrat (v-w1965f1)")</f>
        <v>načechrat (v-w1965f1)</v>
      </c>
    </row>
    <row r="19181" spans="1:3" x14ac:dyDescent="0.2">
      <c r="B19181" t="s">
        <v>1</v>
      </c>
    </row>
    <row r="19182" spans="1:3" x14ac:dyDescent="0.2">
      <c r="B19182" t="s">
        <v>8</v>
      </c>
    </row>
    <row r="19184" spans="1:3" x14ac:dyDescent="0.2">
      <c r="A19184" t="s">
        <v>6408</v>
      </c>
      <c r="B19184" t="str">
        <f>HYPERLINK("https://lindat.mff.cuni.cz/services/teitok/pdtc10/index.php?action=vallex&amp;frame=v-w12290_MMf1_MM", "načepovat (v-w12290_MMf1_MM)")</f>
        <v>načepovat (v-w12290_MMf1_MM)</v>
      </c>
    </row>
    <row r="19185" spans="1:3" x14ac:dyDescent="0.2">
      <c r="B19185" t="s">
        <v>1</v>
      </c>
    </row>
    <row r="19186" spans="1:3" x14ac:dyDescent="0.2">
      <c r="B19186" t="s">
        <v>8</v>
      </c>
    </row>
    <row r="19187" spans="1:3" x14ac:dyDescent="0.2">
      <c r="B19187" t="s">
        <v>90</v>
      </c>
    </row>
    <row r="19189" spans="1:3" x14ac:dyDescent="0.2">
      <c r="A19189" t="s">
        <v>6409</v>
      </c>
      <c r="B19189" t="str">
        <f>HYPERLINK("https://lindat.mff.cuni.cz/services/teitok/pdtc10/index.php?action=vallex&amp;frame=v-w12290_MMf2_MM", "načepovat (v-w12290_MMf2_MM)")</f>
        <v>načepovat (v-w12290_MMf2_MM)</v>
      </c>
    </row>
    <row r="19190" spans="1:3" x14ac:dyDescent="0.2">
      <c r="B19190" t="s">
        <v>1</v>
      </c>
    </row>
    <row r="19191" spans="1:3" x14ac:dyDescent="0.2">
      <c r="B19191" t="s">
        <v>8</v>
      </c>
    </row>
    <row r="19192" spans="1:3" x14ac:dyDescent="0.2">
      <c r="B19192" t="s">
        <v>78</v>
      </c>
    </row>
    <row r="19194" spans="1:3" x14ac:dyDescent="0.2">
      <c r="A19194" t="s">
        <v>6410</v>
      </c>
      <c r="B19194" t="str">
        <f>HYPERLINK("https://lindat.mff.cuni.cz/services/teitok/pdtc10/index.php?action=vallex&amp;frame=v-w10309f2", "načerpat (v-w10309f2)")</f>
        <v>načerpat (v-w10309f2)</v>
      </c>
    </row>
    <row r="19195" spans="1:3" x14ac:dyDescent="0.2">
      <c r="B19195" t="s">
        <v>1</v>
      </c>
      <c r="C19195" t="s">
        <v>33</v>
      </c>
    </row>
    <row r="19196" spans="1:3" x14ac:dyDescent="0.2">
      <c r="B19196" t="s">
        <v>8</v>
      </c>
      <c r="C19196" t="s">
        <v>1128</v>
      </c>
    </row>
    <row r="19197" spans="1:3" x14ac:dyDescent="0.2">
      <c r="B19197" t="s">
        <v>6411</v>
      </c>
    </row>
    <row r="19199" spans="1:3" x14ac:dyDescent="0.2">
      <c r="A19199" t="s">
        <v>6412</v>
      </c>
      <c r="B19199" t="str">
        <f>HYPERLINK("https://lindat.mff.cuni.cz/services/teitok/pdtc10/index.php?action=vallex&amp;frame=v-w11763_ZUf1_ZU", "načesat (v-w11763_ZUf1_ZU)")</f>
        <v>načesat (v-w11763_ZUf1_ZU)</v>
      </c>
    </row>
    <row r="19200" spans="1:3" x14ac:dyDescent="0.2">
      <c r="B19200" t="s">
        <v>1</v>
      </c>
    </row>
    <row r="19201" spans="1:4" x14ac:dyDescent="0.2">
      <c r="B19201" t="s">
        <v>8</v>
      </c>
    </row>
    <row r="19203" spans="1:4" x14ac:dyDescent="0.2">
      <c r="A19203" t="s">
        <v>6413</v>
      </c>
      <c r="B19203" t="str">
        <f>HYPERLINK("https://lindat.mff.cuni.cz/services/teitok/pdtc10/index.php?action=vallex&amp;frame=v-w10429f2", "načmárat (v-w10429f2)")</f>
        <v>načmárat (v-w10429f2)</v>
      </c>
    </row>
    <row r="19204" spans="1:4" x14ac:dyDescent="0.2">
      <c r="B19204" t="s">
        <v>1</v>
      </c>
    </row>
    <row r="19205" spans="1:4" x14ac:dyDescent="0.2">
      <c r="B19205" t="s">
        <v>5970</v>
      </c>
    </row>
    <row r="19206" spans="1:4" x14ac:dyDescent="0.2">
      <c r="B19206" t="s">
        <v>90</v>
      </c>
    </row>
    <row r="19208" spans="1:4" x14ac:dyDescent="0.2">
      <c r="A19208" t="s">
        <v>6414</v>
      </c>
      <c r="B19208" t="str">
        <f>HYPERLINK("https://lindat.mff.cuni.cz/services/teitok/pdtc10/index.php?action=vallex&amp;frame=v-w1969f1", "načrtnout (v-w1969f1)")</f>
        <v>načrtnout (v-w1969f1)</v>
      </c>
    </row>
    <row r="19209" spans="1:4" x14ac:dyDescent="0.2">
      <c r="B19209" t="s">
        <v>1</v>
      </c>
      <c r="C19209" t="s">
        <v>1566</v>
      </c>
      <c r="D19209" t="s">
        <v>3255</v>
      </c>
    </row>
    <row r="19210" spans="1:4" x14ac:dyDescent="0.2">
      <c r="B19210" t="s">
        <v>8</v>
      </c>
      <c r="C19210" t="s">
        <v>2235</v>
      </c>
      <c r="D19210" t="s">
        <v>1241</v>
      </c>
    </row>
    <row r="19212" spans="1:4" x14ac:dyDescent="0.2">
      <c r="A19212" t="s">
        <v>6415</v>
      </c>
      <c r="B19212" t="str">
        <f>HYPERLINK("https://lindat.mff.cuni.cz/services/teitok/pdtc10/index.php?action=vallex&amp;frame=v-w1967f1", "načrtávat (v-w1967f1)")</f>
        <v>načrtávat (v-w1967f1)</v>
      </c>
    </row>
    <row r="19213" spans="1:4" x14ac:dyDescent="0.2">
      <c r="B19213" t="s">
        <v>1</v>
      </c>
      <c r="D19213" t="s">
        <v>3255</v>
      </c>
    </row>
    <row r="19214" spans="1:4" x14ac:dyDescent="0.2">
      <c r="B19214" t="s">
        <v>8</v>
      </c>
      <c r="D19214" t="s">
        <v>1241</v>
      </c>
    </row>
    <row r="19216" spans="1:4" x14ac:dyDescent="0.2">
      <c r="A19216" t="s">
        <v>6416</v>
      </c>
      <c r="B19216" t="str">
        <f>HYPERLINK("https://lindat.mff.cuni.cz/services/teitok/pdtc10/index.php?action=vallex&amp;frame=v-whsa_468hsa_469", "načíst (v-whsa_468hsa_469)")</f>
        <v>načíst (v-whsa_468hsa_469)</v>
      </c>
    </row>
    <row r="19217" spans="1:4" x14ac:dyDescent="0.2">
      <c r="B19217" t="s">
        <v>1</v>
      </c>
    </row>
    <row r="19218" spans="1:4" x14ac:dyDescent="0.2">
      <c r="B19218" t="s">
        <v>8</v>
      </c>
    </row>
    <row r="19220" spans="1:4" x14ac:dyDescent="0.2">
      <c r="A19220" t="s">
        <v>6417</v>
      </c>
      <c r="B19220" t="str">
        <f>HYPERLINK("https://lindat.mff.cuni.cz/services/teitok/pdtc10/index.php?action=vallex&amp;frame=v-w1966f1", "načít (v-w1966f1)")</f>
        <v>načít (v-w1966f1)</v>
      </c>
    </row>
    <row r="19221" spans="1:4" x14ac:dyDescent="0.2">
      <c r="B19221" t="s">
        <v>1</v>
      </c>
    </row>
    <row r="19222" spans="1:4" x14ac:dyDescent="0.2">
      <c r="B19222" t="s">
        <v>8</v>
      </c>
    </row>
    <row r="19224" spans="1:4" x14ac:dyDescent="0.2">
      <c r="A19224" t="s">
        <v>6418</v>
      </c>
      <c r="B19224" t="str">
        <f>HYPERLINK("https://lindat.mff.cuni.cz/services/teitok/pdtc10/index.php?action=vallex&amp;frame=v-whsa_1246hsa_1247", "načítat (v-whsa_1246hsa_1247)")</f>
        <v>načítat (v-whsa_1246hsa_1247)</v>
      </c>
    </row>
    <row r="19225" spans="1:4" x14ac:dyDescent="0.2">
      <c r="B19225" t="s">
        <v>1</v>
      </c>
      <c r="C19225" t="s">
        <v>1992</v>
      </c>
    </row>
    <row r="19226" spans="1:4" x14ac:dyDescent="0.2">
      <c r="B19226" t="s">
        <v>8</v>
      </c>
      <c r="C19226" t="s">
        <v>2253</v>
      </c>
    </row>
    <row r="19228" spans="1:4" x14ac:dyDescent="0.2">
      <c r="A19228" t="s">
        <v>6419</v>
      </c>
      <c r="B19228" t="str">
        <f>HYPERLINK("https://lindat.mff.cuni.cz/services/teitok/pdtc10/index.php?action=vallex&amp;frame=v-w10963f2", "nařezat (v-w10963f2)")</f>
        <v>nařezat (v-w10963f2)</v>
      </c>
    </row>
    <row r="19229" spans="1:4" x14ac:dyDescent="0.2">
      <c r="B19229" t="s">
        <v>1</v>
      </c>
      <c r="C19229" t="s">
        <v>133</v>
      </c>
      <c r="D19229" t="s">
        <v>23591</v>
      </c>
    </row>
    <row r="19230" spans="1:4" x14ac:dyDescent="0.2">
      <c r="B19230" t="s">
        <v>8</v>
      </c>
      <c r="C19230" t="s">
        <v>1128</v>
      </c>
      <c r="D19230" t="s">
        <v>23592</v>
      </c>
    </row>
    <row r="19231" spans="1:4" x14ac:dyDescent="0.2">
      <c r="B19231" t="s">
        <v>4283</v>
      </c>
      <c r="D19231" t="s">
        <v>23593</v>
      </c>
    </row>
    <row r="19233" spans="1:4" x14ac:dyDescent="0.2">
      <c r="A19233" t="s">
        <v>6420</v>
      </c>
      <c r="B19233" t="str">
        <f>HYPERLINK("https://lindat.mff.cuni.cz/services/teitok/pdtc10/index.php?action=vallex&amp;frame=v-w2197f1", "nařizovat (v-w2197f1)")</f>
        <v>nařizovat (v-w2197f1)</v>
      </c>
    </row>
    <row r="19234" spans="1:4" x14ac:dyDescent="0.2">
      <c r="B19234" t="s">
        <v>1</v>
      </c>
      <c r="C19234" t="s">
        <v>6421</v>
      </c>
      <c r="D19234" t="s">
        <v>1992</v>
      </c>
    </row>
    <row r="19235" spans="1:4" x14ac:dyDescent="0.2">
      <c r="B19235" t="s">
        <v>1339</v>
      </c>
      <c r="C19235" t="s">
        <v>6422</v>
      </c>
      <c r="D19235" t="s">
        <v>23096</v>
      </c>
    </row>
    <row r="19236" spans="1:4" x14ac:dyDescent="0.2">
      <c r="B19236" t="s">
        <v>35</v>
      </c>
      <c r="C19236" t="s">
        <v>6423</v>
      </c>
      <c r="D19236" t="s">
        <v>23097</v>
      </c>
    </row>
    <row r="19238" spans="1:4" x14ac:dyDescent="0.2">
      <c r="A19238" t="s">
        <v>6424</v>
      </c>
      <c r="B19238" t="str">
        <f>HYPERLINK("https://lindat.mff.cuni.cz/services/teitok/pdtc10/index.php?action=vallex&amp;frame=v-w2197f2", "nařizovat (v-w2197f2)")</f>
        <v>nařizovat (v-w2197f2)</v>
      </c>
    </row>
    <row r="19239" spans="1:4" x14ac:dyDescent="0.2">
      <c r="B19239" t="s">
        <v>1</v>
      </c>
    </row>
    <row r="19240" spans="1:4" x14ac:dyDescent="0.2">
      <c r="B19240" t="s">
        <v>8</v>
      </c>
    </row>
    <row r="19242" spans="1:4" x14ac:dyDescent="0.2">
      <c r="A19242" t="s">
        <v>6425</v>
      </c>
      <c r="B19242" t="str">
        <f>HYPERLINK("https://lindat.mff.cuni.cz/services/teitok/pdtc10/index.php?action=vallex&amp;frame=v-w2199f1", "nařknout (v-w2199f1)")</f>
        <v>nařknout (v-w2199f1)</v>
      </c>
    </row>
    <row r="19243" spans="1:4" x14ac:dyDescent="0.2">
      <c r="B19243" t="s">
        <v>1</v>
      </c>
      <c r="C19243" t="s">
        <v>2031</v>
      </c>
      <c r="D19243" t="s">
        <v>6301</v>
      </c>
    </row>
    <row r="19244" spans="1:4" x14ac:dyDescent="0.2">
      <c r="B19244" t="s">
        <v>58</v>
      </c>
      <c r="C19244" t="s">
        <v>6426</v>
      </c>
      <c r="D19244" t="s">
        <v>23302</v>
      </c>
    </row>
    <row r="19245" spans="1:4" x14ac:dyDescent="0.2">
      <c r="B19245" t="s">
        <v>6427</v>
      </c>
      <c r="C19245" t="s">
        <v>6428</v>
      </c>
      <c r="D19245" t="s">
        <v>23301</v>
      </c>
    </row>
    <row r="19247" spans="1:4" x14ac:dyDescent="0.2">
      <c r="A19247" t="s">
        <v>6429</v>
      </c>
      <c r="B19247" t="str">
        <f>HYPERLINK("https://lindat.mff.cuni.cz/services/teitok/pdtc10/index.php?action=vallex&amp;frame=v-w2192hsa_777", "nařídit (v-w2192hsa_777)")</f>
        <v>nařídit (v-w2192hsa_777)</v>
      </c>
    </row>
    <row r="19248" spans="1:4" x14ac:dyDescent="0.2">
      <c r="B19248" t="s">
        <v>1</v>
      </c>
      <c r="D19248" t="s">
        <v>1992</v>
      </c>
    </row>
    <row r="19249" spans="1:4" x14ac:dyDescent="0.2">
      <c r="B19249" t="s">
        <v>1770</v>
      </c>
      <c r="D19249" t="s">
        <v>23096</v>
      </c>
    </row>
    <row r="19250" spans="1:4" x14ac:dyDescent="0.2">
      <c r="B19250" t="s">
        <v>35</v>
      </c>
      <c r="D19250" t="s">
        <v>23097</v>
      </c>
    </row>
    <row r="19252" spans="1:4" x14ac:dyDescent="0.2">
      <c r="A19252" t="s">
        <v>6429</v>
      </c>
      <c r="B19252" t="str">
        <f>HYPERLINK("https://lindat.mff.cuni.cz/services/teitok/pdtc10/index.php?action=vallex&amp;frame=v-w2192f1", "nařídit (v-w2192f1) - substituted with v-w2192hsa_777")</f>
        <v>nařídit (v-w2192f1) - substituted with v-w2192hsa_777</v>
      </c>
    </row>
    <row r="19253" spans="1:4" x14ac:dyDescent="0.2">
      <c r="B19253" t="s">
        <v>1</v>
      </c>
      <c r="C19253" t="s">
        <v>6430</v>
      </c>
    </row>
    <row r="19254" spans="1:4" x14ac:dyDescent="0.2">
      <c r="B19254" t="s">
        <v>1770</v>
      </c>
      <c r="C19254" t="s">
        <v>6431</v>
      </c>
    </row>
    <row r="19255" spans="1:4" x14ac:dyDescent="0.2">
      <c r="B19255" t="s">
        <v>35</v>
      </c>
      <c r="C19255" t="s">
        <v>6432</v>
      </c>
    </row>
    <row r="19257" spans="1:4" x14ac:dyDescent="0.2">
      <c r="A19257" t="s">
        <v>6433</v>
      </c>
      <c r="B19257" t="str">
        <f>HYPERLINK("https://lindat.mff.cuni.cz/services/teitok/pdtc10/index.php?action=vallex&amp;frame=v-w2192f2", "nařídit (v-w2192f2)")</f>
        <v>nařídit (v-w2192f2)</v>
      </c>
    </row>
    <row r="19258" spans="1:4" x14ac:dyDescent="0.2">
      <c r="B19258" t="s">
        <v>1</v>
      </c>
    </row>
    <row r="19259" spans="1:4" x14ac:dyDescent="0.2">
      <c r="B19259" t="s">
        <v>8</v>
      </c>
    </row>
    <row r="19261" spans="1:4" x14ac:dyDescent="0.2">
      <c r="A19261" t="s">
        <v>6434</v>
      </c>
      <c r="B19261" t="str">
        <f>HYPERLINK("https://lindat.mff.cuni.cz/services/teitok/pdtc10/index.php?action=vallex&amp;frame=v-w2193hsa_709", "naříkat (v-w2193hsa_709)")</f>
        <v>naříkat (v-w2193hsa_709)</v>
      </c>
    </row>
    <row r="19262" spans="1:4" x14ac:dyDescent="0.2">
      <c r="B19262" t="s">
        <v>1</v>
      </c>
      <c r="C19262" t="s">
        <v>140</v>
      </c>
      <c r="D19262" t="s">
        <v>23594</v>
      </c>
    </row>
    <row r="19263" spans="1:4" x14ac:dyDescent="0.2">
      <c r="B19263" t="s">
        <v>921</v>
      </c>
      <c r="C19263" t="s">
        <v>113</v>
      </c>
      <c r="D19263" t="s">
        <v>3072</v>
      </c>
    </row>
    <row r="19265" spans="1:4" x14ac:dyDescent="0.2">
      <c r="A19265" t="s">
        <v>6434</v>
      </c>
      <c r="B19265" t="str">
        <f>HYPERLINK("https://lindat.mff.cuni.cz/services/teitok/pdtc10/index.php?action=vallex&amp;frame=v-w2193f1", "naříkat (v-w2193f1) - substituted with v-w2193hsa_709")</f>
        <v>naříkat (v-w2193f1) - substituted with v-w2193hsa_709</v>
      </c>
    </row>
    <row r="19266" spans="1:4" x14ac:dyDescent="0.2">
      <c r="B19266" t="s">
        <v>1</v>
      </c>
      <c r="C19266" t="s">
        <v>83</v>
      </c>
    </row>
    <row r="19267" spans="1:4" x14ac:dyDescent="0.2">
      <c r="B19267" t="s">
        <v>921</v>
      </c>
      <c r="C19267" t="s">
        <v>991</v>
      </c>
    </row>
    <row r="19269" spans="1:4" x14ac:dyDescent="0.2">
      <c r="A19269" t="s">
        <v>6435</v>
      </c>
      <c r="B19269" t="str">
        <f>HYPERLINK("https://lindat.mff.cuni.cz/services/teitok/pdtc10/index.php?action=vallex&amp;frame=v-w2196f1", "naříznout (v-w2196f1)")</f>
        <v>naříznout (v-w2196f1)</v>
      </c>
    </row>
    <row r="19270" spans="1:4" x14ac:dyDescent="0.2">
      <c r="B19270" t="s">
        <v>1</v>
      </c>
    </row>
    <row r="19271" spans="1:4" x14ac:dyDescent="0.2">
      <c r="B19271" t="s">
        <v>8</v>
      </c>
    </row>
    <row r="19273" spans="1:4" x14ac:dyDescent="0.2">
      <c r="A19273" t="s">
        <v>6436</v>
      </c>
      <c r="B19273" t="str">
        <f>HYPERLINK("https://lindat.mff.cuni.cz/services/teitok/pdtc10/index.php?action=vallex&amp;frame=v-w2262f1", "našeptávat (v-w2262f1)")</f>
        <v>našeptávat (v-w2262f1)</v>
      </c>
    </row>
    <row r="19274" spans="1:4" x14ac:dyDescent="0.2">
      <c r="B19274" t="s">
        <v>1</v>
      </c>
    </row>
    <row r="19275" spans="1:4" x14ac:dyDescent="0.2">
      <c r="B19275" t="s">
        <v>35</v>
      </c>
    </row>
    <row r="19276" spans="1:4" x14ac:dyDescent="0.2">
      <c r="B19276" t="s">
        <v>6437</v>
      </c>
    </row>
    <row r="19277" spans="1:4" x14ac:dyDescent="0.2">
      <c r="B19277" t="s">
        <v>269</v>
      </c>
    </row>
    <row r="19279" spans="1:4" x14ac:dyDescent="0.2">
      <c r="A19279" t="s">
        <v>6438</v>
      </c>
      <c r="B19279" t="str">
        <f>HYPERLINK("https://lindat.mff.cuni.cz/services/teitok/pdtc10/index.php?action=vallex&amp;frame=v-w10731f2", "našetřit (v-w10731f2)")</f>
        <v>našetřit (v-w10731f2)</v>
      </c>
    </row>
    <row r="19280" spans="1:4" x14ac:dyDescent="0.2">
      <c r="B19280" t="s">
        <v>1</v>
      </c>
      <c r="C19280" t="s">
        <v>2239</v>
      </c>
      <c r="D19280" t="s">
        <v>22774</v>
      </c>
    </row>
    <row r="19281" spans="1:4" x14ac:dyDescent="0.2">
      <c r="B19281" t="s">
        <v>8</v>
      </c>
      <c r="C19281" t="s">
        <v>6439</v>
      </c>
      <c r="D19281" t="s">
        <v>2235</v>
      </c>
    </row>
    <row r="19283" spans="1:4" x14ac:dyDescent="0.2">
      <c r="A19283" t="s">
        <v>6440</v>
      </c>
      <c r="B19283" t="str">
        <f>HYPERLINK("https://lindat.mff.cuni.cz/services/teitok/pdtc10/index.php?action=vallex&amp;frame=v-whsa_1124f1_ZU", "našlapat (v-whsa_1124f1_ZU)")</f>
        <v>našlapat (v-whsa_1124f1_ZU)</v>
      </c>
    </row>
    <row r="19284" spans="1:4" x14ac:dyDescent="0.2">
      <c r="B19284" t="s">
        <v>1</v>
      </c>
    </row>
    <row r="19285" spans="1:4" x14ac:dyDescent="0.2">
      <c r="B19285" t="s">
        <v>5</v>
      </c>
    </row>
    <row r="19286" spans="1:4" x14ac:dyDescent="0.2">
      <c r="B19286" t="s">
        <v>220</v>
      </c>
    </row>
    <row r="19288" spans="1:4" x14ac:dyDescent="0.2">
      <c r="A19288" t="s">
        <v>6440</v>
      </c>
      <c r="B19288" t="str">
        <f>HYPERLINK("https://lindat.mff.cuni.cz/services/teitok/pdtc10/index.php?action=vallex&amp;frame=v-whsa_1124hsa_1125", "našlapat (v-whsa_1124hsa_1125) - substituted with v-whsa_1124f1_ZU")</f>
        <v>našlapat (v-whsa_1124hsa_1125) - substituted with v-whsa_1124f1_ZU</v>
      </c>
    </row>
    <row r="19289" spans="1:4" x14ac:dyDescent="0.2">
      <c r="B19289" t="s">
        <v>1</v>
      </c>
    </row>
    <row r="19290" spans="1:4" x14ac:dyDescent="0.2">
      <c r="B19290" t="s">
        <v>5</v>
      </c>
    </row>
    <row r="19291" spans="1:4" x14ac:dyDescent="0.2">
      <c r="B19291" t="s">
        <v>220</v>
      </c>
    </row>
    <row r="19293" spans="1:4" x14ac:dyDescent="0.2">
      <c r="A19293" t="s">
        <v>6441</v>
      </c>
      <c r="B19293" t="str">
        <f>HYPERLINK("https://lindat.mff.cuni.cz/services/teitok/pdtc10/index.php?action=vallex&amp;frame=v-whsa_1124f2_ZU", "našlapat (v-whsa_1124f2_ZU)")</f>
        <v>našlapat (v-whsa_1124f2_ZU)</v>
      </c>
    </row>
    <row r="19294" spans="1:4" x14ac:dyDescent="0.2">
      <c r="B19294" t="s">
        <v>1</v>
      </c>
    </row>
    <row r="19295" spans="1:4" x14ac:dyDescent="0.2">
      <c r="B19295" t="s">
        <v>8</v>
      </c>
    </row>
    <row r="19297" spans="1:3" x14ac:dyDescent="0.2">
      <c r="A19297" t="s">
        <v>6442</v>
      </c>
      <c r="B19297" t="str">
        <f>HYPERLINK("https://lindat.mff.cuni.cz/services/teitok/pdtc10/index.php?action=vallex&amp;frame=v-w11069f2", "našlapovat (v-w11069f2)")</f>
        <v>našlapovat (v-w11069f2)</v>
      </c>
    </row>
    <row r="19298" spans="1:3" x14ac:dyDescent="0.2">
      <c r="B19298" t="s">
        <v>1</v>
      </c>
      <c r="C19298" t="s">
        <v>140</v>
      </c>
    </row>
    <row r="19300" spans="1:3" x14ac:dyDescent="0.2">
      <c r="A19300" t="s">
        <v>6443</v>
      </c>
      <c r="B19300" t="str">
        <f>HYPERLINK("https://lindat.mff.cuni.cz/services/teitok/pdtc10/index.php?action=vallex&amp;frame=v-w2263f1", "našlápnout (v-w2263f1)")</f>
        <v>našlápnout (v-w2263f1)</v>
      </c>
    </row>
    <row r="19301" spans="1:3" x14ac:dyDescent="0.2">
      <c r="B19301" t="s">
        <v>1</v>
      </c>
    </row>
    <row r="19302" spans="1:3" x14ac:dyDescent="0.2">
      <c r="B19302" t="s">
        <v>8</v>
      </c>
    </row>
    <row r="19304" spans="1:3" x14ac:dyDescent="0.2">
      <c r="A19304" t="s">
        <v>6444</v>
      </c>
      <c r="B19304" t="str">
        <f>HYPERLINK("https://lindat.mff.cuni.cz/services/teitok/pdtc10/index.php?action=vallex&amp;frame=v-w2263f2", "našlápnout (v-w2263f2)")</f>
        <v>našlápnout (v-w2263f2)</v>
      </c>
    </row>
    <row r="19305" spans="1:3" x14ac:dyDescent="0.2">
      <c r="B19305" t="s">
        <v>1</v>
      </c>
    </row>
    <row r="19306" spans="1:3" x14ac:dyDescent="0.2">
      <c r="B19306" t="s">
        <v>90</v>
      </c>
    </row>
    <row r="19308" spans="1:3" x14ac:dyDescent="0.2">
      <c r="A19308" t="s">
        <v>6445</v>
      </c>
      <c r="B19308" t="str">
        <f>HYPERLINK("https://lindat.mff.cuni.cz/services/teitok/pdtc10/index.php?action=vallex&amp;frame=v-w2264hsa_1397", "naštvat (v-w2264hsa_1397)")</f>
        <v>naštvat (v-w2264hsa_1397)</v>
      </c>
    </row>
    <row r="19309" spans="1:3" x14ac:dyDescent="0.2">
      <c r="B19309" t="s">
        <v>488</v>
      </c>
    </row>
    <row r="19310" spans="1:3" x14ac:dyDescent="0.2">
      <c r="B19310" t="s">
        <v>8</v>
      </c>
    </row>
    <row r="19312" spans="1:3" x14ac:dyDescent="0.2">
      <c r="A19312" t="s">
        <v>6445</v>
      </c>
      <c r="B19312" t="str">
        <f>HYPERLINK("https://lindat.mff.cuni.cz/services/teitok/pdtc10/index.php?action=vallex&amp;frame=v-w2264f1", "naštvat (v-w2264f1) - substituted with v-w2264hsa_1397")</f>
        <v>naštvat (v-w2264f1) - substituted with v-w2264hsa_1397</v>
      </c>
    </row>
    <row r="19313" spans="1:4" x14ac:dyDescent="0.2">
      <c r="B19313" t="s">
        <v>488</v>
      </c>
      <c r="C19313" t="s">
        <v>140</v>
      </c>
      <c r="D19313" t="s">
        <v>17427</v>
      </c>
    </row>
    <row r="19314" spans="1:4" x14ac:dyDescent="0.2">
      <c r="B19314" t="s">
        <v>8</v>
      </c>
      <c r="C19314" t="s">
        <v>34</v>
      </c>
      <c r="D19314" t="s">
        <v>23595</v>
      </c>
    </row>
    <row r="19316" spans="1:4" x14ac:dyDescent="0.2">
      <c r="A19316" t="s">
        <v>6446</v>
      </c>
      <c r="B19316" t="str">
        <f>HYPERLINK("https://lindat.mff.cuni.cz/services/teitok/pdtc10/index.php?action=vallex&amp;frame=v-w11696_ZUf2_ZU", "našít (v-w11696_ZUf2_ZU)")</f>
        <v>našít (v-w11696_ZUf2_ZU)</v>
      </c>
    </row>
    <row r="19317" spans="1:4" x14ac:dyDescent="0.2">
      <c r="B19317" t="s">
        <v>1</v>
      </c>
    </row>
    <row r="19318" spans="1:4" x14ac:dyDescent="0.2">
      <c r="B19318" t="s">
        <v>8</v>
      </c>
    </row>
    <row r="19319" spans="1:4" x14ac:dyDescent="0.2">
      <c r="B19319" t="s">
        <v>252</v>
      </c>
    </row>
    <row r="19321" spans="1:4" x14ac:dyDescent="0.2">
      <c r="A19321" t="s">
        <v>6446</v>
      </c>
      <c r="B19321" t="str">
        <f>HYPERLINK("https://lindat.mff.cuni.cz/services/teitok/pdtc10/index.php?action=vallex&amp;frame=v-w11696_ZUf1_ZU", "našít (v-w11696_ZUf1_ZU) - substituted with v-w11696_ZUf2_ZU")</f>
        <v>našít (v-w11696_ZUf1_ZU) - substituted with v-w11696_ZUf2_ZU</v>
      </c>
    </row>
    <row r="19322" spans="1:4" x14ac:dyDescent="0.2">
      <c r="B19322" t="s">
        <v>1</v>
      </c>
    </row>
    <row r="19323" spans="1:4" x14ac:dyDescent="0.2">
      <c r="B19323" t="s">
        <v>8</v>
      </c>
    </row>
    <row r="19324" spans="1:4" x14ac:dyDescent="0.2">
      <c r="B19324" t="s">
        <v>252</v>
      </c>
    </row>
    <row r="19326" spans="1:4" x14ac:dyDescent="0.2">
      <c r="A19326" t="s">
        <v>6447</v>
      </c>
      <c r="B19326" t="str">
        <f>HYPERLINK("https://lindat.mff.cuni.cz/services/teitok/pdtc10/index.php?action=vallex&amp;frame=v-w2281f1", "naťukat (v-w2281f1)")</f>
        <v>naťukat (v-w2281f1)</v>
      </c>
    </row>
    <row r="19327" spans="1:4" x14ac:dyDescent="0.2">
      <c r="B19327" t="s">
        <v>1</v>
      </c>
    </row>
    <row r="19328" spans="1:4" x14ac:dyDescent="0.2">
      <c r="B19328" t="s">
        <v>5604</v>
      </c>
    </row>
    <row r="19329" spans="1:2" x14ac:dyDescent="0.2">
      <c r="B19329" t="s">
        <v>269</v>
      </c>
    </row>
    <row r="19330" spans="1:2" x14ac:dyDescent="0.2">
      <c r="B19330" t="s">
        <v>78</v>
      </c>
    </row>
    <row r="19332" spans="1:2" x14ac:dyDescent="0.2">
      <c r="A19332" t="s">
        <v>6448</v>
      </c>
      <c r="B19332" t="str">
        <f>HYPERLINK("https://lindat.mff.cuni.cz/services/teitok/pdtc10/index.php?action=vallex&amp;frame=v-w12382_MMf1_MM", "nažehlit (v-w12382_MMf1_MM)")</f>
        <v>nažehlit (v-w12382_MMf1_MM)</v>
      </c>
    </row>
    <row r="19333" spans="1:2" x14ac:dyDescent="0.2">
      <c r="B19333" t="s">
        <v>1</v>
      </c>
    </row>
    <row r="19334" spans="1:2" x14ac:dyDescent="0.2">
      <c r="B19334" t="s">
        <v>8</v>
      </c>
    </row>
    <row r="19336" spans="1:2" x14ac:dyDescent="0.2">
      <c r="A19336" t="s">
        <v>6449</v>
      </c>
      <c r="B19336" t="str">
        <f>HYPERLINK("https://lindat.mff.cuni.cz/services/teitok/pdtc10/index.php?action=vallex&amp;frame=v-w12185_ZUf1_ZU", "nažrat (v-w12185_ZUf1_ZU)")</f>
        <v>nažrat (v-w12185_ZUf1_ZU)</v>
      </c>
    </row>
    <row r="19337" spans="1:2" x14ac:dyDescent="0.2">
      <c r="B19337" t="s">
        <v>1</v>
      </c>
    </row>
    <row r="19338" spans="1:2" x14ac:dyDescent="0.2">
      <c r="B19338" t="s">
        <v>8</v>
      </c>
    </row>
    <row r="19340" spans="1:2" x14ac:dyDescent="0.2">
      <c r="A19340" t="s">
        <v>6450</v>
      </c>
      <c r="B19340" t="str">
        <f>HYPERLINK("https://lindat.mff.cuni.cz/services/teitok/pdtc10/index.php?action=vallex&amp;frame=v-w2343f1", "nažrat se (v-w2343f1)")</f>
        <v>nažrat se (v-w2343f1)</v>
      </c>
    </row>
    <row r="19341" spans="1:2" x14ac:dyDescent="0.2">
      <c r="B19341" t="s">
        <v>1</v>
      </c>
    </row>
    <row r="19343" spans="1:2" x14ac:dyDescent="0.2">
      <c r="A19343" t="s">
        <v>6451</v>
      </c>
      <c r="B19343" t="str">
        <f>HYPERLINK("https://lindat.mff.cuni.cz/services/teitok/pdtc10/index.php?action=vallex&amp;frame=v-w2356f30_ZU", "nechat (v-w2356f30_ZU)")</f>
        <v>nechat (v-w2356f30_ZU)</v>
      </c>
    </row>
    <row r="19344" spans="1:2" x14ac:dyDescent="0.2">
      <c r="B19344" t="s">
        <v>1</v>
      </c>
    </row>
    <row r="19345" spans="1:4" x14ac:dyDescent="0.2">
      <c r="B19345" t="s">
        <v>8</v>
      </c>
    </row>
    <row r="19346" spans="1:4" x14ac:dyDescent="0.2">
      <c r="B19346" t="s">
        <v>78</v>
      </c>
    </row>
    <row r="19347" spans="1:4" x14ac:dyDescent="0.2">
      <c r="B19347" t="s">
        <v>413</v>
      </c>
    </row>
    <row r="19349" spans="1:4" x14ac:dyDescent="0.2">
      <c r="A19349" t="s">
        <v>6451</v>
      </c>
      <c r="B19349" t="str">
        <f>HYPERLINK("https://lindat.mff.cuni.cz/services/teitok/pdtc10/index.php?action=vallex&amp;frame=v-w2356f6", "nechat (v-w2356f6) - substituted with v-w2356f30_ZU")</f>
        <v>nechat (v-w2356f6) - substituted with v-w2356f30_ZU</v>
      </c>
    </row>
    <row r="19350" spans="1:4" x14ac:dyDescent="0.2">
      <c r="B19350" t="s">
        <v>1</v>
      </c>
      <c r="C19350" t="s">
        <v>1294</v>
      </c>
      <c r="D19350" t="s">
        <v>23076</v>
      </c>
    </row>
    <row r="19351" spans="1:4" x14ac:dyDescent="0.2">
      <c r="B19351" t="s">
        <v>8</v>
      </c>
      <c r="C19351" t="s">
        <v>318</v>
      </c>
      <c r="D19351" t="s">
        <v>23077</v>
      </c>
    </row>
    <row r="19352" spans="1:4" x14ac:dyDescent="0.2">
      <c r="B19352" t="s">
        <v>78</v>
      </c>
      <c r="C19352" t="s">
        <v>6452</v>
      </c>
      <c r="D19352" t="s">
        <v>23078</v>
      </c>
    </row>
    <row r="19353" spans="1:4" x14ac:dyDescent="0.2">
      <c r="B19353" t="s">
        <v>413</v>
      </c>
    </row>
    <row r="19355" spans="1:4" x14ac:dyDescent="0.2">
      <c r="A19355" t="s">
        <v>6453</v>
      </c>
      <c r="B19355" t="str">
        <f>HYPERLINK("https://lindat.mff.cuni.cz/services/teitok/pdtc10/index.php?action=vallex&amp;frame=v-w2356f8", "nechat (v-w2356f8)")</f>
        <v>nechat (v-w2356f8)</v>
      </c>
    </row>
    <row r="19356" spans="1:4" x14ac:dyDescent="0.2">
      <c r="B19356" t="s">
        <v>1</v>
      </c>
      <c r="C19356" t="s">
        <v>92</v>
      </c>
    </row>
    <row r="19357" spans="1:4" x14ac:dyDescent="0.2">
      <c r="B19357" t="s">
        <v>3526</v>
      </c>
      <c r="C19357" t="s">
        <v>1798</v>
      </c>
    </row>
    <row r="19358" spans="1:4" x14ac:dyDescent="0.2">
      <c r="B19358" t="s">
        <v>6454</v>
      </c>
      <c r="C19358" t="s">
        <v>554</v>
      </c>
    </row>
    <row r="19360" spans="1:4" x14ac:dyDescent="0.2">
      <c r="A19360" t="s">
        <v>6455</v>
      </c>
      <c r="B19360" t="str">
        <f>HYPERLINK("https://lindat.mff.cuni.cz/services/teitok/pdtc10/index.php?action=vallex&amp;frame=v-w2356f7", "nechat (v-w2356f7)")</f>
        <v>nechat (v-w2356f7)</v>
      </c>
    </row>
    <row r="19361" spans="1:3" x14ac:dyDescent="0.2">
      <c r="B19361" t="s">
        <v>1</v>
      </c>
      <c r="C19361" t="s">
        <v>1680</v>
      </c>
    </row>
    <row r="19362" spans="1:3" x14ac:dyDescent="0.2">
      <c r="B19362" t="s">
        <v>8</v>
      </c>
      <c r="C19362" t="s">
        <v>6456</v>
      </c>
    </row>
    <row r="19363" spans="1:3" x14ac:dyDescent="0.2">
      <c r="B19363" t="s">
        <v>78</v>
      </c>
      <c r="C19363" t="s">
        <v>6457</v>
      </c>
    </row>
    <row r="19365" spans="1:3" x14ac:dyDescent="0.2">
      <c r="A19365" t="s">
        <v>6458</v>
      </c>
      <c r="B19365" t="str">
        <f>HYPERLINK("https://lindat.mff.cuni.cz/services/teitok/pdtc10/index.php?action=vallex&amp;frame=v-w2356f14", "nechat (v-w2356f14)")</f>
        <v>nechat (v-w2356f14)</v>
      </c>
    </row>
    <row r="19366" spans="1:3" x14ac:dyDescent="0.2">
      <c r="B19366" t="s">
        <v>1</v>
      </c>
      <c r="C19366" t="s">
        <v>6459</v>
      </c>
    </row>
    <row r="19367" spans="1:3" x14ac:dyDescent="0.2">
      <c r="B19367" t="s">
        <v>8</v>
      </c>
      <c r="C19367" t="s">
        <v>6460</v>
      </c>
    </row>
    <row r="19368" spans="1:3" x14ac:dyDescent="0.2">
      <c r="B19368" t="s">
        <v>6461</v>
      </c>
      <c r="C19368" t="s">
        <v>6462</v>
      </c>
    </row>
    <row r="19370" spans="1:3" x14ac:dyDescent="0.2">
      <c r="A19370" t="s">
        <v>6463</v>
      </c>
      <c r="B19370" t="str">
        <f>HYPERLINK("https://lindat.mff.cuni.cz/services/teitok/pdtc10/index.php?action=vallex&amp;frame=v-w2356f29_ZU", "nechat (v-w2356f29_ZU)")</f>
        <v>nechat (v-w2356f29_ZU)</v>
      </c>
    </row>
    <row r="19371" spans="1:3" x14ac:dyDescent="0.2">
      <c r="B19371" t="s">
        <v>1</v>
      </c>
    </row>
    <row r="19372" spans="1:3" x14ac:dyDescent="0.2">
      <c r="B19372" t="s">
        <v>6464</v>
      </c>
    </row>
    <row r="19373" spans="1:3" x14ac:dyDescent="0.2">
      <c r="B19373" t="s">
        <v>6465</v>
      </c>
    </row>
    <row r="19375" spans="1:3" x14ac:dyDescent="0.2">
      <c r="A19375" t="s">
        <v>6463</v>
      </c>
      <c r="B19375" t="str">
        <f>HYPERLINK("https://lindat.mff.cuni.cz/services/teitok/pdtc10/index.php?action=vallex&amp;frame=v-w2356f19_ZU", "nechat (v-w2356f19_ZU) - substituted with v-w2356f29_ZU")</f>
        <v>nechat (v-w2356f19_ZU) - substituted with v-w2356f29_ZU</v>
      </c>
    </row>
    <row r="19376" spans="1:3" x14ac:dyDescent="0.2">
      <c r="B19376" t="s">
        <v>1</v>
      </c>
      <c r="C19376" t="s">
        <v>6466</v>
      </c>
    </row>
    <row r="19377" spans="1:4" x14ac:dyDescent="0.2">
      <c r="B19377" t="s">
        <v>6464</v>
      </c>
      <c r="C19377" t="s">
        <v>6467</v>
      </c>
    </row>
    <row r="19378" spans="1:4" x14ac:dyDescent="0.2">
      <c r="B19378" t="s">
        <v>6465</v>
      </c>
      <c r="C19378" t="s">
        <v>6468</v>
      </c>
    </row>
    <row r="19380" spans="1:4" x14ac:dyDescent="0.2">
      <c r="A19380" t="s">
        <v>6463</v>
      </c>
      <c r="B19380" t="str">
        <f>HYPERLINK("https://lindat.mff.cuni.cz/services/teitok/pdtc10/index.php?action=vallex&amp;frame=v-w2356f2", "nechat (v-w2356f2) - substituted with v-w2356f29_ZU")</f>
        <v>nechat (v-w2356f2) - substituted with v-w2356f29_ZU</v>
      </c>
    </row>
    <row r="19381" spans="1:4" x14ac:dyDescent="0.2">
      <c r="B19381" t="s">
        <v>1</v>
      </c>
      <c r="C19381" t="s">
        <v>6469</v>
      </c>
    </row>
    <row r="19382" spans="1:4" x14ac:dyDescent="0.2">
      <c r="B19382" t="s">
        <v>6464</v>
      </c>
      <c r="C19382" t="s">
        <v>6470</v>
      </c>
    </row>
    <row r="19383" spans="1:4" x14ac:dyDescent="0.2">
      <c r="B19383" t="s">
        <v>6465</v>
      </c>
      <c r="C19383" t="s">
        <v>6471</v>
      </c>
    </row>
    <row r="19385" spans="1:4" x14ac:dyDescent="0.2">
      <c r="A19385" t="s">
        <v>6463</v>
      </c>
      <c r="B19385" t="str">
        <f>HYPERLINK("https://lindat.mff.cuni.cz/services/teitok/pdtc10/index.php?action=vallex&amp;frame=v-w2356f28_ZU", "nechat (v-w2356f28_ZU) - substituted with v-w2356f29_ZU")</f>
        <v>nechat (v-w2356f28_ZU) - substituted with v-w2356f29_ZU</v>
      </c>
    </row>
    <row r="19386" spans="1:4" x14ac:dyDescent="0.2">
      <c r="B19386" t="s">
        <v>1</v>
      </c>
    </row>
    <row r="19387" spans="1:4" x14ac:dyDescent="0.2">
      <c r="B19387" t="s">
        <v>6464</v>
      </c>
    </row>
    <row r="19388" spans="1:4" x14ac:dyDescent="0.2">
      <c r="B19388" t="s">
        <v>6465</v>
      </c>
    </row>
    <row r="19390" spans="1:4" x14ac:dyDescent="0.2">
      <c r="A19390" t="s">
        <v>6463</v>
      </c>
      <c r="B19390" t="str">
        <f>HYPERLINK("https://lindat.mff.cuni.cz/services/teitok/pdtc10/index.php?action=vallex&amp;frame=v-w2356hsa_327", "nechat (v-w2356hsa_327) - substituted with v-w2356f29_ZU")</f>
        <v>nechat (v-w2356hsa_327) - substituted with v-w2356f29_ZU</v>
      </c>
    </row>
    <row r="19391" spans="1:4" x14ac:dyDescent="0.2">
      <c r="B19391" t="s">
        <v>1</v>
      </c>
      <c r="C19391" t="s">
        <v>3580</v>
      </c>
      <c r="D19391" t="s">
        <v>23225</v>
      </c>
    </row>
    <row r="19392" spans="1:4" x14ac:dyDescent="0.2">
      <c r="B19392" t="s">
        <v>6464</v>
      </c>
      <c r="C19392" t="s">
        <v>6472</v>
      </c>
      <c r="D19392" t="s">
        <v>23596</v>
      </c>
    </row>
    <row r="19393" spans="1:4" x14ac:dyDescent="0.2">
      <c r="B19393" t="s">
        <v>6465</v>
      </c>
      <c r="C19393" t="s">
        <v>6473</v>
      </c>
      <c r="D19393" t="s">
        <v>23597</v>
      </c>
    </row>
    <row r="19395" spans="1:4" x14ac:dyDescent="0.2">
      <c r="A19395" t="s">
        <v>6474</v>
      </c>
      <c r="B19395" t="str">
        <f>HYPERLINK("https://lindat.mff.cuni.cz/services/teitok/pdtc10/index.php?action=vallex&amp;frame=v-w2356f3", "nechat (v-w2356f3)")</f>
        <v>nechat (v-w2356f3)</v>
      </c>
    </row>
    <row r="19396" spans="1:4" x14ac:dyDescent="0.2">
      <c r="B19396" t="s">
        <v>1</v>
      </c>
      <c r="C19396" t="s">
        <v>3590</v>
      </c>
    </row>
    <row r="19397" spans="1:4" x14ac:dyDescent="0.2">
      <c r="B19397" t="s">
        <v>8</v>
      </c>
      <c r="C19397" t="s">
        <v>6475</v>
      </c>
    </row>
    <row r="19398" spans="1:4" x14ac:dyDescent="0.2">
      <c r="B19398" t="s">
        <v>5</v>
      </c>
      <c r="C19398" t="s">
        <v>6476</v>
      </c>
    </row>
    <row r="19400" spans="1:4" x14ac:dyDescent="0.2">
      <c r="A19400" t="s">
        <v>6477</v>
      </c>
      <c r="B19400" t="str">
        <f>HYPERLINK("https://lindat.mff.cuni.cz/services/teitok/pdtc10/index.php?action=vallex&amp;frame=v-w2356f26_ZU", "nechat (v-w2356f26_ZU)")</f>
        <v>nechat (v-w2356f26_ZU)</v>
      </c>
    </row>
    <row r="19401" spans="1:4" x14ac:dyDescent="0.2">
      <c r="B19401" t="s">
        <v>1</v>
      </c>
    </row>
    <row r="19402" spans="1:4" x14ac:dyDescent="0.2">
      <c r="B19402" t="s">
        <v>8</v>
      </c>
    </row>
    <row r="19403" spans="1:4" x14ac:dyDescent="0.2">
      <c r="B19403" t="s">
        <v>6478</v>
      </c>
    </row>
    <row r="19404" spans="1:4" x14ac:dyDescent="0.2">
      <c r="B19404" t="s">
        <v>6479</v>
      </c>
    </row>
    <row r="19405" spans="1:4" x14ac:dyDescent="0.2">
      <c r="B19405" t="s">
        <v>4836</v>
      </c>
    </row>
    <row r="19407" spans="1:4" x14ac:dyDescent="0.2">
      <c r="A19407" t="s">
        <v>6477</v>
      </c>
      <c r="B19407" t="str">
        <f>HYPERLINK("https://lindat.mff.cuni.cz/services/teitok/pdtc10/index.php?action=vallex&amp;frame=v-w2356f16", "nechat (v-w2356f16) - substituted with v-w2356f26_ZU")</f>
        <v>nechat (v-w2356f16) - substituted with v-w2356f26_ZU</v>
      </c>
    </row>
    <row r="19408" spans="1:4" x14ac:dyDescent="0.2">
      <c r="B19408" t="s">
        <v>1</v>
      </c>
    </row>
    <row r="19409" spans="1:4" x14ac:dyDescent="0.2">
      <c r="B19409" t="s">
        <v>8</v>
      </c>
    </row>
    <row r="19410" spans="1:4" x14ac:dyDescent="0.2">
      <c r="B19410" t="s">
        <v>6478</v>
      </c>
    </row>
    <row r="19411" spans="1:4" x14ac:dyDescent="0.2">
      <c r="B19411" t="s">
        <v>6479</v>
      </c>
    </row>
    <row r="19412" spans="1:4" x14ac:dyDescent="0.2">
      <c r="B19412" t="s">
        <v>4836</v>
      </c>
    </row>
    <row r="19414" spans="1:4" x14ac:dyDescent="0.2">
      <c r="A19414" t="s">
        <v>6477</v>
      </c>
      <c r="B19414" t="str">
        <f>HYPERLINK("https://lindat.mff.cuni.cz/services/teitok/pdtc10/index.php?action=vallex&amp;frame=v-w2356f25_ZU", "nechat (v-w2356f25_ZU) - substituted with v-w2356f26_ZU")</f>
        <v>nechat (v-w2356f25_ZU) - substituted with v-w2356f26_ZU</v>
      </c>
    </row>
    <row r="19415" spans="1:4" x14ac:dyDescent="0.2">
      <c r="B19415" t="s">
        <v>1</v>
      </c>
      <c r="C19415" t="s">
        <v>2400</v>
      </c>
    </row>
    <row r="19416" spans="1:4" x14ac:dyDescent="0.2">
      <c r="B19416" t="s">
        <v>8</v>
      </c>
      <c r="C19416" t="s">
        <v>2747</v>
      </c>
    </row>
    <row r="19417" spans="1:4" x14ac:dyDescent="0.2">
      <c r="B19417" t="s">
        <v>6478</v>
      </c>
    </row>
    <row r="19418" spans="1:4" x14ac:dyDescent="0.2">
      <c r="B19418" t="s">
        <v>6479</v>
      </c>
    </row>
    <row r="19419" spans="1:4" x14ac:dyDescent="0.2">
      <c r="B19419" t="s">
        <v>4836</v>
      </c>
    </row>
    <row r="19421" spans="1:4" x14ac:dyDescent="0.2">
      <c r="A19421" t="s">
        <v>6480</v>
      </c>
      <c r="B19421" t="str">
        <f>HYPERLINK("https://lindat.mff.cuni.cz/services/teitok/pdtc10/index.php?action=vallex&amp;frame=v-w2356f5", "nechat (v-w2356f5)")</f>
        <v>nechat (v-w2356f5)</v>
      </c>
    </row>
    <row r="19422" spans="1:4" x14ac:dyDescent="0.2">
      <c r="B19422" t="s">
        <v>1</v>
      </c>
      <c r="C19422" t="s">
        <v>334</v>
      </c>
      <c r="D19422" t="s">
        <v>23598</v>
      </c>
    </row>
    <row r="19423" spans="1:4" x14ac:dyDescent="0.2">
      <c r="B19423" t="s">
        <v>968</v>
      </c>
      <c r="D19423" t="s">
        <v>23599</v>
      </c>
    </row>
    <row r="19425" spans="1:4" x14ac:dyDescent="0.2">
      <c r="A19425" t="s">
        <v>6481</v>
      </c>
      <c r="B19425" t="str">
        <f>HYPERLINK("https://lindat.mff.cuni.cz/services/teitok/pdtc10/index.php?action=vallex&amp;frame=v-w2356f27_ZU", "nechat (v-w2356f27_ZU)")</f>
        <v>nechat (v-w2356f27_ZU)</v>
      </c>
    </row>
    <row r="19426" spans="1:4" x14ac:dyDescent="0.2">
      <c r="B19426" t="s">
        <v>1</v>
      </c>
    </row>
    <row r="19427" spans="1:4" x14ac:dyDescent="0.2">
      <c r="B19427" t="s">
        <v>557</v>
      </c>
    </row>
    <row r="19429" spans="1:4" x14ac:dyDescent="0.2">
      <c r="A19429" t="s">
        <v>6481</v>
      </c>
      <c r="B19429" t="str">
        <f>HYPERLINK("https://lindat.mff.cuni.cz/services/teitok/pdtc10/index.php?action=vallex&amp;frame=v-w2356f1", "nechat (v-w2356f1) - substituted with v-w2356f27_ZU")</f>
        <v>nechat (v-w2356f1) - substituted with v-w2356f27_ZU</v>
      </c>
    </row>
    <row r="19430" spans="1:4" x14ac:dyDescent="0.2">
      <c r="B19430" t="s">
        <v>1</v>
      </c>
      <c r="C19430" t="s">
        <v>6482</v>
      </c>
      <c r="D19430" t="s">
        <v>154</v>
      </c>
    </row>
    <row r="19431" spans="1:4" x14ac:dyDescent="0.2">
      <c r="B19431" t="s">
        <v>557</v>
      </c>
      <c r="C19431" t="s">
        <v>6483</v>
      </c>
      <c r="D19431" t="s">
        <v>5868</v>
      </c>
    </row>
    <row r="19433" spans="1:4" x14ac:dyDescent="0.2">
      <c r="A19433" t="s">
        <v>6484</v>
      </c>
      <c r="B19433" t="str">
        <f>HYPERLINK("https://lindat.mff.cuni.cz/services/teitok/pdtc10/index.php?action=vallex&amp;frame=v-w2356f21_ZU", "nechat (v-w2356f21_ZU)")</f>
        <v>nechat (v-w2356f21_ZU)</v>
      </c>
    </row>
    <row r="19434" spans="1:4" x14ac:dyDescent="0.2">
      <c r="B19434" t="s">
        <v>1</v>
      </c>
      <c r="C19434" t="s">
        <v>92</v>
      </c>
    </row>
    <row r="19435" spans="1:4" x14ac:dyDescent="0.2">
      <c r="B19435" t="s">
        <v>6485</v>
      </c>
      <c r="C19435" t="s">
        <v>2411</v>
      </c>
    </row>
    <row r="19436" spans="1:4" x14ac:dyDescent="0.2">
      <c r="B19436" t="s">
        <v>8</v>
      </c>
    </row>
    <row r="19437" spans="1:4" x14ac:dyDescent="0.2">
      <c r="B19437" t="s">
        <v>2185</v>
      </c>
    </row>
    <row r="19439" spans="1:4" x14ac:dyDescent="0.2">
      <c r="A19439" t="s">
        <v>6484</v>
      </c>
      <c r="B19439" t="str">
        <f>HYPERLINK("https://lindat.mff.cuni.cz/services/teitok/pdtc10/index.php?action=vallex&amp;frame=v-w2356f17_ZU", "nechat (v-w2356f17_ZU) - substituted with v-w2356f21_ZU")</f>
        <v>nechat (v-w2356f17_ZU) - substituted with v-w2356f21_ZU</v>
      </c>
    </row>
    <row r="19440" spans="1:4" x14ac:dyDescent="0.2">
      <c r="B19440" t="s">
        <v>1</v>
      </c>
    </row>
    <row r="19441" spans="1:2" x14ac:dyDescent="0.2">
      <c r="B19441" t="s">
        <v>6485</v>
      </c>
    </row>
    <row r="19442" spans="1:2" x14ac:dyDescent="0.2">
      <c r="B19442" t="s">
        <v>8</v>
      </c>
    </row>
    <row r="19443" spans="1:2" x14ac:dyDescent="0.2">
      <c r="B19443" t="s">
        <v>2185</v>
      </c>
    </row>
    <row r="19445" spans="1:2" x14ac:dyDescent="0.2">
      <c r="A19445" t="s">
        <v>6484</v>
      </c>
      <c r="B19445" t="str">
        <f>HYPERLINK("https://lindat.mff.cuni.cz/services/teitok/pdtc10/index.php?action=vallex&amp;frame=v-w2356f18_ZU", "nechat (v-w2356f18_ZU) - substituted with v-w2356f21_ZU")</f>
        <v>nechat (v-w2356f18_ZU) - substituted with v-w2356f21_ZU</v>
      </c>
    </row>
    <row r="19446" spans="1:2" x14ac:dyDescent="0.2">
      <c r="B19446" t="s">
        <v>1</v>
      </c>
    </row>
    <row r="19447" spans="1:2" x14ac:dyDescent="0.2">
      <c r="B19447" t="s">
        <v>6485</v>
      </c>
    </row>
    <row r="19448" spans="1:2" x14ac:dyDescent="0.2">
      <c r="B19448" t="s">
        <v>8</v>
      </c>
    </row>
    <row r="19449" spans="1:2" x14ac:dyDescent="0.2">
      <c r="B19449" t="s">
        <v>2185</v>
      </c>
    </row>
    <row r="19451" spans="1:2" x14ac:dyDescent="0.2">
      <c r="A19451" t="s">
        <v>6486</v>
      </c>
      <c r="B19451" t="str">
        <f>HYPERLINK("https://lindat.mff.cuni.cz/services/teitok/pdtc10/index.php?action=vallex&amp;frame=v-w2356f15", "nechat (v-w2356f15)")</f>
        <v>nechat (v-w2356f15)</v>
      </c>
    </row>
    <row r="19452" spans="1:2" x14ac:dyDescent="0.2">
      <c r="B19452" t="s">
        <v>1</v>
      </c>
    </row>
    <row r="19453" spans="1:2" x14ac:dyDescent="0.2">
      <c r="B19453" t="s">
        <v>6487</v>
      </c>
    </row>
    <row r="19454" spans="1:2" x14ac:dyDescent="0.2">
      <c r="B19454" t="s">
        <v>168</v>
      </c>
    </row>
    <row r="19455" spans="1:2" x14ac:dyDescent="0.2">
      <c r="B19455" t="s">
        <v>511</v>
      </c>
    </row>
    <row r="19457" spans="1:3" x14ac:dyDescent="0.2">
      <c r="A19457" t="s">
        <v>6488</v>
      </c>
      <c r="B19457" t="str">
        <f>HYPERLINK("https://lindat.mff.cuni.cz/services/teitok/pdtc10/index.php?action=vallex&amp;frame=v-w2356f11", "nechat (v-w2356f11)")</f>
        <v>nechat (v-w2356f11)</v>
      </c>
    </row>
    <row r="19458" spans="1:3" x14ac:dyDescent="0.2">
      <c r="B19458" t="s">
        <v>1</v>
      </c>
    </row>
    <row r="19459" spans="1:3" x14ac:dyDescent="0.2">
      <c r="B19459" t="s">
        <v>6489</v>
      </c>
    </row>
    <row r="19460" spans="1:3" x14ac:dyDescent="0.2">
      <c r="B19460" t="s">
        <v>8</v>
      </c>
    </row>
    <row r="19462" spans="1:3" x14ac:dyDescent="0.2">
      <c r="A19462" t="s">
        <v>6490</v>
      </c>
      <c r="B19462" t="str">
        <f>HYPERLINK("https://lindat.mff.cuni.cz/services/teitok/pdtc10/index.php?action=vallex&amp;frame=v-w2356f12", "nechat (v-w2356f12)")</f>
        <v>nechat (v-w2356f12)</v>
      </c>
    </row>
    <row r="19463" spans="1:3" x14ac:dyDescent="0.2">
      <c r="B19463" t="s">
        <v>1</v>
      </c>
    </row>
    <row r="19464" spans="1:3" x14ac:dyDescent="0.2">
      <c r="B19464" t="s">
        <v>6491</v>
      </c>
    </row>
    <row r="19465" spans="1:3" x14ac:dyDescent="0.2">
      <c r="B19465" t="s">
        <v>8</v>
      </c>
    </row>
    <row r="19467" spans="1:3" x14ac:dyDescent="0.2">
      <c r="A19467" t="s">
        <v>6492</v>
      </c>
      <c r="B19467" t="str">
        <f>HYPERLINK("https://lindat.mff.cuni.cz/services/teitok/pdtc10/index.php?action=vallex&amp;frame=v-w2356f9", "nechat (v-w2356f9)")</f>
        <v>nechat (v-w2356f9)</v>
      </c>
    </row>
    <row r="19468" spans="1:3" x14ac:dyDescent="0.2">
      <c r="B19468" t="s">
        <v>1</v>
      </c>
      <c r="C19468" t="s">
        <v>2303</v>
      </c>
    </row>
    <row r="19469" spans="1:3" x14ac:dyDescent="0.2">
      <c r="B19469" t="s">
        <v>6493</v>
      </c>
    </row>
    <row r="19470" spans="1:3" x14ac:dyDescent="0.2">
      <c r="B19470" t="s">
        <v>8</v>
      </c>
      <c r="C19470" t="s">
        <v>6494</v>
      </c>
    </row>
    <row r="19472" spans="1:3" x14ac:dyDescent="0.2">
      <c r="A19472" t="s">
        <v>6495</v>
      </c>
      <c r="B19472" t="str">
        <f>HYPERLINK("https://lindat.mff.cuni.cz/services/teitok/pdtc10/index.php?action=vallex&amp;frame=v-w2356f4", "nechat (v-w2356f4)")</f>
        <v>nechat (v-w2356f4)</v>
      </c>
    </row>
    <row r="19473" spans="1:4" x14ac:dyDescent="0.2">
      <c r="B19473" t="s">
        <v>1</v>
      </c>
      <c r="C19473" t="s">
        <v>1504</v>
      </c>
      <c r="D19473" t="s">
        <v>22967</v>
      </c>
    </row>
    <row r="19474" spans="1:4" x14ac:dyDescent="0.2">
      <c r="B19474" t="s">
        <v>2615</v>
      </c>
    </row>
    <row r="19475" spans="1:4" x14ac:dyDescent="0.2">
      <c r="B19475" t="s">
        <v>1684</v>
      </c>
      <c r="C19475" t="s">
        <v>1815</v>
      </c>
      <c r="D19475" t="s">
        <v>22968</v>
      </c>
    </row>
    <row r="19477" spans="1:4" x14ac:dyDescent="0.2">
      <c r="A19477" t="s">
        <v>6496</v>
      </c>
      <c r="B19477" t="str">
        <f>HYPERLINK("https://lindat.mff.cuni.cz/services/teitok/pdtc10/index.php?action=vallex&amp;frame=v-w2356f10", "nechat (v-w2356f10)")</f>
        <v>nechat (v-w2356f10)</v>
      </c>
    </row>
    <row r="19478" spans="1:4" x14ac:dyDescent="0.2">
      <c r="B19478" t="s">
        <v>1</v>
      </c>
      <c r="C19478" t="s">
        <v>4667</v>
      </c>
    </row>
    <row r="19479" spans="1:4" x14ac:dyDescent="0.2">
      <c r="B19479" t="s">
        <v>6497</v>
      </c>
      <c r="C19479" t="s">
        <v>6498</v>
      </c>
    </row>
    <row r="19480" spans="1:4" x14ac:dyDescent="0.2">
      <c r="B19480" t="s">
        <v>41</v>
      </c>
    </row>
    <row r="19482" spans="1:4" x14ac:dyDescent="0.2">
      <c r="A19482" t="s">
        <v>6499</v>
      </c>
      <c r="B19482" t="str">
        <f>HYPERLINK("https://lindat.mff.cuni.cz/services/teitok/pdtc10/index.php?action=vallex&amp;frame=v-w2356f20_ZU", "nechat (v-w2356f20_ZU)")</f>
        <v>nechat (v-w2356f20_ZU)</v>
      </c>
    </row>
    <row r="19483" spans="1:4" x14ac:dyDescent="0.2">
      <c r="B19483" t="s">
        <v>1</v>
      </c>
    </row>
    <row r="19484" spans="1:4" x14ac:dyDescent="0.2">
      <c r="B19484" t="s">
        <v>4432</v>
      </c>
    </row>
    <row r="19485" spans="1:4" x14ac:dyDescent="0.2">
      <c r="B19485" t="s">
        <v>8</v>
      </c>
    </row>
    <row r="19487" spans="1:4" x14ac:dyDescent="0.2">
      <c r="A19487" t="s">
        <v>6500</v>
      </c>
      <c r="B19487" t="str">
        <f>HYPERLINK("https://lindat.mff.cuni.cz/services/teitok/pdtc10/index.php?action=vallex&amp;frame=v-w2356f13", "nechat (v-w2356f13)")</f>
        <v>nechat (v-w2356f13)</v>
      </c>
    </row>
    <row r="19488" spans="1:4" x14ac:dyDescent="0.2">
      <c r="B19488" t="s">
        <v>331</v>
      </c>
    </row>
    <row r="19489" spans="1:3" x14ac:dyDescent="0.2">
      <c r="B19489" t="s">
        <v>6501</v>
      </c>
    </row>
    <row r="19491" spans="1:3" x14ac:dyDescent="0.2">
      <c r="A19491" t="s">
        <v>6502</v>
      </c>
      <c r="B19491" t="str">
        <f>HYPERLINK("https://lindat.mff.cuni.cz/services/teitok/pdtc10/index.php?action=vallex&amp;frame=v-w2356f23_ZU", "nechat (v-w2356f23_ZU)")</f>
        <v>nechat (v-w2356f23_ZU)</v>
      </c>
    </row>
    <row r="19492" spans="1:3" x14ac:dyDescent="0.2">
      <c r="B19492" t="s">
        <v>1</v>
      </c>
      <c r="C19492" t="s">
        <v>1366</v>
      </c>
    </row>
    <row r="19493" spans="1:3" x14ac:dyDescent="0.2">
      <c r="B19493" t="s">
        <v>6503</v>
      </c>
      <c r="C19493" t="s">
        <v>6504</v>
      </c>
    </row>
    <row r="19494" spans="1:3" x14ac:dyDescent="0.2">
      <c r="B19494" t="s">
        <v>103</v>
      </c>
      <c r="C19494" t="s">
        <v>6505</v>
      </c>
    </row>
    <row r="19496" spans="1:3" x14ac:dyDescent="0.2">
      <c r="A19496" t="s">
        <v>6502</v>
      </c>
      <c r="B19496" t="str">
        <f>HYPERLINK("https://lindat.mff.cuni.cz/services/teitok/pdtc10/index.php?action=vallex&amp;frame=v-w2356f22_ZU", "nechat (v-w2356f22_ZU) - substituted with v-w2356f23_ZU")</f>
        <v>nechat (v-w2356f22_ZU) - substituted with v-w2356f23_ZU</v>
      </c>
    </row>
    <row r="19497" spans="1:3" x14ac:dyDescent="0.2">
      <c r="B19497" t="s">
        <v>1</v>
      </c>
      <c r="C19497" t="s">
        <v>1504</v>
      </c>
    </row>
    <row r="19498" spans="1:3" x14ac:dyDescent="0.2">
      <c r="B19498" t="s">
        <v>6503</v>
      </c>
      <c r="C19498" t="s">
        <v>2642</v>
      </c>
    </row>
    <row r="19499" spans="1:3" x14ac:dyDescent="0.2">
      <c r="B19499" t="s">
        <v>103</v>
      </c>
      <c r="C19499" t="s">
        <v>5714</v>
      </c>
    </row>
    <row r="19501" spans="1:3" x14ac:dyDescent="0.2">
      <c r="A19501" t="s">
        <v>6502</v>
      </c>
      <c r="B19501" t="str">
        <f>HYPERLINK("https://lindat.mff.cuni.cz/services/teitok/pdtc10/index.php?action=vallex&amp;frame=v-w2356hsa_330", "nechat (v-w2356hsa_330) - substituted with v-w2356f23_ZU")</f>
        <v>nechat (v-w2356hsa_330) - substituted with v-w2356f23_ZU</v>
      </c>
    </row>
    <row r="19502" spans="1:3" x14ac:dyDescent="0.2">
      <c r="B19502" t="s">
        <v>1</v>
      </c>
    </row>
    <row r="19503" spans="1:3" x14ac:dyDescent="0.2">
      <c r="B19503" t="s">
        <v>6503</v>
      </c>
    </row>
    <row r="19504" spans="1:3" x14ac:dyDescent="0.2">
      <c r="B19504" t="s">
        <v>103</v>
      </c>
    </row>
    <row r="19506" spans="1:3" x14ac:dyDescent="0.2">
      <c r="A19506" t="s">
        <v>6506</v>
      </c>
      <c r="B19506" t="str">
        <f>HYPERLINK("https://lindat.mff.cuni.cz/services/teitok/pdtc10/index.php?action=vallex&amp;frame=v-w2356f24_ZU", "nechat (v-w2356f24_ZU)")</f>
        <v>nechat (v-w2356f24_ZU)</v>
      </c>
    </row>
    <row r="19507" spans="1:3" x14ac:dyDescent="0.2">
      <c r="B19507" t="s">
        <v>1</v>
      </c>
      <c r="C19507" t="s">
        <v>92</v>
      </c>
    </row>
    <row r="19508" spans="1:3" x14ac:dyDescent="0.2">
      <c r="B19508" t="s">
        <v>6507</v>
      </c>
      <c r="C19508" t="s">
        <v>383</v>
      </c>
    </row>
    <row r="19509" spans="1:3" x14ac:dyDescent="0.2">
      <c r="B19509" t="s">
        <v>8</v>
      </c>
      <c r="C19509" t="s">
        <v>969</v>
      </c>
    </row>
    <row r="19511" spans="1:3" x14ac:dyDescent="0.2">
      <c r="A19511" t="s">
        <v>6506</v>
      </c>
      <c r="B19511" t="str">
        <f>HYPERLINK("https://lindat.mff.cuni.cz/services/teitok/pdtc10/index.php?action=vallex&amp;frame=v-w2356hsa_331", "nechat (v-w2356hsa_331) - substituted with v-w2356f24_ZU")</f>
        <v>nechat (v-w2356hsa_331) - substituted with v-w2356f24_ZU</v>
      </c>
    </row>
    <row r="19512" spans="1:3" x14ac:dyDescent="0.2">
      <c r="B19512" t="s">
        <v>1</v>
      </c>
    </row>
    <row r="19513" spans="1:3" x14ac:dyDescent="0.2">
      <c r="B19513" t="s">
        <v>6507</v>
      </c>
    </row>
    <row r="19514" spans="1:3" x14ac:dyDescent="0.2">
      <c r="B19514" t="s">
        <v>8</v>
      </c>
    </row>
    <row r="19516" spans="1:3" x14ac:dyDescent="0.2">
      <c r="A19516" t="s">
        <v>6508</v>
      </c>
      <c r="B19516" t="str">
        <f>HYPERLINK("https://lindat.mff.cuni.cz/services/teitok/pdtc10/index.php?action=vallex&amp;frame=v-w2356f31_MM", "nechat (v-w2356f31_MM)")</f>
        <v>nechat (v-w2356f31_MM)</v>
      </c>
    </row>
    <row r="19517" spans="1:3" x14ac:dyDescent="0.2">
      <c r="B19517" t="s">
        <v>1</v>
      </c>
    </row>
    <row r="19518" spans="1:3" x14ac:dyDescent="0.2">
      <c r="B19518" t="s">
        <v>6509</v>
      </c>
    </row>
    <row r="19519" spans="1:3" x14ac:dyDescent="0.2">
      <c r="B19519" t="s">
        <v>8</v>
      </c>
    </row>
    <row r="19521" spans="1:2" x14ac:dyDescent="0.2">
      <c r="A19521" t="s">
        <v>6510</v>
      </c>
      <c r="B19521" t="str">
        <f>HYPERLINK("https://lindat.mff.cuni.cz/services/teitok/pdtc10/index.php?action=vallex&amp;frame=v-w2356hsa_328", "nechat (v-w2356hsa_328)")</f>
        <v>nechat (v-w2356hsa_328)</v>
      </c>
    </row>
    <row r="19522" spans="1:2" x14ac:dyDescent="0.2">
      <c r="B19522" t="s">
        <v>1</v>
      </c>
    </row>
    <row r="19523" spans="1:2" x14ac:dyDescent="0.2">
      <c r="B19523" t="s">
        <v>8</v>
      </c>
    </row>
    <row r="19524" spans="1:2" x14ac:dyDescent="0.2">
      <c r="B19524" t="s">
        <v>6511</v>
      </c>
    </row>
    <row r="19526" spans="1:2" x14ac:dyDescent="0.2">
      <c r="A19526" t="s">
        <v>6512</v>
      </c>
      <c r="B19526" t="str">
        <f>HYPERLINK("https://lindat.mff.cuni.cz/services/teitok/pdtc10/index.php?action=vallex&amp;frame=v-w2356hsa_329", "nechat (v-w2356hsa_329)")</f>
        <v>nechat (v-w2356hsa_329)</v>
      </c>
    </row>
    <row r="19527" spans="1:2" x14ac:dyDescent="0.2">
      <c r="B19527" t="s">
        <v>1</v>
      </c>
    </row>
    <row r="19528" spans="1:2" x14ac:dyDescent="0.2">
      <c r="B19528" t="s">
        <v>6513</v>
      </c>
    </row>
    <row r="19529" spans="1:2" x14ac:dyDescent="0.2">
      <c r="B19529" t="s">
        <v>8</v>
      </c>
    </row>
    <row r="19531" spans="1:2" x14ac:dyDescent="0.2">
      <c r="A19531" t="s">
        <v>6514</v>
      </c>
      <c r="B19531" t="str">
        <f>HYPERLINK("https://lindat.mff.cuni.cz/services/teitok/pdtc10/index.php?action=vallex&amp;frame=v-w2357f1", "nechat si (v-w2357f1)")</f>
        <v>nechat si (v-w2357f1)</v>
      </c>
    </row>
    <row r="19532" spans="1:2" x14ac:dyDescent="0.2">
      <c r="B19532" t="s">
        <v>1</v>
      </c>
    </row>
    <row r="19533" spans="1:2" x14ac:dyDescent="0.2">
      <c r="B19533" t="s">
        <v>917</v>
      </c>
    </row>
    <row r="19535" spans="1:2" x14ac:dyDescent="0.2">
      <c r="A19535" t="s">
        <v>6515</v>
      </c>
      <c r="B19535" t="str">
        <f>HYPERLINK("https://lindat.mff.cuni.cz/services/teitok/pdtc10/index.php?action=vallex&amp;frame=v-w2357f2_ZU", "nechat si (v-w2357f2_ZU)")</f>
        <v>nechat si (v-w2357f2_ZU)</v>
      </c>
    </row>
    <row r="19536" spans="1:2" x14ac:dyDescent="0.2">
      <c r="B19536" t="s">
        <v>1</v>
      </c>
    </row>
    <row r="19537" spans="1:4" x14ac:dyDescent="0.2">
      <c r="B19537" t="s">
        <v>8</v>
      </c>
    </row>
    <row r="19539" spans="1:4" x14ac:dyDescent="0.2">
      <c r="A19539" t="s">
        <v>6515</v>
      </c>
      <c r="B19539" t="str">
        <f>HYPERLINK("https://lindat.mff.cuni.cz/services/teitok/pdtc10/index.php?action=vallex&amp;frame=v-w2357hsa_820", "nechat si (v-w2357hsa_820) - substituted with v-w2357f2_ZU")</f>
        <v>nechat si (v-w2357hsa_820) - substituted with v-w2357f2_ZU</v>
      </c>
    </row>
    <row r="19540" spans="1:4" x14ac:dyDescent="0.2">
      <c r="B19540" t="s">
        <v>1</v>
      </c>
      <c r="C19540" t="s">
        <v>1524</v>
      </c>
      <c r="D19540" t="s">
        <v>23600</v>
      </c>
    </row>
    <row r="19541" spans="1:4" x14ac:dyDescent="0.2">
      <c r="B19541" t="s">
        <v>8</v>
      </c>
      <c r="C19541" t="s">
        <v>6116</v>
      </c>
      <c r="D19541" t="s">
        <v>21717</v>
      </c>
    </row>
    <row r="19543" spans="1:4" x14ac:dyDescent="0.2">
      <c r="A19543" t="s">
        <v>6516</v>
      </c>
      <c r="B19543" t="str">
        <f>HYPERLINK("https://lindat.mff.cuni.cz/services/teitok/pdtc10/index.php?action=vallex&amp;frame=v-w2358f9", "nechávat (v-w2358f9)")</f>
        <v>nechávat (v-w2358f9)</v>
      </c>
    </row>
    <row r="19544" spans="1:4" x14ac:dyDescent="0.2">
      <c r="B19544" t="s">
        <v>1</v>
      </c>
    </row>
    <row r="19545" spans="1:4" x14ac:dyDescent="0.2">
      <c r="B19545" t="s">
        <v>8</v>
      </c>
    </row>
    <row r="19546" spans="1:4" x14ac:dyDescent="0.2">
      <c r="B19546" t="s">
        <v>78</v>
      </c>
    </row>
    <row r="19547" spans="1:4" x14ac:dyDescent="0.2">
      <c r="B19547" t="s">
        <v>413</v>
      </c>
    </row>
    <row r="19549" spans="1:4" x14ac:dyDescent="0.2">
      <c r="A19549" t="s">
        <v>6517</v>
      </c>
      <c r="B19549" t="str">
        <f>HYPERLINK("https://lindat.mff.cuni.cz/services/teitok/pdtc10/index.php?action=vallex&amp;frame=v-w2358f6", "nechávat (v-w2358f6)")</f>
        <v>nechávat (v-w2358f6)</v>
      </c>
    </row>
    <row r="19550" spans="1:4" x14ac:dyDescent="0.2">
      <c r="B19550" t="s">
        <v>1</v>
      </c>
    </row>
    <row r="19551" spans="1:4" x14ac:dyDescent="0.2">
      <c r="B19551" t="s">
        <v>3526</v>
      </c>
    </row>
    <row r="19552" spans="1:4" x14ac:dyDescent="0.2">
      <c r="B19552" t="s">
        <v>6454</v>
      </c>
    </row>
    <row r="19554" spans="1:4" x14ac:dyDescent="0.2">
      <c r="A19554" t="s">
        <v>6518</v>
      </c>
      <c r="B19554" t="str">
        <f>HYPERLINK("https://lindat.mff.cuni.cz/services/teitok/pdtc10/index.php?action=vallex&amp;frame=v-w2358f2", "nechávat (v-w2358f2)")</f>
        <v>nechávat (v-w2358f2)</v>
      </c>
    </row>
    <row r="19555" spans="1:4" x14ac:dyDescent="0.2">
      <c r="B19555" t="s">
        <v>1</v>
      </c>
      <c r="C19555" t="s">
        <v>2303</v>
      </c>
    </row>
    <row r="19556" spans="1:4" x14ac:dyDescent="0.2">
      <c r="B19556" t="s">
        <v>8</v>
      </c>
      <c r="C19556" t="s">
        <v>6494</v>
      </c>
    </row>
    <row r="19557" spans="1:4" x14ac:dyDescent="0.2">
      <c r="B19557" t="s">
        <v>35</v>
      </c>
    </row>
    <row r="19559" spans="1:4" x14ac:dyDescent="0.2">
      <c r="A19559" t="s">
        <v>6519</v>
      </c>
      <c r="B19559" t="str">
        <f>HYPERLINK("https://lindat.mff.cuni.cz/services/teitok/pdtc10/index.php?action=vallex&amp;frame=v-w2358hsa_526", "nechávat (v-w2358hsa_526)")</f>
        <v>nechávat (v-w2358hsa_526)</v>
      </c>
    </row>
    <row r="19560" spans="1:4" x14ac:dyDescent="0.2">
      <c r="B19560" t="s">
        <v>1</v>
      </c>
      <c r="C19560" t="s">
        <v>1366</v>
      </c>
      <c r="D19560" t="s">
        <v>23225</v>
      </c>
    </row>
    <row r="19561" spans="1:4" x14ac:dyDescent="0.2">
      <c r="B19561" t="s">
        <v>8</v>
      </c>
      <c r="C19561" t="s">
        <v>6505</v>
      </c>
      <c r="D19561" t="s">
        <v>23596</v>
      </c>
    </row>
    <row r="19562" spans="1:4" x14ac:dyDescent="0.2">
      <c r="B19562" t="s">
        <v>6520</v>
      </c>
      <c r="C19562" t="s">
        <v>6521</v>
      </c>
      <c r="D19562" t="s">
        <v>23597</v>
      </c>
    </row>
    <row r="19564" spans="1:4" x14ac:dyDescent="0.2">
      <c r="A19564" t="s">
        <v>6519</v>
      </c>
      <c r="B19564" t="str">
        <f>HYPERLINK("https://lindat.mff.cuni.cz/services/teitok/pdtc10/index.php?action=vallex&amp;frame=v-w2358f3", "nechávat (v-w2358f3) - substituted with v-w2358hsa_526")</f>
        <v>nechávat (v-w2358f3) - substituted with v-w2358hsa_526</v>
      </c>
    </row>
    <row r="19565" spans="1:4" x14ac:dyDescent="0.2">
      <c r="B19565" t="s">
        <v>1</v>
      </c>
      <c r="C19565" t="s">
        <v>6522</v>
      </c>
    </row>
    <row r="19566" spans="1:4" x14ac:dyDescent="0.2">
      <c r="B19566" t="s">
        <v>8</v>
      </c>
      <c r="C19566" t="s">
        <v>6523</v>
      </c>
    </row>
    <row r="19567" spans="1:4" x14ac:dyDescent="0.2">
      <c r="B19567" t="s">
        <v>6520</v>
      </c>
      <c r="C19567" t="s">
        <v>6524</v>
      </c>
    </row>
    <row r="19569" spans="1:3" x14ac:dyDescent="0.2">
      <c r="A19569" t="s">
        <v>6525</v>
      </c>
      <c r="B19569" t="str">
        <f>HYPERLINK("https://lindat.mff.cuni.cz/services/teitok/pdtc10/index.php?action=vallex&amp;frame=v-w2358f17_ZU", "nechávat (v-w2358f17_ZU)")</f>
        <v>nechávat (v-w2358f17_ZU)</v>
      </c>
    </row>
    <row r="19570" spans="1:3" x14ac:dyDescent="0.2">
      <c r="B19570" t="s">
        <v>1</v>
      </c>
      <c r="C19570" t="s">
        <v>1366</v>
      </c>
    </row>
    <row r="19571" spans="1:3" x14ac:dyDescent="0.2">
      <c r="B19571" t="s">
        <v>8</v>
      </c>
      <c r="C19571" t="s">
        <v>6505</v>
      </c>
    </row>
    <row r="19572" spans="1:3" x14ac:dyDescent="0.2">
      <c r="B19572" t="s">
        <v>6461</v>
      </c>
    </row>
    <row r="19574" spans="1:3" x14ac:dyDescent="0.2">
      <c r="A19574" t="s">
        <v>6525</v>
      </c>
      <c r="B19574" t="str">
        <f>HYPERLINK("https://lindat.mff.cuni.cz/services/teitok/pdtc10/index.php?action=vallex&amp;frame=v-w2358f14_ZU", "nechávat (v-w2358f14_ZU) - substituted with v-w2358f17_ZU")</f>
        <v>nechávat (v-w2358f14_ZU) - substituted with v-w2358f17_ZU</v>
      </c>
    </row>
    <row r="19575" spans="1:3" x14ac:dyDescent="0.2">
      <c r="B19575" t="s">
        <v>1</v>
      </c>
      <c r="C19575" t="s">
        <v>1366</v>
      </c>
    </row>
    <row r="19576" spans="1:3" x14ac:dyDescent="0.2">
      <c r="B19576" t="s">
        <v>8</v>
      </c>
      <c r="C19576" t="s">
        <v>6505</v>
      </c>
    </row>
    <row r="19577" spans="1:3" x14ac:dyDescent="0.2">
      <c r="B19577" t="s">
        <v>6461</v>
      </c>
      <c r="C19577" t="s">
        <v>6521</v>
      </c>
    </row>
    <row r="19579" spans="1:3" x14ac:dyDescent="0.2">
      <c r="A19579" t="s">
        <v>6525</v>
      </c>
      <c r="B19579" t="str">
        <f>HYPERLINK("https://lindat.mff.cuni.cz/services/teitok/pdtc10/index.php?action=vallex&amp;frame=v-w2358f5", "nechávat (v-w2358f5) - substituted with v-w2358f17_ZU")</f>
        <v>nechávat (v-w2358f5) - substituted with v-w2358f17_ZU</v>
      </c>
    </row>
    <row r="19580" spans="1:3" x14ac:dyDescent="0.2">
      <c r="B19580" t="s">
        <v>1</v>
      </c>
      <c r="C19580" t="s">
        <v>1366</v>
      </c>
    </row>
    <row r="19581" spans="1:3" x14ac:dyDescent="0.2">
      <c r="B19581" t="s">
        <v>8</v>
      </c>
      <c r="C19581" t="s">
        <v>6505</v>
      </c>
    </row>
    <row r="19582" spans="1:3" x14ac:dyDescent="0.2">
      <c r="B19582" t="s">
        <v>6461</v>
      </c>
      <c r="C19582" t="s">
        <v>6521</v>
      </c>
    </row>
    <row r="19584" spans="1:3" x14ac:dyDescent="0.2">
      <c r="A19584" t="s">
        <v>6525</v>
      </c>
      <c r="B19584" t="str">
        <f>HYPERLINK("https://lindat.mff.cuni.cz/services/teitok/pdtc10/index.php?action=vallex&amp;frame=v-w2358hsa_525", "nechávat (v-w2358hsa_525) - substituted with v-w2358f17_ZU")</f>
        <v>nechávat (v-w2358hsa_525) - substituted with v-w2358f17_ZU</v>
      </c>
    </row>
    <row r="19585" spans="1:3" x14ac:dyDescent="0.2">
      <c r="B19585" t="s">
        <v>1</v>
      </c>
    </row>
    <row r="19586" spans="1:3" x14ac:dyDescent="0.2">
      <c r="B19586" t="s">
        <v>8</v>
      </c>
    </row>
    <row r="19587" spans="1:3" x14ac:dyDescent="0.2">
      <c r="B19587" t="s">
        <v>6461</v>
      </c>
    </row>
    <row r="19589" spans="1:3" x14ac:dyDescent="0.2">
      <c r="A19589" t="s">
        <v>6526</v>
      </c>
      <c r="B19589" t="str">
        <f>HYPERLINK("https://lindat.mff.cuni.cz/services/teitok/pdtc10/index.php?action=vallex&amp;frame=v-w2358f4", "nechávat (v-w2358f4)")</f>
        <v>nechávat (v-w2358f4)</v>
      </c>
    </row>
    <row r="19590" spans="1:3" x14ac:dyDescent="0.2">
      <c r="B19590" t="s">
        <v>1</v>
      </c>
      <c r="C19590" t="s">
        <v>3255</v>
      </c>
    </row>
    <row r="19591" spans="1:3" x14ac:dyDescent="0.2">
      <c r="B19591" t="s">
        <v>8</v>
      </c>
      <c r="C19591" t="s">
        <v>6527</v>
      </c>
    </row>
    <row r="19592" spans="1:3" x14ac:dyDescent="0.2">
      <c r="B19592" t="s">
        <v>2360</v>
      </c>
      <c r="C19592" t="s">
        <v>6476</v>
      </c>
    </row>
    <row r="19594" spans="1:3" x14ac:dyDescent="0.2">
      <c r="A19594" t="s">
        <v>6528</v>
      </c>
      <c r="B19594" t="str">
        <f>HYPERLINK("https://lindat.mff.cuni.cz/services/teitok/pdtc10/index.php?action=vallex&amp;frame=v-w2358f10", "nechávat (v-w2358f10)")</f>
        <v>nechávat (v-w2358f10)</v>
      </c>
    </row>
    <row r="19595" spans="1:3" x14ac:dyDescent="0.2">
      <c r="B19595" t="s">
        <v>1</v>
      </c>
      <c r="C19595" t="s">
        <v>6529</v>
      </c>
    </row>
    <row r="19596" spans="1:3" x14ac:dyDescent="0.2">
      <c r="B19596" t="s">
        <v>8</v>
      </c>
      <c r="C19596" t="s">
        <v>2747</v>
      </c>
    </row>
    <row r="19597" spans="1:3" x14ac:dyDescent="0.2">
      <c r="B19597" t="s">
        <v>5</v>
      </c>
      <c r="C19597" t="s">
        <v>6530</v>
      </c>
    </row>
    <row r="19599" spans="1:3" x14ac:dyDescent="0.2">
      <c r="A19599" t="s">
        <v>6531</v>
      </c>
      <c r="B19599" t="str">
        <f>HYPERLINK("https://lindat.mff.cuni.cz/services/teitok/pdtc10/index.php?action=vallex&amp;frame=v-w2358f13_ZU", "nechávat (v-w2358f13_ZU)")</f>
        <v>nechávat (v-w2358f13_ZU)</v>
      </c>
    </row>
    <row r="19600" spans="1:3" x14ac:dyDescent="0.2">
      <c r="B19600" t="s">
        <v>1</v>
      </c>
    </row>
    <row r="19601" spans="1:2" x14ac:dyDescent="0.2">
      <c r="B19601" t="s">
        <v>8</v>
      </c>
    </row>
    <row r="19602" spans="1:2" x14ac:dyDescent="0.2">
      <c r="B19602" t="s">
        <v>6532</v>
      </c>
    </row>
    <row r="19604" spans="1:2" x14ac:dyDescent="0.2">
      <c r="A19604" t="s">
        <v>6533</v>
      </c>
      <c r="B19604" t="str">
        <f>HYPERLINK("https://lindat.mff.cuni.cz/services/teitok/pdtc10/index.php?action=vallex&amp;frame=v-w2358f12_ZU", "nechávat (v-w2358f12_ZU)")</f>
        <v>nechávat (v-w2358f12_ZU)</v>
      </c>
    </row>
    <row r="19605" spans="1:2" x14ac:dyDescent="0.2">
      <c r="B19605" t="s">
        <v>1</v>
      </c>
    </row>
    <row r="19606" spans="1:2" x14ac:dyDescent="0.2">
      <c r="B19606" t="s">
        <v>557</v>
      </c>
    </row>
    <row r="19608" spans="1:2" x14ac:dyDescent="0.2">
      <c r="A19608" t="s">
        <v>6533</v>
      </c>
      <c r="B19608" t="str">
        <f>HYPERLINK("https://lindat.mff.cuni.cz/services/teitok/pdtc10/index.php?action=vallex&amp;frame=v-w2358f1", "nechávat (v-w2358f1) - substituted with v-w2358f12_ZU")</f>
        <v>nechávat (v-w2358f1) - substituted with v-w2358f12_ZU</v>
      </c>
    </row>
    <row r="19609" spans="1:2" x14ac:dyDescent="0.2">
      <c r="B19609" t="s">
        <v>1</v>
      </c>
    </row>
    <row r="19610" spans="1:2" x14ac:dyDescent="0.2">
      <c r="B19610" t="s">
        <v>557</v>
      </c>
    </row>
    <row r="19612" spans="1:2" x14ac:dyDescent="0.2">
      <c r="A19612" t="s">
        <v>6534</v>
      </c>
      <c r="B19612" t="str">
        <f>HYPERLINK("https://lindat.mff.cuni.cz/services/teitok/pdtc10/index.php?action=vallex&amp;frame=v-w2358f7", "nechávat (v-w2358f7)")</f>
        <v>nechávat (v-w2358f7)</v>
      </c>
    </row>
    <row r="19613" spans="1:2" x14ac:dyDescent="0.2">
      <c r="B19613" t="s">
        <v>1</v>
      </c>
    </row>
    <row r="19614" spans="1:2" x14ac:dyDescent="0.2">
      <c r="B19614" t="s">
        <v>6489</v>
      </c>
    </row>
    <row r="19615" spans="1:2" x14ac:dyDescent="0.2">
      <c r="B19615" t="s">
        <v>8</v>
      </c>
    </row>
    <row r="19617" spans="1:4" x14ac:dyDescent="0.2">
      <c r="A19617" t="s">
        <v>6535</v>
      </c>
      <c r="B19617" t="str">
        <f>HYPERLINK("https://lindat.mff.cuni.cz/services/teitok/pdtc10/index.php?action=vallex&amp;frame=v-w2358f8", "nechávat (v-w2358f8)")</f>
        <v>nechávat (v-w2358f8)</v>
      </c>
    </row>
    <row r="19618" spans="1:4" x14ac:dyDescent="0.2">
      <c r="B19618" t="s">
        <v>1</v>
      </c>
    </row>
    <row r="19619" spans="1:4" x14ac:dyDescent="0.2">
      <c r="B19619" t="s">
        <v>6491</v>
      </c>
    </row>
    <row r="19620" spans="1:4" x14ac:dyDescent="0.2">
      <c r="B19620" t="s">
        <v>8</v>
      </c>
    </row>
    <row r="19622" spans="1:4" x14ac:dyDescent="0.2">
      <c r="A19622" t="s">
        <v>6536</v>
      </c>
      <c r="B19622" t="str">
        <f>HYPERLINK("https://lindat.mff.cuni.cz/services/teitok/pdtc10/index.php?action=vallex&amp;frame=v-w2358f11", "nechávat (v-w2358f11)")</f>
        <v>nechávat (v-w2358f11)</v>
      </c>
    </row>
    <row r="19623" spans="1:4" x14ac:dyDescent="0.2">
      <c r="B19623" t="s">
        <v>1</v>
      </c>
      <c r="D19623" t="s">
        <v>22967</v>
      </c>
    </row>
    <row r="19624" spans="1:4" x14ac:dyDescent="0.2">
      <c r="B19624" t="s">
        <v>6537</v>
      </c>
    </row>
    <row r="19625" spans="1:4" x14ac:dyDescent="0.2">
      <c r="B19625" t="s">
        <v>2480</v>
      </c>
      <c r="D19625" t="s">
        <v>22968</v>
      </c>
    </row>
    <row r="19627" spans="1:4" x14ac:dyDescent="0.2">
      <c r="A19627" t="s">
        <v>6538</v>
      </c>
      <c r="B19627" t="str">
        <f>HYPERLINK("https://lindat.mff.cuni.cz/services/teitok/pdtc10/index.php?action=vallex&amp;frame=v-w2358f15_ZU", "nechávat (v-w2358f15_ZU)")</f>
        <v>nechávat (v-w2358f15_ZU)</v>
      </c>
    </row>
    <row r="19628" spans="1:4" x14ac:dyDescent="0.2">
      <c r="B19628" t="s">
        <v>1</v>
      </c>
    </row>
    <row r="19629" spans="1:4" x14ac:dyDescent="0.2">
      <c r="B19629" t="s">
        <v>6539</v>
      </c>
    </row>
    <row r="19630" spans="1:4" x14ac:dyDescent="0.2">
      <c r="B19630" t="s">
        <v>8</v>
      </c>
    </row>
    <row r="19632" spans="1:4" x14ac:dyDescent="0.2">
      <c r="A19632" t="s">
        <v>6538</v>
      </c>
      <c r="B19632" t="str">
        <f>HYPERLINK("https://lindat.mff.cuni.cz/services/teitok/pdtc10/index.php?action=vallex&amp;frame=v-w2358hsa_527", "nechávat (v-w2358hsa_527) - substituted with v-w2358f15_ZU")</f>
        <v>nechávat (v-w2358hsa_527) - substituted with v-w2358f15_ZU</v>
      </c>
    </row>
    <row r="19633" spans="1:2" x14ac:dyDescent="0.2">
      <c r="B19633" t="s">
        <v>1</v>
      </c>
    </row>
    <row r="19634" spans="1:2" x14ac:dyDescent="0.2">
      <c r="B19634" t="s">
        <v>6539</v>
      </c>
    </row>
    <row r="19635" spans="1:2" x14ac:dyDescent="0.2">
      <c r="B19635" t="s">
        <v>8</v>
      </c>
    </row>
    <row r="19637" spans="1:2" x14ac:dyDescent="0.2">
      <c r="A19637" t="s">
        <v>6540</v>
      </c>
      <c r="B19637" t="str">
        <f>HYPERLINK("https://lindat.mff.cuni.cz/services/teitok/pdtc10/index.php?action=vallex&amp;frame=v-w2358f16_ZU", "nechávat (v-w2358f16_ZU)")</f>
        <v>nechávat (v-w2358f16_ZU)</v>
      </c>
    </row>
    <row r="19638" spans="1:2" x14ac:dyDescent="0.2">
      <c r="B19638" t="s">
        <v>1</v>
      </c>
    </row>
    <row r="19639" spans="1:2" x14ac:dyDescent="0.2">
      <c r="B19639" t="s">
        <v>6503</v>
      </c>
    </row>
    <row r="19640" spans="1:2" x14ac:dyDescent="0.2">
      <c r="B19640" t="s">
        <v>103</v>
      </c>
    </row>
    <row r="19642" spans="1:2" x14ac:dyDescent="0.2">
      <c r="A19642" t="s">
        <v>6541</v>
      </c>
      <c r="B19642" t="str">
        <f>HYPERLINK("https://lindat.mff.cuni.cz/services/teitok/pdtc10/index.php?action=vallex&amp;frame=v-w2358hsa_1521", "nechávat (v-w2358hsa_1521)")</f>
        <v>nechávat (v-w2358hsa_1521)</v>
      </c>
    </row>
    <row r="19643" spans="1:2" x14ac:dyDescent="0.2">
      <c r="B19643" t="s">
        <v>1</v>
      </c>
    </row>
    <row r="19644" spans="1:2" x14ac:dyDescent="0.2">
      <c r="B19644" t="s">
        <v>968</v>
      </c>
    </row>
    <row r="19646" spans="1:2" x14ac:dyDescent="0.2">
      <c r="A19646" t="s">
        <v>6542</v>
      </c>
      <c r="B19646" t="str">
        <f>HYPERLINK("https://lindat.mff.cuni.cz/services/teitok/pdtc10/index.php?action=vallex&amp;frame=v-w2359f1", "nechávat si (v-w2359f1)")</f>
        <v>nechávat si (v-w2359f1)</v>
      </c>
    </row>
    <row r="19647" spans="1:2" x14ac:dyDescent="0.2">
      <c r="B19647" t="s">
        <v>1</v>
      </c>
    </row>
    <row r="19648" spans="1:2" x14ac:dyDescent="0.2">
      <c r="B19648" t="s">
        <v>8</v>
      </c>
    </row>
    <row r="19650" spans="1:2" x14ac:dyDescent="0.2">
      <c r="A19650" t="s">
        <v>6543</v>
      </c>
      <c r="B19650" t="str">
        <f>HYPERLINK("https://lindat.mff.cuni.cz/services/teitok/pdtc10/index.php?action=vallex&amp;frame=v-w2359f3_ZU", "nechávat si (v-w2359f3_ZU)")</f>
        <v>nechávat si (v-w2359f3_ZU)</v>
      </c>
    </row>
    <row r="19651" spans="1:2" x14ac:dyDescent="0.2">
      <c r="B19651" t="s">
        <v>1</v>
      </c>
    </row>
    <row r="19652" spans="1:2" x14ac:dyDescent="0.2">
      <c r="B19652" t="s">
        <v>6544</v>
      </c>
    </row>
    <row r="19653" spans="1:2" x14ac:dyDescent="0.2">
      <c r="B19653" t="s">
        <v>161</v>
      </c>
    </row>
    <row r="19655" spans="1:2" x14ac:dyDescent="0.2">
      <c r="A19655" t="s">
        <v>6543</v>
      </c>
      <c r="B19655" t="str">
        <f>HYPERLINK("https://lindat.mff.cuni.cz/services/teitok/pdtc10/index.php?action=vallex&amp;frame=v-w2359f2_ZU", "nechávat si (v-w2359f2_ZU) - substituted with v-w2359f3_ZU")</f>
        <v>nechávat si (v-w2359f2_ZU) - substituted with v-w2359f3_ZU</v>
      </c>
    </row>
    <row r="19656" spans="1:2" x14ac:dyDescent="0.2">
      <c r="B19656" t="s">
        <v>1</v>
      </c>
    </row>
    <row r="19657" spans="1:2" x14ac:dyDescent="0.2">
      <c r="B19657" t="s">
        <v>6544</v>
      </c>
    </row>
    <row r="19658" spans="1:2" x14ac:dyDescent="0.2">
      <c r="B19658" t="s">
        <v>161</v>
      </c>
    </row>
    <row r="19660" spans="1:2" x14ac:dyDescent="0.2">
      <c r="A19660" t="s">
        <v>6543</v>
      </c>
      <c r="B19660" t="str">
        <f>HYPERLINK("https://lindat.mff.cuni.cz/services/teitok/pdtc10/index.php?action=vallex&amp;frame=v-w2359hsa_1403", "nechávat si (v-w2359hsa_1403) - substituted with v-w2359f3_ZU")</f>
        <v>nechávat si (v-w2359hsa_1403) - substituted with v-w2359f3_ZU</v>
      </c>
    </row>
    <row r="19661" spans="1:2" x14ac:dyDescent="0.2">
      <c r="B19661" t="s">
        <v>1</v>
      </c>
    </row>
    <row r="19662" spans="1:2" x14ac:dyDescent="0.2">
      <c r="B19662" t="s">
        <v>6544</v>
      </c>
    </row>
    <row r="19663" spans="1:2" x14ac:dyDescent="0.2">
      <c r="B19663" t="s">
        <v>161</v>
      </c>
    </row>
    <row r="19665" spans="1:4" x14ac:dyDescent="0.2">
      <c r="A19665" t="s">
        <v>6545</v>
      </c>
      <c r="B19665" t="str">
        <f>HYPERLINK("https://lindat.mff.cuni.cz/services/teitok/pdtc10/index.php?action=vallex&amp;frame=v-w2359f4_ZU", "nechávat si (v-w2359f4_ZU)")</f>
        <v>nechávat si (v-w2359f4_ZU)</v>
      </c>
    </row>
    <row r="19666" spans="1:4" x14ac:dyDescent="0.2">
      <c r="B19666" t="s">
        <v>1</v>
      </c>
    </row>
    <row r="19667" spans="1:4" x14ac:dyDescent="0.2">
      <c r="B19667" t="s">
        <v>8</v>
      </c>
    </row>
    <row r="19669" spans="1:4" x14ac:dyDescent="0.2">
      <c r="A19669" t="s">
        <v>6546</v>
      </c>
      <c r="B19669" t="str">
        <f>HYPERLINK("https://lindat.mff.cuni.cz/services/teitok/pdtc10/index.php?action=vallex&amp;frame=v-w2353f1", "negovat (v-w2353f1)")</f>
        <v>negovat (v-w2353f1)</v>
      </c>
    </row>
    <row r="19670" spans="1:4" x14ac:dyDescent="0.2">
      <c r="B19670" t="s">
        <v>1</v>
      </c>
      <c r="D19670" t="s">
        <v>109</v>
      </c>
    </row>
    <row r="19671" spans="1:4" x14ac:dyDescent="0.2">
      <c r="B19671" t="s">
        <v>124</v>
      </c>
      <c r="D19671" t="s">
        <v>116</v>
      </c>
    </row>
    <row r="19673" spans="1:4" x14ac:dyDescent="0.2">
      <c r="A19673" t="s">
        <v>6547</v>
      </c>
      <c r="B19673" t="str">
        <f>HYPERLINK("https://lindat.mff.cuni.cz/services/teitok/pdtc10/index.php?action=vallex&amp;frame=v-w2366f1", "nenávidět (v-w2366f1)")</f>
        <v>nenávidět (v-w2366f1)</v>
      </c>
    </row>
    <row r="19674" spans="1:4" x14ac:dyDescent="0.2">
      <c r="B19674" t="s">
        <v>1</v>
      </c>
      <c r="C19674" t="s">
        <v>334</v>
      </c>
      <c r="D19674" t="s">
        <v>334</v>
      </c>
    </row>
    <row r="19675" spans="1:4" x14ac:dyDescent="0.2">
      <c r="B19675" t="s">
        <v>41</v>
      </c>
      <c r="C19675" t="s">
        <v>56</v>
      </c>
      <c r="D19675" t="s">
        <v>56</v>
      </c>
    </row>
    <row r="19677" spans="1:4" x14ac:dyDescent="0.2">
      <c r="A19677" t="s">
        <v>6548</v>
      </c>
      <c r="B19677" t="str">
        <f>HYPERLINK("https://lindat.mff.cuni.cz/services/teitok/pdtc10/index.php?action=vallex&amp;frame=v-w2379f1", "nervovat (v-w2379f1)")</f>
        <v>nervovat (v-w2379f1)</v>
      </c>
    </row>
    <row r="19678" spans="1:4" x14ac:dyDescent="0.2">
      <c r="B19678" t="s">
        <v>1</v>
      </c>
    </row>
    <row r="19679" spans="1:4" x14ac:dyDescent="0.2">
      <c r="B19679" t="s">
        <v>8</v>
      </c>
    </row>
    <row r="19681" spans="1:4" x14ac:dyDescent="0.2">
      <c r="A19681" t="s">
        <v>6549</v>
      </c>
      <c r="B19681" t="str">
        <f>HYPERLINK("https://lindat.mff.cuni.cz/services/teitok/pdtc10/index.php?action=vallex&amp;frame=v-w2383f1", "nesnášet (v-w2383f1)")</f>
        <v>nesnášet (v-w2383f1)</v>
      </c>
    </row>
    <row r="19682" spans="1:4" x14ac:dyDescent="0.2">
      <c r="B19682" t="s">
        <v>1</v>
      </c>
    </row>
    <row r="19683" spans="1:4" x14ac:dyDescent="0.2">
      <c r="B19683" t="s">
        <v>41</v>
      </c>
    </row>
    <row r="19685" spans="1:4" x14ac:dyDescent="0.2">
      <c r="A19685" t="s">
        <v>6550</v>
      </c>
      <c r="B19685" t="str">
        <f>HYPERLINK("https://lindat.mff.cuni.cz/services/teitok/pdtc10/index.php?action=vallex&amp;frame=v-w2396f1", "neutralizovat (v-w2396f1)")</f>
        <v>neutralizovat (v-w2396f1)</v>
      </c>
    </row>
    <row r="19686" spans="1:4" x14ac:dyDescent="0.2">
      <c r="B19686" t="s">
        <v>1</v>
      </c>
      <c r="C19686" t="s">
        <v>3765</v>
      </c>
    </row>
    <row r="19687" spans="1:4" x14ac:dyDescent="0.2">
      <c r="B19687" t="s">
        <v>8</v>
      </c>
      <c r="C19687" t="s">
        <v>1109</v>
      </c>
    </row>
    <row r="19689" spans="1:4" x14ac:dyDescent="0.2">
      <c r="A19689" t="s">
        <v>6551</v>
      </c>
      <c r="B19689" t="str">
        <f>HYPERLINK("https://lindat.mff.cuni.cz/services/teitok/pdtc10/index.php?action=vallex&amp;frame=v-whsa_550hsa_551", "nimrat se (v-whsa_550hsa_551)")</f>
        <v>nimrat se (v-whsa_550hsa_551)</v>
      </c>
    </row>
    <row r="19690" spans="1:4" x14ac:dyDescent="0.2">
      <c r="B19690" t="s">
        <v>1</v>
      </c>
      <c r="C19690" t="s">
        <v>140</v>
      </c>
    </row>
    <row r="19691" spans="1:4" x14ac:dyDescent="0.2">
      <c r="B19691" t="s">
        <v>290</v>
      </c>
      <c r="C19691" t="s">
        <v>113</v>
      </c>
    </row>
    <row r="19693" spans="1:4" x14ac:dyDescent="0.2">
      <c r="A19693" t="s">
        <v>6552</v>
      </c>
      <c r="B19693" t="str">
        <f>HYPERLINK("https://lindat.mff.cuni.cz/services/teitok/pdtc10/index.php?action=vallex&amp;frame=v-w2406f1", "ničit (v-w2406f1)")</f>
        <v>ničit (v-w2406f1)</v>
      </c>
    </row>
    <row r="19694" spans="1:4" x14ac:dyDescent="0.2">
      <c r="B19694" t="s">
        <v>1</v>
      </c>
      <c r="C19694" t="s">
        <v>6553</v>
      </c>
      <c r="D19694" t="s">
        <v>23088</v>
      </c>
    </row>
    <row r="19695" spans="1:4" x14ac:dyDescent="0.2">
      <c r="B19695" t="s">
        <v>172</v>
      </c>
      <c r="C19695" t="s">
        <v>6554</v>
      </c>
      <c r="D19695" t="s">
        <v>986</v>
      </c>
    </row>
    <row r="19697" spans="1:4" x14ac:dyDescent="0.2">
      <c r="A19697" t="s">
        <v>6555</v>
      </c>
      <c r="B19697" t="str">
        <f>HYPERLINK("https://lindat.mff.cuni.cz/services/teitok/pdtc10/index.php?action=vallex&amp;frame=v-w2408f1", "nocovat (v-w2408f1)")</f>
        <v>nocovat (v-w2408f1)</v>
      </c>
    </row>
    <row r="19698" spans="1:4" x14ac:dyDescent="0.2">
      <c r="B19698" t="s">
        <v>1</v>
      </c>
    </row>
    <row r="19699" spans="1:4" x14ac:dyDescent="0.2">
      <c r="B19699" t="s">
        <v>5</v>
      </c>
    </row>
    <row r="19701" spans="1:4" x14ac:dyDescent="0.2">
      <c r="A19701" t="s">
        <v>6556</v>
      </c>
      <c r="B19701" t="str">
        <f>HYPERLINK("https://lindat.mff.cuni.cz/services/teitok/pdtc10/index.php?action=vallex&amp;frame=v-w2411f1", "nominovat (v-w2411f1)")</f>
        <v>nominovat (v-w2411f1)</v>
      </c>
    </row>
    <row r="19702" spans="1:4" x14ac:dyDescent="0.2">
      <c r="B19702" t="s">
        <v>1</v>
      </c>
      <c r="C19702" t="s">
        <v>249</v>
      </c>
    </row>
    <row r="19703" spans="1:4" x14ac:dyDescent="0.2">
      <c r="B19703" t="s">
        <v>8</v>
      </c>
      <c r="C19703" t="s">
        <v>56</v>
      </c>
    </row>
    <row r="19704" spans="1:4" x14ac:dyDescent="0.2">
      <c r="B19704" t="s">
        <v>61</v>
      </c>
      <c r="C19704" t="s">
        <v>26</v>
      </c>
    </row>
    <row r="19706" spans="1:4" x14ac:dyDescent="0.2">
      <c r="A19706" t="s">
        <v>6557</v>
      </c>
      <c r="B19706" t="str">
        <f>HYPERLINK("https://lindat.mff.cuni.cz/services/teitok/pdtc10/index.php?action=vallex&amp;frame=v-w2413f1", "normalizovat (v-w2413f1)")</f>
        <v>normalizovat (v-w2413f1)</v>
      </c>
    </row>
    <row r="19707" spans="1:4" x14ac:dyDescent="0.2">
      <c r="B19707" t="s">
        <v>1</v>
      </c>
      <c r="D19707" t="s">
        <v>83</v>
      </c>
    </row>
    <row r="19708" spans="1:4" x14ac:dyDescent="0.2">
      <c r="B19708" t="s">
        <v>8</v>
      </c>
      <c r="D19708" t="s">
        <v>2235</v>
      </c>
    </row>
    <row r="19710" spans="1:4" x14ac:dyDescent="0.2">
      <c r="A19710" t="s">
        <v>6558</v>
      </c>
      <c r="B19710" t="str">
        <f>HYPERLINK("https://lindat.mff.cuni.cz/services/teitok/pdtc10/index.php?action=vallex&amp;frame=v-w2415f5_ZU", "nosit (v-w2415f5_ZU)")</f>
        <v>nosit (v-w2415f5_ZU)</v>
      </c>
    </row>
    <row r="19711" spans="1:4" x14ac:dyDescent="0.2">
      <c r="B19711" t="s">
        <v>1</v>
      </c>
    </row>
    <row r="19712" spans="1:4" x14ac:dyDescent="0.2">
      <c r="B19712" t="s">
        <v>8</v>
      </c>
    </row>
    <row r="19713" spans="1:4" x14ac:dyDescent="0.2">
      <c r="B19713" t="s">
        <v>78</v>
      </c>
    </row>
    <row r="19715" spans="1:4" x14ac:dyDescent="0.2">
      <c r="A19715" t="s">
        <v>6558</v>
      </c>
      <c r="B19715" t="str">
        <f>HYPERLINK("https://lindat.mff.cuni.cz/services/teitok/pdtc10/index.php?action=vallex&amp;frame=v-w2415f2", "nosit (v-w2415f2) - substituted with v-w2415f5_ZU")</f>
        <v>nosit (v-w2415f2) - substituted with v-w2415f5_ZU</v>
      </c>
    </row>
    <row r="19716" spans="1:4" x14ac:dyDescent="0.2">
      <c r="B19716" t="s">
        <v>1</v>
      </c>
    </row>
    <row r="19717" spans="1:4" x14ac:dyDescent="0.2">
      <c r="B19717" t="s">
        <v>8</v>
      </c>
    </row>
    <row r="19718" spans="1:4" x14ac:dyDescent="0.2">
      <c r="B19718" t="s">
        <v>78</v>
      </c>
    </row>
    <row r="19720" spans="1:4" x14ac:dyDescent="0.2">
      <c r="A19720" t="s">
        <v>6559</v>
      </c>
      <c r="B19720" t="str">
        <f>HYPERLINK("https://lindat.mff.cuni.cz/services/teitok/pdtc10/index.php?action=vallex&amp;frame=v-w2415f1", "nosit (v-w2415f1)")</f>
        <v>nosit (v-w2415f1)</v>
      </c>
    </row>
    <row r="19721" spans="1:4" x14ac:dyDescent="0.2">
      <c r="B19721" t="s">
        <v>1</v>
      </c>
      <c r="C19721" t="s">
        <v>2125</v>
      </c>
      <c r="D19721" t="s">
        <v>1106</v>
      </c>
    </row>
    <row r="19722" spans="1:4" x14ac:dyDescent="0.2">
      <c r="B19722" t="s">
        <v>8</v>
      </c>
      <c r="C19722" t="s">
        <v>6560</v>
      </c>
      <c r="D19722" t="s">
        <v>1107</v>
      </c>
    </row>
    <row r="19724" spans="1:4" x14ac:dyDescent="0.2">
      <c r="A19724" t="s">
        <v>6561</v>
      </c>
      <c r="B19724" t="str">
        <f>HYPERLINK("https://lindat.mff.cuni.cz/services/teitok/pdtc10/index.php?action=vallex&amp;frame=v-w2415f3", "nosit (v-w2415f3)")</f>
        <v>nosit (v-w2415f3)</v>
      </c>
    </row>
    <row r="19725" spans="1:4" x14ac:dyDescent="0.2">
      <c r="B19725" t="s">
        <v>1</v>
      </c>
    </row>
    <row r="19726" spans="1:4" x14ac:dyDescent="0.2">
      <c r="B19726" t="s">
        <v>8</v>
      </c>
    </row>
    <row r="19728" spans="1:4" x14ac:dyDescent="0.2">
      <c r="A19728" t="s">
        <v>6562</v>
      </c>
      <c r="B19728" t="str">
        <f>HYPERLINK("https://lindat.mff.cuni.cz/services/teitok/pdtc10/index.php?action=vallex&amp;frame=v-w2415hsa_920", "nosit (v-w2415hsa_920)")</f>
        <v>nosit (v-w2415hsa_920)</v>
      </c>
    </row>
    <row r="19729" spans="1:4" x14ac:dyDescent="0.2">
      <c r="B19729" t="s">
        <v>1</v>
      </c>
      <c r="C19729" t="s">
        <v>249</v>
      </c>
      <c r="D19729" t="s">
        <v>1649</v>
      </c>
    </row>
    <row r="19730" spans="1:4" x14ac:dyDescent="0.2">
      <c r="B19730" t="s">
        <v>8</v>
      </c>
      <c r="C19730" t="s">
        <v>1340</v>
      </c>
      <c r="D19730" t="s">
        <v>23601</v>
      </c>
    </row>
    <row r="19732" spans="1:4" x14ac:dyDescent="0.2">
      <c r="A19732" t="s">
        <v>6563</v>
      </c>
      <c r="B19732" t="str">
        <f>HYPERLINK("https://lindat.mff.cuni.cz/services/teitok/pdtc10/index.php?action=vallex&amp;frame=v-w2415f4_ZU", "nosit (v-w2415f4_ZU)")</f>
        <v>nosit (v-w2415f4_ZU)</v>
      </c>
    </row>
    <row r="19733" spans="1:4" x14ac:dyDescent="0.2">
      <c r="B19733" t="s">
        <v>1</v>
      </c>
    </row>
    <row r="19734" spans="1:4" x14ac:dyDescent="0.2">
      <c r="B19734" t="s">
        <v>8</v>
      </c>
    </row>
    <row r="19736" spans="1:4" x14ac:dyDescent="0.2">
      <c r="A19736" t="s">
        <v>6564</v>
      </c>
      <c r="B19736" t="str">
        <f>HYPERLINK("https://lindat.mff.cuni.cz/services/teitok/pdtc10/index.php?action=vallex&amp;frame=v-whsa_1690hsa_1691", "nosit se (v-whsa_1690hsa_1691)")</f>
        <v>nosit se (v-whsa_1690hsa_1691)</v>
      </c>
    </row>
    <row r="19737" spans="1:4" x14ac:dyDescent="0.2">
      <c r="B19737" t="s">
        <v>1</v>
      </c>
    </row>
    <row r="19739" spans="1:4" x14ac:dyDescent="0.2">
      <c r="A19739" t="s">
        <v>6565</v>
      </c>
      <c r="B19739" t="str">
        <f>HYPERLINK("https://lindat.mff.cuni.cz/services/teitok/pdtc10/index.php?action=vallex&amp;frame=v-w10803f2", "nosívat (v-w10803f2)")</f>
        <v>nosívat (v-w10803f2)</v>
      </c>
    </row>
    <row r="19740" spans="1:4" x14ac:dyDescent="0.2">
      <c r="B19740" t="s">
        <v>1</v>
      </c>
      <c r="C19740" t="s">
        <v>337</v>
      </c>
      <c r="D19740" t="s">
        <v>1106</v>
      </c>
    </row>
    <row r="19741" spans="1:4" x14ac:dyDescent="0.2">
      <c r="B19741" t="s">
        <v>8</v>
      </c>
      <c r="C19741" t="s">
        <v>6566</v>
      </c>
      <c r="D19741" t="s">
        <v>1107</v>
      </c>
    </row>
    <row r="19743" spans="1:4" x14ac:dyDescent="0.2">
      <c r="A19743" t="s">
        <v>6567</v>
      </c>
      <c r="B19743" t="str">
        <f>HYPERLINK("https://lindat.mff.cuni.cz/services/teitok/pdtc10/index.php?action=vallex&amp;frame=v-w10803f3_MM", "nosívat (v-w10803f3_MM)")</f>
        <v>nosívat (v-w10803f3_MM)</v>
      </c>
    </row>
    <row r="19744" spans="1:4" x14ac:dyDescent="0.2">
      <c r="B19744" t="s">
        <v>1</v>
      </c>
    </row>
    <row r="19745" spans="1:4" x14ac:dyDescent="0.2">
      <c r="B19745" t="s">
        <v>8</v>
      </c>
    </row>
    <row r="19746" spans="1:4" x14ac:dyDescent="0.2">
      <c r="B19746" t="s">
        <v>78</v>
      </c>
    </row>
    <row r="19748" spans="1:4" x14ac:dyDescent="0.2">
      <c r="A19748" t="s">
        <v>6568</v>
      </c>
      <c r="B19748" t="str">
        <f>HYPERLINK("https://lindat.mff.cuni.cz/services/teitok/pdtc10/index.php?action=vallex&amp;frame=v-w12049_ZUf1_ZU", "notovat (v-w12049_ZUf1_ZU)")</f>
        <v>notovat (v-w12049_ZUf1_ZU)</v>
      </c>
    </row>
    <row r="19749" spans="1:4" x14ac:dyDescent="0.2">
      <c r="B19749" t="s">
        <v>1</v>
      </c>
    </row>
    <row r="19750" spans="1:4" x14ac:dyDescent="0.2">
      <c r="B19750" t="s">
        <v>103</v>
      </c>
    </row>
    <row r="19752" spans="1:4" x14ac:dyDescent="0.2">
      <c r="A19752" t="s">
        <v>6569</v>
      </c>
      <c r="B19752" t="str">
        <f>HYPERLINK("https://lindat.mff.cuni.cz/services/teitok/pdtc10/index.php?action=vallex&amp;frame=v-w11526_ZUf1_ZU", "notovat si (v-w11526_ZUf1_ZU)")</f>
        <v>notovat si (v-w11526_ZUf1_ZU)</v>
      </c>
    </row>
    <row r="19753" spans="1:4" x14ac:dyDescent="0.2">
      <c r="B19753" t="s">
        <v>1</v>
      </c>
    </row>
    <row r="19754" spans="1:4" x14ac:dyDescent="0.2">
      <c r="B19754" t="s">
        <v>153</v>
      </c>
    </row>
    <row r="19755" spans="1:4" x14ac:dyDescent="0.2">
      <c r="B19755" t="s">
        <v>551</v>
      </c>
    </row>
    <row r="19757" spans="1:4" x14ac:dyDescent="0.2">
      <c r="A19757" t="s">
        <v>6570</v>
      </c>
      <c r="B19757" t="str">
        <f>HYPERLINK("https://lindat.mff.cuni.cz/services/teitok/pdtc10/index.php?action=vallex&amp;frame=v-w2424f1", "novelizovat (v-w2424f1)")</f>
        <v>novelizovat (v-w2424f1)</v>
      </c>
    </row>
    <row r="19758" spans="1:4" x14ac:dyDescent="0.2">
      <c r="B19758" t="s">
        <v>1</v>
      </c>
      <c r="D19758" t="s">
        <v>430</v>
      </c>
    </row>
    <row r="19759" spans="1:4" x14ac:dyDescent="0.2">
      <c r="B19759" t="s">
        <v>41</v>
      </c>
      <c r="D19759" t="s">
        <v>969</v>
      </c>
    </row>
    <row r="19761" spans="1:3" x14ac:dyDescent="0.2">
      <c r="A19761" t="s">
        <v>6571</v>
      </c>
      <c r="B19761" t="str">
        <f>HYPERLINK("https://lindat.mff.cuni.cz/services/teitok/pdtc10/index.php?action=vallex&amp;frame=v-w10301f2", "nořit (v-w10301f2)")</f>
        <v>nořit (v-w10301f2)</v>
      </c>
    </row>
    <row r="19762" spans="1:3" x14ac:dyDescent="0.2">
      <c r="B19762" t="s">
        <v>1</v>
      </c>
    </row>
    <row r="19763" spans="1:3" x14ac:dyDescent="0.2">
      <c r="B19763" t="s">
        <v>8</v>
      </c>
    </row>
    <row r="19764" spans="1:3" x14ac:dyDescent="0.2">
      <c r="B19764" t="s">
        <v>90</v>
      </c>
    </row>
    <row r="19766" spans="1:3" x14ac:dyDescent="0.2">
      <c r="A19766" t="s">
        <v>6572</v>
      </c>
      <c r="B19766" t="str">
        <f>HYPERLINK("https://lindat.mff.cuni.cz/services/teitok/pdtc10/index.php?action=vallex&amp;frame=v-w12297_MMf1_MM", "nudit (v-w12297_MMf1_MM)")</f>
        <v>nudit (v-w12297_MMf1_MM)</v>
      </c>
    </row>
    <row r="19767" spans="1:3" x14ac:dyDescent="0.2">
      <c r="B19767" t="s">
        <v>6573</v>
      </c>
    </row>
    <row r="19768" spans="1:3" x14ac:dyDescent="0.2">
      <c r="B19768" t="s">
        <v>8</v>
      </c>
    </row>
    <row r="19770" spans="1:3" x14ac:dyDescent="0.2">
      <c r="A19770" t="s">
        <v>6574</v>
      </c>
      <c r="B19770" t="str">
        <f>HYPERLINK("https://lindat.mff.cuni.cz/services/teitok/pdtc10/index.php?action=vallex&amp;frame=v-w2427f1", "nudit se (v-w2427f1)")</f>
        <v>nudit se (v-w2427f1)</v>
      </c>
    </row>
    <row r="19771" spans="1:3" x14ac:dyDescent="0.2">
      <c r="B19771" t="s">
        <v>1</v>
      </c>
      <c r="C19771" t="s">
        <v>147</v>
      </c>
    </row>
    <row r="19773" spans="1:3" x14ac:dyDescent="0.2">
      <c r="A19773" t="s">
        <v>6575</v>
      </c>
      <c r="B19773" t="str">
        <f>HYPERLINK("https://lindat.mff.cuni.cz/services/teitok/pdtc10/index.php?action=vallex&amp;frame=v-w2427f2_ZU", "nudit se (v-w2427f2_ZU)")</f>
        <v>nudit se (v-w2427f2_ZU)</v>
      </c>
    </row>
    <row r="19774" spans="1:3" x14ac:dyDescent="0.2">
      <c r="B19774" t="s">
        <v>516</v>
      </c>
    </row>
    <row r="19775" spans="1:3" x14ac:dyDescent="0.2">
      <c r="B19775" t="s">
        <v>8</v>
      </c>
    </row>
    <row r="19777" spans="1:4" x14ac:dyDescent="0.2">
      <c r="A19777" t="s">
        <v>6576</v>
      </c>
      <c r="B19777" t="str">
        <f>HYPERLINK("https://lindat.mff.cuni.cz/services/teitok/pdtc10/index.php?action=vallex&amp;frame=v-w2428f2", "nutit (v-w2428f2)")</f>
        <v>nutit (v-w2428f2)</v>
      </c>
    </row>
    <row r="19778" spans="1:4" x14ac:dyDescent="0.2">
      <c r="B19778" t="s">
        <v>1</v>
      </c>
    </row>
    <row r="19779" spans="1:4" x14ac:dyDescent="0.2">
      <c r="B19779" t="s">
        <v>124</v>
      </c>
    </row>
    <row r="19780" spans="1:4" x14ac:dyDescent="0.2">
      <c r="B19780" t="s">
        <v>35</v>
      </c>
    </row>
    <row r="19782" spans="1:4" x14ac:dyDescent="0.2">
      <c r="A19782" t="s">
        <v>6577</v>
      </c>
      <c r="B19782" t="str">
        <f>HYPERLINK("https://lindat.mff.cuni.cz/services/teitok/pdtc10/index.php?action=vallex&amp;frame=v-w2428f1", "nutit (v-w2428f1)")</f>
        <v>nutit (v-w2428f1)</v>
      </c>
    </row>
    <row r="19783" spans="1:4" x14ac:dyDescent="0.2">
      <c r="B19783" t="s">
        <v>1</v>
      </c>
      <c r="C19783" t="s">
        <v>6578</v>
      </c>
      <c r="D19783" t="s">
        <v>1992</v>
      </c>
    </row>
    <row r="19784" spans="1:4" x14ac:dyDescent="0.2">
      <c r="B19784" t="s">
        <v>6579</v>
      </c>
      <c r="C19784" t="s">
        <v>6580</v>
      </c>
      <c r="D19784" t="s">
        <v>23096</v>
      </c>
    </row>
    <row r="19785" spans="1:4" x14ac:dyDescent="0.2">
      <c r="B19785" t="s">
        <v>58</v>
      </c>
      <c r="C19785" t="s">
        <v>6581</v>
      </c>
      <c r="D19785" t="s">
        <v>23097</v>
      </c>
    </row>
    <row r="19787" spans="1:4" x14ac:dyDescent="0.2">
      <c r="A19787" t="s">
        <v>6582</v>
      </c>
      <c r="B19787" t="str">
        <f>HYPERLINK("https://lindat.mff.cuni.cz/services/teitok/pdtc10/index.php?action=vallex&amp;frame=v-w12066_ZUf1_ZU", "nádeničit (v-w12066_ZUf1_ZU)")</f>
        <v>nádeničit (v-w12066_ZUf1_ZU)</v>
      </c>
    </row>
    <row r="19788" spans="1:4" x14ac:dyDescent="0.2">
      <c r="B19788" t="s">
        <v>1</v>
      </c>
    </row>
    <row r="19790" spans="1:4" x14ac:dyDescent="0.2">
      <c r="A19790" t="s">
        <v>6583</v>
      </c>
      <c r="B19790" t="str">
        <f>HYPERLINK("https://lindat.mff.cuni.cz/services/teitok/pdtc10/index.php?action=vallex&amp;frame=v-w2086f1", "náležet (v-w2086f1)")</f>
        <v>náležet (v-w2086f1)</v>
      </c>
    </row>
    <row r="19791" spans="1:4" x14ac:dyDescent="0.2">
      <c r="B19791" t="s">
        <v>1</v>
      </c>
      <c r="C19791" t="s">
        <v>6584</v>
      </c>
    </row>
    <row r="19792" spans="1:4" x14ac:dyDescent="0.2">
      <c r="B19792" t="s">
        <v>198</v>
      </c>
      <c r="C19792" t="s">
        <v>6585</v>
      </c>
    </row>
    <row r="19794" spans="1:4" x14ac:dyDescent="0.2">
      <c r="A19794" t="s">
        <v>6586</v>
      </c>
      <c r="B19794" t="str">
        <f>HYPERLINK("https://lindat.mff.cuni.cz/services/teitok/pdtc10/index.php?action=vallex&amp;frame=v-w2086f3", "náležet (v-w2086f3)")</f>
        <v>náležet (v-w2086f3)</v>
      </c>
    </row>
    <row r="19795" spans="1:4" x14ac:dyDescent="0.2">
      <c r="B19795" t="s">
        <v>1</v>
      </c>
      <c r="C19795" t="s">
        <v>22</v>
      </c>
      <c r="D19795" t="s">
        <v>23602</v>
      </c>
    </row>
    <row r="19796" spans="1:4" x14ac:dyDescent="0.2">
      <c r="B19796" t="s">
        <v>90</v>
      </c>
      <c r="D19796" t="s">
        <v>23603</v>
      </c>
    </row>
    <row r="19798" spans="1:4" x14ac:dyDescent="0.2">
      <c r="A19798" t="s">
        <v>6587</v>
      </c>
      <c r="B19798" t="str">
        <f>HYPERLINK("https://lindat.mff.cuni.cz/services/teitok/pdtc10/index.php?action=vallex&amp;frame=v-w2086f2", "náležet (v-w2086f2)")</f>
        <v>náležet (v-w2086f2)</v>
      </c>
    </row>
    <row r="19799" spans="1:4" x14ac:dyDescent="0.2">
      <c r="B19799" t="s">
        <v>455</v>
      </c>
      <c r="C19799" t="s">
        <v>6588</v>
      </c>
    </row>
    <row r="19800" spans="1:4" x14ac:dyDescent="0.2">
      <c r="B19800" t="s">
        <v>6589</v>
      </c>
      <c r="C19800" t="s">
        <v>6590</v>
      </c>
    </row>
    <row r="19802" spans="1:4" x14ac:dyDescent="0.2">
      <c r="A19802" t="s">
        <v>6591</v>
      </c>
      <c r="B19802" t="str">
        <f>HYPERLINK("https://lindat.mff.cuni.cz/services/teitok/pdtc10/index.php?action=vallex&amp;frame=v-w11453f1", "nárokovat si (v-w11453f1)")</f>
        <v>nárokovat si (v-w11453f1)</v>
      </c>
    </row>
    <row r="19803" spans="1:4" x14ac:dyDescent="0.2">
      <c r="B19803" t="s">
        <v>1</v>
      </c>
    </row>
    <row r="19804" spans="1:4" x14ac:dyDescent="0.2">
      <c r="B19804" t="s">
        <v>8</v>
      </c>
    </row>
    <row r="19806" spans="1:4" x14ac:dyDescent="0.2">
      <c r="A19806" t="s">
        <v>6592</v>
      </c>
      <c r="B19806" t="str">
        <f>HYPERLINK("https://lindat.mff.cuni.cz/services/teitok/pdtc10/index.php?action=vallex&amp;frame=v-w2217f2", "následovat (v-w2217f2)")</f>
        <v>následovat (v-w2217f2)</v>
      </c>
    </row>
    <row r="19807" spans="1:4" x14ac:dyDescent="0.2">
      <c r="B19807" t="s">
        <v>1</v>
      </c>
      <c r="C19807" t="s">
        <v>6593</v>
      </c>
      <c r="D19807" t="s">
        <v>23082</v>
      </c>
    </row>
    <row r="19808" spans="1:4" x14ac:dyDescent="0.2">
      <c r="B19808" t="s">
        <v>6594</v>
      </c>
      <c r="C19808" t="s">
        <v>6595</v>
      </c>
      <c r="D19808" t="s">
        <v>1478</v>
      </c>
    </row>
    <row r="19810" spans="1:4" x14ac:dyDescent="0.2">
      <c r="A19810" t="s">
        <v>6596</v>
      </c>
      <c r="B19810" t="str">
        <f>HYPERLINK("https://lindat.mff.cuni.cz/services/teitok/pdtc10/index.php?action=vallex&amp;frame=v-w2217f1", "následovat (v-w2217f1)")</f>
        <v>následovat (v-w2217f1)</v>
      </c>
    </row>
    <row r="19811" spans="1:4" x14ac:dyDescent="0.2">
      <c r="B19811" t="s">
        <v>196</v>
      </c>
      <c r="C19811" t="s">
        <v>6597</v>
      </c>
      <c r="D19811" t="s">
        <v>20771</v>
      </c>
    </row>
    <row r="19813" spans="1:4" x14ac:dyDescent="0.2">
      <c r="A19813" t="s">
        <v>6598</v>
      </c>
      <c r="B19813" t="str">
        <f>HYPERLINK("https://lindat.mff.cuni.cz/services/teitok/pdtc10/index.php?action=vallex&amp;frame=v-w2217f3", "následovat (v-w2217f3)")</f>
        <v>následovat (v-w2217f3)</v>
      </c>
    </row>
    <row r="19814" spans="1:4" x14ac:dyDescent="0.2">
      <c r="B19814" t="s">
        <v>1</v>
      </c>
      <c r="C19814" t="s">
        <v>6599</v>
      </c>
      <c r="D19814" t="s">
        <v>20771</v>
      </c>
    </row>
    <row r="19816" spans="1:4" x14ac:dyDescent="0.2">
      <c r="A19816" t="s">
        <v>6600</v>
      </c>
      <c r="B19816" t="str">
        <f>HYPERLINK("https://lindat.mff.cuni.cz/services/teitok/pdtc10/index.php?action=vallex&amp;frame=v-w2225f1", "násobit (v-w2225f1)")</f>
        <v>násobit (v-w2225f1)</v>
      </c>
    </row>
    <row r="19817" spans="1:4" x14ac:dyDescent="0.2">
      <c r="B19817" t="s">
        <v>1</v>
      </c>
      <c r="C19817" t="s">
        <v>140</v>
      </c>
      <c r="D19817" t="s">
        <v>23604</v>
      </c>
    </row>
    <row r="19818" spans="1:4" x14ac:dyDescent="0.2">
      <c r="B19818" t="s">
        <v>8</v>
      </c>
      <c r="C19818" t="s">
        <v>991</v>
      </c>
      <c r="D19818" t="s">
        <v>155</v>
      </c>
    </row>
    <row r="19820" spans="1:4" x14ac:dyDescent="0.2">
      <c r="A19820" t="s">
        <v>6601</v>
      </c>
      <c r="B19820" t="str">
        <f>HYPERLINK("https://lindat.mff.cuni.cz/services/teitok/pdtc10/index.php?action=vallex&amp;frame=v-w2225f2_ZU", "násobit (v-w2225f2_ZU)")</f>
        <v>násobit (v-w2225f2_ZU)</v>
      </c>
    </row>
    <row r="19821" spans="1:4" x14ac:dyDescent="0.2">
      <c r="B19821" t="s">
        <v>1</v>
      </c>
    </row>
    <row r="19822" spans="1:4" x14ac:dyDescent="0.2">
      <c r="B19822" t="s">
        <v>8</v>
      </c>
    </row>
    <row r="19823" spans="1:4" x14ac:dyDescent="0.2">
      <c r="B19823" t="s">
        <v>5479</v>
      </c>
    </row>
    <row r="19825" spans="1:4" x14ac:dyDescent="0.2">
      <c r="A19825" t="s">
        <v>6602</v>
      </c>
      <c r="B19825" t="str">
        <f>HYPERLINK("https://lindat.mff.cuni.cz/services/teitok/pdtc10/index.php?action=vallex&amp;frame=v-whsa_604hsa_605", "násobit se (v-whsa_604hsa_605)")</f>
        <v>násobit se (v-whsa_604hsa_605)</v>
      </c>
    </row>
    <row r="19826" spans="1:4" x14ac:dyDescent="0.2">
      <c r="B19826" t="s">
        <v>1</v>
      </c>
      <c r="C19826" t="s">
        <v>186</v>
      </c>
      <c r="D19826" t="s">
        <v>186</v>
      </c>
    </row>
    <row r="19827" spans="1:4" x14ac:dyDescent="0.2">
      <c r="B19827" t="s">
        <v>24</v>
      </c>
    </row>
    <row r="19828" spans="1:4" x14ac:dyDescent="0.2">
      <c r="B19828" t="s">
        <v>46</v>
      </c>
    </row>
    <row r="19830" spans="1:4" x14ac:dyDescent="0.2">
      <c r="A19830" t="s">
        <v>6603</v>
      </c>
      <c r="B19830" t="str">
        <f>HYPERLINK("https://lindat.mff.cuni.cz/services/teitok/pdtc10/index.php?action=vallex&amp;frame=v-w2388f11", "nést (v-w2388f11)")</f>
        <v>nést (v-w2388f11)</v>
      </c>
    </row>
    <row r="19831" spans="1:4" x14ac:dyDescent="0.2">
      <c r="B19831" t="s">
        <v>1</v>
      </c>
    </row>
    <row r="19832" spans="1:4" x14ac:dyDescent="0.2">
      <c r="B19832" t="s">
        <v>8</v>
      </c>
    </row>
    <row r="19833" spans="1:4" x14ac:dyDescent="0.2">
      <c r="B19833" t="s">
        <v>78</v>
      </c>
    </row>
    <row r="19835" spans="1:4" x14ac:dyDescent="0.2">
      <c r="A19835" t="s">
        <v>6604</v>
      </c>
      <c r="B19835" t="str">
        <f>HYPERLINK("https://lindat.mff.cuni.cz/services/teitok/pdtc10/index.php?action=vallex&amp;frame=v-w2388f6", "nést (v-w2388f6)")</f>
        <v>nést (v-w2388f6)</v>
      </c>
    </row>
    <row r="19836" spans="1:4" x14ac:dyDescent="0.2">
      <c r="B19836" t="s">
        <v>1</v>
      </c>
    </row>
    <row r="19837" spans="1:4" x14ac:dyDescent="0.2">
      <c r="B19837" t="s">
        <v>8</v>
      </c>
    </row>
    <row r="19838" spans="1:4" x14ac:dyDescent="0.2">
      <c r="B19838" t="s">
        <v>5</v>
      </c>
    </row>
    <row r="19840" spans="1:4" x14ac:dyDescent="0.2">
      <c r="A19840" t="s">
        <v>6605</v>
      </c>
      <c r="B19840" t="str">
        <f>HYPERLINK("https://lindat.mff.cuni.cz/services/teitok/pdtc10/index.php?action=vallex&amp;frame=v-w2388f14_ZU", "nést (v-w2388f14_ZU)")</f>
        <v>nést (v-w2388f14_ZU)</v>
      </c>
    </row>
    <row r="19841" spans="1:4" x14ac:dyDescent="0.2">
      <c r="B19841" t="s">
        <v>1</v>
      </c>
    </row>
    <row r="19842" spans="1:4" x14ac:dyDescent="0.2">
      <c r="B19842" t="s">
        <v>8</v>
      </c>
    </row>
    <row r="19844" spans="1:4" x14ac:dyDescent="0.2">
      <c r="A19844" t="s">
        <v>6605</v>
      </c>
      <c r="B19844" t="str">
        <f>HYPERLINK("https://lindat.mff.cuni.cz/services/teitok/pdtc10/index.php?action=vallex&amp;frame=v-w2388f2", "nést (v-w2388f2) - substituted with v-w2388f14_ZU")</f>
        <v>nést (v-w2388f2) - substituted with v-w2388f14_ZU</v>
      </c>
    </row>
    <row r="19845" spans="1:4" x14ac:dyDescent="0.2">
      <c r="B19845" t="s">
        <v>1</v>
      </c>
      <c r="C19845" t="s">
        <v>6606</v>
      </c>
      <c r="D19845" t="s">
        <v>1649</v>
      </c>
    </row>
    <row r="19846" spans="1:4" x14ac:dyDescent="0.2">
      <c r="B19846" t="s">
        <v>8</v>
      </c>
      <c r="C19846" t="s">
        <v>6607</v>
      </c>
      <c r="D19846" t="s">
        <v>23601</v>
      </c>
    </row>
    <row r="19848" spans="1:4" x14ac:dyDescent="0.2">
      <c r="A19848" t="s">
        <v>6608</v>
      </c>
      <c r="B19848" t="str">
        <f>HYPERLINK("https://lindat.mff.cuni.cz/services/teitok/pdtc10/index.php?action=vallex&amp;frame=v-w2388f3", "nést (v-w2388f3)")</f>
        <v>nést (v-w2388f3)</v>
      </c>
    </row>
    <row r="19849" spans="1:4" x14ac:dyDescent="0.2">
      <c r="B19849" t="s">
        <v>1</v>
      </c>
    </row>
    <row r="19850" spans="1:4" x14ac:dyDescent="0.2">
      <c r="B19850" t="s">
        <v>8</v>
      </c>
    </row>
    <row r="19852" spans="1:4" x14ac:dyDescent="0.2">
      <c r="A19852" t="s">
        <v>6609</v>
      </c>
      <c r="B19852" t="str">
        <f>HYPERLINK("https://lindat.mff.cuni.cz/services/teitok/pdtc10/index.php?action=vallex&amp;frame=v-w2388f4", "nést (v-w2388f4)")</f>
        <v>nést (v-w2388f4)</v>
      </c>
    </row>
    <row r="19853" spans="1:4" x14ac:dyDescent="0.2">
      <c r="B19853" t="s">
        <v>1</v>
      </c>
      <c r="C19853" t="s">
        <v>6610</v>
      </c>
    </row>
    <row r="19854" spans="1:4" x14ac:dyDescent="0.2">
      <c r="B19854" t="s">
        <v>8</v>
      </c>
      <c r="C19854" t="s">
        <v>6611</v>
      </c>
    </row>
    <row r="19856" spans="1:4" x14ac:dyDescent="0.2">
      <c r="A19856" t="s">
        <v>6612</v>
      </c>
      <c r="B19856" t="str">
        <f>HYPERLINK("https://lindat.mff.cuni.cz/services/teitok/pdtc10/index.php?action=vallex&amp;frame=v-w2388f5", "nést (v-w2388f5)")</f>
        <v>nést (v-w2388f5)</v>
      </c>
    </row>
    <row r="19857" spans="1:2" x14ac:dyDescent="0.2">
      <c r="B19857" t="s">
        <v>1</v>
      </c>
    </row>
    <row r="19858" spans="1:2" x14ac:dyDescent="0.2">
      <c r="B19858" t="s">
        <v>8</v>
      </c>
    </row>
    <row r="19859" spans="1:2" x14ac:dyDescent="0.2">
      <c r="B19859" t="s">
        <v>346</v>
      </c>
    </row>
    <row r="19860" spans="1:2" x14ac:dyDescent="0.2">
      <c r="B19860" t="s">
        <v>349</v>
      </c>
    </row>
    <row r="19861" spans="1:2" x14ac:dyDescent="0.2">
      <c r="B19861" t="s">
        <v>351</v>
      </c>
    </row>
    <row r="19863" spans="1:2" x14ac:dyDescent="0.2">
      <c r="A19863" t="s">
        <v>6613</v>
      </c>
      <c r="B19863" t="str">
        <f>HYPERLINK("https://lindat.mff.cuni.cz/services/teitok/pdtc10/index.php?action=vallex&amp;frame=v-w2388f8", "nést (v-w2388f8)")</f>
        <v>nést (v-w2388f8)</v>
      </c>
    </row>
    <row r="19864" spans="1:2" x14ac:dyDescent="0.2">
      <c r="B19864" t="s">
        <v>1</v>
      </c>
    </row>
    <row r="19865" spans="1:2" x14ac:dyDescent="0.2">
      <c r="B19865" t="s">
        <v>8</v>
      </c>
    </row>
    <row r="19867" spans="1:2" x14ac:dyDescent="0.2">
      <c r="A19867" t="s">
        <v>6614</v>
      </c>
      <c r="B19867" t="str">
        <f>HYPERLINK("https://lindat.mff.cuni.cz/services/teitok/pdtc10/index.php?action=vallex&amp;frame=v-w2388f7", "nést (v-w2388f7)")</f>
        <v>nést (v-w2388f7)</v>
      </c>
    </row>
    <row r="19868" spans="1:2" x14ac:dyDescent="0.2">
      <c r="B19868" t="s">
        <v>1</v>
      </c>
    </row>
    <row r="19869" spans="1:2" x14ac:dyDescent="0.2">
      <c r="B19869" t="s">
        <v>8</v>
      </c>
    </row>
    <row r="19871" spans="1:2" x14ac:dyDescent="0.2">
      <c r="A19871" t="s">
        <v>6615</v>
      </c>
      <c r="B19871" t="str">
        <f>HYPERLINK("https://lindat.mff.cuni.cz/services/teitok/pdtc10/index.php?action=vallex&amp;frame=v-w2388f9", "nést (v-w2388f9)")</f>
        <v>nést (v-w2388f9)</v>
      </c>
    </row>
    <row r="19872" spans="1:2" x14ac:dyDescent="0.2">
      <c r="B19872" t="s">
        <v>1</v>
      </c>
    </row>
    <row r="19873" spans="1:3" x14ac:dyDescent="0.2">
      <c r="B19873" t="s">
        <v>6616</v>
      </c>
    </row>
    <row r="19875" spans="1:3" x14ac:dyDescent="0.2">
      <c r="A19875" t="s">
        <v>6617</v>
      </c>
      <c r="B19875" t="str">
        <f>HYPERLINK("https://lindat.mff.cuni.cz/services/teitok/pdtc10/index.php?action=vallex&amp;frame=v-w2388hsa_732", "nést (v-w2388hsa_732)")</f>
        <v>nést (v-w2388hsa_732)</v>
      </c>
    </row>
    <row r="19876" spans="1:3" x14ac:dyDescent="0.2">
      <c r="B19876" t="s">
        <v>1</v>
      </c>
    </row>
    <row r="19877" spans="1:3" x14ac:dyDescent="0.2">
      <c r="B19877" t="s">
        <v>6618</v>
      </c>
    </row>
    <row r="19879" spans="1:3" x14ac:dyDescent="0.2">
      <c r="A19879" t="s">
        <v>6617</v>
      </c>
      <c r="B19879" t="str">
        <f>HYPERLINK("https://lindat.mff.cuni.cz/services/teitok/pdtc10/index.php?action=vallex&amp;frame=v-w2388f1", "nést (v-w2388f1) - substituted with v-w2388hsa_732")</f>
        <v>nést (v-w2388f1) - substituted with v-w2388hsa_732</v>
      </c>
    </row>
    <row r="19880" spans="1:3" x14ac:dyDescent="0.2">
      <c r="B19880" t="s">
        <v>1</v>
      </c>
      <c r="C19880" t="s">
        <v>6619</v>
      </c>
    </row>
    <row r="19881" spans="1:3" x14ac:dyDescent="0.2">
      <c r="B19881" t="s">
        <v>6618</v>
      </c>
      <c r="C19881" t="s">
        <v>6620</v>
      </c>
    </row>
    <row r="19883" spans="1:3" x14ac:dyDescent="0.2">
      <c r="A19883" t="s">
        <v>6621</v>
      </c>
      <c r="B19883" t="str">
        <f>HYPERLINK("https://lindat.mff.cuni.cz/services/teitok/pdtc10/index.php?action=vallex&amp;frame=v-w2388f12_ZU", "nést (v-w2388f12_ZU)")</f>
        <v>nést (v-w2388f12_ZU)</v>
      </c>
    </row>
    <row r="19884" spans="1:3" x14ac:dyDescent="0.2">
      <c r="B19884" t="s">
        <v>1</v>
      </c>
      <c r="C19884" t="s">
        <v>6622</v>
      </c>
    </row>
    <row r="19885" spans="1:3" x14ac:dyDescent="0.2">
      <c r="B19885" t="s">
        <v>6623</v>
      </c>
    </row>
    <row r="19886" spans="1:3" x14ac:dyDescent="0.2">
      <c r="B19886" t="s">
        <v>8</v>
      </c>
      <c r="C19886" t="s">
        <v>6624</v>
      </c>
    </row>
    <row r="19888" spans="1:3" x14ac:dyDescent="0.2">
      <c r="A19888" t="s">
        <v>6625</v>
      </c>
      <c r="B19888" t="str">
        <f>HYPERLINK("https://lindat.mff.cuni.cz/services/teitok/pdtc10/index.php?action=vallex&amp;frame=v-w2388f10", "nést (v-w2388f10)")</f>
        <v>nést (v-w2388f10)</v>
      </c>
    </row>
    <row r="19889" spans="1:4" x14ac:dyDescent="0.2">
      <c r="B19889" t="s">
        <v>1</v>
      </c>
    </row>
    <row r="19890" spans="1:4" x14ac:dyDescent="0.2">
      <c r="B19890" t="s">
        <v>6626</v>
      </c>
    </row>
    <row r="19892" spans="1:4" x14ac:dyDescent="0.2">
      <c r="A19892" t="s">
        <v>6627</v>
      </c>
      <c r="B19892" t="str">
        <f>HYPERLINK("https://lindat.mff.cuni.cz/services/teitok/pdtc10/index.php?action=vallex&amp;frame=v-w2388f13_ZU", "nést (v-w2388f13_ZU)")</f>
        <v>nést (v-w2388f13_ZU)</v>
      </c>
    </row>
    <row r="19893" spans="1:4" x14ac:dyDescent="0.2">
      <c r="B19893" t="s">
        <v>1</v>
      </c>
      <c r="C19893" t="s">
        <v>33</v>
      </c>
      <c r="D19893" t="s">
        <v>23327</v>
      </c>
    </row>
    <row r="19894" spans="1:4" x14ac:dyDescent="0.2">
      <c r="B19894" t="s">
        <v>6628</v>
      </c>
      <c r="C19894" t="s">
        <v>3062</v>
      </c>
      <c r="D19894" t="s">
        <v>23605</v>
      </c>
    </row>
    <row r="19896" spans="1:4" x14ac:dyDescent="0.2">
      <c r="A19896" t="s">
        <v>6627</v>
      </c>
      <c r="B19896" t="str">
        <f>HYPERLINK("https://lindat.mff.cuni.cz/services/teitok/pdtc10/index.php?action=vallex&amp;frame=v-w2388hsa_733", "nést (v-w2388hsa_733) - substituted with v-w2388f13_ZU")</f>
        <v>nést (v-w2388hsa_733) - substituted with v-w2388f13_ZU</v>
      </c>
    </row>
    <row r="19897" spans="1:4" x14ac:dyDescent="0.2">
      <c r="B19897" t="s">
        <v>1</v>
      </c>
    </row>
    <row r="19898" spans="1:4" x14ac:dyDescent="0.2">
      <c r="B19898" t="s">
        <v>6628</v>
      </c>
    </row>
    <row r="19900" spans="1:4" x14ac:dyDescent="0.2">
      <c r="A19900" t="s">
        <v>6629</v>
      </c>
      <c r="B19900" t="str">
        <f>HYPERLINK("https://lindat.mff.cuni.cz/services/teitok/pdtc10/index.php?action=vallex&amp;frame=v-w2388hsa_1687", "nést (v-w2388hsa_1687)")</f>
        <v>nést (v-w2388hsa_1687)</v>
      </c>
    </row>
    <row r="19901" spans="1:4" x14ac:dyDescent="0.2">
      <c r="B19901" t="s">
        <v>1</v>
      </c>
    </row>
    <row r="19902" spans="1:4" x14ac:dyDescent="0.2">
      <c r="B19902" t="s">
        <v>8</v>
      </c>
    </row>
    <row r="19904" spans="1:4" x14ac:dyDescent="0.2">
      <c r="A19904" t="s">
        <v>6630</v>
      </c>
      <c r="B19904" t="str">
        <f>HYPERLINK("https://lindat.mff.cuni.cz/services/teitok/pdtc10/index.php?action=vallex&amp;frame=v-w2390f4", "nést se (v-w2390f4)")</f>
        <v>nést se (v-w2390f4)</v>
      </c>
    </row>
    <row r="19905" spans="1:2" x14ac:dyDescent="0.2">
      <c r="B19905" t="s">
        <v>1</v>
      </c>
    </row>
    <row r="19906" spans="1:2" x14ac:dyDescent="0.2">
      <c r="B19906" t="s">
        <v>411</v>
      </c>
    </row>
    <row r="19908" spans="1:2" x14ac:dyDescent="0.2">
      <c r="A19908" t="s">
        <v>6631</v>
      </c>
      <c r="B19908" t="str">
        <f>HYPERLINK("https://lindat.mff.cuni.cz/services/teitok/pdtc10/index.php?action=vallex&amp;frame=v-w2390f5_ZU", "nést se (v-w2390f5_ZU)")</f>
        <v>nést se (v-w2390f5_ZU)</v>
      </c>
    </row>
    <row r="19909" spans="1:2" x14ac:dyDescent="0.2">
      <c r="B19909" t="s">
        <v>1</v>
      </c>
    </row>
    <row r="19910" spans="1:2" x14ac:dyDescent="0.2">
      <c r="B19910" t="s">
        <v>3920</v>
      </c>
    </row>
    <row r="19912" spans="1:2" x14ac:dyDescent="0.2">
      <c r="A19912" t="s">
        <v>6632</v>
      </c>
      <c r="B19912" t="str">
        <f>HYPERLINK("https://lindat.mff.cuni.cz/services/teitok/pdtc10/index.php?action=vallex&amp;frame=v-w2390f2", "nést se (v-w2390f2)")</f>
        <v>nést se (v-w2390f2)</v>
      </c>
    </row>
    <row r="19913" spans="1:2" x14ac:dyDescent="0.2">
      <c r="B19913" t="s">
        <v>1</v>
      </c>
    </row>
    <row r="19915" spans="1:2" x14ac:dyDescent="0.2">
      <c r="A19915" t="s">
        <v>6633</v>
      </c>
      <c r="B19915" t="str">
        <f>HYPERLINK("https://lindat.mff.cuni.cz/services/teitok/pdtc10/index.php?action=vallex&amp;frame=v-w2390f3", "nést se (v-w2390f3)")</f>
        <v>nést se (v-w2390f3)</v>
      </c>
    </row>
    <row r="19916" spans="1:2" x14ac:dyDescent="0.2">
      <c r="B19916" t="s">
        <v>1</v>
      </c>
    </row>
    <row r="19918" spans="1:2" x14ac:dyDescent="0.2">
      <c r="A19918" t="s">
        <v>6634</v>
      </c>
      <c r="B19918" t="str">
        <f>HYPERLINK("https://lindat.mff.cuni.cz/services/teitok/pdtc10/index.php?action=vallex&amp;frame=v-w2390f7_ZU", "nést se (v-w2390f7_ZU)")</f>
        <v>nést se (v-w2390f7_ZU)</v>
      </c>
    </row>
    <row r="19919" spans="1:2" x14ac:dyDescent="0.2">
      <c r="B19919" t="s">
        <v>1</v>
      </c>
    </row>
    <row r="19920" spans="1:2" x14ac:dyDescent="0.2">
      <c r="B19920" t="s">
        <v>6635</v>
      </c>
    </row>
    <row r="19921" spans="1:2" x14ac:dyDescent="0.2">
      <c r="B19921" t="s">
        <v>917</v>
      </c>
    </row>
    <row r="19923" spans="1:2" x14ac:dyDescent="0.2">
      <c r="A19923" t="s">
        <v>6634</v>
      </c>
      <c r="B19923" t="str">
        <f>HYPERLINK("https://lindat.mff.cuni.cz/services/teitok/pdtc10/index.php?action=vallex&amp;frame=v-w2390f1", "nést se (v-w2390f1) - substituted with v-w2390f7_ZU")</f>
        <v>nést se (v-w2390f1) - substituted with v-w2390f7_ZU</v>
      </c>
    </row>
    <row r="19924" spans="1:2" x14ac:dyDescent="0.2">
      <c r="B19924" t="s">
        <v>1</v>
      </c>
    </row>
    <row r="19925" spans="1:2" x14ac:dyDescent="0.2">
      <c r="B19925" t="s">
        <v>6635</v>
      </c>
    </row>
    <row r="19926" spans="1:2" x14ac:dyDescent="0.2">
      <c r="B19926" t="s">
        <v>917</v>
      </c>
    </row>
    <row r="19928" spans="1:2" x14ac:dyDescent="0.2">
      <c r="A19928" t="s">
        <v>6634</v>
      </c>
      <c r="B19928" t="str">
        <f>HYPERLINK("https://lindat.mff.cuni.cz/services/teitok/pdtc10/index.php?action=vallex&amp;frame=v-w2390f6_ZU", "nést se (v-w2390f6_ZU) - substituted with v-w2390f7_ZU")</f>
        <v>nést se (v-w2390f6_ZU) - substituted with v-w2390f7_ZU</v>
      </c>
    </row>
    <row r="19929" spans="1:2" x14ac:dyDescent="0.2">
      <c r="B19929" t="s">
        <v>1</v>
      </c>
    </row>
    <row r="19930" spans="1:2" x14ac:dyDescent="0.2">
      <c r="B19930" t="s">
        <v>6635</v>
      </c>
    </row>
    <row r="19931" spans="1:2" x14ac:dyDescent="0.2">
      <c r="B19931" t="s">
        <v>917</v>
      </c>
    </row>
    <row r="19933" spans="1:2" x14ac:dyDescent="0.2">
      <c r="A19933" t="s">
        <v>6636</v>
      </c>
      <c r="B19933" t="str">
        <f>HYPERLINK("https://lindat.mff.cuni.cz/services/teitok/pdtc10/index.php?action=vallex&amp;frame=v-w2407f1", "nítit (v-w2407f1)")</f>
        <v>nítit (v-w2407f1)</v>
      </c>
    </row>
    <row r="19934" spans="1:2" x14ac:dyDescent="0.2">
      <c r="B19934" t="s">
        <v>1</v>
      </c>
    </row>
    <row r="19935" spans="1:2" x14ac:dyDescent="0.2">
      <c r="B19935" t="s">
        <v>8</v>
      </c>
    </row>
    <row r="19937" spans="1:4" x14ac:dyDescent="0.2">
      <c r="A19937" t="s">
        <v>6637</v>
      </c>
      <c r="B19937" t="str">
        <f>HYPERLINK("https://lindat.mff.cuni.cz/services/teitok/pdtc10/index.php?action=vallex&amp;frame=v-w2432f1", "obalamutit (v-w2432f1)")</f>
        <v>obalamutit (v-w2432f1)</v>
      </c>
    </row>
    <row r="19938" spans="1:4" x14ac:dyDescent="0.2">
      <c r="B19938" t="s">
        <v>1</v>
      </c>
      <c r="D19938" t="s">
        <v>140</v>
      </c>
    </row>
    <row r="19939" spans="1:4" x14ac:dyDescent="0.2">
      <c r="B19939" t="s">
        <v>8</v>
      </c>
      <c r="D19939" t="s">
        <v>1331</v>
      </c>
    </row>
    <row r="19941" spans="1:4" x14ac:dyDescent="0.2">
      <c r="A19941" t="s">
        <v>6638</v>
      </c>
      <c r="B19941" t="str">
        <f>HYPERLINK("https://lindat.mff.cuni.cz/services/teitok/pdtc10/index.php?action=vallex&amp;frame=v-w10692f2", "obalit (v-w10692f2)")</f>
        <v>obalit (v-w10692f2)</v>
      </c>
    </row>
    <row r="19942" spans="1:4" x14ac:dyDescent="0.2">
      <c r="B19942" t="s">
        <v>1</v>
      </c>
      <c r="C19942" t="s">
        <v>140</v>
      </c>
      <c r="D19942" t="s">
        <v>20911</v>
      </c>
    </row>
    <row r="19943" spans="1:4" x14ac:dyDescent="0.2">
      <c r="B19943" t="s">
        <v>8</v>
      </c>
      <c r="C19943" t="s">
        <v>113</v>
      </c>
      <c r="D19943" t="s">
        <v>354</v>
      </c>
    </row>
    <row r="19945" spans="1:4" x14ac:dyDescent="0.2">
      <c r="A19945" t="s">
        <v>6639</v>
      </c>
      <c r="B19945" t="str">
        <f>HYPERLINK("https://lindat.mff.cuni.cz/services/teitok/pdtc10/index.php?action=vallex&amp;frame=v-w12121_ZUf2_ZU", "obalovat (v-w12121_ZUf2_ZU)")</f>
        <v>obalovat (v-w12121_ZUf2_ZU)</v>
      </c>
    </row>
    <row r="19946" spans="1:4" x14ac:dyDescent="0.2">
      <c r="B19946" t="s">
        <v>1</v>
      </c>
    </row>
    <row r="19947" spans="1:4" x14ac:dyDescent="0.2">
      <c r="B19947" t="s">
        <v>8</v>
      </c>
    </row>
    <row r="19949" spans="1:4" x14ac:dyDescent="0.2">
      <c r="A19949" t="s">
        <v>6639</v>
      </c>
      <c r="B19949" t="str">
        <f>HYPERLINK("https://lindat.mff.cuni.cz/services/teitok/pdtc10/index.php?action=vallex&amp;frame=v-w12121_ZUf1_ZU", "obalovat (v-w12121_ZUf1_ZU) - substituted with v-w12121_ZUf2_ZU")</f>
        <v>obalovat (v-w12121_ZUf1_ZU) - substituted with v-w12121_ZUf2_ZU</v>
      </c>
    </row>
    <row r="19950" spans="1:4" x14ac:dyDescent="0.2">
      <c r="B19950" t="s">
        <v>1</v>
      </c>
    </row>
    <row r="19951" spans="1:4" x14ac:dyDescent="0.2">
      <c r="B19951" t="s">
        <v>8</v>
      </c>
    </row>
    <row r="19953" spans="1:4" x14ac:dyDescent="0.2">
      <c r="A19953" t="s">
        <v>6640</v>
      </c>
      <c r="B19953" t="str">
        <f>HYPERLINK("https://lindat.mff.cuni.cz/services/teitok/pdtc10/index.php?action=vallex&amp;frame=v-w11376f1", "obalovat se (v-w11376f1)")</f>
        <v>obalovat se (v-w11376f1)</v>
      </c>
    </row>
    <row r="19954" spans="1:4" x14ac:dyDescent="0.2">
      <c r="B19954" t="s">
        <v>1</v>
      </c>
    </row>
    <row r="19955" spans="1:4" x14ac:dyDescent="0.2">
      <c r="B19955" t="s">
        <v>158</v>
      </c>
    </row>
    <row r="19957" spans="1:4" x14ac:dyDescent="0.2">
      <c r="A19957" t="s">
        <v>6641</v>
      </c>
      <c r="B19957" t="str">
        <f>HYPERLINK("https://lindat.mff.cuni.cz/services/teitok/pdtc10/index.php?action=vallex&amp;frame=v-w10588f2", "obarvit (v-w10588f2)")</f>
        <v>obarvit (v-w10588f2)</v>
      </c>
    </row>
    <row r="19958" spans="1:4" x14ac:dyDescent="0.2">
      <c r="B19958" t="s">
        <v>1</v>
      </c>
      <c r="D19958" t="s">
        <v>4110</v>
      </c>
    </row>
    <row r="19959" spans="1:4" x14ac:dyDescent="0.2">
      <c r="B19959" t="s">
        <v>8</v>
      </c>
      <c r="D19959" t="s">
        <v>1264</v>
      </c>
    </row>
    <row r="19961" spans="1:4" x14ac:dyDescent="0.2">
      <c r="A19961" t="s">
        <v>6642</v>
      </c>
      <c r="B19961" t="str">
        <f>HYPERLINK("https://lindat.mff.cuni.cz/services/teitok/pdtc10/index.php?action=vallex&amp;frame=v-w2483f1", "obchodovat (v-w2483f1)")</f>
        <v>obchodovat (v-w2483f1)</v>
      </c>
    </row>
    <row r="19962" spans="1:4" x14ac:dyDescent="0.2">
      <c r="B19962" t="s">
        <v>1</v>
      </c>
      <c r="C19962" t="s">
        <v>6643</v>
      </c>
      <c r="D19962" t="s">
        <v>2353</v>
      </c>
    </row>
    <row r="19963" spans="1:4" x14ac:dyDescent="0.2">
      <c r="B19963" t="s">
        <v>63</v>
      </c>
      <c r="C19963" t="s">
        <v>6644</v>
      </c>
      <c r="D19963" t="s">
        <v>155</v>
      </c>
    </row>
    <row r="19964" spans="1:4" x14ac:dyDescent="0.2">
      <c r="B19964" t="s">
        <v>153</v>
      </c>
      <c r="C19964" t="s">
        <v>6645</v>
      </c>
      <c r="D19964" t="s">
        <v>6645</v>
      </c>
    </row>
    <row r="19966" spans="1:4" x14ac:dyDescent="0.2">
      <c r="A19966" t="s">
        <v>6646</v>
      </c>
      <c r="B19966" t="str">
        <f>HYPERLINK("https://lindat.mff.cuni.cz/services/teitok/pdtc10/index.php?action=vallex&amp;frame=v-w2479f1", "obcházet (v-w2479f1)")</f>
        <v>obcházet (v-w2479f1)</v>
      </c>
    </row>
    <row r="19967" spans="1:4" x14ac:dyDescent="0.2">
      <c r="B19967" t="s">
        <v>1</v>
      </c>
      <c r="C19967" t="s">
        <v>334</v>
      </c>
      <c r="D19967" t="s">
        <v>4807</v>
      </c>
    </row>
    <row r="19968" spans="1:4" x14ac:dyDescent="0.2">
      <c r="B19968" t="s">
        <v>41</v>
      </c>
      <c r="C19968" t="s">
        <v>1025</v>
      </c>
      <c r="D19968" t="s">
        <v>384</v>
      </c>
    </row>
    <row r="19970" spans="1:4" x14ac:dyDescent="0.2">
      <c r="A19970" t="s">
        <v>6647</v>
      </c>
      <c r="B19970" t="str">
        <f>HYPERLINK("https://lindat.mff.cuni.cz/services/teitok/pdtc10/index.php?action=vallex&amp;frame=v-w2479f2", "obcházet (v-w2479f2)")</f>
        <v>obcházet (v-w2479f2)</v>
      </c>
    </row>
    <row r="19971" spans="1:4" x14ac:dyDescent="0.2">
      <c r="B19971" t="s">
        <v>1</v>
      </c>
    </row>
    <row r="19972" spans="1:4" x14ac:dyDescent="0.2">
      <c r="B19972" t="s">
        <v>8</v>
      </c>
    </row>
    <row r="19974" spans="1:4" x14ac:dyDescent="0.2">
      <c r="A19974" t="s">
        <v>6648</v>
      </c>
      <c r="B19974" t="str">
        <f>HYPERLINK("https://lindat.mff.cuni.cz/services/teitok/pdtc10/index.php?action=vallex&amp;frame=v-w2479f3", "obcházet (v-w2479f3)")</f>
        <v>obcházet (v-w2479f3)</v>
      </c>
    </row>
    <row r="19975" spans="1:4" x14ac:dyDescent="0.2">
      <c r="B19975" t="s">
        <v>1</v>
      </c>
    </row>
    <row r="19977" spans="1:4" x14ac:dyDescent="0.2">
      <c r="A19977" t="s">
        <v>6649</v>
      </c>
      <c r="B19977" t="str">
        <f>HYPERLINK("https://lindat.mff.cuni.cz/services/teitok/pdtc10/index.php?action=vallex&amp;frame=v-w2479f4_ZU", "obcházet (v-w2479f4_ZU)")</f>
        <v>obcházet (v-w2479f4_ZU)</v>
      </c>
    </row>
    <row r="19978" spans="1:4" x14ac:dyDescent="0.2">
      <c r="B19978" t="s">
        <v>1</v>
      </c>
    </row>
    <row r="19979" spans="1:4" x14ac:dyDescent="0.2">
      <c r="B19979" t="s">
        <v>8</v>
      </c>
    </row>
    <row r="19981" spans="1:4" x14ac:dyDescent="0.2">
      <c r="A19981" t="s">
        <v>6650</v>
      </c>
      <c r="B19981" t="str">
        <f>HYPERLINK("https://lindat.mff.cuni.cz/services/teitok/pdtc10/index.php?action=vallex&amp;frame=v-w2440f1", "obdarovat (v-w2440f1)")</f>
        <v>obdarovat (v-w2440f1)</v>
      </c>
    </row>
    <row r="19982" spans="1:4" x14ac:dyDescent="0.2">
      <c r="B19982" t="s">
        <v>1</v>
      </c>
      <c r="C19982" t="s">
        <v>115</v>
      </c>
      <c r="D19982" t="s">
        <v>23606</v>
      </c>
    </row>
    <row r="19983" spans="1:4" x14ac:dyDescent="0.2">
      <c r="B19983" t="s">
        <v>8</v>
      </c>
      <c r="C19983" t="s">
        <v>6651</v>
      </c>
      <c r="D19983" t="s">
        <v>23607</v>
      </c>
    </row>
    <row r="19985" spans="1:4" x14ac:dyDescent="0.2">
      <c r="A19985" t="s">
        <v>6652</v>
      </c>
      <c r="B19985" t="str">
        <f>HYPERLINK("https://lindat.mff.cuni.cz/services/teitok/pdtc10/index.php?action=vallex&amp;frame=v-w10957f2", "obdarovávat (v-w10957f2)")</f>
        <v>obdarovávat (v-w10957f2)</v>
      </c>
    </row>
    <row r="19986" spans="1:4" x14ac:dyDescent="0.2">
      <c r="B19986" t="s">
        <v>1</v>
      </c>
      <c r="C19986" t="s">
        <v>115</v>
      </c>
      <c r="D19986" t="s">
        <v>23606</v>
      </c>
    </row>
    <row r="19987" spans="1:4" x14ac:dyDescent="0.2">
      <c r="B19987" t="s">
        <v>8</v>
      </c>
      <c r="C19987" t="s">
        <v>6651</v>
      </c>
      <c r="D19987" t="s">
        <v>23607</v>
      </c>
    </row>
    <row r="19989" spans="1:4" x14ac:dyDescent="0.2">
      <c r="A19989" t="s">
        <v>6653</v>
      </c>
      <c r="B19989" t="str">
        <f>HYPERLINK("https://lindat.mff.cuni.cz/services/teitok/pdtc10/index.php?action=vallex&amp;frame=v-w2443f1", "obdařit (v-w2443f1)")</f>
        <v>obdařit (v-w2443f1)</v>
      </c>
    </row>
    <row r="19990" spans="1:4" x14ac:dyDescent="0.2">
      <c r="B19990" t="s">
        <v>1</v>
      </c>
    </row>
    <row r="19991" spans="1:4" x14ac:dyDescent="0.2">
      <c r="B19991" t="s">
        <v>158</v>
      </c>
    </row>
    <row r="19992" spans="1:4" x14ac:dyDescent="0.2">
      <c r="B19992" t="s">
        <v>58</v>
      </c>
    </row>
    <row r="19994" spans="1:4" x14ac:dyDescent="0.2">
      <c r="A19994" t="s">
        <v>6654</v>
      </c>
      <c r="B19994" t="str">
        <f>HYPERLINK("https://lindat.mff.cuni.cz/services/teitok/pdtc10/index.php?action=vallex&amp;frame=v-w2444f1", "obdařovat (v-w2444f1)")</f>
        <v>obdařovat (v-w2444f1)</v>
      </c>
    </row>
    <row r="19995" spans="1:4" x14ac:dyDescent="0.2">
      <c r="B19995" t="s">
        <v>1</v>
      </c>
    </row>
    <row r="19996" spans="1:4" x14ac:dyDescent="0.2">
      <c r="B19996" t="s">
        <v>158</v>
      </c>
    </row>
    <row r="19997" spans="1:4" x14ac:dyDescent="0.2">
      <c r="B19997" t="s">
        <v>58</v>
      </c>
    </row>
    <row r="19999" spans="1:4" x14ac:dyDescent="0.2">
      <c r="A19999" t="s">
        <v>6655</v>
      </c>
      <c r="B19999" t="str">
        <f>HYPERLINK("https://lindat.mff.cuni.cz/services/teitok/pdtc10/index.php?action=vallex&amp;frame=v-w2447f2_ZU", "obdivovat (v-w2447f2_ZU)")</f>
        <v>obdivovat (v-w2447f2_ZU)</v>
      </c>
    </row>
    <row r="20000" spans="1:4" x14ac:dyDescent="0.2">
      <c r="B20000" t="s">
        <v>1</v>
      </c>
    </row>
    <row r="20001" spans="1:4" x14ac:dyDescent="0.2">
      <c r="B20001" t="s">
        <v>6656</v>
      </c>
    </row>
    <row r="20003" spans="1:4" x14ac:dyDescent="0.2">
      <c r="A20003" t="s">
        <v>6655</v>
      </c>
      <c r="B20003" t="str">
        <f>HYPERLINK("https://lindat.mff.cuni.cz/services/teitok/pdtc10/index.php?action=vallex&amp;frame=v-w2447f1", "obdivovat (v-w2447f1) - substituted with v-w2447f2_ZU")</f>
        <v>obdivovat (v-w2447f1) - substituted with v-w2447f2_ZU</v>
      </c>
    </row>
    <row r="20004" spans="1:4" x14ac:dyDescent="0.2">
      <c r="B20004" t="s">
        <v>1</v>
      </c>
      <c r="C20004" t="s">
        <v>33</v>
      </c>
      <c r="D20004" t="s">
        <v>33</v>
      </c>
    </row>
    <row r="20005" spans="1:4" x14ac:dyDescent="0.2">
      <c r="B20005" t="s">
        <v>6656</v>
      </c>
      <c r="C20005" t="s">
        <v>34</v>
      </c>
      <c r="D20005" t="s">
        <v>34</v>
      </c>
    </row>
    <row r="20007" spans="1:4" x14ac:dyDescent="0.2">
      <c r="A20007" t="s">
        <v>6655</v>
      </c>
      <c r="B20007" t="str">
        <f>HYPERLINK("https://lindat.mff.cuni.cz/services/teitok/pdtc10/index.php?action=vallex&amp;frame=v-w2447hsa_1650", "obdivovat (v-w2447hsa_1650) - substituted with v-w2447f2_ZU")</f>
        <v>obdivovat (v-w2447hsa_1650) - substituted with v-w2447f2_ZU</v>
      </c>
    </row>
    <row r="20008" spans="1:4" x14ac:dyDescent="0.2">
      <c r="B20008" t="s">
        <v>1</v>
      </c>
    </row>
    <row r="20009" spans="1:4" x14ac:dyDescent="0.2">
      <c r="B20009" t="s">
        <v>6656</v>
      </c>
    </row>
    <row r="20011" spans="1:4" x14ac:dyDescent="0.2">
      <c r="A20011" t="s">
        <v>6657</v>
      </c>
      <c r="B20011" t="str">
        <f>HYPERLINK("https://lindat.mff.cuni.cz/services/teitok/pdtc10/index.php?action=vallex&amp;frame=v-w2451f1", "obdržet (v-w2451f1)")</f>
        <v>obdržet (v-w2451f1)</v>
      </c>
    </row>
    <row r="20012" spans="1:4" x14ac:dyDescent="0.2">
      <c r="B20012" t="s">
        <v>1</v>
      </c>
      <c r="C20012" t="s">
        <v>6658</v>
      </c>
      <c r="D20012" t="s">
        <v>23194</v>
      </c>
    </row>
    <row r="20013" spans="1:4" x14ac:dyDescent="0.2">
      <c r="B20013" t="s">
        <v>8</v>
      </c>
      <c r="C20013" t="s">
        <v>6659</v>
      </c>
      <c r="D20013" t="s">
        <v>23195</v>
      </c>
    </row>
    <row r="20014" spans="1:4" x14ac:dyDescent="0.2">
      <c r="B20014" t="s">
        <v>1142</v>
      </c>
      <c r="C20014" t="s">
        <v>6660</v>
      </c>
      <c r="D20014" t="s">
        <v>23196</v>
      </c>
    </row>
    <row r="20016" spans="1:4" x14ac:dyDescent="0.2">
      <c r="A20016" t="s">
        <v>6661</v>
      </c>
      <c r="B20016" t="str">
        <f>HYPERLINK("https://lindat.mff.cuni.cz/services/teitok/pdtc10/index.php?action=vallex&amp;frame=v-w11927_ZUf1_ZU", "obdělat (v-w11927_ZUf1_ZU)")</f>
        <v>obdělat (v-w11927_ZUf1_ZU)</v>
      </c>
    </row>
    <row r="20017" spans="1:4" x14ac:dyDescent="0.2">
      <c r="B20017" t="s">
        <v>1</v>
      </c>
    </row>
    <row r="20018" spans="1:4" x14ac:dyDescent="0.2">
      <c r="B20018" t="s">
        <v>8</v>
      </c>
    </row>
    <row r="20020" spans="1:4" x14ac:dyDescent="0.2">
      <c r="A20020" t="s">
        <v>6662</v>
      </c>
      <c r="B20020" t="str">
        <f>HYPERLINK("https://lindat.mff.cuni.cz/services/teitok/pdtc10/index.php?action=vallex&amp;frame=v-w11169f2", "obdělávat (v-w11169f2)")</f>
        <v>obdělávat (v-w11169f2)</v>
      </c>
    </row>
    <row r="20021" spans="1:4" x14ac:dyDescent="0.2">
      <c r="B20021" t="s">
        <v>1</v>
      </c>
      <c r="C20021" t="s">
        <v>33</v>
      </c>
      <c r="D20021" t="s">
        <v>23101</v>
      </c>
    </row>
    <row r="20022" spans="1:4" x14ac:dyDescent="0.2">
      <c r="B20022" t="s">
        <v>8</v>
      </c>
      <c r="C20022" t="s">
        <v>34</v>
      </c>
      <c r="D20022" t="s">
        <v>5714</v>
      </c>
    </row>
    <row r="20024" spans="1:4" x14ac:dyDescent="0.2">
      <c r="A20024" t="s">
        <v>6663</v>
      </c>
      <c r="B20024" t="str">
        <f>HYPERLINK("https://lindat.mff.cuni.cz/services/teitok/pdtc10/index.php?action=vallex&amp;frame=v-w10629f2", "obehnat (v-w10629f2)")</f>
        <v>obehnat (v-w10629f2)</v>
      </c>
    </row>
    <row r="20025" spans="1:4" x14ac:dyDescent="0.2">
      <c r="B20025" t="s">
        <v>1</v>
      </c>
      <c r="D20025" t="s">
        <v>23608</v>
      </c>
    </row>
    <row r="20026" spans="1:4" x14ac:dyDescent="0.2">
      <c r="B20026" t="s">
        <v>8</v>
      </c>
      <c r="C20026" t="s">
        <v>299</v>
      </c>
      <c r="D20026" t="s">
        <v>11598</v>
      </c>
    </row>
    <row r="20028" spans="1:4" x14ac:dyDescent="0.2">
      <c r="A20028" t="s">
        <v>6664</v>
      </c>
      <c r="B20028" t="str">
        <f>HYPERLINK("https://lindat.mff.cuni.cz/services/teitok/pdtc10/index.php?action=vallex&amp;frame=v-whsa_73f1_ZU", "obejmout (v-whsa_73f1_ZU)")</f>
        <v>obejmout (v-whsa_73f1_ZU)</v>
      </c>
    </row>
    <row r="20029" spans="1:4" x14ac:dyDescent="0.2">
      <c r="B20029" t="s">
        <v>1</v>
      </c>
    </row>
    <row r="20030" spans="1:4" x14ac:dyDescent="0.2">
      <c r="B20030" t="s">
        <v>8</v>
      </c>
    </row>
    <row r="20032" spans="1:4" x14ac:dyDescent="0.2">
      <c r="A20032" t="s">
        <v>6664</v>
      </c>
      <c r="B20032" t="str">
        <f>HYPERLINK("https://lindat.mff.cuni.cz/services/teitok/pdtc10/index.php?action=vallex&amp;frame=v-whsa_73hsa_74", "obejmout (v-whsa_73hsa_74) - substituted with v-whsa_73f1_ZU")</f>
        <v>obejmout (v-whsa_73hsa_74) - substituted with v-whsa_73f1_ZU</v>
      </c>
    </row>
    <row r="20033" spans="1:4" x14ac:dyDescent="0.2">
      <c r="B20033" t="s">
        <v>1</v>
      </c>
      <c r="C20033" t="s">
        <v>33</v>
      </c>
      <c r="D20033" t="s">
        <v>33</v>
      </c>
    </row>
    <row r="20034" spans="1:4" x14ac:dyDescent="0.2">
      <c r="B20034" t="s">
        <v>8</v>
      </c>
      <c r="C20034" t="s">
        <v>34</v>
      </c>
      <c r="D20034" t="s">
        <v>34</v>
      </c>
    </row>
    <row r="20036" spans="1:4" x14ac:dyDescent="0.2">
      <c r="A20036" t="s">
        <v>6665</v>
      </c>
      <c r="B20036" t="str">
        <f>HYPERLINK("https://lindat.mff.cuni.cz/services/teitok/pdtc10/index.php?action=vallex&amp;frame=v-w2454f2", "obejít (v-w2454f2)")</f>
        <v>obejít (v-w2454f2)</v>
      </c>
    </row>
    <row r="20037" spans="1:4" x14ac:dyDescent="0.2">
      <c r="B20037" t="s">
        <v>1</v>
      </c>
      <c r="C20037" t="s">
        <v>6666</v>
      </c>
      <c r="D20037" t="s">
        <v>4807</v>
      </c>
    </row>
    <row r="20038" spans="1:4" x14ac:dyDescent="0.2">
      <c r="B20038" t="s">
        <v>41</v>
      </c>
      <c r="C20038" t="s">
        <v>6667</v>
      </c>
      <c r="D20038" t="s">
        <v>384</v>
      </c>
    </row>
    <row r="20040" spans="1:4" x14ac:dyDescent="0.2">
      <c r="A20040" t="s">
        <v>6668</v>
      </c>
      <c r="B20040" t="str">
        <f>HYPERLINK("https://lindat.mff.cuni.cz/services/teitok/pdtc10/index.php?action=vallex&amp;frame=v-w2454f1", "obejít (v-w2454f1)")</f>
        <v>obejít (v-w2454f1)</v>
      </c>
    </row>
    <row r="20041" spans="1:4" x14ac:dyDescent="0.2">
      <c r="B20041" t="s">
        <v>1</v>
      </c>
      <c r="C20041" t="s">
        <v>6669</v>
      </c>
    </row>
    <row r="20042" spans="1:4" x14ac:dyDescent="0.2">
      <c r="B20042" t="s">
        <v>8</v>
      </c>
      <c r="C20042" t="s">
        <v>54</v>
      </c>
    </row>
    <row r="20044" spans="1:4" x14ac:dyDescent="0.2">
      <c r="A20044" t="s">
        <v>6670</v>
      </c>
      <c r="B20044" t="str">
        <f>HYPERLINK("https://lindat.mff.cuni.cz/services/teitok/pdtc10/index.php?action=vallex&amp;frame=v-w2454f4_ZU", "obejít (v-w2454f4_ZU)")</f>
        <v>obejít (v-w2454f4_ZU)</v>
      </c>
    </row>
    <row r="20045" spans="1:4" x14ac:dyDescent="0.2">
      <c r="B20045" t="s">
        <v>1</v>
      </c>
    </row>
    <row r="20046" spans="1:4" x14ac:dyDescent="0.2">
      <c r="B20046" t="s">
        <v>8</v>
      </c>
    </row>
    <row r="20048" spans="1:4" x14ac:dyDescent="0.2">
      <c r="A20048" t="s">
        <v>6670</v>
      </c>
      <c r="B20048" t="str">
        <f>HYPERLINK("https://lindat.mff.cuni.cz/services/teitok/pdtc10/index.php?action=vallex&amp;frame=v-w2454f3_ZU", "obejít (v-w2454f3_ZU) - substituted with v-w2454f4_ZU")</f>
        <v>obejít (v-w2454f3_ZU) - substituted with v-w2454f4_ZU</v>
      </c>
    </row>
    <row r="20049" spans="1:4" x14ac:dyDescent="0.2">
      <c r="B20049" t="s">
        <v>1</v>
      </c>
    </row>
    <row r="20050" spans="1:4" x14ac:dyDescent="0.2">
      <c r="B20050" t="s">
        <v>8</v>
      </c>
    </row>
    <row r="20052" spans="1:4" x14ac:dyDescent="0.2">
      <c r="A20052" t="s">
        <v>6670</v>
      </c>
      <c r="B20052" t="str">
        <f>HYPERLINK("https://lindat.mff.cuni.cz/services/teitok/pdtc10/index.php?action=vallex&amp;frame=v-w2454hsa_1153", "obejít (v-w2454hsa_1153) - substituted with v-w2454f4_ZU")</f>
        <v>obejít (v-w2454hsa_1153) - substituted with v-w2454f4_ZU</v>
      </c>
    </row>
    <row r="20053" spans="1:4" x14ac:dyDescent="0.2">
      <c r="B20053" t="s">
        <v>1</v>
      </c>
    </row>
    <row r="20054" spans="1:4" x14ac:dyDescent="0.2">
      <c r="B20054" t="s">
        <v>8</v>
      </c>
    </row>
    <row r="20056" spans="1:4" x14ac:dyDescent="0.2">
      <c r="A20056" t="s">
        <v>6671</v>
      </c>
      <c r="B20056" t="str">
        <f>HYPERLINK("https://lindat.mff.cuni.cz/services/teitok/pdtc10/index.php?action=vallex&amp;frame=v-w2455f1", "obejít se (v-w2455f1)")</f>
        <v>obejít se (v-w2455f1)</v>
      </c>
    </row>
    <row r="20057" spans="1:4" x14ac:dyDescent="0.2">
      <c r="B20057" t="s">
        <v>1</v>
      </c>
      <c r="C20057" t="s">
        <v>6672</v>
      </c>
    </row>
    <row r="20058" spans="1:4" x14ac:dyDescent="0.2">
      <c r="B20058" t="s">
        <v>6673</v>
      </c>
      <c r="C20058" t="s">
        <v>1025</v>
      </c>
    </row>
    <row r="20060" spans="1:4" x14ac:dyDescent="0.2">
      <c r="A20060" t="s">
        <v>6674</v>
      </c>
      <c r="B20060" t="str">
        <f>HYPERLINK("https://lindat.mff.cuni.cz/services/teitok/pdtc10/index.php?action=vallex&amp;frame=v-w10453f2", "obelstít (v-w10453f2)")</f>
        <v>obelstít (v-w10453f2)</v>
      </c>
    </row>
    <row r="20061" spans="1:4" x14ac:dyDescent="0.2">
      <c r="B20061" t="s">
        <v>1</v>
      </c>
      <c r="D20061" t="s">
        <v>140</v>
      </c>
    </row>
    <row r="20062" spans="1:4" x14ac:dyDescent="0.2">
      <c r="B20062" t="s">
        <v>8</v>
      </c>
      <c r="D20062" t="s">
        <v>1331</v>
      </c>
    </row>
    <row r="20064" spans="1:4" x14ac:dyDescent="0.2">
      <c r="A20064" t="s">
        <v>6675</v>
      </c>
      <c r="B20064" t="str">
        <f>HYPERLINK("https://lindat.mff.cuni.cz/services/teitok/pdtc10/index.php?action=vallex&amp;frame=v-w2456f1", "obeplout (v-w2456f1)")</f>
        <v>obeplout (v-w2456f1)</v>
      </c>
    </row>
    <row r="20065" spans="1:4" x14ac:dyDescent="0.2">
      <c r="B20065" t="s">
        <v>1</v>
      </c>
    </row>
    <row r="20066" spans="1:4" x14ac:dyDescent="0.2">
      <c r="B20066" t="s">
        <v>8</v>
      </c>
    </row>
    <row r="20068" spans="1:4" x14ac:dyDescent="0.2">
      <c r="A20068" t="s">
        <v>6676</v>
      </c>
      <c r="B20068" t="str">
        <f>HYPERLINK("https://lindat.mff.cuni.cz/services/teitok/pdtc10/index.php?action=vallex&amp;frame=v-w10144f2", "obeslat (v-w10144f2)")</f>
        <v>obeslat (v-w10144f2)</v>
      </c>
    </row>
    <row r="20069" spans="1:4" x14ac:dyDescent="0.2">
      <c r="B20069" t="s">
        <v>1</v>
      </c>
      <c r="C20069" t="s">
        <v>2400</v>
      </c>
    </row>
    <row r="20070" spans="1:4" x14ac:dyDescent="0.2">
      <c r="B20070" t="s">
        <v>8</v>
      </c>
      <c r="C20070" t="s">
        <v>6677</v>
      </c>
    </row>
    <row r="20072" spans="1:4" x14ac:dyDescent="0.2">
      <c r="A20072" t="s">
        <v>6678</v>
      </c>
      <c r="B20072" t="str">
        <f>HYPERLINK("https://lindat.mff.cuni.cz/services/teitok/pdtc10/index.php?action=vallex&amp;frame=v-w2460f1", "obestírat (v-w2460f1)")</f>
        <v>obestírat (v-w2460f1)</v>
      </c>
    </row>
    <row r="20073" spans="1:4" x14ac:dyDescent="0.2">
      <c r="B20073" t="s">
        <v>1</v>
      </c>
      <c r="D20073" t="s">
        <v>23608</v>
      </c>
    </row>
    <row r="20074" spans="1:4" x14ac:dyDescent="0.2">
      <c r="B20074" t="s">
        <v>8</v>
      </c>
      <c r="D20074" t="s">
        <v>11598</v>
      </c>
    </row>
    <row r="20076" spans="1:4" x14ac:dyDescent="0.2">
      <c r="A20076" t="s">
        <v>6679</v>
      </c>
      <c r="B20076" t="str">
        <f>HYPERLINK("https://lindat.mff.cuni.cz/services/teitok/pdtc10/index.php?action=vallex&amp;frame=v-whsa_561hsa_562", "obestřít (v-whsa_561hsa_562)")</f>
        <v>obestřít (v-whsa_561hsa_562)</v>
      </c>
    </row>
    <row r="20077" spans="1:4" x14ac:dyDescent="0.2">
      <c r="B20077" t="s">
        <v>1</v>
      </c>
      <c r="C20077" t="s">
        <v>579</v>
      </c>
      <c r="D20077" t="s">
        <v>23608</v>
      </c>
    </row>
    <row r="20078" spans="1:4" x14ac:dyDescent="0.2">
      <c r="B20078" t="s">
        <v>8</v>
      </c>
      <c r="C20078" t="s">
        <v>5518</v>
      </c>
      <c r="D20078" t="s">
        <v>11598</v>
      </c>
    </row>
    <row r="20080" spans="1:4" x14ac:dyDescent="0.2">
      <c r="A20080" t="s">
        <v>6680</v>
      </c>
      <c r="B20080" t="str">
        <f>HYPERLINK("https://lindat.mff.cuni.cz/services/teitok/pdtc10/index.php?action=vallex&amp;frame=v-w2457f1", "obesílat (v-w2457f1)")</f>
        <v>obesílat (v-w2457f1)</v>
      </c>
    </row>
    <row r="20081" spans="1:4" x14ac:dyDescent="0.2">
      <c r="B20081" t="s">
        <v>1</v>
      </c>
      <c r="C20081" t="s">
        <v>373</v>
      </c>
      <c r="D20081" t="s">
        <v>22956</v>
      </c>
    </row>
    <row r="20082" spans="1:4" x14ac:dyDescent="0.2">
      <c r="B20082" t="s">
        <v>8</v>
      </c>
      <c r="C20082" t="s">
        <v>6681</v>
      </c>
      <c r="D20082" t="s">
        <v>22957</v>
      </c>
    </row>
    <row r="20084" spans="1:4" x14ac:dyDescent="0.2">
      <c r="A20084" t="s">
        <v>6682</v>
      </c>
      <c r="B20084" t="str">
        <f>HYPERLINK("https://lindat.mff.cuni.cz/services/teitok/pdtc10/index.php?action=vallex&amp;frame=v-w2465f1", "obezdívat (v-w2465f1)")</f>
        <v>obezdívat (v-w2465f1)</v>
      </c>
    </row>
    <row r="20085" spans="1:4" x14ac:dyDescent="0.2">
      <c r="B20085" t="s">
        <v>1</v>
      </c>
    </row>
    <row r="20086" spans="1:4" x14ac:dyDescent="0.2">
      <c r="B20086" t="s">
        <v>8</v>
      </c>
    </row>
    <row r="20088" spans="1:4" x14ac:dyDescent="0.2">
      <c r="A20088" t="s">
        <v>6683</v>
      </c>
      <c r="B20088" t="str">
        <f>HYPERLINK("https://lindat.mff.cuni.cz/services/teitok/pdtc10/index.php?action=vallex&amp;frame=v-w2466f1", "obeznámit (v-w2466f1)")</f>
        <v>obeznámit (v-w2466f1)</v>
      </c>
    </row>
    <row r="20089" spans="1:4" x14ac:dyDescent="0.2">
      <c r="B20089" t="s">
        <v>1</v>
      </c>
    </row>
    <row r="20090" spans="1:4" x14ac:dyDescent="0.2">
      <c r="B20090" t="s">
        <v>411</v>
      </c>
      <c r="C20090" t="s">
        <v>1301</v>
      </c>
      <c r="D20090" t="s">
        <v>1301</v>
      </c>
    </row>
    <row r="20091" spans="1:4" x14ac:dyDescent="0.2">
      <c r="B20091" t="s">
        <v>58</v>
      </c>
      <c r="C20091" t="s">
        <v>2810</v>
      </c>
      <c r="D20091" t="s">
        <v>2810</v>
      </c>
    </row>
    <row r="20093" spans="1:4" x14ac:dyDescent="0.2">
      <c r="A20093" t="s">
        <v>6684</v>
      </c>
      <c r="B20093" t="str">
        <f>HYPERLINK("https://lindat.mff.cuni.cz/services/teitok/pdtc10/index.php?action=vallex&amp;frame=v-whsa_159hsa_160", "obeznámit se (v-whsa_159hsa_160)")</f>
        <v>obeznámit se (v-whsa_159hsa_160)</v>
      </c>
    </row>
    <row r="20094" spans="1:4" x14ac:dyDescent="0.2">
      <c r="B20094" t="s">
        <v>1</v>
      </c>
    </row>
    <row r="20095" spans="1:4" x14ac:dyDescent="0.2">
      <c r="B20095" t="s">
        <v>411</v>
      </c>
    </row>
    <row r="20097" spans="1:4" x14ac:dyDescent="0.2">
      <c r="A20097" t="s">
        <v>6685</v>
      </c>
      <c r="B20097" t="str">
        <f>HYPERLINK("https://lindat.mff.cuni.cz/services/teitok/pdtc10/index.php?action=vallex&amp;frame=v-w2472f1", "obhajovat (v-w2472f1)")</f>
        <v>obhajovat (v-w2472f1)</v>
      </c>
    </row>
    <row r="20098" spans="1:4" x14ac:dyDescent="0.2">
      <c r="B20098" t="s">
        <v>1</v>
      </c>
      <c r="C20098" t="s">
        <v>6686</v>
      </c>
      <c r="D20098" t="s">
        <v>1504</v>
      </c>
    </row>
    <row r="20099" spans="1:4" x14ac:dyDescent="0.2">
      <c r="B20099" t="s">
        <v>8</v>
      </c>
      <c r="C20099" t="s">
        <v>6687</v>
      </c>
      <c r="D20099" t="s">
        <v>3233</v>
      </c>
    </row>
    <row r="20101" spans="1:4" x14ac:dyDescent="0.2">
      <c r="A20101" t="s">
        <v>6688</v>
      </c>
      <c r="B20101" t="str">
        <f>HYPERLINK("https://lindat.mff.cuni.cz/services/teitok/pdtc10/index.php?action=vallex&amp;frame=v-whsa_1149hsa_1150", "obhlédnout (v-whsa_1149hsa_1150)")</f>
        <v>obhlédnout (v-whsa_1149hsa_1150)</v>
      </c>
    </row>
    <row r="20102" spans="1:4" x14ac:dyDescent="0.2">
      <c r="B20102" t="s">
        <v>1</v>
      </c>
      <c r="C20102" t="s">
        <v>430</v>
      </c>
    </row>
    <row r="20103" spans="1:4" x14ac:dyDescent="0.2">
      <c r="B20103" t="s">
        <v>8</v>
      </c>
      <c r="C20103" t="s">
        <v>1044</v>
      </c>
    </row>
    <row r="20105" spans="1:4" x14ac:dyDescent="0.2">
      <c r="A20105" t="s">
        <v>6689</v>
      </c>
      <c r="B20105" t="str">
        <f>HYPERLINK("https://lindat.mff.cuni.cz/services/teitok/pdtc10/index.php?action=vallex&amp;frame=v-w2474f1", "obhlédnout si (v-w2474f1)")</f>
        <v>obhlédnout si (v-w2474f1)</v>
      </c>
    </row>
    <row r="20106" spans="1:4" x14ac:dyDescent="0.2">
      <c r="B20106" t="s">
        <v>1</v>
      </c>
    </row>
    <row r="20107" spans="1:4" x14ac:dyDescent="0.2">
      <c r="B20107" t="s">
        <v>2304</v>
      </c>
    </row>
    <row r="20109" spans="1:4" x14ac:dyDescent="0.2">
      <c r="A20109" t="s">
        <v>6690</v>
      </c>
      <c r="B20109" t="str">
        <f>HYPERLINK("https://lindat.mff.cuni.cz/services/teitok/pdtc10/index.php?action=vallex&amp;frame=v-w12119_ZUf1_ZU", "obhlížet (v-w12119_ZUf1_ZU)")</f>
        <v>obhlížet (v-w12119_ZUf1_ZU)</v>
      </c>
    </row>
    <row r="20110" spans="1:4" x14ac:dyDescent="0.2">
      <c r="B20110" t="s">
        <v>1</v>
      </c>
    </row>
    <row r="20111" spans="1:4" x14ac:dyDescent="0.2">
      <c r="B20111" t="s">
        <v>8</v>
      </c>
    </row>
    <row r="20113" spans="1:4" x14ac:dyDescent="0.2">
      <c r="A20113" t="s">
        <v>6691</v>
      </c>
      <c r="B20113" t="str">
        <f>HYPERLINK("https://lindat.mff.cuni.cz/services/teitok/pdtc10/index.php?action=vallex&amp;frame=v-whsa_7hsa_8", "obhospodařit (v-whsa_7hsa_8)")</f>
        <v>obhospodařit (v-whsa_7hsa_8)</v>
      </c>
    </row>
    <row r="20114" spans="1:4" x14ac:dyDescent="0.2">
      <c r="B20114" t="s">
        <v>1</v>
      </c>
      <c r="D20114" t="s">
        <v>23101</v>
      </c>
    </row>
    <row r="20115" spans="1:4" x14ac:dyDescent="0.2">
      <c r="B20115" t="s">
        <v>8</v>
      </c>
      <c r="D20115" t="s">
        <v>5714</v>
      </c>
    </row>
    <row r="20117" spans="1:4" x14ac:dyDescent="0.2">
      <c r="A20117" t="s">
        <v>6692</v>
      </c>
      <c r="B20117" t="str">
        <f>HYPERLINK("https://lindat.mff.cuni.cz/services/teitok/pdtc10/index.php?action=vallex&amp;frame=v-w2476f1", "obhospodařovat (v-w2476f1)")</f>
        <v>obhospodařovat (v-w2476f1)</v>
      </c>
    </row>
    <row r="20118" spans="1:4" x14ac:dyDescent="0.2">
      <c r="B20118" t="s">
        <v>1</v>
      </c>
      <c r="C20118" t="s">
        <v>1275</v>
      </c>
      <c r="D20118" t="s">
        <v>23101</v>
      </c>
    </row>
    <row r="20119" spans="1:4" x14ac:dyDescent="0.2">
      <c r="B20119" t="s">
        <v>8</v>
      </c>
      <c r="C20119" t="s">
        <v>6693</v>
      </c>
      <c r="D20119" t="s">
        <v>5714</v>
      </c>
    </row>
    <row r="20121" spans="1:4" x14ac:dyDescent="0.2">
      <c r="A20121" t="s">
        <v>6694</v>
      </c>
      <c r="B20121" t="str">
        <f>HYPERLINK("https://lindat.mff.cuni.cz/services/teitok/pdtc10/index.php?action=vallex&amp;frame=v-w2468f1", "obhájit (v-w2468f1)")</f>
        <v>obhájit (v-w2468f1)</v>
      </c>
    </row>
    <row r="20122" spans="1:4" x14ac:dyDescent="0.2">
      <c r="B20122" t="s">
        <v>1</v>
      </c>
      <c r="C20122" t="s">
        <v>306</v>
      </c>
      <c r="D20122" t="s">
        <v>1504</v>
      </c>
    </row>
    <row r="20123" spans="1:4" x14ac:dyDescent="0.2">
      <c r="B20123" t="s">
        <v>41</v>
      </c>
      <c r="C20123" t="s">
        <v>307</v>
      </c>
      <c r="D20123" t="s">
        <v>3233</v>
      </c>
    </row>
    <row r="20125" spans="1:4" x14ac:dyDescent="0.2">
      <c r="A20125" t="s">
        <v>6695</v>
      </c>
      <c r="B20125" t="str">
        <f>HYPERLINK("https://lindat.mff.cuni.cz/services/teitok/pdtc10/index.php?action=vallex&amp;frame=v-w2468hsa_702", "obhájit (v-w2468hsa_702)")</f>
        <v>obhájit (v-w2468hsa_702)</v>
      </c>
    </row>
    <row r="20126" spans="1:4" x14ac:dyDescent="0.2">
      <c r="B20126" t="s">
        <v>1</v>
      </c>
    </row>
    <row r="20127" spans="1:4" x14ac:dyDescent="0.2">
      <c r="B20127" t="s">
        <v>8</v>
      </c>
    </row>
    <row r="20129" spans="1:4" x14ac:dyDescent="0.2">
      <c r="A20129" t="s">
        <v>6696</v>
      </c>
      <c r="B20129" t="str">
        <f>HYPERLINK("https://lindat.mff.cuni.cz/services/teitok/pdtc10/index.php?action=vallex&amp;frame=v-w2486f1", "objasnit (v-w2486f1)")</f>
        <v>objasnit (v-w2486f1)</v>
      </c>
    </row>
    <row r="20130" spans="1:4" x14ac:dyDescent="0.2">
      <c r="B20130" t="s">
        <v>1</v>
      </c>
      <c r="C20130" t="s">
        <v>6697</v>
      </c>
      <c r="D20130" t="s">
        <v>6700</v>
      </c>
    </row>
    <row r="20131" spans="1:4" x14ac:dyDescent="0.2">
      <c r="B20131" t="s">
        <v>2158</v>
      </c>
      <c r="C20131" t="s">
        <v>6698</v>
      </c>
      <c r="D20131" t="s">
        <v>9067</v>
      </c>
    </row>
    <row r="20132" spans="1:4" x14ac:dyDescent="0.2">
      <c r="B20132" t="s">
        <v>35</v>
      </c>
      <c r="C20132" t="s">
        <v>554</v>
      </c>
      <c r="D20132" t="s">
        <v>3185</v>
      </c>
    </row>
    <row r="20134" spans="1:4" x14ac:dyDescent="0.2">
      <c r="A20134" t="s">
        <v>6699</v>
      </c>
      <c r="B20134" t="str">
        <f>HYPERLINK("https://lindat.mff.cuni.cz/services/teitok/pdtc10/index.php?action=vallex&amp;frame=v-w2487f1", "objasňovat (v-w2487f1)")</f>
        <v>objasňovat (v-w2487f1)</v>
      </c>
    </row>
    <row r="20135" spans="1:4" x14ac:dyDescent="0.2">
      <c r="B20135" t="s">
        <v>1</v>
      </c>
      <c r="C20135" t="s">
        <v>6700</v>
      </c>
      <c r="D20135" t="s">
        <v>6700</v>
      </c>
    </row>
    <row r="20136" spans="1:4" x14ac:dyDescent="0.2">
      <c r="B20136" t="s">
        <v>6701</v>
      </c>
      <c r="C20136" t="s">
        <v>6702</v>
      </c>
      <c r="D20136" t="s">
        <v>9067</v>
      </c>
    </row>
    <row r="20137" spans="1:4" x14ac:dyDescent="0.2">
      <c r="B20137" t="s">
        <v>35</v>
      </c>
      <c r="C20137" t="s">
        <v>3185</v>
      </c>
      <c r="D20137" t="s">
        <v>3185</v>
      </c>
    </row>
    <row r="20139" spans="1:4" x14ac:dyDescent="0.2">
      <c r="A20139" t="s">
        <v>6703</v>
      </c>
      <c r="B20139" t="str">
        <f>HYPERLINK("https://lindat.mff.cuni.cz/services/teitok/pdtc10/index.php?action=vallex&amp;frame=v-w2489f2_ZU", "objednat (v-w2489f2_ZU)")</f>
        <v>objednat (v-w2489f2_ZU)</v>
      </c>
    </row>
    <row r="20140" spans="1:4" x14ac:dyDescent="0.2">
      <c r="B20140" t="s">
        <v>1</v>
      </c>
    </row>
    <row r="20141" spans="1:4" x14ac:dyDescent="0.2">
      <c r="B20141" t="s">
        <v>8</v>
      </c>
    </row>
    <row r="20142" spans="1:4" x14ac:dyDescent="0.2">
      <c r="B20142" t="s">
        <v>321</v>
      </c>
    </row>
    <row r="20144" spans="1:4" x14ac:dyDescent="0.2">
      <c r="A20144" t="s">
        <v>6703</v>
      </c>
      <c r="B20144" t="str">
        <f>HYPERLINK("https://lindat.mff.cuni.cz/services/teitok/pdtc10/index.php?action=vallex&amp;frame=v-w2489f1", "objednat (v-w2489f1) - substituted with v-w2489f2_ZU")</f>
        <v>objednat (v-w2489f1) - substituted with v-w2489f2_ZU</v>
      </c>
    </row>
    <row r="20145" spans="1:4" x14ac:dyDescent="0.2">
      <c r="B20145" t="s">
        <v>1</v>
      </c>
      <c r="C20145" t="s">
        <v>1232</v>
      </c>
      <c r="D20145" t="s">
        <v>80</v>
      </c>
    </row>
    <row r="20146" spans="1:4" x14ac:dyDescent="0.2">
      <c r="B20146" t="s">
        <v>8</v>
      </c>
      <c r="C20146" t="s">
        <v>6704</v>
      </c>
      <c r="D20146" t="s">
        <v>354</v>
      </c>
    </row>
    <row r="20147" spans="1:4" x14ac:dyDescent="0.2">
      <c r="B20147" t="s">
        <v>321</v>
      </c>
    </row>
    <row r="20149" spans="1:4" x14ac:dyDescent="0.2">
      <c r="A20149" t="s">
        <v>6703</v>
      </c>
      <c r="B20149" t="str">
        <f>HYPERLINK("https://lindat.mff.cuni.cz/services/teitok/pdtc10/index.php?action=vallex&amp;frame=v-w2489hsa_511", "objednat (v-w2489hsa_511) - substituted with v-w2489f2_ZU")</f>
        <v>objednat (v-w2489hsa_511) - substituted with v-w2489f2_ZU</v>
      </c>
    </row>
    <row r="20150" spans="1:4" x14ac:dyDescent="0.2">
      <c r="B20150" t="s">
        <v>1</v>
      </c>
    </row>
    <row r="20151" spans="1:4" x14ac:dyDescent="0.2">
      <c r="B20151" t="s">
        <v>8</v>
      </c>
    </row>
    <row r="20152" spans="1:4" x14ac:dyDescent="0.2">
      <c r="B20152" t="s">
        <v>321</v>
      </c>
    </row>
    <row r="20154" spans="1:4" x14ac:dyDescent="0.2">
      <c r="A20154" t="s">
        <v>6705</v>
      </c>
      <c r="B20154" t="str">
        <f>HYPERLINK("https://lindat.mff.cuni.cz/services/teitok/pdtc10/index.php?action=vallex&amp;frame=v-w2489f3_ZU", "objednat (v-w2489f3_ZU)")</f>
        <v>objednat (v-w2489f3_ZU)</v>
      </c>
    </row>
    <row r="20155" spans="1:4" x14ac:dyDescent="0.2">
      <c r="B20155" t="s">
        <v>1</v>
      </c>
    </row>
    <row r="20156" spans="1:4" x14ac:dyDescent="0.2">
      <c r="B20156" t="s">
        <v>8</v>
      </c>
    </row>
    <row r="20158" spans="1:4" x14ac:dyDescent="0.2">
      <c r="A20158" t="s">
        <v>6706</v>
      </c>
      <c r="B20158" t="str">
        <f>HYPERLINK("https://lindat.mff.cuni.cz/services/teitok/pdtc10/index.php?action=vallex&amp;frame=v-w2491f2_ZU", "objednávat (v-w2491f2_ZU)")</f>
        <v>objednávat (v-w2491f2_ZU)</v>
      </c>
    </row>
    <row r="20159" spans="1:4" x14ac:dyDescent="0.2">
      <c r="B20159" t="s">
        <v>1</v>
      </c>
    </row>
    <row r="20160" spans="1:4" x14ac:dyDescent="0.2">
      <c r="B20160" t="s">
        <v>172</v>
      </c>
    </row>
    <row r="20162" spans="1:4" x14ac:dyDescent="0.2">
      <c r="A20162" t="s">
        <v>6706</v>
      </c>
      <c r="B20162" t="str">
        <f>HYPERLINK("https://lindat.mff.cuni.cz/services/teitok/pdtc10/index.php?action=vallex&amp;frame=v-w2491f1", "objednávat (v-w2491f1) - substituted with v-w2491f2_ZU")</f>
        <v>objednávat (v-w2491f1) - substituted with v-w2491f2_ZU</v>
      </c>
    </row>
    <row r="20163" spans="1:4" x14ac:dyDescent="0.2">
      <c r="B20163" t="s">
        <v>1</v>
      </c>
      <c r="C20163" t="s">
        <v>3358</v>
      </c>
      <c r="D20163" t="s">
        <v>80</v>
      </c>
    </row>
    <row r="20164" spans="1:4" x14ac:dyDescent="0.2">
      <c r="B20164" t="s">
        <v>172</v>
      </c>
      <c r="C20164" t="s">
        <v>1190</v>
      </c>
      <c r="D20164" t="s">
        <v>354</v>
      </c>
    </row>
    <row r="20166" spans="1:4" x14ac:dyDescent="0.2">
      <c r="A20166" t="s">
        <v>6706</v>
      </c>
      <c r="B20166" t="str">
        <f>HYPERLINK("https://lindat.mff.cuni.cz/services/teitok/pdtc10/index.php?action=vallex&amp;frame=v-w2491hsa_594", "objednávat (v-w2491hsa_594) - substituted with v-w2491f2_ZU")</f>
        <v>objednávat (v-w2491hsa_594) - substituted with v-w2491f2_ZU</v>
      </c>
    </row>
    <row r="20167" spans="1:4" x14ac:dyDescent="0.2">
      <c r="B20167" t="s">
        <v>1</v>
      </c>
    </row>
    <row r="20168" spans="1:4" x14ac:dyDescent="0.2">
      <c r="B20168" t="s">
        <v>172</v>
      </c>
    </row>
    <row r="20170" spans="1:4" x14ac:dyDescent="0.2">
      <c r="A20170" t="s">
        <v>6707</v>
      </c>
      <c r="B20170" t="str">
        <f>HYPERLINK("https://lindat.mff.cuni.cz/services/teitok/pdtc10/index.php?action=vallex&amp;frame=v-w2495f1", "objet (v-w2495f1)")</f>
        <v>objet (v-w2495f1)</v>
      </c>
    </row>
    <row r="20171" spans="1:4" x14ac:dyDescent="0.2">
      <c r="B20171" t="s">
        <v>1</v>
      </c>
    </row>
    <row r="20172" spans="1:4" x14ac:dyDescent="0.2">
      <c r="B20172" t="s">
        <v>8</v>
      </c>
    </row>
    <row r="20174" spans="1:4" x14ac:dyDescent="0.2">
      <c r="A20174" t="s">
        <v>6708</v>
      </c>
      <c r="B20174" t="str">
        <f>HYPERLINK("https://lindat.mff.cuni.cz/services/teitok/pdtc10/index.php?action=vallex&amp;frame=v-w2495f2", "objet (v-w2495f2)")</f>
        <v>objet (v-w2495f2)</v>
      </c>
    </row>
    <row r="20175" spans="1:4" x14ac:dyDescent="0.2">
      <c r="B20175" t="s">
        <v>1</v>
      </c>
    </row>
    <row r="20176" spans="1:4" x14ac:dyDescent="0.2">
      <c r="B20176" t="s">
        <v>8</v>
      </c>
    </row>
    <row r="20178" spans="1:4" x14ac:dyDescent="0.2">
      <c r="A20178" t="s">
        <v>6709</v>
      </c>
      <c r="B20178" t="str">
        <f>HYPERLINK("https://lindat.mff.cuni.cz/services/teitok/pdtc10/index.php?action=vallex&amp;frame=v-w2499f1", "objevit (v-w2499f1)")</f>
        <v>objevit (v-w2499f1)</v>
      </c>
    </row>
    <row r="20179" spans="1:4" x14ac:dyDescent="0.2">
      <c r="B20179" t="s">
        <v>1</v>
      </c>
      <c r="C20179" t="s">
        <v>5792</v>
      </c>
      <c r="D20179" t="s">
        <v>23513</v>
      </c>
    </row>
    <row r="20180" spans="1:4" x14ac:dyDescent="0.2">
      <c r="B20180" t="s">
        <v>124</v>
      </c>
      <c r="C20180" t="s">
        <v>6710</v>
      </c>
      <c r="D20180" t="s">
        <v>23514</v>
      </c>
    </row>
    <row r="20182" spans="1:4" x14ac:dyDescent="0.2">
      <c r="A20182" t="s">
        <v>6711</v>
      </c>
      <c r="B20182" t="str">
        <f>HYPERLINK("https://lindat.mff.cuni.cz/services/teitok/pdtc10/index.php?action=vallex&amp;frame=v-w2500f1", "objevit se (v-w2500f1)")</f>
        <v>objevit se (v-w2500f1)</v>
      </c>
    </row>
    <row r="20183" spans="1:4" x14ac:dyDescent="0.2">
      <c r="B20183" t="s">
        <v>1</v>
      </c>
      <c r="C20183" t="s">
        <v>6712</v>
      </c>
      <c r="D20183" t="s">
        <v>23609</v>
      </c>
    </row>
    <row r="20184" spans="1:4" x14ac:dyDescent="0.2">
      <c r="B20184" t="s">
        <v>5</v>
      </c>
      <c r="C20184" t="s">
        <v>6713</v>
      </c>
    </row>
    <row r="20186" spans="1:4" x14ac:dyDescent="0.2">
      <c r="A20186" t="s">
        <v>6714</v>
      </c>
      <c r="B20186" t="str">
        <f>HYPERLINK("https://lindat.mff.cuni.cz/services/teitok/pdtc10/index.php?action=vallex&amp;frame=v-w2500f2", "objevit se (v-w2500f2)")</f>
        <v>objevit se (v-w2500f2)</v>
      </c>
    </row>
    <row r="20187" spans="1:4" x14ac:dyDescent="0.2">
      <c r="B20187" t="s">
        <v>488</v>
      </c>
      <c r="C20187" t="s">
        <v>6715</v>
      </c>
      <c r="D20187" t="s">
        <v>8395</v>
      </c>
    </row>
    <row r="20189" spans="1:4" x14ac:dyDescent="0.2">
      <c r="A20189" t="s">
        <v>6716</v>
      </c>
      <c r="B20189" t="str">
        <f>HYPERLINK("https://lindat.mff.cuni.cz/services/teitok/pdtc10/index.php?action=vallex&amp;frame=v-w2501f1", "objevovat (v-w2501f1)")</f>
        <v>objevovat (v-w2501f1)</v>
      </c>
    </row>
    <row r="20190" spans="1:4" x14ac:dyDescent="0.2">
      <c r="B20190" t="s">
        <v>1</v>
      </c>
      <c r="C20190" t="s">
        <v>22</v>
      </c>
      <c r="D20190" t="s">
        <v>23513</v>
      </c>
    </row>
    <row r="20191" spans="1:4" x14ac:dyDescent="0.2">
      <c r="B20191" t="s">
        <v>124</v>
      </c>
      <c r="C20191" t="s">
        <v>335</v>
      </c>
      <c r="D20191" t="s">
        <v>23514</v>
      </c>
    </row>
    <row r="20193" spans="1:4" x14ac:dyDescent="0.2">
      <c r="A20193" t="s">
        <v>6717</v>
      </c>
      <c r="B20193" t="str">
        <f>HYPERLINK("https://lindat.mff.cuni.cz/services/teitok/pdtc10/index.php?action=vallex&amp;frame=v-w2502f2", "objevovat se (v-w2502f2)")</f>
        <v>objevovat se (v-w2502f2)</v>
      </c>
    </row>
    <row r="20194" spans="1:4" x14ac:dyDescent="0.2">
      <c r="B20194" t="s">
        <v>1</v>
      </c>
      <c r="C20194" t="s">
        <v>6718</v>
      </c>
      <c r="D20194" t="s">
        <v>23609</v>
      </c>
    </row>
    <row r="20195" spans="1:4" x14ac:dyDescent="0.2">
      <c r="B20195" t="s">
        <v>5</v>
      </c>
      <c r="C20195" t="s">
        <v>6719</v>
      </c>
    </row>
    <row r="20197" spans="1:4" x14ac:dyDescent="0.2">
      <c r="A20197" t="s">
        <v>6720</v>
      </c>
      <c r="B20197" t="str">
        <f>HYPERLINK("https://lindat.mff.cuni.cz/services/teitok/pdtc10/index.php?action=vallex&amp;frame=v-w2502f1", "objevovat se (v-w2502f1)")</f>
        <v>objevovat se (v-w2502f1)</v>
      </c>
    </row>
    <row r="20198" spans="1:4" x14ac:dyDescent="0.2">
      <c r="B20198" t="s">
        <v>1</v>
      </c>
      <c r="C20198" t="s">
        <v>6721</v>
      </c>
      <c r="D20198" t="s">
        <v>22988</v>
      </c>
    </row>
    <row r="20200" spans="1:4" x14ac:dyDescent="0.2">
      <c r="A20200" t="s">
        <v>6722</v>
      </c>
      <c r="B20200" t="str">
        <f>HYPERLINK("https://lindat.mff.cuni.cz/services/teitok/pdtc10/index.php?action=vallex&amp;frame=v-whsa_1320hsa_1321", "objímat (v-whsa_1320hsa_1321)")</f>
        <v>objímat (v-whsa_1320hsa_1321)</v>
      </c>
    </row>
    <row r="20201" spans="1:4" x14ac:dyDescent="0.2">
      <c r="B20201" t="s">
        <v>1</v>
      </c>
    </row>
    <row r="20202" spans="1:4" x14ac:dyDescent="0.2">
      <c r="B20202" t="s">
        <v>8</v>
      </c>
    </row>
    <row r="20204" spans="1:4" x14ac:dyDescent="0.2">
      <c r="A20204" t="s">
        <v>6723</v>
      </c>
      <c r="B20204" t="str">
        <f>HYPERLINK("https://lindat.mff.cuni.cz/services/teitok/pdtc10/index.php?action=vallex&amp;frame=v-w2503f1", "objíždět (v-w2503f1)")</f>
        <v>objíždět (v-w2503f1)</v>
      </c>
    </row>
    <row r="20205" spans="1:4" x14ac:dyDescent="0.2">
      <c r="B20205" t="s">
        <v>1</v>
      </c>
    </row>
    <row r="20206" spans="1:4" x14ac:dyDescent="0.2">
      <c r="B20206" t="s">
        <v>8</v>
      </c>
    </row>
    <row r="20208" spans="1:4" x14ac:dyDescent="0.2">
      <c r="A20208" t="s">
        <v>6724</v>
      </c>
      <c r="B20208" t="str">
        <f>HYPERLINK("https://lindat.mff.cuni.cz/services/teitok/pdtc10/index.php?action=vallex&amp;frame=v-w11527_ZUf1_ZU", "obkličovat (v-w11527_ZUf1_ZU)")</f>
        <v>obkličovat (v-w11527_ZUf1_ZU)</v>
      </c>
    </row>
    <row r="20209" spans="1:4" x14ac:dyDescent="0.2">
      <c r="B20209" t="s">
        <v>1</v>
      </c>
      <c r="C20209" t="s">
        <v>147</v>
      </c>
      <c r="D20209" t="s">
        <v>23610</v>
      </c>
    </row>
    <row r="20210" spans="1:4" x14ac:dyDescent="0.2">
      <c r="B20210" t="s">
        <v>8</v>
      </c>
      <c r="C20210" t="s">
        <v>299</v>
      </c>
      <c r="D20210" t="s">
        <v>23611</v>
      </c>
    </row>
    <row r="20212" spans="1:4" x14ac:dyDescent="0.2">
      <c r="A20212" t="s">
        <v>6725</v>
      </c>
      <c r="B20212" t="str">
        <f>HYPERLINK("https://lindat.mff.cuni.cz/services/teitok/pdtc10/index.php?action=vallex&amp;frame=v-w2508f1", "obklopit (v-w2508f1)")</f>
        <v>obklopit (v-w2508f1)</v>
      </c>
    </row>
    <row r="20213" spans="1:4" x14ac:dyDescent="0.2">
      <c r="B20213" t="s">
        <v>1</v>
      </c>
      <c r="C20213" t="s">
        <v>6726</v>
      </c>
      <c r="D20213" t="s">
        <v>23608</v>
      </c>
    </row>
    <row r="20214" spans="1:4" x14ac:dyDescent="0.2">
      <c r="B20214" t="s">
        <v>8</v>
      </c>
      <c r="C20214" t="s">
        <v>6727</v>
      </c>
      <c r="D20214" t="s">
        <v>11598</v>
      </c>
    </row>
    <row r="20216" spans="1:4" x14ac:dyDescent="0.2">
      <c r="A20216" t="s">
        <v>6728</v>
      </c>
      <c r="B20216" t="str">
        <f>HYPERLINK("https://lindat.mff.cuni.cz/services/teitok/pdtc10/index.php?action=vallex&amp;frame=v-w2509f1", "obklopovat (v-w2509f1)")</f>
        <v>obklopovat (v-w2509f1)</v>
      </c>
    </row>
    <row r="20217" spans="1:4" x14ac:dyDescent="0.2">
      <c r="B20217" t="s">
        <v>1</v>
      </c>
      <c r="C20217" t="s">
        <v>6729</v>
      </c>
      <c r="D20217" t="s">
        <v>23608</v>
      </c>
    </row>
    <row r="20218" spans="1:4" x14ac:dyDescent="0.2">
      <c r="B20218" t="s">
        <v>8</v>
      </c>
      <c r="C20218" t="s">
        <v>2868</v>
      </c>
      <c r="D20218" t="s">
        <v>11598</v>
      </c>
    </row>
    <row r="20220" spans="1:4" x14ac:dyDescent="0.2">
      <c r="A20220" t="s">
        <v>6730</v>
      </c>
      <c r="B20220" t="str">
        <f>HYPERLINK("https://lindat.mff.cuni.cz/services/teitok/pdtc10/index.php?action=vallex&amp;frame=v-w2506f1", "obklíčit (v-w2506f1)")</f>
        <v>obklíčit (v-w2506f1)</v>
      </c>
    </row>
    <row r="20221" spans="1:4" x14ac:dyDescent="0.2">
      <c r="B20221" t="s">
        <v>1</v>
      </c>
    </row>
    <row r="20222" spans="1:4" x14ac:dyDescent="0.2">
      <c r="B20222" t="s">
        <v>8</v>
      </c>
    </row>
    <row r="20224" spans="1:4" x14ac:dyDescent="0.2">
      <c r="A20224" t="s">
        <v>6731</v>
      </c>
      <c r="B20224" t="str">
        <f>HYPERLINK("https://lindat.mff.cuni.cz/services/teitok/pdtc10/index.php?action=vallex&amp;frame=v-whsa_202hsa_203", "oblafnout (v-whsa_202hsa_203)")</f>
        <v>oblafnout (v-whsa_202hsa_203)</v>
      </c>
    </row>
    <row r="20225" spans="1:4" x14ac:dyDescent="0.2">
      <c r="B20225" t="s">
        <v>1</v>
      </c>
      <c r="C20225" t="s">
        <v>140</v>
      </c>
      <c r="D20225" t="s">
        <v>140</v>
      </c>
    </row>
    <row r="20226" spans="1:4" x14ac:dyDescent="0.2">
      <c r="B20226" t="s">
        <v>8</v>
      </c>
      <c r="C20226" t="s">
        <v>113</v>
      </c>
      <c r="D20226" t="s">
        <v>1331</v>
      </c>
    </row>
    <row r="20228" spans="1:4" x14ac:dyDescent="0.2">
      <c r="A20228" t="s">
        <v>6732</v>
      </c>
      <c r="B20228" t="str">
        <f>HYPERLINK("https://lindat.mff.cuni.cz/services/teitok/pdtc10/index.php?action=vallex&amp;frame=v-w2511f1", "oblažovat (v-w2511f1)")</f>
        <v>oblažovat (v-w2511f1)</v>
      </c>
    </row>
    <row r="20229" spans="1:4" x14ac:dyDescent="0.2">
      <c r="B20229" t="s">
        <v>1</v>
      </c>
    </row>
    <row r="20230" spans="1:4" x14ac:dyDescent="0.2">
      <c r="B20230" t="s">
        <v>8</v>
      </c>
    </row>
    <row r="20232" spans="1:4" x14ac:dyDescent="0.2">
      <c r="A20232" t="s">
        <v>6733</v>
      </c>
      <c r="B20232" t="str">
        <f>HYPERLINK("https://lindat.mff.cuni.cz/services/teitok/pdtc10/index.php?action=vallex&amp;frame=v-w12014_ZUf1_ZU", "oblbnout (v-w12014_ZUf1_ZU)")</f>
        <v>oblbnout (v-w12014_ZUf1_ZU)</v>
      </c>
    </row>
    <row r="20233" spans="1:4" x14ac:dyDescent="0.2">
      <c r="B20233" t="s">
        <v>1</v>
      </c>
    </row>
    <row r="20234" spans="1:4" x14ac:dyDescent="0.2">
      <c r="B20234" t="s">
        <v>8</v>
      </c>
    </row>
    <row r="20236" spans="1:4" x14ac:dyDescent="0.2">
      <c r="A20236" t="s">
        <v>6734</v>
      </c>
      <c r="B20236" t="str">
        <f>HYPERLINK("https://lindat.mff.cuni.cz/services/teitok/pdtc10/index.php?action=vallex&amp;frame=v-w2519f1", "obletět (v-w2519f1)")</f>
        <v>obletět (v-w2519f1)</v>
      </c>
    </row>
    <row r="20237" spans="1:4" x14ac:dyDescent="0.2">
      <c r="B20237" t="s">
        <v>1</v>
      </c>
    </row>
    <row r="20238" spans="1:4" x14ac:dyDescent="0.2">
      <c r="B20238" t="s">
        <v>8</v>
      </c>
    </row>
    <row r="20240" spans="1:4" x14ac:dyDescent="0.2">
      <c r="A20240" t="s">
        <v>6735</v>
      </c>
      <c r="B20240" t="str">
        <f>HYPERLINK("https://lindat.mff.cuni.cz/services/teitok/pdtc10/index.php?action=vallex&amp;frame=v-w10178f2", "obložit (v-w10178f2)")</f>
        <v>obložit (v-w10178f2)</v>
      </c>
    </row>
    <row r="20241" spans="1:4" x14ac:dyDescent="0.2">
      <c r="B20241" t="s">
        <v>1</v>
      </c>
      <c r="D20241" t="s">
        <v>20911</v>
      </c>
    </row>
    <row r="20242" spans="1:4" x14ac:dyDescent="0.2">
      <c r="B20242" t="s">
        <v>8</v>
      </c>
      <c r="C20242" t="s">
        <v>23</v>
      </c>
      <c r="D20242" t="s">
        <v>354</v>
      </c>
    </row>
    <row r="20244" spans="1:4" x14ac:dyDescent="0.2">
      <c r="A20244" t="s">
        <v>6736</v>
      </c>
      <c r="B20244" t="str">
        <f>HYPERLINK("https://lindat.mff.cuni.cz/services/teitok/pdtc10/index.php?action=vallex&amp;frame=v-w2512f1", "obléci (v-w2512f1)")</f>
        <v>obléci (v-w2512f1)</v>
      </c>
    </row>
    <row r="20245" spans="1:4" x14ac:dyDescent="0.2">
      <c r="B20245" t="s">
        <v>1</v>
      </c>
    </row>
    <row r="20246" spans="1:4" x14ac:dyDescent="0.2">
      <c r="B20246" t="s">
        <v>8</v>
      </c>
    </row>
    <row r="20247" spans="1:4" x14ac:dyDescent="0.2">
      <c r="B20247" t="s">
        <v>78</v>
      </c>
    </row>
    <row r="20249" spans="1:4" x14ac:dyDescent="0.2">
      <c r="A20249" t="s">
        <v>6737</v>
      </c>
      <c r="B20249" t="str">
        <f>HYPERLINK("https://lindat.mff.cuni.cz/services/teitok/pdtc10/index.php?action=vallex&amp;frame=v-w2512f2_ZU", "obléci (v-w2512f2_ZU)")</f>
        <v>obléci (v-w2512f2_ZU)</v>
      </c>
    </row>
    <row r="20250" spans="1:4" x14ac:dyDescent="0.2">
      <c r="B20250" t="s">
        <v>1</v>
      </c>
    </row>
    <row r="20251" spans="1:4" x14ac:dyDescent="0.2">
      <c r="B20251" t="s">
        <v>8</v>
      </c>
    </row>
    <row r="20252" spans="1:4" x14ac:dyDescent="0.2">
      <c r="B20252" t="s">
        <v>130</v>
      </c>
    </row>
    <row r="20254" spans="1:4" x14ac:dyDescent="0.2">
      <c r="A20254" t="s">
        <v>6738</v>
      </c>
      <c r="B20254" t="str">
        <f>HYPERLINK("https://lindat.mff.cuni.cz/services/teitok/pdtc10/index.php?action=vallex&amp;frame=v-w2515f1", "obléhat (v-w2515f1)")</f>
        <v>obléhat (v-w2515f1)</v>
      </c>
    </row>
    <row r="20255" spans="1:4" x14ac:dyDescent="0.2">
      <c r="B20255" t="s">
        <v>1</v>
      </c>
      <c r="C20255" t="s">
        <v>133</v>
      </c>
      <c r="D20255" t="s">
        <v>133</v>
      </c>
    </row>
    <row r="20256" spans="1:4" x14ac:dyDescent="0.2">
      <c r="B20256" t="s">
        <v>8</v>
      </c>
      <c r="C20256" t="s">
        <v>991</v>
      </c>
      <c r="D20256" t="s">
        <v>991</v>
      </c>
    </row>
    <row r="20258" spans="1:4" x14ac:dyDescent="0.2">
      <c r="A20258" t="s">
        <v>6739</v>
      </c>
      <c r="B20258" t="str">
        <f>HYPERLINK("https://lindat.mff.cuni.cz/services/teitok/pdtc10/index.php?action=vallex&amp;frame=v-w2516f2", "oblékat (v-w2516f2)")</f>
        <v>oblékat (v-w2516f2)</v>
      </c>
    </row>
    <row r="20259" spans="1:4" x14ac:dyDescent="0.2">
      <c r="B20259" t="s">
        <v>1</v>
      </c>
      <c r="C20259" t="s">
        <v>3307</v>
      </c>
      <c r="D20259" t="s">
        <v>133</v>
      </c>
    </row>
    <row r="20260" spans="1:4" x14ac:dyDescent="0.2">
      <c r="B20260" t="s">
        <v>8</v>
      </c>
      <c r="C20260" t="s">
        <v>1078</v>
      </c>
      <c r="D20260" t="s">
        <v>84</v>
      </c>
    </row>
    <row r="20261" spans="1:4" x14ac:dyDescent="0.2">
      <c r="B20261" t="s">
        <v>78</v>
      </c>
    </row>
    <row r="20263" spans="1:4" x14ac:dyDescent="0.2">
      <c r="A20263" t="s">
        <v>6740</v>
      </c>
      <c r="B20263" t="str">
        <f>HYPERLINK("https://lindat.mff.cuni.cz/services/teitok/pdtc10/index.php?action=vallex&amp;frame=v-w2516f3_ZU", "oblékat (v-w2516f3_ZU)")</f>
        <v>oblékat (v-w2516f3_ZU)</v>
      </c>
    </row>
    <row r="20264" spans="1:4" x14ac:dyDescent="0.2">
      <c r="B20264" t="s">
        <v>1</v>
      </c>
    </row>
    <row r="20265" spans="1:4" x14ac:dyDescent="0.2">
      <c r="B20265" t="s">
        <v>8</v>
      </c>
    </row>
    <row r="20266" spans="1:4" x14ac:dyDescent="0.2">
      <c r="B20266" t="s">
        <v>130</v>
      </c>
    </row>
    <row r="20268" spans="1:4" x14ac:dyDescent="0.2">
      <c r="A20268" t="s">
        <v>6740</v>
      </c>
      <c r="B20268" t="str">
        <f>HYPERLINK("https://lindat.mff.cuni.cz/services/teitok/pdtc10/index.php?action=vallex&amp;frame=v-w2516f1", "oblékat (v-w2516f1) - substituted with v-w2516f3_ZU")</f>
        <v>oblékat (v-w2516f1) - substituted with v-w2516f3_ZU</v>
      </c>
    </row>
    <row r="20269" spans="1:4" x14ac:dyDescent="0.2">
      <c r="B20269" t="s">
        <v>1</v>
      </c>
    </row>
    <row r="20270" spans="1:4" x14ac:dyDescent="0.2">
      <c r="B20270" t="s">
        <v>8</v>
      </c>
    </row>
    <row r="20271" spans="1:4" x14ac:dyDescent="0.2">
      <c r="B20271" t="s">
        <v>130</v>
      </c>
    </row>
    <row r="20273" spans="1:4" x14ac:dyDescent="0.2">
      <c r="A20273" t="s">
        <v>6741</v>
      </c>
      <c r="B20273" t="str">
        <f>HYPERLINK("https://lindat.mff.cuni.cz/services/teitok/pdtc10/index.php?action=vallex&amp;frame=v-w2517f1", "oblékat se (v-w2517f1)")</f>
        <v>oblékat se (v-w2517f1)</v>
      </c>
    </row>
    <row r="20274" spans="1:4" x14ac:dyDescent="0.2">
      <c r="B20274" t="s">
        <v>1</v>
      </c>
      <c r="C20274" t="s">
        <v>133</v>
      </c>
      <c r="D20274" t="s">
        <v>133</v>
      </c>
    </row>
    <row r="20276" spans="1:4" x14ac:dyDescent="0.2">
      <c r="A20276" t="s">
        <v>6742</v>
      </c>
      <c r="B20276" t="str">
        <f>HYPERLINK("https://lindat.mff.cuni.cz/services/teitok/pdtc10/index.php?action=vallex&amp;frame=v-w2517hsa_1273", "oblékat se (v-w2517hsa_1273)")</f>
        <v>oblékat se (v-w2517hsa_1273)</v>
      </c>
    </row>
    <row r="20277" spans="1:4" x14ac:dyDescent="0.2">
      <c r="B20277" t="s">
        <v>1</v>
      </c>
    </row>
    <row r="20278" spans="1:4" x14ac:dyDescent="0.2">
      <c r="B20278" t="s">
        <v>3202</v>
      </c>
    </row>
    <row r="20280" spans="1:4" x14ac:dyDescent="0.2">
      <c r="A20280" t="s">
        <v>6743</v>
      </c>
      <c r="B20280" t="str">
        <f>HYPERLINK("https://lindat.mff.cuni.cz/services/teitok/pdtc10/index.php?action=vallex&amp;frame=v-w2518f1", "obléknout (v-w2518f1)")</f>
        <v>obléknout (v-w2518f1)</v>
      </c>
    </row>
    <row r="20281" spans="1:4" x14ac:dyDescent="0.2">
      <c r="B20281" t="s">
        <v>1</v>
      </c>
    </row>
    <row r="20282" spans="1:4" x14ac:dyDescent="0.2">
      <c r="B20282" t="s">
        <v>8</v>
      </c>
    </row>
    <row r="20283" spans="1:4" x14ac:dyDescent="0.2">
      <c r="B20283" t="s">
        <v>78</v>
      </c>
    </row>
    <row r="20285" spans="1:4" x14ac:dyDescent="0.2">
      <c r="A20285" t="s">
        <v>6744</v>
      </c>
      <c r="B20285" t="str">
        <f>HYPERLINK("https://lindat.mff.cuni.cz/services/teitok/pdtc10/index.php?action=vallex&amp;frame=v-w2518f2", "obléknout (v-w2518f2)")</f>
        <v>obléknout (v-w2518f2)</v>
      </c>
    </row>
    <row r="20286" spans="1:4" x14ac:dyDescent="0.2">
      <c r="B20286" t="s">
        <v>1</v>
      </c>
      <c r="C20286" t="s">
        <v>133</v>
      </c>
    </row>
    <row r="20287" spans="1:4" x14ac:dyDescent="0.2">
      <c r="B20287" t="s">
        <v>8</v>
      </c>
      <c r="C20287" t="s">
        <v>84</v>
      </c>
    </row>
    <row r="20289" spans="1:4" x14ac:dyDescent="0.2">
      <c r="A20289" t="s">
        <v>6745</v>
      </c>
      <c r="B20289" t="str">
        <f>HYPERLINK("https://lindat.mff.cuni.cz/services/teitok/pdtc10/index.php?action=vallex&amp;frame=v-w12053_ZUf1_ZU", "oblézt (v-w12053_ZUf1_ZU)")</f>
        <v>oblézt (v-w12053_ZUf1_ZU)</v>
      </c>
    </row>
    <row r="20290" spans="1:4" x14ac:dyDescent="0.2">
      <c r="B20290" t="s">
        <v>1</v>
      </c>
    </row>
    <row r="20291" spans="1:4" x14ac:dyDescent="0.2">
      <c r="B20291" t="s">
        <v>8</v>
      </c>
    </row>
    <row r="20293" spans="1:4" x14ac:dyDescent="0.2">
      <c r="A20293" t="s">
        <v>6746</v>
      </c>
      <c r="B20293" t="str">
        <f>HYPERLINK("https://lindat.mff.cuni.cz/services/teitok/pdtc10/index.php?action=vallex&amp;frame=v-w2521f1", "oblíbit si (v-w2521f1)")</f>
        <v>oblíbit si (v-w2521f1)</v>
      </c>
    </row>
    <row r="20294" spans="1:4" x14ac:dyDescent="0.2">
      <c r="B20294" t="s">
        <v>1</v>
      </c>
      <c r="C20294" t="s">
        <v>1065</v>
      </c>
      <c r="D20294" t="s">
        <v>2400</v>
      </c>
    </row>
    <row r="20295" spans="1:4" x14ac:dyDescent="0.2">
      <c r="B20295" t="s">
        <v>8</v>
      </c>
      <c r="C20295" t="s">
        <v>1510</v>
      </c>
      <c r="D20295" t="s">
        <v>23178</v>
      </c>
    </row>
    <row r="20297" spans="1:4" x14ac:dyDescent="0.2">
      <c r="A20297" t="s">
        <v>6747</v>
      </c>
      <c r="B20297" t="str">
        <f>HYPERLINK("https://lindat.mff.cuni.cz/services/teitok/pdtc10/index.php?action=vallex&amp;frame=v-w11875_ZUf1_ZU", "oblíkat (v-w11875_ZUf1_ZU)")</f>
        <v>oblíkat (v-w11875_ZUf1_ZU)</v>
      </c>
    </row>
    <row r="20298" spans="1:4" x14ac:dyDescent="0.2">
      <c r="B20298" t="s">
        <v>1</v>
      </c>
    </row>
    <row r="20299" spans="1:4" x14ac:dyDescent="0.2">
      <c r="B20299" t="s">
        <v>8</v>
      </c>
    </row>
    <row r="20300" spans="1:4" x14ac:dyDescent="0.2">
      <c r="B20300" t="s">
        <v>130</v>
      </c>
    </row>
    <row r="20302" spans="1:4" x14ac:dyDescent="0.2">
      <c r="A20302" t="s">
        <v>6748</v>
      </c>
      <c r="B20302" t="str">
        <f>HYPERLINK("https://lindat.mff.cuni.cz/services/teitok/pdtc10/index.php?action=vallex&amp;frame=v-whsa_1146hsa_1147", "oblíknout (v-whsa_1146hsa_1147)")</f>
        <v>oblíknout (v-whsa_1146hsa_1147)</v>
      </c>
    </row>
    <row r="20303" spans="1:4" x14ac:dyDescent="0.2">
      <c r="B20303" t="s">
        <v>1</v>
      </c>
    </row>
    <row r="20304" spans="1:4" x14ac:dyDescent="0.2">
      <c r="B20304" t="s">
        <v>8</v>
      </c>
    </row>
    <row r="20305" spans="1:4" x14ac:dyDescent="0.2">
      <c r="B20305" t="s">
        <v>130</v>
      </c>
    </row>
    <row r="20307" spans="1:4" x14ac:dyDescent="0.2">
      <c r="A20307" t="s">
        <v>6749</v>
      </c>
      <c r="B20307" t="str">
        <f>HYPERLINK("https://lindat.mff.cuni.cz/services/teitok/pdtc10/index.php?action=vallex&amp;frame=v-w2524f1", "obmyslet (v-w2524f1)")</f>
        <v>obmyslet (v-w2524f1)</v>
      </c>
    </row>
    <row r="20308" spans="1:4" x14ac:dyDescent="0.2">
      <c r="B20308" t="s">
        <v>1</v>
      </c>
    </row>
    <row r="20309" spans="1:4" x14ac:dyDescent="0.2">
      <c r="B20309" t="s">
        <v>8</v>
      </c>
    </row>
    <row r="20311" spans="1:4" x14ac:dyDescent="0.2">
      <c r="A20311" t="s">
        <v>6750</v>
      </c>
      <c r="B20311" t="str">
        <f>HYPERLINK("https://lindat.mff.cuni.cz/services/teitok/pdtc10/index.php?action=vallex&amp;frame=v-w11100f2", "obměkčit (v-w11100f2)")</f>
        <v>obměkčit (v-w11100f2)</v>
      </c>
    </row>
    <row r="20312" spans="1:4" x14ac:dyDescent="0.2">
      <c r="B20312" t="s">
        <v>1</v>
      </c>
    </row>
    <row r="20313" spans="1:4" x14ac:dyDescent="0.2">
      <c r="B20313" t="s">
        <v>8</v>
      </c>
    </row>
    <row r="20315" spans="1:4" x14ac:dyDescent="0.2">
      <c r="A20315" t="s">
        <v>6751</v>
      </c>
      <c r="B20315" t="str">
        <f>HYPERLINK("https://lindat.mff.cuni.cz/services/teitok/pdtc10/index.php?action=vallex&amp;frame=v-w10636f3_ZU", "obměňovat (v-w10636f3_ZU)")</f>
        <v>obměňovat (v-w10636f3_ZU)</v>
      </c>
    </row>
    <row r="20316" spans="1:4" x14ac:dyDescent="0.2">
      <c r="B20316" t="s">
        <v>1</v>
      </c>
    </row>
    <row r="20317" spans="1:4" x14ac:dyDescent="0.2">
      <c r="B20317" t="s">
        <v>8</v>
      </c>
    </row>
    <row r="20319" spans="1:4" x14ac:dyDescent="0.2">
      <c r="A20319" t="s">
        <v>6751</v>
      </c>
      <c r="B20319" t="str">
        <f>HYPERLINK("https://lindat.mff.cuni.cz/services/teitok/pdtc10/index.php?action=vallex&amp;frame=v-w10636f2", "obměňovat (v-w10636f2) - substituted with v-w10636f3_ZU")</f>
        <v>obměňovat (v-w10636f2) - substituted with v-w10636f3_ZU</v>
      </c>
    </row>
    <row r="20320" spans="1:4" x14ac:dyDescent="0.2">
      <c r="B20320" t="s">
        <v>1</v>
      </c>
      <c r="C20320" t="s">
        <v>5063</v>
      </c>
      <c r="D20320" t="s">
        <v>23505</v>
      </c>
    </row>
    <row r="20321" spans="1:4" x14ac:dyDescent="0.2">
      <c r="B20321" t="s">
        <v>8</v>
      </c>
      <c r="C20321" t="s">
        <v>6752</v>
      </c>
      <c r="D20321" t="s">
        <v>23612</v>
      </c>
    </row>
    <row r="20323" spans="1:4" x14ac:dyDescent="0.2">
      <c r="A20323" t="s">
        <v>6753</v>
      </c>
      <c r="B20323" t="str">
        <f>HYPERLINK("https://lindat.mff.cuni.cz/services/teitok/pdtc10/index.php?action=vallex&amp;frame=v-w2526f1", "obnažovat (v-w2526f1)")</f>
        <v>obnažovat (v-w2526f1)</v>
      </c>
    </row>
    <row r="20324" spans="1:4" x14ac:dyDescent="0.2">
      <c r="B20324" t="s">
        <v>1</v>
      </c>
    </row>
    <row r="20325" spans="1:4" x14ac:dyDescent="0.2">
      <c r="B20325" t="s">
        <v>8</v>
      </c>
    </row>
    <row r="20327" spans="1:4" x14ac:dyDescent="0.2">
      <c r="A20327" t="s">
        <v>6754</v>
      </c>
      <c r="B20327" t="str">
        <f>HYPERLINK("https://lindat.mff.cuni.cz/services/teitok/pdtc10/index.php?action=vallex&amp;frame=v-w10173f2", "obnosit (v-w10173f2)")</f>
        <v>obnosit (v-w10173f2)</v>
      </c>
    </row>
    <row r="20328" spans="1:4" x14ac:dyDescent="0.2">
      <c r="B20328" t="s">
        <v>1</v>
      </c>
    </row>
    <row r="20329" spans="1:4" x14ac:dyDescent="0.2">
      <c r="B20329" t="s">
        <v>8</v>
      </c>
    </row>
    <row r="20331" spans="1:4" x14ac:dyDescent="0.2">
      <c r="A20331" t="s">
        <v>6755</v>
      </c>
      <c r="B20331" t="str">
        <f>HYPERLINK("https://lindat.mff.cuni.cz/services/teitok/pdtc10/index.php?action=vallex&amp;frame=v-w2529f1", "obnovit (v-w2529f1)")</f>
        <v>obnovit (v-w2529f1)</v>
      </c>
    </row>
    <row r="20332" spans="1:4" x14ac:dyDescent="0.2">
      <c r="B20332" t="s">
        <v>1</v>
      </c>
      <c r="C20332" t="s">
        <v>6756</v>
      </c>
      <c r="D20332" t="s">
        <v>23613</v>
      </c>
    </row>
    <row r="20333" spans="1:4" x14ac:dyDescent="0.2">
      <c r="B20333" t="s">
        <v>8</v>
      </c>
      <c r="C20333" t="s">
        <v>6757</v>
      </c>
      <c r="D20333" t="s">
        <v>12206</v>
      </c>
    </row>
    <row r="20335" spans="1:4" x14ac:dyDescent="0.2">
      <c r="A20335" t="s">
        <v>6758</v>
      </c>
      <c r="B20335" t="str">
        <f>HYPERLINK("https://lindat.mff.cuni.cz/services/teitok/pdtc10/index.php?action=vallex&amp;frame=v-whsa_233hsa_234", "obnovit se (v-whsa_233hsa_234)")</f>
        <v>obnovit se (v-whsa_233hsa_234)</v>
      </c>
    </row>
    <row r="20336" spans="1:4" x14ac:dyDescent="0.2">
      <c r="B20336" t="s">
        <v>1</v>
      </c>
    </row>
    <row r="20338" spans="1:4" x14ac:dyDescent="0.2">
      <c r="A20338" t="s">
        <v>6759</v>
      </c>
      <c r="B20338" t="str">
        <f>HYPERLINK("https://lindat.mff.cuni.cz/services/teitok/pdtc10/index.php?action=vallex&amp;frame=v-w2531f1", "obnovovat (v-w2531f1)")</f>
        <v>obnovovat (v-w2531f1)</v>
      </c>
    </row>
    <row r="20339" spans="1:4" x14ac:dyDescent="0.2">
      <c r="B20339" t="s">
        <v>1</v>
      </c>
      <c r="C20339" t="s">
        <v>6760</v>
      </c>
      <c r="D20339" t="s">
        <v>23613</v>
      </c>
    </row>
    <row r="20340" spans="1:4" x14ac:dyDescent="0.2">
      <c r="B20340" t="s">
        <v>8</v>
      </c>
      <c r="C20340" t="s">
        <v>1351</v>
      </c>
      <c r="D20340" t="s">
        <v>12206</v>
      </c>
    </row>
    <row r="20342" spans="1:4" x14ac:dyDescent="0.2">
      <c r="A20342" t="s">
        <v>6761</v>
      </c>
      <c r="B20342" t="str">
        <f>HYPERLINK("https://lindat.mff.cuni.cz/services/teitok/pdtc10/index.php?action=vallex&amp;frame=v-w2531f2_ZU", "obnovovat (v-w2531f2_ZU)")</f>
        <v>obnovovat (v-w2531f2_ZU)</v>
      </c>
    </row>
    <row r="20343" spans="1:4" x14ac:dyDescent="0.2">
      <c r="B20343" t="s">
        <v>1</v>
      </c>
    </row>
    <row r="20344" spans="1:4" x14ac:dyDescent="0.2">
      <c r="B20344" t="s">
        <v>8</v>
      </c>
    </row>
    <row r="20346" spans="1:4" x14ac:dyDescent="0.2">
      <c r="A20346" t="s">
        <v>6762</v>
      </c>
      <c r="B20346" t="str">
        <f>HYPERLINK("https://lindat.mff.cuni.cz/services/teitok/pdtc10/index.php?action=vallex&amp;frame=v-w2532f1", "obnovovat se (v-w2532f1)")</f>
        <v>obnovovat se (v-w2532f1)</v>
      </c>
    </row>
    <row r="20347" spans="1:4" x14ac:dyDescent="0.2">
      <c r="B20347" t="s">
        <v>1</v>
      </c>
      <c r="D20347" t="s">
        <v>23614</v>
      </c>
    </row>
    <row r="20349" spans="1:4" x14ac:dyDescent="0.2">
      <c r="A20349" t="s">
        <v>6763</v>
      </c>
      <c r="B20349" t="str">
        <f>HYPERLINK("https://lindat.mff.cuni.cz/services/teitok/pdtc10/index.php?action=vallex&amp;frame=v-w2525f1", "obnášet (v-w2525f1)")</f>
        <v>obnášet (v-w2525f1)</v>
      </c>
    </row>
    <row r="20350" spans="1:4" x14ac:dyDescent="0.2">
      <c r="B20350" t="s">
        <v>1</v>
      </c>
      <c r="C20350" t="s">
        <v>6764</v>
      </c>
      <c r="D20350" t="s">
        <v>23615</v>
      </c>
    </row>
    <row r="20351" spans="1:4" x14ac:dyDescent="0.2">
      <c r="B20351" t="s">
        <v>8</v>
      </c>
      <c r="C20351" t="s">
        <v>6765</v>
      </c>
      <c r="D20351" t="s">
        <v>1696</v>
      </c>
    </row>
    <row r="20353" spans="1:4" x14ac:dyDescent="0.2">
      <c r="A20353" t="s">
        <v>6766</v>
      </c>
      <c r="B20353" t="str">
        <f>HYPERLINK("https://lindat.mff.cuni.cz/services/teitok/pdtc10/index.php?action=vallex&amp;frame=v-w2525f2", "obnášet (v-w2525f2)")</f>
        <v>obnášet (v-w2525f2)</v>
      </c>
    </row>
    <row r="20354" spans="1:4" x14ac:dyDescent="0.2">
      <c r="B20354" t="s">
        <v>1</v>
      </c>
      <c r="C20354" t="s">
        <v>1992</v>
      </c>
      <c r="D20354" t="s">
        <v>23183</v>
      </c>
    </row>
    <row r="20355" spans="1:4" x14ac:dyDescent="0.2">
      <c r="B20355" t="s">
        <v>524</v>
      </c>
      <c r="C20355" t="s">
        <v>6767</v>
      </c>
      <c r="D20355" t="s">
        <v>23616</v>
      </c>
    </row>
    <row r="20357" spans="1:4" x14ac:dyDescent="0.2">
      <c r="A20357" t="s">
        <v>6768</v>
      </c>
      <c r="B20357" t="str">
        <f>HYPERLINK("https://lindat.mff.cuni.cz/services/teitok/pdtc10/index.php?action=vallex&amp;frame=v-w2535f1", "obohacovat (v-w2535f1)")</f>
        <v>obohacovat (v-w2535f1)</v>
      </c>
    </row>
    <row r="20358" spans="1:4" x14ac:dyDescent="0.2">
      <c r="B20358" t="s">
        <v>1</v>
      </c>
      <c r="C20358" t="s">
        <v>140</v>
      </c>
      <c r="D20358" t="s">
        <v>140</v>
      </c>
    </row>
    <row r="20359" spans="1:4" x14ac:dyDescent="0.2">
      <c r="B20359" t="s">
        <v>8</v>
      </c>
      <c r="C20359" t="s">
        <v>991</v>
      </c>
      <c r="D20359" t="s">
        <v>23617</v>
      </c>
    </row>
    <row r="20360" spans="1:4" x14ac:dyDescent="0.2">
      <c r="B20360" t="s">
        <v>1761</v>
      </c>
    </row>
    <row r="20362" spans="1:4" x14ac:dyDescent="0.2">
      <c r="A20362" t="s">
        <v>6769</v>
      </c>
      <c r="B20362" t="str">
        <f>HYPERLINK("https://lindat.mff.cuni.cz/services/teitok/pdtc10/index.php?action=vallex&amp;frame=v-w2536f1", "obohatit (v-w2536f1)")</f>
        <v>obohatit (v-w2536f1)</v>
      </c>
    </row>
    <row r="20363" spans="1:4" x14ac:dyDescent="0.2">
      <c r="B20363" t="s">
        <v>1</v>
      </c>
      <c r="C20363" t="s">
        <v>6770</v>
      </c>
      <c r="D20363" t="s">
        <v>140</v>
      </c>
    </row>
    <row r="20364" spans="1:4" x14ac:dyDescent="0.2">
      <c r="B20364" t="s">
        <v>8</v>
      </c>
      <c r="D20364" t="s">
        <v>23617</v>
      </c>
    </row>
    <row r="20365" spans="1:4" x14ac:dyDescent="0.2">
      <c r="B20365" t="s">
        <v>1761</v>
      </c>
      <c r="C20365" t="s">
        <v>6771</v>
      </c>
    </row>
    <row r="20367" spans="1:4" x14ac:dyDescent="0.2">
      <c r="A20367" t="s">
        <v>6772</v>
      </c>
      <c r="B20367" t="str">
        <f>HYPERLINK("https://lindat.mff.cuni.cz/services/teitok/pdtc10/index.php?action=vallex&amp;frame=v-w2538f1", "obouvat (v-w2538f1)")</f>
        <v>obouvat (v-w2538f1)</v>
      </c>
    </row>
    <row r="20368" spans="1:4" x14ac:dyDescent="0.2">
      <c r="B20368" t="s">
        <v>1</v>
      </c>
    </row>
    <row r="20369" spans="1:4" x14ac:dyDescent="0.2">
      <c r="B20369" t="s">
        <v>8</v>
      </c>
    </row>
    <row r="20371" spans="1:4" x14ac:dyDescent="0.2">
      <c r="A20371" t="s">
        <v>6773</v>
      </c>
      <c r="B20371" t="str">
        <f>HYPERLINK("https://lindat.mff.cuni.cz/services/teitok/pdtc10/index.php?action=vallex&amp;frame=v-w2537f1", "obořit se (v-w2537f1)")</f>
        <v>obořit se (v-w2537f1)</v>
      </c>
    </row>
    <row r="20372" spans="1:4" x14ac:dyDescent="0.2">
      <c r="B20372" t="s">
        <v>1</v>
      </c>
      <c r="C20372" t="s">
        <v>140</v>
      </c>
      <c r="D20372" t="s">
        <v>23618</v>
      </c>
    </row>
    <row r="20373" spans="1:4" x14ac:dyDescent="0.2">
      <c r="B20373" t="s">
        <v>28</v>
      </c>
      <c r="D20373" t="s">
        <v>338</v>
      </c>
    </row>
    <row r="20375" spans="1:4" x14ac:dyDescent="0.2">
      <c r="A20375" t="s">
        <v>6774</v>
      </c>
      <c r="B20375" t="str">
        <f>HYPERLINK("https://lindat.mff.cuni.cz/services/teitok/pdtc10/index.php?action=vallex&amp;frame=v-w2541f5_ZU", "obracet (v-w2541f5_ZU)")</f>
        <v>obracet (v-w2541f5_ZU)</v>
      </c>
    </row>
    <row r="20376" spans="1:4" x14ac:dyDescent="0.2">
      <c r="B20376" t="s">
        <v>1</v>
      </c>
      <c r="C20376" t="s">
        <v>133</v>
      </c>
      <c r="D20376" t="s">
        <v>23069</v>
      </c>
    </row>
    <row r="20377" spans="1:4" x14ac:dyDescent="0.2">
      <c r="B20377" t="s">
        <v>8</v>
      </c>
      <c r="C20377" t="s">
        <v>23</v>
      </c>
      <c r="D20377" t="s">
        <v>23070</v>
      </c>
    </row>
    <row r="20378" spans="1:4" x14ac:dyDescent="0.2">
      <c r="B20378" t="s">
        <v>88</v>
      </c>
      <c r="D20378" t="s">
        <v>23619</v>
      </c>
    </row>
    <row r="20380" spans="1:4" x14ac:dyDescent="0.2">
      <c r="A20380" t="s">
        <v>6775</v>
      </c>
      <c r="B20380" t="str">
        <f>HYPERLINK("https://lindat.mff.cuni.cz/services/teitok/pdtc10/index.php?action=vallex&amp;frame=v-w2541f1", "obracet (v-w2541f1)")</f>
        <v>obracet (v-w2541f1)</v>
      </c>
    </row>
    <row r="20381" spans="1:4" x14ac:dyDescent="0.2">
      <c r="B20381" t="s">
        <v>1</v>
      </c>
      <c r="C20381" t="s">
        <v>4110</v>
      </c>
      <c r="D20381" t="s">
        <v>22944</v>
      </c>
    </row>
    <row r="20382" spans="1:4" x14ac:dyDescent="0.2">
      <c r="B20382" t="s">
        <v>8</v>
      </c>
      <c r="C20382" t="s">
        <v>6776</v>
      </c>
      <c r="D20382" t="s">
        <v>22945</v>
      </c>
    </row>
    <row r="20383" spans="1:4" x14ac:dyDescent="0.2">
      <c r="B20383" t="s">
        <v>6777</v>
      </c>
      <c r="C20383" t="s">
        <v>6778</v>
      </c>
      <c r="D20383" t="s">
        <v>22947</v>
      </c>
    </row>
    <row r="20385" spans="1:4" x14ac:dyDescent="0.2">
      <c r="A20385" t="s">
        <v>6779</v>
      </c>
      <c r="B20385" t="str">
        <f>HYPERLINK("https://lindat.mff.cuni.cz/services/teitok/pdtc10/index.php?action=vallex&amp;frame=v-w2541f4", "obracet (v-w2541f4)")</f>
        <v>obracet (v-w2541f4)</v>
      </c>
    </row>
    <row r="20386" spans="1:4" x14ac:dyDescent="0.2">
      <c r="B20386" t="s">
        <v>1</v>
      </c>
    </row>
    <row r="20387" spans="1:4" x14ac:dyDescent="0.2">
      <c r="B20387" t="s">
        <v>8</v>
      </c>
    </row>
    <row r="20389" spans="1:4" x14ac:dyDescent="0.2">
      <c r="A20389" t="s">
        <v>6780</v>
      </c>
      <c r="B20389" t="str">
        <f>HYPERLINK("https://lindat.mff.cuni.cz/services/teitok/pdtc10/index.php?action=vallex&amp;frame=v-w2541f3", "obracet (v-w2541f3)")</f>
        <v>obracet (v-w2541f3)</v>
      </c>
    </row>
    <row r="20390" spans="1:4" x14ac:dyDescent="0.2">
      <c r="B20390" t="s">
        <v>1</v>
      </c>
      <c r="D20390" t="s">
        <v>23620</v>
      </c>
    </row>
    <row r="20391" spans="1:4" x14ac:dyDescent="0.2">
      <c r="B20391" t="s">
        <v>6781</v>
      </c>
      <c r="D20391" t="s">
        <v>23621</v>
      </c>
    </row>
    <row r="20392" spans="1:4" x14ac:dyDescent="0.2">
      <c r="B20392" t="s">
        <v>90</v>
      </c>
    </row>
    <row r="20394" spans="1:4" x14ac:dyDescent="0.2">
      <c r="A20394" t="s">
        <v>6782</v>
      </c>
      <c r="B20394" t="str">
        <f>HYPERLINK("https://lindat.mff.cuni.cz/services/teitok/pdtc10/index.php?action=vallex&amp;frame=v-w2541f2", "obracet (v-w2541f2)")</f>
        <v>obracet (v-w2541f2)</v>
      </c>
    </row>
    <row r="20395" spans="1:4" x14ac:dyDescent="0.2">
      <c r="B20395" t="s">
        <v>1</v>
      </c>
    </row>
    <row r="20396" spans="1:4" x14ac:dyDescent="0.2">
      <c r="B20396" t="s">
        <v>759</v>
      </c>
    </row>
    <row r="20397" spans="1:4" x14ac:dyDescent="0.2">
      <c r="B20397" t="s">
        <v>8</v>
      </c>
    </row>
    <row r="20399" spans="1:4" x14ac:dyDescent="0.2">
      <c r="A20399" t="s">
        <v>6783</v>
      </c>
      <c r="B20399" t="str">
        <f>HYPERLINK("https://lindat.mff.cuni.cz/services/teitok/pdtc10/index.php?action=vallex&amp;frame=v-w2542f5", "obracet se (v-w2542f5)")</f>
        <v>obracet se (v-w2542f5)</v>
      </c>
    </row>
    <row r="20400" spans="1:4" x14ac:dyDescent="0.2">
      <c r="B20400" t="s">
        <v>1</v>
      </c>
    </row>
    <row r="20401" spans="1:4" x14ac:dyDescent="0.2">
      <c r="B20401" t="s">
        <v>3788</v>
      </c>
    </row>
    <row r="20403" spans="1:4" x14ac:dyDescent="0.2">
      <c r="A20403" t="s">
        <v>6784</v>
      </c>
      <c r="B20403" t="str">
        <f>HYPERLINK("https://lindat.mff.cuni.cz/services/teitok/pdtc10/index.php?action=vallex&amp;frame=v-w2542f1", "obracet se (v-w2542f1)")</f>
        <v>obracet se (v-w2542f1)</v>
      </c>
    </row>
    <row r="20404" spans="1:4" x14ac:dyDescent="0.2">
      <c r="B20404" t="s">
        <v>1</v>
      </c>
      <c r="C20404" t="s">
        <v>6785</v>
      </c>
      <c r="D20404" t="s">
        <v>23622</v>
      </c>
    </row>
    <row r="20405" spans="1:4" x14ac:dyDescent="0.2">
      <c r="B20405" t="s">
        <v>6786</v>
      </c>
      <c r="C20405" t="s">
        <v>6787</v>
      </c>
      <c r="D20405" t="s">
        <v>23623</v>
      </c>
    </row>
    <row r="20406" spans="1:4" x14ac:dyDescent="0.2">
      <c r="B20406" t="s">
        <v>6788</v>
      </c>
      <c r="C20406" t="s">
        <v>202</v>
      </c>
      <c r="D20406" t="s">
        <v>23624</v>
      </c>
    </row>
    <row r="20408" spans="1:4" x14ac:dyDescent="0.2">
      <c r="A20408" t="s">
        <v>6789</v>
      </c>
      <c r="B20408" t="str">
        <f>HYPERLINK("https://lindat.mff.cuni.cz/services/teitok/pdtc10/index.php?action=vallex&amp;frame=v-w2542f2", "obracet se (v-w2542f2)")</f>
        <v>obracet se (v-w2542f2)</v>
      </c>
    </row>
    <row r="20409" spans="1:4" x14ac:dyDescent="0.2">
      <c r="B20409" t="s">
        <v>1</v>
      </c>
      <c r="C20409" t="s">
        <v>6790</v>
      </c>
    </row>
    <row r="20411" spans="1:4" x14ac:dyDescent="0.2">
      <c r="A20411" t="s">
        <v>6791</v>
      </c>
      <c r="B20411" t="str">
        <f>HYPERLINK("https://lindat.mff.cuni.cz/services/teitok/pdtc10/index.php?action=vallex&amp;frame=v-w2542f4", "obracet se (v-w2542f4)")</f>
        <v>obracet se (v-w2542f4)</v>
      </c>
    </row>
    <row r="20412" spans="1:4" x14ac:dyDescent="0.2">
      <c r="B20412" t="s">
        <v>1</v>
      </c>
    </row>
    <row r="20414" spans="1:4" x14ac:dyDescent="0.2">
      <c r="A20414" t="s">
        <v>6792</v>
      </c>
      <c r="B20414" t="str">
        <f>HYPERLINK("https://lindat.mff.cuni.cz/services/teitok/pdtc10/index.php?action=vallex&amp;frame=v-w2542f3", "obracet se (v-w2542f3)")</f>
        <v>obracet se (v-w2542f3)</v>
      </c>
    </row>
    <row r="20415" spans="1:4" x14ac:dyDescent="0.2">
      <c r="B20415" t="s">
        <v>1</v>
      </c>
      <c r="C20415" t="s">
        <v>6793</v>
      </c>
      <c r="D20415" t="s">
        <v>140</v>
      </c>
    </row>
    <row r="20416" spans="1:4" x14ac:dyDescent="0.2">
      <c r="B20416" t="s">
        <v>6794</v>
      </c>
    </row>
    <row r="20418" spans="1:2" x14ac:dyDescent="0.2">
      <c r="A20418" t="s">
        <v>6795</v>
      </c>
      <c r="B20418" t="str">
        <f>HYPERLINK("https://lindat.mff.cuni.cz/services/teitok/pdtc10/index.php?action=vallex&amp;frame=v-w2542f6_ZU", "obracet se (v-w2542f6_ZU)")</f>
        <v>obracet se (v-w2542f6_ZU)</v>
      </c>
    </row>
    <row r="20419" spans="1:2" x14ac:dyDescent="0.2">
      <c r="B20419" t="s">
        <v>1</v>
      </c>
    </row>
    <row r="20420" spans="1:2" x14ac:dyDescent="0.2">
      <c r="B20420" t="s">
        <v>6796</v>
      </c>
    </row>
    <row r="20421" spans="1:2" x14ac:dyDescent="0.2">
      <c r="B20421" t="s">
        <v>176</v>
      </c>
    </row>
    <row r="20423" spans="1:2" x14ac:dyDescent="0.2">
      <c r="A20423" t="s">
        <v>6795</v>
      </c>
      <c r="B20423" t="str">
        <f>HYPERLINK("https://lindat.mff.cuni.cz/services/teitok/pdtc10/index.php?action=vallex&amp;frame=v-w2542hsa_516", "obracet se (v-w2542hsa_516) - substituted with v-w2542f6_ZU")</f>
        <v>obracet se (v-w2542hsa_516) - substituted with v-w2542f6_ZU</v>
      </c>
    </row>
    <row r="20424" spans="1:2" x14ac:dyDescent="0.2">
      <c r="B20424" t="s">
        <v>1</v>
      </c>
    </row>
    <row r="20425" spans="1:2" x14ac:dyDescent="0.2">
      <c r="B20425" t="s">
        <v>6796</v>
      </c>
    </row>
    <row r="20426" spans="1:2" x14ac:dyDescent="0.2">
      <c r="B20426" t="s">
        <v>176</v>
      </c>
    </row>
    <row r="20428" spans="1:2" x14ac:dyDescent="0.2">
      <c r="A20428" t="s">
        <v>6797</v>
      </c>
      <c r="B20428" t="str">
        <f>HYPERLINK("https://lindat.mff.cuni.cz/services/teitok/pdtc10/index.php?action=vallex&amp;frame=v-w2545f1", "obrat (v-w2545f1)")</f>
        <v>obrat (v-w2545f1)</v>
      </c>
    </row>
    <row r="20429" spans="1:2" x14ac:dyDescent="0.2">
      <c r="B20429" t="s">
        <v>1</v>
      </c>
    </row>
    <row r="20430" spans="1:2" x14ac:dyDescent="0.2">
      <c r="B20430" t="s">
        <v>58</v>
      </c>
    </row>
    <row r="20431" spans="1:2" x14ac:dyDescent="0.2">
      <c r="B20431" t="s">
        <v>2287</v>
      </c>
    </row>
    <row r="20433" spans="1:2" x14ac:dyDescent="0.2">
      <c r="A20433" t="s">
        <v>6798</v>
      </c>
      <c r="B20433" t="str">
        <f>HYPERLINK("https://lindat.mff.cuni.cz/services/teitok/pdtc10/index.php?action=vallex&amp;frame=v-w2545f2_ZU", "obrat (v-w2545f2_ZU)")</f>
        <v>obrat (v-w2545f2_ZU)</v>
      </c>
    </row>
    <row r="20434" spans="1:2" x14ac:dyDescent="0.2">
      <c r="B20434" t="s">
        <v>1</v>
      </c>
    </row>
    <row r="20435" spans="1:2" x14ac:dyDescent="0.2">
      <c r="B20435" t="s">
        <v>8</v>
      </c>
    </row>
    <row r="20437" spans="1:2" x14ac:dyDescent="0.2">
      <c r="A20437" t="s">
        <v>6799</v>
      </c>
      <c r="B20437" t="str">
        <f>HYPERLINK("https://lindat.mff.cuni.cz/services/teitok/pdtc10/index.php?action=vallex&amp;frame=v-w11848_ZUf1_ZU", "obrečet (v-w11848_ZUf1_ZU)")</f>
        <v>obrečet (v-w11848_ZUf1_ZU)</v>
      </c>
    </row>
    <row r="20438" spans="1:2" x14ac:dyDescent="0.2">
      <c r="B20438" t="s">
        <v>1</v>
      </c>
    </row>
    <row r="20439" spans="1:2" x14ac:dyDescent="0.2">
      <c r="B20439" t="s">
        <v>8</v>
      </c>
    </row>
    <row r="20441" spans="1:2" x14ac:dyDescent="0.2">
      <c r="A20441" t="s">
        <v>6800</v>
      </c>
      <c r="B20441" t="str">
        <f>HYPERLINK("https://lindat.mff.cuni.cz/services/teitok/pdtc10/index.php?action=vallex&amp;frame=v-whsa_446hsa_447", "obrnit se (v-whsa_446hsa_447)")</f>
        <v>obrnit se (v-whsa_446hsa_447)</v>
      </c>
    </row>
    <row r="20442" spans="1:2" x14ac:dyDescent="0.2">
      <c r="B20442" t="s">
        <v>1</v>
      </c>
    </row>
    <row r="20443" spans="1:2" x14ac:dyDescent="0.2">
      <c r="B20443" t="s">
        <v>1310</v>
      </c>
    </row>
    <row r="20445" spans="1:2" x14ac:dyDescent="0.2">
      <c r="A20445" t="s">
        <v>6801</v>
      </c>
      <c r="B20445" t="str">
        <f>HYPERLINK("https://lindat.mff.cuni.cz/services/teitok/pdtc10/index.php?action=vallex&amp;frame=v-w11423f1", "obrnit si (v-w11423f1)")</f>
        <v>obrnit si (v-w11423f1)</v>
      </c>
    </row>
    <row r="20446" spans="1:2" x14ac:dyDescent="0.2">
      <c r="B20446" t="s">
        <v>1</v>
      </c>
    </row>
    <row r="20447" spans="1:2" x14ac:dyDescent="0.2">
      <c r="B20447" t="s">
        <v>5287</v>
      </c>
    </row>
    <row r="20449" spans="1:4" x14ac:dyDescent="0.2">
      <c r="A20449" t="s">
        <v>6802</v>
      </c>
      <c r="B20449" t="str">
        <f>HYPERLINK("https://lindat.mff.cuni.cz/services/teitok/pdtc10/index.php?action=vallex&amp;frame=v-w2552f1", "obrodit (v-w2552f1)")</f>
        <v>obrodit (v-w2552f1)</v>
      </c>
    </row>
    <row r="20450" spans="1:4" x14ac:dyDescent="0.2">
      <c r="B20450" t="s">
        <v>1</v>
      </c>
    </row>
    <row r="20451" spans="1:4" x14ac:dyDescent="0.2">
      <c r="B20451" t="s">
        <v>8</v>
      </c>
    </row>
    <row r="20453" spans="1:4" x14ac:dyDescent="0.2">
      <c r="A20453" t="s">
        <v>6803</v>
      </c>
      <c r="B20453" t="str">
        <f>HYPERLINK("https://lindat.mff.cuni.cz/services/teitok/pdtc10/index.php?action=vallex&amp;frame=v-w2553f1", "obrodit se (v-w2553f1)")</f>
        <v>obrodit se (v-w2553f1)</v>
      </c>
    </row>
    <row r="20454" spans="1:4" x14ac:dyDescent="0.2">
      <c r="B20454" t="s">
        <v>1</v>
      </c>
    </row>
    <row r="20455" spans="1:4" x14ac:dyDescent="0.2">
      <c r="B20455" t="s">
        <v>438</v>
      </c>
    </row>
    <row r="20457" spans="1:4" x14ac:dyDescent="0.2">
      <c r="A20457" t="s">
        <v>6804</v>
      </c>
      <c r="B20457" t="str">
        <f>HYPERLINK("https://lindat.mff.cuni.cz/services/teitok/pdtc10/index.php?action=vallex&amp;frame=v-w2555f1", "obrousit (v-w2555f1)")</f>
        <v>obrousit (v-w2555f1)</v>
      </c>
    </row>
    <row r="20458" spans="1:4" x14ac:dyDescent="0.2">
      <c r="B20458" t="s">
        <v>1</v>
      </c>
      <c r="D20458" t="s">
        <v>133</v>
      </c>
    </row>
    <row r="20459" spans="1:4" x14ac:dyDescent="0.2">
      <c r="B20459" t="s">
        <v>8</v>
      </c>
      <c r="D20459" t="s">
        <v>113</v>
      </c>
    </row>
    <row r="20461" spans="1:4" x14ac:dyDescent="0.2">
      <c r="A20461" t="s">
        <v>6805</v>
      </c>
      <c r="B20461" t="str">
        <f>HYPERLINK("https://lindat.mff.cuni.cz/services/teitok/pdtc10/index.php?action=vallex&amp;frame=v-whsa_1599hsa_1600", "obrábět (v-whsa_1599hsa_1600)")</f>
        <v>obrábět (v-whsa_1599hsa_1600)</v>
      </c>
    </row>
    <row r="20462" spans="1:4" x14ac:dyDescent="0.2">
      <c r="B20462" t="s">
        <v>1</v>
      </c>
    </row>
    <row r="20463" spans="1:4" x14ac:dyDescent="0.2">
      <c r="B20463" t="s">
        <v>8</v>
      </c>
    </row>
    <row r="20465" spans="1:4" x14ac:dyDescent="0.2">
      <c r="A20465" t="s">
        <v>6806</v>
      </c>
      <c r="B20465" t="str">
        <f>HYPERLINK("https://lindat.mff.cuni.cz/services/teitok/pdtc10/index.php?action=vallex&amp;frame=v-w2547f3", "obrátit (v-w2547f3)")</f>
        <v>obrátit (v-w2547f3)</v>
      </c>
    </row>
    <row r="20466" spans="1:4" x14ac:dyDescent="0.2">
      <c r="B20466" t="s">
        <v>1</v>
      </c>
      <c r="D20466" t="s">
        <v>23069</v>
      </c>
    </row>
    <row r="20467" spans="1:4" x14ac:dyDescent="0.2">
      <c r="B20467" t="s">
        <v>8</v>
      </c>
      <c r="D20467" t="s">
        <v>23070</v>
      </c>
    </row>
    <row r="20468" spans="1:4" x14ac:dyDescent="0.2">
      <c r="B20468" t="s">
        <v>6807</v>
      </c>
      <c r="D20468" t="s">
        <v>23619</v>
      </c>
    </row>
    <row r="20470" spans="1:4" x14ac:dyDescent="0.2">
      <c r="A20470" t="s">
        <v>6808</v>
      </c>
      <c r="B20470" t="str">
        <f>HYPERLINK("https://lindat.mff.cuni.cz/services/teitok/pdtc10/index.php?action=vallex&amp;frame=v-w2547f7", "obrátit (v-w2547f7)")</f>
        <v>obrátit (v-w2547f7)</v>
      </c>
    </row>
    <row r="20471" spans="1:4" x14ac:dyDescent="0.2">
      <c r="B20471" t="s">
        <v>1</v>
      </c>
      <c r="C20471" t="s">
        <v>4110</v>
      </c>
      <c r="D20471" t="s">
        <v>22944</v>
      </c>
    </row>
    <row r="20472" spans="1:4" x14ac:dyDescent="0.2">
      <c r="B20472" t="s">
        <v>8</v>
      </c>
      <c r="C20472" t="s">
        <v>6776</v>
      </c>
      <c r="D20472" t="s">
        <v>22945</v>
      </c>
    </row>
    <row r="20473" spans="1:4" x14ac:dyDescent="0.2">
      <c r="B20473" t="s">
        <v>6777</v>
      </c>
      <c r="C20473" t="s">
        <v>6778</v>
      </c>
      <c r="D20473" t="s">
        <v>22947</v>
      </c>
    </row>
    <row r="20475" spans="1:4" x14ac:dyDescent="0.2">
      <c r="A20475" t="s">
        <v>6809</v>
      </c>
      <c r="B20475" t="str">
        <f>HYPERLINK("https://lindat.mff.cuni.cz/services/teitok/pdtc10/index.php?action=vallex&amp;frame=v-w2547f5", "obrátit (v-w2547f5)")</f>
        <v>obrátit (v-w2547f5)</v>
      </c>
    </row>
    <row r="20476" spans="1:4" x14ac:dyDescent="0.2">
      <c r="B20476" t="s">
        <v>1</v>
      </c>
      <c r="D20476" t="s">
        <v>22944</v>
      </c>
    </row>
    <row r="20477" spans="1:4" x14ac:dyDescent="0.2">
      <c r="B20477" t="s">
        <v>8</v>
      </c>
      <c r="D20477" t="s">
        <v>22945</v>
      </c>
    </row>
    <row r="20478" spans="1:4" x14ac:dyDescent="0.2">
      <c r="B20478" t="s">
        <v>61</v>
      </c>
      <c r="D20478" t="s">
        <v>22947</v>
      </c>
    </row>
    <row r="20480" spans="1:4" x14ac:dyDescent="0.2">
      <c r="A20480" t="s">
        <v>6810</v>
      </c>
      <c r="B20480" t="str">
        <f>HYPERLINK("https://lindat.mff.cuni.cz/services/teitok/pdtc10/index.php?action=vallex&amp;frame=v-w2547f2", "obrátit (v-w2547f2)")</f>
        <v>obrátit (v-w2547f2)</v>
      </c>
    </row>
    <row r="20481" spans="1:4" x14ac:dyDescent="0.2">
      <c r="B20481" t="s">
        <v>1</v>
      </c>
      <c r="C20481" t="s">
        <v>3307</v>
      </c>
    </row>
    <row r="20482" spans="1:4" x14ac:dyDescent="0.2">
      <c r="B20482" t="s">
        <v>8</v>
      </c>
      <c r="C20482" t="s">
        <v>6566</v>
      </c>
    </row>
    <row r="20484" spans="1:4" x14ac:dyDescent="0.2">
      <c r="A20484" t="s">
        <v>6811</v>
      </c>
      <c r="B20484" t="str">
        <f>HYPERLINK("https://lindat.mff.cuni.cz/services/teitok/pdtc10/index.php?action=vallex&amp;frame=v-w2547f1", "obrátit (v-w2547f1)")</f>
        <v>obrátit (v-w2547f1)</v>
      </c>
    </row>
    <row r="20485" spans="1:4" x14ac:dyDescent="0.2">
      <c r="B20485" t="s">
        <v>1</v>
      </c>
    </row>
    <row r="20487" spans="1:4" x14ac:dyDescent="0.2">
      <c r="A20487" t="s">
        <v>6812</v>
      </c>
      <c r="B20487" t="str">
        <f>HYPERLINK("https://lindat.mff.cuni.cz/services/teitok/pdtc10/index.php?action=vallex&amp;frame=v-w2547f9_ZU", "obrátit (v-w2547f9_ZU)")</f>
        <v>obrátit (v-w2547f9_ZU)</v>
      </c>
    </row>
    <row r="20488" spans="1:4" x14ac:dyDescent="0.2">
      <c r="B20488" t="s">
        <v>1</v>
      </c>
      <c r="C20488" t="s">
        <v>80</v>
      </c>
      <c r="D20488" t="s">
        <v>23625</v>
      </c>
    </row>
    <row r="20489" spans="1:4" x14ac:dyDescent="0.2">
      <c r="B20489" t="s">
        <v>6813</v>
      </c>
      <c r="C20489" t="s">
        <v>6814</v>
      </c>
      <c r="D20489" t="s">
        <v>23621</v>
      </c>
    </row>
    <row r="20490" spans="1:4" x14ac:dyDescent="0.2">
      <c r="B20490" t="s">
        <v>90</v>
      </c>
      <c r="C20490" t="s">
        <v>6815</v>
      </c>
      <c r="D20490" t="s">
        <v>10657</v>
      </c>
    </row>
    <row r="20492" spans="1:4" x14ac:dyDescent="0.2">
      <c r="A20492" t="s">
        <v>6812</v>
      </c>
      <c r="B20492" t="str">
        <f>HYPERLINK("https://lindat.mff.cuni.cz/services/teitok/pdtc10/index.php?action=vallex&amp;frame=v-w2547f4", "obrátit (v-w2547f4) - substituted with v-w2547f9_ZU")</f>
        <v>obrátit (v-w2547f4) - substituted with v-w2547f9_ZU</v>
      </c>
    </row>
    <row r="20493" spans="1:4" x14ac:dyDescent="0.2">
      <c r="B20493" t="s">
        <v>1</v>
      </c>
      <c r="C20493" t="s">
        <v>140</v>
      </c>
    </row>
    <row r="20494" spans="1:4" x14ac:dyDescent="0.2">
      <c r="B20494" t="s">
        <v>6813</v>
      </c>
      <c r="C20494" t="s">
        <v>6339</v>
      </c>
    </row>
    <row r="20495" spans="1:4" x14ac:dyDescent="0.2">
      <c r="B20495" t="s">
        <v>90</v>
      </c>
    </row>
    <row r="20497" spans="1:4" x14ac:dyDescent="0.2">
      <c r="A20497" t="s">
        <v>6816</v>
      </c>
      <c r="B20497" t="str">
        <f>HYPERLINK("https://lindat.mff.cuni.cz/services/teitok/pdtc10/index.php?action=vallex&amp;frame=v-w2547f8", "obrátit (v-w2547f8)")</f>
        <v>obrátit (v-w2547f8)</v>
      </c>
    </row>
    <row r="20498" spans="1:4" x14ac:dyDescent="0.2">
      <c r="B20498" t="s">
        <v>1</v>
      </c>
      <c r="C20498" t="s">
        <v>4110</v>
      </c>
    </row>
    <row r="20499" spans="1:4" x14ac:dyDescent="0.2">
      <c r="B20499" t="s">
        <v>759</v>
      </c>
      <c r="C20499" t="s">
        <v>6817</v>
      </c>
    </row>
    <row r="20500" spans="1:4" x14ac:dyDescent="0.2">
      <c r="B20500" t="s">
        <v>8</v>
      </c>
      <c r="C20500" t="s">
        <v>6776</v>
      </c>
    </row>
    <row r="20502" spans="1:4" x14ac:dyDescent="0.2">
      <c r="A20502" t="s">
        <v>6818</v>
      </c>
      <c r="B20502" t="str">
        <f>HYPERLINK("https://lindat.mff.cuni.cz/services/teitok/pdtc10/index.php?action=vallex&amp;frame=v-w2547f6", "obrátit (v-w2547f6)")</f>
        <v>obrátit (v-w2547f6)</v>
      </c>
    </row>
    <row r="20503" spans="1:4" x14ac:dyDescent="0.2">
      <c r="B20503" t="s">
        <v>1</v>
      </c>
    </row>
    <row r="20504" spans="1:4" x14ac:dyDescent="0.2">
      <c r="B20504" t="s">
        <v>6819</v>
      </c>
    </row>
    <row r="20506" spans="1:4" x14ac:dyDescent="0.2">
      <c r="A20506" t="s">
        <v>6820</v>
      </c>
      <c r="B20506" t="str">
        <f>HYPERLINK("https://lindat.mff.cuni.cz/services/teitok/pdtc10/index.php?action=vallex&amp;frame=v-w2547hsa_910", "obrátit (v-w2547hsa_910)")</f>
        <v>obrátit (v-w2547hsa_910)</v>
      </c>
    </row>
    <row r="20507" spans="1:4" x14ac:dyDescent="0.2">
      <c r="B20507" t="s">
        <v>1</v>
      </c>
      <c r="C20507" t="s">
        <v>430</v>
      </c>
      <c r="D20507" t="s">
        <v>23069</v>
      </c>
    </row>
    <row r="20508" spans="1:4" x14ac:dyDescent="0.2">
      <c r="B20508" t="s">
        <v>8</v>
      </c>
      <c r="C20508" t="s">
        <v>354</v>
      </c>
      <c r="D20508" t="s">
        <v>23070</v>
      </c>
    </row>
    <row r="20509" spans="1:4" x14ac:dyDescent="0.2">
      <c r="B20509" t="s">
        <v>90</v>
      </c>
      <c r="D20509" t="s">
        <v>23570</v>
      </c>
    </row>
    <row r="20511" spans="1:4" x14ac:dyDescent="0.2">
      <c r="A20511" t="s">
        <v>6821</v>
      </c>
      <c r="B20511" t="str">
        <f>HYPERLINK("https://lindat.mff.cuni.cz/services/teitok/pdtc10/index.php?action=vallex&amp;frame=v-w2547f10_ZU", "obrátit (v-w2547f10_ZU)")</f>
        <v>obrátit (v-w2547f10_ZU)</v>
      </c>
    </row>
    <row r="20512" spans="1:4" x14ac:dyDescent="0.2">
      <c r="B20512" t="s">
        <v>1</v>
      </c>
    </row>
    <row r="20513" spans="1:3" x14ac:dyDescent="0.2">
      <c r="B20513" t="s">
        <v>6822</v>
      </c>
    </row>
    <row r="20515" spans="1:3" x14ac:dyDescent="0.2">
      <c r="A20515" t="s">
        <v>6821</v>
      </c>
      <c r="B20515" t="str">
        <f>HYPERLINK("https://lindat.mff.cuni.cz/services/teitok/pdtc10/index.php?action=vallex&amp;frame=v-w2547hsa_911", "obrátit (v-w2547hsa_911) - substituted with v-w2547f10_ZU")</f>
        <v>obrátit (v-w2547hsa_911) - substituted with v-w2547f10_ZU</v>
      </c>
    </row>
    <row r="20516" spans="1:3" x14ac:dyDescent="0.2">
      <c r="B20516" t="s">
        <v>1</v>
      </c>
    </row>
    <row r="20517" spans="1:3" x14ac:dyDescent="0.2">
      <c r="B20517" t="s">
        <v>6822</v>
      </c>
    </row>
    <row r="20519" spans="1:3" x14ac:dyDescent="0.2">
      <c r="A20519" t="s">
        <v>6823</v>
      </c>
      <c r="B20519" t="str">
        <f>HYPERLINK("https://lindat.mff.cuni.cz/services/teitok/pdtc10/index.php?action=vallex&amp;frame=v-w2547hsa_909", "obrátit (v-w2547hsa_909)")</f>
        <v>obrátit (v-w2547hsa_909)</v>
      </c>
    </row>
    <row r="20520" spans="1:3" x14ac:dyDescent="0.2">
      <c r="B20520" t="s">
        <v>1</v>
      </c>
    </row>
    <row r="20521" spans="1:3" x14ac:dyDescent="0.2">
      <c r="B20521" t="s">
        <v>8</v>
      </c>
    </row>
    <row r="20523" spans="1:3" x14ac:dyDescent="0.2">
      <c r="A20523" t="s">
        <v>6824</v>
      </c>
      <c r="B20523" t="str">
        <f>HYPERLINK("https://lindat.mff.cuni.cz/services/teitok/pdtc10/index.php?action=vallex&amp;frame=v-w2548f5", "obrátit se (v-w2548f5)")</f>
        <v>obrátit se (v-w2548f5)</v>
      </c>
    </row>
    <row r="20524" spans="1:3" x14ac:dyDescent="0.2">
      <c r="B20524" t="s">
        <v>1</v>
      </c>
      <c r="C20524" t="s">
        <v>6825</v>
      </c>
    </row>
    <row r="20525" spans="1:3" x14ac:dyDescent="0.2">
      <c r="B20525" t="s">
        <v>176</v>
      </c>
    </row>
    <row r="20527" spans="1:3" x14ac:dyDescent="0.2">
      <c r="A20527" t="s">
        <v>6826</v>
      </c>
      <c r="B20527" t="str">
        <f>HYPERLINK("https://lindat.mff.cuni.cz/services/teitok/pdtc10/index.php?action=vallex&amp;frame=v-w2548f3", "obrátit se (v-w2548f3)")</f>
        <v>obrátit se (v-w2548f3)</v>
      </c>
    </row>
    <row r="20528" spans="1:3" x14ac:dyDescent="0.2">
      <c r="B20528" t="s">
        <v>1</v>
      </c>
      <c r="C20528" t="s">
        <v>6825</v>
      </c>
    </row>
    <row r="20529" spans="1:4" x14ac:dyDescent="0.2">
      <c r="B20529" t="s">
        <v>3788</v>
      </c>
    </row>
    <row r="20531" spans="1:4" x14ac:dyDescent="0.2">
      <c r="A20531" t="s">
        <v>6827</v>
      </c>
      <c r="B20531" t="str">
        <f>HYPERLINK("https://lindat.mff.cuni.cz/services/teitok/pdtc10/index.php?action=vallex&amp;frame=v-w2548f11_ZU", "obrátit se (v-w2548f11_ZU)")</f>
        <v>obrátit se (v-w2548f11_ZU)</v>
      </c>
    </row>
    <row r="20532" spans="1:4" x14ac:dyDescent="0.2">
      <c r="B20532" t="s">
        <v>1</v>
      </c>
    </row>
    <row r="20533" spans="1:4" x14ac:dyDescent="0.2">
      <c r="B20533" t="s">
        <v>6786</v>
      </c>
    </row>
    <row r="20534" spans="1:4" x14ac:dyDescent="0.2">
      <c r="B20534" t="s">
        <v>6828</v>
      </c>
    </row>
    <row r="20536" spans="1:4" x14ac:dyDescent="0.2">
      <c r="A20536" t="s">
        <v>6827</v>
      </c>
      <c r="B20536" t="str">
        <f>HYPERLINK("https://lindat.mff.cuni.cz/services/teitok/pdtc10/index.php?action=vallex&amp;frame=v-w2548f1", "obrátit se (v-w2548f1) - substituted with v-w2548f11_ZU")</f>
        <v>obrátit se (v-w2548f1) - substituted with v-w2548f11_ZU</v>
      </c>
    </row>
    <row r="20537" spans="1:4" x14ac:dyDescent="0.2">
      <c r="B20537" t="s">
        <v>1</v>
      </c>
      <c r="C20537" t="s">
        <v>6829</v>
      </c>
    </row>
    <row r="20538" spans="1:4" x14ac:dyDescent="0.2">
      <c r="B20538" t="s">
        <v>6786</v>
      </c>
      <c r="C20538" t="s">
        <v>6830</v>
      </c>
    </row>
    <row r="20539" spans="1:4" x14ac:dyDescent="0.2">
      <c r="B20539" t="s">
        <v>6828</v>
      </c>
      <c r="C20539" t="s">
        <v>6831</v>
      </c>
    </row>
    <row r="20541" spans="1:4" x14ac:dyDescent="0.2">
      <c r="A20541" t="s">
        <v>6827</v>
      </c>
      <c r="B20541" t="str">
        <f>HYPERLINK("https://lindat.mff.cuni.cz/services/teitok/pdtc10/index.php?action=vallex&amp;frame=v-w2548hsa_680", "obrátit se (v-w2548hsa_680) - substituted with v-w2548f11_ZU")</f>
        <v>obrátit se (v-w2548hsa_680) - substituted with v-w2548f11_ZU</v>
      </c>
    </row>
    <row r="20542" spans="1:4" x14ac:dyDescent="0.2">
      <c r="B20542" t="s">
        <v>1</v>
      </c>
      <c r="C20542" t="s">
        <v>6317</v>
      </c>
      <c r="D20542" t="s">
        <v>22956</v>
      </c>
    </row>
    <row r="20543" spans="1:4" x14ac:dyDescent="0.2">
      <c r="B20543" t="s">
        <v>6786</v>
      </c>
      <c r="C20543" t="s">
        <v>6832</v>
      </c>
      <c r="D20543" t="s">
        <v>23626</v>
      </c>
    </row>
    <row r="20544" spans="1:4" x14ac:dyDescent="0.2">
      <c r="B20544" t="s">
        <v>6828</v>
      </c>
      <c r="D20544" t="s">
        <v>23627</v>
      </c>
    </row>
    <row r="20546" spans="1:4" x14ac:dyDescent="0.2">
      <c r="A20546" t="s">
        <v>6833</v>
      </c>
      <c r="B20546" t="str">
        <f>HYPERLINK("https://lindat.mff.cuni.cz/services/teitok/pdtc10/index.php?action=vallex&amp;frame=v-w2548f2", "obrátit se (v-w2548f2)")</f>
        <v>obrátit se (v-w2548f2)</v>
      </c>
    </row>
    <row r="20547" spans="1:4" x14ac:dyDescent="0.2">
      <c r="B20547" t="s">
        <v>1</v>
      </c>
      <c r="C20547" t="s">
        <v>6834</v>
      </c>
    </row>
    <row r="20549" spans="1:4" x14ac:dyDescent="0.2">
      <c r="A20549" t="s">
        <v>6835</v>
      </c>
      <c r="B20549" t="str">
        <f>HYPERLINK("https://lindat.mff.cuni.cz/services/teitok/pdtc10/index.php?action=vallex&amp;frame=v-w2548f4", "obrátit se (v-w2548f4)")</f>
        <v>obrátit se (v-w2548f4)</v>
      </c>
    </row>
    <row r="20550" spans="1:4" x14ac:dyDescent="0.2">
      <c r="B20550" t="s">
        <v>1</v>
      </c>
      <c r="C20550" t="s">
        <v>6836</v>
      </c>
      <c r="D20550" t="s">
        <v>140</v>
      </c>
    </row>
    <row r="20552" spans="1:4" x14ac:dyDescent="0.2">
      <c r="A20552" t="s">
        <v>6837</v>
      </c>
      <c r="B20552" t="str">
        <f>HYPERLINK("https://lindat.mff.cuni.cz/services/teitok/pdtc10/index.php?action=vallex&amp;frame=v-w2548f6", "obrátit se (v-w2548f6)")</f>
        <v>obrátit se (v-w2548f6)</v>
      </c>
    </row>
    <row r="20553" spans="1:4" x14ac:dyDescent="0.2">
      <c r="B20553" t="s">
        <v>1</v>
      </c>
      <c r="C20553" t="s">
        <v>715</v>
      </c>
    </row>
    <row r="20554" spans="1:4" x14ac:dyDescent="0.2">
      <c r="B20554" t="s">
        <v>6838</v>
      </c>
      <c r="C20554" t="s">
        <v>6839</v>
      </c>
    </row>
    <row r="20556" spans="1:4" x14ac:dyDescent="0.2">
      <c r="A20556" t="s">
        <v>6840</v>
      </c>
      <c r="B20556" t="str">
        <f>HYPERLINK("https://lindat.mff.cuni.cz/services/teitok/pdtc10/index.php?action=vallex&amp;frame=v-w2548f7_ZU", "obrátit se (v-w2548f7_ZU)")</f>
        <v>obrátit se (v-w2548f7_ZU)</v>
      </c>
    </row>
    <row r="20557" spans="1:4" x14ac:dyDescent="0.2">
      <c r="B20557" t="s">
        <v>1</v>
      </c>
      <c r="D20557" t="s">
        <v>140</v>
      </c>
    </row>
    <row r="20558" spans="1:4" x14ac:dyDescent="0.2">
      <c r="B20558" t="s">
        <v>6841</v>
      </c>
    </row>
    <row r="20560" spans="1:4" x14ac:dyDescent="0.2">
      <c r="A20560" t="s">
        <v>6842</v>
      </c>
      <c r="B20560" t="str">
        <f>HYPERLINK("https://lindat.mff.cuni.cz/services/teitok/pdtc10/index.php?action=vallex&amp;frame=v-w2548f8_ZU", "obrátit se (v-w2548f8_ZU)")</f>
        <v>obrátit se (v-w2548f8_ZU)</v>
      </c>
    </row>
    <row r="20561" spans="1:4" x14ac:dyDescent="0.2">
      <c r="B20561" t="s">
        <v>1</v>
      </c>
      <c r="C20561" t="s">
        <v>6843</v>
      </c>
    </row>
    <row r="20562" spans="1:4" x14ac:dyDescent="0.2">
      <c r="B20562" t="s">
        <v>6844</v>
      </c>
      <c r="C20562" t="s">
        <v>6817</v>
      </c>
    </row>
    <row r="20564" spans="1:4" x14ac:dyDescent="0.2">
      <c r="A20564" t="s">
        <v>6845</v>
      </c>
      <c r="B20564" t="str">
        <f>HYPERLINK("https://lindat.mff.cuni.cz/services/teitok/pdtc10/index.php?action=vallex&amp;frame=v-w2548hsa_679", "obrátit se (v-w2548hsa_679)")</f>
        <v>obrátit se (v-w2548hsa_679)</v>
      </c>
    </row>
    <row r="20565" spans="1:4" x14ac:dyDescent="0.2">
      <c r="B20565" t="s">
        <v>1</v>
      </c>
      <c r="C20565" t="s">
        <v>6846</v>
      </c>
    </row>
    <row r="20566" spans="1:4" x14ac:dyDescent="0.2">
      <c r="B20566" t="s">
        <v>46</v>
      </c>
      <c r="C20566" t="s">
        <v>6847</v>
      </c>
    </row>
    <row r="20568" spans="1:4" x14ac:dyDescent="0.2">
      <c r="A20568" t="s">
        <v>6848</v>
      </c>
      <c r="B20568" t="str">
        <f>HYPERLINK("https://lindat.mff.cuni.cz/services/teitok/pdtc10/index.php?action=vallex&amp;frame=v-w2548hsa_681", "obrátit se (v-w2548hsa_681)")</f>
        <v>obrátit se (v-w2548hsa_681)</v>
      </c>
    </row>
    <row r="20569" spans="1:4" x14ac:dyDescent="0.2">
      <c r="B20569" t="s">
        <v>1</v>
      </c>
      <c r="C20569" t="s">
        <v>186</v>
      </c>
      <c r="D20569" t="s">
        <v>186</v>
      </c>
    </row>
    <row r="20570" spans="1:4" x14ac:dyDescent="0.2">
      <c r="B20570" t="s">
        <v>1889</v>
      </c>
      <c r="C20570" t="s">
        <v>991</v>
      </c>
      <c r="D20570" t="s">
        <v>991</v>
      </c>
    </row>
    <row r="20572" spans="1:4" x14ac:dyDescent="0.2">
      <c r="A20572" t="s">
        <v>6849</v>
      </c>
      <c r="B20572" t="str">
        <f>HYPERLINK("https://lindat.mff.cuni.cz/services/teitok/pdtc10/index.php?action=vallex&amp;frame=v-w2548f9_ZU", "obrátit se (v-w2548f9_ZU)")</f>
        <v>obrátit se (v-w2548f9_ZU)</v>
      </c>
    </row>
    <row r="20573" spans="1:4" x14ac:dyDescent="0.2">
      <c r="B20573" t="s">
        <v>1</v>
      </c>
      <c r="C20573" t="s">
        <v>2008</v>
      </c>
      <c r="D20573" t="s">
        <v>140</v>
      </c>
    </row>
    <row r="20574" spans="1:4" x14ac:dyDescent="0.2">
      <c r="B20574" t="s">
        <v>6794</v>
      </c>
    </row>
    <row r="20576" spans="1:4" x14ac:dyDescent="0.2">
      <c r="A20576" t="s">
        <v>6849</v>
      </c>
      <c r="B20576" t="str">
        <f>HYPERLINK("https://lindat.mff.cuni.cz/services/teitok/pdtc10/index.php?action=vallex&amp;frame=v-w2548hsa_682", "obrátit se (v-w2548hsa_682) - substituted with v-w2548f9_ZU")</f>
        <v>obrátit se (v-w2548hsa_682) - substituted with v-w2548f9_ZU</v>
      </c>
    </row>
    <row r="20577" spans="1:4" x14ac:dyDescent="0.2">
      <c r="B20577" t="s">
        <v>1</v>
      </c>
    </row>
    <row r="20578" spans="1:4" x14ac:dyDescent="0.2">
      <c r="B20578" t="s">
        <v>6794</v>
      </c>
    </row>
    <row r="20580" spans="1:4" x14ac:dyDescent="0.2">
      <c r="A20580" t="s">
        <v>6850</v>
      </c>
      <c r="B20580" t="str">
        <f>HYPERLINK("https://lindat.mff.cuni.cz/services/teitok/pdtc10/index.php?action=vallex&amp;frame=v-w2548f10_ZU", "obrátit se (v-w2548f10_ZU)")</f>
        <v>obrátit se (v-w2548f10_ZU)</v>
      </c>
    </row>
    <row r="20581" spans="1:4" x14ac:dyDescent="0.2">
      <c r="B20581" t="s">
        <v>1</v>
      </c>
      <c r="C20581" t="s">
        <v>140</v>
      </c>
      <c r="D20581" t="s">
        <v>23386</v>
      </c>
    </row>
    <row r="20582" spans="1:4" x14ac:dyDescent="0.2">
      <c r="B20582" t="s">
        <v>6796</v>
      </c>
      <c r="C20582" t="s">
        <v>397</v>
      </c>
    </row>
    <row r="20583" spans="1:4" x14ac:dyDescent="0.2">
      <c r="B20583" t="s">
        <v>176</v>
      </c>
      <c r="D20583" t="s">
        <v>2439</v>
      </c>
    </row>
    <row r="20585" spans="1:4" x14ac:dyDescent="0.2">
      <c r="A20585" t="s">
        <v>6851</v>
      </c>
      <c r="B20585" t="str">
        <f>HYPERLINK("https://lindat.mff.cuni.cz/services/teitok/pdtc10/index.php?action=vallex&amp;frame=v-w2551f1", "obrážet se (v-w2551f1)")</f>
        <v>obrážet se (v-w2551f1)</v>
      </c>
    </row>
    <row r="20586" spans="1:4" x14ac:dyDescent="0.2">
      <c r="B20586" t="s">
        <v>1</v>
      </c>
    </row>
    <row r="20587" spans="1:4" x14ac:dyDescent="0.2">
      <c r="B20587" t="s">
        <v>5</v>
      </c>
    </row>
    <row r="20589" spans="1:4" x14ac:dyDescent="0.2">
      <c r="A20589" t="s">
        <v>6852</v>
      </c>
      <c r="B20589" t="str">
        <f>HYPERLINK("https://lindat.mff.cuni.cz/services/teitok/pdtc10/index.php?action=vallex&amp;frame=v-w11757_ZUf1_ZU", "obrůst (v-w11757_ZUf1_ZU)")</f>
        <v>obrůst (v-w11757_ZUf1_ZU)</v>
      </c>
    </row>
    <row r="20590" spans="1:4" x14ac:dyDescent="0.2">
      <c r="B20590" t="s">
        <v>1</v>
      </c>
    </row>
    <row r="20592" spans="1:4" x14ac:dyDescent="0.2">
      <c r="A20592" t="s">
        <v>6853</v>
      </c>
      <c r="B20592" t="str">
        <f>HYPERLINK("https://lindat.mff.cuni.cz/services/teitok/pdtc10/index.php?action=vallex&amp;frame=v-w11757_ZUf2_ZU", "obrůst (v-w11757_ZUf2_ZU)")</f>
        <v>obrůst (v-w11757_ZUf2_ZU)</v>
      </c>
    </row>
    <row r="20593" spans="1:4" x14ac:dyDescent="0.2">
      <c r="B20593" t="s">
        <v>1</v>
      </c>
    </row>
    <row r="20595" spans="1:4" x14ac:dyDescent="0.2">
      <c r="A20595" t="s">
        <v>6854</v>
      </c>
      <c r="B20595" t="str">
        <f>HYPERLINK("https://lindat.mff.cuni.cz/services/teitok/pdtc10/index.php?action=vallex&amp;frame=v-w2556f2", "obrůstat (v-w2556f2)")</f>
        <v>obrůstat (v-w2556f2)</v>
      </c>
    </row>
    <row r="20596" spans="1:4" x14ac:dyDescent="0.2">
      <c r="B20596" t="s">
        <v>1</v>
      </c>
    </row>
    <row r="20597" spans="1:4" x14ac:dyDescent="0.2">
      <c r="B20597" t="s">
        <v>8</v>
      </c>
    </row>
    <row r="20599" spans="1:4" x14ac:dyDescent="0.2">
      <c r="A20599" t="s">
        <v>6855</v>
      </c>
      <c r="B20599" t="str">
        <f>HYPERLINK("https://lindat.mff.cuni.cz/services/teitok/pdtc10/index.php?action=vallex&amp;frame=v-w2556f1", "obrůstat (v-w2556f1)")</f>
        <v>obrůstat (v-w2556f1)</v>
      </c>
    </row>
    <row r="20600" spans="1:4" x14ac:dyDescent="0.2">
      <c r="B20600" t="s">
        <v>1</v>
      </c>
    </row>
    <row r="20601" spans="1:4" x14ac:dyDescent="0.2">
      <c r="B20601" t="s">
        <v>158</v>
      </c>
    </row>
    <row r="20603" spans="1:4" x14ac:dyDescent="0.2">
      <c r="A20603" t="s">
        <v>6856</v>
      </c>
      <c r="B20603" t="str">
        <f>HYPERLINK("https://lindat.mff.cuni.cz/services/teitok/pdtc10/index.php?action=vallex&amp;frame=v-w2558f4", "obsadit (v-w2558f4)")</f>
        <v>obsadit (v-w2558f4)</v>
      </c>
    </row>
    <row r="20604" spans="1:4" x14ac:dyDescent="0.2">
      <c r="B20604" t="s">
        <v>1</v>
      </c>
      <c r="C20604" t="s">
        <v>6857</v>
      </c>
      <c r="D20604" t="s">
        <v>7907</v>
      </c>
    </row>
    <row r="20605" spans="1:4" x14ac:dyDescent="0.2">
      <c r="B20605" t="s">
        <v>8</v>
      </c>
      <c r="C20605" t="s">
        <v>6858</v>
      </c>
      <c r="D20605" t="s">
        <v>23547</v>
      </c>
    </row>
    <row r="20606" spans="1:4" x14ac:dyDescent="0.2">
      <c r="B20606" t="s">
        <v>5479</v>
      </c>
      <c r="D20606" t="s">
        <v>23548</v>
      </c>
    </row>
    <row r="20608" spans="1:4" x14ac:dyDescent="0.2">
      <c r="A20608" t="s">
        <v>6859</v>
      </c>
      <c r="B20608" t="str">
        <f>HYPERLINK("https://lindat.mff.cuni.cz/services/teitok/pdtc10/index.php?action=vallex&amp;frame=v-w2558f1", "obsadit (v-w2558f1)")</f>
        <v>obsadit (v-w2558f1)</v>
      </c>
    </row>
    <row r="20609" spans="1:4" x14ac:dyDescent="0.2">
      <c r="B20609" t="s">
        <v>1</v>
      </c>
      <c r="C20609" t="s">
        <v>6860</v>
      </c>
      <c r="D20609" t="s">
        <v>8690</v>
      </c>
    </row>
    <row r="20610" spans="1:4" x14ac:dyDescent="0.2">
      <c r="B20610" t="s">
        <v>8</v>
      </c>
      <c r="C20610" t="s">
        <v>93</v>
      </c>
      <c r="D20610" t="s">
        <v>4631</v>
      </c>
    </row>
    <row r="20612" spans="1:4" x14ac:dyDescent="0.2">
      <c r="A20612" t="s">
        <v>6861</v>
      </c>
      <c r="B20612" t="str">
        <f>HYPERLINK("https://lindat.mff.cuni.cz/services/teitok/pdtc10/index.php?action=vallex&amp;frame=v-w2558f2", "obsadit (v-w2558f2)")</f>
        <v>obsadit (v-w2558f2)</v>
      </c>
    </row>
    <row r="20613" spans="1:4" x14ac:dyDescent="0.2">
      <c r="B20613" t="s">
        <v>1</v>
      </c>
      <c r="C20613" t="s">
        <v>6862</v>
      </c>
      <c r="D20613" t="s">
        <v>1895</v>
      </c>
    </row>
    <row r="20614" spans="1:4" x14ac:dyDescent="0.2">
      <c r="B20614" t="s">
        <v>8</v>
      </c>
      <c r="C20614" t="s">
        <v>6863</v>
      </c>
      <c r="D20614" t="s">
        <v>5518</v>
      </c>
    </row>
    <row r="20616" spans="1:4" x14ac:dyDescent="0.2">
      <c r="A20616" t="s">
        <v>6864</v>
      </c>
      <c r="B20616" t="str">
        <f>HYPERLINK("https://lindat.mff.cuni.cz/services/teitok/pdtc10/index.php?action=vallex&amp;frame=v-w2558f5", "obsadit (v-w2558f5)")</f>
        <v>obsadit (v-w2558f5)</v>
      </c>
    </row>
    <row r="20617" spans="1:4" x14ac:dyDescent="0.2">
      <c r="B20617" t="s">
        <v>1</v>
      </c>
      <c r="C20617" t="s">
        <v>430</v>
      </c>
    </row>
    <row r="20618" spans="1:4" x14ac:dyDescent="0.2">
      <c r="B20618" t="s">
        <v>8</v>
      </c>
      <c r="C20618" t="s">
        <v>23</v>
      </c>
    </row>
    <row r="20620" spans="1:4" x14ac:dyDescent="0.2">
      <c r="A20620" t="s">
        <v>6865</v>
      </c>
      <c r="B20620" t="str">
        <f>HYPERLINK("https://lindat.mff.cuni.cz/services/teitok/pdtc10/index.php?action=vallex&amp;frame=v-w2558f3", "obsadit (v-w2558f3)")</f>
        <v>obsadit (v-w2558f3)</v>
      </c>
    </row>
    <row r="20621" spans="1:4" x14ac:dyDescent="0.2">
      <c r="B20621" t="s">
        <v>1</v>
      </c>
    </row>
    <row r="20622" spans="1:4" x14ac:dyDescent="0.2">
      <c r="B20622" t="s">
        <v>6866</v>
      </c>
    </row>
    <row r="20623" spans="1:4" x14ac:dyDescent="0.2">
      <c r="B20623" t="s">
        <v>8</v>
      </c>
    </row>
    <row r="20625" spans="1:4" x14ac:dyDescent="0.2">
      <c r="A20625" t="s">
        <v>6867</v>
      </c>
      <c r="B20625" t="str">
        <f>HYPERLINK("https://lindat.mff.cuni.cz/services/teitok/pdtc10/index.php?action=vallex&amp;frame=v-w2561f1", "obsahovat (v-w2561f1)")</f>
        <v>obsahovat (v-w2561f1)</v>
      </c>
    </row>
    <row r="20626" spans="1:4" x14ac:dyDescent="0.2">
      <c r="B20626" t="s">
        <v>1</v>
      </c>
      <c r="C20626" t="s">
        <v>6868</v>
      </c>
      <c r="D20626" t="s">
        <v>23628</v>
      </c>
    </row>
    <row r="20627" spans="1:4" x14ac:dyDescent="0.2">
      <c r="B20627" t="s">
        <v>8</v>
      </c>
      <c r="C20627" t="s">
        <v>6869</v>
      </c>
      <c r="D20627" t="s">
        <v>23629</v>
      </c>
    </row>
    <row r="20629" spans="1:4" x14ac:dyDescent="0.2">
      <c r="A20629" t="s">
        <v>6870</v>
      </c>
      <c r="B20629" t="str">
        <f>HYPERLINK("https://lindat.mff.cuni.cz/services/teitok/pdtc10/index.php?action=vallex&amp;frame=v-w10668f2", "obsazovat (v-w10668f2)")</f>
        <v>obsazovat (v-w10668f2)</v>
      </c>
    </row>
    <row r="20630" spans="1:4" x14ac:dyDescent="0.2">
      <c r="B20630" t="s">
        <v>1</v>
      </c>
      <c r="C20630" t="s">
        <v>83</v>
      </c>
      <c r="D20630" t="s">
        <v>8690</v>
      </c>
    </row>
    <row r="20631" spans="1:4" x14ac:dyDescent="0.2">
      <c r="B20631" t="s">
        <v>8</v>
      </c>
      <c r="D20631" t="s">
        <v>4631</v>
      </c>
    </row>
    <row r="20633" spans="1:4" x14ac:dyDescent="0.2">
      <c r="A20633" t="s">
        <v>6871</v>
      </c>
      <c r="B20633" t="str">
        <f>HYPERLINK("https://lindat.mff.cuni.cz/services/teitok/pdtc10/index.php?action=vallex&amp;frame=v-w10668f3", "obsazovat (v-w10668f3)")</f>
        <v>obsazovat (v-w10668f3)</v>
      </c>
    </row>
    <row r="20634" spans="1:4" x14ac:dyDescent="0.2">
      <c r="B20634" t="s">
        <v>1</v>
      </c>
    </row>
    <row r="20635" spans="1:4" x14ac:dyDescent="0.2">
      <c r="B20635" t="s">
        <v>8</v>
      </c>
    </row>
    <row r="20637" spans="1:4" x14ac:dyDescent="0.2">
      <c r="A20637" t="s">
        <v>6872</v>
      </c>
      <c r="B20637" t="str">
        <f>HYPERLINK("https://lindat.mff.cuni.cz/services/teitok/pdtc10/index.php?action=vallex&amp;frame=v-whsa_1813hsa_1814", "obskákat (v-whsa_1813hsa_1814)")</f>
        <v>obskákat (v-whsa_1813hsa_1814)</v>
      </c>
    </row>
    <row r="20638" spans="1:4" x14ac:dyDescent="0.2">
      <c r="B20638" t="s">
        <v>1</v>
      </c>
    </row>
    <row r="20639" spans="1:4" x14ac:dyDescent="0.2">
      <c r="B20639" t="s">
        <v>8</v>
      </c>
    </row>
    <row r="20641" spans="1:4" x14ac:dyDescent="0.2">
      <c r="A20641" t="s">
        <v>6873</v>
      </c>
      <c r="B20641" t="str">
        <f>HYPERLINK("https://lindat.mff.cuni.cz/services/teitok/pdtc10/index.php?action=vallex&amp;frame=v-w10950f2", "obsloužit (v-w10950f2)")</f>
        <v>obsloužit (v-w10950f2)</v>
      </c>
    </row>
    <row r="20642" spans="1:4" x14ac:dyDescent="0.2">
      <c r="B20642" t="s">
        <v>1</v>
      </c>
      <c r="C20642" t="s">
        <v>1349</v>
      </c>
      <c r="D20642" t="s">
        <v>3583</v>
      </c>
    </row>
    <row r="20643" spans="1:4" x14ac:dyDescent="0.2">
      <c r="B20643" t="s">
        <v>8</v>
      </c>
      <c r="C20643" t="s">
        <v>6874</v>
      </c>
      <c r="D20643" t="s">
        <v>6876</v>
      </c>
    </row>
    <row r="20645" spans="1:4" x14ac:dyDescent="0.2">
      <c r="A20645" t="s">
        <v>6875</v>
      </c>
      <c r="B20645" t="str">
        <f>HYPERLINK("https://lindat.mff.cuni.cz/services/teitok/pdtc10/index.php?action=vallex&amp;frame=v-w2569f1", "obsluhovat (v-w2569f1)")</f>
        <v>obsluhovat (v-w2569f1)</v>
      </c>
    </row>
    <row r="20646" spans="1:4" x14ac:dyDescent="0.2">
      <c r="B20646" t="s">
        <v>1</v>
      </c>
      <c r="C20646" t="s">
        <v>3583</v>
      </c>
      <c r="D20646" t="s">
        <v>3583</v>
      </c>
    </row>
    <row r="20647" spans="1:4" x14ac:dyDescent="0.2">
      <c r="B20647" t="s">
        <v>8</v>
      </c>
      <c r="C20647" t="s">
        <v>6876</v>
      </c>
      <c r="D20647" t="s">
        <v>6876</v>
      </c>
    </row>
    <row r="20649" spans="1:4" x14ac:dyDescent="0.2">
      <c r="A20649" t="s">
        <v>6877</v>
      </c>
      <c r="B20649" t="str">
        <f>HYPERLINK("https://lindat.mff.cuni.cz/services/teitok/pdtc10/index.php?action=vallex&amp;frame=v-w2569f3_ZU", "obsluhovat (v-w2569f3_ZU)")</f>
        <v>obsluhovat (v-w2569f3_ZU)</v>
      </c>
    </row>
    <row r="20650" spans="1:4" x14ac:dyDescent="0.2">
      <c r="B20650" t="s">
        <v>1</v>
      </c>
    </row>
    <row r="20651" spans="1:4" x14ac:dyDescent="0.2">
      <c r="B20651" t="s">
        <v>8</v>
      </c>
    </row>
    <row r="20653" spans="1:4" x14ac:dyDescent="0.2">
      <c r="A20653" t="s">
        <v>6877</v>
      </c>
      <c r="B20653" t="str">
        <f>HYPERLINK("https://lindat.mff.cuni.cz/services/teitok/pdtc10/index.php?action=vallex&amp;frame=v-w2569f2_ZU", "obsluhovat (v-w2569f2_ZU) - substituted with v-w2569f3_ZU")</f>
        <v>obsluhovat (v-w2569f2_ZU) - substituted with v-w2569f3_ZU</v>
      </c>
    </row>
    <row r="20654" spans="1:4" x14ac:dyDescent="0.2">
      <c r="B20654" t="s">
        <v>1</v>
      </c>
    </row>
    <row r="20655" spans="1:4" x14ac:dyDescent="0.2">
      <c r="B20655" t="s">
        <v>8</v>
      </c>
    </row>
    <row r="20657" spans="1:4" x14ac:dyDescent="0.2">
      <c r="A20657" t="s">
        <v>6878</v>
      </c>
      <c r="B20657" t="str">
        <f>HYPERLINK("https://lindat.mff.cuni.cz/services/teitok/pdtc10/index.php?action=vallex&amp;frame=v-w2570f1", "obstarat (v-w2570f1)")</f>
        <v>obstarat (v-w2570f1)</v>
      </c>
    </row>
    <row r="20658" spans="1:4" x14ac:dyDescent="0.2">
      <c r="B20658" t="s">
        <v>1</v>
      </c>
      <c r="C20658" t="s">
        <v>6879</v>
      </c>
      <c r="D20658" t="s">
        <v>3081</v>
      </c>
    </row>
    <row r="20659" spans="1:4" x14ac:dyDescent="0.2">
      <c r="B20659" t="s">
        <v>8</v>
      </c>
      <c r="C20659" t="s">
        <v>6880</v>
      </c>
      <c r="D20659" t="s">
        <v>23630</v>
      </c>
    </row>
    <row r="20661" spans="1:4" x14ac:dyDescent="0.2">
      <c r="A20661" t="s">
        <v>6881</v>
      </c>
      <c r="B20661" t="str">
        <f>HYPERLINK("https://lindat.mff.cuni.cz/services/teitok/pdtc10/index.php?action=vallex&amp;frame=v-w2570hsa_332", "obstarat (v-w2570hsa_332)")</f>
        <v>obstarat (v-w2570hsa_332)</v>
      </c>
    </row>
    <row r="20662" spans="1:4" x14ac:dyDescent="0.2">
      <c r="B20662" t="s">
        <v>1</v>
      </c>
    </row>
    <row r="20663" spans="1:4" x14ac:dyDescent="0.2">
      <c r="B20663" t="s">
        <v>8</v>
      </c>
    </row>
    <row r="20665" spans="1:4" x14ac:dyDescent="0.2">
      <c r="A20665" t="s">
        <v>6882</v>
      </c>
      <c r="B20665" t="str">
        <f>HYPERLINK("https://lindat.mff.cuni.cz/services/teitok/pdtc10/index.php?action=vallex&amp;frame=v-w2571f1", "obstarávat (v-w2571f1)")</f>
        <v>obstarávat (v-w2571f1)</v>
      </c>
    </row>
    <row r="20666" spans="1:4" x14ac:dyDescent="0.2">
      <c r="B20666" t="s">
        <v>1</v>
      </c>
      <c r="C20666" t="s">
        <v>2400</v>
      </c>
      <c r="D20666" t="s">
        <v>3081</v>
      </c>
    </row>
    <row r="20667" spans="1:4" x14ac:dyDescent="0.2">
      <c r="B20667" t="s">
        <v>8</v>
      </c>
      <c r="C20667" t="s">
        <v>6883</v>
      </c>
      <c r="D20667" t="s">
        <v>23630</v>
      </c>
    </row>
    <row r="20669" spans="1:4" x14ac:dyDescent="0.2">
      <c r="A20669" t="s">
        <v>6884</v>
      </c>
      <c r="B20669" t="str">
        <f>HYPERLINK("https://lindat.mff.cuni.cz/services/teitok/pdtc10/index.php?action=vallex&amp;frame=v-w2571f2_ZU", "obstarávat (v-w2571f2_ZU)")</f>
        <v>obstarávat (v-w2571f2_ZU)</v>
      </c>
    </row>
    <row r="20670" spans="1:4" x14ac:dyDescent="0.2">
      <c r="B20670" t="s">
        <v>1</v>
      </c>
    </row>
    <row r="20671" spans="1:4" x14ac:dyDescent="0.2">
      <c r="B20671" t="s">
        <v>8</v>
      </c>
    </row>
    <row r="20673" spans="1:4" x14ac:dyDescent="0.2">
      <c r="A20673" t="s">
        <v>6885</v>
      </c>
      <c r="B20673" t="str">
        <f>HYPERLINK("https://lindat.mff.cuni.cz/services/teitok/pdtc10/index.php?action=vallex&amp;frame=v-whsa_646hsa_647", "obstavit (v-whsa_646hsa_647)")</f>
        <v>obstavit (v-whsa_646hsa_647)</v>
      </c>
    </row>
    <row r="20674" spans="1:4" x14ac:dyDescent="0.2">
      <c r="B20674" t="s">
        <v>1</v>
      </c>
      <c r="C20674" t="s">
        <v>140</v>
      </c>
      <c r="D20674" t="s">
        <v>2571</v>
      </c>
    </row>
    <row r="20675" spans="1:4" x14ac:dyDescent="0.2">
      <c r="B20675" t="s">
        <v>8</v>
      </c>
      <c r="C20675" t="s">
        <v>34</v>
      </c>
      <c r="D20675" t="s">
        <v>1996</v>
      </c>
    </row>
    <row r="20677" spans="1:4" x14ac:dyDescent="0.2">
      <c r="A20677" t="s">
        <v>6886</v>
      </c>
      <c r="B20677" t="str">
        <f>HYPERLINK("https://lindat.mff.cuni.cz/services/teitok/pdtc10/index.php?action=vallex&amp;frame=v-w12227_ZUf1_ZU", "obstoupit (v-w12227_ZUf1_ZU)")</f>
        <v>obstoupit (v-w12227_ZUf1_ZU)</v>
      </c>
    </row>
    <row r="20678" spans="1:4" x14ac:dyDescent="0.2">
      <c r="B20678" t="s">
        <v>1</v>
      </c>
    </row>
    <row r="20679" spans="1:4" x14ac:dyDescent="0.2">
      <c r="B20679" t="s">
        <v>8</v>
      </c>
    </row>
    <row r="20681" spans="1:4" x14ac:dyDescent="0.2">
      <c r="A20681" t="s">
        <v>6887</v>
      </c>
      <c r="B20681" t="str">
        <f>HYPERLINK("https://lindat.mff.cuni.cz/services/teitok/pdtc10/index.php?action=vallex&amp;frame=v-w2572f1", "obstát (v-w2572f1)")</f>
        <v>obstát (v-w2572f1)</v>
      </c>
    </row>
    <row r="20682" spans="1:4" x14ac:dyDescent="0.2">
      <c r="B20682" t="s">
        <v>1</v>
      </c>
      <c r="C20682" t="s">
        <v>6888</v>
      </c>
    </row>
    <row r="20684" spans="1:4" x14ac:dyDescent="0.2">
      <c r="A20684" t="s">
        <v>6889</v>
      </c>
      <c r="B20684" t="str">
        <f>HYPERLINK("https://lindat.mff.cuni.cz/services/teitok/pdtc10/index.php?action=vallex&amp;frame=v-w12379_MMf1_MM", "obstřelovat (v-w12379_MMf1_MM)")</f>
        <v>obstřelovat (v-w12379_MMf1_MM)</v>
      </c>
    </row>
    <row r="20685" spans="1:4" x14ac:dyDescent="0.2">
      <c r="B20685" t="s">
        <v>1</v>
      </c>
    </row>
    <row r="20686" spans="1:4" x14ac:dyDescent="0.2">
      <c r="B20686" t="s">
        <v>8</v>
      </c>
    </row>
    <row r="20688" spans="1:4" x14ac:dyDescent="0.2">
      <c r="A20688" t="s">
        <v>6890</v>
      </c>
      <c r="B20688" t="str">
        <f>HYPERLINK("https://lindat.mff.cuni.cz/services/teitok/pdtc10/index.php?action=vallex&amp;frame=v-w2560f1", "obsáhnout (v-w2560f1)")</f>
        <v>obsáhnout (v-w2560f1)</v>
      </c>
    </row>
    <row r="20689" spans="1:4" x14ac:dyDescent="0.2">
      <c r="B20689" t="s">
        <v>1</v>
      </c>
      <c r="C20689" t="s">
        <v>2031</v>
      </c>
      <c r="D20689" t="s">
        <v>23628</v>
      </c>
    </row>
    <row r="20690" spans="1:4" x14ac:dyDescent="0.2">
      <c r="B20690" t="s">
        <v>8</v>
      </c>
      <c r="C20690" t="s">
        <v>6891</v>
      </c>
      <c r="D20690" t="s">
        <v>23629</v>
      </c>
    </row>
    <row r="20692" spans="1:4" x14ac:dyDescent="0.2">
      <c r="A20692" t="s">
        <v>6892</v>
      </c>
      <c r="B20692" t="str">
        <f>HYPERLINK("https://lindat.mff.cuni.cz/services/teitok/pdtc10/index.php?action=vallex&amp;frame=v-w11791_ZUf1_ZU", "obtelefonovávat (v-w11791_ZUf1_ZU)")</f>
        <v>obtelefonovávat (v-w11791_ZUf1_ZU)</v>
      </c>
    </row>
    <row r="20693" spans="1:4" x14ac:dyDescent="0.2">
      <c r="B20693" t="s">
        <v>1</v>
      </c>
    </row>
    <row r="20694" spans="1:4" x14ac:dyDescent="0.2">
      <c r="B20694" t="s">
        <v>8</v>
      </c>
    </row>
    <row r="20696" spans="1:4" x14ac:dyDescent="0.2">
      <c r="A20696" t="s">
        <v>6893</v>
      </c>
      <c r="B20696" t="str">
        <f>HYPERLINK("https://lindat.mff.cuni.cz/services/teitok/pdtc10/index.php?action=vallex&amp;frame=v-w2580f1", "obtížit (v-w2580f1)")</f>
        <v>obtížit (v-w2580f1)</v>
      </c>
    </row>
    <row r="20697" spans="1:4" x14ac:dyDescent="0.2">
      <c r="B20697" t="s">
        <v>1</v>
      </c>
    </row>
    <row r="20698" spans="1:4" x14ac:dyDescent="0.2">
      <c r="B20698" t="s">
        <v>8</v>
      </c>
    </row>
    <row r="20700" spans="1:4" x14ac:dyDescent="0.2">
      <c r="A20700" t="s">
        <v>6894</v>
      </c>
      <c r="B20700" t="str">
        <f>HYPERLINK("https://lindat.mff.cuni.cz/services/teitok/pdtc10/index.php?action=vallex&amp;frame=v-w10289f2", "obtěžkat (v-w10289f2)")</f>
        <v>obtěžkat (v-w10289f2)</v>
      </c>
    </row>
    <row r="20701" spans="1:4" x14ac:dyDescent="0.2">
      <c r="B20701" t="s">
        <v>1</v>
      </c>
      <c r="C20701" t="s">
        <v>6895</v>
      </c>
      <c r="D20701" t="s">
        <v>23631</v>
      </c>
    </row>
    <row r="20702" spans="1:4" x14ac:dyDescent="0.2">
      <c r="B20702" t="s">
        <v>8</v>
      </c>
      <c r="C20702" t="s">
        <v>34</v>
      </c>
      <c r="D20702" t="s">
        <v>23632</v>
      </c>
    </row>
    <row r="20704" spans="1:4" x14ac:dyDescent="0.2">
      <c r="A20704" t="s">
        <v>6896</v>
      </c>
      <c r="B20704" t="str">
        <f>HYPERLINK("https://lindat.mff.cuni.cz/services/teitok/pdtc10/index.php?action=vallex&amp;frame=v-w2577f1", "obtěžovat (v-w2577f1)")</f>
        <v>obtěžovat (v-w2577f1)</v>
      </c>
    </row>
    <row r="20705" spans="1:4" x14ac:dyDescent="0.2">
      <c r="B20705" t="s">
        <v>1</v>
      </c>
      <c r="C20705" t="s">
        <v>430</v>
      </c>
      <c r="D20705" t="s">
        <v>337</v>
      </c>
    </row>
    <row r="20706" spans="1:4" x14ac:dyDescent="0.2">
      <c r="B20706" t="s">
        <v>8</v>
      </c>
      <c r="C20706" t="s">
        <v>1025</v>
      </c>
      <c r="D20706" t="s">
        <v>3433</v>
      </c>
    </row>
    <row r="20708" spans="1:4" x14ac:dyDescent="0.2">
      <c r="A20708" t="s">
        <v>6897</v>
      </c>
      <c r="B20708" t="str">
        <f>HYPERLINK("https://lindat.mff.cuni.cz/services/teitok/pdtc10/index.php?action=vallex&amp;frame=v-w2578f1", "obtěžovat se (v-w2578f1)")</f>
        <v>obtěžovat se (v-w2578f1)</v>
      </c>
    </row>
    <row r="20709" spans="1:4" x14ac:dyDescent="0.2">
      <c r="B20709" t="s">
        <v>1</v>
      </c>
      <c r="C20709" t="s">
        <v>373</v>
      </c>
      <c r="D20709" t="s">
        <v>23633</v>
      </c>
    </row>
    <row r="20710" spans="1:4" x14ac:dyDescent="0.2">
      <c r="B20710" t="s">
        <v>6898</v>
      </c>
      <c r="C20710" t="s">
        <v>56</v>
      </c>
      <c r="D20710" t="s">
        <v>23634</v>
      </c>
    </row>
    <row r="20712" spans="1:4" x14ac:dyDescent="0.2">
      <c r="A20712" t="s">
        <v>6899</v>
      </c>
      <c r="B20712" t="str">
        <f>HYPERLINK("https://lindat.mff.cuni.cz/services/teitok/pdtc10/index.php?action=vallex&amp;frame=v-w11862_ZUf1_ZU", "obvazovat (v-w11862_ZUf1_ZU)")</f>
        <v>obvazovat (v-w11862_ZUf1_ZU)</v>
      </c>
    </row>
    <row r="20713" spans="1:4" x14ac:dyDescent="0.2">
      <c r="B20713" t="s">
        <v>1</v>
      </c>
    </row>
    <row r="20714" spans="1:4" x14ac:dyDescent="0.2">
      <c r="B20714" t="s">
        <v>8</v>
      </c>
    </row>
    <row r="20716" spans="1:4" x14ac:dyDescent="0.2">
      <c r="A20716" t="s">
        <v>6900</v>
      </c>
      <c r="B20716" t="str">
        <f>HYPERLINK("https://lindat.mff.cuni.cz/services/teitok/pdtc10/index.php?action=vallex&amp;frame=v-w2581f1", "obveselit (v-w2581f1)")</f>
        <v>obveselit (v-w2581f1)</v>
      </c>
    </row>
    <row r="20717" spans="1:4" x14ac:dyDescent="0.2">
      <c r="B20717" t="s">
        <v>1</v>
      </c>
    </row>
    <row r="20718" spans="1:4" x14ac:dyDescent="0.2">
      <c r="B20718" t="s">
        <v>8</v>
      </c>
    </row>
    <row r="20720" spans="1:4" x14ac:dyDescent="0.2">
      <c r="A20720" t="s">
        <v>6901</v>
      </c>
      <c r="B20720" t="str">
        <f>HYPERLINK("https://lindat.mff.cuni.cz/services/teitok/pdtc10/index.php?action=vallex&amp;frame=v-w2584hsa_602", "obvinit (v-w2584hsa_602)")</f>
        <v>obvinit (v-w2584hsa_602)</v>
      </c>
    </row>
    <row r="20721" spans="1:4" x14ac:dyDescent="0.2">
      <c r="B20721" t="s">
        <v>1</v>
      </c>
      <c r="C20721" t="s">
        <v>6902</v>
      </c>
      <c r="D20721" t="s">
        <v>6301</v>
      </c>
    </row>
    <row r="20722" spans="1:4" x14ac:dyDescent="0.2">
      <c r="B20722" t="s">
        <v>58</v>
      </c>
      <c r="C20722" t="s">
        <v>6903</v>
      </c>
      <c r="D20722" t="s">
        <v>23302</v>
      </c>
    </row>
    <row r="20723" spans="1:4" x14ac:dyDescent="0.2">
      <c r="B20723" t="s">
        <v>6904</v>
      </c>
      <c r="C20723" t="s">
        <v>6905</v>
      </c>
      <c r="D20723" t="s">
        <v>23301</v>
      </c>
    </row>
    <row r="20725" spans="1:4" x14ac:dyDescent="0.2">
      <c r="A20725" t="s">
        <v>6901</v>
      </c>
      <c r="B20725" t="str">
        <f>HYPERLINK("https://lindat.mff.cuni.cz/services/teitok/pdtc10/index.php?action=vallex&amp;frame=v-w2584f1", "obvinit (v-w2584f1) - substituted with v-w2584hsa_602")</f>
        <v>obvinit (v-w2584f1) - substituted with v-w2584hsa_602</v>
      </c>
    </row>
    <row r="20726" spans="1:4" x14ac:dyDescent="0.2">
      <c r="B20726" t="s">
        <v>1</v>
      </c>
      <c r="C20726" t="s">
        <v>6906</v>
      </c>
    </row>
    <row r="20727" spans="1:4" x14ac:dyDescent="0.2">
      <c r="B20727" t="s">
        <v>58</v>
      </c>
      <c r="C20727" t="s">
        <v>6907</v>
      </c>
    </row>
    <row r="20728" spans="1:4" x14ac:dyDescent="0.2">
      <c r="B20728" t="s">
        <v>6904</v>
      </c>
      <c r="C20728" t="s">
        <v>6908</v>
      </c>
    </row>
    <row r="20730" spans="1:4" x14ac:dyDescent="0.2">
      <c r="A20730" t="s">
        <v>6909</v>
      </c>
      <c r="B20730" t="str">
        <f>HYPERLINK("https://lindat.mff.cuni.cz/services/teitok/pdtc10/index.php?action=vallex&amp;frame=v-whsa_1278hsa_1279", "obvinit se (v-whsa_1278hsa_1279)")</f>
        <v>obvinit se (v-whsa_1278hsa_1279)</v>
      </c>
    </row>
    <row r="20731" spans="1:4" x14ac:dyDescent="0.2">
      <c r="B20731" t="s">
        <v>1</v>
      </c>
    </row>
    <row r="20732" spans="1:4" x14ac:dyDescent="0.2">
      <c r="B20732" t="s">
        <v>153</v>
      </c>
    </row>
    <row r="20733" spans="1:4" x14ac:dyDescent="0.2">
      <c r="B20733" t="s">
        <v>6427</v>
      </c>
    </row>
    <row r="20735" spans="1:4" x14ac:dyDescent="0.2">
      <c r="A20735" t="s">
        <v>6910</v>
      </c>
      <c r="B20735" t="str">
        <f>HYPERLINK("https://lindat.mff.cuni.cz/services/teitok/pdtc10/index.php?action=vallex&amp;frame=v-w2586f1", "obviňovat (v-w2586f1)")</f>
        <v>obviňovat (v-w2586f1)</v>
      </c>
    </row>
    <row r="20736" spans="1:4" x14ac:dyDescent="0.2">
      <c r="B20736" t="s">
        <v>1</v>
      </c>
      <c r="C20736" t="s">
        <v>6911</v>
      </c>
      <c r="D20736" t="s">
        <v>6301</v>
      </c>
    </row>
    <row r="20737" spans="1:4" x14ac:dyDescent="0.2">
      <c r="B20737" t="s">
        <v>58</v>
      </c>
      <c r="C20737" t="s">
        <v>6912</v>
      </c>
      <c r="D20737" t="s">
        <v>23302</v>
      </c>
    </row>
    <row r="20738" spans="1:4" x14ac:dyDescent="0.2">
      <c r="B20738" t="s">
        <v>6427</v>
      </c>
      <c r="C20738" t="s">
        <v>6913</v>
      </c>
      <c r="D20738" t="s">
        <v>23301</v>
      </c>
    </row>
    <row r="20740" spans="1:4" x14ac:dyDescent="0.2">
      <c r="A20740" t="s">
        <v>6914</v>
      </c>
      <c r="B20740" t="str">
        <f>HYPERLINK("https://lindat.mff.cuni.cz/services/teitok/pdtc10/index.php?action=vallex&amp;frame=v-whsa_882hsa_883", "obvolat (v-whsa_882hsa_883)")</f>
        <v>obvolat (v-whsa_882hsa_883)</v>
      </c>
    </row>
    <row r="20741" spans="1:4" x14ac:dyDescent="0.2">
      <c r="B20741" t="s">
        <v>1</v>
      </c>
      <c r="D20741" t="s">
        <v>22956</v>
      </c>
    </row>
    <row r="20742" spans="1:4" x14ac:dyDescent="0.2">
      <c r="B20742" t="s">
        <v>8</v>
      </c>
      <c r="C20742" t="s">
        <v>34</v>
      </c>
      <c r="D20742" t="s">
        <v>22957</v>
      </c>
    </row>
    <row r="20744" spans="1:4" x14ac:dyDescent="0.2">
      <c r="A20744" t="s">
        <v>6915</v>
      </c>
      <c r="B20744" t="str">
        <f>HYPERLINK("https://lindat.mff.cuni.cz/services/teitok/pdtc10/index.php?action=vallex&amp;frame=v-w11528_ZUf1_ZU", "obvolávat (v-w11528_ZUf1_ZU)")</f>
        <v>obvolávat (v-w11528_ZUf1_ZU)</v>
      </c>
    </row>
    <row r="20745" spans="1:4" x14ac:dyDescent="0.2">
      <c r="B20745" t="s">
        <v>1</v>
      </c>
      <c r="D20745" t="s">
        <v>22956</v>
      </c>
    </row>
    <row r="20746" spans="1:4" x14ac:dyDescent="0.2">
      <c r="B20746" t="s">
        <v>8</v>
      </c>
      <c r="C20746" t="s">
        <v>113</v>
      </c>
      <c r="D20746" t="s">
        <v>22957</v>
      </c>
    </row>
    <row r="20748" spans="1:4" x14ac:dyDescent="0.2">
      <c r="A20748" t="s">
        <v>6916</v>
      </c>
      <c r="B20748" t="str">
        <f>HYPERLINK("https://lindat.mff.cuni.cz/services/teitok/pdtc10/index.php?action=vallex&amp;frame=v-w2589f1", "obydlet (v-w2589f1)")</f>
        <v>obydlet (v-w2589f1)</v>
      </c>
    </row>
    <row r="20749" spans="1:4" x14ac:dyDescent="0.2">
      <c r="B20749" t="s">
        <v>1</v>
      </c>
    </row>
    <row r="20750" spans="1:4" x14ac:dyDescent="0.2">
      <c r="B20750" t="s">
        <v>8</v>
      </c>
    </row>
    <row r="20752" spans="1:4" x14ac:dyDescent="0.2">
      <c r="A20752" t="s">
        <v>6917</v>
      </c>
      <c r="B20752" t="str">
        <f>HYPERLINK("https://lindat.mff.cuni.cz/services/teitok/pdtc10/index.php?action=vallex&amp;frame=v-w2436f1", "obávat se (v-w2436f1)")</f>
        <v>obávat se (v-w2436f1)</v>
      </c>
    </row>
    <row r="20753" spans="1:4" x14ac:dyDescent="0.2">
      <c r="B20753" t="s">
        <v>1</v>
      </c>
      <c r="C20753" t="s">
        <v>6918</v>
      </c>
      <c r="D20753" t="s">
        <v>23024</v>
      </c>
    </row>
    <row r="20754" spans="1:4" x14ac:dyDescent="0.2">
      <c r="B20754" t="s">
        <v>6919</v>
      </c>
      <c r="C20754" t="s">
        <v>6920</v>
      </c>
      <c r="D20754" t="s">
        <v>23025</v>
      </c>
    </row>
    <row r="20756" spans="1:4" x14ac:dyDescent="0.2">
      <c r="A20756" t="s">
        <v>6921</v>
      </c>
      <c r="B20756" t="str">
        <f>HYPERLINK("https://lindat.mff.cuni.cz/services/teitok/pdtc10/index.php?action=vallex&amp;frame=v-w2436f2_ZU", "obávat se (v-w2436f2_ZU)")</f>
        <v>obávat se (v-w2436f2_ZU)</v>
      </c>
    </row>
    <row r="20757" spans="1:4" x14ac:dyDescent="0.2">
      <c r="B20757" t="s">
        <v>1</v>
      </c>
      <c r="C20757" t="s">
        <v>4110</v>
      </c>
    </row>
    <row r="20758" spans="1:4" x14ac:dyDescent="0.2">
      <c r="B20758" t="s">
        <v>467</v>
      </c>
      <c r="C20758" t="s">
        <v>969</v>
      </c>
    </row>
    <row r="20760" spans="1:4" x14ac:dyDescent="0.2">
      <c r="A20760" t="s">
        <v>6921</v>
      </c>
      <c r="B20760" t="str">
        <f>HYPERLINK("https://lindat.mff.cuni.cz/services/teitok/pdtc10/index.php?action=vallex&amp;frame=v-w2436hsa_263", "obávat se (v-w2436hsa_263) - substituted with v-w2436f2_ZU")</f>
        <v>obávat se (v-w2436hsa_263) - substituted with v-w2436f2_ZU</v>
      </c>
    </row>
    <row r="20761" spans="1:4" x14ac:dyDescent="0.2">
      <c r="B20761" t="s">
        <v>1</v>
      </c>
    </row>
    <row r="20762" spans="1:4" x14ac:dyDescent="0.2">
      <c r="B20762" t="s">
        <v>467</v>
      </c>
    </row>
    <row r="20764" spans="1:4" x14ac:dyDescent="0.2">
      <c r="A20764" t="s">
        <v>6922</v>
      </c>
      <c r="B20764" t="str">
        <f>HYPERLINK("https://lindat.mff.cuni.cz/services/teitok/pdtc10/index.php?action=vallex&amp;frame=v-w2436f3_ZU", "obávat se (v-w2436f3_ZU)")</f>
        <v>obávat se (v-w2436f3_ZU)</v>
      </c>
    </row>
    <row r="20765" spans="1:4" x14ac:dyDescent="0.2">
      <c r="B20765" t="s">
        <v>1</v>
      </c>
    </row>
    <row r="20766" spans="1:4" x14ac:dyDescent="0.2">
      <c r="B20766" t="s">
        <v>917</v>
      </c>
    </row>
    <row r="20767" spans="1:4" x14ac:dyDescent="0.2">
      <c r="B20767" t="s">
        <v>321</v>
      </c>
    </row>
    <row r="20769" spans="1:4" x14ac:dyDescent="0.2">
      <c r="A20769" t="s">
        <v>6923</v>
      </c>
      <c r="B20769" t="str">
        <f>HYPERLINK("https://lindat.mff.cuni.cz/services/teitok/pdtc10/index.php?action=vallex&amp;frame=v-w10836f3", "obíhat (v-w10836f3)")</f>
        <v>obíhat (v-w10836f3)</v>
      </c>
    </row>
    <row r="20770" spans="1:4" x14ac:dyDescent="0.2">
      <c r="B20770" t="s">
        <v>1</v>
      </c>
    </row>
    <row r="20772" spans="1:4" x14ac:dyDescent="0.2">
      <c r="A20772" t="s">
        <v>6924</v>
      </c>
      <c r="B20772" t="str">
        <f>HYPERLINK("https://lindat.mff.cuni.cz/services/teitok/pdtc10/index.php?action=vallex&amp;frame=v-w11217f3", "obírat (v-w11217f3)")</f>
        <v>obírat (v-w11217f3)</v>
      </c>
    </row>
    <row r="20773" spans="1:4" x14ac:dyDescent="0.2">
      <c r="B20773" t="s">
        <v>1</v>
      </c>
    </row>
    <row r="20774" spans="1:4" x14ac:dyDescent="0.2">
      <c r="B20774" t="s">
        <v>58</v>
      </c>
      <c r="D20774" t="s">
        <v>4016</v>
      </c>
    </row>
    <row r="20775" spans="1:4" x14ac:dyDescent="0.2">
      <c r="B20775" t="s">
        <v>2287</v>
      </c>
    </row>
    <row r="20777" spans="1:4" x14ac:dyDescent="0.2">
      <c r="A20777" t="s">
        <v>6925</v>
      </c>
      <c r="B20777" t="str">
        <f>HYPERLINK("https://lindat.mff.cuni.cz/services/teitok/pdtc10/index.php?action=vallex&amp;frame=v-w2592f1", "obývat (v-w2592f1)")</f>
        <v>obývat (v-w2592f1)</v>
      </c>
    </row>
    <row r="20778" spans="1:4" x14ac:dyDescent="0.2">
      <c r="B20778" t="s">
        <v>1</v>
      </c>
      <c r="C20778" t="s">
        <v>80</v>
      </c>
      <c r="D20778" t="s">
        <v>249</v>
      </c>
    </row>
    <row r="20779" spans="1:4" x14ac:dyDescent="0.2">
      <c r="B20779" t="s">
        <v>8</v>
      </c>
      <c r="C20779" t="s">
        <v>1044</v>
      </c>
      <c r="D20779" t="s">
        <v>113</v>
      </c>
    </row>
    <row r="20781" spans="1:4" x14ac:dyDescent="0.2">
      <c r="A20781" t="s">
        <v>6926</v>
      </c>
      <c r="B20781" t="str">
        <f>HYPERLINK("https://lindat.mff.cuni.cz/services/teitok/pdtc10/index.php?action=vallex&amp;frame=v-w2439f1", "občerstvovat (v-w2439f1)")</f>
        <v>občerstvovat (v-w2439f1)</v>
      </c>
    </row>
    <row r="20782" spans="1:4" x14ac:dyDescent="0.2">
      <c r="B20782" t="s">
        <v>1</v>
      </c>
    </row>
    <row r="20783" spans="1:4" x14ac:dyDescent="0.2">
      <c r="B20783" t="s">
        <v>8</v>
      </c>
    </row>
    <row r="20784" spans="1:4" x14ac:dyDescent="0.2">
      <c r="B20784" t="s">
        <v>78</v>
      </c>
    </row>
    <row r="20786" spans="1:4" x14ac:dyDescent="0.2">
      <c r="A20786" t="s">
        <v>6927</v>
      </c>
      <c r="B20786" t="str">
        <f>HYPERLINK("https://lindat.mff.cuni.cz/services/teitok/pdtc10/index.php?action=vallex&amp;frame=v-w2439f2", "občerstvovat (v-w2439f2)")</f>
        <v>občerstvovat (v-w2439f2)</v>
      </c>
    </row>
    <row r="20787" spans="1:4" x14ac:dyDescent="0.2">
      <c r="B20787" t="s">
        <v>1</v>
      </c>
    </row>
    <row r="20788" spans="1:4" x14ac:dyDescent="0.2">
      <c r="B20788" t="s">
        <v>8</v>
      </c>
    </row>
    <row r="20790" spans="1:4" x14ac:dyDescent="0.2">
      <c r="A20790" t="s">
        <v>6928</v>
      </c>
      <c r="B20790" t="str">
        <f>HYPERLINK("https://lindat.mff.cuni.cz/services/teitok/pdtc10/index.php?action=vallex&amp;frame=v-w10574f2", "obědvat (v-w10574f2)")</f>
        <v>obědvat (v-w10574f2)</v>
      </c>
    </row>
    <row r="20791" spans="1:4" x14ac:dyDescent="0.2">
      <c r="B20791" t="s">
        <v>1</v>
      </c>
      <c r="C20791" t="s">
        <v>3765</v>
      </c>
      <c r="D20791" t="s">
        <v>15948</v>
      </c>
    </row>
    <row r="20792" spans="1:4" x14ac:dyDescent="0.2">
      <c r="B20792" t="s">
        <v>220</v>
      </c>
      <c r="C20792" t="s">
        <v>1109</v>
      </c>
      <c r="D20792" t="s">
        <v>110</v>
      </c>
    </row>
    <row r="20794" spans="1:4" x14ac:dyDescent="0.2">
      <c r="A20794" t="s">
        <v>6929</v>
      </c>
      <c r="B20794" t="str">
        <f>HYPERLINK("https://lindat.mff.cuni.cz/services/teitok/pdtc10/index.php?action=vallex&amp;frame=v-whsa_782f2_ZU", "oběhnout (v-whsa_782f2_ZU)")</f>
        <v>oběhnout (v-whsa_782f2_ZU)</v>
      </c>
    </row>
    <row r="20795" spans="1:4" x14ac:dyDescent="0.2">
      <c r="B20795" t="s">
        <v>1</v>
      </c>
    </row>
    <row r="20796" spans="1:4" x14ac:dyDescent="0.2">
      <c r="B20796" t="s">
        <v>8</v>
      </c>
    </row>
    <row r="20798" spans="1:4" x14ac:dyDescent="0.2">
      <c r="A20798" t="s">
        <v>6930</v>
      </c>
      <c r="B20798" t="str">
        <f>HYPERLINK("https://lindat.mff.cuni.cz/services/teitok/pdtc10/index.php?action=vallex&amp;frame=v-whsa_782f3_ZU", "oběhnout (v-whsa_782f3_ZU)")</f>
        <v>oběhnout (v-whsa_782f3_ZU)</v>
      </c>
    </row>
    <row r="20799" spans="1:4" x14ac:dyDescent="0.2">
      <c r="B20799" t="s">
        <v>1</v>
      </c>
    </row>
    <row r="20800" spans="1:4" x14ac:dyDescent="0.2">
      <c r="B20800" t="s">
        <v>8</v>
      </c>
    </row>
    <row r="20802" spans="1:4" x14ac:dyDescent="0.2">
      <c r="A20802" t="s">
        <v>6930</v>
      </c>
      <c r="B20802" t="str">
        <f>HYPERLINK("https://lindat.mff.cuni.cz/services/teitok/pdtc10/index.php?action=vallex&amp;frame=v-whsa_782f1_ZU", "oběhnout (v-whsa_782f1_ZU) - substituted with v-whsa_782f3_ZU")</f>
        <v>oběhnout (v-whsa_782f1_ZU) - substituted with v-whsa_782f3_ZU</v>
      </c>
    </row>
    <row r="20803" spans="1:4" x14ac:dyDescent="0.2">
      <c r="B20803" t="s">
        <v>1</v>
      </c>
    </row>
    <row r="20804" spans="1:4" x14ac:dyDescent="0.2">
      <c r="B20804" t="s">
        <v>8</v>
      </c>
    </row>
    <row r="20806" spans="1:4" x14ac:dyDescent="0.2">
      <c r="A20806" t="s">
        <v>6930</v>
      </c>
      <c r="B20806" t="str">
        <f>HYPERLINK("https://lindat.mff.cuni.cz/services/teitok/pdtc10/index.php?action=vallex&amp;frame=v-whsa_782hsa_783", "oběhnout (v-whsa_782hsa_783) - substituted with v-whsa_782f3_ZU")</f>
        <v>oběhnout (v-whsa_782hsa_783) - substituted with v-whsa_782f3_ZU</v>
      </c>
    </row>
    <row r="20807" spans="1:4" x14ac:dyDescent="0.2">
      <c r="B20807" t="s">
        <v>1</v>
      </c>
    </row>
    <row r="20808" spans="1:4" x14ac:dyDescent="0.2">
      <c r="B20808" t="s">
        <v>8</v>
      </c>
    </row>
    <row r="20810" spans="1:4" x14ac:dyDescent="0.2">
      <c r="A20810" t="s">
        <v>6931</v>
      </c>
      <c r="B20810" t="str">
        <f>HYPERLINK("https://lindat.mff.cuni.cz/services/teitok/pdtc10/index.php?action=vallex&amp;frame=v-w2458f1", "oběsit (v-w2458f1)")</f>
        <v>oběsit (v-w2458f1)</v>
      </c>
    </row>
    <row r="20811" spans="1:4" x14ac:dyDescent="0.2">
      <c r="B20811" t="s">
        <v>1</v>
      </c>
    </row>
    <row r="20812" spans="1:4" x14ac:dyDescent="0.2">
      <c r="B20812" t="s">
        <v>8</v>
      </c>
    </row>
    <row r="20814" spans="1:4" x14ac:dyDescent="0.2">
      <c r="A20814" t="s">
        <v>6932</v>
      </c>
      <c r="B20814" t="str">
        <f>HYPERLINK("https://lindat.mff.cuni.cz/services/teitok/pdtc10/index.php?action=vallex&amp;frame=v-w2464f1", "obětovat (v-w2464f1)")</f>
        <v>obětovat (v-w2464f1)</v>
      </c>
    </row>
    <row r="20815" spans="1:4" x14ac:dyDescent="0.2">
      <c r="B20815" t="s">
        <v>1</v>
      </c>
      <c r="C20815" t="s">
        <v>83</v>
      </c>
      <c r="D20815" t="s">
        <v>16</v>
      </c>
    </row>
    <row r="20816" spans="1:4" x14ac:dyDescent="0.2">
      <c r="B20816" t="s">
        <v>8</v>
      </c>
      <c r="C20816" t="s">
        <v>2240</v>
      </c>
      <c r="D20816" t="s">
        <v>969</v>
      </c>
    </row>
    <row r="20817" spans="1:4" x14ac:dyDescent="0.2">
      <c r="B20817" t="s">
        <v>78</v>
      </c>
      <c r="D20817" t="s">
        <v>987</v>
      </c>
    </row>
    <row r="20819" spans="1:4" x14ac:dyDescent="0.2">
      <c r="A20819" t="s">
        <v>6933</v>
      </c>
      <c r="B20819" t="str">
        <f>HYPERLINK("https://lindat.mff.cuni.cz/services/teitok/pdtc10/index.php?action=vallex&amp;frame=v-w2464hsa_547", "obětovat (v-w2464hsa_547)")</f>
        <v>obětovat (v-w2464hsa_547)</v>
      </c>
    </row>
    <row r="20820" spans="1:4" x14ac:dyDescent="0.2">
      <c r="B20820" t="s">
        <v>1</v>
      </c>
    </row>
    <row r="20821" spans="1:4" x14ac:dyDescent="0.2">
      <c r="B20821" t="s">
        <v>8</v>
      </c>
    </row>
    <row r="20823" spans="1:4" x14ac:dyDescent="0.2">
      <c r="A20823" t="s">
        <v>6934</v>
      </c>
      <c r="B20823" t="str">
        <f>HYPERLINK("https://lindat.mff.cuni.cz/services/teitok/pdtc10/index.php?action=vallex&amp;frame=v-w2573f1", "obšancovat (v-w2573f1)")</f>
        <v>obšancovat (v-w2573f1)</v>
      </c>
    </row>
    <row r="20824" spans="1:4" x14ac:dyDescent="0.2">
      <c r="B20824" t="s">
        <v>1</v>
      </c>
    </row>
    <row r="20825" spans="1:4" x14ac:dyDescent="0.2">
      <c r="B20825" t="s">
        <v>8</v>
      </c>
    </row>
    <row r="20827" spans="1:4" x14ac:dyDescent="0.2">
      <c r="A20827" t="s">
        <v>6935</v>
      </c>
      <c r="B20827" t="str">
        <f>HYPERLINK("https://lindat.mff.cuni.cz/services/teitok/pdtc10/index.php?action=vallex&amp;frame=v-w2574f1", "obšlápnout (v-w2574f1)")</f>
        <v>obšlápnout (v-w2574f1)</v>
      </c>
    </row>
    <row r="20828" spans="1:4" x14ac:dyDescent="0.2">
      <c r="B20828" t="s">
        <v>1</v>
      </c>
    </row>
    <row r="20829" spans="1:4" x14ac:dyDescent="0.2">
      <c r="B20829" t="s">
        <v>8</v>
      </c>
    </row>
    <row r="20831" spans="1:4" x14ac:dyDescent="0.2">
      <c r="A20831" t="s">
        <v>6936</v>
      </c>
      <c r="B20831" t="str">
        <f>HYPERLINK("https://lindat.mff.cuni.cz/services/teitok/pdtc10/index.php?action=vallex&amp;frame=v-w12257_ZUf1_ZU", "obšít (v-w12257_ZUf1_ZU)")</f>
        <v>obšít (v-w12257_ZUf1_ZU)</v>
      </c>
    </row>
    <row r="20832" spans="1:4" x14ac:dyDescent="0.2">
      <c r="B20832" t="s">
        <v>1</v>
      </c>
    </row>
    <row r="20833" spans="1:4" x14ac:dyDescent="0.2">
      <c r="B20833" t="s">
        <v>8</v>
      </c>
    </row>
    <row r="20835" spans="1:4" x14ac:dyDescent="0.2">
      <c r="A20835" t="s">
        <v>6937</v>
      </c>
      <c r="B20835" t="str">
        <f>HYPERLINK("https://lindat.mff.cuni.cz/services/teitok/pdtc10/index.php?action=vallex&amp;frame=v-w2575f1", "obšťastňovat (v-w2575f1)")</f>
        <v>obšťastňovat (v-w2575f1)</v>
      </c>
    </row>
    <row r="20836" spans="1:4" x14ac:dyDescent="0.2">
      <c r="B20836" t="s">
        <v>1</v>
      </c>
    </row>
    <row r="20837" spans="1:4" x14ac:dyDescent="0.2">
      <c r="B20837" t="s">
        <v>8</v>
      </c>
    </row>
    <row r="20839" spans="1:4" x14ac:dyDescent="0.2">
      <c r="A20839" t="s">
        <v>6938</v>
      </c>
      <c r="B20839" t="str">
        <f>HYPERLINK("https://lindat.mff.cuni.cz/services/teitok/pdtc10/index.php?action=vallex&amp;frame=v-w2597f1", "obžalovat (v-w2597f1)")</f>
        <v>obžalovat (v-w2597f1)</v>
      </c>
    </row>
    <row r="20840" spans="1:4" x14ac:dyDescent="0.2">
      <c r="B20840" t="s">
        <v>1</v>
      </c>
      <c r="C20840" t="s">
        <v>2303</v>
      </c>
      <c r="D20840" t="s">
        <v>6301</v>
      </c>
    </row>
    <row r="20841" spans="1:4" x14ac:dyDescent="0.2">
      <c r="B20841" t="s">
        <v>8</v>
      </c>
      <c r="C20841" t="s">
        <v>4111</v>
      </c>
      <c r="D20841" t="s">
        <v>23635</v>
      </c>
    </row>
    <row r="20843" spans="1:4" x14ac:dyDescent="0.2">
      <c r="A20843" t="s">
        <v>6939</v>
      </c>
      <c r="B20843" t="str">
        <f>HYPERLINK("https://lindat.mff.cuni.cz/services/teitok/pdtc10/index.php?action=vallex&amp;frame=v-w2598f1", "ocejchovat (v-w2598f1)")</f>
        <v>ocejchovat (v-w2598f1)</v>
      </c>
    </row>
    <row r="20844" spans="1:4" x14ac:dyDescent="0.2">
      <c r="B20844" t="s">
        <v>1</v>
      </c>
    </row>
    <row r="20845" spans="1:4" x14ac:dyDescent="0.2">
      <c r="B20845" t="s">
        <v>8</v>
      </c>
    </row>
    <row r="20847" spans="1:4" x14ac:dyDescent="0.2">
      <c r="A20847" t="s">
        <v>6940</v>
      </c>
      <c r="B20847" t="str">
        <f>HYPERLINK("https://lindat.mff.cuni.cz/services/teitok/pdtc10/index.php?action=vallex&amp;frame=v-w2600f2", "ocenit (v-w2600f2)")</f>
        <v>ocenit (v-w2600f2)</v>
      </c>
    </row>
    <row r="20848" spans="1:4" x14ac:dyDescent="0.2">
      <c r="B20848" t="s">
        <v>1</v>
      </c>
      <c r="C20848" t="s">
        <v>6941</v>
      </c>
      <c r="D20848" t="s">
        <v>23042</v>
      </c>
    </row>
    <row r="20849" spans="1:4" x14ac:dyDescent="0.2">
      <c r="B20849" t="s">
        <v>8</v>
      </c>
      <c r="C20849" t="s">
        <v>6942</v>
      </c>
      <c r="D20849" t="s">
        <v>23043</v>
      </c>
    </row>
    <row r="20850" spans="1:4" x14ac:dyDescent="0.2">
      <c r="B20850" t="s">
        <v>61</v>
      </c>
      <c r="C20850" t="s">
        <v>6943</v>
      </c>
      <c r="D20850" t="s">
        <v>23044</v>
      </c>
    </row>
    <row r="20852" spans="1:4" x14ac:dyDescent="0.2">
      <c r="A20852" t="s">
        <v>6944</v>
      </c>
      <c r="B20852" t="str">
        <f>HYPERLINK("https://lindat.mff.cuni.cz/services/teitok/pdtc10/index.php?action=vallex&amp;frame=v-w2600hsa_226", "ocenit (v-w2600hsa_226)")</f>
        <v>ocenit (v-w2600hsa_226)</v>
      </c>
    </row>
    <row r="20853" spans="1:4" x14ac:dyDescent="0.2">
      <c r="B20853" t="s">
        <v>1</v>
      </c>
      <c r="C20853" t="s">
        <v>430</v>
      </c>
      <c r="D20853" t="s">
        <v>1581</v>
      </c>
    </row>
    <row r="20854" spans="1:4" x14ac:dyDescent="0.2">
      <c r="B20854" t="s">
        <v>1415</v>
      </c>
      <c r="C20854" t="s">
        <v>1025</v>
      </c>
      <c r="D20854" t="s">
        <v>23058</v>
      </c>
    </row>
    <row r="20856" spans="1:4" x14ac:dyDescent="0.2">
      <c r="A20856" t="s">
        <v>6944</v>
      </c>
      <c r="B20856" t="str">
        <f>HYPERLINK("https://lindat.mff.cuni.cz/services/teitok/pdtc10/index.php?action=vallex&amp;frame=v-w2600f1", "ocenit (v-w2600f1) - substituted with v-w2600hsa_226")</f>
        <v>ocenit (v-w2600f1) - substituted with v-w2600hsa_226</v>
      </c>
    </row>
    <row r="20857" spans="1:4" x14ac:dyDescent="0.2">
      <c r="B20857" t="s">
        <v>1</v>
      </c>
      <c r="C20857" t="s">
        <v>1275</v>
      </c>
    </row>
    <row r="20858" spans="1:4" x14ac:dyDescent="0.2">
      <c r="B20858" t="s">
        <v>1415</v>
      </c>
      <c r="C20858" t="s">
        <v>6945</v>
      </c>
    </row>
    <row r="20860" spans="1:4" x14ac:dyDescent="0.2">
      <c r="A20860" t="s">
        <v>6946</v>
      </c>
      <c r="B20860" t="str">
        <f>HYPERLINK("https://lindat.mff.cuni.cz/services/teitok/pdtc10/index.php?action=vallex&amp;frame=v-w2602f1", "oceňovat (v-w2602f1)")</f>
        <v>oceňovat (v-w2602f1)</v>
      </c>
    </row>
    <row r="20861" spans="1:4" x14ac:dyDescent="0.2">
      <c r="B20861" t="s">
        <v>1</v>
      </c>
      <c r="C20861" t="s">
        <v>2125</v>
      </c>
      <c r="D20861" t="s">
        <v>23042</v>
      </c>
    </row>
    <row r="20862" spans="1:4" x14ac:dyDescent="0.2">
      <c r="B20862" t="s">
        <v>8</v>
      </c>
      <c r="C20862" t="s">
        <v>3789</v>
      </c>
      <c r="D20862" t="s">
        <v>23043</v>
      </c>
    </row>
    <row r="20863" spans="1:4" x14ac:dyDescent="0.2">
      <c r="B20863" t="s">
        <v>61</v>
      </c>
      <c r="C20863" t="s">
        <v>6947</v>
      </c>
      <c r="D20863" t="s">
        <v>23044</v>
      </c>
    </row>
    <row r="20865" spans="1:4" x14ac:dyDescent="0.2">
      <c r="A20865" t="s">
        <v>6948</v>
      </c>
      <c r="B20865" t="str">
        <f>HYPERLINK("https://lindat.mff.cuni.cz/services/teitok/pdtc10/index.php?action=vallex&amp;frame=v-w2602f3_ZU", "oceňovat (v-w2602f3_ZU)")</f>
        <v>oceňovat (v-w2602f3_ZU)</v>
      </c>
    </row>
    <row r="20866" spans="1:4" x14ac:dyDescent="0.2">
      <c r="B20866" t="s">
        <v>1</v>
      </c>
      <c r="C20866" t="s">
        <v>6949</v>
      </c>
    </row>
    <row r="20867" spans="1:4" x14ac:dyDescent="0.2">
      <c r="B20867" t="s">
        <v>1417</v>
      </c>
      <c r="C20867" t="s">
        <v>5674</v>
      </c>
    </row>
    <row r="20869" spans="1:4" x14ac:dyDescent="0.2">
      <c r="A20869" t="s">
        <v>6948</v>
      </c>
      <c r="B20869" t="str">
        <f>HYPERLINK("https://lindat.mff.cuni.cz/services/teitok/pdtc10/index.php?action=vallex&amp;frame=v-w2602f2", "oceňovat (v-w2602f2) - substituted with v-w2602f3_ZU")</f>
        <v>oceňovat (v-w2602f2) - substituted with v-w2602f3_ZU</v>
      </c>
    </row>
    <row r="20870" spans="1:4" x14ac:dyDescent="0.2">
      <c r="B20870" t="s">
        <v>1</v>
      </c>
    </row>
    <row r="20871" spans="1:4" x14ac:dyDescent="0.2">
      <c r="B20871" t="s">
        <v>1417</v>
      </c>
    </row>
    <row r="20873" spans="1:4" x14ac:dyDescent="0.2">
      <c r="A20873" t="s">
        <v>6950</v>
      </c>
      <c r="B20873" t="str">
        <f>HYPERLINK("https://lindat.mff.cuni.cz/services/teitok/pdtc10/index.php?action=vallex&amp;frame=v-w3027f1", "ochabnout (v-w3027f1)")</f>
        <v>ochabnout (v-w3027f1)</v>
      </c>
    </row>
    <row r="20874" spans="1:4" x14ac:dyDescent="0.2">
      <c r="B20874" t="s">
        <v>1</v>
      </c>
      <c r="C20874" t="s">
        <v>6951</v>
      </c>
      <c r="D20874" t="s">
        <v>23636</v>
      </c>
    </row>
    <row r="20876" spans="1:4" x14ac:dyDescent="0.2">
      <c r="A20876" t="s">
        <v>6952</v>
      </c>
      <c r="B20876" t="str">
        <f>HYPERLINK("https://lindat.mff.cuni.cz/services/teitok/pdtc10/index.php?action=vallex&amp;frame=v-w3027hsa_1285", "ochabnout (v-w3027hsa_1285)")</f>
        <v>ochabnout (v-w3027hsa_1285)</v>
      </c>
    </row>
    <row r="20877" spans="1:4" x14ac:dyDescent="0.2">
      <c r="B20877" t="s">
        <v>1</v>
      </c>
    </row>
    <row r="20878" spans="1:4" x14ac:dyDescent="0.2">
      <c r="B20878" t="s">
        <v>46</v>
      </c>
    </row>
    <row r="20879" spans="1:4" x14ac:dyDescent="0.2">
      <c r="B20879" t="s">
        <v>24</v>
      </c>
    </row>
    <row r="20881" spans="1:4" x14ac:dyDescent="0.2">
      <c r="A20881" t="s">
        <v>6953</v>
      </c>
      <c r="B20881" t="str">
        <f>HYPERLINK("https://lindat.mff.cuni.cz/services/teitok/pdtc10/index.php?action=vallex&amp;frame=v-w10786f2", "ochabovat (v-w10786f2)")</f>
        <v>ochabovat (v-w10786f2)</v>
      </c>
    </row>
    <row r="20882" spans="1:4" x14ac:dyDescent="0.2">
      <c r="B20882" t="s">
        <v>1</v>
      </c>
      <c r="C20882" t="s">
        <v>6954</v>
      </c>
      <c r="D20882" t="s">
        <v>23636</v>
      </c>
    </row>
    <row r="20884" spans="1:4" x14ac:dyDescent="0.2">
      <c r="A20884" t="s">
        <v>6955</v>
      </c>
      <c r="B20884" t="str">
        <f>HYPERLINK("https://lindat.mff.cuni.cz/services/teitok/pdtc10/index.php?action=vallex&amp;frame=v-w3028f1", "ochladit (v-w3028f1)")</f>
        <v>ochladit (v-w3028f1)</v>
      </c>
    </row>
    <row r="20885" spans="1:4" x14ac:dyDescent="0.2">
      <c r="B20885" t="s">
        <v>1</v>
      </c>
      <c r="C20885" t="s">
        <v>133</v>
      </c>
    </row>
    <row r="20886" spans="1:4" x14ac:dyDescent="0.2">
      <c r="B20886" t="s">
        <v>8</v>
      </c>
      <c r="C20886" t="s">
        <v>54</v>
      </c>
    </row>
    <row r="20887" spans="1:4" x14ac:dyDescent="0.2">
      <c r="B20887" t="s">
        <v>24</v>
      </c>
    </row>
    <row r="20888" spans="1:4" x14ac:dyDescent="0.2">
      <c r="B20888" t="s">
        <v>61</v>
      </c>
    </row>
    <row r="20890" spans="1:4" x14ac:dyDescent="0.2">
      <c r="A20890" t="s">
        <v>6956</v>
      </c>
      <c r="B20890" t="str">
        <f>HYPERLINK("https://lindat.mff.cuni.cz/services/teitok/pdtc10/index.php?action=vallex&amp;frame=v-w3029f2", "ochladit se (v-w3029f2)")</f>
        <v>ochladit se (v-w3029f2)</v>
      </c>
    </row>
    <row r="20891" spans="1:4" x14ac:dyDescent="0.2">
      <c r="B20891" t="s">
        <v>1</v>
      </c>
    </row>
    <row r="20892" spans="1:4" x14ac:dyDescent="0.2">
      <c r="B20892" t="s">
        <v>46</v>
      </c>
    </row>
    <row r="20893" spans="1:4" x14ac:dyDescent="0.2">
      <c r="B20893" t="s">
        <v>24</v>
      </c>
    </row>
    <row r="20895" spans="1:4" x14ac:dyDescent="0.2">
      <c r="A20895" t="s">
        <v>6957</v>
      </c>
      <c r="B20895" t="str">
        <f>HYPERLINK("https://lindat.mff.cuni.cz/services/teitok/pdtc10/index.php?action=vallex&amp;frame=v-w3029f1", "ochladit se (v-w3029f1)")</f>
        <v>ochladit se (v-w3029f1)</v>
      </c>
    </row>
    <row r="20897" spans="1:4" x14ac:dyDescent="0.2">
      <c r="A20897" t="s">
        <v>6958</v>
      </c>
      <c r="B20897" t="str">
        <f>HYPERLINK("https://lindat.mff.cuni.cz/services/teitok/pdtc10/index.php?action=vallex&amp;frame=v-w3030f1", "ochladnout (v-w3030f1)")</f>
        <v>ochladnout (v-w3030f1)</v>
      </c>
    </row>
    <row r="20898" spans="1:4" x14ac:dyDescent="0.2">
      <c r="B20898" t="s">
        <v>1</v>
      </c>
      <c r="C20898" t="s">
        <v>201</v>
      </c>
      <c r="D20898" t="s">
        <v>23637</v>
      </c>
    </row>
    <row r="20900" spans="1:4" x14ac:dyDescent="0.2">
      <c r="A20900" t="s">
        <v>6959</v>
      </c>
      <c r="B20900" t="str">
        <f>HYPERLINK("https://lindat.mff.cuni.cz/services/teitok/pdtc10/index.php?action=vallex&amp;frame=v-w10120f2", "ochlazovat (v-w10120f2)")</f>
        <v>ochlazovat (v-w10120f2)</v>
      </c>
    </row>
    <row r="20901" spans="1:4" x14ac:dyDescent="0.2">
      <c r="B20901" t="s">
        <v>1</v>
      </c>
    </row>
    <row r="20902" spans="1:4" x14ac:dyDescent="0.2">
      <c r="B20902" t="s">
        <v>8</v>
      </c>
    </row>
    <row r="20904" spans="1:4" x14ac:dyDescent="0.2">
      <c r="A20904" t="s">
        <v>6960</v>
      </c>
      <c r="B20904" t="str">
        <f>HYPERLINK("https://lindat.mff.cuni.cz/services/teitok/pdtc10/index.php?action=vallex&amp;frame=v-w3038f1", "ochraňovat (v-w3038f1)")</f>
        <v>ochraňovat (v-w3038f1)</v>
      </c>
    </row>
    <row r="20905" spans="1:4" x14ac:dyDescent="0.2">
      <c r="B20905" t="s">
        <v>1</v>
      </c>
      <c r="C20905" t="s">
        <v>6961</v>
      </c>
      <c r="D20905" t="s">
        <v>23052</v>
      </c>
    </row>
    <row r="20906" spans="1:4" x14ac:dyDescent="0.2">
      <c r="B20906" t="s">
        <v>8</v>
      </c>
      <c r="C20906" t="s">
        <v>1264</v>
      </c>
      <c r="D20906" t="s">
        <v>23053</v>
      </c>
    </row>
    <row r="20907" spans="1:4" x14ac:dyDescent="0.2">
      <c r="B20907" t="s">
        <v>308</v>
      </c>
      <c r="D20907" t="s">
        <v>23054</v>
      </c>
    </row>
    <row r="20909" spans="1:4" x14ac:dyDescent="0.2">
      <c r="A20909" t="s">
        <v>6962</v>
      </c>
      <c r="B20909" t="str">
        <f>HYPERLINK("https://lindat.mff.cuni.cz/services/teitok/pdtc10/index.php?action=vallex&amp;frame=v-whsa_1432hsa_1433", "ochrnout (v-whsa_1432hsa_1433)")</f>
        <v>ochrnout (v-whsa_1432hsa_1433)</v>
      </c>
    </row>
    <row r="20910" spans="1:4" x14ac:dyDescent="0.2">
      <c r="B20910" t="s">
        <v>1</v>
      </c>
    </row>
    <row r="20912" spans="1:4" x14ac:dyDescent="0.2">
      <c r="A20912" t="s">
        <v>6963</v>
      </c>
      <c r="B20912" t="str">
        <f>HYPERLINK("https://lindat.mff.cuni.cz/services/teitok/pdtc10/index.php?action=vallex&amp;frame=v-w3041f1", "ochromit (v-w3041f1)")</f>
        <v>ochromit (v-w3041f1)</v>
      </c>
    </row>
    <row r="20913" spans="1:4" x14ac:dyDescent="0.2">
      <c r="B20913" t="s">
        <v>1</v>
      </c>
      <c r="C20913" t="s">
        <v>22</v>
      </c>
      <c r="D20913" t="s">
        <v>23638</v>
      </c>
    </row>
    <row r="20914" spans="1:4" x14ac:dyDescent="0.2">
      <c r="B20914" t="s">
        <v>8</v>
      </c>
      <c r="C20914" t="s">
        <v>1044</v>
      </c>
      <c r="D20914" t="s">
        <v>7276</v>
      </c>
    </row>
    <row r="20916" spans="1:4" x14ac:dyDescent="0.2">
      <c r="A20916" t="s">
        <v>6964</v>
      </c>
      <c r="B20916" t="str">
        <f>HYPERLINK("https://lindat.mff.cuni.cz/services/teitok/pdtc10/index.php?action=vallex&amp;frame=v-w3036hsa_657", "ochránit (v-w3036hsa_657)")</f>
        <v>ochránit (v-w3036hsa_657)</v>
      </c>
    </row>
    <row r="20917" spans="1:4" x14ac:dyDescent="0.2">
      <c r="B20917" t="s">
        <v>1</v>
      </c>
      <c r="C20917" t="s">
        <v>6961</v>
      </c>
      <c r="D20917" t="s">
        <v>23052</v>
      </c>
    </row>
    <row r="20918" spans="1:4" x14ac:dyDescent="0.2">
      <c r="B20918" t="s">
        <v>8</v>
      </c>
      <c r="C20918" t="s">
        <v>1264</v>
      </c>
      <c r="D20918" t="s">
        <v>23053</v>
      </c>
    </row>
    <row r="20919" spans="1:4" x14ac:dyDescent="0.2">
      <c r="B20919" t="s">
        <v>1040</v>
      </c>
      <c r="C20919" t="s">
        <v>6965</v>
      </c>
      <c r="D20919" t="s">
        <v>23054</v>
      </c>
    </row>
    <row r="20921" spans="1:4" x14ac:dyDescent="0.2">
      <c r="A20921" t="s">
        <v>6964</v>
      </c>
      <c r="B20921" t="str">
        <f>HYPERLINK("https://lindat.mff.cuni.cz/services/teitok/pdtc10/index.php?action=vallex&amp;frame=v-w3036f1", "ochránit (v-w3036f1) - substituted with v-w3036hsa_657")</f>
        <v>ochránit (v-w3036f1) - substituted with v-w3036hsa_657</v>
      </c>
    </row>
    <row r="20922" spans="1:4" x14ac:dyDescent="0.2">
      <c r="B20922" t="s">
        <v>1</v>
      </c>
      <c r="C20922" t="s">
        <v>6966</v>
      </c>
    </row>
    <row r="20923" spans="1:4" x14ac:dyDescent="0.2">
      <c r="B20923" t="s">
        <v>8</v>
      </c>
      <c r="C20923" t="s">
        <v>6967</v>
      </c>
    </row>
    <row r="20924" spans="1:4" x14ac:dyDescent="0.2">
      <c r="B20924" t="s">
        <v>1040</v>
      </c>
      <c r="C20924" t="s">
        <v>6968</v>
      </c>
    </row>
    <row r="20926" spans="1:4" x14ac:dyDescent="0.2">
      <c r="A20926" t="s">
        <v>6969</v>
      </c>
      <c r="B20926" t="str">
        <f>HYPERLINK("https://lindat.mff.cuni.cz/services/teitok/pdtc10/index.php?action=vallex&amp;frame=v-w3042f1", "ochudit (v-w3042f1)")</f>
        <v>ochudit (v-w3042f1)</v>
      </c>
    </row>
    <row r="20927" spans="1:4" x14ac:dyDescent="0.2">
      <c r="B20927" t="s">
        <v>1</v>
      </c>
      <c r="C20927" t="s">
        <v>33</v>
      </c>
      <c r="D20927" t="s">
        <v>33</v>
      </c>
    </row>
    <row r="20928" spans="1:4" x14ac:dyDescent="0.2">
      <c r="B20928" t="s">
        <v>467</v>
      </c>
      <c r="C20928" t="s">
        <v>6970</v>
      </c>
      <c r="D20928" t="s">
        <v>6970</v>
      </c>
    </row>
    <row r="20929" spans="1:4" x14ac:dyDescent="0.2">
      <c r="B20929" t="s">
        <v>58</v>
      </c>
      <c r="C20929" t="s">
        <v>6971</v>
      </c>
      <c r="D20929" t="s">
        <v>6971</v>
      </c>
    </row>
    <row r="20931" spans="1:4" x14ac:dyDescent="0.2">
      <c r="A20931" t="s">
        <v>6972</v>
      </c>
      <c r="B20931" t="str">
        <f>HYPERLINK("https://lindat.mff.cuni.cz/services/teitok/pdtc10/index.php?action=vallex&amp;frame=v-whsa_860hsa_861", "ochutit (v-whsa_860hsa_861)")</f>
        <v>ochutit (v-whsa_860hsa_861)</v>
      </c>
    </row>
    <row r="20932" spans="1:4" x14ac:dyDescent="0.2">
      <c r="B20932" t="s">
        <v>1</v>
      </c>
    </row>
    <row r="20933" spans="1:4" x14ac:dyDescent="0.2">
      <c r="B20933" t="s">
        <v>8</v>
      </c>
    </row>
    <row r="20935" spans="1:4" x14ac:dyDescent="0.2">
      <c r="A20935" t="s">
        <v>6973</v>
      </c>
      <c r="B20935" t="str">
        <f>HYPERLINK("https://lindat.mff.cuni.cz/services/teitok/pdtc10/index.php?action=vallex&amp;frame=v-w3043f2_ZU", "ochutnat (v-w3043f2_ZU)")</f>
        <v>ochutnat (v-w3043f2_ZU)</v>
      </c>
    </row>
    <row r="20936" spans="1:4" x14ac:dyDescent="0.2">
      <c r="B20936" t="s">
        <v>1</v>
      </c>
    </row>
    <row r="20937" spans="1:4" x14ac:dyDescent="0.2">
      <c r="B20937" t="s">
        <v>172</v>
      </c>
    </row>
    <row r="20939" spans="1:4" x14ac:dyDescent="0.2">
      <c r="A20939" t="s">
        <v>6973</v>
      </c>
      <c r="B20939" t="str">
        <f>HYPERLINK("https://lindat.mff.cuni.cz/services/teitok/pdtc10/index.php?action=vallex&amp;frame=v-w3043f1", "ochutnat (v-w3043f1) - substituted with v-w3043f2_ZU")</f>
        <v>ochutnat (v-w3043f1) - substituted with v-w3043f2_ZU</v>
      </c>
    </row>
    <row r="20940" spans="1:4" x14ac:dyDescent="0.2">
      <c r="B20940" t="s">
        <v>1</v>
      </c>
      <c r="C20940" t="s">
        <v>6974</v>
      </c>
      <c r="D20940" t="s">
        <v>7065</v>
      </c>
    </row>
    <row r="20941" spans="1:4" x14ac:dyDescent="0.2">
      <c r="B20941" t="s">
        <v>172</v>
      </c>
      <c r="C20941" t="s">
        <v>6975</v>
      </c>
      <c r="D20941" t="s">
        <v>3308</v>
      </c>
    </row>
    <row r="20943" spans="1:4" x14ac:dyDescent="0.2">
      <c r="A20943" t="s">
        <v>6976</v>
      </c>
      <c r="B20943" t="str">
        <f>HYPERLINK("https://lindat.mff.cuni.cz/services/teitok/pdtc10/index.php?action=vallex&amp;frame=v-whsa_1722hsa_1723", "ochutnávat (v-whsa_1722hsa_1723)")</f>
        <v>ochutnávat (v-whsa_1722hsa_1723)</v>
      </c>
    </row>
    <row r="20944" spans="1:4" x14ac:dyDescent="0.2">
      <c r="B20944" t="s">
        <v>1</v>
      </c>
    </row>
    <row r="20945" spans="1:4" x14ac:dyDescent="0.2">
      <c r="B20945" t="s">
        <v>8</v>
      </c>
    </row>
    <row r="20947" spans="1:4" x14ac:dyDescent="0.2">
      <c r="A20947" t="s">
        <v>6977</v>
      </c>
      <c r="B20947" t="str">
        <f>HYPERLINK("https://lindat.mff.cuni.cz/services/teitok/pdtc10/index.php?action=vallex&amp;frame=v-w3046f1", "ochuzovat (v-w3046f1)")</f>
        <v>ochuzovat (v-w3046f1)</v>
      </c>
    </row>
    <row r="20948" spans="1:4" x14ac:dyDescent="0.2">
      <c r="B20948" t="s">
        <v>1</v>
      </c>
      <c r="D20948" t="s">
        <v>33</v>
      </c>
    </row>
    <row r="20949" spans="1:4" x14ac:dyDescent="0.2">
      <c r="B20949" t="s">
        <v>467</v>
      </c>
      <c r="D20949" t="s">
        <v>6970</v>
      </c>
    </row>
    <row r="20950" spans="1:4" x14ac:dyDescent="0.2">
      <c r="B20950" t="s">
        <v>58</v>
      </c>
      <c r="D20950" t="s">
        <v>6971</v>
      </c>
    </row>
    <row r="20952" spans="1:4" x14ac:dyDescent="0.2">
      <c r="A20952" t="s">
        <v>6978</v>
      </c>
      <c r="B20952" t="str">
        <f>HYPERLINK("https://lindat.mff.cuni.cz/services/teitok/pdtc10/index.php?action=vallex&amp;frame=v-w2603f2", "ocitat se (v-w2603f2)")</f>
        <v>ocitat se (v-w2603f2)</v>
      </c>
    </row>
    <row r="20953" spans="1:4" x14ac:dyDescent="0.2">
      <c r="B20953" t="s">
        <v>1</v>
      </c>
    </row>
    <row r="20954" spans="1:4" x14ac:dyDescent="0.2">
      <c r="B20954" t="s">
        <v>2360</v>
      </c>
    </row>
    <row r="20956" spans="1:4" x14ac:dyDescent="0.2">
      <c r="A20956" t="s">
        <v>6979</v>
      </c>
      <c r="B20956" t="str">
        <f>HYPERLINK("https://lindat.mff.cuni.cz/services/teitok/pdtc10/index.php?action=vallex&amp;frame=v-w2603f1", "ocitat se (v-w2603f1)")</f>
        <v>ocitat se (v-w2603f1)</v>
      </c>
    </row>
    <row r="20957" spans="1:4" x14ac:dyDescent="0.2">
      <c r="B20957" t="s">
        <v>1</v>
      </c>
    </row>
    <row r="20958" spans="1:4" x14ac:dyDescent="0.2">
      <c r="B20958" t="s">
        <v>5</v>
      </c>
    </row>
    <row r="20960" spans="1:4" x14ac:dyDescent="0.2">
      <c r="A20960" t="s">
        <v>6980</v>
      </c>
      <c r="B20960" t="str">
        <f>HYPERLINK("https://lindat.mff.cuni.cz/services/teitok/pdtc10/index.php?action=vallex&amp;frame=v-w2604f2", "ocitnout se (v-w2604f2)")</f>
        <v>ocitnout se (v-w2604f2)</v>
      </c>
    </row>
    <row r="20961" spans="1:4" x14ac:dyDescent="0.2">
      <c r="B20961" t="s">
        <v>1</v>
      </c>
      <c r="C20961" t="s">
        <v>6981</v>
      </c>
      <c r="D20961" t="s">
        <v>23515</v>
      </c>
    </row>
    <row r="20962" spans="1:4" x14ac:dyDescent="0.2">
      <c r="B20962" t="s">
        <v>2360</v>
      </c>
      <c r="C20962" t="s">
        <v>6982</v>
      </c>
      <c r="D20962" t="s">
        <v>23516</v>
      </c>
    </row>
    <row r="20964" spans="1:4" x14ac:dyDescent="0.2">
      <c r="A20964" t="s">
        <v>6983</v>
      </c>
      <c r="B20964" t="str">
        <f>HYPERLINK("https://lindat.mff.cuni.cz/services/teitok/pdtc10/index.php?action=vallex&amp;frame=v-w2604f1", "ocitnout se (v-w2604f1)")</f>
        <v>ocitnout se (v-w2604f1)</v>
      </c>
    </row>
    <row r="20965" spans="1:4" x14ac:dyDescent="0.2">
      <c r="B20965" t="s">
        <v>1</v>
      </c>
      <c r="C20965" t="s">
        <v>6984</v>
      </c>
      <c r="D20965" t="s">
        <v>23609</v>
      </c>
    </row>
    <row r="20966" spans="1:4" x14ac:dyDescent="0.2">
      <c r="B20966" t="s">
        <v>5</v>
      </c>
    </row>
    <row r="20968" spans="1:4" x14ac:dyDescent="0.2">
      <c r="A20968" t="s">
        <v>6985</v>
      </c>
      <c r="B20968" t="str">
        <f>HYPERLINK("https://lindat.mff.cuni.cz/services/teitok/pdtc10/index.php?action=vallex&amp;frame=v-w2604f3", "ocitnout se (v-w2604f3)")</f>
        <v>ocitnout se (v-w2604f3)</v>
      </c>
    </row>
    <row r="20969" spans="1:4" x14ac:dyDescent="0.2">
      <c r="B20969" t="s">
        <v>1</v>
      </c>
    </row>
    <row r="20970" spans="1:4" x14ac:dyDescent="0.2">
      <c r="B20970" t="s">
        <v>6986</v>
      </c>
    </row>
    <row r="20972" spans="1:4" x14ac:dyDescent="0.2">
      <c r="A20972" t="s">
        <v>6987</v>
      </c>
      <c r="B20972" t="str">
        <f>HYPERLINK("https://lindat.mff.cuni.cz/services/teitok/pdtc10/index.php?action=vallex&amp;frame=v-w2604f4", "ocitnout se (v-w2604f4)")</f>
        <v>ocitnout se (v-w2604f4)</v>
      </c>
    </row>
    <row r="20973" spans="1:4" x14ac:dyDescent="0.2">
      <c r="B20973" t="s">
        <v>1</v>
      </c>
    </row>
    <row r="20974" spans="1:4" x14ac:dyDescent="0.2">
      <c r="B20974" t="s">
        <v>6988</v>
      </c>
    </row>
    <row r="20976" spans="1:4" x14ac:dyDescent="0.2">
      <c r="A20976" t="s">
        <v>6989</v>
      </c>
      <c r="B20976" t="str">
        <f>HYPERLINK("https://lindat.mff.cuni.cz/services/teitok/pdtc10/index.php?action=vallex&amp;frame=v-w2605f1", "ocitovat (v-w2605f1)")</f>
        <v>ocitovat (v-w2605f1)</v>
      </c>
    </row>
    <row r="20977" spans="1:4" x14ac:dyDescent="0.2">
      <c r="B20977" t="s">
        <v>1</v>
      </c>
      <c r="C20977" t="s">
        <v>16</v>
      </c>
      <c r="D20977" t="s">
        <v>2530</v>
      </c>
    </row>
    <row r="20978" spans="1:4" x14ac:dyDescent="0.2">
      <c r="B20978" t="s">
        <v>273</v>
      </c>
      <c r="C20978" t="s">
        <v>6990</v>
      </c>
      <c r="D20978" t="s">
        <v>12772</v>
      </c>
    </row>
    <row r="20980" spans="1:4" x14ac:dyDescent="0.2">
      <c r="A20980" t="s">
        <v>6991</v>
      </c>
      <c r="B20980" t="str">
        <f>HYPERLINK("https://lindat.mff.cuni.cz/services/teitok/pdtc10/index.php?action=vallex&amp;frame=v-w2606f1", "octnout se (v-w2606f1)")</f>
        <v>octnout se (v-w2606f1)</v>
      </c>
    </row>
    <row r="20981" spans="1:4" x14ac:dyDescent="0.2">
      <c r="B20981" t="s">
        <v>1</v>
      </c>
      <c r="C20981" t="s">
        <v>2172</v>
      </c>
    </row>
    <row r="20982" spans="1:4" x14ac:dyDescent="0.2">
      <c r="B20982" t="s">
        <v>2360</v>
      </c>
    </row>
    <row r="20984" spans="1:4" x14ac:dyDescent="0.2">
      <c r="A20984" t="s">
        <v>6992</v>
      </c>
      <c r="B20984" t="str">
        <f>HYPERLINK("https://lindat.mff.cuni.cz/services/teitok/pdtc10/index.php?action=vallex&amp;frame=v-w2606f2", "octnout se (v-w2606f2)")</f>
        <v>octnout se (v-w2606f2)</v>
      </c>
    </row>
    <row r="20985" spans="1:4" x14ac:dyDescent="0.2">
      <c r="B20985" t="s">
        <v>1</v>
      </c>
    </row>
    <row r="20986" spans="1:4" x14ac:dyDescent="0.2">
      <c r="B20986" t="s">
        <v>5</v>
      </c>
    </row>
    <row r="20988" spans="1:4" x14ac:dyDescent="0.2">
      <c r="A20988" t="s">
        <v>6993</v>
      </c>
      <c r="B20988" t="str">
        <f>HYPERLINK("https://lindat.mff.cuni.cz/services/teitok/pdtc10/index.php?action=vallex&amp;frame=v-w2619f1", "odbavovat (v-w2619f1)")</f>
        <v>odbavovat (v-w2619f1)</v>
      </c>
    </row>
    <row r="20989" spans="1:4" x14ac:dyDescent="0.2">
      <c r="B20989" t="s">
        <v>1</v>
      </c>
    </row>
    <row r="20990" spans="1:4" x14ac:dyDescent="0.2">
      <c r="B20990" t="s">
        <v>8</v>
      </c>
    </row>
    <row r="20992" spans="1:4" x14ac:dyDescent="0.2">
      <c r="A20992" t="s">
        <v>6994</v>
      </c>
      <c r="B20992" t="str">
        <f>HYPERLINK("https://lindat.mff.cuni.cz/services/teitok/pdtc10/index.php?action=vallex&amp;frame=v-w10728f2", "odblokovat (v-w10728f2)")</f>
        <v>odblokovat (v-w10728f2)</v>
      </c>
    </row>
    <row r="20993" spans="1:4" x14ac:dyDescent="0.2">
      <c r="B20993" t="s">
        <v>1</v>
      </c>
    </row>
    <row r="20994" spans="1:4" x14ac:dyDescent="0.2">
      <c r="B20994" t="s">
        <v>8</v>
      </c>
    </row>
    <row r="20996" spans="1:4" x14ac:dyDescent="0.2">
      <c r="A20996" t="s">
        <v>6995</v>
      </c>
      <c r="B20996" t="str">
        <f>HYPERLINK("https://lindat.mff.cuni.cz/services/teitok/pdtc10/index.php?action=vallex&amp;frame=v-w2624f1", "odbourat (v-w2624f1)")</f>
        <v>odbourat (v-w2624f1)</v>
      </c>
    </row>
    <row r="20997" spans="1:4" x14ac:dyDescent="0.2">
      <c r="B20997" t="s">
        <v>1</v>
      </c>
      <c r="C20997" t="s">
        <v>33</v>
      </c>
      <c r="D20997" t="s">
        <v>2148</v>
      </c>
    </row>
    <row r="20998" spans="1:4" x14ac:dyDescent="0.2">
      <c r="B20998" t="s">
        <v>8</v>
      </c>
      <c r="C20998" t="s">
        <v>299</v>
      </c>
      <c r="D20998" t="s">
        <v>8988</v>
      </c>
    </row>
    <row r="21000" spans="1:4" x14ac:dyDescent="0.2">
      <c r="A21000" t="s">
        <v>6996</v>
      </c>
      <c r="B21000" t="str">
        <f>HYPERLINK("https://lindat.mff.cuni.cz/services/teitok/pdtc10/index.php?action=vallex&amp;frame=v-w2626f1", "odbourávat (v-w2626f1)")</f>
        <v>odbourávat (v-w2626f1)</v>
      </c>
    </row>
    <row r="21001" spans="1:4" x14ac:dyDescent="0.2">
      <c r="B21001" t="s">
        <v>1</v>
      </c>
    </row>
    <row r="21002" spans="1:4" x14ac:dyDescent="0.2">
      <c r="B21002" t="s">
        <v>8</v>
      </c>
    </row>
    <row r="21004" spans="1:4" x14ac:dyDescent="0.2">
      <c r="A21004" t="s">
        <v>6997</v>
      </c>
      <c r="B21004" t="str">
        <f>HYPERLINK("https://lindat.mff.cuni.cz/services/teitok/pdtc10/index.php?action=vallex&amp;frame=v-w10051f2", "odbočit (v-w10051f2)")</f>
        <v>odbočit (v-w10051f2)</v>
      </c>
    </row>
    <row r="21005" spans="1:4" x14ac:dyDescent="0.2">
      <c r="B21005" t="s">
        <v>1</v>
      </c>
      <c r="C21005" t="s">
        <v>6825</v>
      </c>
    </row>
    <row r="21006" spans="1:4" x14ac:dyDescent="0.2">
      <c r="B21006" t="s">
        <v>90</v>
      </c>
    </row>
    <row r="21008" spans="1:4" x14ac:dyDescent="0.2">
      <c r="A21008" t="s">
        <v>6998</v>
      </c>
      <c r="B21008" t="str">
        <f>HYPERLINK("https://lindat.mff.cuni.cz/services/teitok/pdtc10/index.php?action=vallex&amp;frame=v-w10051f5_ZU", "odbočit (v-w10051f5_ZU)")</f>
        <v>odbočit (v-w10051f5_ZU)</v>
      </c>
    </row>
    <row r="21009" spans="1:2" x14ac:dyDescent="0.2">
      <c r="B21009" t="s">
        <v>1</v>
      </c>
    </row>
    <row r="21010" spans="1:2" x14ac:dyDescent="0.2">
      <c r="B21010" t="s">
        <v>19</v>
      </c>
    </row>
    <row r="21012" spans="1:2" x14ac:dyDescent="0.2">
      <c r="A21012" t="s">
        <v>6998</v>
      </c>
      <c r="B21012" t="str">
        <f>HYPERLINK("https://lindat.mff.cuni.cz/services/teitok/pdtc10/index.php?action=vallex&amp;frame=v-w10051f3_ZU", "odbočit (v-w10051f3_ZU) - substituted with v-w10051f5_ZU")</f>
        <v>odbočit (v-w10051f3_ZU) - substituted with v-w10051f5_ZU</v>
      </c>
    </row>
    <row r="21013" spans="1:2" x14ac:dyDescent="0.2">
      <c r="B21013" t="s">
        <v>1</v>
      </c>
    </row>
    <row r="21014" spans="1:2" x14ac:dyDescent="0.2">
      <c r="B21014" t="s">
        <v>19</v>
      </c>
    </row>
    <row r="21016" spans="1:2" x14ac:dyDescent="0.2">
      <c r="A21016" t="s">
        <v>6998</v>
      </c>
      <c r="B21016" t="str">
        <f>HYPERLINK("https://lindat.mff.cuni.cz/services/teitok/pdtc10/index.php?action=vallex&amp;frame=v-w10051f4_ZU", "odbočit (v-w10051f4_ZU) - substituted with v-w10051f5_ZU")</f>
        <v>odbočit (v-w10051f4_ZU) - substituted with v-w10051f5_ZU</v>
      </c>
    </row>
    <row r="21017" spans="1:2" x14ac:dyDescent="0.2">
      <c r="B21017" t="s">
        <v>1</v>
      </c>
    </row>
    <row r="21018" spans="1:2" x14ac:dyDescent="0.2">
      <c r="B21018" t="s">
        <v>19</v>
      </c>
    </row>
    <row r="21020" spans="1:2" x14ac:dyDescent="0.2">
      <c r="A21020" t="s">
        <v>6998</v>
      </c>
      <c r="B21020" t="str">
        <f>HYPERLINK("https://lindat.mff.cuni.cz/services/teitok/pdtc10/index.php?action=vallex&amp;frame=v-w10051hsa_416", "odbočit (v-w10051hsa_416) - substituted with v-w10051f5_ZU")</f>
        <v>odbočit (v-w10051hsa_416) - substituted with v-w10051f5_ZU</v>
      </c>
    </row>
    <row r="21021" spans="1:2" x14ac:dyDescent="0.2">
      <c r="B21021" t="s">
        <v>1</v>
      </c>
    </row>
    <row r="21022" spans="1:2" x14ac:dyDescent="0.2">
      <c r="B21022" t="s">
        <v>19</v>
      </c>
    </row>
    <row r="21024" spans="1:2" x14ac:dyDescent="0.2">
      <c r="A21024" t="s">
        <v>6999</v>
      </c>
      <c r="B21024" t="str">
        <f>HYPERLINK("https://lindat.mff.cuni.cz/services/teitok/pdtc10/index.php?action=vallex&amp;frame=v-w10260f2", "odbočovat (v-w10260f2)")</f>
        <v>odbočovat (v-w10260f2)</v>
      </c>
    </row>
    <row r="21025" spans="1:4" x14ac:dyDescent="0.2">
      <c r="B21025" t="s">
        <v>1</v>
      </c>
      <c r="C21025" t="s">
        <v>140</v>
      </c>
      <c r="D21025" t="s">
        <v>23639</v>
      </c>
    </row>
    <row r="21026" spans="1:4" x14ac:dyDescent="0.2">
      <c r="B21026" t="s">
        <v>90</v>
      </c>
    </row>
    <row r="21028" spans="1:4" x14ac:dyDescent="0.2">
      <c r="A21028" t="s">
        <v>7000</v>
      </c>
      <c r="B21028" t="str">
        <f>HYPERLINK("https://lindat.mff.cuni.cz/services/teitok/pdtc10/index.php?action=vallex&amp;frame=v-w10260f3_MM", "odbočovat (v-w10260f3_MM)")</f>
        <v>odbočovat (v-w10260f3_MM)</v>
      </c>
    </row>
    <row r="21029" spans="1:4" x14ac:dyDescent="0.2">
      <c r="B21029" t="s">
        <v>1</v>
      </c>
    </row>
    <row r="21030" spans="1:4" x14ac:dyDescent="0.2">
      <c r="B21030" t="s">
        <v>19</v>
      </c>
    </row>
    <row r="21032" spans="1:4" x14ac:dyDescent="0.2">
      <c r="A21032" t="s">
        <v>7001</v>
      </c>
      <c r="B21032" t="str">
        <f>HYPERLINK("https://lindat.mff.cuni.cz/services/teitok/pdtc10/index.php?action=vallex&amp;frame=v-w2627f1", "odbrzdit (v-w2627f1)")</f>
        <v>odbrzdit (v-w2627f1)</v>
      </c>
    </row>
    <row r="21033" spans="1:4" x14ac:dyDescent="0.2">
      <c r="B21033" t="s">
        <v>1</v>
      </c>
    </row>
    <row r="21034" spans="1:4" x14ac:dyDescent="0.2">
      <c r="B21034" t="s">
        <v>8</v>
      </c>
    </row>
    <row r="21036" spans="1:4" x14ac:dyDescent="0.2">
      <c r="A21036" t="s">
        <v>7002</v>
      </c>
      <c r="B21036" t="str">
        <f>HYPERLINK("https://lindat.mff.cuni.cz/services/teitok/pdtc10/index.php?action=vallex&amp;frame=v-whsa_1258hsa_1259", "odburácet (v-whsa_1258hsa_1259)")</f>
        <v>odburácet (v-whsa_1258hsa_1259)</v>
      </c>
    </row>
    <row r="21037" spans="1:4" x14ac:dyDescent="0.2">
      <c r="B21037" t="s">
        <v>1</v>
      </c>
      <c r="C21037" t="s">
        <v>133</v>
      </c>
    </row>
    <row r="21038" spans="1:4" x14ac:dyDescent="0.2">
      <c r="B21038" t="s">
        <v>333</v>
      </c>
    </row>
    <row r="21040" spans="1:4" x14ac:dyDescent="0.2">
      <c r="A21040" t="s">
        <v>7003</v>
      </c>
      <c r="B21040" t="str">
        <f>HYPERLINK("https://lindat.mff.cuni.cz/services/teitok/pdtc10/index.php?action=vallex&amp;frame=v-w2630f1", "odbýt (v-w2630f1)")</f>
        <v>odbýt (v-w2630f1)</v>
      </c>
    </row>
    <row r="21041" spans="1:3" x14ac:dyDescent="0.2">
      <c r="B21041" t="s">
        <v>1</v>
      </c>
    </row>
    <row r="21042" spans="1:3" x14ac:dyDescent="0.2">
      <c r="B21042" t="s">
        <v>8</v>
      </c>
    </row>
    <row r="21044" spans="1:3" x14ac:dyDescent="0.2">
      <c r="A21044" t="s">
        <v>7004</v>
      </c>
      <c r="B21044" t="str">
        <f>HYPERLINK("https://lindat.mff.cuni.cz/services/teitok/pdtc10/index.php?action=vallex&amp;frame=v-w2630f3", "odbýt (v-w2630f3)")</f>
        <v>odbýt (v-w2630f3)</v>
      </c>
    </row>
    <row r="21045" spans="1:3" x14ac:dyDescent="0.2">
      <c r="B21045" t="s">
        <v>1</v>
      </c>
    </row>
    <row r="21046" spans="1:3" x14ac:dyDescent="0.2">
      <c r="B21046" t="s">
        <v>8</v>
      </c>
    </row>
    <row r="21048" spans="1:3" x14ac:dyDescent="0.2">
      <c r="A21048" t="s">
        <v>7005</v>
      </c>
      <c r="B21048" t="str">
        <f>HYPERLINK("https://lindat.mff.cuni.cz/services/teitok/pdtc10/index.php?action=vallex&amp;frame=v-w2630f2", "odbýt (v-w2630f2)")</f>
        <v>odbýt (v-w2630f2)</v>
      </c>
    </row>
    <row r="21049" spans="1:3" x14ac:dyDescent="0.2">
      <c r="B21049" t="s">
        <v>1</v>
      </c>
      <c r="C21049" t="s">
        <v>33</v>
      </c>
    </row>
    <row r="21050" spans="1:3" x14ac:dyDescent="0.2">
      <c r="B21050" t="s">
        <v>8</v>
      </c>
      <c r="C21050" t="s">
        <v>34</v>
      </c>
    </row>
    <row r="21052" spans="1:3" x14ac:dyDescent="0.2">
      <c r="A21052" t="s">
        <v>7006</v>
      </c>
      <c r="B21052" t="str">
        <f>HYPERLINK("https://lindat.mff.cuni.cz/services/teitok/pdtc10/index.php?action=vallex&amp;frame=v-w2630f4_ZU", "odbýt (v-w2630f4_ZU)")</f>
        <v>odbýt (v-w2630f4_ZU)</v>
      </c>
    </row>
    <row r="21053" spans="1:3" x14ac:dyDescent="0.2">
      <c r="B21053" t="s">
        <v>1</v>
      </c>
    </row>
    <row r="21054" spans="1:3" x14ac:dyDescent="0.2">
      <c r="B21054" t="s">
        <v>8</v>
      </c>
    </row>
    <row r="21056" spans="1:3" x14ac:dyDescent="0.2">
      <c r="A21056" t="s">
        <v>7006</v>
      </c>
      <c r="B21056" t="str">
        <f>HYPERLINK("https://lindat.mff.cuni.cz/services/teitok/pdtc10/index.php?action=vallex&amp;frame=v-w2630hsa_1358", "odbýt (v-w2630hsa_1358) - substituted with v-w2630f4_ZU")</f>
        <v>odbýt (v-w2630hsa_1358) - substituted with v-w2630f4_ZU</v>
      </c>
    </row>
    <row r="21057" spans="1:3" x14ac:dyDescent="0.2">
      <c r="B21057" t="s">
        <v>1</v>
      </c>
    </row>
    <row r="21058" spans="1:3" x14ac:dyDescent="0.2">
      <c r="B21058" t="s">
        <v>8</v>
      </c>
    </row>
    <row r="21060" spans="1:3" x14ac:dyDescent="0.2">
      <c r="A21060" t="s">
        <v>7007</v>
      </c>
      <c r="B21060" t="str">
        <f>HYPERLINK("https://lindat.mff.cuni.cz/services/teitok/pdtc10/index.php?action=vallex&amp;frame=v-w2630f5_ZU", "odbýt (v-w2630f5_ZU)")</f>
        <v>odbýt (v-w2630f5_ZU)</v>
      </c>
    </row>
    <row r="21061" spans="1:3" x14ac:dyDescent="0.2">
      <c r="B21061" t="s">
        <v>1</v>
      </c>
    </row>
    <row r="21062" spans="1:3" x14ac:dyDescent="0.2">
      <c r="B21062" t="s">
        <v>8</v>
      </c>
    </row>
    <row r="21064" spans="1:3" x14ac:dyDescent="0.2">
      <c r="A21064" t="s">
        <v>7008</v>
      </c>
      <c r="B21064" t="str">
        <f>HYPERLINK("https://lindat.mff.cuni.cz/services/teitok/pdtc10/index.php?action=vallex&amp;frame=v-w2631f1", "odbýt se (v-w2631f1)")</f>
        <v>odbýt se (v-w2631f1)</v>
      </c>
    </row>
    <row r="21065" spans="1:3" x14ac:dyDescent="0.2">
      <c r="B21065" t="s">
        <v>1</v>
      </c>
    </row>
    <row r="21067" spans="1:3" x14ac:dyDescent="0.2">
      <c r="A21067" t="s">
        <v>7009</v>
      </c>
      <c r="B21067" t="str">
        <f>HYPERLINK("https://lindat.mff.cuni.cz/services/teitok/pdtc10/index.php?action=vallex&amp;frame=v-w2632f1", "odbýt si (v-w2632f1)")</f>
        <v>odbýt si (v-w2632f1)</v>
      </c>
    </row>
    <row r="21068" spans="1:3" x14ac:dyDescent="0.2">
      <c r="B21068" t="s">
        <v>1</v>
      </c>
    </row>
    <row r="21069" spans="1:3" x14ac:dyDescent="0.2">
      <c r="B21069" t="s">
        <v>8</v>
      </c>
    </row>
    <row r="21071" spans="1:3" x14ac:dyDescent="0.2">
      <c r="A21071" t="s">
        <v>7010</v>
      </c>
      <c r="B21071" t="str">
        <f>HYPERLINK("https://lindat.mff.cuni.cz/services/teitok/pdtc10/index.php?action=vallex&amp;frame=v-whsa_614hsa_615", "odbývat (v-whsa_614hsa_615)")</f>
        <v>odbývat (v-whsa_614hsa_615)</v>
      </c>
    </row>
    <row r="21072" spans="1:3" x14ac:dyDescent="0.2">
      <c r="B21072" t="s">
        <v>1</v>
      </c>
      <c r="C21072" t="s">
        <v>33</v>
      </c>
    </row>
    <row r="21073" spans="1:3" x14ac:dyDescent="0.2">
      <c r="B21073" t="s">
        <v>8</v>
      </c>
      <c r="C21073" t="s">
        <v>1128</v>
      </c>
    </row>
    <row r="21075" spans="1:3" x14ac:dyDescent="0.2">
      <c r="A21075" t="s">
        <v>7011</v>
      </c>
      <c r="B21075" t="str">
        <f>HYPERLINK("https://lindat.mff.cuni.cz/services/teitok/pdtc10/index.php?action=vallex&amp;frame=v-whsb_614f1_ZU", "odbývat (v-whsb_614f1_ZU)")</f>
        <v>odbývat (v-whsb_614f1_ZU)</v>
      </c>
    </row>
    <row r="21076" spans="1:3" x14ac:dyDescent="0.2">
      <c r="B21076" t="s">
        <v>1</v>
      </c>
    </row>
    <row r="21077" spans="1:3" x14ac:dyDescent="0.2">
      <c r="B21077" t="s">
        <v>8</v>
      </c>
    </row>
    <row r="21079" spans="1:3" x14ac:dyDescent="0.2">
      <c r="A21079" t="s">
        <v>7012</v>
      </c>
      <c r="B21079" t="str">
        <f>HYPERLINK("https://lindat.mff.cuni.cz/services/teitok/pdtc10/index.php?action=vallex&amp;frame=v-w2633f1", "odbývat se (v-w2633f1)")</f>
        <v>odbývat se (v-w2633f1)</v>
      </c>
    </row>
    <row r="21080" spans="1:3" x14ac:dyDescent="0.2">
      <c r="B21080" t="s">
        <v>1</v>
      </c>
    </row>
    <row r="21082" spans="1:3" x14ac:dyDescent="0.2">
      <c r="A21082" t="s">
        <v>7013</v>
      </c>
      <c r="B21082" t="str">
        <f>HYPERLINK("https://lindat.mff.cuni.cz/services/teitok/pdtc10/index.php?action=vallex&amp;frame=v-whsa_1219hsa_1220", "odběhnout (v-whsa_1219hsa_1220)")</f>
        <v>odběhnout (v-whsa_1219hsa_1220)</v>
      </c>
    </row>
    <row r="21083" spans="1:3" x14ac:dyDescent="0.2">
      <c r="B21083" t="s">
        <v>1</v>
      </c>
    </row>
    <row r="21084" spans="1:3" x14ac:dyDescent="0.2">
      <c r="B21084" t="s">
        <v>333</v>
      </c>
    </row>
    <row r="21086" spans="1:3" x14ac:dyDescent="0.2">
      <c r="A21086" t="s">
        <v>7014</v>
      </c>
      <c r="B21086" t="str">
        <f>HYPERLINK("https://lindat.mff.cuni.cz/services/teitok/pdtc10/index.php?action=vallex&amp;frame=v-w2628f1", "odbřemenit (v-w2628f1)")</f>
        <v>odbřemenit (v-w2628f1)</v>
      </c>
    </row>
    <row r="21087" spans="1:3" x14ac:dyDescent="0.2">
      <c r="B21087" t="s">
        <v>1</v>
      </c>
    </row>
    <row r="21088" spans="1:3" x14ac:dyDescent="0.2">
      <c r="B21088" t="s">
        <v>8</v>
      </c>
    </row>
    <row r="21089" spans="1:3" x14ac:dyDescent="0.2">
      <c r="B21089" t="s">
        <v>321</v>
      </c>
    </row>
    <row r="21091" spans="1:3" x14ac:dyDescent="0.2">
      <c r="A21091" t="s">
        <v>7015</v>
      </c>
      <c r="B21091" t="str">
        <f>HYPERLINK("https://lindat.mff.cuni.cz/services/teitok/pdtc10/index.php?action=vallex&amp;frame=v-w2634f1", "odcentrovat (v-w2634f1)")</f>
        <v>odcentrovat (v-w2634f1)</v>
      </c>
    </row>
    <row r="21092" spans="1:3" x14ac:dyDescent="0.2">
      <c r="B21092" t="s">
        <v>1</v>
      </c>
    </row>
    <row r="21093" spans="1:3" x14ac:dyDescent="0.2">
      <c r="B21093" t="s">
        <v>8</v>
      </c>
    </row>
    <row r="21094" spans="1:3" x14ac:dyDescent="0.2">
      <c r="B21094" t="s">
        <v>78</v>
      </c>
    </row>
    <row r="21096" spans="1:3" x14ac:dyDescent="0.2">
      <c r="A21096" t="s">
        <v>7016</v>
      </c>
      <c r="B21096" t="str">
        <f>HYPERLINK("https://lindat.mff.cuni.cz/services/teitok/pdtc10/index.php?action=vallex&amp;frame=v-w2635f1", "odcestovat (v-w2635f1)")</f>
        <v>odcestovat (v-w2635f1)</v>
      </c>
    </row>
    <row r="21097" spans="1:3" x14ac:dyDescent="0.2">
      <c r="B21097" t="s">
        <v>1</v>
      </c>
      <c r="C21097" t="s">
        <v>1566</v>
      </c>
    </row>
    <row r="21098" spans="1:3" x14ac:dyDescent="0.2">
      <c r="B21098" t="s">
        <v>333</v>
      </c>
    </row>
    <row r="21100" spans="1:3" x14ac:dyDescent="0.2">
      <c r="A21100" t="s">
        <v>7017</v>
      </c>
      <c r="B21100" t="str">
        <f>HYPERLINK("https://lindat.mff.cuni.cz/services/teitok/pdtc10/index.php?action=vallex&amp;frame=v-w2720f1", "odchodit (v-w2720f1)")</f>
        <v>odchodit (v-w2720f1)</v>
      </c>
    </row>
    <row r="21101" spans="1:3" x14ac:dyDescent="0.2">
      <c r="B21101" t="s">
        <v>1</v>
      </c>
    </row>
    <row r="21102" spans="1:3" x14ac:dyDescent="0.2">
      <c r="B21102" t="s">
        <v>8</v>
      </c>
    </row>
    <row r="21104" spans="1:3" x14ac:dyDescent="0.2">
      <c r="A21104" t="s">
        <v>7018</v>
      </c>
      <c r="B21104" t="str">
        <f>HYPERLINK("https://lindat.mff.cuni.cz/services/teitok/pdtc10/index.php?action=vallex&amp;frame=v-w2721f1", "odchovat (v-w2721f1)")</f>
        <v>odchovat (v-w2721f1)</v>
      </c>
    </row>
    <row r="21105" spans="1:4" x14ac:dyDescent="0.2">
      <c r="B21105" t="s">
        <v>1</v>
      </c>
    </row>
    <row r="21106" spans="1:4" x14ac:dyDescent="0.2">
      <c r="B21106" t="s">
        <v>8</v>
      </c>
    </row>
    <row r="21107" spans="1:4" x14ac:dyDescent="0.2">
      <c r="B21107" t="s">
        <v>24</v>
      </c>
    </row>
    <row r="21109" spans="1:4" x14ac:dyDescent="0.2">
      <c r="A21109" t="s">
        <v>7019</v>
      </c>
      <c r="B21109" t="str">
        <f>HYPERLINK("https://lindat.mff.cuni.cz/services/teitok/pdtc10/index.php?action=vallex&amp;frame=v-whsa_1778hsa_1779", "odchovávat (v-whsa_1778hsa_1779)")</f>
        <v>odchovávat (v-whsa_1778hsa_1779)</v>
      </c>
    </row>
    <row r="21110" spans="1:4" x14ac:dyDescent="0.2">
      <c r="B21110" t="s">
        <v>1</v>
      </c>
    </row>
    <row r="21111" spans="1:4" x14ac:dyDescent="0.2">
      <c r="B21111" t="s">
        <v>8</v>
      </c>
    </row>
    <row r="21113" spans="1:4" x14ac:dyDescent="0.2">
      <c r="A21113" t="s">
        <v>7020</v>
      </c>
      <c r="B21113" t="str">
        <f>HYPERLINK("https://lindat.mff.cuni.cz/services/teitok/pdtc10/index.php?action=vallex&amp;frame=v-w2724f1", "odchylovat se (v-w2724f1)")</f>
        <v>odchylovat se (v-w2724f1)</v>
      </c>
    </row>
    <row r="21114" spans="1:4" x14ac:dyDescent="0.2">
      <c r="B21114" t="s">
        <v>1</v>
      </c>
      <c r="D21114" t="s">
        <v>22</v>
      </c>
    </row>
    <row r="21115" spans="1:4" x14ac:dyDescent="0.2">
      <c r="B21115" t="s">
        <v>19</v>
      </c>
      <c r="D21115" t="s">
        <v>113</v>
      </c>
    </row>
    <row r="21117" spans="1:4" x14ac:dyDescent="0.2">
      <c r="A21117" t="s">
        <v>7021</v>
      </c>
      <c r="B21117" t="str">
        <f>HYPERLINK("https://lindat.mff.cuni.cz/services/teitok/pdtc10/index.php?action=vallex&amp;frame=v-w10287f2", "odchytit (v-w10287f2)")</f>
        <v>odchytit (v-w10287f2)</v>
      </c>
    </row>
    <row r="21118" spans="1:4" x14ac:dyDescent="0.2">
      <c r="B21118" t="s">
        <v>1</v>
      </c>
      <c r="C21118" t="s">
        <v>83</v>
      </c>
      <c r="D21118" t="s">
        <v>1125</v>
      </c>
    </row>
    <row r="21119" spans="1:4" x14ac:dyDescent="0.2">
      <c r="B21119" t="s">
        <v>8</v>
      </c>
      <c r="C21119" t="s">
        <v>1044</v>
      </c>
      <c r="D21119" t="s">
        <v>3233</v>
      </c>
    </row>
    <row r="21121" spans="1:2" x14ac:dyDescent="0.2">
      <c r="A21121" t="s">
        <v>7022</v>
      </c>
      <c r="B21121" t="str">
        <f>HYPERLINK("https://lindat.mff.cuni.cz/services/teitok/pdtc10/index.php?action=vallex&amp;frame=v-w10287f3_ZU", "odchytit (v-w10287f3_ZU)")</f>
        <v>odchytit (v-w10287f3_ZU)</v>
      </c>
    </row>
    <row r="21122" spans="1:2" x14ac:dyDescent="0.2">
      <c r="B21122" t="s">
        <v>1</v>
      </c>
    </row>
    <row r="21123" spans="1:2" x14ac:dyDescent="0.2">
      <c r="B21123" t="s">
        <v>8</v>
      </c>
    </row>
    <row r="21125" spans="1:2" x14ac:dyDescent="0.2">
      <c r="A21125" t="s">
        <v>7023</v>
      </c>
      <c r="B21125" t="str">
        <f>HYPERLINK("https://lindat.mff.cuni.cz/services/teitok/pdtc10/index.php?action=vallex&amp;frame=v-whsa_1732f1_ZU", "odchytnout (v-whsa_1732f1_ZU)")</f>
        <v>odchytnout (v-whsa_1732f1_ZU)</v>
      </c>
    </row>
    <row r="21126" spans="1:2" x14ac:dyDescent="0.2">
      <c r="B21126" t="s">
        <v>1</v>
      </c>
    </row>
    <row r="21127" spans="1:2" x14ac:dyDescent="0.2">
      <c r="B21127" t="s">
        <v>8</v>
      </c>
    </row>
    <row r="21129" spans="1:2" x14ac:dyDescent="0.2">
      <c r="A21129" t="s">
        <v>7024</v>
      </c>
      <c r="B21129" t="str">
        <f>HYPERLINK("https://lindat.mff.cuni.cz/services/teitok/pdtc10/index.php?action=vallex&amp;frame=v-whsa_1732hsa_1733", "odchytnout (v-whsa_1732hsa_1733)")</f>
        <v>odchytnout (v-whsa_1732hsa_1733)</v>
      </c>
    </row>
    <row r="21130" spans="1:2" x14ac:dyDescent="0.2">
      <c r="B21130" t="s">
        <v>1</v>
      </c>
    </row>
    <row r="21131" spans="1:2" x14ac:dyDescent="0.2">
      <c r="B21131" t="s">
        <v>8</v>
      </c>
    </row>
    <row r="21133" spans="1:2" x14ac:dyDescent="0.2">
      <c r="A21133" t="s">
        <v>7025</v>
      </c>
      <c r="B21133" t="str">
        <f>HYPERLINK("https://lindat.mff.cuni.cz/services/teitok/pdtc10/index.php?action=vallex&amp;frame=v-w2718f5_ZU", "odcházet (v-w2718f5_ZU)")</f>
        <v>odcházet (v-w2718f5_ZU)</v>
      </c>
    </row>
    <row r="21134" spans="1:2" x14ac:dyDescent="0.2">
      <c r="B21134" t="s">
        <v>1</v>
      </c>
    </row>
    <row r="21135" spans="1:2" x14ac:dyDescent="0.2">
      <c r="B21135" t="s">
        <v>333</v>
      </c>
    </row>
    <row r="21137" spans="1:4" x14ac:dyDescent="0.2">
      <c r="A21137" t="s">
        <v>7025</v>
      </c>
      <c r="B21137" t="str">
        <f>HYPERLINK("https://lindat.mff.cuni.cz/services/teitok/pdtc10/index.php?action=vallex&amp;frame=v-w2718f1", "odcházet (v-w2718f1) - substituted with v-w2718f5_ZU")</f>
        <v>odcházet (v-w2718f1) - substituted with v-w2718f5_ZU</v>
      </c>
    </row>
    <row r="21138" spans="1:4" x14ac:dyDescent="0.2">
      <c r="B21138" t="s">
        <v>1</v>
      </c>
      <c r="C21138" t="s">
        <v>7026</v>
      </c>
      <c r="D21138" t="s">
        <v>23091</v>
      </c>
    </row>
    <row r="21139" spans="1:4" x14ac:dyDescent="0.2">
      <c r="B21139" t="s">
        <v>333</v>
      </c>
      <c r="C21139" t="s">
        <v>7027</v>
      </c>
      <c r="D21139" t="s">
        <v>7666</v>
      </c>
    </row>
    <row r="21141" spans="1:4" x14ac:dyDescent="0.2">
      <c r="A21141" t="s">
        <v>7028</v>
      </c>
      <c r="B21141" t="str">
        <f>HYPERLINK("https://lindat.mff.cuni.cz/services/teitok/pdtc10/index.php?action=vallex&amp;frame=v-w2718f3_ZU", "odcházet (v-w2718f3_ZU)")</f>
        <v>odcházet (v-w2718f3_ZU)</v>
      </c>
    </row>
    <row r="21142" spans="1:4" x14ac:dyDescent="0.2">
      <c r="B21142" t="s">
        <v>1</v>
      </c>
      <c r="C21142" t="s">
        <v>2303</v>
      </c>
    </row>
    <row r="21143" spans="1:4" x14ac:dyDescent="0.2">
      <c r="B21143" t="s">
        <v>205</v>
      </c>
    </row>
    <row r="21145" spans="1:4" x14ac:dyDescent="0.2">
      <c r="A21145" t="s">
        <v>7028</v>
      </c>
      <c r="B21145" t="str">
        <f>HYPERLINK("https://lindat.mff.cuni.cz/services/teitok/pdtc10/index.php?action=vallex&amp;frame=v-w2718f2_ZU", "odcházet (v-w2718f2_ZU) - substituted with v-w2718f3_ZU")</f>
        <v>odcházet (v-w2718f2_ZU) - substituted with v-w2718f3_ZU</v>
      </c>
    </row>
    <row r="21146" spans="1:4" x14ac:dyDescent="0.2">
      <c r="B21146" t="s">
        <v>1</v>
      </c>
    </row>
    <row r="21147" spans="1:4" x14ac:dyDescent="0.2">
      <c r="B21147" t="s">
        <v>205</v>
      </c>
    </row>
    <row r="21149" spans="1:4" x14ac:dyDescent="0.2">
      <c r="A21149" t="s">
        <v>7029</v>
      </c>
      <c r="B21149" t="str">
        <f>HYPERLINK("https://lindat.mff.cuni.cz/services/teitok/pdtc10/index.php?action=vallex&amp;frame=v-w2718f4_ZU", "odcházet (v-w2718f4_ZU)")</f>
        <v>odcházet (v-w2718f4_ZU)</v>
      </c>
    </row>
    <row r="21150" spans="1:4" x14ac:dyDescent="0.2">
      <c r="B21150" t="s">
        <v>1</v>
      </c>
    </row>
    <row r="21151" spans="1:4" x14ac:dyDescent="0.2">
      <c r="B21151" t="s">
        <v>1924</v>
      </c>
    </row>
    <row r="21153" spans="1:4" x14ac:dyDescent="0.2">
      <c r="A21153" t="s">
        <v>7030</v>
      </c>
      <c r="B21153" t="str">
        <f>HYPERLINK("https://lindat.mff.cuni.cz/services/teitok/pdtc10/index.php?action=vallex&amp;frame=v-w2718hsa_331", "odcházet (v-w2718hsa_331)")</f>
        <v>odcházet (v-w2718hsa_331)</v>
      </c>
    </row>
    <row r="21154" spans="1:4" x14ac:dyDescent="0.2">
      <c r="B21154" t="s">
        <v>1</v>
      </c>
    </row>
    <row r="21156" spans="1:4" x14ac:dyDescent="0.2">
      <c r="A21156" t="s">
        <v>7031</v>
      </c>
      <c r="B21156" t="str">
        <f>HYPERLINK("https://lindat.mff.cuni.cz/services/teitok/pdtc10/index.php?action=vallex&amp;frame=v-whsa_1326hsa_1327", "odcházívávat (v-whsa_1326hsa_1327)")</f>
        <v>odcházívávat (v-whsa_1326hsa_1327)</v>
      </c>
    </row>
    <row r="21157" spans="1:4" x14ac:dyDescent="0.2">
      <c r="B21157" t="s">
        <v>1</v>
      </c>
    </row>
    <row r="21158" spans="1:4" x14ac:dyDescent="0.2">
      <c r="B21158" t="s">
        <v>333</v>
      </c>
    </row>
    <row r="21160" spans="1:4" x14ac:dyDescent="0.2">
      <c r="A21160" t="s">
        <v>7032</v>
      </c>
      <c r="B21160" t="str">
        <f>HYPERLINK("https://lindat.mff.cuni.cz/services/teitok/pdtc10/index.php?action=vallex&amp;frame=v-w11255f4_ZU", "odchýlit se (v-w11255f4_ZU)")</f>
        <v>odchýlit se (v-w11255f4_ZU)</v>
      </c>
    </row>
    <row r="21161" spans="1:4" x14ac:dyDescent="0.2">
      <c r="B21161" t="s">
        <v>1</v>
      </c>
      <c r="C21161" t="s">
        <v>430</v>
      </c>
      <c r="D21161" t="s">
        <v>2303</v>
      </c>
    </row>
    <row r="21162" spans="1:4" x14ac:dyDescent="0.2">
      <c r="B21162" t="s">
        <v>7033</v>
      </c>
      <c r="C21162" t="s">
        <v>113</v>
      </c>
      <c r="D21162" t="s">
        <v>54</v>
      </c>
    </row>
    <row r="21164" spans="1:4" x14ac:dyDescent="0.2">
      <c r="A21164" t="s">
        <v>7032</v>
      </c>
      <c r="B21164" t="str">
        <f>HYPERLINK("https://lindat.mff.cuni.cz/services/teitok/pdtc10/index.php?action=vallex&amp;frame=v-w11255f3", "odchýlit se (v-w11255f3) - substituted with v-w11255f4_ZU")</f>
        <v>odchýlit se (v-w11255f3) - substituted with v-w11255f4_ZU</v>
      </c>
    </row>
    <row r="21165" spans="1:4" x14ac:dyDescent="0.2">
      <c r="B21165" t="s">
        <v>1</v>
      </c>
      <c r="C21165" t="s">
        <v>430</v>
      </c>
    </row>
    <row r="21166" spans="1:4" x14ac:dyDescent="0.2">
      <c r="B21166" t="s">
        <v>7033</v>
      </c>
      <c r="C21166" t="s">
        <v>1044</v>
      </c>
    </row>
    <row r="21168" spans="1:4" x14ac:dyDescent="0.2">
      <c r="A21168" t="s">
        <v>7034</v>
      </c>
      <c r="B21168" t="str">
        <f>HYPERLINK("https://lindat.mff.cuni.cz/services/teitok/pdtc10/index.php?action=vallex&amp;frame=v-w11255f1", "odchýlit se (v-w11255f1)")</f>
        <v>odchýlit se (v-w11255f1)</v>
      </c>
    </row>
    <row r="21169" spans="1:4" x14ac:dyDescent="0.2">
      <c r="B21169" t="s">
        <v>1</v>
      </c>
    </row>
    <row r="21170" spans="1:4" x14ac:dyDescent="0.2">
      <c r="B21170" t="s">
        <v>333</v>
      </c>
    </row>
    <row r="21172" spans="1:4" x14ac:dyDescent="0.2">
      <c r="A21172" t="s">
        <v>7035</v>
      </c>
      <c r="B21172" t="str">
        <f>HYPERLINK("https://lindat.mff.cuni.cz/services/teitok/pdtc10/index.php?action=vallex&amp;frame=v-w2637f1", "odcizit (v-w2637f1)")</f>
        <v>odcizit (v-w2637f1)</v>
      </c>
    </row>
    <row r="21173" spans="1:4" x14ac:dyDescent="0.2">
      <c r="B21173" t="s">
        <v>1</v>
      </c>
      <c r="C21173" t="s">
        <v>334</v>
      </c>
      <c r="D21173" t="s">
        <v>6383</v>
      </c>
    </row>
    <row r="21174" spans="1:4" x14ac:dyDescent="0.2">
      <c r="B21174" t="s">
        <v>8</v>
      </c>
      <c r="C21174" t="s">
        <v>2755</v>
      </c>
      <c r="D21174" t="s">
        <v>14757</v>
      </c>
    </row>
    <row r="21175" spans="1:4" x14ac:dyDescent="0.2">
      <c r="B21175" t="s">
        <v>35</v>
      </c>
      <c r="C21175" t="s">
        <v>3728</v>
      </c>
      <c r="D21175" t="s">
        <v>23004</v>
      </c>
    </row>
    <row r="21177" spans="1:4" x14ac:dyDescent="0.2">
      <c r="A21177" t="s">
        <v>7036</v>
      </c>
      <c r="B21177" t="str">
        <f>HYPERLINK("https://lindat.mff.cuni.cz/services/teitok/pdtc10/index.php?action=vallex&amp;frame=v-w2637f2", "odcizit (v-w2637f2)")</f>
        <v>odcizit (v-w2637f2)</v>
      </c>
    </row>
    <row r="21178" spans="1:4" x14ac:dyDescent="0.2">
      <c r="B21178" t="s">
        <v>1</v>
      </c>
    </row>
    <row r="21179" spans="1:4" x14ac:dyDescent="0.2">
      <c r="B21179" t="s">
        <v>8</v>
      </c>
    </row>
    <row r="21180" spans="1:4" x14ac:dyDescent="0.2">
      <c r="B21180" t="s">
        <v>321</v>
      </c>
    </row>
    <row r="21182" spans="1:4" x14ac:dyDescent="0.2">
      <c r="A21182" t="s">
        <v>7037</v>
      </c>
      <c r="B21182" t="str">
        <f>HYPERLINK("https://lindat.mff.cuni.cz/services/teitok/pdtc10/index.php?action=vallex&amp;frame=v-w11660_ZUf1_ZU", "odcizit se (v-w11660_ZUf1_ZU)")</f>
        <v>odcizit se (v-w11660_ZUf1_ZU)</v>
      </c>
    </row>
    <row r="21183" spans="1:4" x14ac:dyDescent="0.2">
      <c r="B21183" t="s">
        <v>1</v>
      </c>
      <c r="C21183" t="s">
        <v>1168</v>
      </c>
    </row>
    <row r="21184" spans="1:4" x14ac:dyDescent="0.2">
      <c r="B21184" t="s">
        <v>103</v>
      </c>
      <c r="C21184" t="s">
        <v>7038</v>
      </c>
    </row>
    <row r="21186" spans="1:2" x14ac:dyDescent="0.2">
      <c r="A21186" t="s">
        <v>7039</v>
      </c>
      <c r="B21186" t="str">
        <f>HYPERLINK("https://lindat.mff.cuni.cz/services/teitok/pdtc10/index.php?action=vallex&amp;frame=v-w2638f1", "odcizit si (v-w2638f1)")</f>
        <v>odcizit si (v-w2638f1)</v>
      </c>
    </row>
    <row r="21187" spans="1:2" x14ac:dyDescent="0.2">
      <c r="B21187" t="s">
        <v>1</v>
      </c>
    </row>
    <row r="21188" spans="1:2" x14ac:dyDescent="0.2">
      <c r="B21188" t="s">
        <v>8</v>
      </c>
    </row>
    <row r="21190" spans="1:2" x14ac:dyDescent="0.2">
      <c r="A21190" t="s">
        <v>7040</v>
      </c>
      <c r="B21190" t="str">
        <f>HYPERLINK("https://lindat.mff.cuni.cz/services/teitok/pdtc10/index.php?action=vallex&amp;frame=v-w2640f1", "odcizovat (v-w2640f1)")</f>
        <v>odcizovat (v-w2640f1)</v>
      </c>
    </row>
    <row r="21191" spans="1:2" x14ac:dyDescent="0.2">
      <c r="B21191" t="s">
        <v>1</v>
      </c>
    </row>
    <row r="21192" spans="1:2" x14ac:dyDescent="0.2">
      <c r="B21192" t="s">
        <v>8</v>
      </c>
    </row>
    <row r="21193" spans="1:2" x14ac:dyDescent="0.2">
      <c r="B21193" t="s">
        <v>321</v>
      </c>
    </row>
    <row r="21195" spans="1:2" x14ac:dyDescent="0.2">
      <c r="A21195" t="s">
        <v>7041</v>
      </c>
      <c r="B21195" t="str">
        <f>HYPERLINK("https://lindat.mff.cuni.cz/services/teitok/pdtc10/index.php?action=vallex&amp;frame=v-whsa_620hsa_621", "odcvičit (v-whsa_620hsa_621)")</f>
        <v>odcvičit (v-whsa_620hsa_621)</v>
      </c>
    </row>
    <row r="21196" spans="1:2" x14ac:dyDescent="0.2">
      <c r="B21196" t="s">
        <v>1</v>
      </c>
    </row>
    <row r="21197" spans="1:2" x14ac:dyDescent="0.2">
      <c r="B21197" t="s">
        <v>8</v>
      </c>
    </row>
    <row r="21199" spans="1:2" x14ac:dyDescent="0.2">
      <c r="A21199" t="s">
        <v>7042</v>
      </c>
      <c r="B21199" t="str">
        <f>HYPERLINK("https://lindat.mff.cuni.cz/services/teitok/pdtc10/index.php?action=vallex&amp;frame=v-w2651f2", "oddalovat (v-w2651f2)")</f>
        <v>oddalovat (v-w2651f2)</v>
      </c>
    </row>
    <row r="21200" spans="1:2" x14ac:dyDescent="0.2">
      <c r="B21200" t="s">
        <v>1</v>
      </c>
    </row>
    <row r="21201" spans="1:4" x14ac:dyDescent="0.2">
      <c r="B21201" t="s">
        <v>8</v>
      </c>
    </row>
    <row r="21202" spans="1:4" x14ac:dyDescent="0.2">
      <c r="B21202" t="s">
        <v>321</v>
      </c>
    </row>
    <row r="21204" spans="1:4" x14ac:dyDescent="0.2">
      <c r="A21204" t="s">
        <v>7043</v>
      </c>
      <c r="B21204" t="str">
        <f>HYPERLINK("https://lindat.mff.cuni.cz/services/teitok/pdtc10/index.php?action=vallex&amp;frame=v-w2651f1", "oddalovat (v-w2651f1)")</f>
        <v>oddalovat (v-w2651f1)</v>
      </c>
    </row>
    <row r="21205" spans="1:4" x14ac:dyDescent="0.2">
      <c r="B21205" t="s">
        <v>1</v>
      </c>
      <c r="C21205" t="s">
        <v>7044</v>
      </c>
      <c r="D21205" t="s">
        <v>23640</v>
      </c>
    </row>
    <row r="21206" spans="1:4" x14ac:dyDescent="0.2">
      <c r="B21206" t="s">
        <v>8</v>
      </c>
      <c r="C21206" t="s">
        <v>5674</v>
      </c>
      <c r="D21206" t="s">
        <v>23641</v>
      </c>
    </row>
    <row r="21208" spans="1:4" x14ac:dyDescent="0.2">
      <c r="A21208" t="s">
        <v>7045</v>
      </c>
      <c r="B21208" t="str">
        <f>HYPERLINK("https://lindat.mff.cuni.cz/services/teitok/pdtc10/index.php?action=vallex&amp;frame=v-w2654f1", "oddat (v-w2654f1)")</f>
        <v>oddat (v-w2654f1)</v>
      </c>
    </row>
    <row r="21209" spans="1:4" x14ac:dyDescent="0.2">
      <c r="B21209" t="s">
        <v>1</v>
      </c>
    </row>
    <row r="21210" spans="1:4" x14ac:dyDescent="0.2">
      <c r="B21210" t="s">
        <v>8</v>
      </c>
    </row>
    <row r="21212" spans="1:4" x14ac:dyDescent="0.2">
      <c r="A21212" t="s">
        <v>7046</v>
      </c>
      <c r="B21212" t="str">
        <f>HYPERLINK("https://lindat.mff.cuni.cz/services/teitok/pdtc10/index.php?action=vallex&amp;frame=v-w2655f1", "oddat se (v-w2655f1)")</f>
        <v>oddat se (v-w2655f1)</v>
      </c>
    </row>
    <row r="21213" spans="1:4" x14ac:dyDescent="0.2">
      <c r="B21213" t="s">
        <v>1</v>
      </c>
      <c r="D21213" t="s">
        <v>22976</v>
      </c>
    </row>
    <row r="21214" spans="1:4" x14ac:dyDescent="0.2">
      <c r="B21214" t="s">
        <v>103</v>
      </c>
      <c r="D21214" t="s">
        <v>22977</v>
      </c>
    </row>
    <row r="21216" spans="1:4" x14ac:dyDescent="0.2">
      <c r="A21216" t="s">
        <v>7047</v>
      </c>
      <c r="B21216" t="str">
        <f>HYPERLINK("https://lindat.mff.cuni.cz/services/teitok/pdtc10/index.php?action=vallex&amp;frame=v-w2657f2", "oddechnout si (v-w2657f2)")</f>
        <v>oddechnout si (v-w2657f2)</v>
      </c>
    </row>
    <row r="21217" spans="1:3" x14ac:dyDescent="0.2">
      <c r="B21217" t="s">
        <v>1</v>
      </c>
    </row>
    <row r="21218" spans="1:3" x14ac:dyDescent="0.2">
      <c r="B21218" t="s">
        <v>19</v>
      </c>
    </row>
    <row r="21220" spans="1:3" x14ac:dyDescent="0.2">
      <c r="A21220" t="s">
        <v>7048</v>
      </c>
      <c r="B21220" t="str">
        <f>HYPERLINK("https://lindat.mff.cuni.cz/services/teitok/pdtc10/index.php?action=vallex&amp;frame=v-w2657f1", "oddechnout si (v-w2657f1)")</f>
        <v>oddechnout si (v-w2657f1)</v>
      </c>
    </row>
    <row r="21221" spans="1:3" x14ac:dyDescent="0.2">
      <c r="B21221" t="s">
        <v>1</v>
      </c>
      <c r="C21221" t="s">
        <v>2172</v>
      </c>
    </row>
    <row r="21223" spans="1:3" x14ac:dyDescent="0.2">
      <c r="A21223" t="s">
        <v>7049</v>
      </c>
      <c r="B21223" t="str">
        <f>HYPERLINK("https://lindat.mff.cuni.cz/services/teitok/pdtc10/index.php?action=vallex&amp;frame=v-w2667f1", "oddychnout si (v-w2667f1)")</f>
        <v>oddychnout si (v-w2667f1)</v>
      </c>
    </row>
    <row r="21224" spans="1:3" x14ac:dyDescent="0.2">
      <c r="B21224" t="s">
        <v>1</v>
      </c>
      <c r="C21224" t="s">
        <v>249</v>
      </c>
    </row>
    <row r="21226" spans="1:3" x14ac:dyDescent="0.2">
      <c r="A21226" t="s">
        <v>7050</v>
      </c>
      <c r="B21226" t="str">
        <f>HYPERLINK("https://lindat.mff.cuni.cz/services/teitok/pdtc10/index.php?action=vallex&amp;frame=v-w2667hsa_1714", "oddychnout si (v-w2667hsa_1714)")</f>
        <v>oddychnout si (v-w2667hsa_1714)</v>
      </c>
    </row>
    <row r="21227" spans="1:3" x14ac:dyDescent="0.2">
      <c r="B21227" t="s">
        <v>1</v>
      </c>
    </row>
    <row r="21229" spans="1:3" x14ac:dyDescent="0.2">
      <c r="A21229" t="s">
        <v>7051</v>
      </c>
      <c r="B21229" t="str">
        <f>HYPERLINK("https://lindat.mff.cuni.cz/services/teitok/pdtc10/index.php?action=vallex&amp;frame=v-w2668f1", "oddychovat (v-w2668f1)")</f>
        <v>oddychovat (v-w2668f1)</v>
      </c>
    </row>
    <row r="21230" spans="1:3" x14ac:dyDescent="0.2">
      <c r="B21230" t="s">
        <v>1</v>
      </c>
    </row>
    <row r="21232" spans="1:3" x14ac:dyDescent="0.2">
      <c r="A21232" t="s">
        <v>7052</v>
      </c>
      <c r="B21232" t="str">
        <f>HYPERLINK("https://lindat.mff.cuni.cz/services/teitok/pdtc10/index.php?action=vallex&amp;frame=v-w2668f2", "oddychovat (v-w2668f2)")</f>
        <v>oddychovat (v-w2668f2)</v>
      </c>
    </row>
    <row r="21233" spans="1:4" x14ac:dyDescent="0.2">
      <c r="B21233" t="s">
        <v>1</v>
      </c>
    </row>
    <row r="21235" spans="1:4" x14ac:dyDescent="0.2">
      <c r="A21235" t="s">
        <v>7053</v>
      </c>
      <c r="B21235" t="str">
        <f>HYPERLINK("https://lindat.mff.cuni.cz/services/teitok/pdtc10/index.php?action=vallex&amp;frame=v-w2648f2", "oddálit (v-w2648f2)")</f>
        <v>oddálit (v-w2648f2)</v>
      </c>
    </row>
    <row r="21236" spans="1:4" x14ac:dyDescent="0.2">
      <c r="B21236" t="s">
        <v>1</v>
      </c>
    </row>
    <row r="21237" spans="1:4" x14ac:dyDescent="0.2">
      <c r="B21237" t="s">
        <v>8</v>
      </c>
    </row>
    <row r="21238" spans="1:4" x14ac:dyDescent="0.2">
      <c r="B21238" t="s">
        <v>321</v>
      </c>
    </row>
    <row r="21240" spans="1:4" x14ac:dyDescent="0.2">
      <c r="A21240" t="s">
        <v>7054</v>
      </c>
      <c r="B21240" t="str">
        <f>HYPERLINK("https://lindat.mff.cuni.cz/services/teitok/pdtc10/index.php?action=vallex&amp;frame=v-w2648f1", "oddálit (v-w2648f1)")</f>
        <v>oddálit (v-w2648f1)</v>
      </c>
    </row>
    <row r="21241" spans="1:4" x14ac:dyDescent="0.2">
      <c r="B21241" t="s">
        <v>1</v>
      </c>
      <c r="C21241" t="s">
        <v>3255</v>
      </c>
      <c r="D21241" t="s">
        <v>23640</v>
      </c>
    </row>
    <row r="21242" spans="1:4" x14ac:dyDescent="0.2">
      <c r="B21242" t="s">
        <v>8</v>
      </c>
      <c r="C21242" t="s">
        <v>7055</v>
      </c>
      <c r="D21242" t="s">
        <v>23641</v>
      </c>
    </row>
    <row r="21244" spans="1:4" x14ac:dyDescent="0.2">
      <c r="A21244" t="s">
        <v>7056</v>
      </c>
      <c r="B21244" t="str">
        <f>HYPERLINK("https://lindat.mff.cuni.cz/services/teitok/pdtc10/index.php?action=vallex&amp;frame=v-w2649f1", "oddálit se (v-w2649f1)")</f>
        <v>oddálit se (v-w2649f1)</v>
      </c>
    </row>
    <row r="21245" spans="1:4" x14ac:dyDescent="0.2">
      <c r="B21245" t="s">
        <v>1</v>
      </c>
    </row>
    <row r="21246" spans="1:4" x14ac:dyDescent="0.2">
      <c r="B21246" t="s">
        <v>103</v>
      </c>
    </row>
    <row r="21248" spans="1:4" x14ac:dyDescent="0.2">
      <c r="A21248" t="s">
        <v>7057</v>
      </c>
      <c r="B21248" t="str">
        <f>HYPERLINK("https://lindat.mff.cuni.cz/services/teitok/pdtc10/index.php?action=vallex&amp;frame=v-whsa_219f1_ZU", "oddávat (v-whsa_219f1_ZU)")</f>
        <v>oddávat (v-whsa_219f1_ZU)</v>
      </c>
    </row>
    <row r="21249" spans="1:4" x14ac:dyDescent="0.2">
      <c r="B21249" t="s">
        <v>1</v>
      </c>
    </row>
    <row r="21250" spans="1:4" x14ac:dyDescent="0.2">
      <c r="B21250" t="s">
        <v>8</v>
      </c>
    </row>
    <row r="21251" spans="1:4" x14ac:dyDescent="0.2">
      <c r="B21251" t="s">
        <v>2328</v>
      </c>
    </row>
    <row r="21253" spans="1:4" x14ac:dyDescent="0.2">
      <c r="A21253" t="s">
        <v>7057</v>
      </c>
      <c r="B21253" t="str">
        <f>HYPERLINK("https://lindat.mff.cuni.cz/services/teitok/pdtc10/index.php?action=vallex&amp;frame=v-whsa_219hsa_220", "oddávat (v-whsa_219hsa_220) - substituted with v-whsa_219f1_ZU")</f>
        <v>oddávat (v-whsa_219hsa_220) - substituted with v-whsa_219f1_ZU</v>
      </c>
    </row>
    <row r="21254" spans="1:4" x14ac:dyDescent="0.2">
      <c r="B21254" t="s">
        <v>1</v>
      </c>
    </row>
    <row r="21255" spans="1:4" x14ac:dyDescent="0.2">
      <c r="B21255" t="s">
        <v>8</v>
      </c>
    </row>
    <row r="21256" spans="1:4" x14ac:dyDescent="0.2">
      <c r="B21256" t="s">
        <v>2328</v>
      </c>
    </row>
    <row r="21258" spans="1:4" x14ac:dyDescent="0.2">
      <c r="A21258" t="s">
        <v>7058</v>
      </c>
      <c r="B21258" t="str">
        <f>HYPERLINK("https://lindat.mff.cuni.cz/services/teitok/pdtc10/index.php?action=vallex&amp;frame=v-w11290f1", "oddávat se (v-w11290f1)")</f>
        <v>oddávat se (v-w11290f1)</v>
      </c>
    </row>
    <row r="21259" spans="1:4" x14ac:dyDescent="0.2">
      <c r="B21259" t="s">
        <v>1</v>
      </c>
      <c r="C21259" t="s">
        <v>83</v>
      </c>
      <c r="D21259" t="s">
        <v>22976</v>
      </c>
    </row>
    <row r="21260" spans="1:4" x14ac:dyDescent="0.2">
      <c r="B21260" t="s">
        <v>103</v>
      </c>
      <c r="C21260" t="s">
        <v>7059</v>
      </c>
      <c r="D21260" t="s">
        <v>22977</v>
      </c>
    </row>
    <row r="21262" spans="1:4" x14ac:dyDescent="0.2">
      <c r="A21262" t="s">
        <v>7060</v>
      </c>
      <c r="B21262" t="str">
        <f>HYPERLINK("https://lindat.mff.cuni.cz/services/teitok/pdtc10/index.php?action=vallex&amp;frame=v-w2658f1", "oddělat (v-w2658f1)")</f>
        <v>oddělat (v-w2658f1)</v>
      </c>
    </row>
    <row r="21263" spans="1:4" x14ac:dyDescent="0.2">
      <c r="B21263" t="s">
        <v>1</v>
      </c>
    </row>
    <row r="21264" spans="1:4" x14ac:dyDescent="0.2">
      <c r="B21264" t="s">
        <v>8</v>
      </c>
    </row>
    <row r="21266" spans="1:4" x14ac:dyDescent="0.2">
      <c r="A21266" t="s">
        <v>7061</v>
      </c>
      <c r="B21266" t="str">
        <f>HYPERLINK("https://lindat.mff.cuni.cz/services/teitok/pdtc10/index.php?action=vallex&amp;frame=v-w2658f2", "oddělat (v-w2658f2)")</f>
        <v>oddělat (v-w2658f2)</v>
      </c>
    </row>
    <row r="21267" spans="1:4" x14ac:dyDescent="0.2">
      <c r="B21267" t="s">
        <v>1</v>
      </c>
    </row>
    <row r="21268" spans="1:4" x14ac:dyDescent="0.2">
      <c r="B21268" t="s">
        <v>8</v>
      </c>
    </row>
    <row r="21270" spans="1:4" x14ac:dyDescent="0.2">
      <c r="A21270" t="s">
        <v>7062</v>
      </c>
      <c r="B21270" t="str">
        <f>HYPERLINK("https://lindat.mff.cuni.cz/services/teitok/pdtc10/index.php?action=vallex&amp;frame=v-w2658f3_ZU", "oddělat (v-w2658f3_ZU)")</f>
        <v>oddělat (v-w2658f3_ZU)</v>
      </c>
    </row>
    <row r="21271" spans="1:4" x14ac:dyDescent="0.2">
      <c r="B21271" t="s">
        <v>1</v>
      </c>
    </row>
    <row r="21272" spans="1:4" x14ac:dyDescent="0.2">
      <c r="B21272" t="s">
        <v>8</v>
      </c>
    </row>
    <row r="21273" spans="1:4" x14ac:dyDescent="0.2">
      <c r="B21273" t="s">
        <v>4622</v>
      </c>
    </row>
    <row r="21275" spans="1:4" x14ac:dyDescent="0.2">
      <c r="A21275" t="s">
        <v>7063</v>
      </c>
      <c r="B21275" t="str">
        <f>HYPERLINK("https://lindat.mff.cuni.cz/services/teitok/pdtc10/index.php?action=vallex&amp;frame=v-w2658f4_MM", "oddělat (v-w2658f4_MM)")</f>
        <v>oddělat (v-w2658f4_MM)</v>
      </c>
    </row>
    <row r="21276" spans="1:4" x14ac:dyDescent="0.2">
      <c r="B21276" t="s">
        <v>1</v>
      </c>
    </row>
    <row r="21277" spans="1:4" x14ac:dyDescent="0.2">
      <c r="B21277" t="s">
        <v>8</v>
      </c>
    </row>
    <row r="21279" spans="1:4" x14ac:dyDescent="0.2">
      <c r="A21279" t="s">
        <v>7064</v>
      </c>
      <c r="B21279" t="str">
        <f>HYPERLINK("https://lindat.mff.cuni.cz/services/teitok/pdtc10/index.php?action=vallex&amp;frame=v-w2661f1", "oddělit (v-w2661f1)")</f>
        <v>oddělit (v-w2661f1)</v>
      </c>
    </row>
    <row r="21280" spans="1:4" x14ac:dyDescent="0.2">
      <c r="B21280" t="s">
        <v>1</v>
      </c>
      <c r="C21280" t="s">
        <v>7065</v>
      </c>
      <c r="D21280" t="s">
        <v>1480</v>
      </c>
    </row>
    <row r="21281" spans="1:4" x14ac:dyDescent="0.2">
      <c r="B21281" t="s">
        <v>8</v>
      </c>
      <c r="C21281" t="s">
        <v>7066</v>
      </c>
      <c r="D21281" t="s">
        <v>23369</v>
      </c>
    </row>
    <row r="21282" spans="1:4" x14ac:dyDescent="0.2">
      <c r="B21282" t="s">
        <v>1334</v>
      </c>
      <c r="C21282" t="s">
        <v>7067</v>
      </c>
      <c r="D21282" t="s">
        <v>2079</v>
      </c>
    </row>
    <row r="21284" spans="1:4" x14ac:dyDescent="0.2">
      <c r="A21284" t="s">
        <v>7068</v>
      </c>
      <c r="B21284" t="str">
        <f>HYPERLINK("https://lindat.mff.cuni.cz/services/teitok/pdtc10/index.php?action=vallex&amp;frame=v-w2662f1", "oddělit se (v-w2662f1)")</f>
        <v>oddělit se (v-w2662f1)</v>
      </c>
    </row>
    <row r="21285" spans="1:4" x14ac:dyDescent="0.2">
      <c r="B21285" t="s">
        <v>1</v>
      </c>
      <c r="C21285" t="s">
        <v>33</v>
      </c>
      <c r="D21285" t="s">
        <v>186</v>
      </c>
    </row>
    <row r="21286" spans="1:4" x14ac:dyDescent="0.2">
      <c r="B21286" t="s">
        <v>19</v>
      </c>
      <c r="C21286" t="s">
        <v>113</v>
      </c>
    </row>
    <row r="21288" spans="1:4" x14ac:dyDescent="0.2">
      <c r="A21288" t="s">
        <v>7069</v>
      </c>
      <c r="B21288" t="str">
        <f>HYPERLINK("https://lindat.mff.cuni.cz/services/teitok/pdtc10/index.php?action=vallex&amp;frame=v-w2663f1", "oddělovat (v-w2663f1)")</f>
        <v>oddělovat (v-w2663f1)</v>
      </c>
    </row>
    <row r="21289" spans="1:4" x14ac:dyDescent="0.2">
      <c r="B21289" t="s">
        <v>1</v>
      </c>
      <c r="C21289" t="s">
        <v>7070</v>
      </c>
      <c r="D21289" t="s">
        <v>1480</v>
      </c>
    </row>
    <row r="21290" spans="1:4" x14ac:dyDescent="0.2">
      <c r="B21290" t="s">
        <v>8</v>
      </c>
      <c r="C21290" t="s">
        <v>2240</v>
      </c>
      <c r="D21290" t="s">
        <v>23369</v>
      </c>
    </row>
    <row r="21291" spans="1:4" x14ac:dyDescent="0.2">
      <c r="B21291" t="s">
        <v>1334</v>
      </c>
      <c r="C21291" t="s">
        <v>7071</v>
      </c>
      <c r="D21291" t="s">
        <v>2079</v>
      </c>
    </row>
    <row r="21293" spans="1:4" x14ac:dyDescent="0.2">
      <c r="A21293" t="s">
        <v>7072</v>
      </c>
      <c r="B21293" t="str">
        <f>HYPERLINK("https://lindat.mff.cuni.cz/services/teitok/pdtc10/index.php?action=vallex&amp;frame=v-w2664f1", "oddělovat se (v-w2664f1)")</f>
        <v>oddělovat se (v-w2664f1)</v>
      </c>
    </row>
    <row r="21294" spans="1:4" x14ac:dyDescent="0.2">
      <c r="B21294" t="s">
        <v>1</v>
      </c>
      <c r="D21294" t="s">
        <v>186</v>
      </c>
    </row>
    <row r="21295" spans="1:4" x14ac:dyDescent="0.2">
      <c r="B21295" t="s">
        <v>19</v>
      </c>
      <c r="C21295" t="s">
        <v>1301</v>
      </c>
    </row>
    <row r="21297" spans="1:4" x14ac:dyDescent="0.2">
      <c r="A21297" t="s">
        <v>7073</v>
      </c>
      <c r="B21297" t="str">
        <f>HYPERLINK("https://lindat.mff.cuni.cz/services/teitok/pdtc10/index.php?action=vallex&amp;frame=v-w2672f1", "odebrat (v-w2672f1)")</f>
        <v>odebrat (v-w2672f1)</v>
      </c>
    </row>
    <row r="21298" spans="1:4" x14ac:dyDescent="0.2">
      <c r="B21298" t="s">
        <v>1</v>
      </c>
      <c r="C21298" t="s">
        <v>22</v>
      </c>
      <c r="D21298" t="s">
        <v>6383</v>
      </c>
    </row>
    <row r="21299" spans="1:4" x14ac:dyDescent="0.2">
      <c r="B21299" t="s">
        <v>8</v>
      </c>
      <c r="C21299" t="s">
        <v>2344</v>
      </c>
      <c r="D21299" t="s">
        <v>14757</v>
      </c>
    </row>
    <row r="21300" spans="1:4" x14ac:dyDescent="0.2">
      <c r="B21300" t="s">
        <v>35</v>
      </c>
      <c r="C21300" t="s">
        <v>7074</v>
      </c>
      <c r="D21300" t="s">
        <v>23004</v>
      </c>
    </row>
    <row r="21302" spans="1:4" x14ac:dyDescent="0.2">
      <c r="A21302" t="s">
        <v>7075</v>
      </c>
      <c r="B21302" t="str">
        <f>HYPERLINK("https://lindat.mff.cuni.cz/services/teitok/pdtc10/index.php?action=vallex&amp;frame=v-w2672f3", "odebrat (v-w2672f3)")</f>
        <v>odebrat (v-w2672f3)</v>
      </c>
    </row>
    <row r="21303" spans="1:4" x14ac:dyDescent="0.2">
      <c r="B21303" t="s">
        <v>1</v>
      </c>
    </row>
    <row r="21304" spans="1:4" x14ac:dyDescent="0.2">
      <c r="B21304" t="s">
        <v>8</v>
      </c>
    </row>
    <row r="21305" spans="1:4" x14ac:dyDescent="0.2">
      <c r="B21305" t="s">
        <v>5</v>
      </c>
    </row>
    <row r="21307" spans="1:4" x14ac:dyDescent="0.2">
      <c r="A21307" t="s">
        <v>7076</v>
      </c>
      <c r="B21307" t="str">
        <f>HYPERLINK("https://lindat.mff.cuni.cz/services/teitok/pdtc10/index.php?action=vallex&amp;frame=v-w2672f2", "odebrat (v-w2672f2)")</f>
        <v>odebrat (v-w2672f2)</v>
      </c>
    </row>
    <row r="21308" spans="1:4" x14ac:dyDescent="0.2">
      <c r="B21308" t="s">
        <v>1</v>
      </c>
      <c r="C21308" t="s">
        <v>7077</v>
      </c>
      <c r="D21308" t="s">
        <v>109</v>
      </c>
    </row>
    <row r="21309" spans="1:4" x14ac:dyDescent="0.2">
      <c r="B21309" t="s">
        <v>8</v>
      </c>
      <c r="C21309" t="s">
        <v>7078</v>
      </c>
      <c r="D21309" t="s">
        <v>2755</v>
      </c>
    </row>
    <row r="21310" spans="1:4" x14ac:dyDescent="0.2">
      <c r="B21310" t="s">
        <v>333</v>
      </c>
      <c r="C21310" t="s">
        <v>7079</v>
      </c>
      <c r="D21310" t="s">
        <v>23642</v>
      </c>
    </row>
    <row r="21312" spans="1:4" x14ac:dyDescent="0.2">
      <c r="A21312" t="s">
        <v>7080</v>
      </c>
      <c r="B21312" t="str">
        <f>HYPERLINK("https://lindat.mff.cuni.cz/services/teitok/pdtc10/index.php?action=vallex&amp;frame=v-w2672f4", "odebrat (v-w2672f4)")</f>
        <v>odebrat (v-w2672f4)</v>
      </c>
    </row>
    <row r="21313" spans="1:2" x14ac:dyDescent="0.2">
      <c r="B21313" t="s">
        <v>1</v>
      </c>
    </row>
    <row r="21314" spans="1:2" x14ac:dyDescent="0.2">
      <c r="B21314" t="s">
        <v>8</v>
      </c>
    </row>
    <row r="21316" spans="1:2" x14ac:dyDescent="0.2">
      <c r="A21316" t="s">
        <v>7081</v>
      </c>
      <c r="B21316" t="str">
        <f>HYPERLINK("https://lindat.mff.cuni.cz/services/teitok/pdtc10/index.php?action=vallex&amp;frame=v-w2673f1", "odebrat se (v-w2673f1)")</f>
        <v>odebrat se (v-w2673f1)</v>
      </c>
    </row>
    <row r="21317" spans="1:2" x14ac:dyDescent="0.2">
      <c r="B21317" t="s">
        <v>1</v>
      </c>
    </row>
    <row r="21318" spans="1:2" x14ac:dyDescent="0.2">
      <c r="B21318" t="s">
        <v>90</v>
      </c>
    </row>
    <row r="21320" spans="1:2" x14ac:dyDescent="0.2">
      <c r="A21320" t="s">
        <v>7082</v>
      </c>
      <c r="B21320" t="str">
        <f>HYPERLINK("https://lindat.mff.cuni.cz/services/teitok/pdtc10/index.php?action=vallex&amp;frame=v-w2669f3", "odebírat (v-w2669f3)")</f>
        <v>odebírat (v-w2669f3)</v>
      </c>
    </row>
    <row r="21321" spans="1:2" x14ac:dyDescent="0.2">
      <c r="B21321" t="s">
        <v>1</v>
      </c>
    </row>
    <row r="21322" spans="1:2" x14ac:dyDescent="0.2">
      <c r="B21322" t="s">
        <v>8</v>
      </c>
    </row>
    <row r="21323" spans="1:2" x14ac:dyDescent="0.2">
      <c r="B21323" t="s">
        <v>35</v>
      </c>
    </row>
    <row r="21325" spans="1:2" x14ac:dyDescent="0.2">
      <c r="A21325" t="s">
        <v>7083</v>
      </c>
      <c r="B21325" t="str">
        <f>HYPERLINK("https://lindat.mff.cuni.cz/services/teitok/pdtc10/index.php?action=vallex&amp;frame=v-w2669f2", "odebírat (v-w2669f2)")</f>
        <v>odebírat (v-w2669f2)</v>
      </c>
    </row>
    <row r="21326" spans="1:2" x14ac:dyDescent="0.2">
      <c r="B21326" t="s">
        <v>1</v>
      </c>
    </row>
    <row r="21327" spans="1:2" x14ac:dyDescent="0.2">
      <c r="B21327" t="s">
        <v>8</v>
      </c>
    </row>
    <row r="21328" spans="1:2" x14ac:dyDescent="0.2">
      <c r="B21328" t="s">
        <v>333</v>
      </c>
    </row>
    <row r="21330" spans="1:4" x14ac:dyDescent="0.2">
      <c r="A21330" t="s">
        <v>7084</v>
      </c>
      <c r="B21330" t="str">
        <f>HYPERLINK("https://lindat.mff.cuni.cz/services/teitok/pdtc10/index.php?action=vallex&amp;frame=v-w2669f1", "odebírat (v-w2669f1)")</f>
        <v>odebírat (v-w2669f1)</v>
      </c>
    </row>
    <row r="21331" spans="1:4" x14ac:dyDescent="0.2">
      <c r="B21331" t="s">
        <v>1</v>
      </c>
      <c r="C21331" t="s">
        <v>249</v>
      </c>
      <c r="D21331" t="s">
        <v>33</v>
      </c>
    </row>
    <row r="21332" spans="1:4" x14ac:dyDescent="0.2">
      <c r="B21332" t="s">
        <v>8</v>
      </c>
      <c r="C21332" t="s">
        <v>34</v>
      </c>
      <c r="D21332" t="s">
        <v>34</v>
      </c>
    </row>
    <row r="21334" spans="1:4" x14ac:dyDescent="0.2">
      <c r="A21334" t="s">
        <v>7085</v>
      </c>
      <c r="B21334" t="str">
        <f>HYPERLINK("https://lindat.mff.cuni.cz/services/teitok/pdtc10/index.php?action=vallex&amp;frame=v-w10332f2", "odehnat (v-w10332f2)")</f>
        <v>odehnat (v-w10332f2)</v>
      </c>
    </row>
    <row r="21335" spans="1:4" x14ac:dyDescent="0.2">
      <c r="B21335" t="s">
        <v>1</v>
      </c>
      <c r="C21335" t="s">
        <v>990</v>
      </c>
      <c r="D21335" t="s">
        <v>140</v>
      </c>
    </row>
    <row r="21336" spans="1:4" x14ac:dyDescent="0.2">
      <c r="B21336" t="s">
        <v>8</v>
      </c>
      <c r="C21336" t="s">
        <v>354</v>
      </c>
      <c r="D21336" t="s">
        <v>113</v>
      </c>
    </row>
    <row r="21338" spans="1:4" x14ac:dyDescent="0.2">
      <c r="A21338" t="s">
        <v>7086</v>
      </c>
      <c r="B21338" t="str">
        <f>HYPERLINK("https://lindat.mff.cuni.cz/services/teitok/pdtc10/index.php?action=vallex&amp;frame=v-w2679f1", "odehrát (v-w2679f1)")</f>
        <v>odehrát (v-w2679f1)</v>
      </c>
    </row>
    <row r="21339" spans="1:4" x14ac:dyDescent="0.2">
      <c r="B21339" t="s">
        <v>1</v>
      </c>
    </row>
    <row r="21340" spans="1:4" x14ac:dyDescent="0.2">
      <c r="B21340" t="s">
        <v>8</v>
      </c>
    </row>
    <row r="21342" spans="1:4" x14ac:dyDescent="0.2">
      <c r="A21342" t="s">
        <v>7087</v>
      </c>
      <c r="B21342" t="str">
        <f>HYPERLINK("https://lindat.mff.cuni.cz/services/teitok/pdtc10/index.php?action=vallex&amp;frame=v-w2680f1", "odehrát se (v-w2680f1)")</f>
        <v>odehrát se (v-w2680f1)</v>
      </c>
    </row>
    <row r="21343" spans="1:4" x14ac:dyDescent="0.2">
      <c r="B21343" t="s">
        <v>1</v>
      </c>
      <c r="C21343" t="s">
        <v>7088</v>
      </c>
      <c r="D21343" t="s">
        <v>22988</v>
      </c>
    </row>
    <row r="21345" spans="1:4" x14ac:dyDescent="0.2">
      <c r="A21345" t="s">
        <v>7089</v>
      </c>
      <c r="B21345" t="str">
        <f>HYPERLINK("https://lindat.mff.cuni.cz/services/teitok/pdtc10/index.php?action=vallex&amp;frame=v-w2681f1", "odehrávat se (v-w2681f1)")</f>
        <v>odehrávat se (v-w2681f1)</v>
      </c>
    </row>
    <row r="21346" spans="1:4" x14ac:dyDescent="0.2">
      <c r="B21346" t="s">
        <v>1</v>
      </c>
      <c r="C21346" t="s">
        <v>7090</v>
      </c>
      <c r="D21346" t="s">
        <v>22988</v>
      </c>
    </row>
    <row r="21348" spans="1:4" x14ac:dyDescent="0.2">
      <c r="A21348" t="s">
        <v>7091</v>
      </c>
      <c r="B21348" t="str">
        <f>HYPERLINK("https://lindat.mff.cuni.cz/services/teitok/pdtc10/index.php?action=vallex&amp;frame=v-w2683f1", "odejmout (v-w2683f1)")</f>
        <v>odejmout (v-w2683f1)</v>
      </c>
    </row>
    <row r="21349" spans="1:4" x14ac:dyDescent="0.2">
      <c r="B21349" t="s">
        <v>1</v>
      </c>
      <c r="C21349" t="s">
        <v>2239</v>
      </c>
      <c r="D21349" t="s">
        <v>6383</v>
      </c>
    </row>
    <row r="21350" spans="1:4" x14ac:dyDescent="0.2">
      <c r="B21350" t="s">
        <v>8</v>
      </c>
      <c r="C21350" t="s">
        <v>7092</v>
      </c>
      <c r="D21350" t="s">
        <v>14757</v>
      </c>
    </row>
    <row r="21351" spans="1:4" x14ac:dyDescent="0.2">
      <c r="B21351" t="s">
        <v>35</v>
      </c>
      <c r="C21351" t="s">
        <v>2810</v>
      </c>
      <c r="D21351" t="s">
        <v>23004</v>
      </c>
    </row>
    <row r="21353" spans="1:4" x14ac:dyDescent="0.2">
      <c r="A21353" t="s">
        <v>7093</v>
      </c>
      <c r="B21353" t="str">
        <f>HYPERLINK("https://lindat.mff.cuni.cz/services/teitok/pdtc10/index.php?action=vallex&amp;frame=v-w2682f1", "odejít (v-w2682f1)")</f>
        <v>odejít (v-w2682f1)</v>
      </c>
    </row>
    <row r="21354" spans="1:4" x14ac:dyDescent="0.2">
      <c r="B21354" t="s">
        <v>1</v>
      </c>
      <c r="C21354" t="s">
        <v>7094</v>
      </c>
      <c r="D21354" t="s">
        <v>23091</v>
      </c>
    </row>
    <row r="21355" spans="1:4" x14ac:dyDescent="0.2">
      <c r="B21355" t="s">
        <v>333</v>
      </c>
      <c r="C21355" t="s">
        <v>7095</v>
      </c>
      <c r="D21355" t="s">
        <v>7666</v>
      </c>
    </row>
    <row r="21357" spans="1:4" x14ac:dyDescent="0.2">
      <c r="A21357" t="s">
        <v>7096</v>
      </c>
      <c r="B21357" t="str">
        <f>HYPERLINK("https://lindat.mff.cuni.cz/services/teitok/pdtc10/index.php?action=vallex&amp;frame=v-w2682f4_ZU", "odejít (v-w2682f4_ZU)")</f>
        <v>odejít (v-w2682f4_ZU)</v>
      </c>
    </row>
    <row r="21358" spans="1:4" x14ac:dyDescent="0.2">
      <c r="B21358" t="s">
        <v>1</v>
      </c>
      <c r="C21358" t="s">
        <v>2125</v>
      </c>
    </row>
    <row r="21359" spans="1:4" x14ac:dyDescent="0.2">
      <c r="B21359" t="s">
        <v>205</v>
      </c>
    </row>
    <row r="21361" spans="1:4" x14ac:dyDescent="0.2">
      <c r="A21361" t="s">
        <v>7097</v>
      </c>
      <c r="B21361" t="str">
        <f>HYPERLINK("https://lindat.mff.cuni.cz/services/teitok/pdtc10/index.php?action=vallex&amp;frame=v-w2682f3", "odejít (v-w2682f3)")</f>
        <v>odejít (v-w2682f3)</v>
      </c>
    </row>
    <row r="21362" spans="1:4" x14ac:dyDescent="0.2">
      <c r="B21362" t="s">
        <v>1</v>
      </c>
      <c r="C21362" t="s">
        <v>3824</v>
      </c>
    </row>
    <row r="21364" spans="1:4" x14ac:dyDescent="0.2">
      <c r="A21364" t="s">
        <v>7098</v>
      </c>
      <c r="B21364" t="str">
        <f>HYPERLINK("https://lindat.mff.cuni.cz/services/teitok/pdtc10/index.php?action=vallex&amp;frame=v-w2682f2", "odejít (v-w2682f2)")</f>
        <v>odejít (v-w2682f2)</v>
      </c>
    </row>
    <row r="21365" spans="1:4" x14ac:dyDescent="0.2">
      <c r="B21365" t="s">
        <v>1</v>
      </c>
    </row>
    <row r="21366" spans="1:4" x14ac:dyDescent="0.2">
      <c r="B21366" t="s">
        <v>7099</v>
      </c>
    </row>
    <row r="21368" spans="1:4" x14ac:dyDescent="0.2">
      <c r="A21368" t="s">
        <v>7100</v>
      </c>
      <c r="B21368" t="str">
        <f>HYPERLINK("https://lindat.mff.cuni.cz/services/teitok/pdtc10/index.php?action=vallex&amp;frame=v-w2682hsa_844", "odejít (v-w2682hsa_844)")</f>
        <v>odejít (v-w2682hsa_844)</v>
      </c>
    </row>
    <row r="21369" spans="1:4" x14ac:dyDescent="0.2">
      <c r="B21369" t="s">
        <v>1</v>
      </c>
      <c r="C21369" t="s">
        <v>147</v>
      </c>
    </row>
    <row r="21371" spans="1:4" x14ac:dyDescent="0.2">
      <c r="A21371" t="s">
        <v>7101</v>
      </c>
      <c r="B21371" t="str">
        <f>HYPERLINK("https://lindat.mff.cuni.cz/services/teitok/pdtc10/index.php?action=vallex&amp;frame=v-w2682hsa_845", "odejít (v-w2682hsa_845)")</f>
        <v>odejít (v-w2682hsa_845)</v>
      </c>
    </row>
    <row r="21372" spans="1:4" x14ac:dyDescent="0.2">
      <c r="B21372" t="s">
        <v>1</v>
      </c>
      <c r="C21372" t="s">
        <v>2125</v>
      </c>
      <c r="D21372" t="s">
        <v>5475</v>
      </c>
    </row>
    <row r="21373" spans="1:4" x14ac:dyDescent="0.2">
      <c r="B21373" t="s">
        <v>1924</v>
      </c>
    </row>
    <row r="21375" spans="1:4" x14ac:dyDescent="0.2">
      <c r="A21375" t="s">
        <v>7102</v>
      </c>
      <c r="B21375" t="str">
        <f>HYPERLINK("https://lindat.mff.cuni.cz/services/teitok/pdtc10/index.php?action=vallex&amp;frame=v-w2682hsa_709", "odejít (v-w2682hsa_709)")</f>
        <v>odejít (v-w2682hsa_709)</v>
      </c>
    </row>
    <row r="21376" spans="1:4" x14ac:dyDescent="0.2">
      <c r="B21376" t="s">
        <v>1</v>
      </c>
    </row>
    <row r="21378" spans="1:4" x14ac:dyDescent="0.2">
      <c r="A21378" t="s">
        <v>7103</v>
      </c>
      <c r="B21378" t="str">
        <f>HYPERLINK("https://lindat.mff.cuni.cz/services/teitok/pdtc10/index.php?action=vallex&amp;frame=v-w2684f1", "odemknout (v-w2684f1)")</f>
        <v>odemknout (v-w2684f1)</v>
      </c>
    </row>
    <row r="21379" spans="1:4" x14ac:dyDescent="0.2">
      <c r="B21379" t="s">
        <v>1</v>
      </c>
      <c r="D21379" t="s">
        <v>23643</v>
      </c>
    </row>
    <row r="21380" spans="1:4" x14ac:dyDescent="0.2">
      <c r="B21380" t="s">
        <v>8</v>
      </c>
      <c r="C21380" t="s">
        <v>113</v>
      </c>
      <c r="D21380" t="s">
        <v>16005</v>
      </c>
    </row>
    <row r="21382" spans="1:4" x14ac:dyDescent="0.2">
      <c r="A21382" t="s">
        <v>7104</v>
      </c>
      <c r="B21382" t="str">
        <f>HYPERLINK("https://lindat.mff.cuni.cz/services/teitok/pdtc10/index.php?action=vallex&amp;frame=v-w2685f2", "odepisovat (v-w2685f2)")</f>
        <v>odepisovat (v-w2685f2)</v>
      </c>
    </row>
    <row r="21383" spans="1:4" x14ac:dyDescent="0.2">
      <c r="B21383" t="s">
        <v>1</v>
      </c>
      <c r="C21383" t="s">
        <v>249</v>
      </c>
      <c r="D21383" t="s">
        <v>430</v>
      </c>
    </row>
    <row r="21384" spans="1:4" x14ac:dyDescent="0.2">
      <c r="B21384" t="s">
        <v>8</v>
      </c>
      <c r="C21384" t="s">
        <v>3773</v>
      </c>
      <c r="D21384" t="s">
        <v>2886</v>
      </c>
    </row>
    <row r="21385" spans="1:4" x14ac:dyDescent="0.2">
      <c r="B21385" t="s">
        <v>333</v>
      </c>
      <c r="C21385" t="s">
        <v>7105</v>
      </c>
      <c r="D21385" t="s">
        <v>7105</v>
      </c>
    </row>
    <row r="21387" spans="1:4" x14ac:dyDescent="0.2">
      <c r="A21387" t="s">
        <v>7106</v>
      </c>
      <c r="B21387" t="str">
        <f>HYPERLINK("https://lindat.mff.cuni.cz/services/teitok/pdtc10/index.php?action=vallex&amp;frame=v-w2685f3", "odepisovat (v-w2685f3)")</f>
        <v>odepisovat (v-w2685f3)</v>
      </c>
    </row>
    <row r="21388" spans="1:4" x14ac:dyDescent="0.2">
      <c r="B21388" t="s">
        <v>1</v>
      </c>
      <c r="C21388" t="s">
        <v>133</v>
      </c>
    </row>
    <row r="21389" spans="1:4" x14ac:dyDescent="0.2">
      <c r="B21389" t="s">
        <v>8</v>
      </c>
      <c r="C21389" t="s">
        <v>2240</v>
      </c>
    </row>
    <row r="21391" spans="1:4" x14ac:dyDescent="0.2">
      <c r="A21391" t="s">
        <v>7107</v>
      </c>
      <c r="B21391" t="str">
        <f>HYPERLINK("https://lindat.mff.cuni.cz/services/teitok/pdtc10/index.php?action=vallex&amp;frame=v-w2685f1", "odepisovat (v-w2685f1)")</f>
        <v>odepisovat (v-w2685f1)</v>
      </c>
    </row>
    <row r="21392" spans="1:4" x14ac:dyDescent="0.2">
      <c r="B21392" t="s">
        <v>1</v>
      </c>
    </row>
    <row r="21393" spans="1:4" x14ac:dyDescent="0.2">
      <c r="B21393" t="s">
        <v>35</v>
      </c>
    </row>
    <row r="21394" spans="1:4" x14ac:dyDescent="0.2">
      <c r="B21394" t="s">
        <v>7108</v>
      </c>
    </row>
    <row r="21395" spans="1:4" x14ac:dyDescent="0.2">
      <c r="B21395" t="s">
        <v>46</v>
      </c>
    </row>
    <row r="21397" spans="1:4" x14ac:dyDescent="0.2">
      <c r="A21397" t="s">
        <v>7109</v>
      </c>
      <c r="B21397" t="str">
        <f>HYPERLINK("https://lindat.mff.cuni.cz/services/teitok/pdtc10/index.php?action=vallex&amp;frame=v-w2688f3_ZU", "odepsat (v-w2688f3_ZU)")</f>
        <v>odepsat (v-w2688f3_ZU)</v>
      </c>
    </row>
    <row r="21398" spans="1:4" x14ac:dyDescent="0.2">
      <c r="B21398" t="s">
        <v>1</v>
      </c>
      <c r="C21398" t="s">
        <v>430</v>
      </c>
      <c r="D21398" t="s">
        <v>430</v>
      </c>
    </row>
    <row r="21399" spans="1:4" x14ac:dyDescent="0.2">
      <c r="B21399" t="s">
        <v>8</v>
      </c>
      <c r="C21399" t="s">
        <v>2886</v>
      </c>
      <c r="D21399" t="s">
        <v>2886</v>
      </c>
    </row>
    <row r="21400" spans="1:4" x14ac:dyDescent="0.2">
      <c r="B21400" t="s">
        <v>333</v>
      </c>
      <c r="C21400" t="s">
        <v>7105</v>
      </c>
      <c r="D21400" t="s">
        <v>7105</v>
      </c>
    </row>
    <row r="21402" spans="1:4" x14ac:dyDescent="0.2">
      <c r="A21402" t="s">
        <v>7110</v>
      </c>
      <c r="B21402" t="str">
        <f>HYPERLINK("https://lindat.mff.cuni.cz/services/teitok/pdtc10/index.php?action=vallex&amp;frame=v-w2688f1", "odepsat (v-w2688f1)")</f>
        <v>odepsat (v-w2688f1)</v>
      </c>
    </row>
    <row r="21403" spans="1:4" x14ac:dyDescent="0.2">
      <c r="B21403" t="s">
        <v>1</v>
      </c>
      <c r="C21403" t="s">
        <v>6131</v>
      </c>
    </row>
    <row r="21404" spans="1:4" x14ac:dyDescent="0.2">
      <c r="B21404" t="s">
        <v>8</v>
      </c>
      <c r="C21404" t="s">
        <v>7111</v>
      </c>
    </row>
    <row r="21406" spans="1:4" x14ac:dyDescent="0.2">
      <c r="A21406" t="s">
        <v>7112</v>
      </c>
      <c r="B21406" t="str">
        <f>HYPERLINK("https://lindat.mff.cuni.cz/services/teitok/pdtc10/index.php?action=vallex&amp;frame=v-w2688f2", "odepsat (v-w2688f2)")</f>
        <v>odepsat (v-w2688f2)</v>
      </c>
    </row>
    <row r="21407" spans="1:4" x14ac:dyDescent="0.2">
      <c r="B21407" t="s">
        <v>1</v>
      </c>
      <c r="C21407" t="s">
        <v>1680</v>
      </c>
    </row>
    <row r="21408" spans="1:4" x14ac:dyDescent="0.2">
      <c r="B21408" t="s">
        <v>35</v>
      </c>
      <c r="C21408" t="s">
        <v>7074</v>
      </c>
    </row>
    <row r="21409" spans="1:4" x14ac:dyDescent="0.2">
      <c r="B21409" t="s">
        <v>7108</v>
      </c>
      <c r="C21409" t="s">
        <v>7113</v>
      </c>
    </row>
    <row r="21410" spans="1:4" x14ac:dyDescent="0.2">
      <c r="B21410" t="s">
        <v>46</v>
      </c>
      <c r="C21410" t="s">
        <v>54</v>
      </c>
    </row>
    <row r="21412" spans="1:4" x14ac:dyDescent="0.2">
      <c r="A21412" t="s">
        <v>7114</v>
      </c>
      <c r="B21412" t="str">
        <f>HYPERLINK("https://lindat.mff.cuni.cz/services/teitok/pdtc10/index.php?action=vallex&amp;frame=v-w10163f2", "odepírat (v-w10163f2)")</f>
        <v>odepírat (v-w10163f2)</v>
      </c>
    </row>
    <row r="21413" spans="1:4" x14ac:dyDescent="0.2">
      <c r="B21413" t="s">
        <v>1</v>
      </c>
    </row>
    <row r="21414" spans="1:4" x14ac:dyDescent="0.2">
      <c r="B21414" t="s">
        <v>7115</v>
      </c>
    </row>
    <row r="21415" spans="1:4" x14ac:dyDescent="0.2">
      <c r="B21415" t="s">
        <v>35</v>
      </c>
    </row>
    <row r="21417" spans="1:4" x14ac:dyDescent="0.2">
      <c r="A21417" t="s">
        <v>7116</v>
      </c>
      <c r="B21417" t="str">
        <f>HYPERLINK("https://lindat.mff.cuni.cz/services/teitok/pdtc10/index.php?action=vallex&amp;frame=v-w2686f1", "odepřít (v-w2686f1)")</f>
        <v>odepřít (v-w2686f1)</v>
      </c>
    </row>
    <row r="21418" spans="1:4" x14ac:dyDescent="0.2">
      <c r="B21418" t="s">
        <v>1</v>
      </c>
      <c r="C21418" t="s">
        <v>7117</v>
      </c>
      <c r="D21418" t="s">
        <v>22989</v>
      </c>
    </row>
    <row r="21419" spans="1:4" x14ac:dyDescent="0.2">
      <c r="B21419" t="s">
        <v>7115</v>
      </c>
      <c r="C21419" t="s">
        <v>7118</v>
      </c>
      <c r="D21419" t="s">
        <v>22990</v>
      </c>
    </row>
    <row r="21420" spans="1:4" x14ac:dyDescent="0.2">
      <c r="B21420" t="s">
        <v>35</v>
      </c>
      <c r="C21420" t="s">
        <v>7119</v>
      </c>
      <c r="D21420" t="s">
        <v>554</v>
      </c>
    </row>
    <row r="21422" spans="1:4" x14ac:dyDescent="0.2">
      <c r="A21422" t="s">
        <v>7120</v>
      </c>
      <c r="B21422" t="str">
        <f>HYPERLINK("https://lindat.mff.cuni.cz/services/teitok/pdtc10/index.php?action=vallex&amp;frame=v-w2691f2", "odeslat (v-w2691f2)")</f>
        <v>odeslat (v-w2691f2)</v>
      </c>
    </row>
    <row r="21423" spans="1:4" x14ac:dyDescent="0.2">
      <c r="B21423" t="s">
        <v>1</v>
      </c>
      <c r="C21423" t="s">
        <v>1232</v>
      </c>
      <c r="D21423" t="s">
        <v>8003</v>
      </c>
    </row>
    <row r="21424" spans="1:4" x14ac:dyDescent="0.2">
      <c r="B21424" t="s">
        <v>8</v>
      </c>
      <c r="C21424" t="s">
        <v>1815</v>
      </c>
      <c r="D21424" t="s">
        <v>23102</v>
      </c>
    </row>
    <row r="21425" spans="1:4" x14ac:dyDescent="0.2">
      <c r="B21425" t="s">
        <v>35</v>
      </c>
      <c r="C21425" t="s">
        <v>7121</v>
      </c>
      <c r="D21425" t="s">
        <v>23103</v>
      </c>
    </row>
    <row r="21427" spans="1:4" x14ac:dyDescent="0.2">
      <c r="A21427" t="s">
        <v>7122</v>
      </c>
      <c r="B21427" t="str">
        <f>HYPERLINK("https://lindat.mff.cuni.cz/services/teitok/pdtc10/index.php?action=vallex&amp;frame=v-w2691f1", "odeslat (v-w2691f1)")</f>
        <v>odeslat (v-w2691f1)</v>
      </c>
    </row>
    <row r="21428" spans="1:4" x14ac:dyDescent="0.2">
      <c r="B21428" t="s">
        <v>1</v>
      </c>
      <c r="C21428" t="s">
        <v>1065</v>
      </c>
      <c r="D21428" t="s">
        <v>8003</v>
      </c>
    </row>
    <row r="21429" spans="1:4" x14ac:dyDescent="0.2">
      <c r="B21429" t="s">
        <v>8</v>
      </c>
      <c r="C21429" t="s">
        <v>2240</v>
      </c>
      <c r="D21429" t="s">
        <v>23102</v>
      </c>
    </row>
    <row r="21430" spans="1:4" x14ac:dyDescent="0.2">
      <c r="B21430" t="s">
        <v>90</v>
      </c>
      <c r="C21430" t="s">
        <v>7123</v>
      </c>
      <c r="D21430" t="s">
        <v>23177</v>
      </c>
    </row>
    <row r="21432" spans="1:4" x14ac:dyDescent="0.2">
      <c r="A21432" t="s">
        <v>7124</v>
      </c>
      <c r="B21432" t="str">
        <f>HYPERLINK("https://lindat.mff.cuni.cz/services/teitok/pdtc10/index.php?action=vallex&amp;frame=v-whsa_766hsa_767", "odesílat (v-whsa_766hsa_767)")</f>
        <v>odesílat (v-whsa_766hsa_767)</v>
      </c>
    </row>
    <row r="21433" spans="1:4" x14ac:dyDescent="0.2">
      <c r="B21433" t="s">
        <v>1</v>
      </c>
    </row>
    <row r="21434" spans="1:4" x14ac:dyDescent="0.2">
      <c r="B21434" t="s">
        <v>8</v>
      </c>
    </row>
    <row r="21435" spans="1:4" x14ac:dyDescent="0.2">
      <c r="B21435" t="s">
        <v>35</v>
      </c>
    </row>
    <row r="21437" spans="1:4" x14ac:dyDescent="0.2">
      <c r="A21437" t="s">
        <v>7125</v>
      </c>
      <c r="B21437" t="str">
        <f>HYPERLINK("https://lindat.mff.cuni.cz/services/teitok/pdtc10/index.php?action=vallex&amp;frame=v-w2694f1", "odevzdat (v-w2694f1)")</f>
        <v>odevzdat (v-w2694f1)</v>
      </c>
    </row>
    <row r="21438" spans="1:4" x14ac:dyDescent="0.2">
      <c r="B21438" t="s">
        <v>1</v>
      </c>
      <c r="C21438" t="s">
        <v>7126</v>
      </c>
    </row>
    <row r="21439" spans="1:4" x14ac:dyDescent="0.2">
      <c r="B21439" t="s">
        <v>8</v>
      </c>
      <c r="C21439" t="s">
        <v>7127</v>
      </c>
    </row>
    <row r="21440" spans="1:4" x14ac:dyDescent="0.2">
      <c r="B21440" t="s">
        <v>35</v>
      </c>
      <c r="C21440" t="s">
        <v>987</v>
      </c>
    </row>
    <row r="21442" spans="1:4" x14ac:dyDescent="0.2">
      <c r="A21442" t="s">
        <v>7128</v>
      </c>
      <c r="B21442" t="str">
        <f>HYPERLINK("https://lindat.mff.cuni.cz/services/teitok/pdtc10/index.php?action=vallex&amp;frame=v-w2694f2", "odevzdat (v-w2694f2)")</f>
        <v>odevzdat (v-w2694f2)</v>
      </c>
    </row>
    <row r="21443" spans="1:4" x14ac:dyDescent="0.2">
      <c r="B21443" t="s">
        <v>1</v>
      </c>
    </row>
    <row r="21444" spans="1:4" x14ac:dyDescent="0.2">
      <c r="B21444" t="s">
        <v>8</v>
      </c>
    </row>
    <row r="21445" spans="1:4" x14ac:dyDescent="0.2">
      <c r="B21445" t="s">
        <v>5</v>
      </c>
    </row>
    <row r="21447" spans="1:4" x14ac:dyDescent="0.2">
      <c r="A21447" t="s">
        <v>7129</v>
      </c>
      <c r="B21447" t="str">
        <f>HYPERLINK("https://lindat.mff.cuni.cz/services/teitok/pdtc10/index.php?action=vallex&amp;frame=v-w2694f3", "odevzdat (v-w2694f3)")</f>
        <v>odevzdat (v-w2694f3)</v>
      </c>
    </row>
    <row r="21448" spans="1:4" x14ac:dyDescent="0.2">
      <c r="B21448" t="s">
        <v>1</v>
      </c>
    </row>
    <row r="21449" spans="1:4" x14ac:dyDescent="0.2">
      <c r="B21449" t="s">
        <v>8</v>
      </c>
    </row>
    <row r="21450" spans="1:4" x14ac:dyDescent="0.2">
      <c r="B21450" t="s">
        <v>90</v>
      </c>
    </row>
    <row r="21452" spans="1:4" x14ac:dyDescent="0.2">
      <c r="A21452" t="s">
        <v>7130</v>
      </c>
      <c r="B21452" t="str">
        <f>HYPERLINK("https://lindat.mff.cuni.cz/services/teitok/pdtc10/index.php?action=vallex&amp;frame=v-w2696f1", "odevzdávat (v-w2696f1)")</f>
        <v>odevzdávat (v-w2696f1)</v>
      </c>
    </row>
    <row r="21453" spans="1:4" x14ac:dyDescent="0.2">
      <c r="B21453" t="s">
        <v>1</v>
      </c>
      <c r="D21453" t="s">
        <v>8467</v>
      </c>
    </row>
    <row r="21454" spans="1:4" x14ac:dyDescent="0.2">
      <c r="B21454" t="s">
        <v>8</v>
      </c>
      <c r="D21454" t="s">
        <v>23644</v>
      </c>
    </row>
    <row r="21455" spans="1:4" x14ac:dyDescent="0.2">
      <c r="B21455" t="s">
        <v>35</v>
      </c>
      <c r="D21455" t="s">
        <v>23645</v>
      </c>
    </row>
    <row r="21457" spans="1:4" x14ac:dyDescent="0.2">
      <c r="A21457" t="s">
        <v>7131</v>
      </c>
      <c r="B21457" t="str">
        <f>HYPERLINK("https://lindat.mff.cuni.cz/services/teitok/pdtc10/index.php?action=vallex&amp;frame=v-w2696f3", "odevzdávat (v-w2696f3)")</f>
        <v>odevzdávat (v-w2696f3)</v>
      </c>
    </row>
    <row r="21458" spans="1:4" x14ac:dyDescent="0.2">
      <c r="B21458" t="s">
        <v>1</v>
      </c>
    </row>
    <row r="21459" spans="1:4" x14ac:dyDescent="0.2">
      <c r="B21459" t="s">
        <v>8</v>
      </c>
    </row>
    <row r="21460" spans="1:4" x14ac:dyDescent="0.2">
      <c r="B21460" t="s">
        <v>5</v>
      </c>
    </row>
    <row r="21462" spans="1:4" x14ac:dyDescent="0.2">
      <c r="A21462" t="s">
        <v>7132</v>
      </c>
      <c r="B21462" t="str">
        <f>HYPERLINK("https://lindat.mff.cuni.cz/services/teitok/pdtc10/index.php?action=vallex&amp;frame=v-w2696f2", "odevzdávat (v-w2696f2)")</f>
        <v>odevzdávat (v-w2696f2)</v>
      </c>
    </row>
    <row r="21463" spans="1:4" x14ac:dyDescent="0.2">
      <c r="B21463" t="s">
        <v>1</v>
      </c>
      <c r="D21463" t="s">
        <v>9612</v>
      </c>
    </row>
    <row r="21464" spans="1:4" x14ac:dyDescent="0.2">
      <c r="B21464" t="s">
        <v>8</v>
      </c>
      <c r="D21464" t="s">
        <v>23646</v>
      </c>
    </row>
    <row r="21465" spans="1:4" x14ac:dyDescent="0.2">
      <c r="B21465" t="s">
        <v>90</v>
      </c>
      <c r="D21465" t="s">
        <v>23647</v>
      </c>
    </row>
    <row r="21467" spans="1:4" x14ac:dyDescent="0.2">
      <c r="A21467" t="s">
        <v>7133</v>
      </c>
      <c r="B21467" t="str">
        <f>HYPERLINK("https://lindat.mff.cuni.cz/services/teitok/pdtc10/index.php?action=vallex&amp;frame=v-w2698f1", "odeznít (v-w2698f1)")</f>
        <v>odeznít (v-w2698f1)</v>
      </c>
    </row>
    <row r="21468" spans="1:4" x14ac:dyDescent="0.2">
      <c r="B21468" t="s">
        <v>1</v>
      </c>
      <c r="C21468" t="s">
        <v>7134</v>
      </c>
      <c r="D21468" t="s">
        <v>23324</v>
      </c>
    </row>
    <row r="21470" spans="1:4" x14ac:dyDescent="0.2">
      <c r="A21470" t="s">
        <v>7135</v>
      </c>
      <c r="B21470" t="str">
        <f>HYPERLINK("https://lindat.mff.cuni.cz/services/teitok/pdtc10/index.php?action=vallex&amp;frame=v-whsa_1572hsa_1573", "odeznívat (v-whsa_1572hsa_1573)")</f>
        <v>odeznívat (v-whsa_1572hsa_1573)</v>
      </c>
    </row>
    <row r="21471" spans="1:4" x14ac:dyDescent="0.2">
      <c r="B21471" t="s">
        <v>1</v>
      </c>
    </row>
    <row r="21473" spans="1:4" x14ac:dyDescent="0.2">
      <c r="A21473" t="s">
        <v>7136</v>
      </c>
      <c r="B21473" t="str">
        <f>HYPERLINK("https://lindat.mff.cuni.cz/services/teitok/pdtc10/index.php?action=vallex&amp;frame=v-w2675f1", "odečíst (v-w2675f1)")</f>
        <v>odečíst (v-w2675f1)</v>
      </c>
    </row>
    <row r="21474" spans="1:4" x14ac:dyDescent="0.2">
      <c r="B21474" t="s">
        <v>1</v>
      </c>
      <c r="C21474" t="s">
        <v>7137</v>
      </c>
      <c r="D21474" t="s">
        <v>4281</v>
      </c>
    </row>
    <row r="21475" spans="1:4" x14ac:dyDescent="0.2">
      <c r="B21475" t="s">
        <v>8</v>
      </c>
      <c r="C21475" t="s">
        <v>5993</v>
      </c>
      <c r="D21475" t="s">
        <v>354</v>
      </c>
    </row>
    <row r="21476" spans="1:4" x14ac:dyDescent="0.2">
      <c r="B21476" t="s">
        <v>333</v>
      </c>
    </row>
    <row r="21478" spans="1:4" x14ac:dyDescent="0.2">
      <c r="A21478" t="s">
        <v>7138</v>
      </c>
      <c r="B21478" t="str">
        <f>HYPERLINK("https://lindat.mff.cuni.cz/services/teitok/pdtc10/index.php?action=vallex&amp;frame=v-w2677f1", "odečítat (v-w2677f1)")</f>
        <v>odečítat (v-w2677f1)</v>
      </c>
    </row>
    <row r="21479" spans="1:4" x14ac:dyDescent="0.2">
      <c r="B21479" t="s">
        <v>1</v>
      </c>
      <c r="C21479" t="s">
        <v>7139</v>
      </c>
      <c r="D21479" t="s">
        <v>4281</v>
      </c>
    </row>
    <row r="21480" spans="1:4" x14ac:dyDescent="0.2">
      <c r="B21480" t="s">
        <v>8</v>
      </c>
      <c r="C21480" t="s">
        <v>2213</v>
      </c>
      <c r="D21480" t="s">
        <v>354</v>
      </c>
    </row>
    <row r="21481" spans="1:4" x14ac:dyDescent="0.2">
      <c r="B21481" t="s">
        <v>333</v>
      </c>
    </row>
    <row r="21483" spans="1:4" x14ac:dyDescent="0.2">
      <c r="A21483" t="s">
        <v>7140</v>
      </c>
      <c r="B21483" t="str">
        <f>HYPERLINK("https://lindat.mff.cuni.cz/services/teitok/pdtc10/index.php?action=vallex&amp;frame=v-w2677f2", "odečítat (v-w2677f2)")</f>
        <v>odečítat (v-w2677f2)</v>
      </c>
    </row>
    <row r="21484" spans="1:4" x14ac:dyDescent="0.2">
      <c r="B21484" t="s">
        <v>1</v>
      </c>
      <c r="C21484" t="s">
        <v>2237</v>
      </c>
    </row>
    <row r="21485" spans="1:4" x14ac:dyDescent="0.2">
      <c r="B21485" t="s">
        <v>333</v>
      </c>
      <c r="C21485" t="s">
        <v>7141</v>
      </c>
    </row>
    <row r="21487" spans="1:4" x14ac:dyDescent="0.2">
      <c r="A21487" t="s">
        <v>7142</v>
      </c>
      <c r="B21487" t="str">
        <f>HYPERLINK("https://lindat.mff.cuni.cz/services/teitok/pdtc10/index.php?action=vallex&amp;frame=v-w11741_ZUf1_ZU", "odfouknout (v-w11741_ZUf1_ZU)")</f>
        <v>odfouknout (v-w11741_ZUf1_ZU)</v>
      </c>
    </row>
    <row r="21488" spans="1:4" x14ac:dyDescent="0.2">
      <c r="B21488" t="s">
        <v>1</v>
      </c>
    </row>
    <row r="21489" spans="1:4" x14ac:dyDescent="0.2">
      <c r="B21489" t="s">
        <v>8</v>
      </c>
    </row>
    <row r="21490" spans="1:4" x14ac:dyDescent="0.2">
      <c r="B21490" t="s">
        <v>4622</v>
      </c>
    </row>
    <row r="21492" spans="1:4" x14ac:dyDescent="0.2">
      <c r="A21492" t="s">
        <v>7143</v>
      </c>
      <c r="B21492" t="str">
        <f>HYPERLINK("https://lindat.mff.cuni.cz/services/teitok/pdtc10/index.php?action=vallex&amp;frame=v-w11379f1", "odfrknout si (v-w11379f1)")</f>
        <v>odfrknout si (v-w11379f1)</v>
      </c>
    </row>
    <row r="21493" spans="1:4" x14ac:dyDescent="0.2">
      <c r="B21493" t="s">
        <v>1</v>
      </c>
      <c r="C21493" t="s">
        <v>33</v>
      </c>
      <c r="D21493" t="s">
        <v>133</v>
      </c>
    </row>
    <row r="21494" spans="1:4" x14ac:dyDescent="0.2">
      <c r="B21494" t="s">
        <v>948</v>
      </c>
      <c r="C21494" t="s">
        <v>991</v>
      </c>
      <c r="D21494" t="s">
        <v>84</v>
      </c>
    </row>
    <row r="21496" spans="1:4" x14ac:dyDescent="0.2">
      <c r="A21496" t="s">
        <v>7144</v>
      </c>
      <c r="B21496" t="str">
        <f>HYPERLINK("https://lindat.mff.cuni.cz/services/teitok/pdtc10/index.php?action=vallex&amp;frame=v-w2701f2", "odhadnout (v-w2701f2)")</f>
        <v>odhadnout (v-w2701f2)</v>
      </c>
    </row>
    <row r="21497" spans="1:4" x14ac:dyDescent="0.2">
      <c r="B21497" t="s">
        <v>1</v>
      </c>
      <c r="C21497" t="s">
        <v>7145</v>
      </c>
      <c r="D21497" t="s">
        <v>23648</v>
      </c>
    </row>
    <row r="21498" spans="1:4" x14ac:dyDescent="0.2">
      <c r="B21498" t="s">
        <v>41</v>
      </c>
      <c r="C21498" t="s">
        <v>7146</v>
      </c>
      <c r="D21498" t="s">
        <v>23649</v>
      </c>
    </row>
    <row r="21499" spans="1:4" x14ac:dyDescent="0.2">
      <c r="B21499" t="s">
        <v>25</v>
      </c>
      <c r="C21499" t="s">
        <v>7147</v>
      </c>
      <c r="D21499" t="s">
        <v>23044</v>
      </c>
    </row>
    <row r="21501" spans="1:4" x14ac:dyDescent="0.2">
      <c r="A21501" t="s">
        <v>7148</v>
      </c>
      <c r="B21501" t="str">
        <f>HYPERLINK("https://lindat.mff.cuni.cz/services/teitok/pdtc10/index.php?action=vallex&amp;frame=v-w2701f1", "odhadnout (v-w2701f1)")</f>
        <v>odhadnout (v-w2701f1)</v>
      </c>
    </row>
    <row r="21502" spans="1:4" x14ac:dyDescent="0.2">
      <c r="B21502" t="s">
        <v>1</v>
      </c>
      <c r="C21502" t="s">
        <v>7149</v>
      </c>
      <c r="D21502" t="s">
        <v>7388</v>
      </c>
    </row>
    <row r="21503" spans="1:4" x14ac:dyDescent="0.2">
      <c r="B21503" t="s">
        <v>7150</v>
      </c>
      <c r="C21503" t="s">
        <v>7151</v>
      </c>
      <c r="D21503" t="s">
        <v>5591</v>
      </c>
    </row>
    <row r="21505" spans="1:4" x14ac:dyDescent="0.2">
      <c r="A21505" t="s">
        <v>7152</v>
      </c>
      <c r="B21505" t="str">
        <f>HYPERLINK("https://lindat.mff.cuni.cz/services/teitok/pdtc10/index.php?action=vallex&amp;frame=v-w2702f2", "odhadovat (v-w2702f2)")</f>
        <v>odhadovat (v-w2702f2)</v>
      </c>
    </row>
    <row r="21506" spans="1:4" x14ac:dyDescent="0.2">
      <c r="B21506" t="s">
        <v>1</v>
      </c>
      <c r="C21506" t="s">
        <v>7153</v>
      </c>
      <c r="D21506" t="s">
        <v>23648</v>
      </c>
    </row>
    <row r="21507" spans="1:4" x14ac:dyDescent="0.2">
      <c r="B21507" t="s">
        <v>8</v>
      </c>
      <c r="C21507" t="s">
        <v>7154</v>
      </c>
      <c r="D21507" t="s">
        <v>23649</v>
      </c>
    </row>
    <row r="21508" spans="1:4" x14ac:dyDescent="0.2">
      <c r="B21508" t="s">
        <v>61</v>
      </c>
      <c r="C21508" t="s">
        <v>7155</v>
      </c>
      <c r="D21508" t="s">
        <v>23044</v>
      </c>
    </row>
    <row r="21510" spans="1:4" x14ac:dyDescent="0.2">
      <c r="A21510" t="s">
        <v>7156</v>
      </c>
      <c r="B21510" t="str">
        <f>HYPERLINK("https://lindat.mff.cuni.cz/services/teitok/pdtc10/index.php?action=vallex&amp;frame=v-w2702f1", "odhadovat (v-w2702f1)")</f>
        <v>odhadovat (v-w2702f1)</v>
      </c>
    </row>
    <row r="21511" spans="1:4" x14ac:dyDescent="0.2">
      <c r="B21511" t="s">
        <v>1</v>
      </c>
      <c r="C21511" t="s">
        <v>7157</v>
      </c>
      <c r="D21511" t="s">
        <v>7388</v>
      </c>
    </row>
    <row r="21512" spans="1:4" x14ac:dyDescent="0.2">
      <c r="B21512" t="s">
        <v>1284</v>
      </c>
      <c r="C21512" t="s">
        <v>7158</v>
      </c>
      <c r="D21512" t="s">
        <v>5591</v>
      </c>
    </row>
    <row r="21514" spans="1:4" x14ac:dyDescent="0.2">
      <c r="A21514" t="s">
        <v>7159</v>
      </c>
      <c r="B21514" t="str">
        <f>HYPERLINK("https://lindat.mff.cuni.cz/services/teitok/pdtc10/index.php?action=vallex&amp;frame=v-w2704f1", "odhalit (v-w2704f1)")</f>
        <v>odhalit (v-w2704f1)</v>
      </c>
    </row>
    <row r="21515" spans="1:4" x14ac:dyDescent="0.2">
      <c r="B21515" t="s">
        <v>1</v>
      </c>
      <c r="C21515" t="s">
        <v>7160</v>
      </c>
      <c r="D21515" t="s">
        <v>23650</v>
      </c>
    </row>
    <row r="21516" spans="1:4" x14ac:dyDescent="0.2">
      <c r="B21516" t="s">
        <v>124</v>
      </c>
      <c r="C21516" t="s">
        <v>7161</v>
      </c>
      <c r="D21516" t="s">
        <v>23651</v>
      </c>
    </row>
    <row r="21518" spans="1:4" x14ac:dyDescent="0.2">
      <c r="A21518" t="s">
        <v>7162</v>
      </c>
      <c r="B21518" t="str">
        <f>HYPERLINK("https://lindat.mff.cuni.cz/services/teitok/pdtc10/index.php?action=vallex&amp;frame=v-w2704f2", "odhalit (v-w2704f2)")</f>
        <v>odhalit (v-w2704f2)</v>
      </c>
    </row>
    <row r="21519" spans="1:4" x14ac:dyDescent="0.2">
      <c r="B21519" t="s">
        <v>1</v>
      </c>
      <c r="C21519" t="s">
        <v>92</v>
      </c>
    </row>
    <row r="21520" spans="1:4" x14ac:dyDescent="0.2">
      <c r="B21520" t="s">
        <v>8</v>
      </c>
      <c r="C21520" t="s">
        <v>81</v>
      </c>
    </row>
    <row r="21522" spans="1:4" x14ac:dyDescent="0.2">
      <c r="A21522" t="s">
        <v>7163</v>
      </c>
      <c r="B21522" t="str">
        <f>HYPERLINK("https://lindat.mff.cuni.cz/services/teitok/pdtc10/index.php?action=vallex&amp;frame=v-w2706f1", "odhalovat (v-w2706f1)")</f>
        <v>odhalovat (v-w2706f1)</v>
      </c>
    </row>
    <row r="21523" spans="1:4" x14ac:dyDescent="0.2">
      <c r="B21523" t="s">
        <v>1</v>
      </c>
      <c r="C21523" t="s">
        <v>3081</v>
      </c>
      <c r="D21523" t="s">
        <v>2749</v>
      </c>
    </row>
    <row r="21524" spans="1:4" x14ac:dyDescent="0.2">
      <c r="B21524" t="s">
        <v>7150</v>
      </c>
      <c r="C21524" t="s">
        <v>7164</v>
      </c>
      <c r="D21524" t="s">
        <v>23358</v>
      </c>
    </row>
    <row r="21526" spans="1:4" x14ac:dyDescent="0.2">
      <c r="A21526" t="s">
        <v>7165</v>
      </c>
      <c r="B21526" t="str">
        <f>HYPERLINK("https://lindat.mff.cuni.cz/services/teitok/pdtc10/index.php?action=vallex&amp;frame=v-w2706f2", "odhalovat (v-w2706f2)")</f>
        <v>odhalovat (v-w2706f2)</v>
      </c>
    </row>
    <row r="21527" spans="1:4" x14ac:dyDescent="0.2">
      <c r="B21527" t="s">
        <v>1</v>
      </c>
    </row>
    <row r="21528" spans="1:4" x14ac:dyDescent="0.2">
      <c r="B21528" t="s">
        <v>8</v>
      </c>
    </row>
    <row r="21530" spans="1:4" x14ac:dyDescent="0.2">
      <c r="A21530" t="s">
        <v>7166</v>
      </c>
      <c r="B21530" t="str">
        <f>HYPERLINK("https://lindat.mff.cuni.cz/services/teitok/pdtc10/index.php?action=vallex&amp;frame=v-w10497f2", "odhazovat (v-w10497f2)")</f>
        <v>odhazovat (v-w10497f2)</v>
      </c>
    </row>
    <row r="21531" spans="1:4" x14ac:dyDescent="0.2">
      <c r="B21531" t="s">
        <v>1</v>
      </c>
      <c r="D21531" t="s">
        <v>4110</v>
      </c>
    </row>
    <row r="21532" spans="1:4" x14ac:dyDescent="0.2">
      <c r="B21532" t="s">
        <v>8</v>
      </c>
      <c r="D21532" t="s">
        <v>81</v>
      </c>
    </row>
    <row r="21534" spans="1:4" x14ac:dyDescent="0.2">
      <c r="A21534" t="s">
        <v>7167</v>
      </c>
      <c r="B21534" t="str">
        <f>HYPERLINK("https://lindat.mff.cuni.cz/services/teitok/pdtc10/index.php?action=vallex&amp;frame=v-w2709f1", "odhlasovat (v-w2709f1)")</f>
        <v>odhlasovat (v-w2709f1)</v>
      </c>
    </row>
    <row r="21535" spans="1:4" x14ac:dyDescent="0.2">
      <c r="B21535" t="s">
        <v>1</v>
      </c>
      <c r="C21535" t="s">
        <v>7168</v>
      </c>
      <c r="D21535" t="s">
        <v>7168</v>
      </c>
    </row>
    <row r="21536" spans="1:4" x14ac:dyDescent="0.2">
      <c r="B21536" t="s">
        <v>120</v>
      </c>
      <c r="C21536" t="s">
        <v>2747</v>
      </c>
      <c r="D21536" t="s">
        <v>2747</v>
      </c>
    </row>
    <row r="21538" spans="1:4" x14ac:dyDescent="0.2">
      <c r="A21538" t="s">
        <v>7169</v>
      </c>
      <c r="B21538" t="str">
        <f>HYPERLINK("https://lindat.mff.cuni.cz/services/teitok/pdtc10/index.php?action=vallex&amp;frame=v-w2708f1", "odhlásit (v-w2708f1)")</f>
        <v>odhlásit (v-w2708f1)</v>
      </c>
    </row>
    <row r="21539" spans="1:4" x14ac:dyDescent="0.2">
      <c r="B21539" t="s">
        <v>1</v>
      </c>
    </row>
    <row r="21540" spans="1:4" x14ac:dyDescent="0.2">
      <c r="B21540" t="s">
        <v>8</v>
      </c>
    </row>
    <row r="21542" spans="1:4" x14ac:dyDescent="0.2">
      <c r="A21542" t="s">
        <v>7170</v>
      </c>
      <c r="B21542" t="str">
        <f>HYPERLINK("https://lindat.mff.cuni.cz/services/teitok/pdtc10/index.php?action=vallex&amp;frame=v-w2712f1", "odhlédnout (v-w2712f1)")</f>
        <v>odhlédnout (v-w2712f1)</v>
      </c>
    </row>
    <row r="21543" spans="1:4" x14ac:dyDescent="0.2">
      <c r="B21543" t="s">
        <v>1</v>
      </c>
      <c r="C21543" t="s">
        <v>1065</v>
      </c>
      <c r="D21543" t="s">
        <v>230</v>
      </c>
    </row>
    <row r="21544" spans="1:4" x14ac:dyDescent="0.2">
      <c r="B21544" t="s">
        <v>19</v>
      </c>
      <c r="C21544" t="s">
        <v>3433</v>
      </c>
      <c r="D21544" t="s">
        <v>977</v>
      </c>
    </row>
    <row r="21546" spans="1:4" x14ac:dyDescent="0.2">
      <c r="A21546" t="s">
        <v>7171</v>
      </c>
      <c r="B21546" t="str">
        <f>HYPERLINK("https://lindat.mff.cuni.cz/services/teitok/pdtc10/index.php?action=vallex&amp;frame=v-w10317f2", "odhlížet (v-w10317f2)")</f>
        <v>odhlížet (v-w10317f2)</v>
      </c>
    </row>
    <row r="21547" spans="1:4" x14ac:dyDescent="0.2">
      <c r="B21547" t="s">
        <v>1</v>
      </c>
    </row>
    <row r="21548" spans="1:4" x14ac:dyDescent="0.2">
      <c r="B21548" t="s">
        <v>19</v>
      </c>
    </row>
    <row r="21550" spans="1:4" x14ac:dyDescent="0.2">
      <c r="A21550" t="s">
        <v>7172</v>
      </c>
      <c r="B21550" t="str">
        <f>HYPERLINK("https://lindat.mff.cuni.cz/services/teitok/pdtc10/index.php?action=vallex&amp;frame=v-w2713f1", "odhodit (v-w2713f1)")</f>
        <v>odhodit (v-w2713f1)</v>
      </c>
    </row>
    <row r="21551" spans="1:4" x14ac:dyDescent="0.2">
      <c r="B21551" t="s">
        <v>1</v>
      </c>
      <c r="C21551" t="s">
        <v>1566</v>
      </c>
      <c r="D21551" t="s">
        <v>6131</v>
      </c>
    </row>
    <row r="21552" spans="1:4" x14ac:dyDescent="0.2">
      <c r="B21552" t="s">
        <v>8</v>
      </c>
      <c r="C21552" t="s">
        <v>4676</v>
      </c>
      <c r="D21552" t="s">
        <v>18247</v>
      </c>
    </row>
    <row r="21554" spans="1:4" x14ac:dyDescent="0.2">
      <c r="A21554" t="s">
        <v>7173</v>
      </c>
      <c r="B21554" t="str">
        <f>HYPERLINK("https://lindat.mff.cuni.cz/services/teitok/pdtc10/index.php?action=vallex&amp;frame=v-w2713f2", "odhodit (v-w2713f2)")</f>
        <v>odhodit (v-w2713f2)</v>
      </c>
    </row>
    <row r="21555" spans="1:4" x14ac:dyDescent="0.2">
      <c r="B21555" t="s">
        <v>1</v>
      </c>
      <c r="D21555" t="s">
        <v>2148</v>
      </c>
    </row>
    <row r="21556" spans="1:4" x14ac:dyDescent="0.2">
      <c r="B21556" t="s">
        <v>8</v>
      </c>
      <c r="C21556" t="s">
        <v>991</v>
      </c>
      <c r="D21556" t="s">
        <v>8988</v>
      </c>
    </row>
    <row r="21558" spans="1:4" x14ac:dyDescent="0.2">
      <c r="A21558" t="s">
        <v>7174</v>
      </c>
      <c r="B21558" t="str">
        <f>HYPERLINK("https://lindat.mff.cuni.cz/services/teitok/pdtc10/index.php?action=vallex&amp;frame=v-w2716f1", "odhodlat se (v-w2716f1)")</f>
        <v>odhodlat se (v-w2716f1)</v>
      </c>
    </row>
    <row r="21559" spans="1:4" x14ac:dyDescent="0.2">
      <c r="B21559" t="s">
        <v>1</v>
      </c>
      <c r="C21559" t="s">
        <v>3303</v>
      </c>
    </row>
    <row r="21560" spans="1:4" x14ac:dyDescent="0.2">
      <c r="B21560" t="s">
        <v>7175</v>
      </c>
    </row>
    <row r="21562" spans="1:4" x14ac:dyDescent="0.2">
      <c r="A21562" t="s">
        <v>7176</v>
      </c>
      <c r="B21562" t="str">
        <f>HYPERLINK("https://lindat.mff.cuni.cz/services/teitok/pdtc10/index.php?action=vallex&amp;frame=v-w2717f1", "odhodlávat se (v-w2717f1)")</f>
        <v>odhodlávat se (v-w2717f1)</v>
      </c>
    </row>
    <row r="21563" spans="1:4" x14ac:dyDescent="0.2">
      <c r="B21563" t="s">
        <v>1</v>
      </c>
    </row>
    <row r="21564" spans="1:4" x14ac:dyDescent="0.2">
      <c r="B21564" t="s">
        <v>7175</v>
      </c>
    </row>
    <row r="21566" spans="1:4" x14ac:dyDescent="0.2">
      <c r="A21566" t="s">
        <v>7177</v>
      </c>
      <c r="B21566" t="str">
        <f>HYPERLINK("https://lindat.mff.cuni.cz/services/teitok/pdtc10/index.php?action=vallex&amp;frame=v-w11930_ZUf2_ZU", "odhrabat (v-w11930_ZUf2_ZU)")</f>
        <v>odhrabat (v-w11930_ZUf2_ZU)</v>
      </c>
    </row>
    <row r="21567" spans="1:4" x14ac:dyDescent="0.2">
      <c r="B21567" t="s">
        <v>1</v>
      </c>
    </row>
    <row r="21568" spans="1:4" x14ac:dyDescent="0.2">
      <c r="B21568" t="s">
        <v>8</v>
      </c>
    </row>
    <row r="21569" spans="1:4" x14ac:dyDescent="0.2">
      <c r="B21569" t="s">
        <v>4622</v>
      </c>
    </row>
    <row r="21571" spans="1:4" x14ac:dyDescent="0.2">
      <c r="A21571" t="s">
        <v>7177</v>
      </c>
      <c r="B21571" t="str">
        <f>HYPERLINK("https://lindat.mff.cuni.cz/services/teitok/pdtc10/index.php?action=vallex&amp;frame=v-w11930_ZUf1_ZU", "odhrabat (v-w11930_ZUf1_ZU) - substituted with v-w11930_ZUf2_ZU")</f>
        <v>odhrabat (v-w11930_ZUf1_ZU) - substituted with v-w11930_ZUf2_ZU</v>
      </c>
    </row>
    <row r="21572" spans="1:4" x14ac:dyDescent="0.2">
      <c r="B21572" t="s">
        <v>1</v>
      </c>
    </row>
    <row r="21573" spans="1:4" x14ac:dyDescent="0.2">
      <c r="B21573" t="s">
        <v>8</v>
      </c>
    </row>
    <row r="21574" spans="1:4" x14ac:dyDescent="0.2">
      <c r="B21574" t="s">
        <v>4622</v>
      </c>
    </row>
    <row r="21576" spans="1:4" x14ac:dyDescent="0.2">
      <c r="A21576" t="s">
        <v>7178</v>
      </c>
      <c r="B21576" t="str">
        <f>HYPERLINK("https://lindat.mff.cuni.cz/services/teitok/pdtc10/index.php?action=vallex&amp;frame=v-whsa_165hsa_166", "odhrnovat (v-whsa_165hsa_166)")</f>
        <v>odhrnovat (v-whsa_165hsa_166)</v>
      </c>
    </row>
    <row r="21577" spans="1:4" x14ac:dyDescent="0.2">
      <c r="B21577" t="s">
        <v>1</v>
      </c>
      <c r="C21577" t="s">
        <v>140</v>
      </c>
    </row>
    <row r="21578" spans="1:4" x14ac:dyDescent="0.2">
      <c r="B21578" t="s">
        <v>8</v>
      </c>
      <c r="C21578" t="s">
        <v>113</v>
      </c>
    </row>
    <row r="21580" spans="1:4" x14ac:dyDescent="0.2">
      <c r="A21580" t="s">
        <v>7179</v>
      </c>
      <c r="B21580" t="str">
        <f>HYPERLINK("https://lindat.mff.cuni.cz/services/teitok/pdtc10/index.php?action=vallex&amp;frame=v-w2707f1", "odhánět (v-w2707f1)")</f>
        <v>odhánět (v-w2707f1)</v>
      </c>
    </row>
    <row r="21581" spans="1:4" x14ac:dyDescent="0.2">
      <c r="B21581" t="s">
        <v>1</v>
      </c>
      <c r="D21581" t="s">
        <v>140</v>
      </c>
    </row>
    <row r="21582" spans="1:4" x14ac:dyDescent="0.2">
      <c r="B21582" t="s">
        <v>8</v>
      </c>
      <c r="D21582" t="s">
        <v>113</v>
      </c>
    </row>
    <row r="21584" spans="1:4" x14ac:dyDescent="0.2">
      <c r="A21584" t="s">
        <v>7180</v>
      </c>
      <c r="B21584" t="str">
        <f>HYPERLINK("https://lindat.mff.cuni.cz/services/teitok/pdtc10/index.php?action=vallex&amp;frame=v-w11040f2", "odházet (v-w11040f2)")</f>
        <v>odházet (v-w11040f2)</v>
      </c>
    </row>
    <row r="21585" spans="1:4" x14ac:dyDescent="0.2">
      <c r="B21585" t="s">
        <v>1</v>
      </c>
      <c r="C21585" t="s">
        <v>140</v>
      </c>
      <c r="D21585" t="s">
        <v>140</v>
      </c>
    </row>
    <row r="21586" spans="1:4" x14ac:dyDescent="0.2">
      <c r="B21586" t="s">
        <v>8</v>
      </c>
      <c r="D21586" t="s">
        <v>34</v>
      </c>
    </row>
    <row r="21587" spans="1:4" x14ac:dyDescent="0.2">
      <c r="B21587" t="s">
        <v>333</v>
      </c>
    </row>
    <row r="21589" spans="1:4" x14ac:dyDescent="0.2">
      <c r="A21589" t="s">
        <v>7181</v>
      </c>
      <c r="B21589" t="str">
        <f>HYPERLINK("https://lindat.mff.cuni.cz/services/teitok/pdtc10/index.php?action=vallex&amp;frame=v-w2728f1", "odjet (v-w2728f1)")</f>
        <v>odjet (v-w2728f1)</v>
      </c>
    </row>
    <row r="21590" spans="1:4" x14ac:dyDescent="0.2">
      <c r="B21590" t="s">
        <v>1</v>
      </c>
      <c r="C21590" t="s">
        <v>7182</v>
      </c>
      <c r="D21590" t="s">
        <v>23091</v>
      </c>
    </row>
    <row r="21591" spans="1:4" x14ac:dyDescent="0.2">
      <c r="B21591" t="s">
        <v>333</v>
      </c>
      <c r="D21591" t="s">
        <v>7666</v>
      </c>
    </row>
    <row r="21593" spans="1:4" x14ac:dyDescent="0.2">
      <c r="A21593" t="s">
        <v>7183</v>
      </c>
      <c r="B21593" t="str">
        <f>HYPERLINK("https://lindat.mff.cuni.cz/services/teitok/pdtc10/index.php?action=vallex&amp;frame=v-w2728hsa_2034", "odjet (v-w2728hsa_2034)")</f>
        <v>odjet (v-w2728hsa_2034)</v>
      </c>
    </row>
    <row r="21594" spans="1:4" x14ac:dyDescent="0.2">
      <c r="B21594" t="s">
        <v>1</v>
      </c>
    </row>
    <row r="21595" spans="1:4" x14ac:dyDescent="0.2">
      <c r="B21595" t="s">
        <v>8</v>
      </c>
    </row>
    <row r="21597" spans="1:4" x14ac:dyDescent="0.2">
      <c r="A21597" t="s">
        <v>7184</v>
      </c>
      <c r="B21597" t="str">
        <f>HYPERLINK("https://lindat.mff.cuni.cz/services/teitok/pdtc10/index.php?action=vallex&amp;frame=v-w2730f1", "odjistit (v-w2730f1)")</f>
        <v>odjistit (v-w2730f1)</v>
      </c>
    </row>
    <row r="21598" spans="1:4" x14ac:dyDescent="0.2">
      <c r="B21598" t="s">
        <v>1</v>
      </c>
    </row>
    <row r="21599" spans="1:4" x14ac:dyDescent="0.2">
      <c r="B21599" t="s">
        <v>8</v>
      </c>
    </row>
    <row r="21601" spans="1:3" x14ac:dyDescent="0.2">
      <c r="A21601" t="s">
        <v>7185</v>
      </c>
      <c r="B21601" t="str">
        <f>HYPERLINK("https://lindat.mff.cuni.cz/services/teitok/pdtc10/index.php?action=vallex&amp;frame=v-w2731f1", "odjíždět (v-w2731f1)")</f>
        <v>odjíždět (v-w2731f1)</v>
      </c>
    </row>
    <row r="21602" spans="1:3" x14ac:dyDescent="0.2">
      <c r="B21602" t="s">
        <v>1</v>
      </c>
      <c r="C21602" t="s">
        <v>4807</v>
      </c>
    </row>
    <row r="21603" spans="1:3" x14ac:dyDescent="0.2">
      <c r="B21603" t="s">
        <v>333</v>
      </c>
      <c r="C21603" t="s">
        <v>7186</v>
      </c>
    </row>
    <row r="21605" spans="1:3" x14ac:dyDescent="0.2">
      <c r="A21605" t="s">
        <v>7187</v>
      </c>
      <c r="B21605" t="str">
        <f>HYPERLINK("https://lindat.mff.cuni.cz/services/teitok/pdtc10/index.php?action=vallex&amp;frame=v-w2732f1", "odkapávat (v-w2732f1)")</f>
        <v>odkapávat (v-w2732f1)</v>
      </c>
    </row>
    <row r="21606" spans="1:3" x14ac:dyDescent="0.2">
      <c r="B21606" t="s">
        <v>1</v>
      </c>
    </row>
    <row r="21608" spans="1:3" x14ac:dyDescent="0.2">
      <c r="A21608" t="s">
        <v>7188</v>
      </c>
      <c r="B21608" t="str">
        <f>HYPERLINK("https://lindat.mff.cuni.cz/services/teitok/pdtc10/index.php?action=vallex&amp;frame=v-w2736f3", "odkazovat (v-w2736f3)")</f>
        <v>odkazovat (v-w2736f3)</v>
      </c>
    </row>
    <row r="21609" spans="1:3" x14ac:dyDescent="0.2">
      <c r="B21609" t="s">
        <v>1</v>
      </c>
      <c r="C21609" t="s">
        <v>3583</v>
      </c>
    </row>
    <row r="21610" spans="1:3" x14ac:dyDescent="0.2">
      <c r="B21610" t="s">
        <v>28</v>
      </c>
      <c r="C21610" t="s">
        <v>7189</v>
      </c>
    </row>
    <row r="21611" spans="1:3" x14ac:dyDescent="0.2">
      <c r="B21611" t="s">
        <v>58</v>
      </c>
      <c r="C21611" t="s">
        <v>4546</v>
      </c>
    </row>
    <row r="21613" spans="1:3" x14ac:dyDescent="0.2">
      <c r="A21613" t="s">
        <v>7190</v>
      </c>
      <c r="B21613" t="str">
        <f>HYPERLINK("https://lindat.mff.cuni.cz/services/teitok/pdtc10/index.php?action=vallex&amp;frame=v-w2736f1", "odkazovat (v-w2736f1)")</f>
        <v>odkazovat (v-w2736f1)</v>
      </c>
    </row>
    <row r="21614" spans="1:3" x14ac:dyDescent="0.2">
      <c r="B21614" t="s">
        <v>1</v>
      </c>
    </row>
    <row r="21615" spans="1:3" x14ac:dyDescent="0.2">
      <c r="B21615" t="s">
        <v>8</v>
      </c>
    </row>
    <row r="21616" spans="1:3" x14ac:dyDescent="0.2">
      <c r="B21616" t="s">
        <v>90</v>
      </c>
    </row>
    <row r="21618" spans="1:2" x14ac:dyDescent="0.2">
      <c r="A21618" t="s">
        <v>7191</v>
      </c>
      <c r="B21618" t="str">
        <f>HYPERLINK("https://lindat.mff.cuni.cz/services/teitok/pdtc10/index.php?action=vallex&amp;frame=v-w2736f2", "odkazovat (v-w2736f2)")</f>
        <v>odkazovat (v-w2736f2)</v>
      </c>
    </row>
    <row r="21619" spans="1:2" x14ac:dyDescent="0.2">
      <c r="B21619" t="s">
        <v>1</v>
      </c>
    </row>
    <row r="21620" spans="1:2" x14ac:dyDescent="0.2">
      <c r="B21620" t="s">
        <v>90</v>
      </c>
    </row>
    <row r="21622" spans="1:2" x14ac:dyDescent="0.2">
      <c r="A21622" t="s">
        <v>7192</v>
      </c>
      <c r="B21622" t="str">
        <f>HYPERLINK("https://lindat.mff.cuni.cz/services/teitok/pdtc10/index.php?action=vallex&amp;frame=v-w2736hsa_700", "odkazovat (v-w2736hsa_700)")</f>
        <v>odkazovat (v-w2736hsa_700)</v>
      </c>
    </row>
    <row r="21623" spans="1:2" x14ac:dyDescent="0.2">
      <c r="B21623" t="s">
        <v>1</v>
      </c>
    </row>
    <row r="21624" spans="1:2" x14ac:dyDescent="0.2">
      <c r="B21624" t="s">
        <v>7193</v>
      </c>
    </row>
    <row r="21626" spans="1:2" x14ac:dyDescent="0.2">
      <c r="A21626" t="s">
        <v>7194</v>
      </c>
      <c r="B21626" t="str">
        <f>HYPERLINK("https://lindat.mff.cuni.cz/services/teitok/pdtc10/index.php?action=vallex&amp;frame=v-w11463f1", "odkašlat si (v-w11463f1)")</f>
        <v>odkašlat si (v-w11463f1)</v>
      </c>
    </row>
    <row r="21627" spans="1:2" x14ac:dyDescent="0.2">
      <c r="B21627" t="s">
        <v>1</v>
      </c>
    </row>
    <row r="21629" spans="1:2" x14ac:dyDescent="0.2">
      <c r="A21629" t="s">
        <v>7195</v>
      </c>
      <c r="B21629" t="str">
        <f>HYPERLINK("https://lindat.mff.cuni.cz/services/teitok/pdtc10/index.php?action=vallex&amp;frame=v-w2741f1", "odklidit (v-w2741f1)")</f>
        <v>odklidit (v-w2741f1)</v>
      </c>
    </row>
    <row r="21630" spans="1:2" x14ac:dyDescent="0.2">
      <c r="B21630" t="s">
        <v>1</v>
      </c>
    </row>
    <row r="21631" spans="1:2" x14ac:dyDescent="0.2">
      <c r="B21631" t="s">
        <v>8</v>
      </c>
    </row>
    <row r="21632" spans="1:2" x14ac:dyDescent="0.2">
      <c r="B21632" t="s">
        <v>333</v>
      </c>
    </row>
    <row r="21634" spans="1:2" x14ac:dyDescent="0.2">
      <c r="A21634" t="s">
        <v>7196</v>
      </c>
      <c r="B21634" t="str">
        <f>HYPERLINK("https://lindat.mff.cuni.cz/services/teitok/pdtc10/index.php?action=vallex&amp;frame=v-w2741f2", "odklidit (v-w2741f2)")</f>
        <v>odklidit (v-w2741f2)</v>
      </c>
    </row>
    <row r="21635" spans="1:2" x14ac:dyDescent="0.2">
      <c r="B21635" t="s">
        <v>1</v>
      </c>
    </row>
    <row r="21636" spans="1:2" x14ac:dyDescent="0.2">
      <c r="B21636" t="s">
        <v>8</v>
      </c>
    </row>
    <row r="21637" spans="1:2" x14ac:dyDescent="0.2">
      <c r="B21637" t="s">
        <v>333</v>
      </c>
    </row>
    <row r="21639" spans="1:2" x14ac:dyDescent="0.2">
      <c r="A21639" t="s">
        <v>7197</v>
      </c>
      <c r="B21639" t="str">
        <f>HYPERLINK("https://lindat.mff.cuni.cz/services/teitok/pdtc10/index.php?action=vallex&amp;frame=v-w12298_MMf1_MM", "odklizovat (v-w12298_MMf1_MM)")</f>
        <v>odklizovat (v-w12298_MMf1_MM)</v>
      </c>
    </row>
    <row r="21640" spans="1:2" x14ac:dyDescent="0.2">
      <c r="B21640" t="s">
        <v>1</v>
      </c>
    </row>
    <row r="21641" spans="1:2" x14ac:dyDescent="0.2">
      <c r="B21641" t="s">
        <v>8</v>
      </c>
    </row>
    <row r="21642" spans="1:2" x14ac:dyDescent="0.2">
      <c r="B21642" t="s">
        <v>333</v>
      </c>
    </row>
    <row r="21644" spans="1:2" x14ac:dyDescent="0.2">
      <c r="A21644" t="s">
        <v>7198</v>
      </c>
      <c r="B21644" t="str">
        <f>HYPERLINK("https://lindat.mff.cuni.cz/services/teitok/pdtc10/index.php?action=vallex&amp;frame=v-w11377f1", "odklonit (v-w11377f1)")</f>
        <v>odklonit (v-w11377f1)</v>
      </c>
    </row>
    <row r="21645" spans="1:2" x14ac:dyDescent="0.2">
      <c r="B21645" t="s">
        <v>1</v>
      </c>
    </row>
    <row r="21646" spans="1:2" x14ac:dyDescent="0.2">
      <c r="B21646" t="s">
        <v>8</v>
      </c>
    </row>
    <row r="21647" spans="1:2" x14ac:dyDescent="0.2">
      <c r="B21647" t="s">
        <v>1334</v>
      </c>
    </row>
    <row r="21649" spans="1:4" x14ac:dyDescent="0.2">
      <c r="A21649" t="s">
        <v>7199</v>
      </c>
      <c r="B21649" t="str">
        <f>HYPERLINK("https://lindat.mff.cuni.cz/services/teitok/pdtc10/index.php?action=vallex&amp;frame=v-w11377f3", "odklonit (v-w11377f3)")</f>
        <v>odklonit (v-w11377f3)</v>
      </c>
    </row>
    <row r="21650" spans="1:4" x14ac:dyDescent="0.2">
      <c r="B21650" t="s">
        <v>1</v>
      </c>
      <c r="C21650" t="s">
        <v>33</v>
      </c>
      <c r="D21650" t="s">
        <v>3580</v>
      </c>
    </row>
    <row r="21651" spans="1:4" x14ac:dyDescent="0.2">
      <c r="B21651" t="s">
        <v>8</v>
      </c>
      <c r="C21651" t="s">
        <v>354</v>
      </c>
      <c r="D21651" t="s">
        <v>23652</v>
      </c>
    </row>
    <row r="21652" spans="1:4" x14ac:dyDescent="0.2">
      <c r="B21652" t="s">
        <v>333</v>
      </c>
    </row>
    <row r="21654" spans="1:4" x14ac:dyDescent="0.2">
      <c r="A21654" t="s">
        <v>7200</v>
      </c>
      <c r="B21654" t="str">
        <f>HYPERLINK("https://lindat.mff.cuni.cz/services/teitok/pdtc10/index.php?action=vallex&amp;frame=v-w11377f4", "odklonit (v-w11377f4)")</f>
        <v>odklonit (v-w11377f4)</v>
      </c>
    </row>
    <row r="21655" spans="1:4" x14ac:dyDescent="0.2">
      <c r="B21655" t="s">
        <v>1</v>
      </c>
      <c r="C21655" t="s">
        <v>140</v>
      </c>
      <c r="D21655" t="s">
        <v>140</v>
      </c>
    </row>
    <row r="21656" spans="1:4" x14ac:dyDescent="0.2">
      <c r="B21656" t="s">
        <v>8</v>
      </c>
      <c r="C21656" t="s">
        <v>34</v>
      </c>
      <c r="D21656" t="s">
        <v>34</v>
      </c>
    </row>
    <row r="21658" spans="1:4" x14ac:dyDescent="0.2">
      <c r="A21658" t="s">
        <v>7201</v>
      </c>
      <c r="B21658" t="str">
        <f>HYPERLINK("https://lindat.mff.cuni.cz/services/teitok/pdtc10/index.php?action=vallex&amp;frame=v-w2744f1", "odklonit se (v-w2744f1)")</f>
        <v>odklonit se (v-w2744f1)</v>
      </c>
    </row>
    <row r="21659" spans="1:4" x14ac:dyDescent="0.2">
      <c r="B21659" t="s">
        <v>1</v>
      </c>
      <c r="C21659" t="s">
        <v>7202</v>
      </c>
    </row>
    <row r="21660" spans="1:4" x14ac:dyDescent="0.2">
      <c r="B21660" t="s">
        <v>19</v>
      </c>
    </row>
    <row r="21662" spans="1:4" x14ac:dyDescent="0.2">
      <c r="A21662" t="s">
        <v>7203</v>
      </c>
      <c r="B21662" t="str">
        <f>HYPERLINK("https://lindat.mff.cuni.cz/services/teitok/pdtc10/index.php?action=vallex&amp;frame=v-w2744f2_ZU", "odklonit se (v-w2744f2_ZU)")</f>
        <v>odklonit se (v-w2744f2_ZU)</v>
      </c>
    </row>
    <row r="21663" spans="1:4" x14ac:dyDescent="0.2">
      <c r="B21663" t="s">
        <v>1</v>
      </c>
      <c r="C21663" t="s">
        <v>6729</v>
      </c>
    </row>
    <row r="21664" spans="1:4" x14ac:dyDescent="0.2">
      <c r="B21664" t="s">
        <v>4622</v>
      </c>
    </row>
    <row r="21666" spans="1:4" x14ac:dyDescent="0.2">
      <c r="A21666" t="s">
        <v>7204</v>
      </c>
      <c r="B21666" t="str">
        <f>HYPERLINK("https://lindat.mff.cuni.cz/services/teitok/pdtc10/index.php?action=vallex&amp;frame=v-w12165_ZUf1_ZU", "odklusat (v-w12165_ZUf1_ZU)")</f>
        <v>odklusat (v-w12165_ZUf1_ZU)</v>
      </c>
    </row>
    <row r="21667" spans="1:4" x14ac:dyDescent="0.2">
      <c r="B21667" t="s">
        <v>1</v>
      </c>
    </row>
    <row r="21668" spans="1:4" x14ac:dyDescent="0.2">
      <c r="B21668" t="s">
        <v>4622</v>
      </c>
    </row>
    <row r="21670" spans="1:4" x14ac:dyDescent="0.2">
      <c r="A21670" t="s">
        <v>7205</v>
      </c>
      <c r="B21670" t="str">
        <f>HYPERLINK("https://lindat.mff.cuni.cz/services/teitok/pdtc10/index.php?action=vallex&amp;frame=v-w2739f1", "odkládat (v-w2739f1)")</f>
        <v>odkládat (v-w2739f1)</v>
      </c>
    </row>
    <row r="21671" spans="1:4" x14ac:dyDescent="0.2">
      <c r="B21671" t="s">
        <v>1</v>
      </c>
      <c r="C21671" t="s">
        <v>2555</v>
      </c>
      <c r="D21671" t="s">
        <v>23640</v>
      </c>
    </row>
    <row r="21672" spans="1:4" x14ac:dyDescent="0.2">
      <c r="B21672" t="s">
        <v>8</v>
      </c>
      <c r="C21672" t="s">
        <v>7206</v>
      </c>
      <c r="D21672" t="s">
        <v>23641</v>
      </c>
    </row>
    <row r="21674" spans="1:4" x14ac:dyDescent="0.2">
      <c r="A21674" t="s">
        <v>7207</v>
      </c>
      <c r="B21674" t="str">
        <f>HYPERLINK("https://lindat.mff.cuni.cz/services/teitok/pdtc10/index.php?action=vallex&amp;frame=v-w2739f2", "odkládat (v-w2739f2)")</f>
        <v>odkládat (v-w2739f2)</v>
      </c>
    </row>
    <row r="21675" spans="1:4" x14ac:dyDescent="0.2">
      <c r="B21675" t="s">
        <v>1</v>
      </c>
    </row>
    <row r="21676" spans="1:4" x14ac:dyDescent="0.2">
      <c r="B21676" t="s">
        <v>8</v>
      </c>
    </row>
    <row r="21678" spans="1:4" x14ac:dyDescent="0.2">
      <c r="A21678" t="s">
        <v>7208</v>
      </c>
      <c r="B21678" t="str">
        <f>HYPERLINK("https://lindat.mff.cuni.cz/services/teitok/pdtc10/index.php?action=vallex&amp;frame=v-w2739f6_ZU", "odkládat (v-w2739f6_ZU)")</f>
        <v>odkládat (v-w2739f6_ZU)</v>
      </c>
    </row>
    <row r="21679" spans="1:4" x14ac:dyDescent="0.2">
      <c r="B21679" t="s">
        <v>1</v>
      </c>
    </row>
    <row r="21680" spans="1:4" x14ac:dyDescent="0.2">
      <c r="B21680" t="s">
        <v>8</v>
      </c>
    </row>
    <row r="21682" spans="1:4" x14ac:dyDescent="0.2">
      <c r="A21682" t="s">
        <v>7209</v>
      </c>
      <c r="B21682" t="str">
        <f>HYPERLINK("https://lindat.mff.cuni.cz/services/teitok/pdtc10/index.php?action=vallex&amp;frame=v-w2739hsa_457", "odkládat (v-w2739hsa_457)")</f>
        <v>odkládat (v-w2739hsa_457)</v>
      </c>
    </row>
    <row r="21683" spans="1:4" x14ac:dyDescent="0.2">
      <c r="B21683" t="s">
        <v>1</v>
      </c>
      <c r="C21683" t="s">
        <v>2239</v>
      </c>
      <c r="D21683" t="s">
        <v>2239</v>
      </c>
    </row>
    <row r="21684" spans="1:4" x14ac:dyDescent="0.2">
      <c r="B21684" t="s">
        <v>8</v>
      </c>
      <c r="C21684" t="s">
        <v>1025</v>
      </c>
      <c r="D21684" t="s">
        <v>335</v>
      </c>
    </row>
    <row r="21686" spans="1:4" x14ac:dyDescent="0.2">
      <c r="A21686" t="s">
        <v>7210</v>
      </c>
      <c r="B21686" t="str">
        <f>HYPERLINK("https://lindat.mff.cuni.cz/services/teitok/pdtc10/index.php?action=vallex&amp;frame=v-w2739f5_ZU", "odkládat (v-w2739f5_ZU)")</f>
        <v>odkládat (v-w2739f5_ZU)</v>
      </c>
    </row>
    <row r="21687" spans="1:4" x14ac:dyDescent="0.2">
      <c r="B21687" t="s">
        <v>1</v>
      </c>
    </row>
    <row r="21688" spans="1:4" x14ac:dyDescent="0.2">
      <c r="B21688" t="s">
        <v>8</v>
      </c>
    </row>
    <row r="21689" spans="1:4" x14ac:dyDescent="0.2">
      <c r="B21689" t="s">
        <v>252</v>
      </c>
    </row>
    <row r="21691" spans="1:4" x14ac:dyDescent="0.2">
      <c r="A21691" t="s">
        <v>7210</v>
      </c>
      <c r="B21691" t="str">
        <f>HYPERLINK("https://lindat.mff.cuni.cz/services/teitok/pdtc10/index.php?action=vallex&amp;frame=v-w2739f3_ZU", "odkládat (v-w2739f3_ZU) - substituted with v-w2739f5_ZU")</f>
        <v>odkládat (v-w2739f3_ZU) - substituted with v-w2739f5_ZU</v>
      </c>
    </row>
    <row r="21692" spans="1:4" x14ac:dyDescent="0.2">
      <c r="B21692" t="s">
        <v>1</v>
      </c>
    </row>
    <row r="21693" spans="1:4" x14ac:dyDescent="0.2">
      <c r="B21693" t="s">
        <v>8</v>
      </c>
    </row>
    <row r="21694" spans="1:4" x14ac:dyDescent="0.2">
      <c r="B21694" t="s">
        <v>252</v>
      </c>
    </row>
    <row r="21696" spans="1:4" x14ac:dyDescent="0.2">
      <c r="A21696" t="s">
        <v>7210</v>
      </c>
      <c r="B21696" t="str">
        <f>HYPERLINK("https://lindat.mff.cuni.cz/services/teitok/pdtc10/index.php?action=vallex&amp;frame=v-w2739f4_ZU", "odkládat (v-w2739f4_ZU) - substituted with v-w2739f5_ZU")</f>
        <v>odkládat (v-w2739f4_ZU) - substituted with v-w2739f5_ZU</v>
      </c>
    </row>
    <row r="21697" spans="1:4" x14ac:dyDescent="0.2">
      <c r="B21697" t="s">
        <v>1</v>
      </c>
    </row>
    <row r="21698" spans="1:4" x14ac:dyDescent="0.2">
      <c r="B21698" t="s">
        <v>8</v>
      </c>
    </row>
    <row r="21699" spans="1:4" x14ac:dyDescent="0.2">
      <c r="B21699" t="s">
        <v>252</v>
      </c>
    </row>
    <row r="21701" spans="1:4" x14ac:dyDescent="0.2">
      <c r="A21701" t="s">
        <v>7211</v>
      </c>
      <c r="B21701" t="str">
        <f>HYPERLINK("https://lindat.mff.cuni.cz/services/teitok/pdtc10/index.php?action=vallex&amp;frame=v-w10921f2", "odklánět (v-w10921f2)")</f>
        <v>odklánět (v-w10921f2)</v>
      </c>
    </row>
    <row r="21702" spans="1:4" x14ac:dyDescent="0.2">
      <c r="B21702" t="s">
        <v>1</v>
      </c>
      <c r="C21702" t="s">
        <v>33</v>
      </c>
      <c r="D21702" t="s">
        <v>3580</v>
      </c>
    </row>
    <row r="21703" spans="1:4" x14ac:dyDescent="0.2">
      <c r="B21703" t="s">
        <v>8</v>
      </c>
      <c r="C21703" t="s">
        <v>354</v>
      </c>
      <c r="D21703" t="s">
        <v>23652</v>
      </c>
    </row>
    <row r="21704" spans="1:4" x14ac:dyDescent="0.2">
      <c r="B21704" t="s">
        <v>333</v>
      </c>
    </row>
    <row r="21706" spans="1:4" x14ac:dyDescent="0.2">
      <c r="A21706" t="s">
        <v>7212</v>
      </c>
      <c r="B21706" t="str">
        <f>HYPERLINK("https://lindat.mff.cuni.cz/services/teitok/pdtc10/index.php?action=vallex&amp;frame=v-w11532_ZUf1_ZU", "odklánět se (v-w11532_ZUf1_ZU)")</f>
        <v>odklánět se (v-w11532_ZUf1_ZU)</v>
      </c>
    </row>
    <row r="21707" spans="1:4" x14ac:dyDescent="0.2">
      <c r="B21707" t="s">
        <v>1</v>
      </c>
      <c r="D21707" t="s">
        <v>23653</v>
      </c>
    </row>
    <row r="21708" spans="1:4" x14ac:dyDescent="0.2">
      <c r="B21708" t="s">
        <v>19</v>
      </c>
      <c r="D21708" t="s">
        <v>345</v>
      </c>
    </row>
    <row r="21710" spans="1:4" x14ac:dyDescent="0.2">
      <c r="A21710" t="s">
        <v>7213</v>
      </c>
      <c r="B21710" t="str">
        <f>HYPERLINK("https://lindat.mff.cuni.cz/services/teitok/pdtc10/index.php?action=vallex&amp;frame=v-whsa_1263hsa_1264", "odklízet (v-whsa_1263hsa_1264)")</f>
        <v>odklízet (v-whsa_1263hsa_1264)</v>
      </c>
    </row>
    <row r="21711" spans="1:4" x14ac:dyDescent="0.2">
      <c r="B21711" t="s">
        <v>1</v>
      </c>
    </row>
    <row r="21712" spans="1:4" x14ac:dyDescent="0.2">
      <c r="B21712" t="s">
        <v>8</v>
      </c>
    </row>
    <row r="21713" spans="1:4" x14ac:dyDescent="0.2">
      <c r="B21713" t="s">
        <v>333</v>
      </c>
    </row>
    <row r="21715" spans="1:4" x14ac:dyDescent="0.2">
      <c r="A21715" t="s">
        <v>7214</v>
      </c>
      <c r="B21715" t="str">
        <f>HYPERLINK("https://lindat.mff.cuni.cz/services/teitok/pdtc10/index.php?action=vallex&amp;frame=v-w10439f3", "odkopnout (v-w10439f3)")</f>
        <v>odkopnout (v-w10439f3)</v>
      </c>
    </row>
    <row r="21716" spans="1:4" x14ac:dyDescent="0.2">
      <c r="B21716" t="s">
        <v>1</v>
      </c>
    </row>
    <row r="21717" spans="1:4" x14ac:dyDescent="0.2">
      <c r="B21717" t="s">
        <v>8</v>
      </c>
    </row>
    <row r="21719" spans="1:4" x14ac:dyDescent="0.2">
      <c r="A21719" t="s">
        <v>7215</v>
      </c>
      <c r="B21719" t="str">
        <f>HYPERLINK("https://lindat.mff.cuni.cz/services/teitok/pdtc10/index.php?action=vallex&amp;frame=v-w2746f1", "odkopávat (v-w2746f1)")</f>
        <v>odkopávat (v-w2746f1)</v>
      </c>
    </row>
    <row r="21720" spans="1:4" x14ac:dyDescent="0.2">
      <c r="B21720" t="s">
        <v>1</v>
      </c>
    </row>
    <row r="21721" spans="1:4" x14ac:dyDescent="0.2">
      <c r="B21721" t="s">
        <v>8</v>
      </c>
    </row>
    <row r="21723" spans="1:4" x14ac:dyDescent="0.2">
      <c r="A21723" t="s">
        <v>7216</v>
      </c>
      <c r="B21723" t="str">
        <f>HYPERLINK("https://lindat.mff.cuni.cz/services/teitok/pdtc10/index.php?action=vallex&amp;frame=v-w2749f1", "odkoupit (v-w2749f1)")</f>
        <v>odkoupit (v-w2749f1)</v>
      </c>
    </row>
    <row r="21724" spans="1:4" x14ac:dyDescent="0.2">
      <c r="B21724" t="s">
        <v>1</v>
      </c>
      <c r="C21724" t="s">
        <v>7217</v>
      </c>
      <c r="D21724" t="s">
        <v>23430</v>
      </c>
    </row>
    <row r="21725" spans="1:4" x14ac:dyDescent="0.2">
      <c r="B21725" t="s">
        <v>8</v>
      </c>
      <c r="C21725" t="s">
        <v>7218</v>
      </c>
      <c r="D21725" t="s">
        <v>23431</v>
      </c>
    </row>
    <row r="21726" spans="1:4" x14ac:dyDescent="0.2">
      <c r="B21726" t="s">
        <v>321</v>
      </c>
      <c r="C21726" t="s">
        <v>4315</v>
      </c>
      <c r="D21726" t="s">
        <v>5731</v>
      </c>
    </row>
    <row r="21728" spans="1:4" x14ac:dyDescent="0.2">
      <c r="A21728" t="s">
        <v>7219</v>
      </c>
      <c r="B21728" t="str">
        <f>HYPERLINK("https://lindat.mff.cuni.cz/services/teitok/pdtc10/index.php?action=vallex&amp;frame=v-w11215f2", "odkroutit (v-w11215f2)")</f>
        <v>odkroutit (v-w11215f2)</v>
      </c>
    </row>
    <row r="21729" spans="1:4" x14ac:dyDescent="0.2">
      <c r="B21729" t="s">
        <v>1</v>
      </c>
    </row>
    <row r="21730" spans="1:4" x14ac:dyDescent="0.2">
      <c r="B21730" t="s">
        <v>8</v>
      </c>
    </row>
    <row r="21732" spans="1:4" x14ac:dyDescent="0.2">
      <c r="A21732" t="s">
        <v>7220</v>
      </c>
      <c r="B21732" t="str">
        <f>HYPERLINK("https://lindat.mff.cuni.cz/services/teitok/pdtc10/index.php?action=vallex&amp;frame=v-w11499f2", "odkroutit si (v-w11499f2)")</f>
        <v>odkroutit si (v-w11499f2)</v>
      </c>
    </row>
    <row r="21733" spans="1:4" x14ac:dyDescent="0.2">
      <c r="B21733" t="s">
        <v>1</v>
      </c>
    </row>
    <row r="21734" spans="1:4" x14ac:dyDescent="0.2">
      <c r="B21734" t="s">
        <v>8</v>
      </c>
    </row>
    <row r="21736" spans="1:4" x14ac:dyDescent="0.2">
      <c r="A21736" t="s">
        <v>7221</v>
      </c>
      <c r="B21736" t="str">
        <f>HYPERLINK("https://lindat.mff.cuni.cz/services/teitok/pdtc10/index.php?action=vallex&amp;frame=v-w10062f2", "odkráglovat (v-w10062f2)")</f>
        <v>odkráglovat (v-w10062f2)</v>
      </c>
    </row>
    <row r="21737" spans="1:4" x14ac:dyDescent="0.2">
      <c r="B21737" t="s">
        <v>1</v>
      </c>
      <c r="D21737" t="s">
        <v>11295</v>
      </c>
    </row>
    <row r="21738" spans="1:4" x14ac:dyDescent="0.2">
      <c r="B21738" t="s">
        <v>8</v>
      </c>
      <c r="D21738" t="s">
        <v>13639</v>
      </c>
    </row>
    <row r="21740" spans="1:4" x14ac:dyDescent="0.2">
      <c r="A21740" t="s">
        <v>7222</v>
      </c>
      <c r="B21740" t="str">
        <f>HYPERLINK("https://lindat.mff.cuni.cz/services/teitok/pdtc10/index.php?action=vallex&amp;frame=v-w2750f1", "odkrýt (v-w2750f1)")</f>
        <v>odkrýt (v-w2750f1)</v>
      </c>
    </row>
    <row r="21741" spans="1:4" x14ac:dyDescent="0.2">
      <c r="B21741" t="s">
        <v>1</v>
      </c>
      <c r="C21741" t="s">
        <v>7223</v>
      </c>
      <c r="D21741" t="s">
        <v>23650</v>
      </c>
    </row>
    <row r="21742" spans="1:4" x14ac:dyDescent="0.2">
      <c r="B21742" t="s">
        <v>124</v>
      </c>
      <c r="C21742" t="s">
        <v>7224</v>
      </c>
      <c r="D21742" t="s">
        <v>23651</v>
      </c>
    </row>
    <row r="21744" spans="1:4" x14ac:dyDescent="0.2">
      <c r="A21744" t="s">
        <v>7225</v>
      </c>
      <c r="B21744" t="str">
        <f>HYPERLINK("https://lindat.mff.cuni.cz/services/teitok/pdtc10/index.php?action=vallex&amp;frame=v-w2751f1", "odkrývat (v-w2751f1)")</f>
        <v>odkrývat (v-w2751f1)</v>
      </c>
    </row>
    <row r="21745" spans="1:4" x14ac:dyDescent="0.2">
      <c r="B21745" t="s">
        <v>1</v>
      </c>
      <c r="C21745" t="s">
        <v>92</v>
      </c>
    </row>
    <row r="21746" spans="1:4" x14ac:dyDescent="0.2">
      <c r="B21746" t="s">
        <v>124</v>
      </c>
      <c r="C21746" t="s">
        <v>81</v>
      </c>
    </row>
    <row r="21748" spans="1:4" x14ac:dyDescent="0.2">
      <c r="A21748" t="s">
        <v>7226</v>
      </c>
      <c r="B21748" t="str">
        <f>HYPERLINK("https://lindat.mff.cuni.cz/services/teitok/pdtc10/index.php?action=vallex&amp;frame=v-w11533_ZUf1_ZU", "odkupovat (v-w11533_ZUf1_ZU)")</f>
        <v>odkupovat (v-w11533_ZUf1_ZU)</v>
      </c>
    </row>
    <row r="21749" spans="1:4" x14ac:dyDescent="0.2">
      <c r="B21749" t="s">
        <v>1</v>
      </c>
      <c r="C21749" t="s">
        <v>2145</v>
      </c>
      <c r="D21749" t="s">
        <v>23430</v>
      </c>
    </row>
    <row r="21750" spans="1:4" x14ac:dyDescent="0.2">
      <c r="B21750" t="s">
        <v>8</v>
      </c>
      <c r="C21750" t="s">
        <v>7206</v>
      </c>
      <c r="D21750" t="s">
        <v>23431</v>
      </c>
    </row>
    <row r="21751" spans="1:4" x14ac:dyDescent="0.2">
      <c r="B21751" t="s">
        <v>321</v>
      </c>
      <c r="C21751" t="s">
        <v>7227</v>
      </c>
      <c r="D21751" t="s">
        <v>5731</v>
      </c>
    </row>
    <row r="21753" spans="1:4" x14ac:dyDescent="0.2">
      <c r="A21753" t="s">
        <v>7228</v>
      </c>
      <c r="B21753" t="str">
        <f>HYPERLINK("https://lindat.mff.cuni.cz/services/teitok/pdtc10/index.php?action=vallex&amp;frame=v-w11754_ZUf1_ZU", "odkvétat (v-w11754_ZUf1_ZU)")</f>
        <v>odkvétat (v-w11754_ZUf1_ZU)</v>
      </c>
    </row>
    <row r="21754" spans="1:4" x14ac:dyDescent="0.2">
      <c r="B21754" t="s">
        <v>1</v>
      </c>
    </row>
    <row r="21756" spans="1:4" x14ac:dyDescent="0.2">
      <c r="A21756" t="s">
        <v>7229</v>
      </c>
      <c r="B21756" t="str">
        <f>HYPERLINK("https://lindat.mff.cuni.cz/services/teitok/pdtc10/index.php?action=vallex&amp;frame=v-w2735f2", "odkázat (v-w2735f2)")</f>
        <v>odkázat (v-w2735f2)</v>
      </c>
    </row>
    <row r="21757" spans="1:4" x14ac:dyDescent="0.2">
      <c r="B21757" t="s">
        <v>1</v>
      </c>
      <c r="C21757" t="s">
        <v>140</v>
      </c>
      <c r="D21757" t="s">
        <v>80</v>
      </c>
    </row>
    <row r="21758" spans="1:4" x14ac:dyDescent="0.2">
      <c r="B21758" t="s">
        <v>8</v>
      </c>
      <c r="C21758" t="s">
        <v>113</v>
      </c>
      <c r="D21758" t="s">
        <v>1510</v>
      </c>
    </row>
    <row r="21759" spans="1:4" x14ac:dyDescent="0.2">
      <c r="B21759" t="s">
        <v>35</v>
      </c>
      <c r="C21759" t="s">
        <v>987</v>
      </c>
      <c r="D21759" t="s">
        <v>23654</v>
      </c>
    </row>
    <row r="21761" spans="1:3" x14ac:dyDescent="0.2">
      <c r="A21761" t="s">
        <v>7230</v>
      </c>
      <c r="B21761" t="str">
        <f>HYPERLINK("https://lindat.mff.cuni.cz/services/teitok/pdtc10/index.php?action=vallex&amp;frame=v-w2735f1", "odkázat (v-w2735f1)")</f>
        <v>odkázat (v-w2735f1)</v>
      </c>
    </row>
    <row r="21762" spans="1:3" x14ac:dyDescent="0.2">
      <c r="B21762" t="s">
        <v>1</v>
      </c>
      <c r="C21762" t="s">
        <v>249</v>
      </c>
    </row>
    <row r="21763" spans="1:3" x14ac:dyDescent="0.2">
      <c r="B21763" t="s">
        <v>107</v>
      </c>
      <c r="C21763" t="s">
        <v>7231</v>
      </c>
    </row>
    <row r="21764" spans="1:3" x14ac:dyDescent="0.2">
      <c r="B21764" t="s">
        <v>58</v>
      </c>
      <c r="C21764" t="s">
        <v>7232</v>
      </c>
    </row>
    <row r="21766" spans="1:3" x14ac:dyDescent="0.2">
      <c r="A21766" t="s">
        <v>7233</v>
      </c>
      <c r="B21766" t="str">
        <f>HYPERLINK("https://lindat.mff.cuni.cz/services/teitok/pdtc10/index.php?action=vallex&amp;frame=v-w2735f3", "odkázat (v-w2735f3)")</f>
        <v>odkázat (v-w2735f3)</v>
      </c>
    </row>
    <row r="21767" spans="1:3" x14ac:dyDescent="0.2">
      <c r="B21767" t="s">
        <v>1</v>
      </c>
    </row>
    <row r="21768" spans="1:3" x14ac:dyDescent="0.2">
      <c r="B21768" t="s">
        <v>8</v>
      </c>
    </row>
    <row r="21769" spans="1:3" x14ac:dyDescent="0.2">
      <c r="B21769" t="s">
        <v>90</v>
      </c>
    </row>
    <row r="21771" spans="1:3" x14ac:dyDescent="0.2">
      <c r="A21771" t="s">
        <v>7234</v>
      </c>
      <c r="B21771" t="str">
        <f>HYPERLINK("https://lindat.mff.cuni.cz/services/teitok/pdtc10/index.php?action=vallex&amp;frame=v-w11790_ZUf1_ZU", "odkývat (v-w11790_ZUf1_ZU)")</f>
        <v>odkývat (v-w11790_ZUf1_ZU)</v>
      </c>
    </row>
    <row r="21772" spans="1:3" x14ac:dyDescent="0.2">
      <c r="B21772" t="s">
        <v>1</v>
      </c>
    </row>
    <row r="21773" spans="1:3" x14ac:dyDescent="0.2">
      <c r="B21773" t="s">
        <v>8</v>
      </c>
    </row>
    <row r="21774" spans="1:3" x14ac:dyDescent="0.2">
      <c r="B21774" t="s">
        <v>78</v>
      </c>
    </row>
    <row r="21776" spans="1:3" x14ac:dyDescent="0.2">
      <c r="A21776" t="s">
        <v>7235</v>
      </c>
      <c r="B21776" t="str">
        <f>HYPERLINK("https://lindat.mff.cuni.cz/services/teitok/pdtc10/index.php?action=vallex&amp;frame=v-w2755f1", "odlehčit (v-w2755f1)")</f>
        <v>odlehčit (v-w2755f1)</v>
      </c>
    </row>
    <row r="21777" spans="1:2" x14ac:dyDescent="0.2">
      <c r="B21777" t="s">
        <v>1</v>
      </c>
    </row>
    <row r="21778" spans="1:2" x14ac:dyDescent="0.2">
      <c r="B21778" t="s">
        <v>103</v>
      </c>
    </row>
    <row r="21780" spans="1:2" x14ac:dyDescent="0.2">
      <c r="A21780" t="s">
        <v>7236</v>
      </c>
      <c r="B21780" t="str">
        <f>HYPERLINK("https://lindat.mff.cuni.cz/services/teitok/pdtc10/index.php?action=vallex&amp;frame=v-w2755hsa_1408", "odlehčit (v-w2755hsa_1408)")</f>
        <v>odlehčit (v-w2755hsa_1408)</v>
      </c>
    </row>
    <row r="21781" spans="1:2" x14ac:dyDescent="0.2">
      <c r="B21781" t="s">
        <v>1</v>
      </c>
    </row>
    <row r="21782" spans="1:2" x14ac:dyDescent="0.2">
      <c r="B21782" t="s">
        <v>8</v>
      </c>
    </row>
    <row r="21784" spans="1:2" x14ac:dyDescent="0.2">
      <c r="A21784" t="s">
        <v>7237</v>
      </c>
      <c r="B21784" t="str">
        <f>HYPERLINK("https://lindat.mff.cuni.cz/services/teitok/pdtc10/index.php?action=vallex&amp;frame=v-w2756f1", "odlepit se (v-w2756f1)")</f>
        <v>odlepit se (v-w2756f1)</v>
      </c>
    </row>
    <row r="21785" spans="1:2" x14ac:dyDescent="0.2">
      <c r="B21785" t="s">
        <v>1</v>
      </c>
    </row>
    <row r="21786" spans="1:2" x14ac:dyDescent="0.2">
      <c r="B21786" t="s">
        <v>333</v>
      </c>
    </row>
    <row r="21788" spans="1:2" x14ac:dyDescent="0.2">
      <c r="A21788" t="s">
        <v>7238</v>
      </c>
      <c r="B21788" t="str">
        <f>HYPERLINK("https://lindat.mff.cuni.cz/services/teitok/pdtc10/index.php?action=vallex&amp;frame=v-whsa_958hsa_959", "odlepkovávat (v-whsa_958hsa_959)")</f>
        <v>odlepkovávat (v-whsa_958hsa_959)</v>
      </c>
    </row>
    <row r="21789" spans="1:2" x14ac:dyDescent="0.2">
      <c r="B21789" t="s">
        <v>1</v>
      </c>
    </row>
    <row r="21790" spans="1:2" x14ac:dyDescent="0.2">
      <c r="B21790" t="s">
        <v>8</v>
      </c>
    </row>
    <row r="21792" spans="1:2" x14ac:dyDescent="0.2">
      <c r="A21792" t="s">
        <v>7239</v>
      </c>
      <c r="B21792" t="str">
        <f>HYPERLINK("https://lindat.mff.cuni.cz/services/teitok/pdtc10/index.php?action=vallex&amp;frame=v-w2759f1", "odletět (v-w2759f1)")</f>
        <v>odletět (v-w2759f1)</v>
      </c>
    </row>
    <row r="21793" spans="1:4" x14ac:dyDescent="0.2">
      <c r="B21793" t="s">
        <v>1</v>
      </c>
      <c r="C21793" t="s">
        <v>7240</v>
      </c>
      <c r="D21793" t="s">
        <v>23454</v>
      </c>
    </row>
    <row r="21794" spans="1:4" x14ac:dyDescent="0.2">
      <c r="B21794" t="s">
        <v>333</v>
      </c>
    </row>
    <row r="21796" spans="1:4" x14ac:dyDescent="0.2">
      <c r="A21796" t="s">
        <v>7241</v>
      </c>
      <c r="B21796" t="str">
        <f>HYPERLINK("https://lindat.mff.cuni.cz/services/teitok/pdtc10/index.php?action=vallex&amp;frame=v-w12393_MMf1_MM", "odležet se (v-w12393_MMf1_MM)")</f>
        <v>odležet se (v-w12393_MMf1_MM)</v>
      </c>
    </row>
    <row r="21797" spans="1:4" x14ac:dyDescent="0.2">
      <c r="B21797" t="s">
        <v>1</v>
      </c>
    </row>
    <row r="21799" spans="1:4" x14ac:dyDescent="0.2">
      <c r="A21799" t="s">
        <v>7242</v>
      </c>
      <c r="B21799" t="str">
        <f>HYPERLINK("https://lindat.mff.cuni.cz/services/teitok/pdtc10/index.php?action=vallex&amp;frame=v-w2761f1", "odlišit (v-w2761f1)")</f>
        <v>odlišit (v-w2761f1)</v>
      </c>
    </row>
    <row r="21800" spans="1:4" x14ac:dyDescent="0.2">
      <c r="B21800" t="s">
        <v>1</v>
      </c>
      <c r="C21800" t="s">
        <v>33</v>
      </c>
      <c r="D21800" t="s">
        <v>33</v>
      </c>
    </row>
    <row r="21801" spans="1:4" x14ac:dyDescent="0.2">
      <c r="B21801" t="s">
        <v>8</v>
      </c>
      <c r="C21801" t="s">
        <v>1025</v>
      </c>
      <c r="D21801" t="s">
        <v>1109</v>
      </c>
    </row>
    <row r="21802" spans="1:4" x14ac:dyDescent="0.2">
      <c r="B21802" t="s">
        <v>1334</v>
      </c>
      <c r="C21802" t="s">
        <v>2079</v>
      </c>
      <c r="D21802" t="s">
        <v>23655</v>
      </c>
    </row>
    <row r="21804" spans="1:4" x14ac:dyDescent="0.2">
      <c r="A21804" t="s">
        <v>7243</v>
      </c>
      <c r="B21804" t="str">
        <f>HYPERLINK("https://lindat.mff.cuni.cz/services/teitok/pdtc10/index.php?action=vallex&amp;frame=v-w11534_ZUf1_ZU", "odlišit se (v-w11534_ZUf1_ZU)")</f>
        <v>odlišit se (v-w11534_ZUf1_ZU)</v>
      </c>
    </row>
    <row r="21805" spans="1:4" x14ac:dyDescent="0.2">
      <c r="B21805" t="s">
        <v>1</v>
      </c>
      <c r="C21805" t="s">
        <v>140</v>
      </c>
      <c r="D21805" t="s">
        <v>5817</v>
      </c>
    </row>
    <row r="21806" spans="1:4" x14ac:dyDescent="0.2">
      <c r="B21806" t="s">
        <v>19</v>
      </c>
      <c r="C21806" t="s">
        <v>7244</v>
      </c>
      <c r="D21806" t="s">
        <v>8795</v>
      </c>
    </row>
    <row r="21808" spans="1:4" x14ac:dyDescent="0.2">
      <c r="A21808" t="s">
        <v>7245</v>
      </c>
      <c r="B21808" t="str">
        <f>HYPERLINK("https://lindat.mff.cuni.cz/services/teitok/pdtc10/index.php?action=vallex&amp;frame=v-w2764f1", "odlišovat (v-w2764f1)")</f>
        <v>odlišovat (v-w2764f1)</v>
      </c>
    </row>
    <row r="21809" spans="1:4" x14ac:dyDescent="0.2">
      <c r="B21809" t="s">
        <v>1</v>
      </c>
      <c r="D21809" t="s">
        <v>33</v>
      </c>
    </row>
    <row r="21810" spans="1:4" x14ac:dyDescent="0.2">
      <c r="B21810" t="s">
        <v>8</v>
      </c>
      <c r="D21810" t="s">
        <v>1109</v>
      </c>
    </row>
    <row r="21811" spans="1:4" x14ac:dyDescent="0.2">
      <c r="B21811" t="s">
        <v>1334</v>
      </c>
      <c r="D21811" t="s">
        <v>23655</v>
      </c>
    </row>
    <row r="21813" spans="1:4" x14ac:dyDescent="0.2">
      <c r="A21813" t="s">
        <v>7246</v>
      </c>
      <c r="B21813" t="str">
        <f>HYPERLINK("https://lindat.mff.cuni.cz/services/teitok/pdtc10/index.php?action=vallex&amp;frame=v-w2765f1", "odlišovat se (v-w2765f1)")</f>
        <v>odlišovat se (v-w2765f1)</v>
      </c>
    </row>
    <row r="21814" spans="1:4" x14ac:dyDescent="0.2">
      <c r="B21814" t="s">
        <v>1</v>
      </c>
      <c r="C21814" t="s">
        <v>140</v>
      </c>
      <c r="D21814" t="s">
        <v>5817</v>
      </c>
    </row>
    <row r="21815" spans="1:4" x14ac:dyDescent="0.2">
      <c r="B21815" t="s">
        <v>19</v>
      </c>
      <c r="D21815" t="s">
        <v>8795</v>
      </c>
    </row>
    <row r="21817" spans="1:4" x14ac:dyDescent="0.2">
      <c r="A21817" t="s">
        <v>7247</v>
      </c>
      <c r="B21817" t="str">
        <f>HYPERLINK("https://lindat.mff.cuni.cz/services/teitok/pdtc10/index.php?action=vallex&amp;frame=v-w2769f2", "odloučit (v-w2769f2)")</f>
        <v>odloučit (v-w2769f2)</v>
      </c>
    </row>
    <row r="21818" spans="1:4" x14ac:dyDescent="0.2">
      <c r="B21818" t="s">
        <v>1</v>
      </c>
    </row>
    <row r="21819" spans="1:4" x14ac:dyDescent="0.2">
      <c r="B21819" t="s">
        <v>8</v>
      </c>
    </row>
    <row r="21820" spans="1:4" x14ac:dyDescent="0.2">
      <c r="B21820" t="s">
        <v>1334</v>
      </c>
    </row>
    <row r="21822" spans="1:4" x14ac:dyDescent="0.2">
      <c r="A21822" t="s">
        <v>7247</v>
      </c>
      <c r="B21822" t="str">
        <f>HYPERLINK("https://lindat.mff.cuni.cz/services/teitok/pdtc10/index.php?action=vallex&amp;frame=v-w2769f1", "odloučit (v-w2769f1) - substituted with v-w2769f2")</f>
        <v>odloučit (v-w2769f1) - substituted with v-w2769f2</v>
      </c>
    </row>
    <row r="21823" spans="1:4" x14ac:dyDescent="0.2">
      <c r="B21823" t="s">
        <v>1</v>
      </c>
    </row>
    <row r="21824" spans="1:4" x14ac:dyDescent="0.2">
      <c r="B21824" t="s">
        <v>8</v>
      </c>
    </row>
    <row r="21825" spans="1:4" x14ac:dyDescent="0.2">
      <c r="B21825" t="s">
        <v>1334</v>
      </c>
    </row>
    <row r="21827" spans="1:4" x14ac:dyDescent="0.2">
      <c r="A21827" t="s">
        <v>7248</v>
      </c>
      <c r="B21827" t="str">
        <f>HYPERLINK("https://lindat.mff.cuni.cz/services/teitok/pdtc10/index.php?action=vallex&amp;frame=v-w2771f1", "odložit (v-w2771f1)")</f>
        <v>odložit (v-w2771f1)</v>
      </c>
    </row>
    <row r="21828" spans="1:4" x14ac:dyDescent="0.2">
      <c r="B21828" t="s">
        <v>1</v>
      </c>
      <c r="C21828" t="s">
        <v>7249</v>
      </c>
      <c r="D21828" t="s">
        <v>23640</v>
      </c>
    </row>
    <row r="21829" spans="1:4" x14ac:dyDescent="0.2">
      <c r="B21829" t="s">
        <v>8</v>
      </c>
      <c r="C21829" t="s">
        <v>7250</v>
      </c>
      <c r="D21829" t="s">
        <v>23641</v>
      </c>
    </row>
    <row r="21831" spans="1:4" x14ac:dyDescent="0.2">
      <c r="A21831" t="s">
        <v>7251</v>
      </c>
      <c r="B21831" t="str">
        <f>HYPERLINK("https://lindat.mff.cuni.cz/services/teitok/pdtc10/index.php?action=vallex&amp;frame=v-w2771f2", "odložit (v-w2771f2)")</f>
        <v>odložit (v-w2771f2)</v>
      </c>
    </row>
    <row r="21832" spans="1:4" x14ac:dyDescent="0.2">
      <c r="B21832" t="s">
        <v>1</v>
      </c>
    </row>
    <row r="21833" spans="1:4" x14ac:dyDescent="0.2">
      <c r="B21833" t="s">
        <v>8</v>
      </c>
    </row>
    <row r="21835" spans="1:4" x14ac:dyDescent="0.2">
      <c r="A21835" t="s">
        <v>7252</v>
      </c>
      <c r="B21835" t="str">
        <f>HYPERLINK("https://lindat.mff.cuni.cz/services/teitok/pdtc10/index.php?action=vallex&amp;frame=v-w2771f6_ZU", "odložit (v-w2771f6_ZU)")</f>
        <v>odložit (v-w2771f6_ZU)</v>
      </c>
    </row>
    <row r="21836" spans="1:4" x14ac:dyDescent="0.2">
      <c r="B21836" t="s">
        <v>1</v>
      </c>
    </row>
    <row r="21837" spans="1:4" x14ac:dyDescent="0.2">
      <c r="B21837" t="s">
        <v>8</v>
      </c>
    </row>
    <row r="21839" spans="1:4" x14ac:dyDescent="0.2">
      <c r="A21839" t="s">
        <v>7252</v>
      </c>
      <c r="B21839" t="str">
        <f>HYPERLINK("https://lindat.mff.cuni.cz/services/teitok/pdtc10/index.php?action=vallex&amp;frame=v-w2771f3_ZU", "odložit (v-w2771f3_ZU) - substituted with v-w2771f6_ZU")</f>
        <v>odložit (v-w2771f3_ZU) - substituted with v-w2771f6_ZU</v>
      </c>
    </row>
    <row r="21840" spans="1:4" x14ac:dyDescent="0.2">
      <c r="B21840" t="s">
        <v>1</v>
      </c>
    </row>
    <row r="21841" spans="1:4" x14ac:dyDescent="0.2">
      <c r="B21841" t="s">
        <v>8</v>
      </c>
    </row>
    <row r="21843" spans="1:4" x14ac:dyDescent="0.2">
      <c r="A21843" t="s">
        <v>7252</v>
      </c>
      <c r="B21843" t="str">
        <f>HYPERLINK("https://lindat.mff.cuni.cz/services/teitok/pdtc10/index.php?action=vallex&amp;frame=v-w2771f4_ZU", "odložit (v-w2771f4_ZU) - substituted with v-w2771f6_ZU")</f>
        <v>odložit (v-w2771f4_ZU) - substituted with v-w2771f6_ZU</v>
      </c>
    </row>
    <row r="21844" spans="1:4" x14ac:dyDescent="0.2">
      <c r="B21844" t="s">
        <v>1</v>
      </c>
    </row>
    <row r="21845" spans="1:4" x14ac:dyDescent="0.2">
      <c r="B21845" t="s">
        <v>8</v>
      </c>
    </row>
    <row r="21847" spans="1:4" x14ac:dyDescent="0.2">
      <c r="A21847" t="s">
        <v>7252</v>
      </c>
      <c r="B21847" t="str">
        <f>HYPERLINK("https://lindat.mff.cuni.cz/services/teitok/pdtc10/index.php?action=vallex&amp;frame=v-w2771f5_ZU", "odložit (v-w2771f5_ZU) - substituted with v-w2771f6_ZU")</f>
        <v>odložit (v-w2771f5_ZU) - substituted with v-w2771f6_ZU</v>
      </c>
    </row>
    <row r="21848" spans="1:4" x14ac:dyDescent="0.2">
      <c r="B21848" t="s">
        <v>1</v>
      </c>
    </row>
    <row r="21849" spans="1:4" x14ac:dyDescent="0.2">
      <c r="B21849" t="s">
        <v>8</v>
      </c>
    </row>
    <row r="21851" spans="1:4" x14ac:dyDescent="0.2">
      <c r="A21851" t="s">
        <v>7253</v>
      </c>
      <c r="B21851" t="str">
        <f>HYPERLINK("https://lindat.mff.cuni.cz/services/teitok/pdtc10/index.php?action=vallex&amp;frame=v-w2774f1", "odlupovat (v-w2774f1)")</f>
        <v>odlupovat (v-w2774f1)</v>
      </c>
    </row>
    <row r="21852" spans="1:4" x14ac:dyDescent="0.2">
      <c r="B21852" t="s">
        <v>1</v>
      </c>
      <c r="D21852" t="s">
        <v>1480</v>
      </c>
    </row>
    <row r="21853" spans="1:4" x14ac:dyDescent="0.2">
      <c r="B21853" t="s">
        <v>8</v>
      </c>
      <c r="D21853" t="s">
        <v>23369</v>
      </c>
    </row>
    <row r="21854" spans="1:4" x14ac:dyDescent="0.2">
      <c r="B21854" t="s">
        <v>321</v>
      </c>
      <c r="D21854" t="s">
        <v>2079</v>
      </c>
    </row>
    <row r="21856" spans="1:4" x14ac:dyDescent="0.2">
      <c r="A21856" t="s">
        <v>7254</v>
      </c>
      <c r="B21856" t="str">
        <f>HYPERLINK("https://lindat.mff.cuni.cz/services/teitok/pdtc10/index.php?action=vallex&amp;frame=v-w2753f1", "odlákat (v-w2753f1)")</f>
        <v>odlákat (v-w2753f1)</v>
      </c>
    </row>
    <row r="21857" spans="1:3" x14ac:dyDescent="0.2">
      <c r="B21857" t="s">
        <v>1</v>
      </c>
      <c r="C21857" t="s">
        <v>2239</v>
      </c>
    </row>
    <row r="21858" spans="1:3" x14ac:dyDescent="0.2">
      <c r="B21858" t="s">
        <v>8</v>
      </c>
      <c r="C21858" t="s">
        <v>3773</v>
      </c>
    </row>
    <row r="21859" spans="1:3" x14ac:dyDescent="0.2">
      <c r="B21859" t="s">
        <v>333</v>
      </c>
    </row>
    <row r="21861" spans="1:3" x14ac:dyDescent="0.2">
      <c r="A21861" t="s">
        <v>7255</v>
      </c>
      <c r="B21861" t="str">
        <f>HYPERLINK("https://lindat.mff.cuni.cz/services/teitok/pdtc10/index.php?action=vallex&amp;frame=v-w10141f2", "odlákávat (v-w10141f2)")</f>
        <v>odlákávat (v-w10141f2)</v>
      </c>
    </row>
    <row r="21862" spans="1:3" x14ac:dyDescent="0.2">
      <c r="B21862" t="s">
        <v>1</v>
      </c>
      <c r="C21862" t="s">
        <v>2239</v>
      </c>
    </row>
    <row r="21863" spans="1:3" x14ac:dyDescent="0.2">
      <c r="B21863" t="s">
        <v>8</v>
      </c>
      <c r="C21863" t="s">
        <v>3773</v>
      </c>
    </row>
    <row r="21864" spans="1:3" x14ac:dyDescent="0.2">
      <c r="B21864" t="s">
        <v>333</v>
      </c>
    </row>
    <row r="21866" spans="1:3" x14ac:dyDescent="0.2">
      <c r="A21866" t="s">
        <v>7256</v>
      </c>
      <c r="B21866" t="str">
        <f>HYPERLINK("https://lindat.mff.cuni.cz/services/teitok/pdtc10/index.php?action=vallex&amp;frame=v-w2758f1", "odlétat (v-w2758f1)")</f>
        <v>odlétat (v-w2758f1)</v>
      </c>
    </row>
    <row r="21867" spans="1:3" x14ac:dyDescent="0.2">
      <c r="B21867" t="s">
        <v>1</v>
      </c>
    </row>
    <row r="21868" spans="1:3" x14ac:dyDescent="0.2">
      <c r="B21868" t="s">
        <v>333</v>
      </c>
    </row>
    <row r="21870" spans="1:3" x14ac:dyDescent="0.2">
      <c r="A21870" t="s">
        <v>7257</v>
      </c>
      <c r="B21870" t="str">
        <f>HYPERLINK("https://lindat.mff.cuni.cz/services/teitok/pdtc10/index.php?action=vallex&amp;frame=v-w10151f2", "odlít (v-w10151f2)")</f>
        <v>odlít (v-w10151f2)</v>
      </c>
    </row>
    <row r="21871" spans="1:3" x14ac:dyDescent="0.2">
      <c r="B21871" t="s">
        <v>1</v>
      </c>
    </row>
    <row r="21872" spans="1:3" x14ac:dyDescent="0.2">
      <c r="B21872" t="s">
        <v>8</v>
      </c>
    </row>
    <row r="21874" spans="1:4" x14ac:dyDescent="0.2">
      <c r="A21874" t="s">
        <v>7258</v>
      </c>
      <c r="B21874" t="str">
        <f>HYPERLINK("https://lindat.mff.cuni.cz/services/teitok/pdtc10/index.php?action=vallex&amp;frame=v-w10151hsa_2025", "odlít (v-w10151hsa_2025)")</f>
        <v>odlít (v-w10151hsa_2025)</v>
      </c>
    </row>
    <row r="21875" spans="1:4" x14ac:dyDescent="0.2">
      <c r="B21875" t="s">
        <v>1</v>
      </c>
    </row>
    <row r="21876" spans="1:4" x14ac:dyDescent="0.2">
      <c r="B21876" t="s">
        <v>8</v>
      </c>
    </row>
    <row r="21878" spans="1:4" x14ac:dyDescent="0.2">
      <c r="A21878" t="s">
        <v>7259</v>
      </c>
      <c r="B21878" t="str">
        <f>HYPERLINK("https://lindat.mff.cuni.cz/services/teitok/pdtc10/index.php?action=vallex&amp;frame=v-whsa_1798hsa_1799", "odmalovat (v-whsa_1798hsa_1799)")</f>
        <v>odmalovat (v-whsa_1798hsa_1799)</v>
      </c>
    </row>
    <row r="21879" spans="1:4" x14ac:dyDescent="0.2">
      <c r="B21879" t="s">
        <v>1</v>
      </c>
    </row>
    <row r="21880" spans="1:4" x14ac:dyDescent="0.2">
      <c r="B21880" t="s">
        <v>8</v>
      </c>
    </row>
    <row r="21882" spans="1:4" x14ac:dyDescent="0.2">
      <c r="A21882" t="s">
        <v>7260</v>
      </c>
      <c r="B21882" t="str">
        <f>HYPERLINK("https://lindat.mff.cuni.cz/services/teitok/pdtc10/index.php?action=vallex&amp;frame=v-w10103f2", "odmaturovat (v-w10103f2)")</f>
        <v>odmaturovat (v-w10103f2)</v>
      </c>
    </row>
    <row r="21883" spans="1:4" x14ac:dyDescent="0.2">
      <c r="B21883" t="s">
        <v>1</v>
      </c>
      <c r="D21883" t="s">
        <v>715</v>
      </c>
    </row>
    <row r="21884" spans="1:4" x14ac:dyDescent="0.2">
      <c r="B21884" t="s">
        <v>438</v>
      </c>
      <c r="D21884" t="s">
        <v>2691</v>
      </c>
    </row>
    <row r="21886" spans="1:4" x14ac:dyDescent="0.2">
      <c r="A21886" t="s">
        <v>7261</v>
      </c>
      <c r="B21886" t="str">
        <f>HYPERLINK("https://lindat.mff.cuni.cz/services/teitok/pdtc10/index.php?action=vallex&amp;frame=v-w11897_ZUf1_ZU", "odmlouvat (v-w11897_ZUf1_ZU)")</f>
        <v>odmlouvat (v-w11897_ZUf1_ZU)</v>
      </c>
    </row>
    <row r="21887" spans="1:4" x14ac:dyDescent="0.2">
      <c r="B21887" t="s">
        <v>1</v>
      </c>
    </row>
    <row r="21888" spans="1:4" x14ac:dyDescent="0.2">
      <c r="B21888" t="s">
        <v>103</v>
      </c>
    </row>
    <row r="21890" spans="1:3" x14ac:dyDescent="0.2">
      <c r="A21890" t="s">
        <v>7262</v>
      </c>
      <c r="B21890" t="str">
        <f>HYPERLINK("https://lindat.mff.cuni.cz/services/teitok/pdtc10/index.php?action=vallex&amp;frame=v-w2788f2_ZU", "odmlčet se (v-w2788f2_ZU)")</f>
        <v>odmlčet se (v-w2788f2_ZU)</v>
      </c>
    </row>
    <row r="21891" spans="1:3" x14ac:dyDescent="0.2">
      <c r="B21891" t="s">
        <v>1</v>
      </c>
    </row>
    <row r="21893" spans="1:3" x14ac:dyDescent="0.2">
      <c r="A21893" t="s">
        <v>7262</v>
      </c>
      <c r="B21893" t="str">
        <f>HYPERLINK("https://lindat.mff.cuni.cz/services/teitok/pdtc10/index.php?action=vallex&amp;frame=v-w2788f1", "odmlčet se (v-w2788f1) - substituted with v-w2788f2_ZU")</f>
        <v>odmlčet se (v-w2788f1) - substituted with v-w2788f2_ZU</v>
      </c>
    </row>
    <row r="21894" spans="1:3" x14ac:dyDescent="0.2">
      <c r="B21894" t="s">
        <v>1</v>
      </c>
      <c r="C21894" t="s">
        <v>83</v>
      </c>
    </row>
    <row r="21896" spans="1:3" x14ac:dyDescent="0.2">
      <c r="A21896" t="s">
        <v>7263</v>
      </c>
      <c r="B21896" t="str">
        <f>HYPERLINK("https://lindat.mff.cuni.cz/services/teitok/pdtc10/index.php?action=vallex&amp;frame=v-w2789f1", "odmontovat (v-w2789f1)")</f>
        <v>odmontovat (v-w2789f1)</v>
      </c>
    </row>
    <row r="21897" spans="1:3" x14ac:dyDescent="0.2">
      <c r="B21897" t="s">
        <v>1</v>
      </c>
    </row>
    <row r="21898" spans="1:3" x14ac:dyDescent="0.2">
      <c r="B21898" t="s">
        <v>8</v>
      </c>
    </row>
    <row r="21899" spans="1:3" x14ac:dyDescent="0.2">
      <c r="B21899" t="s">
        <v>333</v>
      </c>
    </row>
    <row r="21901" spans="1:3" x14ac:dyDescent="0.2">
      <c r="A21901" t="s">
        <v>7264</v>
      </c>
      <c r="B21901" t="str">
        <f>HYPERLINK("https://lindat.mff.cuni.cz/services/teitok/pdtc10/index.php?action=vallex&amp;frame=v-w2790f1", "odmrštit (v-w2790f1)")</f>
        <v>odmrštit (v-w2790f1)</v>
      </c>
    </row>
    <row r="21902" spans="1:3" x14ac:dyDescent="0.2">
      <c r="B21902" t="s">
        <v>1</v>
      </c>
    </row>
    <row r="21903" spans="1:3" x14ac:dyDescent="0.2">
      <c r="B21903" t="s">
        <v>8</v>
      </c>
    </row>
    <row r="21905" spans="1:3" x14ac:dyDescent="0.2">
      <c r="A21905" t="s">
        <v>7265</v>
      </c>
      <c r="B21905" t="str">
        <f>HYPERLINK("https://lindat.mff.cuni.cz/services/teitok/pdtc10/index.php?action=vallex&amp;frame=v-w2791f1", "odmyslit si (v-w2791f1)")</f>
        <v>odmyslit si (v-w2791f1)</v>
      </c>
    </row>
    <row r="21906" spans="1:3" x14ac:dyDescent="0.2">
      <c r="B21906" t="s">
        <v>1</v>
      </c>
    </row>
    <row r="21907" spans="1:3" x14ac:dyDescent="0.2">
      <c r="B21907" t="s">
        <v>8</v>
      </c>
    </row>
    <row r="21909" spans="1:3" x14ac:dyDescent="0.2">
      <c r="A21909" t="s">
        <v>7266</v>
      </c>
      <c r="B21909" t="str">
        <f>HYPERLINK("https://lindat.mff.cuni.cz/services/teitok/pdtc10/index.php?action=vallex&amp;frame=v-w2775f1", "odmávat (v-w2775f1)")</f>
        <v>odmávat (v-w2775f1)</v>
      </c>
    </row>
    <row r="21910" spans="1:3" x14ac:dyDescent="0.2">
      <c r="B21910" t="s">
        <v>1</v>
      </c>
    </row>
    <row r="21911" spans="1:3" x14ac:dyDescent="0.2">
      <c r="B21911" t="s">
        <v>8</v>
      </c>
    </row>
    <row r="21913" spans="1:3" x14ac:dyDescent="0.2">
      <c r="A21913" t="s">
        <v>7267</v>
      </c>
      <c r="B21913" t="str">
        <f>HYPERLINK("https://lindat.mff.cuni.cz/services/teitok/pdtc10/index.php?action=vallex&amp;frame=v-w12228_ZUf1_ZU", "odmávnout (v-w12228_ZUf1_ZU)")</f>
        <v>odmávnout (v-w12228_ZUf1_ZU)</v>
      </c>
    </row>
    <row r="21914" spans="1:3" x14ac:dyDescent="0.2">
      <c r="B21914" t="s">
        <v>1</v>
      </c>
    </row>
    <row r="21915" spans="1:3" x14ac:dyDescent="0.2">
      <c r="B21915" t="s">
        <v>8</v>
      </c>
    </row>
    <row r="21917" spans="1:3" x14ac:dyDescent="0.2">
      <c r="A21917" t="s">
        <v>7268</v>
      </c>
      <c r="B21917" t="str">
        <f>HYPERLINK("https://lindat.mff.cuni.cz/services/teitok/pdtc10/index.php?action=vallex&amp;frame=v-whsa_588hsa_589", "odmáčet (v-whsa_588hsa_589)")</f>
        <v>odmáčet (v-whsa_588hsa_589)</v>
      </c>
    </row>
    <row r="21918" spans="1:3" x14ac:dyDescent="0.2">
      <c r="B21918" t="s">
        <v>1</v>
      </c>
      <c r="C21918" t="s">
        <v>140</v>
      </c>
    </row>
    <row r="21919" spans="1:3" x14ac:dyDescent="0.2">
      <c r="B21919" t="s">
        <v>8</v>
      </c>
      <c r="C21919" t="s">
        <v>113</v>
      </c>
    </row>
    <row r="21921" spans="1:4" x14ac:dyDescent="0.2">
      <c r="A21921" t="s">
        <v>7269</v>
      </c>
      <c r="B21921" t="str">
        <f>HYPERLINK("https://lindat.mff.cuni.cz/services/teitok/pdtc10/index.php?action=vallex&amp;frame=v-w2784f3", "odmítat (v-w2784f3)")</f>
        <v>odmítat (v-w2784f3)</v>
      </c>
    </row>
    <row r="21922" spans="1:4" x14ac:dyDescent="0.2">
      <c r="B21922" t="s">
        <v>1</v>
      </c>
    </row>
    <row r="21923" spans="1:4" x14ac:dyDescent="0.2">
      <c r="B21923" t="s">
        <v>7115</v>
      </c>
    </row>
    <row r="21924" spans="1:4" x14ac:dyDescent="0.2">
      <c r="B21924" t="s">
        <v>35</v>
      </c>
    </row>
    <row r="21926" spans="1:4" x14ac:dyDescent="0.2">
      <c r="A21926" t="s">
        <v>7270</v>
      </c>
      <c r="B21926" t="str">
        <f>HYPERLINK("https://lindat.mff.cuni.cz/services/teitok/pdtc10/index.php?action=vallex&amp;frame=v-w2784f2", "odmítat (v-w2784f2)")</f>
        <v>odmítat (v-w2784f2)</v>
      </c>
    </row>
    <row r="21927" spans="1:4" x14ac:dyDescent="0.2">
      <c r="B21927" t="s">
        <v>1</v>
      </c>
      <c r="C21927" t="s">
        <v>7271</v>
      </c>
      <c r="D21927" t="s">
        <v>22989</v>
      </c>
    </row>
    <row r="21928" spans="1:4" x14ac:dyDescent="0.2">
      <c r="B21928" t="s">
        <v>7272</v>
      </c>
      <c r="C21928" t="s">
        <v>7273</v>
      </c>
      <c r="D21928" t="s">
        <v>22990</v>
      </c>
    </row>
    <row r="21930" spans="1:4" x14ac:dyDescent="0.2">
      <c r="A21930" t="s">
        <v>7274</v>
      </c>
      <c r="B21930" t="str">
        <f>HYPERLINK("https://lindat.mff.cuni.cz/services/teitok/pdtc10/index.php?action=vallex&amp;frame=v-w2784f1", "odmítat (v-w2784f1)")</f>
        <v>odmítat (v-w2784f1)</v>
      </c>
    </row>
    <row r="21931" spans="1:4" x14ac:dyDescent="0.2">
      <c r="B21931" t="s">
        <v>1</v>
      </c>
      <c r="C21931" t="s">
        <v>7275</v>
      </c>
      <c r="D21931" t="s">
        <v>22989</v>
      </c>
    </row>
    <row r="21932" spans="1:4" x14ac:dyDescent="0.2">
      <c r="B21932" t="s">
        <v>228</v>
      </c>
      <c r="C21932" t="s">
        <v>7276</v>
      </c>
      <c r="D21932" t="s">
        <v>22990</v>
      </c>
    </row>
    <row r="21934" spans="1:4" x14ac:dyDescent="0.2">
      <c r="A21934" t="s">
        <v>7277</v>
      </c>
      <c r="B21934" t="str">
        <f>HYPERLINK("https://lindat.mff.cuni.cz/services/teitok/pdtc10/index.php?action=vallex&amp;frame=v-w2784hsa_1030", "odmítat (v-w2784hsa_1030)")</f>
        <v>odmítat (v-w2784hsa_1030)</v>
      </c>
    </row>
    <row r="21935" spans="1:4" x14ac:dyDescent="0.2">
      <c r="B21935" t="s">
        <v>1</v>
      </c>
      <c r="C21935" t="s">
        <v>6039</v>
      </c>
      <c r="D21935" t="s">
        <v>22989</v>
      </c>
    </row>
    <row r="21936" spans="1:4" x14ac:dyDescent="0.2">
      <c r="B21936" t="s">
        <v>8</v>
      </c>
      <c r="C21936" t="s">
        <v>1351</v>
      </c>
      <c r="D21936" t="s">
        <v>22990</v>
      </c>
    </row>
    <row r="21938" spans="1:4" x14ac:dyDescent="0.2">
      <c r="A21938" t="s">
        <v>7278</v>
      </c>
      <c r="B21938" t="str">
        <f>HYPERLINK("https://lindat.mff.cuni.cz/services/teitok/pdtc10/index.php?action=vallex&amp;frame=v-w2785f3", "odmítnout (v-w2785f3)")</f>
        <v>odmítnout (v-w2785f3)</v>
      </c>
    </row>
    <row r="21939" spans="1:4" x14ac:dyDescent="0.2">
      <c r="B21939" t="s">
        <v>1</v>
      </c>
      <c r="C21939" t="s">
        <v>7279</v>
      </c>
    </row>
    <row r="21940" spans="1:4" x14ac:dyDescent="0.2">
      <c r="B21940" t="s">
        <v>7115</v>
      </c>
      <c r="C21940" t="s">
        <v>7280</v>
      </c>
    </row>
    <row r="21941" spans="1:4" x14ac:dyDescent="0.2">
      <c r="B21941" t="s">
        <v>35</v>
      </c>
    </row>
    <row r="21943" spans="1:4" x14ac:dyDescent="0.2">
      <c r="A21943" t="s">
        <v>7281</v>
      </c>
      <c r="B21943" t="str">
        <f>HYPERLINK("https://lindat.mff.cuni.cz/services/teitok/pdtc10/index.php?action=vallex&amp;frame=v-w2785f2", "odmítnout (v-w2785f2)")</f>
        <v>odmítnout (v-w2785f2)</v>
      </c>
    </row>
    <row r="21944" spans="1:4" x14ac:dyDescent="0.2">
      <c r="B21944" t="s">
        <v>7282</v>
      </c>
      <c r="C21944" t="s">
        <v>7283</v>
      </c>
      <c r="D21944" t="s">
        <v>22989</v>
      </c>
    </row>
    <row r="21945" spans="1:4" x14ac:dyDescent="0.2">
      <c r="B21945" t="s">
        <v>5074</v>
      </c>
      <c r="C21945" t="s">
        <v>7284</v>
      </c>
      <c r="D21945" t="s">
        <v>22990</v>
      </c>
    </row>
    <row r="21947" spans="1:4" x14ac:dyDescent="0.2">
      <c r="A21947" t="s">
        <v>7285</v>
      </c>
      <c r="B21947" t="str">
        <f>HYPERLINK("https://lindat.mff.cuni.cz/services/teitok/pdtc10/index.php?action=vallex&amp;frame=v-w2785f1", "odmítnout (v-w2785f1)")</f>
        <v>odmítnout (v-w2785f1)</v>
      </c>
    </row>
    <row r="21948" spans="1:4" x14ac:dyDescent="0.2">
      <c r="B21948" t="s">
        <v>1</v>
      </c>
      <c r="C21948" t="s">
        <v>7286</v>
      </c>
      <c r="D21948" t="s">
        <v>22989</v>
      </c>
    </row>
    <row r="21949" spans="1:4" x14ac:dyDescent="0.2">
      <c r="B21949" t="s">
        <v>228</v>
      </c>
      <c r="C21949" t="s">
        <v>7287</v>
      </c>
      <c r="D21949" t="s">
        <v>22990</v>
      </c>
    </row>
    <row r="21951" spans="1:4" x14ac:dyDescent="0.2">
      <c r="A21951" t="s">
        <v>7288</v>
      </c>
      <c r="B21951" t="str">
        <f>HYPERLINK("https://lindat.mff.cuni.cz/services/teitok/pdtc10/index.php?action=vallex&amp;frame=v-w2785hsa_1036", "odmítnout (v-w2785hsa_1036)")</f>
        <v>odmítnout (v-w2785hsa_1036)</v>
      </c>
    </row>
    <row r="21952" spans="1:4" x14ac:dyDescent="0.2">
      <c r="B21952" t="s">
        <v>1</v>
      </c>
      <c r="C21952" t="s">
        <v>6039</v>
      </c>
      <c r="D21952" t="s">
        <v>22989</v>
      </c>
    </row>
    <row r="21953" spans="1:4" x14ac:dyDescent="0.2">
      <c r="B21953" t="s">
        <v>8</v>
      </c>
      <c r="C21953" t="s">
        <v>1351</v>
      </c>
      <c r="D21953" t="s">
        <v>22990</v>
      </c>
    </row>
    <row r="21955" spans="1:4" x14ac:dyDescent="0.2">
      <c r="A21955" t="s">
        <v>7289</v>
      </c>
      <c r="B21955" t="str">
        <f>HYPERLINK("https://lindat.mff.cuni.cz/services/teitok/pdtc10/index.php?action=vallex&amp;frame=v-w2777f1", "odměnit (v-w2777f1)")</f>
        <v>odměnit (v-w2777f1)</v>
      </c>
    </row>
    <row r="21956" spans="1:4" x14ac:dyDescent="0.2">
      <c r="B21956" t="s">
        <v>1</v>
      </c>
      <c r="C21956" t="s">
        <v>80</v>
      </c>
    </row>
    <row r="21957" spans="1:4" x14ac:dyDescent="0.2">
      <c r="B21957" t="s">
        <v>8</v>
      </c>
      <c r="C21957" t="s">
        <v>7290</v>
      </c>
    </row>
    <row r="21959" spans="1:4" x14ac:dyDescent="0.2">
      <c r="A21959" t="s">
        <v>7291</v>
      </c>
      <c r="B21959" t="str">
        <f>HYPERLINK("https://lindat.mff.cuni.cz/services/teitok/pdtc10/index.php?action=vallex&amp;frame=v-w2778f1", "odměnit se (v-w2778f1)")</f>
        <v>odměnit se (v-w2778f1)</v>
      </c>
    </row>
    <row r="21960" spans="1:4" x14ac:dyDescent="0.2">
      <c r="B21960" t="s">
        <v>1</v>
      </c>
    </row>
    <row r="21961" spans="1:4" x14ac:dyDescent="0.2">
      <c r="B21961" t="s">
        <v>103</v>
      </c>
    </row>
    <row r="21963" spans="1:4" x14ac:dyDescent="0.2">
      <c r="A21963" t="s">
        <v>7292</v>
      </c>
      <c r="B21963" t="str">
        <f>HYPERLINK("https://lindat.mff.cuni.cz/services/teitok/pdtc10/index.php?action=vallex&amp;frame=v-w2780f1", "odměňovat (v-w2780f1)")</f>
        <v>odměňovat (v-w2780f1)</v>
      </c>
    </row>
    <row r="21964" spans="1:4" x14ac:dyDescent="0.2">
      <c r="B21964" t="s">
        <v>1</v>
      </c>
      <c r="C21964" t="s">
        <v>430</v>
      </c>
    </row>
    <row r="21965" spans="1:4" x14ac:dyDescent="0.2">
      <c r="B21965" t="s">
        <v>8</v>
      </c>
      <c r="C21965" t="s">
        <v>7293</v>
      </c>
    </row>
    <row r="21967" spans="1:4" x14ac:dyDescent="0.2">
      <c r="A21967" t="s">
        <v>7294</v>
      </c>
      <c r="B21967" t="str">
        <f>HYPERLINK("https://lindat.mff.cuni.cz/services/teitok/pdtc10/index.php?action=vallex&amp;frame=v-whsa_952hsa_953", "odměňovat se (v-whsa_952hsa_953)")</f>
        <v>odměňovat se (v-whsa_952hsa_953)</v>
      </c>
    </row>
    <row r="21968" spans="1:4" x14ac:dyDescent="0.2">
      <c r="B21968" t="s">
        <v>1</v>
      </c>
    </row>
    <row r="21969" spans="1:2" x14ac:dyDescent="0.2">
      <c r="B21969" t="s">
        <v>35</v>
      </c>
    </row>
    <row r="21970" spans="1:2" x14ac:dyDescent="0.2">
      <c r="B21970" t="s">
        <v>1382</v>
      </c>
    </row>
    <row r="21972" spans="1:2" x14ac:dyDescent="0.2">
      <c r="A21972" t="s">
        <v>7295</v>
      </c>
      <c r="B21972" t="str">
        <f>HYPERLINK("https://lindat.mff.cuni.cz/services/teitok/pdtc10/index.php?action=vallex&amp;frame=v-w2781f1", "odměřovat (v-w2781f1)")</f>
        <v>odměřovat (v-w2781f1)</v>
      </c>
    </row>
    <row r="21973" spans="1:2" x14ac:dyDescent="0.2">
      <c r="B21973" t="s">
        <v>1</v>
      </c>
    </row>
    <row r="21974" spans="1:2" x14ac:dyDescent="0.2">
      <c r="B21974" t="s">
        <v>8</v>
      </c>
    </row>
    <row r="21976" spans="1:2" x14ac:dyDescent="0.2">
      <c r="A21976" t="s">
        <v>7296</v>
      </c>
      <c r="B21976" t="str">
        <f>HYPERLINK("https://lindat.mff.cuni.cz/services/teitok/pdtc10/index.php?action=vallex&amp;frame=v-w2793f1", "odnaučit (v-w2793f1)")</f>
        <v>odnaučit (v-w2793f1)</v>
      </c>
    </row>
    <row r="21977" spans="1:2" x14ac:dyDescent="0.2">
      <c r="B21977" t="s">
        <v>1</v>
      </c>
    </row>
    <row r="21978" spans="1:2" x14ac:dyDescent="0.2">
      <c r="B21978" t="s">
        <v>7297</v>
      </c>
    </row>
    <row r="21979" spans="1:2" x14ac:dyDescent="0.2">
      <c r="B21979" t="s">
        <v>58</v>
      </c>
    </row>
    <row r="21981" spans="1:2" x14ac:dyDescent="0.2">
      <c r="A21981" t="s">
        <v>7298</v>
      </c>
      <c r="B21981" t="str">
        <f>HYPERLINK("https://lindat.mff.cuni.cz/services/teitok/pdtc10/index.php?action=vallex&amp;frame=v-w2794f1", "odnaučit se (v-w2794f1)")</f>
        <v>odnaučit se (v-w2794f1)</v>
      </c>
    </row>
    <row r="21982" spans="1:2" x14ac:dyDescent="0.2">
      <c r="B21982" t="s">
        <v>1</v>
      </c>
    </row>
    <row r="21983" spans="1:2" x14ac:dyDescent="0.2">
      <c r="B21983" t="s">
        <v>7299</v>
      </c>
    </row>
    <row r="21985" spans="1:4" x14ac:dyDescent="0.2">
      <c r="A21985" t="s">
        <v>7300</v>
      </c>
      <c r="B21985" t="str">
        <f>HYPERLINK("https://lindat.mff.cuni.cz/services/teitok/pdtc10/index.php?action=vallex&amp;frame=v-w10585f2", "odnárodnit (v-w10585f2)")</f>
        <v>odnárodnit (v-w10585f2)</v>
      </c>
    </row>
    <row r="21986" spans="1:4" x14ac:dyDescent="0.2">
      <c r="B21986" t="s">
        <v>1</v>
      </c>
    </row>
    <row r="21987" spans="1:4" x14ac:dyDescent="0.2">
      <c r="B21987" t="s">
        <v>8</v>
      </c>
    </row>
    <row r="21989" spans="1:4" x14ac:dyDescent="0.2">
      <c r="A21989" t="s">
        <v>7301</v>
      </c>
      <c r="B21989" t="str">
        <f>HYPERLINK("https://lindat.mff.cuni.cz/services/teitok/pdtc10/index.php?action=vallex&amp;frame=v-w2792f3", "odnášet (v-w2792f3)")</f>
        <v>odnášet (v-w2792f3)</v>
      </c>
    </row>
    <row r="21990" spans="1:4" x14ac:dyDescent="0.2">
      <c r="B21990" t="s">
        <v>1</v>
      </c>
      <c r="D21990" t="s">
        <v>7915</v>
      </c>
    </row>
    <row r="21991" spans="1:4" x14ac:dyDescent="0.2">
      <c r="B21991" t="s">
        <v>8</v>
      </c>
      <c r="D21991" t="s">
        <v>23119</v>
      </c>
    </row>
    <row r="21992" spans="1:4" x14ac:dyDescent="0.2">
      <c r="B21992" t="s">
        <v>2542</v>
      </c>
      <c r="D21992" t="s">
        <v>1544</v>
      </c>
    </row>
    <row r="21994" spans="1:4" x14ac:dyDescent="0.2">
      <c r="A21994" t="s">
        <v>7302</v>
      </c>
      <c r="B21994" t="str">
        <f>HYPERLINK("https://lindat.mff.cuni.cz/services/teitok/pdtc10/index.php?action=vallex&amp;frame=v-w2792f1", "odnášet (v-w2792f1)")</f>
        <v>odnášet (v-w2792f1)</v>
      </c>
    </row>
    <row r="21995" spans="1:4" x14ac:dyDescent="0.2">
      <c r="B21995" t="s">
        <v>1</v>
      </c>
      <c r="D21995" t="s">
        <v>3580</v>
      </c>
    </row>
    <row r="21996" spans="1:4" x14ac:dyDescent="0.2">
      <c r="B21996" t="s">
        <v>8</v>
      </c>
      <c r="D21996" t="s">
        <v>23652</v>
      </c>
    </row>
    <row r="21997" spans="1:4" x14ac:dyDescent="0.2">
      <c r="B21997" t="s">
        <v>333</v>
      </c>
    </row>
    <row r="21999" spans="1:4" x14ac:dyDescent="0.2">
      <c r="A21999" t="s">
        <v>7303</v>
      </c>
      <c r="B21999" t="str">
        <f>HYPERLINK("https://lindat.mff.cuni.cz/services/teitok/pdtc10/index.php?action=vallex&amp;frame=v-w2792f2", "odnášet (v-w2792f2)")</f>
        <v>odnášet (v-w2792f2)</v>
      </c>
    </row>
    <row r="22000" spans="1:4" x14ac:dyDescent="0.2">
      <c r="B22000" t="s">
        <v>1</v>
      </c>
    </row>
    <row r="22001" spans="1:4" x14ac:dyDescent="0.2">
      <c r="B22001" t="s">
        <v>8</v>
      </c>
    </row>
    <row r="22002" spans="1:4" x14ac:dyDescent="0.2">
      <c r="B22002" t="s">
        <v>90</v>
      </c>
    </row>
    <row r="22004" spans="1:4" x14ac:dyDescent="0.2">
      <c r="A22004" t="s">
        <v>7304</v>
      </c>
      <c r="B22004" t="str">
        <f>HYPERLINK("https://lindat.mff.cuni.cz/services/teitok/pdtc10/index.php?action=vallex&amp;frame=v-w2792f4_ZU", "odnášet (v-w2792f4_ZU)")</f>
        <v>odnášet (v-w2792f4_ZU)</v>
      </c>
    </row>
    <row r="22005" spans="1:4" x14ac:dyDescent="0.2">
      <c r="B22005" t="s">
        <v>1</v>
      </c>
    </row>
    <row r="22006" spans="1:4" x14ac:dyDescent="0.2">
      <c r="B22006" t="s">
        <v>8</v>
      </c>
    </row>
    <row r="22008" spans="1:4" x14ac:dyDescent="0.2">
      <c r="A22008" t="s">
        <v>7305</v>
      </c>
      <c r="B22008" t="str">
        <f>HYPERLINK("https://lindat.mff.cuni.cz/services/teitok/pdtc10/index.php?action=vallex&amp;frame=v-w2796f4", "odnést (v-w2796f4)")</f>
        <v>odnést (v-w2796f4)</v>
      </c>
    </row>
    <row r="22009" spans="1:4" x14ac:dyDescent="0.2">
      <c r="B22009" t="s">
        <v>1</v>
      </c>
      <c r="D22009" t="s">
        <v>7915</v>
      </c>
    </row>
    <row r="22010" spans="1:4" x14ac:dyDescent="0.2">
      <c r="B22010" t="s">
        <v>8</v>
      </c>
      <c r="D22010" t="s">
        <v>23119</v>
      </c>
    </row>
    <row r="22011" spans="1:4" x14ac:dyDescent="0.2">
      <c r="B22011" t="s">
        <v>2542</v>
      </c>
      <c r="D22011" t="s">
        <v>1544</v>
      </c>
    </row>
    <row r="22013" spans="1:4" x14ac:dyDescent="0.2">
      <c r="A22013" t="s">
        <v>7306</v>
      </c>
      <c r="B22013" t="str">
        <f>HYPERLINK("https://lindat.mff.cuni.cz/services/teitok/pdtc10/index.php?action=vallex&amp;frame=v-w2796f1", "odnést (v-w2796f1)")</f>
        <v>odnést (v-w2796f1)</v>
      </c>
    </row>
    <row r="22014" spans="1:4" x14ac:dyDescent="0.2">
      <c r="B22014" t="s">
        <v>1</v>
      </c>
      <c r="C22014" t="s">
        <v>109</v>
      </c>
      <c r="D22014" t="s">
        <v>3580</v>
      </c>
    </row>
    <row r="22015" spans="1:4" x14ac:dyDescent="0.2">
      <c r="B22015" t="s">
        <v>8</v>
      </c>
      <c r="C22015" t="s">
        <v>2344</v>
      </c>
      <c r="D22015" t="s">
        <v>23652</v>
      </c>
    </row>
    <row r="22016" spans="1:4" x14ac:dyDescent="0.2">
      <c r="B22016" t="s">
        <v>333</v>
      </c>
    </row>
    <row r="22018" spans="1:4" x14ac:dyDescent="0.2">
      <c r="A22018" t="s">
        <v>7307</v>
      </c>
      <c r="B22018" t="str">
        <f>HYPERLINK("https://lindat.mff.cuni.cz/services/teitok/pdtc10/index.php?action=vallex&amp;frame=v-w2796f5", "odnést (v-w2796f5)")</f>
        <v>odnést (v-w2796f5)</v>
      </c>
    </row>
    <row r="22019" spans="1:4" x14ac:dyDescent="0.2">
      <c r="B22019" t="s">
        <v>1</v>
      </c>
      <c r="D22019" t="s">
        <v>7915</v>
      </c>
    </row>
    <row r="22020" spans="1:4" x14ac:dyDescent="0.2">
      <c r="B22020" t="s">
        <v>8</v>
      </c>
      <c r="D22020" t="s">
        <v>23119</v>
      </c>
    </row>
    <row r="22021" spans="1:4" x14ac:dyDescent="0.2">
      <c r="B22021" t="s">
        <v>90</v>
      </c>
      <c r="D22021" t="s">
        <v>1466</v>
      </c>
    </row>
    <row r="22023" spans="1:4" x14ac:dyDescent="0.2">
      <c r="A22023" t="s">
        <v>7308</v>
      </c>
      <c r="B22023" t="str">
        <f>HYPERLINK("https://lindat.mff.cuni.cz/services/teitok/pdtc10/index.php?action=vallex&amp;frame=v-w2796f2", "odnést (v-w2796f2)")</f>
        <v>odnést (v-w2796f2)</v>
      </c>
    </row>
    <row r="22024" spans="1:4" x14ac:dyDescent="0.2">
      <c r="B22024" t="s">
        <v>1</v>
      </c>
      <c r="D22024" t="s">
        <v>23656</v>
      </c>
    </row>
    <row r="22025" spans="1:4" x14ac:dyDescent="0.2">
      <c r="B22025" t="s">
        <v>8</v>
      </c>
      <c r="D22025" t="s">
        <v>23657</v>
      </c>
    </row>
    <row r="22027" spans="1:4" x14ac:dyDescent="0.2">
      <c r="A22027" t="s">
        <v>7309</v>
      </c>
      <c r="B22027" t="str">
        <f>HYPERLINK("https://lindat.mff.cuni.cz/services/teitok/pdtc10/index.php?action=vallex&amp;frame=v-w2796f3", "odnést (v-w2796f3)")</f>
        <v>odnést (v-w2796f3)</v>
      </c>
    </row>
    <row r="22028" spans="1:4" x14ac:dyDescent="0.2">
      <c r="B22028" t="s">
        <v>1</v>
      </c>
    </row>
    <row r="22029" spans="1:4" x14ac:dyDescent="0.2">
      <c r="B22029" t="s">
        <v>8</v>
      </c>
    </row>
    <row r="22031" spans="1:4" x14ac:dyDescent="0.2">
      <c r="A22031" t="s">
        <v>7310</v>
      </c>
      <c r="B22031" t="str">
        <f>HYPERLINK("https://lindat.mff.cuni.cz/services/teitok/pdtc10/index.php?action=vallex&amp;frame=v-w2797f1", "odnést si (v-w2797f1)")</f>
        <v>odnést si (v-w2797f1)</v>
      </c>
    </row>
    <row r="22032" spans="1:4" x14ac:dyDescent="0.2">
      <c r="B22032" t="s">
        <v>1</v>
      </c>
    </row>
    <row r="22033" spans="1:4" x14ac:dyDescent="0.2">
      <c r="B22033" t="s">
        <v>8</v>
      </c>
    </row>
    <row r="22035" spans="1:4" x14ac:dyDescent="0.2">
      <c r="A22035" t="s">
        <v>7311</v>
      </c>
      <c r="B22035" t="str">
        <f>HYPERLINK("https://lindat.mff.cuni.cz/services/teitok/pdtc10/index.php?action=vallex&amp;frame=v-w2799f2_ZU", "odolat (v-w2799f2_ZU)")</f>
        <v>odolat (v-w2799f2_ZU)</v>
      </c>
    </row>
    <row r="22036" spans="1:4" x14ac:dyDescent="0.2">
      <c r="B22036" t="s">
        <v>1</v>
      </c>
    </row>
    <row r="22037" spans="1:4" x14ac:dyDescent="0.2">
      <c r="B22037" t="s">
        <v>7312</v>
      </c>
    </row>
    <row r="22039" spans="1:4" x14ac:dyDescent="0.2">
      <c r="A22039" t="s">
        <v>7311</v>
      </c>
      <c r="B22039" t="str">
        <f>HYPERLINK("https://lindat.mff.cuni.cz/services/teitok/pdtc10/index.php?action=vallex&amp;frame=v-w2799f1", "odolat (v-w2799f1) - substituted with v-w2799f2_ZU")</f>
        <v>odolat (v-w2799f1) - substituted with v-w2799f2_ZU</v>
      </c>
    </row>
    <row r="22040" spans="1:4" x14ac:dyDescent="0.2">
      <c r="B22040" t="s">
        <v>1</v>
      </c>
      <c r="C22040" t="s">
        <v>7313</v>
      </c>
      <c r="D22040" t="s">
        <v>14822</v>
      </c>
    </row>
    <row r="22041" spans="1:4" x14ac:dyDescent="0.2">
      <c r="B22041" t="s">
        <v>7312</v>
      </c>
      <c r="C22041" t="s">
        <v>7314</v>
      </c>
      <c r="D22041" t="s">
        <v>23658</v>
      </c>
    </row>
    <row r="22043" spans="1:4" x14ac:dyDescent="0.2">
      <c r="A22043" t="s">
        <v>7315</v>
      </c>
      <c r="B22043" t="str">
        <f>HYPERLINK("https://lindat.mff.cuni.cz/services/teitok/pdtc10/index.php?action=vallex&amp;frame=v-w2800f1", "odolávat (v-w2800f1)")</f>
        <v>odolávat (v-w2800f1)</v>
      </c>
    </row>
    <row r="22044" spans="1:4" x14ac:dyDescent="0.2">
      <c r="B22044" t="s">
        <v>1</v>
      </c>
      <c r="C22044" t="s">
        <v>4110</v>
      </c>
      <c r="D22044" t="s">
        <v>14822</v>
      </c>
    </row>
    <row r="22045" spans="1:4" x14ac:dyDescent="0.2">
      <c r="B22045" t="s">
        <v>103</v>
      </c>
      <c r="C22045" t="s">
        <v>2344</v>
      </c>
      <c r="D22045" t="s">
        <v>23658</v>
      </c>
    </row>
    <row r="22047" spans="1:4" x14ac:dyDescent="0.2">
      <c r="A22047" t="s">
        <v>7316</v>
      </c>
      <c r="B22047" t="str">
        <f>HYPERLINK("https://lindat.mff.cuni.cz/services/teitok/pdtc10/index.php?action=vallex&amp;frame=v-w12261_ZUf1_ZU", "odoperovat (v-w12261_ZUf1_ZU)")</f>
        <v>odoperovat (v-w12261_ZUf1_ZU)</v>
      </c>
    </row>
    <row r="22048" spans="1:4" x14ac:dyDescent="0.2">
      <c r="B22048" t="s">
        <v>1</v>
      </c>
    </row>
    <row r="22049" spans="1:3" x14ac:dyDescent="0.2">
      <c r="B22049" t="s">
        <v>8</v>
      </c>
    </row>
    <row r="22051" spans="1:3" x14ac:dyDescent="0.2">
      <c r="A22051" t="s">
        <v>7317</v>
      </c>
      <c r="B22051" t="str">
        <f>HYPERLINK("https://lindat.mff.cuni.cz/services/teitok/pdtc10/index.php?action=vallex&amp;frame=v-whsa_85hsa_86", "odorat (v-whsa_85hsa_86)")</f>
        <v>odorat (v-whsa_85hsa_86)</v>
      </c>
    </row>
    <row r="22052" spans="1:3" x14ac:dyDescent="0.2">
      <c r="B22052" t="s">
        <v>1</v>
      </c>
    </row>
    <row r="22053" spans="1:3" x14ac:dyDescent="0.2">
      <c r="B22053" t="s">
        <v>8</v>
      </c>
    </row>
    <row r="22055" spans="1:3" x14ac:dyDescent="0.2">
      <c r="A22055" t="s">
        <v>7318</v>
      </c>
      <c r="B22055" t="str">
        <f>HYPERLINK("https://lindat.mff.cuni.cz/services/teitok/pdtc10/index.php?action=vallex&amp;frame=v-w2804f1", "odpadat (v-w2804f1)")</f>
        <v>odpadat (v-w2804f1)</v>
      </c>
    </row>
    <row r="22056" spans="1:3" x14ac:dyDescent="0.2">
      <c r="B22056" t="s">
        <v>1</v>
      </c>
    </row>
    <row r="22058" spans="1:3" x14ac:dyDescent="0.2">
      <c r="A22058" t="s">
        <v>7319</v>
      </c>
      <c r="B22058" t="str">
        <f>HYPERLINK("https://lindat.mff.cuni.cz/services/teitok/pdtc10/index.php?action=vallex&amp;frame=v-w2805f1", "odpadnout (v-w2805f1)")</f>
        <v>odpadnout (v-w2805f1)</v>
      </c>
    </row>
    <row r="22059" spans="1:3" x14ac:dyDescent="0.2">
      <c r="B22059" t="s">
        <v>1</v>
      </c>
      <c r="C22059" t="s">
        <v>7320</v>
      </c>
    </row>
    <row r="22061" spans="1:3" x14ac:dyDescent="0.2">
      <c r="A22061" t="s">
        <v>7321</v>
      </c>
      <c r="B22061" t="str">
        <f>HYPERLINK("https://lindat.mff.cuni.cz/services/teitok/pdtc10/index.php?action=vallex&amp;frame=v-w2805f2", "odpadnout (v-w2805f2)")</f>
        <v>odpadnout (v-w2805f2)</v>
      </c>
    </row>
    <row r="22062" spans="1:3" x14ac:dyDescent="0.2">
      <c r="B22062" t="s">
        <v>1</v>
      </c>
      <c r="C22062" t="s">
        <v>7322</v>
      </c>
    </row>
    <row r="22064" spans="1:3" x14ac:dyDescent="0.2">
      <c r="A22064" t="s">
        <v>7323</v>
      </c>
      <c r="B22064" t="str">
        <f>HYPERLINK("https://lindat.mff.cuni.cz/services/teitok/pdtc10/index.php?action=vallex&amp;frame=v-w12236_ZUf1_ZU", "odpadávat (v-w12236_ZUf1_ZU)")</f>
        <v>odpadávat (v-w12236_ZUf1_ZU)</v>
      </c>
    </row>
    <row r="22065" spans="1:3" x14ac:dyDescent="0.2">
      <c r="B22065" t="s">
        <v>1</v>
      </c>
    </row>
    <row r="22067" spans="1:3" x14ac:dyDescent="0.2">
      <c r="A22067" t="s">
        <v>7324</v>
      </c>
      <c r="B22067" t="str">
        <f>HYPERLINK("https://lindat.mff.cuni.cz/services/teitok/pdtc10/index.php?action=vallex&amp;frame=v-w11059f2", "odpalovat (v-w11059f2)")</f>
        <v>odpalovat (v-w11059f2)</v>
      </c>
    </row>
    <row r="22068" spans="1:3" x14ac:dyDescent="0.2">
      <c r="B22068" t="s">
        <v>1</v>
      </c>
      <c r="C22068" t="s">
        <v>7325</v>
      </c>
    </row>
    <row r="22069" spans="1:3" x14ac:dyDescent="0.2">
      <c r="B22069" t="s">
        <v>8</v>
      </c>
      <c r="C22069" t="s">
        <v>2113</v>
      </c>
    </row>
    <row r="22071" spans="1:3" x14ac:dyDescent="0.2">
      <c r="A22071" t="s">
        <v>7326</v>
      </c>
      <c r="B22071" t="str">
        <f>HYPERLINK("https://lindat.mff.cuni.cz/services/teitok/pdtc10/index.php?action=vallex&amp;frame=v-w2813f1", "odplavit (v-w2813f1)")</f>
        <v>odplavit (v-w2813f1)</v>
      </c>
    </row>
    <row r="22072" spans="1:3" x14ac:dyDescent="0.2">
      <c r="B22072" t="s">
        <v>1</v>
      </c>
    </row>
    <row r="22073" spans="1:3" x14ac:dyDescent="0.2">
      <c r="B22073" t="s">
        <v>8</v>
      </c>
    </row>
    <row r="22075" spans="1:3" x14ac:dyDescent="0.2">
      <c r="A22075" t="s">
        <v>7327</v>
      </c>
      <c r="B22075" t="str">
        <f>HYPERLINK("https://lindat.mff.cuni.cz/services/teitok/pdtc10/index.php?action=vallex&amp;frame=v-whsa_589hsa_590", "odplevelit (v-whsa_589hsa_590)")</f>
        <v>odplevelit (v-whsa_589hsa_590)</v>
      </c>
    </row>
    <row r="22076" spans="1:3" x14ac:dyDescent="0.2">
      <c r="B22076" t="s">
        <v>1</v>
      </c>
    </row>
    <row r="22077" spans="1:3" x14ac:dyDescent="0.2">
      <c r="B22077" t="s">
        <v>8</v>
      </c>
    </row>
    <row r="22079" spans="1:3" x14ac:dyDescent="0.2">
      <c r="A22079" t="s">
        <v>7328</v>
      </c>
      <c r="B22079" t="str">
        <f>HYPERLINK("https://lindat.mff.cuni.cz/services/teitok/pdtc10/index.php?action=vallex&amp;frame=v-w2815f1", "odplout (v-w2815f1)")</f>
        <v>odplout (v-w2815f1)</v>
      </c>
    </row>
    <row r="22080" spans="1:3" x14ac:dyDescent="0.2">
      <c r="B22080" t="s">
        <v>1</v>
      </c>
    </row>
    <row r="22081" spans="1:2" x14ac:dyDescent="0.2">
      <c r="B22081" t="s">
        <v>333</v>
      </c>
    </row>
    <row r="22083" spans="1:2" x14ac:dyDescent="0.2">
      <c r="A22083" t="s">
        <v>7329</v>
      </c>
      <c r="B22083" t="str">
        <f>HYPERLINK("https://lindat.mff.cuni.cz/services/teitok/pdtc10/index.php?action=vallex&amp;frame=v-w2816f1", "odplouvat (v-w2816f1)")</f>
        <v>odplouvat (v-w2816f1)</v>
      </c>
    </row>
    <row r="22084" spans="1:2" x14ac:dyDescent="0.2">
      <c r="B22084" t="s">
        <v>1</v>
      </c>
    </row>
    <row r="22085" spans="1:2" x14ac:dyDescent="0.2">
      <c r="B22085" t="s">
        <v>333</v>
      </c>
    </row>
    <row r="22087" spans="1:2" x14ac:dyDescent="0.2">
      <c r="A22087" t="s">
        <v>7330</v>
      </c>
      <c r="B22087" t="str">
        <f>HYPERLINK("https://lindat.mff.cuni.cz/services/teitok/pdtc10/index.php?action=vallex&amp;frame=v-w11222f2", "odplynout (v-w11222f2)")</f>
        <v>odplynout (v-w11222f2)</v>
      </c>
    </row>
    <row r="22088" spans="1:2" x14ac:dyDescent="0.2">
      <c r="B22088" t="s">
        <v>1</v>
      </c>
    </row>
    <row r="22090" spans="1:2" x14ac:dyDescent="0.2">
      <c r="A22090" t="s">
        <v>7331</v>
      </c>
      <c r="B22090" t="str">
        <f>HYPERLINK("https://lindat.mff.cuni.cz/services/teitok/pdtc10/index.php?action=vallex&amp;frame=v-w2814f1", "odplížit se (v-w2814f1)")</f>
        <v>odplížit se (v-w2814f1)</v>
      </c>
    </row>
    <row r="22091" spans="1:2" x14ac:dyDescent="0.2">
      <c r="B22091" t="s">
        <v>1</v>
      </c>
    </row>
    <row r="22092" spans="1:2" x14ac:dyDescent="0.2">
      <c r="B22092" t="s">
        <v>333</v>
      </c>
    </row>
    <row r="22094" spans="1:2" x14ac:dyDescent="0.2">
      <c r="A22094" t="s">
        <v>7332</v>
      </c>
      <c r="B22094" t="str">
        <f>HYPERLINK("https://lindat.mff.cuni.cz/services/teitok/pdtc10/index.php?action=vallex&amp;frame=v-w2821f2", "odpochodovat (v-w2821f2)")</f>
        <v>odpochodovat (v-w2821f2)</v>
      </c>
    </row>
    <row r="22095" spans="1:2" x14ac:dyDescent="0.2">
      <c r="B22095" t="s">
        <v>1</v>
      </c>
    </row>
    <row r="22096" spans="1:2" x14ac:dyDescent="0.2">
      <c r="B22096" t="s">
        <v>333</v>
      </c>
    </row>
    <row r="22098" spans="1:4" x14ac:dyDescent="0.2">
      <c r="A22098" t="s">
        <v>7333</v>
      </c>
      <c r="B22098" t="str">
        <f>HYPERLINK("https://lindat.mff.cuni.cz/services/teitok/pdtc10/index.php?action=vallex&amp;frame=v-w2821f1", "odpochodovat (v-w2821f1)")</f>
        <v>odpochodovat (v-w2821f1)</v>
      </c>
    </row>
    <row r="22099" spans="1:4" x14ac:dyDescent="0.2">
      <c r="B22099" t="s">
        <v>1</v>
      </c>
    </row>
    <row r="22101" spans="1:4" x14ac:dyDescent="0.2">
      <c r="A22101" t="s">
        <v>7334</v>
      </c>
      <c r="B22101" t="str">
        <f>HYPERLINK("https://lindat.mff.cuni.cz/services/teitok/pdtc10/index.php?action=vallex&amp;frame=v-w10428f2", "odpojit (v-w10428f2)")</f>
        <v>odpojit (v-w10428f2)</v>
      </c>
    </row>
    <row r="22102" spans="1:4" x14ac:dyDescent="0.2">
      <c r="B22102" t="s">
        <v>1</v>
      </c>
      <c r="C22102" t="s">
        <v>140</v>
      </c>
      <c r="D22102" t="s">
        <v>140</v>
      </c>
    </row>
    <row r="22103" spans="1:4" x14ac:dyDescent="0.2">
      <c r="B22103" t="s">
        <v>8</v>
      </c>
      <c r="C22103" t="s">
        <v>1128</v>
      </c>
      <c r="D22103" t="s">
        <v>1128</v>
      </c>
    </row>
    <row r="22105" spans="1:4" x14ac:dyDescent="0.2">
      <c r="A22105" t="s">
        <v>7335</v>
      </c>
      <c r="B22105" t="str">
        <f>HYPERLINK("https://lindat.mff.cuni.cz/services/teitok/pdtc10/index.php?action=vallex&amp;frame=v-w10428hsa_220", "odpojit (v-w10428hsa_220)")</f>
        <v>odpojit (v-w10428hsa_220)</v>
      </c>
    </row>
    <row r="22106" spans="1:4" x14ac:dyDescent="0.2">
      <c r="B22106" t="s">
        <v>1</v>
      </c>
    </row>
    <row r="22107" spans="1:4" x14ac:dyDescent="0.2">
      <c r="B22107" t="s">
        <v>8</v>
      </c>
    </row>
    <row r="22108" spans="1:4" x14ac:dyDescent="0.2">
      <c r="B22108" t="s">
        <v>333</v>
      </c>
    </row>
    <row r="22110" spans="1:4" x14ac:dyDescent="0.2">
      <c r="A22110" t="s">
        <v>7336</v>
      </c>
      <c r="B22110" t="str">
        <f>HYPERLINK("https://lindat.mff.cuni.cz/services/teitok/pdtc10/index.php?action=vallex&amp;frame=v-w2823f1", "odpolitizovat (v-w2823f1)")</f>
        <v>odpolitizovat (v-w2823f1)</v>
      </c>
    </row>
    <row r="22111" spans="1:4" x14ac:dyDescent="0.2">
      <c r="B22111" t="s">
        <v>1</v>
      </c>
    </row>
    <row r="22112" spans="1:4" x14ac:dyDescent="0.2">
      <c r="B22112" t="s">
        <v>8</v>
      </c>
    </row>
    <row r="22114" spans="1:4" x14ac:dyDescent="0.2">
      <c r="A22114" t="s">
        <v>7337</v>
      </c>
      <c r="B22114" t="str">
        <f>HYPERLINK("https://lindat.mff.cuni.cz/services/teitok/pdtc10/index.php?action=vallex&amp;frame=v-w2824f1", "odpomoci (v-w2824f1)")</f>
        <v>odpomoci (v-w2824f1)</v>
      </c>
    </row>
    <row r="22115" spans="1:4" x14ac:dyDescent="0.2">
      <c r="B22115" t="s">
        <v>811</v>
      </c>
    </row>
    <row r="22116" spans="1:4" x14ac:dyDescent="0.2">
      <c r="B22116" t="s">
        <v>35</v>
      </c>
    </row>
    <row r="22117" spans="1:4" x14ac:dyDescent="0.2">
      <c r="B22117" t="s">
        <v>7338</v>
      </c>
    </row>
    <row r="22119" spans="1:4" x14ac:dyDescent="0.2">
      <c r="A22119" t="s">
        <v>7339</v>
      </c>
      <c r="B22119" t="str">
        <f>HYPERLINK("https://lindat.mff.cuni.cz/services/teitok/pdtc10/index.php?action=vallex&amp;frame=v-w2826f1", "odporovat (v-w2826f1)")</f>
        <v>odporovat (v-w2826f1)</v>
      </c>
    </row>
    <row r="22120" spans="1:4" x14ac:dyDescent="0.2">
      <c r="B22120" t="s">
        <v>1</v>
      </c>
      <c r="C22120" t="s">
        <v>7340</v>
      </c>
      <c r="D22120" t="s">
        <v>133</v>
      </c>
    </row>
    <row r="22121" spans="1:4" x14ac:dyDescent="0.2">
      <c r="B22121" t="s">
        <v>103</v>
      </c>
      <c r="C22121" t="s">
        <v>23</v>
      </c>
      <c r="D22121" t="s">
        <v>23</v>
      </c>
    </row>
    <row r="22123" spans="1:4" x14ac:dyDescent="0.2">
      <c r="A22123" t="s">
        <v>7341</v>
      </c>
      <c r="B22123" t="str">
        <f>HYPERLINK("https://lindat.mff.cuni.cz/services/teitok/pdtc10/index.php?action=vallex&amp;frame=v-w2826f2_ZU", "odporovat (v-w2826f2_ZU)")</f>
        <v>odporovat (v-w2826f2_ZU)</v>
      </c>
    </row>
    <row r="22124" spans="1:4" x14ac:dyDescent="0.2">
      <c r="B22124" t="s">
        <v>1</v>
      </c>
      <c r="C22124" t="s">
        <v>334</v>
      </c>
    </row>
    <row r="22125" spans="1:4" x14ac:dyDescent="0.2">
      <c r="B22125" t="s">
        <v>7342</v>
      </c>
      <c r="C22125" t="s">
        <v>4151</v>
      </c>
    </row>
    <row r="22127" spans="1:4" x14ac:dyDescent="0.2">
      <c r="A22127" t="s">
        <v>7343</v>
      </c>
      <c r="B22127" t="str">
        <f>HYPERLINK("https://lindat.mff.cuni.cz/services/teitok/pdtc10/index.php?action=vallex&amp;frame=v-w10898f2", "odposlechnout (v-w10898f2)")</f>
        <v>odposlechnout (v-w10898f2)</v>
      </c>
    </row>
    <row r="22128" spans="1:4" x14ac:dyDescent="0.2">
      <c r="B22128" t="s">
        <v>1</v>
      </c>
    </row>
    <row r="22129" spans="1:3" x14ac:dyDescent="0.2">
      <c r="B22129" t="s">
        <v>8</v>
      </c>
    </row>
    <row r="22131" spans="1:3" x14ac:dyDescent="0.2">
      <c r="A22131" t="s">
        <v>7344</v>
      </c>
      <c r="B22131" t="str">
        <f>HYPERLINK("https://lindat.mff.cuni.cz/services/teitok/pdtc10/index.php?action=vallex&amp;frame=v-w12177_ZUf1_ZU", "odposlouchat (v-w12177_ZUf1_ZU)")</f>
        <v>odposlouchat (v-w12177_ZUf1_ZU)</v>
      </c>
    </row>
    <row r="22132" spans="1:3" x14ac:dyDescent="0.2">
      <c r="B22132" t="s">
        <v>1</v>
      </c>
    </row>
    <row r="22133" spans="1:3" x14ac:dyDescent="0.2">
      <c r="B22133" t="s">
        <v>8</v>
      </c>
    </row>
    <row r="22134" spans="1:3" x14ac:dyDescent="0.2">
      <c r="B22134" t="s">
        <v>321</v>
      </c>
    </row>
    <row r="22136" spans="1:3" x14ac:dyDescent="0.2">
      <c r="A22136" t="s">
        <v>7345</v>
      </c>
      <c r="B22136" t="str">
        <f>HYPERLINK("https://lindat.mff.cuni.cz/services/teitok/pdtc10/index.php?action=vallex&amp;frame=v-w10534f2", "odposlouchávat (v-w10534f2)")</f>
        <v>odposlouchávat (v-w10534f2)</v>
      </c>
    </row>
    <row r="22137" spans="1:3" x14ac:dyDescent="0.2">
      <c r="B22137" t="s">
        <v>1</v>
      </c>
      <c r="C22137" t="s">
        <v>7346</v>
      </c>
    </row>
    <row r="22138" spans="1:3" x14ac:dyDescent="0.2">
      <c r="B22138" t="s">
        <v>8</v>
      </c>
      <c r="C22138" t="s">
        <v>7347</v>
      </c>
    </row>
    <row r="22140" spans="1:3" x14ac:dyDescent="0.2">
      <c r="A22140" t="s">
        <v>7348</v>
      </c>
      <c r="B22140" t="str">
        <f>HYPERLINK("https://lindat.mff.cuni.cz/services/teitok/pdtc10/index.php?action=vallex&amp;frame=v-w2830f1", "odpoutat (v-w2830f1)")</f>
        <v>odpoutat (v-w2830f1)</v>
      </c>
    </row>
    <row r="22141" spans="1:3" x14ac:dyDescent="0.2">
      <c r="B22141" t="s">
        <v>1</v>
      </c>
    </row>
    <row r="22142" spans="1:3" x14ac:dyDescent="0.2">
      <c r="B22142" t="s">
        <v>8</v>
      </c>
    </row>
    <row r="22143" spans="1:3" x14ac:dyDescent="0.2">
      <c r="B22143" t="s">
        <v>321</v>
      </c>
    </row>
    <row r="22145" spans="1:4" x14ac:dyDescent="0.2">
      <c r="A22145" t="s">
        <v>7349</v>
      </c>
      <c r="B22145" t="str">
        <f>HYPERLINK("https://lindat.mff.cuni.cz/services/teitok/pdtc10/index.php?action=vallex&amp;frame=v-w2830f2", "odpoutat (v-w2830f2)")</f>
        <v>odpoutat (v-w2830f2)</v>
      </c>
    </row>
    <row r="22146" spans="1:4" x14ac:dyDescent="0.2">
      <c r="B22146" t="s">
        <v>1</v>
      </c>
    </row>
    <row r="22147" spans="1:4" x14ac:dyDescent="0.2">
      <c r="B22147" t="s">
        <v>8</v>
      </c>
    </row>
    <row r="22148" spans="1:4" x14ac:dyDescent="0.2">
      <c r="B22148" t="s">
        <v>333</v>
      </c>
    </row>
    <row r="22150" spans="1:4" x14ac:dyDescent="0.2">
      <c r="A22150" t="s">
        <v>7350</v>
      </c>
      <c r="B22150" t="str">
        <f>HYPERLINK("https://lindat.mff.cuni.cz/services/teitok/pdtc10/index.php?action=vallex&amp;frame=v-w11291f1", "odpoutat se (v-w11291f1)")</f>
        <v>odpoutat se (v-w11291f1)</v>
      </c>
    </row>
    <row r="22151" spans="1:4" x14ac:dyDescent="0.2">
      <c r="B22151" t="s">
        <v>1</v>
      </c>
      <c r="D22151" t="s">
        <v>186</v>
      </c>
    </row>
    <row r="22152" spans="1:4" x14ac:dyDescent="0.2">
      <c r="B22152" t="s">
        <v>19</v>
      </c>
      <c r="C22152" t="s">
        <v>1301</v>
      </c>
    </row>
    <row r="22154" spans="1:4" x14ac:dyDescent="0.2">
      <c r="A22154" t="s">
        <v>7351</v>
      </c>
      <c r="B22154" t="str">
        <f>HYPERLINK("https://lindat.mff.cuni.cz/services/teitok/pdtc10/index.php?action=vallex&amp;frame=v-w2832f1", "odpoutávat (v-w2832f1)")</f>
        <v>odpoutávat (v-w2832f1)</v>
      </c>
    </row>
    <row r="22155" spans="1:4" x14ac:dyDescent="0.2">
      <c r="B22155" t="s">
        <v>1</v>
      </c>
      <c r="C22155" t="s">
        <v>147</v>
      </c>
    </row>
    <row r="22156" spans="1:4" x14ac:dyDescent="0.2">
      <c r="B22156" t="s">
        <v>8</v>
      </c>
    </row>
    <row r="22157" spans="1:4" x14ac:dyDescent="0.2">
      <c r="B22157" t="s">
        <v>321</v>
      </c>
      <c r="C22157" t="s">
        <v>7352</v>
      </c>
    </row>
    <row r="22159" spans="1:4" x14ac:dyDescent="0.2">
      <c r="A22159" t="s">
        <v>7353</v>
      </c>
      <c r="B22159" t="str">
        <f>HYPERLINK("https://lindat.mff.cuni.cz/services/teitok/pdtc10/index.php?action=vallex&amp;frame=v-w2832f2", "odpoutávat (v-w2832f2)")</f>
        <v>odpoutávat (v-w2832f2)</v>
      </c>
    </row>
    <row r="22160" spans="1:4" x14ac:dyDescent="0.2">
      <c r="B22160" t="s">
        <v>1</v>
      </c>
    </row>
    <row r="22161" spans="1:4" x14ac:dyDescent="0.2">
      <c r="B22161" t="s">
        <v>8</v>
      </c>
    </row>
    <row r="22162" spans="1:4" x14ac:dyDescent="0.2">
      <c r="B22162" t="s">
        <v>333</v>
      </c>
    </row>
    <row r="22164" spans="1:4" x14ac:dyDescent="0.2">
      <c r="A22164" t="s">
        <v>7354</v>
      </c>
      <c r="B22164" t="str">
        <f>HYPERLINK("https://lindat.mff.cuni.cz/services/teitok/pdtc10/index.php?action=vallex&amp;frame=v-w2829f1", "odpouštět (v-w2829f1)")</f>
        <v>odpouštět (v-w2829f1)</v>
      </c>
    </row>
    <row r="22165" spans="1:4" x14ac:dyDescent="0.2">
      <c r="B22165" t="s">
        <v>1</v>
      </c>
      <c r="D22165" t="s">
        <v>33</v>
      </c>
    </row>
    <row r="22166" spans="1:4" x14ac:dyDescent="0.2">
      <c r="B22166" t="s">
        <v>124</v>
      </c>
      <c r="D22166" t="s">
        <v>202</v>
      </c>
    </row>
    <row r="22167" spans="1:4" x14ac:dyDescent="0.2">
      <c r="B22167" t="s">
        <v>35</v>
      </c>
      <c r="D22167" t="s">
        <v>297</v>
      </c>
    </row>
    <row r="22169" spans="1:4" x14ac:dyDescent="0.2">
      <c r="A22169" t="s">
        <v>7355</v>
      </c>
      <c r="B22169" t="str">
        <f>HYPERLINK("https://lindat.mff.cuni.cz/services/teitok/pdtc10/index.php?action=vallex&amp;frame=v-w2829f2", "odpouštět (v-w2829f2)")</f>
        <v>odpouštět (v-w2829f2)</v>
      </c>
    </row>
    <row r="22170" spans="1:4" x14ac:dyDescent="0.2">
      <c r="B22170" t="s">
        <v>1</v>
      </c>
    </row>
    <row r="22171" spans="1:4" x14ac:dyDescent="0.2">
      <c r="B22171" t="s">
        <v>8</v>
      </c>
    </row>
    <row r="22173" spans="1:4" x14ac:dyDescent="0.2">
      <c r="A22173" t="s">
        <v>7356</v>
      </c>
      <c r="B22173" t="str">
        <f>HYPERLINK("https://lindat.mff.cuni.cz/services/teitok/pdtc10/index.php?action=vallex&amp;frame=v-w12055_ZUf1_ZU", "odpouštět si (v-w12055_ZUf1_ZU)")</f>
        <v>odpouštět si (v-w12055_ZUf1_ZU)</v>
      </c>
    </row>
    <row r="22174" spans="1:4" x14ac:dyDescent="0.2">
      <c r="B22174" t="s">
        <v>1</v>
      </c>
    </row>
    <row r="22175" spans="1:4" x14ac:dyDescent="0.2">
      <c r="B22175" t="s">
        <v>8</v>
      </c>
    </row>
    <row r="22177" spans="1:4" x14ac:dyDescent="0.2">
      <c r="A22177" t="s">
        <v>7357</v>
      </c>
      <c r="B22177" t="str">
        <f>HYPERLINK("https://lindat.mff.cuni.cz/services/teitok/pdtc10/index.php?action=vallex&amp;frame=v-w2839f3", "odpovídat (v-w2839f3)")</f>
        <v>odpovídat (v-w2839f3)</v>
      </c>
    </row>
    <row r="22178" spans="1:4" x14ac:dyDescent="0.2">
      <c r="B22178" t="s">
        <v>1</v>
      </c>
    </row>
    <row r="22179" spans="1:4" x14ac:dyDescent="0.2">
      <c r="B22179" t="s">
        <v>357</v>
      </c>
    </row>
    <row r="22180" spans="1:4" x14ac:dyDescent="0.2">
      <c r="B22180" t="s">
        <v>78</v>
      </c>
    </row>
    <row r="22182" spans="1:4" x14ac:dyDescent="0.2">
      <c r="A22182" t="s">
        <v>7358</v>
      </c>
      <c r="B22182" t="str">
        <f>HYPERLINK("https://lindat.mff.cuni.cz/services/teitok/pdtc10/index.php?action=vallex&amp;frame=v-w2839f1", "odpovídat (v-w2839f1)")</f>
        <v>odpovídat (v-w2839f1)</v>
      </c>
    </row>
    <row r="22183" spans="1:4" x14ac:dyDescent="0.2">
      <c r="B22183" t="s">
        <v>488</v>
      </c>
      <c r="C22183" t="s">
        <v>7359</v>
      </c>
      <c r="D22183" t="s">
        <v>3854</v>
      </c>
    </row>
    <row r="22184" spans="1:4" x14ac:dyDescent="0.2">
      <c r="B22184" t="s">
        <v>103</v>
      </c>
      <c r="C22184" t="s">
        <v>7360</v>
      </c>
      <c r="D22184" t="s">
        <v>23659</v>
      </c>
    </row>
    <row r="22186" spans="1:4" x14ac:dyDescent="0.2">
      <c r="A22186" t="s">
        <v>7361</v>
      </c>
      <c r="B22186" t="str">
        <f>HYPERLINK("https://lindat.mff.cuni.cz/services/teitok/pdtc10/index.php?action=vallex&amp;frame=v-w2839f4", "odpovídat (v-w2839f4)")</f>
        <v>odpovídat (v-w2839f4)</v>
      </c>
    </row>
    <row r="22187" spans="1:4" x14ac:dyDescent="0.2">
      <c r="B22187" t="s">
        <v>1</v>
      </c>
      <c r="C22187" t="s">
        <v>2227</v>
      </c>
      <c r="D22187" t="s">
        <v>3597</v>
      </c>
    </row>
    <row r="22188" spans="1:4" x14ac:dyDescent="0.2">
      <c r="B22188" t="s">
        <v>28</v>
      </c>
      <c r="C22188" t="s">
        <v>7362</v>
      </c>
      <c r="D22188" t="s">
        <v>23660</v>
      </c>
    </row>
    <row r="22190" spans="1:4" x14ac:dyDescent="0.2">
      <c r="A22190" t="s">
        <v>7363</v>
      </c>
      <c r="B22190" t="str">
        <f>HYPERLINK("https://lindat.mff.cuni.cz/services/teitok/pdtc10/index.php?action=vallex&amp;frame=v-w2839f5", "odpovídat (v-w2839f5)")</f>
        <v>odpovídat (v-w2839f5)</v>
      </c>
    </row>
    <row r="22191" spans="1:4" x14ac:dyDescent="0.2">
      <c r="B22191" t="s">
        <v>1</v>
      </c>
    </row>
    <row r="22192" spans="1:4" x14ac:dyDescent="0.2">
      <c r="B22192" t="s">
        <v>35</v>
      </c>
    </row>
    <row r="22193" spans="1:4" x14ac:dyDescent="0.2">
      <c r="B22193" t="s">
        <v>46</v>
      </c>
    </row>
    <row r="22194" spans="1:4" x14ac:dyDescent="0.2">
      <c r="B22194" t="s">
        <v>415</v>
      </c>
    </row>
    <row r="22195" spans="1:4" x14ac:dyDescent="0.2">
      <c r="B22195" t="s">
        <v>346</v>
      </c>
    </row>
    <row r="22196" spans="1:4" x14ac:dyDescent="0.2">
      <c r="B22196" t="s">
        <v>348</v>
      </c>
    </row>
    <row r="22197" spans="1:4" x14ac:dyDescent="0.2">
      <c r="B22197" t="s">
        <v>349</v>
      </c>
    </row>
    <row r="22198" spans="1:4" x14ac:dyDescent="0.2">
      <c r="B22198" t="s">
        <v>350</v>
      </c>
    </row>
    <row r="22199" spans="1:4" x14ac:dyDescent="0.2">
      <c r="B22199" t="s">
        <v>351</v>
      </c>
    </row>
    <row r="22201" spans="1:4" x14ac:dyDescent="0.2">
      <c r="A22201" t="s">
        <v>7364</v>
      </c>
      <c r="B22201" t="str">
        <f>HYPERLINK("https://lindat.mff.cuni.cz/services/teitok/pdtc10/index.php?action=vallex&amp;frame=v-w2839f2", "odpovídat (v-w2839f2)")</f>
        <v>odpovídat (v-w2839f2)</v>
      </c>
    </row>
    <row r="22202" spans="1:4" x14ac:dyDescent="0.2">
      <c r="B22202" t="s">
        <v>1</v>
      </c>
      <c r="C22202" t="s">
        <v>7365</v>
      </c>
      <c r="D22202" t="s">
        <v>23661</v>
      </c>
    </row>
    <row r="22203" spans="1:4" x14ac:dyDescent="0.2">
      <c r="B22203" t="s">
        <v>35</v>
      </c>
      <c r="C22203" t="s">
        <v>3275</v>
      </c>
      <c r="D22203" t="s">
        <v>23662</v>
      </c>
    </row>
    <row r="22204" spans="1:4" x14ac:dyDescent="0.2">
      <c r="B22204" t="s">
        <v>7366</v>
      </c>
      <c r="C22204" t="s">
        <v>7367</v>
      </c>
      <c r="D22204" t="s">
        <v>23663</v>
      </c>
    </row>
    <row r="22205" spans="1:4" x14ac:dyDescent="0.2">
      <c r="B22205" t="s">
        <v>46</v>
      </c>
      <c r="C22205" t="s">
        <v>7368</v>
      </c>
      <c r="D22205" t="s">
        <v>23664</v>
      </c>
    </row>
    <row r="22207" spans="1:4" x14ac:dyDescent="0.2">
      <c r="A22207" t="s">
        <v>7369</v>
      </c>
      <c r="B22207" t="str">
        <f>HYPERLINK("https://lindat.mff.cuni.cz/services/teitok/pdtc10/index.php?action=vallex&amp;frame=v-w2839f6_MM", "odpovídat (v-w2839f6_MM)")</f>
        <v>odpovídat (v-w2839f6_MM)</v>
      </c>
    </row>
    <row r="22208" spans="1:4" x14ac:dyDescent="0.2">
      <c r="B22208" t="s">
        <v>1</v>
      </c>
    </row>
    <row r="22209" spans="1:4" x14ac:dyDescent="0.2">
      <c r="B22209" t="s">
        <v>172</v>
      </c>
    </row>
    <row r="22210" spans="1:4" x14ac:dyDescent="0.2">
      <c r="B22210" t="s">
        <v>35</v>
      </c>
    </row>
    <row r="22212" spans="1:4" x14ac:dyDescent="0.2">
      <c r="A22212" t="s">
        <v>7370</v>
      </c>
      <c r="B22212" t="str">
        <f>HYPERLINK("https://lindat.mff.cuni.cz/services/teitok/pdtc10/index.php?action=vallex&amp;frame=v-w2840f1", "odpovídat se (v-w2840f1)")</f>
        <v>odpovídat se (v-w2840f1)</v>
      </c>
    </row>
    <row r="22213" spans="1:4" x14ac:dyDescent="0.2">
      <c r="B22213" t="s">
        <v>1</v>
      </c>
    </row>
    <row r="22214" spans="1:4" x14ac:dyDescent="0.2">
      <c r="B22214" t="s">
        <v>168</v>
      </c>
    </row>
    <row r="22215" spans="1:4" x14ac:dyDescent="0.2">
      <c r="B22215" t="s">
        <v>35</v>
      </c>
    </row>
    <row r="22217" spans="1:4" x14ac:dyDescent="0.2">
      <c r="A22217" t="s">
        <v>7371</v>
      </c>
      <c r="B22217" t="str">
        <f>HYPERLINK("https://lindat.mff.cuni.cz/services/teitok/pdtc10/index.php?action=vallex&amp;frame=v-w2834f2", "odpovědět (v-w2834f2)")</f>
        <v>odpovědět (v-w2834f2)</v>
      </c>
    </row>
    <row r="22218" spans="1:4" x14ac:dyDescent="0.2">
      <c r="B22218" t="s">
        <v>1</v>
      </c>
      <c r="C22218" t="s">
        <v>2227</v>
      </c>
      <c r="D22218" t="s">
        <v>3597</v>
      </c>
    </row>
    <row r="22219" spans="1:4" x14ac:dyDescent="0.2">
      <c r="B22219" t="s">
        <v>28</v>
      </c>
      <c r="C22219" t="s">
        <v>7362</v>
      </c>
      <c r="D22219" t="s">
        <v>23660</v>
      </c>
    </row>
    <row r="22221" spans="1:4" x14ac:dyDescent="0.2">
      <c r="A22221" t="s">
        <v>7372</v>
      </c>
      <c r="B22221" t="str">
        <f>HYPERLINK("https://lindat.mff.cuni.cz/services/teitok/pdtc10/index.php?action=vallex&amp;frame=v-w2834f3", "odpovědět (v-w2834f3)")</f>
        <v>odpovědět (v-w2834f3)</v>
      </c>
    </row>
    <row r="22222" spans="1:4" x14ac:dyDescent="0.2">
      <c r="B22222" t="s">
        <v>1</v>
      </c>
      <c r="C22222" t="s">
        <v>2227</v>
      </c>
    </row>
    <row r="22223" spans="1:4" x14ac:dyDescent="0.2">
      <c r="B22223" t="s">
        <v>35</v>
      </c>
      <c r="C22223" t="s">
        <v>2810</v>
      </c>
    </row>
    <row r="22224" spans="1:4" x14ac:dyDescent="0.2">
      <c r="B22224" t="s">
        <v>46</v>
      </c>
      <c r="C22224" t="s">
        <v>7362</v>
      </c>
    </row>
    <row r="22225" spans="1:4" x14ac:dyDescent="0.2">
      <c r="B22225" t="s">
        <v>346</v>
      </c>
    </row>
    <row r="22226" spans="1:4" x14ac:dyDescent="0.2">
      <c r="B22226" t="s">
        <v>348</v>
      </c>
    </row>
    <row r="22227" spans="1:4" x14ac:dyDescent="0.2">
      <c r="B22227" t="s">
        <v>349</v>
      </c>
    </row>
    <row r="22228" spans="1:4" x14ac:dyDescent="0.2">
      <c r="B22228" t="s">
        <v>350</v>
      </c>
    </row>
    <row r="22229" spans="1:4" x14ac:dyDescent="0.2">
      <c r="B22229" t="s">
        <v>351</v>
      </c>
    </row>
    <row r="22231" spans="1:4" x14ac:dyDescent="0.2">
      <c r="A22231" t="s">
        <v>7373</v>
      </c>
      <c r="B22231" t="str">
        <f>HYPERLINK("https://lindat.mff.cuni.cz/services/teitok/pdtc10/index.php?action=vallex&amp;frame=v-w2834f1", "odpovědět (v-w2834f1)")</f>
        <v>odpovědět (v-w2834f1)</v>
      </c>
    </row>
    <row r="22232" spans="1:4" x14ac:dyDescent="0.2">
      <c r="B22232" t="s">
        <v>1</v>
      </c>
      <c r="C22232" t="s">
        <v>7374</v>
      </c>
      <c r="D22232" t="s">
        <v>23661</v>
      </c>
    </row>
    <row r="22233" spans="1:4" x14ac:dyDescent="0.2">
      <c r="B22233" t="s">
        <v>35</v>
      </c>
      <c r="C22233" t="s">
        <v>7375</v>
      </c>
      <c r="D22233" t="s">
        <v>23662</v>
      </c>
    </row>
    <row r="22234" spans="1:4" x14ac:dyDescent="0.2">
      <c r="B22234" t="s">
        <v>7376</v>
      </c>
      <c r="C22234" t="s">
        <v>7377</v>
      </c>
      <c r="D22234" t="s">
        <v>23663</v>
      </c>
    </row>
    <row r="22235" spans="1:4" x14ac:dyDescent="0.2">
      <c r="B22235" t="s">
        <v>46</v>
      </c>
      <c r="C22235" t="s">
        <v>7378</v>
      </c>
      <c r="D22235" t="s">
        <v>23664</v>
      </c>
    </row>
    <row r="22237" spans="1:4" x14ac:dyDescent="0.2">
      <c r="A22237" t="s">
        <v>7379</v>
      </c>
      <c r="B22237" t="str">
        <f>HYPERLINK("https://lindat.mff.cuni.cz/services/teitok/pdtc10/index.php?action=vallex&amp;frame=v-w2834f6_MM", "odpovědět (v-w2834f6_MM)")</f>
        <v>odpovědět (v-w2834f6_MM)</v>
      </c>
    </row>
    <row r="22238" spans="1:4" x14ac:dyDescent="0.2">
      <c r="B22238" t="s">
        <v>1</v>
      </c>
    </row>
    <row r="22239" spans="1:4" x14ac:dyDescent="0.2">
      <c r="B22239" t="s">
        <v>172</v>
      </c>
    </row>
    <row r="22240" spans="1:4" x14ac:dyDescent="0.2">
      <c r="B22240" t="s">
        <v>35</v>
      </c>
    </row>
    <row r="22242" spans="1:2" x14ac:dyDescent="0.2">
      <c r="A22242" t="s">
        <v>7379</v>
      </c>
      <c r="B22242" t="str">
        <f>HYPERLINK("https://lindat.mff.cuni.cz/services/teitok/pdtc10/index.php?action=vallex&amp;frame=v-w2834f4_ZU", "odpovědět (v-w2834f4_ZU) - substituted with v-w2834f6_MM")</f>
        <v>odpovědět (v-w2834f4_ZU) - substituted with v-w2834f6_MM</v>
      </c>
    </row>
    <row r="22243" spans="1:2" x14ac:dyDescent="0.2">
      <c r="B22243" t="s">
        <v>1</v>
      </c>
    </row>
    <row r="22244" spans="1:2" x14ac:dyDescent="0.2">
      <c r="B22244" t="s">
        <v>172</v>
      </c>
    </row>
    <row r="22245" spans="1:2" x14ac:dyDescent="0.2">
      <c r="B22245" t="s">
        <v>35</v>
      </c>
    </row>
    <row r="22247" spans="1:2" x14ac:dyDescent="0.2">
      <c r="A22247" t="s">
        <v>7379</v>
      </c>
      <c r="B22247" t="str">
        <f>HYPERLINK("https://lindat.mff.cuni.cz/services/teitok/pdtc10/index.php?action=vallex&amp;frame=v-w2834f5_ZU", "odpovědět (v-w2834f5_ZU) - substituted with v-w2834f6_MM")</f>
        <v>odpovědět (v-w2834f5_ZU) - substituted with v-w2834f6_MM</v>
      </c>
    </row>
    <row r="22248" spans="1:2" x14ac:dyDescent="0.2">
      <c r="B22248" t="s">
        <v>1</v>
      </c>
    </row>
    <row r="22249" spans="1:2" x14ac:dyDescent="0.2">
      <c r="B22249" t="s">
        <v>172</v>
      </c>
    </row>
    <row r="22250" spans="1:2" x14ac:dyDescent="0.2">
      <c r="B22250" t="s">
        <v>35</v>
      </c>
    </row>
    <row r="22252" spans="1:2" x14ac:dyDescent="0.2">
      <c r="A22252" t="s">
        <v>7380</v>
      </c>
      <c r="B22252" t="str">
        <f>HYPERLINK("https://lindat.mff.cuni.cz/services/teitok/pdtc10/index.php?action=vallex&amp;frame=v-w2818f1", "odpočinout si (v-w2818f1)")</f>
        <v>odpočinout si (v-w2818f1)</v>
      </c>
    </row>
    <row r="22253" spans="1:2" x14ac:dyDescent="0.2">
      <c r="B22253" t="s">
        <v>1</v>
      </c>
    </row>
    <row r="22254" spans="1:2" x14ac:dyDescent="0.2">
      <c r="B22254" t="s">
        <v>247</v>
      </c>
    </row>
    <row r="22256" spans="1:2" x14ac:dyDescent="0.2">
      <c r="A22256" t="s">
        <v>7381</v>
      </c>
      <c r="B22256" t="str">
        <f>HYPERLINK("https://lindat.mff.cuni.cz/services/teitok/pdtc10/index.php?action=vallex&amp;frame=v-w11781_ZUf1_ZU", "odpočnout si (v-w11781_ZUf1_ZU)")</f>
        <v>odpočnout si (v-w11781_ZUf1_ZU)</v>
      </c>
    </row>
    <row r="22257" spans="1:4" x14ac:dyDescent="0.2">
      <c r="B22257" t="s">
        <v>1</v>
      </c>
    </row>
    <row r="22258" spans="1:4" x14ac:dyDescent="0.2">
      <c r="B22258" t="s">
        <v>247</v>
      </c>
    </row>
    <row r="22260" spans="1:4" x14ac:dyDescent="0.2">
      <c r="A22260" t="s">
        <v>7382</v>
      </c>
      <c r="B22260" t="str">
        <f>HYPERLINK("https://lindat.mff.cuni.cz/services/teitok/pdtc10/index.php?action=vallex&amp;frame=v-w2819f2", "odpočíst (v-w2819f2)")</f>
        <v>odpočíst (v-w2819f2)</v>
      </c>
    </row>
    <row r="22261" spans="1:4" x14ac:dyDescent="0.2">
      <c r="B22261" t="s">
        <v>1</v>
      </c>
    </row>
    <row r="22262" spans="1:4" x14ac:dyDescent="0.2">
      <c r="B22262" t="s">
        <v>8</v>
      </c>
    </row>
    <row r="22263" spans="1:4" x14ac:dyDescent="0.2">
      <c r="B22263" t="s">
        <v>333</v>
      </c>
    </row>
    <row r="22265" spans="1:4" x14ac:dyDescent="0.2">
      <c r="A22265" t="s">
        <v>7383</v>
      </c>
      <c r="B22265" t="str">
        <f>HYPERLINK("https://lindat.mff.cuni.cz/services/teitok/pdtc10/index.php?action=vallex&amp;frame=v-w2819f1", "odpočíst (v-w2819f1)")</f>
        <v>odpočíst (v-w2819f1)</v>
      </c>
    </row>
    <row r="22266" spans="1:4" x14ac:dyDescent="0.2">
      <c r="B22266" t="s">
        <v>1</v>
      </c>
    </row>
    <row r="22267" spans="1:4" x14ac:dyDescent="0.2">
      <c r="B22267" t="s">
        <v>8</v>
      </c>
    </row>
    <row r="22269" spans="1:4" x14ac:dyDescent="0.2">
      <c r="A22269" t="s">
        <v>7384</v>
      </c>
      <c r="B22269" t="str">
        <f>HYPERLINK("https://lindat.mff.cuni.cz/services/teitok/pdtc10/index.php?action=vallex&amp;frame=v-w10200f2", "odpočítávat (v-w10200f2)")</f>
        <v>odpočítávat (v-w10200f2)</v>
      </c>
    </row>
    <row r="22270" spans="1:4" x14ac:dyDescent="0.2">
      <c r="B22270" t="s">
        <v>1</v>
      </c>
      <c r="C22270" t="s">
        <v>5817</v>
      </c>
      <c r="D22270" t="s">
        <v>4281</v>
      </c>
    </row>
    <row r="22271" spans="1:4" x14ac:dyDescent="0.2">
      <c r="B22271" t="s">
        <v>8</v>
      </c>
      <c r="C22271" t="s">
        <v>1044</v>
      </c>
      <c r="D22271" t="s">
        <v>354</v>
      </c>
    </row>
    <row r="22272" spans="1:4" x14ac:dyDescent="0.2">
      <c r="B22272" t="s">
        <v>333</v>
      </c>
    </row>
    <row r="22274" spans="1:3" x14ac:dyDescent="0.2">
      <c r="A22274" t="s">
        <v>7385</v>
      </c>
      <c r="B22274" t="str">
        <f>HYPERLINK("https://lindat.mff.cuni.cz/services/teitok/pdtc10/index.php?action=vallex&amp;frame=v-w10200f3", "odpočítávat (v-w10200f3)")</f>
        <v>odpočítávat (v-w10200f3)</v>
      </c>
    </row>
    <row r="22275" spans="1:3" x14ac:dyDescent="0.2">
      <c r="B22275" t="s">
        <v>1</v>
      </c>
    </row>
    <row r="22276" spans="1:3" x14ac:dyDescent="0.2">
      <c r="B22276" t="s">
        <v>8</v>
      </c>
    </row>
    <row r="22278" spans="1:3" x14ac:dyDescent="0.2">
      <c r="A22278" t="s">
        <v>7386</v>
      </c>
      <c r="B22278" t="str">
        <f>HYPERLINK("https://lindat.mff.cuni.cz/services/teitok/pdtc10/index.php?action=vallex&amp;frame=v-w2820f1", "odpočívat (v-w2820f1)")</f>
        <v>odpočívat (v-w2820f1)</v>
      </c>
    </row>
    <row r="22279" spans="1:3" x14ac:dyDescent="0.2">
      <c r="B22279" t="s">
        <v>1</v>
      </c>
      <c r="C22279" t="s">
        <v>2172</v>
      </c>
    </row>
    <row r="22281" spans="1:3" x14ac:dyDescent="0.2">
      <c r="A22281" t="s">
        <v>7387</v>
      </c>
      <c r="B22281" t="str">
        <f>HYPERLINK("https://lindat.mff.cuni.cz/services/teitok/pdtc10/index.php?action=vallex&amp;frame=v-w2841f1", "odpracovat (v-w2841f1)")</f>
        <v>odpracovat (v-w2841f1)</v>
      </c>
    </row>
    <row r="22282" spans="1:3" x14ac:dyDescent="0.2">
      <c r="B22282" t="s">
        <v>1</v>
      </c>
      <c r="C22282" t="s">
        <v>7388</v>
      </c>
    </row>
    <row r="22283" spans="1:3" x14ac:dyDescent="0.2">
      <c r="B22283" t="s">
        <v>8</v>
      </c>
      <c r="C22283" t="s">
        <v>354</v>
      </c>
    </row>
    <row r="22285" spans="1:3" x14ac:dyDescent="0.2">
      <c r="A22285" t="s">
        <v>7389</v>
      </c>
      <c r="B22285" t="str">
        <f>HYPERLINK("https://lindat.mff.cuni.cz/services/teitok/pdtc10/index.php?action=vallex&amp;frame=v-w12271_ZUf1_ZU", "odpracovávat (v-w12271_ZUf1_ZU)")</f>
        <v>odpracovávat (v-w12271_ZUf1_ZU)</v>
      </c>
    </row>
    <row r="22286" spans="1:3" x14ac:dyDescent="0.2">
      <c r="B22286" t="s">
        <v>1</v>
      </c>
    </row>
    <row r="22287" spans="1:3" x14ac:dyDescent="0.2">
      <c r="B22287" t="s">
        <v>8</v>
      </c>
    </row>
    <row r="22289" spans="1:4" x14ac:dyDescent="0.2">
      <c r="A22289" t="s">
        <v>7390</v>
      </c>
      <c r="B22289" t="str">
        <f>HYPERLINK("https://lindat.mff.cuni.cz/services/teitok/pdtc10/index.php?action=vallex&amp;frame=v-w11535_ZUf2_ZU", "odpravit (v-w11535_ZUf2_ZU)")</f>
        <v>odpravit (v-w11535_ZUf2_ZU)</v>
      </c>
    </row>
    <row r="22290" spans="1:4" x14ac:dyDescent="0.2">
      <c r="B22290" t="s">
        <v>1</v>
      </c>
      <c r="C22290" t="s">
        <v>7137</v>
      </c>
      <c r="D22290" t="s">
        <v>11295</v>
      </c>
    </row>
    <row r="22291" spans="1:4" x14ac:dyDescent="0.2">
      <c r="B22291" t="s">
        <v>8</v>
      </c>
      <c r="C22291" t="s">
        <v>5571</v>
      </c>
      <c r="D22291" t="s">
        <v>13639</v>
      </c>
    </row>
    <row r="22293" spans="1:4" x14ac:dyDescent="0.2">
      <c r="A22293" t="s">
        <v>7390</v>
      </c>
      <c r="B22293" t="str">
        <f>HYPERLINK("https://lindat.mff.cuni.cz/services/teitok/pdtc10/index.php?action=vallex&amp;frame=v-w11535_ZUf1_ZU", "odpravit (v-w11535_ZUf1_ZU) - substituted with v-w11535_ZUf2_ZU")</f>
        <v>odpravit (v-w11535_ZUf1_ZU) - substituted with v-w11535_ZUf2_ZU</v>
      </c>
    </row>
    <row r="22294" spans="1:4" x14ac:dyDescent="0.2">
      <c r="B22294" t="s">
        <v>1</v>
      </c>
    </row>
    <row r="22295" spans="1:4" x14ac:dyDescent="0.2">
      <c r="B22295" t="s">
        <v>8</v>
      </c>
    </row>
    <row r="22297" spans="1:4" x14ac:dyDescent="0.2">
      <c r="A22297" t="s">
        <v>7391</v>
      </c>
      <c r="B22297" t="str">
        <f>HYPERLINK("https://lindat.mff.cuni.cz/services/teitok/pdtc10/index.php?action=vallex&amp;frame=v-w2842f1", "odprodat (v-w2842f1)")</f>
        <v>odprodat (v-w2842f1)</v>
      </c>
    </row>
    <row r="22298" spans="1:4" x14ac:dyDescent="0.2">
      <c r="B22298" t="s">
        <v>1</v>
      </c>
      <c r="C22298" t="s">
        <v>7392</v>
      </c>
      <c r="D22298" t="s">
        <v>23665</v>
      </c>
    </row>
    <row r="22299" spans="1:4" x14ac:dyDescent="0.2">
      <c r="B22299" t="s">
        <v>8</v>
      </c>
      <c r="C22299" t="s">
        <v>7393</v>
      </c>
      <c r="D22299" t="s">
        <v>23666</v>
      </c>
    </row>
    <row r="22300" spans="1:4" x14ac:dyDescent="0.2">
      <c r="B22300" t="s">
        <v>35</v>
      </c>
      <c r="C22300" t="s">
        <v>7394</v>
      </c>
      <c r="D22300" t="s">
        <v>7394</v>
      </c>
    </row>
    <row r="22302" spans="1:4" x14ac:dyDescent="0.2">
      <c r="A22302" t="s">
        <v>7395</v>
      </c>
      <c r="B22302" t="str">
        <f>HYPERLINK("https://lindat.mff.cuni.cz/services/teitok/pdtc10/index.php?action=vallex&amp;frame=v-w2843f1", "odprodávat (v-w2843f1)")</f>
        <v>odprodávat (v-w2843f1)</v>
      </c>
    </row>
    <row r="22303" spans="1:4" x14ac:dyDescent="0.2">
      <c r="B22303" t="s">
        <v>1</v>
      </c>
      <c r="D22303" t="s">
        <v>23665</v>
      </c>
    </row>
    <row r="22304" spans="1:4" x14ac:dyDescent="0.2">
      <c r="B22304" t="s">
        <v>8</v>
      </c>
      <c r="D22304" t="s">
        <v>23666</v>
      </c>
    </row>
    <row r="22305" spans="1:4" x14ac:dyDescent="0.2">
      <c r="B22305" t="s">
        <v>35</v>
      </c>
      <c r="D22305" t="s">
        <v>7394</v>
      </c>
    </row>
    <row r="22307" spans="1:4" x14ac:dyDescent="0.2">
      <c r="A22307" t="s">
        <v>7396</v>
      </c>
      <c r="B22307" t="str">
        <f>HYPERLINK("https://lindat.mff.cuni.cz/services/teitok/pdtc10/index.php?action=vallex&amp;frame=v-whsa_637hsa_638", "odpromovat (v-whsa_637hsa_638)")</f>
        <v>odpromovat (v-whsa_637hsa_638)</v>
      </c>
    </row>
    <row r="22308" spans="1:4" x14ac:dyDescent="0.2">
      <c r="B22308" t="s">
        <v>1</v>
      </c>
    </row>
    <row r="22310" spans="1:4" x14ac:dyDescent="0.2">
      <c r="A22310" t="s">
        <v>7397</v>
      </c>
      <c r="B22310" t="str">
        <f>HYPERLINK("https://lindat.mff.cuni.cz/services/teitok/pdtc10/index.php?action=vallex&amp;frame=v-w12357_MMf1_MM", "odprásknout se (v-w12357_MMf1_MM)")</f>
        <v>odprásknout se (v-w12357_MMf1_MM)</v>
      </c>
    </row>
    <row r="22311" spans="1:4" x14ac:dyDescent="0.2">
      <c r="B22311" t="s">
        <v>1</v>
      </c>
    </row>
    <row r="22313" spans="1:4" x14ac:dyDescent="0.2">
      <c r="A22313" t="s">
        <v>7398</v>
      </c>
      <c r="B22313" t="str">
        <f>HYPERLINK("https://lindat.mff.cuni.cz/services/teitok/pdtc10/index.php?action=vallex&amp;frame=v-w10303f3", "odpudit (v-w10303f3)")</f>
        <v>odpudit (v-w10303f3)</v>
      </c>
    </row>
    <row r="22314" spans="1:4" x14ac:dyDescent="0.2">
      <c r="B22314" t="s">
        <v>1</v>
      </c>
    </row>
    <row r="22315" spans="1:4" x14ac:dyDescent="0.2">
      <c r="B22315" t="s">
        <v>8</v>
      </c>
    </row>
    <row r="22317" spans="1:4" x14ac:dyDescent="0.2">
      <c r="A22317" t="s">
        <v>7399</v>
      </c>
      <c r="B22317" t="str">
        <f>HYPERLINK("https://lindat.mff.cuni.cz/services/teitok/pdtc10/index.php?action=vallex&amp;frame=v-w2846f1", "odpustit (v-w2846f1)")</f>
        <v>odpustit (v-w2846f1)</v>
      </c>
    </row>
    <row r="22318" spans="1:4" x14ac:dyDescent="0.2">
      <c r="B22318" t="s">
        <v>1</v>
      </c>
      <c r="C22318" t="s">
        <v>33</v>
      </c>
      <c r="D22318" t="s">
        <v>33</v>
      </c>
    </row>
    <row r="22319" spans="1:4" x14ac:dyDescent="0.2">
      <c r="B22319" t="s">
        <v>124</v>
      </c>
      <c r="C22319" t="s">
        <v>202</v>
      </c>
      <c r="D22319" t="s">
        <v>202</v>
      </c>
    </row>
    <row r="22320" spans="1:4" x14ac:dyDescent="0.2">
      <c r="B22320" t="s">
        <v>35</v>
      </c>
      <c r="C22320" t="s">
        <v>297</v>
      </c>
      <c r="D22320" t="s">
        <v>297</v>
      </c>
    </row>
    <row r="22322" spans="1:2" x14ac:dyDescent="0.2">
      <c r="A22322" t="s">
        <v>7400</v>
      </c>
      <c r="B22322" t="str">
        <f>HYPERLINK("https://lindat.mff.cuni.cz/services/teitok/pdtc10/index.php?action=vallex&amp;frame=v-w2846f2", "odpustit (v-w2846f2)")</f>
        <v>odpustit (v-w2846f2)</v>
      </c>
    </row>
    <row r="22323" spans="1:2" x14ac:dyDescent="0.2">
      <c r="B22323" t="s">
        <v>1</v>
      </c>
    </row>
    <row r="22324" spans="1:2" x14ac:dyDescent="0.2">
      <c r="B22324" t="s">
        <v>8</v>
      </c>
    </row>
    <row r="22326" spans="1:2" x14ac:dyDescent="0.2">
      <c r="A22326" t="s">
        <v>7401</v>
      </c>
      <c r="B22326" t="str">
        <f>HYPERLINK("https://lindat.mff.cuni.cz/services/teitok/pdtc10/index.php?action=vallex&amp;frame=v-whsa_1804hsa_1805", "odpustit si (v-whsa_1804hsa_1805)")</f>
        <v>odpustit si (v-whsa_1804hsa_1805)</v>
      </c>
    </row>
    <row r="22327" spans="1:2" x14ac:dyDescent="0.2">
      <c r="B22327" t="s">
        <v>1</v>
      </c>
    </row>
    <row r="22328" spans="1:2" x14ac:dyDescent="0.2">
      <c r="B22328" t="s">
        <v>8</v>
      </c>
    </row>
    <row r="22330" spans="1:2" x14ac:dyDescent="0.2">
      <c r="A22330" t="s">
        <v>7402</v>
      </c>
      <c r="B22330" t="str">
        <f>HYPERLINK("https://lindat.mff.cuni.cz/services/teitok/pdtc10/index.php?action=vallex&amp;frame=v-w2848f1", "odpuzovat (v-w2848f1)")</f>
        <v>odpuzovat (v-w2848f1)</v>
      </c>
    </row>
    <row r="22331" spans="1:2" x14ac:dyDescent="0.2">
      <c r="B22331" t="s">
        <v>1</v>
      </c>
    </row>
    <row r="22332" spans="1:2" x14ac:dyDescent="0.2">
      <c r="B22332" t="s">
        <v>8</v>
      </c>
    </row>
    <row r="22334" spans="1:2" x14ac:dyDescent="0.2">
      <c r="A22334" t="s">
        <v>7403</v>
      </c>
      <c r="B22334" t="str">
        <f>HYPERLINK("https://lindat.mff.cuni.cz/services/teitok/pdtc10/index.php?action=vallex&amp;frame=v-w2849f1", "odpykat si (v-w2849f1)")</f>
        <v>odpykat si (v-w2849f1)</v>
      </c>
    </row>
    <row r="22335" spans="1:2" x14ac:dyDescent="0.2">
      <c r="B22335" t="s">
        <v>1</v>
      </c>
    </row>
    <row r="22336" spans="1:2" x14ac:dyDescent="0.2">
      <c r="B22336" t="s">
        <v>8</v>
      </c>
    </row>
    <row r="22338" spans="1:3" x14ac:dyDescent="0.2">
      <c r="A22338" t="s">
        <v>7404</v>
      </c>
      <c r="B22338" t="str">
        <f>HYPERLINK("https://lindat.mff.cuni.cz/services/teitok/pdtc10/index.php?action=vallex&amp;frame=v-w2850f1", "odpykávat si (v-w2850f1)")</f>
        <v>odpykávat si (v-w2850f1)</v>
      </c>
    </row>
    <row r="22339" spans="1:3" x14ac:dyDescent="0.2">
      <c r="B22339" t="s">
        <v>1</v>
      </c>
      <c r="C22339" t="s">
        <v>249</v>
      </c>
    </row>
    <row r="22340" spans="1:3" x14ac:dyDescent="0.2">
      <c r="B22340" t="s">
        <v>8</v>
      </c>
      <c r="C22340" t="s">
        <v>1044</v>
      </c>
    </row>
    <row r="22342" spans="1:3" x14ac:dyDescent="0.2">
      <c r="A22342" t="s">
        <v>7405</v>
      </c>
      <c r="B22342" t="str">
        <f>HYPERLINK("https://lindat.mff.cuni.cz/services/teitok/pdtc10/index.php?action=vallex&amp;frame=v-w2807f1", "odpálit (v-w2807f1)")</f>
        <v>odpálit (v-w2807f1)</v>
      </c>
    </row>
    <row r="22343" spans="1:3" x14ac:dyDescent="0.2">
      <c r="B22343" t="s">
        <v>1</v>
      </c>
      <c r="C22343" t="s">
        <v>7406</v>
      </c>
    </row>
    <row r="22344" spans="1:3" x14ac:dyDescent="0.2">
      <c r="B22344" t="s">
        <v>8</v>
      </c>
      <c r="C22344" t="s">
        <v>7407</v>
      </c>
    </row>
    <row r="22346" spans="1:3" x14ac:dyDescent="0.2">
      <c r="A22346" t="s">
        <v>7408</v>
      </c>
      <c r="B22346" t="str">
        <f>HYPERLINK("https://lindat.mff.cuni.cz/services/teitok/pdtc10/index.php?action=vallex&amp;frame=v-w2807f2", "odpálit (v-w2807f2)")</f>
        <v>odpálit (v-w2807f2)</v>
      </c>
    </row>
    <row r="22347" spans="1:3" x14ac:dyDescent="0.2">
      <c r="B22347" t="s">
        <v>1</v>
      </c>
    </row>
    <row r="22348" spans="1:3" x14ac:dyDescent="0.2">
      <c r="B22348" t="s">
        <v>8</v>
      </c>
    </row>
    <row r="22350" spans="1:3" x14ac:dyDescent="0.2">
      <c r="A22350" t="s">
        <v>7409</v>
      </c>
      <c r="B22350" t="str">
        <f>HYPERLINK("https://lindat.mff.cuni.cz/services/teitok/pdtc10/index.php?action=vallex&amp;frame=v-w2807hsa_783", "odpálit (v-w2807hsa_783)")</f>
        <v>odpálit (v-w2807hsa_783)</v>
      </c>
    </row>
    <row r="22351" spans="1:3" x14ac:dyDescent="0.2">
      <c r="B22351" t="s">
        <v>1</v>
      </c>
      <c r="C22351" t="s">
        <v>7325</v>
      </c>
    </row>
    <row r="22352" spans="1:3" x14ac:dyDescent="0.2">
      <c r="B22352" t="s">
        <v>8</v>
      </c>
      <c r="C22352" t="s">
        <v>2113</v>
      </c>
    </row>
    <row r="22354" spans="1:4" x14ac:dyDescent="0.2">
      <c r="A22354" t="s">
        <v>7410</v>
      </c>
      <c r="B22354" t="str">
        <f>HYPERLINK("https://lindat.mff.cuni.cz/services/teitok/pdtc10/index.php?action=vallex&amp;frame=v-whsa_272hsa_273", "odpálkovat (v-whsa_272hsa_273)")</f>
        <v>odpálkovat (v-whsa_272hsa_273)</v>
      </c>
    </row>
    <row r="22355" spans="1:4" x14ac:dyDescent="0.2">
      <c r="B22355" t="s">
        <v>1</v>
      </c>
      <c r="C22355" t="s">
        <v>140</v>
      </c>
      <c r="D22355" t="s">
        <v>3580</v>
      </c>
    </row>
    <row r="22356" spans="1:4" x14ac:dyDescent="0.2">
      <c r="B22356" t="s">
        <v>8</v>
      </c>
      <c r="D22356" t="s">
        <v>23652</v>
      </c>
    </row>
    <row r="22357" spans="1:4" x14ac:dyDescent="0.2">
      <c r="B22357" t="s">
        <v>24</v>
      </c>
    </row>
    <row r="22358" spans="1:4" x14ac:dyDescent="0.2">
      <c r="B22358" t="s">
        <v>61</v>
      </c>
      <c r="D22358" t="s">
        <v>23667</v>
      </c>
    </row>
    <row r="22360" spans="1:4" x14ac:dyDescent="0.2">
      <c r="A22360" t="s">
        <v>7411</v>
      </c>
      <c r="B22360" t="str">
        <f>HYPERLINK("https://lindat.mff.cuni.cz/services/teitok/pdtc10/index.php?action=vallex&amp;frame=v-w11939_ZUf1_ZU", "odpárat (v-w11939_ZUf1_ZU)")</f>
        <v>odpárat (v-w11939_ZUf1_ZU)</v>
      </c>
    </row>
    <row r="22361" spans="1:4" x14ac:dyDescent="0.2">
      <c r="B22361" t="s">
        <v>1</v>
      </c>
    </row>
    <row r="22362" spans="1:4" x14ac:dyDescent="0.2">
      <c r="B22362" t="s">
        <v>8</v>
      </c>
    </row>
    <row r="22363" spans="1:4" x14ac:dyDescent="0.2">
      <c r="B22363" t="s">
        <v>4622</v>
      </c>
    </row>
    <row r="22365" spans="1:4" x14ac:dyDescent="0.2">
      <c r="A22365" t="s">
        <v>7412</v>
      </c>
      <c r="B22365" t="str">
        <f>HYPERLINK("https://lindat.mff.cuni.cz/services/teitok/pdtc10/index.php?action=vallex&amp;frame=v-w12213_ZUf1_ZU", "odpíchnout (v-w12213_ZUf1_ZU)")</f>
        <v>odpíchnout (v-w12213_ZUf1_ZU)</v>
      </c>
    </row>
    <row r="22366" spans="1:4" x14ac:dyDescent="0.2">
      <c r="B22366" t="s">
        <v>1</v>
      </c>
    </row>
    <row r="22367" spans="1:4" x14ac:dyDescent="0.2">
      <c r="B22367" t="s">
        <v>220</v>
      </c>
    </row>
    <row r="22369" spans="1:4" x14ac:dyDescent="0.2">
      <c r="A22369" t="s">
        <v>7413</v>
      </c>
      <c r="B22369" t="str">
        <f>HYPERLINK("https://lindat.mff.cuni.cz/services/teitok/pdtc10/index.php?action=vallex&amp;frame=v-w2809f1", "odpírat (v-w2809f1)")</f>
        <v>odpírat (v-w2809f1)</v>
      </c>
    </row>
    <row r="22370" spans="1:4" x14ac:dyDescent="0.2">
      <c r="B22370" t="s">
        <v>1</v>
      </c>
      <c r="D22370" t="s">
        <v>22989</v>
      </c>
    </row>
    <row r="22371" spans="1:4" x14ac:dyDescent="0.2">
      <c r="B22371" t="s">
        <v>1181</v>
      </c>
      <c r="C22371" t="s">
        <v>1340</v>
      </c>
      <c r="D22371" t="s">
        <v>22990</v>
      </c>
    </row>
    <row r="22372" spans="1:4" x14ac:dyDescent="0.2">
      <c r="B22372" t="s">
        <v>35</v>
      </c>
      <c r="C22372" t="s">
        <v>7414</v>
      </c>
      <c r="D22372" t="s">
        <v>554</v>
      </c>
    </row>
    <row r="22374" spans="1:4" x14ac:dyDescent="0.2">
      <c r="A22374" t="s">
        <v>7415</v>
      </c>
      <c r="B22374" t="str">
        <f>HYPERLINK("https://lindat.mff.cuni.cz/services/teitok/pdtc10/index.php?action=vallex&amp;frame=v-w2811f1", "odpískat (v-w2811f1)")</f>
        <v>odpískat (v-w2811f1)</v>
      </c>
    </row>
    <row r="22375" spans="1:4" x14ac:dyDescent="0.2">
      <c r="B22375" t="s">
        <v>1</v>
      </c>
    </row>
    <row r="22376" spans="1:4" x14ac:dyDescent="0.2">
      <c r="B22376" t="s">
        <v>8</v>
      </c>
    </row>
    <row r="22378" spans="1:4" x14ac:dyDescent="0.2">
      <c r="A22378" t="s">
        <v>7416</v>
      </c>
      <c r="B22378" t="str">
        <f>HYPERLINK("https://lindat.mff.cuni.cz/services/teitok/pdtc10/index.php?action=vallex&amp;frame=v-w11801_ZUf1_ZU", "odpřisáhnout (v-w11801_ZUf1_ZU)")</f>
        <v>odpřisáhnout (v-w11801_ZUf1_ZU)</v>
      </c>
    </row>
    <row r="22379" spans="1:4" x14ac:dyDescent="0.2">
      <c r="B22379" t="s">
        <v>1</v>
      </c>
    </row>
    <row r="22380" spans="1:4" x14ac:dyDescent="0.2">
      <c r="B22380" t="s">
        <v>8</v>
      </c>
    </row>
    <row r="22381" spans="1:4" x14ac:dyDescent="0.2">
      <c r="B22381" t="s">
        <v>78</v>
      </c>
    </row>
    <row r="22383" spans="1:4" x14ac:dyDescent="0.2">
      <c r="A22383" t="s">
        <v>7417</v>
      </c>
      <c r="B22383" t="str">
        <f>HYPERLINK("https://lindat.mff.cuni.cz/services/teitok/pdtc10/index.php?action=vallex&amp;frame=v-w2851f1", "odradit (v-w2851f1)")</f>
        <v>odradit (v-w2851f1)</v>
      </c>
    </row>
    <row r="22384" spans="1:4" x14ac:dyDescent="0.2">
      <c r="B22384" t="s">
        <v>1</v>
      </c>
      <c r="C22384" t="s">
        <v>7418</v>
      </c>
      <c r="D22384" t="s">
        <v>23668</v>
      </c>
    </row>
    <row r="22385" spans="1:4" x14ac:dyDescent="0.2">
      <c r="B22385" t="s">
        <v>58</v>
      </c>
      <c r="C22385" t="s">
        <v>7419</v>
      </c>
      <c r="D22385" t="s">
        <v>23669</v>
      </c>
    </row>
    <row r="22386" spans="1:4" x14ac:dyDescent="0.2">
      <c r="B22386" t="s">
        <v>7420</v>
      </c>
      <c r="C22386" t="s">
        <v>7421</v>
      </c>
      <c r="D22386" t="s">
        <v>23670</v>
      </c>
    </row>
    <row r="22388" spans="1:4" x14ac:dyDescent="0.2">
      <c r="A22388" t="s">
        <v>7422</v>
      </c>
      <c r="B22388" t="str">
        <f>HYPERLINK("https://lindat.mff.cuni.cz/services/teitok/pdtc10/index.php?action=vallex&amp;frame=v-w2853f1", "odrazit (v-w2853f1)")</f>
        <v>odrazit (v-w2853f1)</v>
      </c>
    </row>
    <row r="22389" spans="1:4" x14ac:dyDescent="0.2">
      <c r="B22389" t="s">
        <v>1</v>
      </c>
      <c r="C22389" t="s">
        <v>7423</v>
      </c>
      <c r="D22389" t="s">
        <v>249</v>
      </c>
    </row>
    <row r="22390" spans="1:4" x14ac:dyDescent="0.2">
      <c r="B22390" t="s">
        <v>8</v>
      </c>
      <c r="C22390" t="s">
        <v>7424</v>
      </c>
      <c r="D22390" t="s">
        <v>2886</v>
      </c>
    </row>
    <row r="22392" spans="1:4" x14ac:dyDescent="0.2">
      <c r="A22392" t="s">
        <v>7425</v>
      </c>
      <c r="B22392" t="str">
        <f>HYPERLINK("https://lindat.mff.cuni.cz/services/teitok/pdtc10/index.php?action=vallex&amp;frame=v-w2853hsa_1038", "odrazit (v-w2853hsa_1038)")</f>
        <v>odrazit (v-w2853hsa_1038)</v>
      </c>
    </row>
    <row r="22393" spans="1:4" x14ac:dyDescent="0.2">
      <c r="B22393" t="s">
        <v>1</v>
      </c>
      <c r="C22393" t="s">
        <v>7426</v>
      </c>
      <c r="D22393" t="s">
        <v>13243</v>
      </c>
    </row>
    <row r="22394" spans="1:4" x14ac:dyDescent="0.2">
      <c r="B22394" t="s">
        <v>124</v>
      </c>
      <c r="C22394" t="s">
        <v>7427</v>
      </c>
      <c r="D22394" t="s">
        <v>23359</v>
      </c>
    </row>
    <row r="22396" spans="1:4" x14ac:dyDescent="0.2">
      <c r="A22396" t="s">
        <v>7428</v>
      </c>
      <c r="B22396" t="str">
        <f>HYPERLINK("https://lindat.mff.cuni.cz/services/teitok/pdtc10/index.php?action=vallex&amp;frame=v-w2853f2_ZU", "odrazit (v-w2853f2_ZU)")</f>
        <v>odrazit (v-w2853f2_ZU)</v>
      </c>
    </row>
    <row r="22397" spans="1:4" x14ac:dyDescent="0.2">
      <c r="B22397" t="s">
        <v>1</v>
      </c>
    </row>
    <row r="22398" spans="1:4" x14ac:dyDescent="0.2">
      <c r="B22398" t="s">
        <v>8</v>
      </c>
    </row>
    <row r="22400" spans="1:4" x14ac:dyDescent="0.2">
      <c r="A22400" t="s">
        <v>7429</v>
      </c>
      <c r="B22400" t="str">
        <f>HYPERLINK("https://lindat.mff.cuni.cz/services/teitok/pdtc10/index.php?action=vallex&amp;frame=v-w2854f1", "odrazit se (v-w2854f1)")</f>
        <v>odrazit se (v-w2854f1)</v>
      </c>
    </row>
    <row r="22401" spans="1:4" x14ac:dyDescent="0.2">
      <c r="B22401" t="s">
        <v>1</v>
      </c>
      <c r="C22401" t="s">
        <v>7430</v>
      </c>
      <c r="D22401" t="s">
        <v>23671</v>
      </c>
    </row>
    <row r="22402" spans="1:4" x14ac:dyDescent="0.2">
      <c r="B22402" t="s">
        <v>7431</v>
      </c>
      <c r="C22402" t="s">
        <v>7432</v>
      </c>
      <c r="D22402" t="s">
        <v>23672</v>
      </c>
    </row>
    <row r="22404" spans="1:4" x14ac:dyDescent="0.2">
      <c r="A22404" t="s">
        <v>7433</v>
      </c>
      <c r="B22404" t="str">
        <f>HYPERLINK("https://lindat.mff.cuni.cz/services/teitok/pdtc10/index.php?action=vallex&amp;frame=v-w2854f3", "odrazit se (v-w2854f3)")</f>
        <v>odrazit se (v-w2854f3)</v>
      </c>
    </row>
    <row r="22405" spans="1:4" x14ac:dyDescent="0.2">
      <c r="B22405" t="s">
        <v>1</v>
      </c>
    </row>
    <row r="22406" spans="1:4" x14ac:dyDescent="0.2">
      <c r="B22406" t="s">
        <v>5</v>
      </c>
    </row>
    <row r="22408" spans="1:4" x14ac:dyDescent="0.2">
      <c r="A22408" t="s">
        <v>7434</v>
      </c>
      <c r="B22408" t="str">
        <f>HYPERLINK("https://lindat.mff.cuni.cz/services/teitok/pdtc10/index.php?action=vallex&amp;frame=v-w2854f2", "odrazit se (v-w2854f2)")</f>
        <v>odrazit se (v-w2854f2)</v>
      </c>
    </row>
    <row r="22409" spans="1:4" x14ac:dyDescent="0.2">
      <c r="B22409" t="s">
        <v>1</v>
      </c>
      <c r="C22409" t="s">
        <v>7435</v>
      </c>
      <c r="D22409" t="s">
        <v>435</v>
      </c>
    </row>
    <row r="22410" spans="1:4" x14ac:dyDescent="0.2">
      <c r="B22410" t="s">
        <v>333</v>
      </c>
      <c r="C22410" t="s">
        <v>7436</v>
      </c>
      <c r="D22410" t="s">
        <v>7436</v>
      </c>
    </row>
    <row r="22412" spans="1:4" x14ac:dyDescent="0.2">
      <c r="A22412" t="s">
        <v>7437</v>
      </c>
      <c r="B22412" t="str">
        <f>HYPERLINK("https://lindat.mff.cuni.cz/services/teitok/pdtc10/index.php?action=vallex&amp;frame=v-w2854hsa_461", "odrazit se (v-w2854hsa_461)")</f>
        <v>odrazit se (v-w2854hsa_461)</v>
      </c>
    </row>
    <row r="22413" spans="1:4" x14ac:dyDescent="0.2">
      <c r="B22413" t="s">
        <v>1</v>
      </c>
      <c r="C22413" t="s">
        <v>435</v>
      </c>
      <c r="D22413" t="s">
        <v>18844</v>
      </c>
    </row>
    <row r="22414" spans="1:4" x14ac:dyDescent="0.2">
      <c r="B22414" t="s">
        <v>333</v>
      </c>
      <c r="C22414" t="s">
        <v>7436</v>
      </c>
      <c r="D22414" t="s">
        <v>23673</v>
      </c>
    </row>
    <row r="22416" spans="1:4" x14ac:dyDescent="0.2">
      <c r="A22416" t="s">
        <v>7438</v>
      </c>
      <c r="B22416" t="str">
        <f>HYPERLINK("https://lindat.mff.cuni.cz/services/teitok/pdtc10/index.php?action=vallex&amp;frame=v-w2856f1", "odrazovat (v-w2856f1)")</f>
        <v>odrazovat (v-w2856f1)</v>
      </c>
    </row>
    <row r="22417" spans="1:4" x14ac:dyDescent="0.2">
      <c r="B22417" t="s">
        <v>1</v>
      </c>
      <c r="C22417" t="s">
        <v>7439</v>
      </c>
      <c r="D22417" t="s">
        <v>23668</v>
      </c>
    </row>
    <row r="22418" spans="1:4" x14ac:dyDescent="0.2">
      <c r="B22418" t="s">
        <v>58</v>
      </c>
      <c r="C22418" t="s">
        <v>7440</v>
      </c>
      <c r="D22418" t="s">
        <v>23669</v>
      </c>
    </row>
    <row r="22419" spans="1:4" x14ac:dyDescent="0.2">
      <c r="B22419" t="s">
        <v>247</v>
      </c>
      <c r="C22419" t="s">
        <v>7441</v>
      </c>
      <c r="D22419" t="s">
        <v>23670</v>
      </c>
    </row>
    <row r="22421" spans="1:4" x14ac:dyDescent="0.2">
      <c r="A22421" t="s">
        <v>7442</v>
      </c>
      <c r="B22421" t="str">
        <f>HYPERLINK("https://lindat.mff.cuni.cz/services/teitok/pdtc10/index.php?action=vallex&amp;frame=v-w2861f2_MM", "odreagovat se (v-w2861f2_MM)")</f>
        <v>odreagovat se (v-w2861f2_MM)</v>
      </c>
    </row>
    <row r="22422" spans="1:4" x14ac:dyDescent="0.2">
      <c r="B22422" t="s">
        <v>1</v>
      </c>
    </row>
    <row r="22423" spans="1:4" x14ac:dyDescent="0.2">
      <c r="B22423" t="s">
        <v>247</v>
      </c>
    </row>
    <row r="22425" spans="1:4" x14ac:dyDescent="0.2">
      <c r="A22425" t="s">
        <v>7442</v>
      </c>
      <c r="B22425" t="str">
        <f>HYPERLINK("https://lindat.mff.cuni.cz/services/teitok/pdtc10/index.php?action=vallex&amp;frame=v-w2861f1", "odreagovat se (v-w2861f1) - substituted with v-w2861f2_MM")</f>
        <v>odreagovat se (v-w2861f1) - substituted with v-w2861f2_MM</v>
      </c>
    </row>
    <row r="22426" spans="1:4" x14ac:dyDescent="0.2">
      <c r="B22426" t="s">
        <v>1</v>
      </c>
    </row>
    <row r="22427" spans="1:4" x14ac:dyDescent="0.2">
      <c r="B22427" t="s">
        <v>247</v>
      </c>
    </row>
    <row r="22429" spans="1:4" x14ac:dyDescent="0.2">
      <c r="A22429" t="s">
        <v>7443</v>
      </c>
      <c r="B22429" t="str">
        <f>HYPERLINK("https://lindat.mff.cuni.cz/services/teitok/pdtc10/index.php?action=vallex&amp;frame=v-w12352_MMf1_MM", "odreagovávat (v-w12352_MMf1_MM)")</f>
        <v>odreagovávat (v-w12352_MMf1_MM)</v>
      </c>
    </row>
    <row r="22430" spans="1:4" x14ac:dyDescent="0.2">
      <c r="B22430" t="s">
        <v>1</v>
      </c>
    </row>
    <row r="22431" spans="1:4" x14ac:dyDescent="0.2">
      <c r="B22431" t="s">
        <v>8</v>
      </c>
    </row>
    <row r="22433" spans="1:4" x14ac:dyDescent="0.2">
      <c r="A22433" t="s">
        <v>7444</v>
      </c>
      <c r="B22433" t="str">
        <f>HYPERLINK("https://lindat.mff.cuni.cz/services/teitok/pdtc10/index.php?action=vallex&amp;frame=v-w12354_MMf1_MM", "odrodit (v-w12354_MMf1_MM)")</f>
        <v>odrodit (v-w12354_MMf1_MM)</v>
      </c>
    </row>
    <row r="22434" spans="1:4" x14ac:dyDescent="0.2">
      <c r="B22434" t="s">
        <v>1</v>
      </c>
    </row>
    <row r="22435" spans="1:4" x14ac:dyDescent="0.2">
      <c r="B22435" t="s">
        <v>8</v>
      </c>
    </row>
    <row r="22437" spans="1:4" x14ac:dyDescent="0.2">
      <c r="A22437" t="s">
        <v>7445</v>
      </c>
      <c r="B22437" t="str">
        <f>HYPERLINK("https://lindat.mff.cuni.cz/services/teitok/pdtc10/index.php?action=vallex&amp;frame=v-w10873f2", "odrovnat (v-w10873f2)")</f>
        <v>odrovnat (v-w10873f2)</v>
      </c>
    </row>
    <row r="22438" spans="1:4" x14ac:dyDescent="0.2">
      <c r="B22438" t="s">
        <v>1</v>
      </c>
    </row>
    <row r="22439" spans="1:4" x14ac:dyDescent="0.2">
      <c r="B22439" t="s">
        <v>8</v>
      </c>
      <c r="C22439" t="s">
        <v>113</v>
      </c>
    </row>
    <row r="22441" spans="1:4" x14ac:dyDescent="0.2">
      <c r="A22441" t="s">
        <v>7446</v>
      </c>
      <c r="B22441" t="str">
        <f>HYPERLINK("https://lindat.mff.cuni.cz/services/teitok/pdtc10/index.php?action=vallex&amp;frame=v-w2862f1", "odročit (v-w2862f1)")</f>
        <v>odročit (v-w2862f1)</v>
      </c>
    </row>
    <row r="22442" spans="1:4" x14ac:dyDescent="0.2">
      <c r="B22442" t="s">
        <v>1</v>
      </c>
      <c r="C22442" t="s">
        <v>109</v>
      </c>
      <c r="D22442" t="s">
        <v>23640</v>
      </c>
    </row>
    <row r="22443" spans="1:4" x14ac:dyDescent="0.2">
      <c r="B22443" t="s">
        <v>8</v>
      </c>
      <c r="C22443" t="s">
        <v>2213</v>
      </c>
      <c r="D22443" t="s">
        <v>23641</v>
      </c>
    </row>
    <row r="22445" spans="1:4" x14ac:dyDescent="0.2">
      <c r="A22445" t="s">
        <v>7447</v>
      </c>
      <c r="B22445" t="str">
        <f>HYPERLINK("https://lindat.mff.cuni.cz/services/teitok/pdtc10/index.php?action=vallex&amp;frame=v-w2858f1", "odrážet (v-w2858f1)")</f>
        <v>odrážet (v-w2858f1)</v>
      </c>
    </row>
    <row r="22446" spans="1:4" x14ac:dyDescent="0.2">
      <c r="B22446" t="s">
        <v>1</v>
      </c>
      <c r="C22446" t="s">
        <v>7448</v>
      </c>
      <c r="D22446" t="s">
        <v>13243</v>
      </c>
    </row>
    <row r="22447" spans="1:4" x14ac:dyDescent="0.2">
      <c r="B22447" t="s">
        <v>124</v>
      </c>
      <c r="C22447" t="s">
        <v>7449</v>
      </c>
      <c r="D22447" t="s">
        <v>23359</v>
      </c>
    </row>
    <row r="22449" spans="1:4" x14ac:dyDescent="0.2">
      <c r="A22449" t="s">
        <v>7450</v>
      </c>
      <c r="B22449" t="str">
        <f>HYPERLINK("https://lindat.mff.cuni.cz/services/teitok/pdtc10/index.php?action=vallex&amp;frame=v-w2858f2_ZU", "odrážet (v-w2858f2_ZU)")</f>
        <v>odrážet (v-w2858f2_ZU)</v>
      </c>
    </row>
    <row r="22450" spans="1:4" x14ac:dyDescent="0.2">
      <c r="B22450" t="s">
        <v>1</v>
      </c>
      <c r="C22450" t="s">
        <v>7426</v>
      </c>
      <c r="D22450" t="s">
        <v>249</v>
      </c>
    </row>
    <row r="22451" spans="1:4" x14ac:dyDescent="0.2">
      <c r="B22451" t="s">
        <v>8</v>
      </c>
      <c r="C22451" t="s">
        <v>7427</v>
      </c>
      <c r="D22451" t="s">
        <v>2886</v>
      </c>
    </row>
    <row r="22453" spans="1:4" x14ac:dyDescent="0.2">
      <c r="A22453" t="s">
        <v>7451</v>
      </c>
      <c r="B22453" t="str">
        <f>HYPERLINK("https://lindat.mff.cuni.cz/services/teitok/pdtc10/index.php?action=vallex&amp;frame=v-w2859f1", "odrážet se (v-w2859f1)")</f>
        <v>odrážet se (v-w2859f1)</v>
      </c>
    </row>
    <row r="22454" spans="1:4" x14ac:dyDescent="0.2">
      <c r="B22454" t="s">
        <v>1</v>
      </c>
      <c r="C22454" t="s">
        <v>7452</v>
      </c>
      <c r="D22454" t="s">
        <v>23671</v>
      </c>
    </row>
    <row r="22455" spans="1:4" x14ac:dyDescent="0.2">
      <c r="B22455" t="s">
        <v>7431</v>
      </c>
      <c r="C22455" t="s">
        <v>7432</v>
      </c>
      <c r="D22455" t="s">
        <v>23672</v>
      </c>
    </row>
    <row r="22457" spans="1:4" x14ac:dyDescent="0.2">
      <c r="A22457" t="s">
        <v>7453</v>
      </c>
      <c r="B22457" t="str">
        <f>HYPERLINK("https://lindat.mff.cuni.cz/services/teitok/pdtc10/index.php?action=vallex&amp;frame=v-w2859f2", "odrážet se (v-w2859f2)")</f>
        <v>odrážet se (v-w2859f2)</v>
      </c>
    </row>
    <row r="22458" spans="1:4" x14ac:dyDescent="0.2">
      <c r="B22458" t="s">
        <v>1</v>
      </c>
      <c r="C22458" t="s">
        <v>7454</v>
      </c>
    </row>
    <row r="22459" spans="1:4" x14ac:dyDescent="0.2">
      <c r="B22459" t="s">
        <v>5</v>
      </c>
    </row>
    <row r="22461" spans="1:4" x14ac:dyDescent="0.2">
      <c r="A22461" t="s">
        <v>7455</v>
      </c>
      <c r="B22461" t="str">
        <f>HYPERLINK("https://lindat.mff.cuni.cz/services/teitok/pdtc10/index.php?action=vallex&amp;frame=v-w2859f3", "odrážet se (v-w2859f3)")</f>
        <v>odrážet se (v-w2859f3)</v>
      </c>
    </row>
    <row r="22462" spans="1:4" x14ac:dyDescent="0.2">
      <c r="B22462" t="s">
        <v>1</v>
      </c>
    </row>
    <row r="22463" spans="1:4" x14ac:dyDescent="0.2">
      <c r="B22463" t="s">
        <v>333</v>
      </c>
    </row>
    <row r="22465" spans="1:4" x14ac:dyDescent="0.2">
      <c r="A22465" t="s">
        <v>7456</v>
      </c>
      <c r="B22465" t="str">
        <f>HYPERLINK("https://lindat.mff.cuni.cz/services/teitok/pdtc10/index.php?action=vallex&amp;frame=v-w2859hsa_66", "odrážet se (v-w2859hsa_66)")</f>
        <v>odrážet se (v-w2859hsa_66)</v>
      </c>
    </row>
    <row r="22466" spans="1:4" x14ac:dyDescent="0.2">
      <c r="B22466" t="s">
        <v>1</v>
      </c>
      <c r="D22466" t="s">
        <v>435</v>
      </c>
    </row>
    <row r="22467" spans="1:4" x14ac:dyDescent="0.2">
      <c r="B22467" t="s">
        <v>333</v>
      </c>
      <c r="D22467" t="s">
        <v>7436</v>
      </c>
    </row>
    <row r="22469" spans="1:4" x14ac:dyDescent="0.2">
      <c r="A22469" t="s">
        <v>7457</v>
      </c>
      <c r="B22469" t="str">
        <f>HYPERLINK("https://lindat.mff.cuni.cz/services/teitok/pdtc10/index.php?action=vallex&amp;frame=v-w2863f2", "odrůst (v-w2863f2)")</f>
        <v>odrůst (v-w2863f2)</v>
      </c>
    </row>
    <row r="22470" spans="1:4" x14ac:dyDescent="0.2">
      <c r="B22470" t="s">
        <v>1</v>
      </c>
    </row>
    <row r="22471" spans="1:4" x14ac:dyDescent="0.2">
      <c r="B22471" t="s">
        <v>103</v>
      </c>
    </row>
    <row r="22473" spans="1:4" x14ac:dyDescent="0.2">
      <c r="A22473" t="s">
        <v>7458</v>
      </c>
      <c r="B22473" t="str">
        <f>HYPERLINK("https://lindat.mff.cuni.cz/services/teitok/pdtc10/index.php?action=vallex&amp;frame=v-w2863f1", "odrůst (v-w2863f1)")</f>
        <v>odrůst (v-w2863f1)</v>
      </c>
    </row>
    <row r="22474" spans="1:4" x14ac:dyDescent="0.2">
      <c r="B22474" t="s">
        <v>1</v>
      </c>
      <c r="D22474" t="s">
        <v>23674</v>
      </c>
    </row>
    <row r="22476" spans="1:4" x14ac:dyDescent="0.2">
      <c r="A22476" t="s">
        <v>7459</v>
      </c>
      <c r="B22476" t="str">
        <f>HYPERLINK("https://lindat.mff.cuni.cz/services/teitok/pdtc10/index.php?action=vallex&amp;frame=v-whsa_8hsa_9", "odrůstat (v-whsa_8hsa_9)")</f>
        <v>odrůstat (v-whsa_8hsa_9)</v>
      </c>
    </row>
    <row r="22477" spans="1:4" x14ac:dyDescent="0.2">
      <c r="B22477" t="s">
        <v>1</v>
      </c>
    </row>
    <row r="22479" spans="1:4" x14ac:dyDescent="0.2">
      <c r="A22479" t="s">
        <v>7460</v>
      </c>
      <c r="B22479" t="str">
        <f>HYPERLINK("https://lindat.mff.cuni.cz/services/teitok/pdtc10/index.php?action=vallex&amp;frame=v-w2876f1", "odsednout si (v-w2876f1)")</f>
        <v>odsednout si (v-w2876f1)</v>
      </c>
    </row>
    <row r="22480" spans="1:4" x14ac:dyDescent="0.2">
      <c r="B22480" t="s">
        <v>1</v>
      </c>
      <c r="C22480" t="s">
        <v>201</v>
      </c>
      <c r="D22480" t="s">
        <v>127</v>
      </c>
    </row>
    <row r="22481" spans="1:4" x14ac:dyDescent="0.2">
      <c r="B22481" t="s">
        <v>333</v>
      </c>
    </row>
    <row r="22483" spans="1:4" x14ac:dyDescent="0.2">
      <c r="A22483" t="s">
        <v>7461</v>
      </c>
      <c r="B22483" t="str">
        <f>HYPERLINK("https://lindat.mff.cuni.cz/services/teitok/pdtc10/index.php?action=vallex&amp;frame=v-w2875f1", "odsedět si (v-w2875f1)")</f>
        <v>odsedět si (v-w2875f1)</v>
      </c>
    </row>
    <row r="22484" spans="1:4" x14ac:dyDescent="0.2">
      <c r="B22484" t="s">
        <v>1</v>
      </c>
    </row>
    <row r="22485" spans="1:4" x14ac:dyDescent="0.2">
      <c r="B22485" t="s">
        <v>8</v>
      </c>
    </row>
    <row r="22487" spans="1:4" x14ac:dyDescent="0.2">
      <c r="A22487" t="s">
        <v>7462</v>
      </c>
      <c r="B22487" t="str">
        <f>HYPERLINK("https://lindat.mff.cuni.cz/services/teitok/pdtc10/index.php?action=vallex&amp;frame=v-w10082f2", "odsekat (v-w10082f2)")</f>
        <v>odsekat (v-w10082f2)</v>
      </c>
    </row>
    <row r="22488" spans="1:4" x14ac:dyDescent="0.2">
      <c r="B22488" t="s">
        <v>1</v>
      </c>
    </row>
    <row r="22489" spans="1:4" x14ac:dyDescent="0.2">
      <c r="B22489" t="s">
        <v>8</v>
      </c>
    </row>
    <row r="22490" spans="1:4" x14ac:dyDescent="0.2">
      <c r="B22490" t="s">
        <v>333</v>
      </c>
    </row>
    <row r="22492" spans="1:4" x14ac:dyDescent="0.2">
      <c r="A22492" t="s">
        <v>7463</v>
      </c>
      <c r="B22492" t="str">
        <f>HYPERLINK("https://lindat.mff.cuni.cz/services/teitok/pdtc10/index.php?action=vallex&amp;frame=v-w2877f1", "odseknout (v-w2877f1)")</f>
        <v>odseknout (v-w2877f1)</v>
      </c>
    </row>
    <row r="22493" spans="1:4" x14ac:dyDescent="0.2">
      <c r="B22493" t="s">
        <v>1</v>
      </c>
      <c r="D22493" t="s">
        <v>373</v>
      </c>
    </row>
    <row r="22494" spans="1:4" x14ac:dyDescent="0.2">
      <c r="B22494" t="s">
        <v>8</v>
      </c>
      <c r="D22494" t="s">
        <v>3773</v>
      </c>
    </row>
    <row r="22495" spans="1:4" x14ac:dyDescent="0.2">
      <c r="B22495" t="s">
        <v>333</v>
      </c>
      <c r="D22495" t="s">
        <v>7538</v>
      </c>
    </row>
    <row r="22497" spans="1:4" x14ac:dyDescent="0.2">
      <c r="A22497" t="s">
        <v>7464</v>
      </c>
      <c r="B22497" t="str">
        <f>HYPERLINK("https://lindat.mff.cuni.cz/services/teitok/pdtc10/index.php?action=vallex&amp;frame=v-w2877hsa_191", "odseknout (v-w2877hsa_191)")</f>
        <v>odseknout (v-w2877hsa_191)</v>
      </c>
    </row>
    <row r="22498" spans="1:4" x14ac:dyDescent="0.2">
      <c r="B22498" t="s">
        <v>1</v>
      </c>
      <c r="C22498" t="s">
        <v>33</v>
      </c>
      <c r="D22498" t="s">
        <v>23661</v>
      </c>
    </row>
    <row r="22499" spans="1:4" x14ac:dyDescent="0.2">
      <c r="B22499" t="s">
        <v>35</v>
      </c>
      <c r="D22499" t="s">
        <v>23662</v>
      </c>
    </row>
    <row r="22500" spans="1:4" x14ac:dyDescent="0.2">
      <c r="B22500" t="s">
        <v>3414</v>
      </c>
      <c r="C22500" t="s">
        <v>7465</v>
      </c>
      <c r="D22500" t="s">
        <v>23663</v>
      </c>
    </row>
    <row r="22501" spans="1:4" x14ac:dyDescent="0.2">
      <c r="B22501" t="s">
        <v>46</v>
      </c>
      <c r="D22501" t="s">
        <v>23664</v>
      </c>
    </row>
    <row r="22503" spans="1:4" x14ac:dyDescent="0.2">
      <c r="A22503" t="s">
        <v>7466</v>
      </c>
      <c r="B22503" t="str">
        <f>HYPERLINK("https://lindat.mff.cuni.cz/services/teitok/pdtc10/index.php?action=vallex&amp;frame=v-whsa_426hsa_427", "odskakovat (v-whsa_426hsa_427)")</f>
        <v>odskakovat (v-whsa_426hsa_427)</v>
      </c>
    </row>
    <row r="22504" spans="1:4" x14ac:dyDescent="0.2">
      <c r="B22504" t="s">
        <v>1</v>
      </c>
      <c r="C22504" t="s">
        <v>2172</v>
      </c>
    </row>
    <row r="22505" spans="1:4" x14ac:dyDescent="0.2">
      <c r="B22505" t="s">
        <v>333</v>
      </c>
    </row>
    <row r="22507" spans="1:4" x14ac:dyDescent="0.2">
      <c r="A22507" t="s">
        <v>7467</v>
      </c>
      <c r="B22507" t="str">
        <f>HYPERLINK("https://lindat.mff.cuni.cz/services/teitok/pdtc10/index.php?action=vallex&amp;frame=v-w2881f1", "odskakovat si (v-w2881f1)")</f>
        <v>odskakovat si (v-w2881f1)</v>
      </c>
    </row>
    <row r="22508" spans="1:4" x14ac:dyDescent="0.2">
      <c r="B22508" t="s">
        <v>1</v>
      </c>
    </row>
    <row r="22510" spans="1:4" x14ac:dyDescent="0.2">
      <c r="A22510" t="s">
        <v>7468</v>
      </c>
      <c r="B22510" t="str">
        <f>HYPERLINK("https://lindat.mff.cuni.cz/services/teitok/pdtc10/index.php?action=vallex&amp;frame=v-w2882f1", "odskočit (v-w2882f1)")</f>
        <v>odskočit (v-w2882f1)</v>
      </c>
    </row>
    <row r="22511" spans="1:4" x14ac:dyDescent="0.2">
      <c r="B22511" t="s">
        <v>1</v>
      </c>
    </row>
    <row r="22512" spans="1:4" x14ac:dyDescent="0.2">
      <c r="B22512" t="s">
        <v>333</v>
      </c>
    </row>
    <row r="22514" spans="1:4" x14ac:dyDescent="0.2">
      <c r="A22514" t="s">
        <v>7469</v>
      </c>
      <c r="B22514" t="str">
        <f>HYPERLINK("https://lindat.mff.cuni.cz/services/teitok/pdtc10/index.php?action=vallex&amp;frame=v-w2883f1", "odskočit si (v-w2883f1)")</f>
        <v>odskočit si (v-w2883f1)</v>
      </c>
    </row>
    <row r="22515" spans="1:4" x14ac:dyDescent="0.2">
      <c r="B22515" t="s">
        <v>1</v>
      </c>
      <c r="C22515" t="s">
        <v>2444</v>
      </c>
      <c r="D22515" t="s">
        <v>2444</v>
      </c>
    </row>
    <row r="22517" spans="1:4" x14ac:dyDescent="0.2">
      <c r="A22517" t="s">
        <v>7470</v>
      </c>
      <c r="B22517" t="str">
        <f>HYPERLINK("https://lindat.mff.cuni.cz/services/teitok/pdtc10/index.php?action=vallex&amp;frame=v-w2880f1", "odskákat (v-w2880f1)")</f>
        <v>odskákat (v-w2880f1)</v>
      </c>
    </row>
    <row r="22518" spans="1:4" x14ac:dyDescent="0.2">
      <c r="B22518" t="s">
        <v>1</v>
      </c>
      <c r="C22518" t="s">
        <v>7471</v>
      </c>
    </row>
    <row r="22519" spans="1:4" x14ac:dyDescent="0.2">
      <c r="B22519" t="s">
        <v>8</v>
      </c>
    </row>
    <row r="22521" spans="1:4" x14ac:dyDescent="0.2">
      <c r="A22521" t="s">
        <v>7472</v>
      </c>
      <c r="B22521" t="str">
        <f>HYPERLINK("https://lindat.mff.cuni.cz/services/teitok/pdtc10/index.php?action=vallex&amp;frame=v-w2884f1", "odsloužit (v-w2884f1)")</f>
        <v>odsloužit (v-w2884f1)</v>
      </c>
    </row>
    <row r="22522" spans="1:4" x14ac:dyDescent="0.2">
      <c r="B22522" t="s">
        <v>1</v>
      </c>
    </row>
    <row r="22523" spans="1:4" x14ac:dyDescent="0.2">
      <c r="B22523" t="s">
        <v>8</v>
      </c>
    </row>
    <row r="22525" spans="1:4" x14ac:dyDescent="0.2">
      <c r="A22525" t="s">
        <v>7473</v>
      </c>
      <c r="B22525" t="str">
        <f>HYPERLINK("https://lindat.mff.cuni.cz/services/teitok/pdtc10/index.php?action=vallex&amp;frame=v-w2885f1", "odsloužit si (v-w2885f1)")</f>
        <v>odsloužit si (v-w2885f1)</v>
      </c>
    </row>
    <row r="22526" spans="1:4" x14ac:dyDescent="0.2">
      <c r="B22526" t="s">
        <v>1</v>
      </c>
    </row>
    <row r="22527" spans="1:4" x14ac:dyDescent="0.2">
      <c r="B22527" t="s">
        <v>8</v>
      </c>
    </row>
    <row r="22529" spans="1:4" x14ac:dyDescent="0.2">
      <c r="A22529" t="s">
        <v>7474</v>
      </c>
      <c r="B22529" t="str">
        <f>HYPERLINK("https://lindat.mff.cuni.cz/services/teitok/pdtc10/index.php?action=vallex&amp;frame=v-w2886hsa_4", "odsoudit (v-w2886hsa_4)")</f>
        <v>odsoudit (v-w2886hsa_4)</v>
      </c>
    </row>
    <row r="22530" spans="1:4" x14ac:dyDescent="0.2">
      <c r="B22530" t="s">
        <v>1</v>
      </c>
      <c r="C22530" t="s">
        <v>249</v>
      </c>
      <c r="D22530" t="s">
        <v>23675</v>
      </c>
    </row>
    <row r="22531" spans="1:4" x14ac:dyDescent="0.2">
      <c r="B22531" t="s">
        <v>8</v>
      </c>
      <c r="C22531" t="s">
        <v>1128</v>
      </c>
      <c r="D22531" t="s">
        <v>23676</v>
      </c>
    </row>
    <row r="22532" spans="1:4" x14ac:dyDescent="0.2">
      <c r="B22532" t="s">
        <v>7475</v>
      </c>
      <c r="C22532" t="s">
        <v>131</v>
      </c>
    </row>
    <row r="22534" spans="1:4" x14ac:dyDescent="0.2">
      <c r="A22534" t="s">
        <v>7474</v>
      </c>
      <c r="B22534" t="str">
        <f>HYPERLINK("https://lindat.mff.cuni.cz/services/teitok/pdtc10/index.php?action=vallex&amp;frame=v-w2886f1", "odsoudit (v-w2886f1) - substituted with v-w2886hsa_4")</f>
        <v>odsoudit (v-w2886f1) - substituted with v-w2886hsa_4</v>
      </c>
    </row>
    <row r="22535" spans="1:4" x14ac:dyDescent="0.2">
      <c r="B22535" t="s">
        <v>1</v>
      </c>
      <c r="C22535" t="s">
        <v>1566</v>
      </c>
    </row>
    <row r="22536" spans="1:4" x14ac:dyDescent="0.2">
      <c r="B22536" t="s">
        <v>8</v>
      </c>
      <c r="C22536" t="s">
        <v>3324</v>
      </c>
    </row>
    <row r="22537" spans="1:4" x14ac:dyDescent="0.2">
      <c r="B22537" t="s">
        <v>7475</v>
      </c>
      <c r="C22537" t="s">
        <v>7476</v>
      </c>
    </row>
    <row r="22539" spans="1:4" x14ac:dyDescent="0.2">
      <c r="A22539" t="s">
        <v>7474</v>
      </c>
      <c r="B22539" t="str">
        <f>HYPERLINK("https://lindat.mff.cuni.cz/services/teitok/pdtc10/index.php?action=vallex&amp;frame=v-w2886f3_ZU", "odsoudit (v-w2886f3_ZU) - substituted with v-w2886hsa_4")</f>
        <v>odsoudit (v-w2886f3_ZU) - substituted with v-w2886hsa_4</v>
      </c>
    </row>
    <row r="22540" spans="1:4" x14ac:dyDescent="0.2">
      <c r="B22540" t="s">
        <v>1</v>
      </c>
      <c r="C22540" t="s">
        <v>3358</v>
      </c>
    </row>
    <row r="22541" spans="1:4" x14ac:dyDescent="0.2">
      <c r="B22541" t="s">
        <v>8</v>
      </c>
      <c r="C22541" t="s">
        <v>977</v>
      </c>
    </row>
    <row r="22542" spans="1:4" x14ac:dyDescent="0.2">
      <c r="B22542" t="s">
        <v>7475</v>
      </c>
      <c r="C22542" t="s">
        <v>7476</v>
      </c>
    </row>
    <row r="22544" spans="1:4" x14ac:dyDescent="0.2">
      <c r="A22544" t="s">
        <v>7477</v>
      </c>
      <c r="B22544" t="str">
        <f>HYPERLINK("https://lindat.mff.cuni.cz/services/teitok/pdtc10/index.php?action=vallex&amp;frame=v-w2886f2", "odsoudit (v-w2886f2)")</f>
        <v>odsoudit (v-w2886f2)</v>
      </c>
    </row>
    <row r="22545" spans="1:4" x14ac:dyDescent="0.2">
      <c r="B22545" t="s">
        <v>1</v>
      </c>
      <c r="C22545" t="s">
        <v>967</v>
      </c>
      <c r="D22545" t="s">
        <v>9612</v>
      </c>
    </row>
    <row r="22546" spans="1:4" x14ac:dyDescent="0.2">
      <c r="B22546" t="s">
        <v>41</v>
      </c>
      <c r="C22546" t="s">
        <v>1264</v>
      </c>
      <c r="D22546" t="s">
        <v>1362</v>
      </c>
    </row>
    <row r="22548" spans="1:4" x14ac:dyDescent="0.2">
      <c r="A22548" t="s">
        <v>7478</v>
      </c>
      <c r="B22548" t="str">
        <f>HYPERLINK("https://lindat.mff.cuni.cz/services/teitok/pdtc10/index.php?action=vallex&amp;frame=v-w2887f1", "odsouhlasit (v-w2887f1)")</f>
        <v>odsouhlasit (v-w2887f1)</v>
      </c>
    </row>
    <row r="22549" spans="1:4" x14ac:dyDescent="0.2">
      <c r="B22549" t="s">
        <v>1</v>
      </c>
      <c r="C22549" t="s">
        <v>7479</v>
      </c>
      <c r="D22549" t="s">
        <v>23677</v>
      </c>
    </row>
    <row r="22550" spans="1:4" x14ac:dyDescent="0.2">
      <c r="B22550" t="s">
        <v>7480</v>
      </c>
      <c r="C22550" t="s">
        <v>7481</v>
      </c>
      <c r="D22550" t="s">
        <v>23678</v>
      </c>
    </row>
    <row r="22551" spans="1:4" x14ac:dyDescent="0.2">
      <c r="B22551" t="s">
        <v>78</v>
      </c>
      <c r="D22551" t="s">
        <v>23679</v>
      </c>
    </row>
    <row r="22553" spans="1:4" x14ac:dyDescent="0.2">
      <c r="A22553" t="s">
        <v>7482</v>
      </c>
      <c r="B22553" t="str">
        <f>HYPERLINK("https://lindat.mff.cuni.cz/services/teitok/pdtc10/index.php?action=vallex&amp;frame=v-w2888f1", "odsouvat (v-w2888f1)")</f>
        <v>odsouvat (v-w2888f1)</v>
      </c>
    </row>
    <row r="22554" spans="1:4" x14ac:dyDescent="0.2">
      <c r="B22554" t="s">
        <v>1</v>
      </c>
    </row>
    <row r="22555" spans="1:4" x14ac:dyDescent="0.2">
      <c r="B22555" t="s">
        <v>8</v>
      </c>
    </row>
    <row r="22556" spans="1:4" x14ac:dyDescent="0.2">
      <c r="B22556" t="s">
        <v>205</v>
      </c>
    </row>
    <row r="22558" spans="1:4" x14ac:dyDescent="0.2">
      <c r="A22558" t="s">
        <v>7483</v>
      </c>
      <c r="B22558" t="str">
        <f>HYPERLINK("https://lindat.mff.cuni.cz/services/teitok/pdtc10/index.php?action=vallex&amp;frame=v-w2888f2", "odsouvat (v-w2888f2)")</f>
        <v>odsouvat (v-w2888f2)</v>
      </c>
    </row>
    <row r="22559" spans="1:4" x14ac:dyDescent="0.2">
      <c r="B22559" t="s">
        <v>1</v>
      </c>
      <c r="C22559" t="s">
        <v>1581</v>
      </c>
      <c r="D22559" t="s">
        <v>23640</v>
      </c>
    </row>
    <row r="22560" spans="1:4" x14ac:dyDescent="0.2">
      <c r="B22560" t="s">
        <v>8</v>
      </c>
      <c r="C22560" t="s">
        <v>3789</v>
      </c>
      <c r="D22560" t="s">
        <v>23641</v>
      </c>
    </row>
    <row r="22562" spans="1:4" x14ac:dyDescent="0.2">
      <c r="A22562" t="s">
        <v>7484</v>
      </c>
      <c r="B22562" t="str">
        <f>HYPERLINK("https://lindat.mff.cuni.cz/services/teitok/pdtc10/index.php?action=vallex&amp;frame=v-w2892f1", "odstartovat (v-w2892f1)")</f>
        <v>odstartovat (v-w2892f1)</v>
      </c>
    </row>
    <row r="22563" spans="1:4" x14ac:dyDescent="0.2">
      <c r="B22563" t="s">
        <v>1</v>
      </c>
      <c r="C22563" t="s">
        <v>7485</v>
      </c>
      <c r="D22563" t="s">
        <v>22950</v>
      </c>
    </row>
    <row r="22564" spans="1:4" x14ac:dyDescent="0.2">
      <c r="B22564" t="s">
        <v>8</v>
      </c>
      <c r="C22564" t="s">
        <v>7486</v>
      </c>
      <c r="D22564" t="s">
        <v>22951</v>
      </c>
    </row>
    <row r="22566" spans="1:4" x14ac:dyDescent="0.2">
      <c r="A22566" t="s">
        <v>7487</v>
      </c>
      <c r="B22566" t="str">
        <f>HYPERLINK("https://lindat.mff.cuni.cz/services/teitok/pdtc10/index.php?action=vallex&amp;frame=v-w2892f2", "odstartovat (v-w2892f2)")</f>
        <v>odstartovat (v-w2892f2)</v>
      </c>
    </row>
    <row r="22567" spans="1:4" x14ac:dyDescent="0.2">
      <c r="B22567" t="s">
        <v>1</v>
      </c>
    </row>
    <row r="22569" spans="1:4" x14ac:dyDescent="0.2">
      <c r="A22569" t="s">
        <v>7488</v>
      </c>
      <c r="B22569" t="str">
        <f>HYPERLINK("https://lindat.mff.cuni.cz/services/teitok/pdtc10/index.php?action=vallex&amp;frame=v-w2892f3_ZU", "odstartovat (v-w2892f3_ZU)")</f>
        <v>odstartovat (v-w2892f3_ZU)</v>
      </c>
    </row>
    <row r="22570" spans="1:4" x14ac:dyDescent="0.2">
      <c r="B22570" t="s">
        <v>1</v>
      </c>
      <c r="C22570" t="s">
        <v>7489</v>
      </c>
      <c r="D22570" t="s">
        <v>22988</v>
      </c>
    </row>
    <row r="22572" spans="1:4" x14ac:dyDescent="0.2">
      <c r="A22572" t="s">
        <v>7490</v>
      </c>
      <c r="B22572" t="str">
        <f>HYPERLINK("https://lindat.mff.cuni.cz/services/teitok/pdtc10/index.php?action=vallex&amp;frame=v-w2892f4_ZU", "odstartovat (v-w2892f4_ZU)")</f>
        <v>odstartovat (v-w2892f4_ZU)</v>
      </c>
    </row>
    <row r="22573" spans="1:4" x14ac:dyDescent="0.2">
      <c r="B22573" t="s">
        <v>1</v>
      </c>
      <c r="C22573" t="s">
        <v>3590</v>
      </c>
      <c r="D22573" t="s">
        <v>22950</v>
      </c>
    </row>
    <row r="22574" spans="1:4" x14ac:dyDescent="0.2">
      <c r="B22574" t="s">
        <v>8</v>
      </c>
      <c r="C22574" t="s">
        <v>3736</v>
      </c>
      <c r="D22574" t="s">
        <v>22951</v>
      </c>
    </row>
    <row r="22576" spans="1:4" x14ac:dyDescent="0.2">
      <c r="A22576" t="s">
        <v>7490</v>
      </c>
      <c r="B22576" t="str">
        <f>HYPERLINK("https://lindat.mff.cuni.cz/services/teitok/pdtc10/index.php?action=vallex&amp;frame=v-w2892hsa_863", "odstartovat (v-w2892hsa_863) - substituted with v-w2892f4_ZU")</f>
        <v>odstartovat (v-w2892hsa_863) - substituted with v-w2892f4_ZU</v>
      </c>
    </row>
    <row r="22577" spans="1:4" x14ac:dyDescent="0.2">
      <c r="B22577" t="s">
        <v>1</v>
      </c>
    </row>
    <row r="22578" spans="1:4" x14ac:dyDescent="0.2">
      <c r="B22578" t="s">
        <v>8</v>
      </c>
    </row>
    <row r="22580" spans="1:4" x14ac:dyDescent="0.2">
      <c r="A22580" t="s">
        <v>7491</v>
      </c>
      <c r="B22580" t="str">
        <f>HYPERLINK("https://lindat.mff.cuni.cz/services/teitok/pdtc10/index.php?action=vallex&amp;frame=v-w2892hsa_864", "odstartovat (v-w2892hsa_864)")</f>
        <v>odstartovat (v-w2892hsa_864)</v>
      </c>
    </row>
    <row r="22581" spans="1:4" x14ac:dyDescent="0.2">
      <c r="B22581" t="s">
        <v>1</v>
      </c>
      <c r="C22581" t="s">
        <v>201</v>
      </c>
      <c r="D22581" t="s">
        <v>8131</v>
      </c>
    </row>
    <row r="22582" spans="1:4" x14ac:dyDescent="0.2">
      <c r="B22582" t="s">
        <v>1245</v>
      </c>
      <c r="D22582" t="s">
        <v>23680</v>
      </c>
    </row>
    <row r="22583" spans="1:4" x14ac:dyDescent="0.2">
      <c r="B22583" t="s">
        <v>346</v>
      </c>
      <c r="D22583" t="s">
        <v>23681</v>
      </c>
    </row>
    <row r="22584" spans="1:4" x14ac:dyDescent="0.2">
      <c r="B22584" t="s">
        <v>349</v>
      </c>
      <c r="D22584" t="s">
        <v>23682</v>
      </c>
    </row>
    <row r="22586" spans="1:4" x14ac:dyDescent="0.2">
      <c r="A22586" t="s">
        <v>7492</v>
      </c>
      <c r="B22586" t="str">
        <f>HYPERLINK("https://lindat.mff.cuni.cz/services/teitok/pdtc10/index.php?action=vallex&amp;frame=v-w12344_MMf1_MM", "odstaršit (v-w12344_MMf1_MM)")</f>
        <v>odstaršit (v-w12344_MMf1_MM)</v>
      </c>
    </row>
    <row r="22587" spans="1:4" x14ac:dyDescent="0.2">
      <c r="B22587" t="s">
        <v>1</v>
      </c>
    </row>
    <row r="22588" spans="1:4" x14ac:dyDescent="0.2">
      <c r="B22588" t="s">
        <v>8</v>
      </c>
    </row>
    <row r="22590" spans="1:4" x14ac:dyDescent="0.2">
      <c r="A22590" t="s">
        <v>7493</v>
      </c>
      <c r="B22590" t="str">
        <f>HYPERLINK("https://lindat.mff.cuni.cz/services/teitok/pdtc10/index.php?action=vallex&amp;frame=v-w2895f1", "odstavit (v-w2895f1)")</f>
        <v>odstavit (v-w2895f1)</v>
      </c>
    </row>
    <row r="22591" spans="1:4" x14ac:dyDescent="0.2">
      <c r="B22591" t="s">
        <v>1</v>
      </c>
      <c r="C22591" t="s">
        <v>7494</v>
      </c>
    </row>
    <row r="22592" spans="1:4" x14ac:dyDescent="0.2">
      <c r="B22592" t="s">
        <v>8</v>
      </c>
      <c r="C22592" t="s">
        <v>5674</v>
      </c>
    </row>
    <row r="22593" spans="1:4" x14ac:dyDescent="0.2">
      <c r="B22593" t="s">
        <v>333</v>
      </c>
      <c r="C22593" t="s">
        <v>7495</v>
      </c>
    </row>
    <row r="22595" spans="1:4" x14ac:dyDescent="0.2">
      <c r="A22595" t="s">
        <v>7496</v>
      </c>
      <c r="B22595" t="str">
        <f>HYPERLINK("https://lindat.mff.cuni.cz/services/teitok/pdtc10/index.php?action=vallex&amp;frame=v-w2895f2", "odstavit (v-w2895f2)")</f>
        <v>odstavit (v-w2895f2)</v>
      </c>
    </row>
    <row r="22596" spans="1:4" x14ac:dyDescent="0.2">
      <c r="B22596" t="s">
        <v>1</v>
      </c>
      <c r="C22596" t="s">
        <v>1992</v>
      </c>
      <c r="D22596" t="s">
        <v>33</v>
      </c>
    </row>
    <row r="22597" spans="1:4" x14ac:dyDescent="0.2">
      <c r="B22597" t="s">
        <v>8</v>
      </c>
      <c r="C22597" t="s">
        <v>1721</v>
      </c>
      <c r="D22597" t="s">
        <v>1044</v>
      </c>
    </row>
    <row r="22599" spans="1:4" x14ac:dyDescent="0.2">
      <c r="A22599" t="s">
        <v>7497</v>
      </c>
      <c r="B22599" t="str">
        <f>HYPERLINK("https://lindat.mff.cuni.cz/services/teitok/pdtc10/index.php?action=vallex&amp;frame=v-w2895f3", "odstavit (v-w2895f3)")</f>
        <v>odstavit (v-w2895f3)</v>
      </c>
    </row>
    <row r="22600" spans="1:4" x14ac:dyDescent="0.2">
      <c r="B22600" t="s">
        <v>1</v>
      </c>
    </row>
    <row r="22601" spans="1:4" x14ac:dyDescent="0.2">
      <c r="B22601" t="s">
        <v>8</v>
      </c>
    </row>
    <row r="22603" spans="1:4" x14ac:dyDescent="0.2">
      <c r="A22603" t="s">
        <v>7498</v>
      </c>
      <c r="B22603" t="str">
        <f>HYPERLINK("https://lindat.mff.cuni.cz/services/teitok/pdtc10/index.php?action=vallex&amp;frame=v-w2897f1", "odstavovat (v-w2897f1)")</f>
        <v>odstavovat (v-w2897f1)</v>
      </c>
    </row>
    <row r="22604" spans="1:4" x14ac:dyDescent="0.2">
      <c r="B22604" t="s">
        <v>1</v>
      </c>
    </row>
    <row r="22605" spans="1:4" x14ac:dyDescent="0.2">
      <c r="B22605" t="s">
        <v>8</v>
      </c>
    </row>
    <row r="22606" spans="1:4" x14ac:dyDescent="0.2">
      <c r="B22606" t="s">
        <v>333</v>
      </c>
    </row>
    <row r="22608" spans="1:4" x14ac:dyDescent="0.2">
      <c r="A22608" t="s">
        <v>7499</v>
      </c>
      <c r="B22608" t="str">
        <f>HYPERLINK("https://lindat.mff.cuni.cz/services/teitok/pdtc10/index.php?action=vallex&amp;frame=v-w2897f2", "odstavovat (v-w2897f2)")</f>
        <v>odstavovat (v-w2897f2)</v>
      </c>
    </row>
    <row r="22609" spans="1:4" x14ac:dyDescent="0.2">
      <c r="B22609" t="s">
        <v>1</v>
      </c>
    </row>
    <row r="22610" spans="1:4" x14ac:dyDescent="0.2">
      <c r="B22610" t="s">
        <v>8</v>
      </c>
    </row>
    <row r="22612" spans="1:4" x14ac:dyDescent="0.2">
      <c r="A22612" t="s">
        <v>7500</v>
      </c>
      <c r="B22612" t="str">
        <f>HYPERLINK("https://lindat.mff.cuni.cz/services/teitok/pdtc10/index.php?action=vallex&amp;frame=v-w2903f2", "odstoupit (v-w2903f2)")</f>
        <v>odstoupit (v-w2903f2)</v>
      </c>
    </row>
    <row r="22613" spans="1:4" x14ac:dyDescent="0.2">
      <c r="B22613" t="s">
        <v>1</v>
      </c>
      <c r="C22613" t="s">
        <v>7501</v>
      </c>
      <c r="D22613" t="s">
        <v>23064</v>
      </c>
    </row>
    <row r="22614" spans="1:4" x14ac:dyDescent="0.2">
      <c r="B22614" t="s">
        <v>19</v>
      </c>
      <c r="C22614" t="s">
        <v>7502</v>
      </c>
      <c r="D22614" t="s">
        <v>23065</v>
      </c>
    </row>
    <row r="22616" spans="1:4" x14ac:dyDescent="0.2">
      <c r="A22616" t="s">
        <v>7503</v>
      </c>
      <c r="B22616" t="str">
        <f>HYPERLINK("https://lindat.mff.cuni.cz/services/teitok/pdtc10/index.php?action=vallex&amp;frame=v-w2903f3", "odstoupit (v-w2903f3)")</f>
        <v>odstoupit (v-w2903f3)</v>
      </c>
    </row>
    <row r="22617" spans="1:4" x14ac:dyDescent="0.2">
      <c r="B22617" t="s">
        <v>1</v>
      </c>
      <c r="C22617" t="s">
        <v>2097</v>
      </c>
    </row>
    <row r="22618" spans="1:4" x14ac:dyDescent="0.2">
      <c r="B22618" t="s">
        <v>333</v>
      </c>
    </row>
    <row r="22620" spans="1:4" x14ac:dyDescent="0.2">
      <c r="A22620" t="s">
        <v>7504</v>
      </c>
      <c r="B22620" t="str">
        <f>HYPERLINK("https://lindat.mff.cuni.cz/services/teitok/pdtc10/index.php?action=vallex&amp;frame=v-w2903f1", "odstoupit (v-w2903f1)")</f>
        <v>odstoupit (v-w2903f1)</v>
      </c>
    </row>
    <row r="22621" spans="1:4" x14ac:dyDescent="0.2">
      <c r="B22621" t="s">
        <v>1</v>
      </c>
      <c r="C22621" t="s">
        <v>7505</v>
      </c>
      <c r="D22621" t="s">
        <v>23683</v>
      </c>
    </row>
    <row r="22623" spans="1:4" x14ac:dyDescent="0.2">
      <c r="A22623" t="s">
        <v>7506</v>
      </c>
      <c r="B22623" t="str">
        <f>HYPERLINK("https://lindat.mff.cuni.cz/services/teitok/pdtc10/index.php?action=vallex&amp;frame=v-w2905f2", "odstranit (v-w2905f2)")</f>
        <v>odstranit (v-w2905f2)</v>
      </c>
    </row>
    <row r="22624" spans="1:4" x14ac:dyDescent="0.2">
      <c r="B22624" t="s">
        <v>1</v>
      </c>
      <c r="C22624" t="s">
        <v>3064</v>
      </c>
      <c r="D22624" t="s">
        <v>373</v>
      </c>
    </row>
    <row r="22625" spans="1:4" x14ac:dyDescent="0.2">
      <c r="B22625" t="s">
        <v>8</v>
      </c>
      <c r="C22625" t="s">
        <v>7507</v>
      </c>
      <c r="D22625" t="s">
        <v>23339</v>
      </c>
    </row>
    <row r="22626" spans="1:4" x14ac:dyDescent="0.2">
      <c r="B22626" t="s">
        <v>333</v>
      </c>
      <c r="C22626" t="s">
        <v>7105</v>
      </c>
      <c r="D22626" t="s">
        <v>23684</v>
      </c>
    </row>
    <row r="22628" spans="1:4" x14ac:dyDescent="0.2">
      <c r="A22628" t="s">
        <v>7508</v>
      </c>
      <c r="B22628" t="str">
        <f>HYPERLINK("https://lindat.mff.cuni.cz/services/teitok/pdtc10/index.php?action=vallex&amp;frame=v-w2905f3", "odstranit (v-w2905f3)")</f>
        <v>odstranit (v-w2905f3)</v>
      </c>
    </row>
    <row r="22629" spans="1:4" x14ac:dyDescent="0.2">
      <c r="B22629" t="s">
        <v>1</v>
      </c>
      <c r="C22629" t="s">
        <v>7509</v>
      </c>
    </row>
    <row r="22630" spans="1:4" x14ac:dyDescent="0.2">
      <c r="B22630" t="s">
        <v>8</v>
      </c>
      <c r="C22630" t="s">
        <v>4686</v>
      </c>
    </row>
    <row r="22631" spans="1:4" x14ac:dyDescent="0.2">
      <c r="B22631" t="s">
        <v>333</v>
      </c>
      <c r="C22631" t="s">
        <v>7510</v>
      </c>
    </row>
    <row r="22633" spans="1:4" x14ac:dyDescent="0.2">
      <c r="A22633" t="s">
        <v>7511</v>
      </c>
      <c r="B22633" t="str">
        <f>HYPERLINK("https://lindat.mff.cuni.cz/services/teitok/pdtc10/index.php?action=vallex&amp;frame=v-w2905f1", "odstranit (v-w2905f1)")</f>
        <v>odstranit (v-w2905f1)</v>
      </c>
    </row>
    <row r="22634" spans="1:4" x14ac:dyDescent="0.2">
      <c r="B22634" t="s">
        <v>1</v>
      </c>
      <c r="C22634" t="s">
        <v>7512</v>
      </c>
      <c r="D22634" t="s">
        <v>373</v>
      </c>
    </row>
    <row r="22635" spans="1:4" x14ac:dyDescent="0.2">
      <c r="B22635" t="s">
        <v>8</v>
      </c>
      <c r="C22635" t="s">
        <v>7513</v>
      </c>
      <c r="D22635" t="s">
        <v>23339</v>
      </c>
    </row>
    <row r="22637" spans="1:4" x14ac:dyDescent="0.2">
      <c r="A22637" t="s">
        <v>7514</v>
      </c>
      <c r="B22637" t="str">
        <f>HYPERLINK("https://lindat.mff.cuni.cz/services/teitok/pdtc10/index.php?action=vallex&amp;frame=v-w2907f1", "odstraňovat (v-w2907f1)")</f>
        <v>odstraňovat (v-w2907f1)</v>
      </c>
    </row>
    <row r="22638" spans="1:4" x14ac:dyDescent="0.2">
      <c r="B22638" t="s">
        <v>1</v>
      </c>
      <c r="C22638" t="s">
        <v>1065</v>
      </c>
    </row>
    <row r="22639" spans="1:4" x14ac:dyDescent="0.2">
      <c r="B22639" t="s">
        <v>8</v>
      </c>
      <c r="C22639" t="s">
        <v>4676</v>
      </c>
    </row>
    <row r="22640" spans="1:4" x14ac:dyDescent="0.2">
      <c r="B22640" t="s">
        <v>333</v>
      </c>
      <c r="C22640" t="s">
        <v>7515</v>
      </c>
    </row>
    <row r="22642" spans="1:4" x14ac:dyDescent="0.2">
      <c r="A22642" t="s">
        <v>7516</v>
      </c>
      <c r="B22642" t="str">
        <f>HYPERLINK("https://lindat.mff.cuni.cz/services/teitok/pdtc10/index.php?action=vallex&amp;frame=v-w2907f3", "odstraňovat (v-w2907f3)")</f>
        <v>odstraňovat (v-w2907f3)</v>
      </c>
    </row>
    <row r="22643" spans="1:4" x14ac:dyDescent="0.2">
      <c r="B22643" t="s">
        <v>1</v>
      </c>
      <c r="C22643" t="s">
        <v>370</v>
      </c>
    </row>
    <row r="22644" spans="1:4" x14ac:dyDescent="0.2">
      <c r="B22644" t="s">
        <v>8</v>
      </c>
      <c r="C22644" t="s">
        <v>732</v>
      </c>
    </row>
    <row r="22645" spans="1:4" x14ac:dyDescent="0.2">
      <c r="B22645" t="s">
        <v>333</v>
      </c>
    </row>
    <row r="22647" spans="1:4" x14ac:dyDescent="0.2">
      <c r="A22647" t="s">
        <v>7517</v>
      </c>
      <c r="B22647" t="str">
        <f>HYPERLINK("https://lindat.mff.cuni.cz/services/teitok/pdtc10/index.php?action=vallex&amp;frame=v-w2907f2", "odstraňovat (v-w2907f2)")</f>
        <v>odstraňovat (v-w2907f2)</v>
      </c>
    </row>
    <row r="22648" spans="1:4" x14ac:dyDescent="0.2">
      <c r="B22648" t="s">
        <v>1</v>
      </c>
      <c r="C22648" t="s">
        <v>66</v>
      </c>
      <c r="D22648" t="s">
        <v>33</v>
      </c>
    </row>
    <row r="22649" spans="1:4" x14ac:dyDescent="0.2">
      <c r="B22649" t="s">
        <v>8</v>
      </c>
      <c r="C22649" t="s">
        <v>3598</v>
      </c>
      <c r="D22649" t="s">
        <v>1044</v>
      </c>
    </row>
    <row r="22651" spans="1:4" x14ac:dyDescent="0.2">
      <c r="A22651" t="s">
        <v>7518</v>
      </c>
      <c r="B22651" t="str">
        <f>HYPERLINK("https://lindat.mff.cuni.cz/services/teitok/pdtc10/index.php?action=vallex&amp;frame=v-w11176f2", "odstrašit (v-w11176f2)")</f>
        <v>odstrašit (v-w11176f2)</v>
      </c>
    </row>
    <row r="22652" spans="1:4" x14ac:dyDescent="0.2">
      <c r="B22652" t="s">
        <v>1</v>
      </c>
      <c r="C22652" t="s">
        <v>7519</v>
      </c>
      <c r="D22652" t="s">
        <v>23668</v>
      </c>
    </row>
    <row r="22653" spans="1:4" x14ac:dyDescent="0.2">
      <c r="B22653" t="s">
        <v>58</v>
      </c>
      <c r="C22653" t="s">
        <v>7520</v>
      </c>
      <c r="D22653" t="s">
        <v>23669</v>
      </c>
    </row>
    <row r="22654" spans="1:4" x14ac:dyDescent="0.2">
      <c r="B22654" t="s">
        <v>7420</v>
      </c>
      <c r="C22654" t="s">
        <v>3156</v>
      </c>
      <c r="D22654" t="s">
        <v>23670</v>
      </c>
    </row>
    <row r="22656" spans="1:4" x14ac:dyDescent="0.2">
      <c r="A22656" t="s">
        <v>7521</v>
      </c>
      <c r="B22656" t="str">
        <f>HYPERLINK("https://lindat.mff.cuni.cz/services/teitok/pdtc10/index.php?action=vallex&amp;frame=v-w2909f1", "odstrašovat (v-w2909f1)")</f>
        <v>odstrašovat (v-w2909f1)</v>
      </c>
    </row>
    <row r="22657" spans="1:4" x14ac:dyDescent="0.2">
      <c r="B22657" t="s">
        <v>1</v>
      </c>
      <c r="C22657" t="s">
        <v>7522</v>
      </c>
      <c r="D22657" t="s">
        <v>23316</v>
      </c>
    </row>
    <row r="22658" spans="1:4" x14ac:dyDescent="0.2">
      <c r="B22658" t="s">
        <v>8</v>
      </c>
      <c r="C22658" t="s">
        <v>23</v>
      </c>
      <c r="D22658" t="s">
        <v>2213</v>
      </c>
    </row>
    <row r="22660" spans="1:4" x14ac:dyDescent="0.2">
      <c r="A22660" t="s">
        <v>7523</v>
      </c>
      <c r="B22660" t="str">
        <f>HYPERLINK("https://lindat.mff.cuni.cz/services/teitok/pdtc10/index.php?action=vallex&amp;frame=v-w2910f2", "odstrčit (v-w2910f2)")</f>
        <v>odstrčit (v-w2910f2)</v>
      </c>
    </row>
    <row r="22661" spans="1:4" x14ac:dyDescent="0.2">
      <c r="B22661" t="s">
        <v>1</v>
      </c>
    </row>
    <row r="22662" spans="1:4" x14ac:dyDescent="0.2">
      <c r="B22662" t="s">
        <v>8</v>
      </c>
    </row>
    <row r="22663" spans="1:4" x14ac:dyDescent="0.2">
      <c r="B22663" t="s">
        <v>333</v>
      </c>
    </row>
    <row r="22665" spans="1:4" x14ac:dyDescent="0.2">
      <c r="A22665" t="s">
        <v>7524</v>
      </c>
      <c r="B22665" t="str">
        <f>HYPERLINK("https://lindat.mff.cuni.cz/services/teitok/pdtc10/index.php?action=vallex&amp;frame=v-w2910f1", "odstrčit (v-w2910f1)")</f>
        <v>odstrčit (v-w2910f1)</v>
      </c>
    </row>
    <row r="22666" spans="1:4" x14ac:dyDescent="0.2">
      <c r="B22666" t="s">
        <v>1</v>
      </c>
    </row>
    <row r="22667" spans="1:4" x14ac:dyDescent="0.2">
      <c r="B22667" t="s">
        <v>8</v>
      </c>
    </row>
    <row r="22669" spans="1:4" x14ac:dyDescent="0.2">
      <c r="A22669" t="s">
        <v>7525</v>
      </c>
      <c r="B22669" t="str">
        <f>HYPERLINK("https://lindat.mff.cuni.cz/services/teitok/pdtc10/index.php?action=vallex&amp;frame=v-w2917f2", "odstupovat (v-w2917f2)")</f>
        <v>odstupovat (v-w2917f2)</v>
      </c>
    </row>
    <row r="22670" spans="1:4" x14ac:dyDescent="0.2">
      <c r="B22670" t="s">
        <v>1</v>
      </c>
      <c r="C22670" t="s">
        <v>7526</v>
      </c>
      <c r="D22670" t="s">
        <v>23064</v>
      </c>
    </row>
    <row r="22671" spans="1:4" x14ac:dyDescent="0.2">
      <c r="B22671" t="s">
        <v>19</v>
      </c>
      <c r="C22671" t="s">
        <v>1815</v>
      </c>
      <c r="D22671" t="s">
        <v>23065</v>
      </c>
    </row>
    <row r="22673" spans="1:4" x14ac:dyDescent="0.2">
      <c r="A22673" t="s">
        <v>7527</v>
      </c>
      <c r="B22673" t="str">
        <f>HYPERLINK("https://lindat.mff.cuni.cz/services/teitok/pdtc10/index.php?action=vallex&amp;frame=v-w2917f1", "odstupovat (v-w2917f1)")</f>
        <v>odstupovat (v-w2917f1)</v>
      </c>
    </row>
    <row r="22674" spans="1:4" x14ac:dyDescent="0.2">
      <c r="B22674" t="s">
        <v>1</v>
      </c>
      <c r="D22674" t="s">
        <v>2303</v>
      </c>
    </row>
    <row r="22676" spans="1:4" x14ac:dyDescent="0.2">
      <c r="A22676" t="s">
        <v>7528</v>
      </c>
      <c r="B22676" t="str">
        <f>HYPERLINK("https://lindat.mff.cuni.cz/services/teitok/pdtc10/index.php?action=vallex&amp;frame=v-w2916f1", "odstupňovat (v-w2916f1)")</f>
        <v>odstupňovat (v-w2916f1)</v>
      </c>
    </row>
    <row r="22677" spans="1:4" x14ac:dyDescent="0.2">
      <c r="B22677" t="s">
        <v>1</v>
      </c>
    </row>
    <row r="22678" spans="1:4" x14ac:dyDescent="0.2">
      <c r="B22678" t="s">
        <v>8</v>
      </c>
    </row>
    <row r="22679" spans="1:4" x14ac:dyDescent="0.2">
      <c r="B22679" t="s">
        <v>25</v>
      </c>
    </row>
    <row r="22681" spans="1:4" x14ac:dyDescent="0.2">
      <c r="A22681" t="s">
        <v>7529</v>
      </c>
      <c r="B22681" t="str">
        <f>HYPERLINK("https://lindat.mff.cuni.cz/services/teitok/pdtc10/index.php?action=vallex&amp;frame=v-w10633f2", "odstínit (v-w10633f2)")</f>
        <v>odstínit (v-w10633f2)</v>
      </c>
    </row>
    <row r="22682" spans="1:4" x14ac:dyDescent="0.2">
      <c r="B22682" t="s">
        <v>1</v>
      </c>
      <c r="D22682" t="s">
        <v>23685</v>
      </c>
    </row>
    <row r="22683" spans="1:4" x14ac:dyDescent="0.2">
      <c r="B22683" t="s">
        <v>8</v>
      </c>
      <c r="D22683" t="s">
        <v>23686</v>
      </c>
    </row>
    <row r="22684" spans="1:4" x14ac:dyDescent="0.2">
      <c r="B22684" t="s">
        <v>7530</v>
      </c>
      <c r="D22684" t="s">
        <v>23687</v>
      </c>
    </row>
    <row r="22686" spans="1:4" x14ac:dyDescent="0.2">
      <c r="A22686" t="s">
        <v>7531</v>
      </c>
      <c r="B22686" t="str">
        <f>HYPERLINK("https://lindat.mff.cuni.cz/services/teitok/pdtc10/index.php?action=vallex&amp;frame=v-w2899f1", "odstěhovat (v-w2899f1)")</f>
        <v>odstěhovat (v-w2899f1)</v>
      </c>
    </row>
    <row r="22687" spans="1:4" x14ac:dyDescent="0.2">
      <c r="B22687" t="s">
        <v>1</v>
      </c>
    </row>
    <row r="22688" spans="1:4" x14ac:dyDescent="0.2">
      <c r="B22688" t="s">
        <v>8</v>
      </c>
    </row>
    <row r="22689" spans="1:4" x14ac:dyDescent="0.2">
      <c r="B22689" t="s">
        <v>333</v>
      </c>
    </row>
    <row r="22691" spans="1:4" x14ac:dyDescent="0.2">
      <c r="A22691" t="s">
        <v>7532</v>
      </c>
      <c r="B22691" t="str">
        <f>HYPERLINK("https://lindat.mff.cuni.cz/services/teitok/pdtc10/index.php?action=vallex&amp;frame=v-w2900f1", "odstěhovat se (v-w2900f1)")</f>
        <v>odstěhovat se (v-w2900f1)</v>
      </c>
    </row>
    <row r="22692" spans="1:4" x14ac:dyDescent="0.2">
      <c r="B22692" t="s">
        <v>1</v>
      </c>
      <c r="C22692" t="s">
        <v>6902</v>
      </c>
      <c r="D22692" t="s">
        <v>23091</v>
      </c>
    </row>
    <row r="22693" spans="1:4" x14ac:dyDescent="0.2">
      <c r="B22693" t="s">
        <v>333</v>
      </c>
      <c r="C22693" t="s">
        <v>7186</v>
      </c>
      <c r="D22693" t="s">
        <v>7666</v>
      </c>
    </row>
    <row r="22695" spans="1:4" x14ac:dyDescent="0.2">
      <c r="A22695" t="s">
        <v>7533</v>
      </c>
      <c r="B22695" t="str">
        <f>HYPERLINK("https://lindat.mff.cuni.cz/services/teitok/pdtc10/index.php?action=vallex&amp;frame=v-w2912f1", "odstřelit (v-w2912f1)")</f>
        <v>odstřelit (v-w2912f1)</v>
      </c>
    </row>
    <row r="22696" spans="1:4" x14ac:dyDescent="0.2">
      <c r="B22696" t="s">
        <v>1</v>
      </c>
    </row>
    <row r="22697" spans="1:4" x14ac:dyDescent="0.2">
      <c r="B22697" t="s">
        <v>8</v>
      </c>
    </row>
    <row r="22699" spans="1:4" x14ac:dyDescent="0.2">
      <c r="A22699" t="s">
        <v>7534</v>
      </c>
      <c r="B22699" t="str">
        <f>HYPERLINK("https://lindat.mff.cuni.cz/services/teitok/pdtc10/index.php?action=vallex&amp;frame=v-w2912f3_ZU", "odstřelit (v-w2912f3_ZU)")</f>
        <v>odstřelit (v-w2912f3_ZU)</v>
      </c>
    </row>
    <row r="22700" spans="1:4" x14ac:dyDescent="0.2">
      <c r="B22700" t="s">
        <v>1</v>
      </c>
    </row>
    <row r="22701" spans="1:4" x14ac:dyDescent="0.2">
      <c r="B22701" t="s">
        <v>8</v>
      </c>
    </row>
    <row r="22703" spans="1:4" x14ac:dyDescent="0.2">
      <c r="A22703" t="s">
        <v>7534</v>
      </c>
      <c r="B22703" t="str">
        <f>HYPERLINK("https://lindat.mff.cuni.cz/services/teitok/pdtc10/index.php?action=vallex&amp;frame=v-w2912f2_ZU", "odstřelit (v-w2912f2_ZU) - substituted with v-w2912f3_ZU")</f>
        <v>odstřelit (v-w2912f2_ZU) - substituted with v-w2912f3_ZU</v>
      </c>
    </row>
    <row r="22704" spans="1:4" x14ac:dyDescent="0.2">
      <c r="B22704" t="s">
        <v>1</v>
      </c>
    </row>
    <row r="22705" spans="1:4" x14ac:dyDescent="0.2">
      <c r="B22705" t="s">
        <v>8</v>
      </c>
    </row>
    <row r="22707" spans="1:4" x14ac:dyDescent="0.2">
      <c r="A22707" t="s">
        <v>7535</v>
      </c>
      <c r="B22707" t="str">
        <f>HYPERLINK("https://lindat.mff.cuni.cz/services/teitok/pdtc10/index.php?action=vallex&amp;frame=v-w2913f1", "odstřelovat (v-w2913f1)")</f>
        <v>odstřelovat (v-w2913f1)</v>
      </c>
    </row>
    <row r="22708" spans="1:4" x14ac:dyDescent="0.2">
      <c r="B22708" t="s">
        <v>1</v>
      </c>
    </row>
    <row r="22709" spans="1:4" x14ac:dyDescent="0.2">
      <c r="B22709" t="s">
        <v>8</v>
      </c>
    </row>
    <row r="22711" spans="1:4" x14ac:dyDescent="0.2">
      <c r="A22711" t="s">
        <v>7536</v>
      </c>
      <c r="B22711" t="str">
        <f>HYPERLINK("https://lindat.mff.cuni.cz/services/teitok/pdtc10/index.php?action=vallex&amp;frame=v-w10050f2", "odstřihnout (v-w10050f2)")</f>
        <v>odstřihnout (v-w10050f2)</v>
      </c>
    </row>
    <row r="22712" spans="1:4" x14ac:dyDescent="0.2">
      <c r="B22712" t="s">
        <v>1</v>
      </c>
      <c r="D22712" t="s">
        <v>1480</v>
      </c>
    </row>
    <row r="22713" spans="1:4" x14ac:dyDescent="0.2">
      <c r="B22713" t="s">
        <v>8</v>
      </c>
      <c r="D22713" t="s">
        <v>23369</v>
      </c>
    </row>
    <row r="22714" spans="1:4" x14ac:dyDescent="0.2">
      <c r="B22714" t="s">
        <v>333</v>
      </c>
      <c r="D22714" t="s">
        <v>7637</v>
      </c>
    </row>
    <row r="22716" spans="1:4" x14ac:dyDescent="0.2">
      <c r="A22716" t="s">
        <v>7537</v>
      </c>
      <c r="B22716" t="str">
        <f>HYPERLINK("https://lindat.mff.cuni.cz/services/teitok/pdtc10/index.php?action=vallex&amp;frame=v-w10216f2", "odstřihávat (v-w10216f2)")</f>
        <v>odstřihávat (v-w10216f2)</v>
      </c>
    </row>
    <row r="22717" spans="1:4" x14ac:dyDescent="0.2">
      <c r="B22717" t="s">
        <v>1</v>
      </c>
      <c r="C22717" t="s">
        <v>373</v>
      </c>
      <c r="D22717" t="s">
        <v>373</v>
      </c>
    </row>
    <row r="22718" spans="1:4" x14ac:dyDescent="0.2">
      <c r="B22718" t="s">
        <v>8</v>
      </c>
      <c r="C22718" t="s">
        <v>3773</v>
      </c>
      <c r="D22718" t="s">
        <v>3773</v>
      </c>
    </row>
    <row r="22719" spans="1:4" x14ac:dyDescent="0.2">
      <c r="B22719" t="s">
        <v>333</v>
      </c>
      <c r="C22719" t="s">
        <v>7538</v>
      </c>
      <c r="D22719" t="s">
        <v>7538</v>
      </c>
    </row>
    <row r="22721" spans="1:4" x14ac:dyDescent="0.2">
      <c r="A22721" t="s">
        <v>7539</v>
      </c>
      <c r="B22721" t="str">
        <f>HYPERLINK("https://lindat.mff.cuni.cz/services/teitok/pdtc10/index.php?action=vallex&amp;frame=v-whsa_175hsa_176", "odstříknout (v-whsa_175hsa_176)")</f>
        <v>odstříknout (v-whsa_175hsa_176)</v>
      </c>
    </row>
    <row r="22722" spans="1:4" x14ac:dyDescent="0.2">
      <c r="B22722" t="s">
        <v>1</v>
      </c>
    </row>
    <row r="22723" spans="1:4" x14ac:dyDescent="0.2">
      <c r="B22723" t="s">
        <v>8</v>
      </c>
    </row>
    <row r="22724" spans="1:4" x14ac:dyDescent="0.2">
      <c r="B22724" t="s">
        <v>333</v>
      </c>
    </row>
    <row r="22726" spans="1:4" x14ac:dyDescent="0.2">
      <c r="A22726" t="s">
        <v>7540</v>
      </c>
      <c r="B22726" t="str">
        <f>HYPERLINK("https://lindat.mff.cuni.cz/services/teitok/pdtc10/index.php?action=vallex&amp;frame=v-whsa_175hsa_177", "odstříknout (v-whsa_175hsa_177)")</f>
        <v>odstříknout (v-whsa_175hsa_177)</v>
      </c>
    </row>
    <row r="22727" spans="1:4" x14ac:dyDescent="0.2">
      <c r="B22727" t="s">
        <v>1</v>
      </c>
    </row>
    <row r="22728" spans="1:4" x14ac:dyDescent="0.2">
      <c r="B22728" t="s">
        <v>8</v>
      </c>
    </row>
    <row r="22730" spans="1:4" x14ac:dyDescent="0.2">
      <c r="A22730" t="s">
        <v>7541</v>
      </c>
      <c r="B22730" t="str">
        <f>HYPERLINK("https://lindat.mff.cuni.cz/services/teitok/pdtc10/index.php?action=vallex&amp;frame=v-w2919f3", "odsunout (v-w2919f3)")</f>
        <v>odsunout (v-w2919f3)</v>
      </c>
    </row>
    <row r="22731" spans="1:4" x14ac:dyDescent="0.2">
      <c r="B22731" t="s">
        <v>1</v>
      </c>
      <c r="C22731" t="s">
        <v>2571</v>
      </c>
      <c r="D22731" t="s">
        <v>3307</v>
      </c>
    </row>
    <row r="22732" spans="1:4" x14ac:dyDescent="0.2">
      <c r="B22732" t="s">
        <v>8</v>
      </c>
      <c r="C22732" t="s">
        <v>7118</v>
      </c>
      <c r="D22732" t="s">
        <v>21244</v>
      </c>
    </row>
    <row r="22733" spans="1:4" x14ac:dyDescent="0.2">
      <c r="B22733" t="s">
        <v>333</v>
      </c>
    </row>
    <row r="22735" spans="1:4" x14ac:dyDescent="0.2">
      <c r="A22735" t="s">
        <v>7542</v>
      </c>
      <c r="B22735" t="str">
        <f>HYPERLINK("https://lindat.mff.cuni.cz/services/teitok/pdtc10/index.php?action=vallex&amp;frame=v-w2919f1", "odsunout (v-w2919f1)")</f>
        <v>odsunout (v-w2919f1)</v>
      </c>
    </row>
    <row r="22736" spans="1:4" x14ac:dyDescent="0.2">
      <c r="B22736" t="s">
        <v>1</v>
      </c>
      <c r="C22736" t="s">
        <v>230</v>
      </c>
      <c r="D22736" t="s">
        <v>3307</v>
      </c>
    </row>
    <row r="22737" spans="1:4" x14ac:dyDescent="0.2">
      <c r="B22737" t="s">
        <v>8</v>
      </c>
      <c r="C22737" t="s">
        <v>7543</v>
      </c>
      <c r="D22737" t="s">
        <v>21244</v>
      </c>
    </row>
    <row r="22738" spans="1:4" x14ac:dyDescent="0.2">
      <c r="B22738" t="s">
        <v>7544</v>
      </c>
      <c r="C22738" t="s">
        <v>7545</v>
      </c>
    </row>
    <row r="22740" spans="1:4" x14ac:dyDescent="0.2">
      <c r="A22740" t="s">
        <v>7546</v>
      </c>
      <c r="B22740" t="str">
        <f>HYPERLINK("https://lindat.mff.cuni.cz/services/teitok/pdtc10/index.php?action=vallex&amp;frame=v-w2919f2", "odsunout (v-w2919f2)")</f>
        <v>odsunout (v-w2919f2)</v>
      </c>
    </row>
    <row r="22741" spans="1:4" x14ac:dyDescent="0.2">
      <c r="B22741" t="s">
        <v>1</v>
      </c>
      <c r="C22741" t="s">
        <v>1524</v>
      </c>
      <c r="D22741" t="s">
        <v>23640</v>
      </c>
    </row>
    <row r="22742" spans="1:4" x14ac:dyDescent="0.2">
      <c r="B22742" t="s">
        <v>8</v>
      </c>
      <c r="C22742" t="s">
        <v>240</v>
      </c>
      <c r="D22742" t="s">
        <v>23641</v>
      </c>
    </row>
    <row r="22744" spans="1:4" x14ac:dyDescent="0.2">
      <c r="A22744" t="s">
        <v>7547</v>
      </c>
      <c r="B22744" t="str">
        <f>HYPERLINK("https://lindat.mff.cuni.cz/services/teitok/pdtc10/index.php?action=vallex&amp;frame=v-w2919f5_ZU", "odsunout (v-w2919f5_ZU)")</f>
        <v>odsunout (v-w2919f5_ZU)</v>
      </c>
    </row>
    <row r="22745" spans="1:4" x14ac:dyDescent="0.2">
      <c r="B22745" t="s">
        <v>1</v>
      </c>
    </row>
    <row r="22746" spans="1:4" x14ac:dyDescent="0.2">
      <c r="B22746" t="s">
        <v>8</v>
      </c>
    </row>
    <row r="22747" spans="1:4" x14ac:dyDescent="0.2">
      <c r="B22747" t="s">
        <v>252</v>
      </c>
    </row>
    <row r="22749" spans="1:4" x14ac:dyDescent="0.2">
      <c r="A22749" t="s">
        <v>7547</v>
      </c>
      <c r="B22749" t="str">
        <f>HYPERLINK("https://lindat.mff.cuni.cz/services/teitok/pdtc10/index.php?action=vallex&amp;frame=v-w2919f4_ZU", "odsunout (v-w2919f4_ZU) - substituted with v-w2919f5_ZU")</f>
        <v>odsunout (v-w2919f4_ZU) - substituted with v-w2919f5_ZU</v>
      </c>
    </row>
    <row r="22750" spans="1:4" x14ac:dyDescent="0.2">
      <c r="B22750" t="s">
        <v>1</v>
      </c>
    </row>
    <row r="22751" spans="1:4" x14ac:dyDescent="0.2">
      <c r="B22751" t="s">
        <v>8</v>
      </c>
    </row>
    <row r="22752" spans="1:4" x14ac:dyDescent="0.2">
      <c r="B22752" t="s">
        <v>252</v>
      </c>
    </row>
    <row r="22754" spans="1:4" x14ac:dyDescent="0.2">
      <c r="A22754" t="s">
        <v>7548</v>
      </c>
      <c r="B22754" t="str">
        <f>HYPERLINK("https://lindat.mff.cuni.cz/services/teitok/pdtc10/index.php?action=vallex&amp;frame=v-w2920f1", "odsuzovat (v-w2920f1)")</f>
        <v>odsuzovat (v-w2920f1)</v>
      </c>
    </row>
    <row r="22755" spans="1:4" x14ac:dyDescent="0.2">
      <c r="B22755" t="s">
        <v>1</v>
      </c>
      <c r="C22755" t="s">
        <v>3583</v>
      </c>
      <c r="D22755" t="s">
        <v>9612</v>
      </c>
    </row>
    <row r="22756" spans="1:4" x14ac:dyDescent="0.2">
      <c r="B22756" t="s">
        <v>41</v>
      </c>
      <c r="C22756" t="s">
        <v>5674</v>
      </c>
      <c r="D22756" t="s">
        <v>1362</v>
      </c>
    </row>
    <row r="22758" spans="1:4" x14ac:dyDescent="0.2">
      <c r="A22758" t="s">
        <v>7549</v>
      </c>
      <c r="B22758" t="str">
        <f>HYPERLINK("https://lindat.mff.cuni.cz/services/teitok/pdtc10/index.php?action=vallex&amp;frame=v-w2872f1", "odsát (v-w2872f1)")</f>
        <v>odsát (v-w2872f1)</v>
      </c>
    </row>
    <row r="22759" spans="1:4" x14ac:dyDescent="0.2">
      <c r="B22759" t="s">
        <v>1</v>
      </c>
    </row>
    <row r="22760" spans="1:4" x14ac:dyDescent="0.2">
      <c r="B22760" t="s">
        <v>8</v>
      </c>
    </row>
    <row r="22761" spans="1:4" x14ac:dyDescent="0.2">
      <c r="B22761" t="s">
        <v>333</v>
      </c>
    </row>
    <row r="22763" spans="1:4" x14ac:dyDescent="0.2">
      <c r="A22763" t="s">
        <v>7550</v>
      </c>
      <c r="B22763" t="str">
        <f>HYPERLINK("https://lindat.mff.cuni.cz/services/teitok/pdtc10/index.php?action=vallex&amp;frame=v-w2873f1", "odsávat (v-w2873f1)")</f>
        <v>odsávat (v-w2873f1)</v>
      </c>
    </row>
    <row r="22764" spans="1:4" x14ac:dyDescent="0.2">
      <c r="B22764" t="s">
        <v>1</v>
      </c>
    </row>
    <row r="22765" spans="1:4" x14ac:dyDescent="0.2">
      <c r="B22765" t="s">
        <v>8</v>
      </c>
    </row>
    <row r="22766" spans="1:4" x14ac:dyDescent="0.2">
      <c r="B22766" t="s">
        <v>333</v>
      </c>
    </row>
    <row r="22768" spans="1:4" x14ac:dyDescent="0.2">
      <c r="A22768" t="s">
        <v>7551</v>
      </c>
      <c r="B22768" t="str">
        <f>HYPERLINK("https://lindat.mff.cuni.cz/services/teitok/pdtc10/index.php?action=vallex&amp;frame=v-whsa_1251hsa_1252", "odtahovat se (v-whsa_1251hsa_1252)")</f>
        <v>odtahovat se (v-whsa_1251hsa_1252)</v>
      </c>
    </row>
    <row r="22769" spans="1:3" x14ac:dyDescent="0.2">
      <c r="B22769" t="s">
        <v>1</v>
      </c>
      <c r="C22769" t="s">
        <v>33</v>
      </c>
    </row>
    <row r="22770" spans="1:3" x14ac:dyDescent="0.2">
      <c r="B22770" t="s">
        <v>19</v>
      </c>
      <c r="C22770" t="s">
        <v>34</v>
      </c>
    </row>
    <row r="22772" spans="1:3" x14ac:dyDescent="0.2">
      <c r="A22772" t="s">
        <v>7552</v>
      </c>
      <c r="B22772" t="str">
        <f>HYPERLINK("https://lindat.mff.cuni.cz/services/teitok/pdtc10/index.php?action=vallex&amp;frame=v-w2927f1", "odtajnit (v-w2927f1)")</f>
        <v>odtajnit (v-w2927f1)</v>
      </c>
    </row>
    <row r="22773" spans="1:3" x14ac:dyDescent="0.2">
      <c r="B22773" t="s">
        <v>1</v>
      </c>
      <c r="C22773" t="s">
        <v>230</v>
      </c>
    </row>
    <row r="22774" spans="1:3" x14ac:dyDescent="0.2">
      <c r="B22774" t="s">
        <v>124</v>
      </c>
      <c r="C22774" t="s">
        <v>1798</v>
      </c>
    </row>
    <row r="22776" spans="1:3" x14ac:dyDescent="0.2">
      <c r="A22776" t="s">
        <v>7553</v>
      </c>
      <c r="B22776" t="str">
        <f>HYPERLINK("https://lindat.mff.cuni.cz/services/teitok/pdtc10/index.php?action=vallex&amp;frame=v-w12041_ZUf1_ZU", "odtransportovat (v-w12041_ZUf1_ZU)")</f>
        <v>odtransportovat (v-w12041_ZUf1_ZU)</v>
      </c>
    </row>
    <row r="22777" spans="1:3" x14ac:dyDescent="0.2">
      <c r="B22777" t="s">
        <v>1</v>
      </c>
    </row>
    <row r="22778" spans="1:3" x14ac:dyDescent="0.2">
      <c r="B22778" t="s">
        <v>8</v>
      </c>
    </row>
    <row r="22779" spans="1:3" x14ac:dyDescent="0.2">
      <c r="B22779" t="s">
        <v>4622</v>
      </c>
    </row>
    <row r="22781" spans="1:3" x14ac:dyDescent="0.2">
      <c r="A22781" t="s">
        <v>7554</v>
      </c>
      <c r="B22781" t="str">
        <f>HYPERLINK("https://lindat.mff.cuni.cz/services/teitok/pdtc10/index.php?action=vallex&amp;frame=v-w10457f4", "odtrhnout (v-w10457f4)")</f>
        <v>odtrhnout (v-w10457f4)</v>
      </c>
    </row>
    <row r="22782" spans="1:3" x14ac:dyDescent="0.2">
      <c r="B22782" t="s">
        <v>1</v>
      </c>
      <c r="C22782" t="s">
        <v>33</v>
      </c>
    </row>
    <row r="22783" spans="1:3" x14ac:dyDescent="0.2">
      <c r="B22783" t="s">
        <v>8</v>
      </c>
      <c r="C22783" t="s">
        <v>34</v>
      </c>
    </row>
    <row r="22784" spans="1:3" x14ac:dyDescent="0.2">
      <c r="B22784" t="s">
        <v>1334</v>
      </c>
    </row>
    <row r="22786" spans="1:4" x14ac:dyDescent="0.2">
      <c r="A22786" t="s">
        <v>7555</v>
      </c>
      <c r="B22786" t="str">
        <f>HYPERLINK("https://lindat.mff.cuni.cz/services/teitok/pdtc10/index.php?action=vallex&amp;frame=v-w10457f3", "odtrhnout (v-w10457f3)")</f>
        <v>odtrhnout (v-w10457f3)</v>
      </c>
    </row>
    <row r="22787" spans="1:4" x14ac:dyDescent="0.2">
      <c r="B22787" t="s">
        <v>1</v>
      </c>
      <c r="D22787" t="s">
        <v>373</v>
      </c>
    </row>
    <row r="22788" spans="1:4" x14ac:dyDescent="0.2">
      <c r="B22788" t="s">
        <v>8</v>
      </c>
      <c r="D22788" t="s">
        <v>3773</v>
      </c>
    </row>
    <row r="22789" spans="1:4" x14ac:dyDescent="0.2">
      <c r="B22789" t="s">
        <v>333</v>
      </c>
      <c r="D22789" t="s">
        <v>7538</v>
      </c>
    </row>
    <row r="22791" spans="1:4" x14ac:dyDescent="0.2">
      <c r="A22791" t="s">
        <v>7556</v>
      </c>
      <c r="B22791" t="str">
        <f>HYPERLINK("https://lindat.mff.cuni.cz/services/teitok/pdtc10/index.php?action=vallex&amp;frame=v-w11320f2", "odtrhnout se (v-w11320f2)")</f>
        <v>odtrhnout se (v-w11320f2)</v>
      </c>
    </row>
    <row r="22792" spans="1:4" x14ac:dyDescent="0.2">
      <c r="B22792" t="s">
        <v>1</v>
      </c>
      <c r="D22792" t="s">
        <v>23688</v>
      </c>
    </row>
    <row r="22793" spans="1:4" x14ac:dyDescent="0.2">
      <c r="B22793" t="s">
        <v>19</v>
      </c>
      <c r="D22793" t="s">
        <v>23065</v>
      </c>
    </row>
    <row r="22795" spans="1:4" x14ac:dyDescent="0.2">
      <c r="A22795" t="s">
        <v>7557</v>
      </c>
      <c r="B22795" t="str">
        <f>HYPERLINK("https://lindat.mff.cuni.cz/services/teitok/pdtc10/index.php?action=vallex&amp;frame=v-w11320f1", "odtrhnout se (v-w11320f1)")</f>
        <v>odtrhnout se (v-w11320f1)</v>
      </c>
    </row>
    <row r="22796" spans="1:4" x14ac:dyDescent="0.2">
      <c r="B22796" t="s">
        <v>1</v>
      </c>
      <c r="C22796" t="s">
        <v>147</v>
      </c>
    </row>
    <row r="22797" spans="1:4" x14ac:dyDescent="0.2">
      <c r="B22797" t="s">
        <v>333</v>
      </c>
    </row>
    <row r="22799" spans="1:4" x14ac:dyDescent="0.2">
      <c r="A22799" t="s">
        <v>7558</v>
      </c>
      <c r="B22799" t="str">
        <f>HYPERLINK("https://lindat.mff.cuni.cz/services/teitok/pdtc10/index.php?action=vallex&amp;frame=v-w11014f4", "odtrhovat (v-w11014f4)")</f>
        <v>odtrhovat (v-w11014f4)</v>
      </c>
    </row>
    <row r="22800" spans="1:4" x14ac:dyDescent="0.2">
      <c r="B22800" t="s">
        <v>1</v>
      </c>
    </row>
    <row r="22801" spans="1:4" x14ac:dyDescent="0.2">
      <c r="B22801" t="s">
        <v>8</v>
      </c>
    </row>
    <row r="22802" spans="1:4" x14ac:dyDescent="0.2">
      <c r="B22802" t="s">
        <v>1334</v>
      </c>
    </row>
    <row r="22804" spans="1:4" x14ac:dyDescent="0.2">
      <c r="A22804" t="s">
        <v>7559</v>
      </c>
      <c r="B22804" t="str">
        <f>HYPERLINK("https://lindat.mff.cuni.cz/services/teitok/pdtc10/index.php?action=vallex&amp;frame=v-w11014f2", "odtrhovat (v-w11014f2)")</f>
        <v>odtrhovat (v-w11014f2)</v>
      </c>
    </row>
    <row r="22805" spans="1:4" x14ac:dyDescent="0.2">
      <c r="B22805" t="s">
        <v>1</v>
      </c>
      <c r="D22805" t="s">
        <v>373</v>
      </c>
    </row>
    <row r="22806" spans="1:4" x14ac:dyDescent="0.2">
      <c r="B22806" t="s">
        <v>8</v>
      </c>
      <c r="D22806" t="s">
        <v>3773</v>
      </c>
    </row>
    <row r="22807" spans="1:4" x14ac:dyDescent="0.2">
      <c r="B22807" t="s">
        <v>333</v>
      </c>
      <c r="D22807" t="s">
        <v>7538</v>
      </c>
    </row>
    <row r="22809" spans="1:4" x14ac:dyDescent="0.2">
      <c r="A22809" t="s">
        <v>7560</v>
      </c>
      <c r="B22809" t="str">
        <f>HYPERLINK("https://lindat.mff.cuni.cz/services/teitok/pdtc10/index.php?action=vallex&amp;frame=v-w11443f2", "odtrhovat si (v-w11443f2)")</f>
        <v>odtrhovat si (v-w11443f2)</v>
      </c>
    </row>
    <row r="22810" spans="1:4" x14ac:dyDescent="0.2">
      <c r="B22810" t="s">
        <v>1</v>
      </c>
    </row>
    <row r="22811" spans="1:4" x14ac:dyDescent="0.2">
      <c r="B22811" t="s">
        <v>7561</v>
      </c>
    </row>
    <row r="22813" spans="1:4" x14ac:dyDescent="0.2">
      <c r="A22813" t="s">
        <v>7562</v>
      </c>
      <c r="B22813" t="str">
        <f>HYPERLINK("https://lindat.mff.cuni.cz/services/teitok/pdtc10/index.php?action=vallex&amp;frame=v-w11147f3", "odtrhávat (v-w11147f3)")</f>
        <v>odtrhávat (v-w11147f3)</v>
      </c>
    </row>
    <row r="22814" spans="1:4" x14ac:dyDescent="0.2">
      <c r="B22814" t="s">
        <v>1</v>
      </c>
      <c r="C22814" t="s">
        <v>2031</v>
      </c>
      <c r="D22814" t="s">
        <v>1480</v>
      </c>
    </row>
    <row r="22815" spans="1:4" x14ac:dyDescent="0.2">
      <c r="B22815" t="s">
        <v>8</v>
      </c>
      <c r="D22815" t="s">
        <v>23369</v>
      </c>
    </row>
    <row r="22816" spans="1:4" x14ac:dyDescent="0.2">
      <c r="B22816" t="s">
        <v>1334</v>
      </c>
      <c r="D22816" t="s">
        <v>2079</v>
      </c>
    </row>
    <row r="22818" spans="1:4" x14ac:dyDescent="0.2">
      <c r="A22818" t="s">
        <v>7563</v>
      </c>
      <c r="B22818" t="str">
        <f>HYPERLINK("https://lindat.mff.cuni.cz/services/teitok/pdtc10/index.php?action=vallex&amp;frame=v-w11475f1", "odtrhávat se (v-w11475f1)")</f>
        <v>odtrhávat se (v-w11475f1)</v>
      </c>
    </row>
    <row r="22819" spans="1:4" x14ac:dyDescent="0.2">
      <c r="B22819" t="s">
        <v>1</v>
      </c>
    </row>
    <row r="22820" spans="1:4" x14ac:dyDescent="0.2">
      <c r="B22820" t="s">
        <v>19</v>
      </c>
    </row>
    <row r="22822" spans="1:4" x14ac:dyDescent="0.2">
      <c r="A22822" t="s">
        <v>7564</v>
      </c>
      <c r="B22822" t="str">
        <f>HYPERLINK("https://lindat.mff.cuni.cz/services/teitok/pdtc10/index.php?action=vallex&amp;frame=v-w11661_ZUf4_ZU", "odtáhnout (v-w11661_ZUf4_ZU)")</f>
        <v>odtáhnout (v-w11661_ZUf4_ZU)</v>
      </c>
    </row>
    <row r="22823" spans="1:4" x14ac:dyDescent="0.2">
      <c r="B22823" t="s">
        <v>1</v>
      </c>
    </row>
    <row r="22824" spans="1:4" x14ac:dyDescent="0.2">
      <c r="B22824" t="s">
        <v>8</v>
      </c>
    </row>
    <row r="22825" spans="1:4" x14ac:dyDescent="0.2">
      <c r="B22825" t="s">
        <v>333</v>
      </c>
    </row>
    <row r="22827" spans="1:4" x14ac:dyDescent="0.2">
      <c r="A22827" t="s">
        <v>7564</v>
      </c>
      <c r="B22827" t="str">
        <f>HYPERLINK("https://lindat.mff.cuni.cz/services/teitok/pdtc10/index.php?action=vallex&amp;frame=v-w11661_ZUf1_ZU", "odtáhnout (v-w11661_ZUf1_ZU) - substituted with v-w11661_ZUf4_ZU")</f>
        <v>odtáhnout (v-w11661_ZUf1_ZU) - substituted with v-w11661_ZUf4_ZU</v>
      </c>
    </row>
    <row r="22828" spans="1:4" x14ac:dyDescent="0.2">
      <c r="B22828" t="s">
        <v>1</v>
      </c>
    </row>
    <row r="22829" spans="1:4" x14ac:dyDescent="0.2">
      <c r="B22829" t="s">
        <v>8</v>
      </c>
      <c r="D22829" t="s">
        <v>1301</v>
      </c>
    </row>
    <row r="22830" spans="1:4" x14ac:dyDescent="0.2">
      <c r="B22830" t="s">
        <v>333</v>
      </c>
    </row>
    <row r="22832" spans="1:4" x14ac:dyDescent="0.2">
      <c r="A22832" t="s">
        <v>7565</v>
      </c>
      <c r="B22832" t="str">
        <f>HYPERLINK("https://lindat.mff.cuni.cz/services/teitok/pdtc10/index.php?action=vallex&amp;frame=v-w11661_ZUf3_ZU", "odtáhnout (v-w11661_ZUf3_ZU)")</f>
        <v>odtáhnout (v-w11661_ZUf3_ZU)</v>
      </c>
    </row>
    <row r="22833" spans="1:2" x14ac:dyDescent="0.2">
      <c r="B22833" t="s">
        <v>1</v>
      </c>
    </row>
    <row r="22834" spans="1:2" x14ac:dyDescent="0.2">
      <c r="B22834" t="s">
        <v>8</v>
      </c>
    </row>
    <row r="22835" spans="1:2" x14ac:dyDescent="0.2">
      <c r="B22835" t="s">
        <v>4622</v>
      </c>
    </row>
    <row r="22837" spans="1:2" x14ac:dyDescent="0.2">
      <c r="A22837" t="s">
        <v>7565</v>
      </c>
      <c r="B22837" t="str">
        <f>HYPERLINK("https://lindat.mff.cuni.cz/services/teitok/pdtc10/index.php?action=vallex&amp;frame=v-w11661_ZUf2_ZU", "odtáhnout (v-w11661_ZUf2_ZU) - substituted with v-w11661_ZUf3_ZU")</f>
        <v>odtáhnout (v-w11661_ZUf2_ZU) - substituted with v-w11661_ZUf3_ZU</v>
      </c>
    </row>
    <row r="22838" spans="1:2" x14ac:dyDescent="0.2">
      <c r="B22838" t="s">
        <v>1</v>
      </c>
    </row>
    <row r="22839" spans="1:2" x14ac:dyDescent="0.2">
      <c r="B22839" t="s">
        <v>8</v>
      </c>
    </row>
    <row r="22840" spans="1:2" x14ac:dyDescent="0.2">
      <c r="B22840" t="s">
        <v>4622</v>
      </c>
    </row>
    <row r="22842" spans="1:2" x14ac:dyDescent="0.2">
      <c r="A22842" t="s">
        <v>7566</v>
      </c>
      <c r="B22842" t="str">
        <f>HYPERLINK("https://lindat.mff.cuni.cz/services/teitok/pdtc10/index.php?action=vallex&amp;frame=v-w11661_ZUf6_ZU", "odtáhnout (v-w11661_ZUf6_ZU)")</f>
        <v>odtáhnout (v-w11661_ZUf6_ZU)</v>
      </c>
    </row>
    <row r="22843" spans="1:2" x14ac:dyDescent="0.2">
      <c r="B22843" t="s">
        <v>1</v>
      </c>
    </row>
    <row r="22844" spans="1:2" x14ac:dyDescent="0.2">
      <c r="B22844" t="s">
        <v>4622</v>
      </c>
    </row>
    <row r="22846" spans="1:2" x14ac:dyDescent="0.2">
      <c r="A22846" t="s">
        <v>7566</v>
      </c>
      <c r="B22846" t="str">
        <f>HYPERLINK("https://lindat.mff.cuni.cz/services/teitok/pdtc10/index.php?action=vallex&amp;frame=v-w11661_ZUf5_ZU", "odtáhnout (v-w11661_ZUf5_ZU) - substituted with v-w11661_ZUf6_ZU")</f>
        <v>odtáhnout (v-w11661_ZUf5_ZU) - substituted with v-w11661_ZUf6_ZU</v>
      </c>
    </row>
    <row r="22847" spans="1:2" x14ac:dyDescent="0.2">
      <c r="B22847" t="s">
        <v>1</v>
      </c>
    </row>
    <row r="22848" spans="1:2" x14ac:dyDescent="0.2">
      <c r="B22848" t="s">
        <v>4622</v>
      </c>
    </row>
    <row r="22850" spans="1:4" x14ac:dyDescent="0.2">
      <c r="A22850" t="s">
        <v>7567</v>
      </c>
      <c r="B22850" t="str">
        <f>HYPERLINK("https://lindat.mff.cuni.cz/services/teitok/pdtc10/index.php?action=vallex&amp;frame=v-w11293f1", "odtáhnout se (v-w11293f1)")</f>
        <v>odtáhnout se (v-w11293f1)</v>
      </c>
    </row>
    <row r="22851" spans="1:4" x14ac:dyDescent="0.2">
      <c r="B22851" t="s">
        <v>1</v>
      </c>
    </row>
    <row r="22852" spans="1:4" x14ac:dyDescent="0.2">
      <c r="B22852" t="s">
        <v>19</v>
      </c>
    </row>
    <row r="22854" spans="1:4" x14ac:dyDescent="0.2">
      <c r="A22854" t="s">
        <v>7568</v>
      </c>
      <c r="B22854" t="str">
        <f>HYPERLINK("https://lindat.mff.cuni.cz/services/teitok/pdtc10/index.php?action=vallex&amp;frame=v-w11536_ZUf2_ZU", "odtéci (v-w11536_ZUf2_ZU)")</f>
        <v>odtéci (v-w11536_ZUf2_ZU)</v>
      </c>
    </row>
    <row r="22855" spans="1:4" x14ac:dyDescent="0.2">
      <c r="B22855" t="s">
        <v>1</v>
      </c>
      <c r="C22855" t="s">
        <v>147</v>
      </c>
      <c r="D22855" t="s">
        <v>147</v>
      </c>
    </row>
    <row r="22856" spans="1:4" x14ac:dyDescent="0.2">
      <c r="B22856" t="s">
        <v>4622</v>
      </c>
    </row>
    <row r="22858" spans="1:4" x14ac:dyDescent="0.2">
      <c r="A22858" t="s">
        <v>7568</v>
      </c>
      <c r="B22858" t="str">
        <f>HYPERLINK("https://lindat.mff.cuni.cz/services/teitok/pdtc10/index.php?action=vallex&amp;frame=v-w11536_ZUf1_ZU", "odtéci (v-w11536_ZUf1_ZU) - substituted with v-w11536_ZUf2_ZU")</f>
        <v>odtéci (v-w11536_ZUf1_ZU) - substituted with v-w11536_ZUf2_ZU</v>
      </c>
    </row>
    <row r="22859" spans="1:4" x14ac:dyDescent="0.2">
      <c r="B22859" t="s">
        <v>1</v>
      </c>
    </row>
    <row r="22860" spans="1:4" x14ac:dyDescent="0.2">
      <c r="B22860" t="s">
        <v>4622</v>
      </c>
    </row>
    <row r="22862" spans="1:4" x14ac:dyDescent="0.2">
      <c r="A22862" t="s">
        <v>7569</v>
      </c>
      <c r="B22862" t="str">
        <f>HYPERLINK("https://lindat.mff.cuni.cz/services/teitok/pdtc10/index.php?action=vallex&amp;frame=v-w2928f1", "odtékat (v-w2928f1)")</f>
        <v>odtékat (v-w2928f1)</v>
      </c>
    </row>
    <row r="22863" spans="1:4" x14ac:dyDescent="0.2">
      <c r="B22863" t="s">
        <v>1</v>
      </c>
    </row>
    <row r="22864" spans="1:4" x14ac:dyDescent="0.2">
      <c r="B22864" t="s">
        <v>333</v>
      </c>
    </row>
    <row r="22866" spans="1:4" x14ac:dyDescent="0.2">
      <c r="A22866" t="s">
        <v>7570</v>
      </c>
      <c r="B22866" t="str">
        <f>HYPERLINK("https://lindat.mff.cuni.cz/services/teitok/pdtc10/index.php?action=vallex&amp;frame=v-w11537_ZUf2_ZU", "odumřít (v-w11537_ZUf2_ZU)")</f>
        <v>odumřít (v-w11537_ZUf2_ZU)</v>
      </c>
    </row>
    <row r="22867" spans="1:4" x14ac:dyDescent="0.2">
      <c r="B22867" t="s">
        <v>1</v>
      </c>
      <c r="C22867" t="s">
        <v>7571</v>
      </c>
      <c r="D22867" t="s">
        <v>9222</v>
      </c>
    </row>
    <row r="22869" spans="1:4" x14ac:dyDescent="0.2">
      <c r="A22869" t="s">
        <v>7570</v>
      </c>
      <c r="B22869" t="str">
        <f>HYPERLINK("https://lindat.mff.cuni.cz/services/teitok/pdtc10/index.php?action=vallex&amp;frame=v-w11537_ZUf1_ZU", "odumřít (v-w11537_ZUf1_ZU) - substituted with v-w11537_ZUf2_ZU")</f>
        <v>odumřít (v-w11537_ZUf1_ZU) - substituted with v-w11537_ZUf2_ZU</v>
      </c>
    </row>
    <row r="22870" spans="1:4" x14ac:dyDescent="0.2">
      <c r="B22870" t="s">
        <v>1</v>
      </c>
    </row>
    <row r="22872" spans="1:4" x14ac:dyDescent="0.2">
      <c r="A22872" t="s">
        <v>7572</v>
      </c>
      <c r="B22872" t="str">
        <f>HYPERLINK("https://lindat.mff.cuni.cz/services/teitok/pdtc10/index.php?action=vallex&amp;frame=v-w12341_MMf1_MM", "odučit (v-w12341_MMf1_MM)")</f>
        <v>odučit (v-w12341_MMf1_MM)</v>
      </c>
    </row>
    <row r="22873" spans="1:4" x14ac:dyDescent="0.2">
      <c r="B22873" t="s">
        <v>1</v>
      </c>
    </row>
    <row r="22874" spans="1:4" x14ac:dyDescent="0.2">
      <c r="B22874" t="s">
        <v>220</v>
      </c>
    </row>
    <row r="22876" spans="1:4" x14ac:dyDescent="0.2">
      <c r="A22876" t="s">
        <v>7573</v>
      </c>
      <c r="B22876" t="str">
        <f>HYPERLINK("https://lindat.mff.cuni.cz/services/teitok/pdtc10/index.php?action=vallex&amp;frame=v-w2939f1", "odvalit (v-w2939f1)")</f>
        <v>odvalit (v-w2939f1)</v>
      </c>
    </row>
    <row r="22877" spans="1:4" x14ac:dyDescent="0.2">
      <c r="B22877" t="s">
        <v>1</v>
      </c>
    </row>
    <row r="22878" spans="1:4" x14ac:dyDescent="0.2">
      <c r="B22878" t="s">
        <v>8</v>
      </c>
    </row>
    <row r="22880" spans="1:4" x14ac:dyDescent="0.2">
      <c r="A22880" t="s">
        <v>7574</v>
      </c>
      <c r="B22880" t="str">
        <f>HYPERLINK("https://lindat.mff.cuni.cz/services/teitok/pdtc10/index.php?action=vallex&amp;frame=v-w2940f1", "odvanout (v-w2940f1)")</f>
        <v>odvanout (v-w2940f1)</v>
      </c>
    </row>
    <row r="22881" spans="1:4" x14ac:dyDescent="0.2">
      <c r="B22881" t="s">
        <v>1</v>
      </c>
    </row>
    <row r="22882" spans="1:4" x14ac:dyDescent="0.2">
      <c r="B22882" t="s">
        <v>8</v>
      </c>
    </row>
    <row r="22884" spans="1:4" x14ac:dyDescent="0.2">
      <c r="A22884" t="s">
        <v>7575</v>
      </c>
      <c r="B22884" t="str">
        <f>HYPERLINK("https://lindat.mff.cuni.cz/services/teitok/pdtc10/index.php?action=vallex&amp;frame=v-w2945f1", "odvažovat se (v-w2945f1)")</f>
        <v>odvažovat se (v-w2945f1)</v>
      </c>
    </row>
    <row r="22885" spans="1:4" x14ac:dyDescent="0.2">
      <c r="B22885" t="s">
        <v>1</v>
      </c>
      <c r="C22885" t="s">
        <v>715</v>
      </c>
      <c r="D22885" t="s">
        <v>12315</v>
      </c>
    </row>
    <row r="22886" spans="1:4" x14ac:dyDescent="0.2">
      <c r="B22886" t="s">
        <v>7576</v>
      </c>
      <c r="C22886" t="s">
        <v>7577</v>
      </c>
      <c r="D22886" t="s">
        <v>17315</v>
      </c>
    </row>
    <row r="22888" spans="1:4" x14ac:dyDescent="0.2">
      <c r="A22888" t="s">
        <v>7578</v>
      </c>
      <c r="B22888" t="str">
        <f>HYPERLINK("https://lindat.mff.cuni.cz/services/teitok/pdtc10/index.php?action=vallex&amp;frame=v-w2946f1", "odvděčit se (v-w2946f1)")</f>
        <v>odvděčit se (v-w2946f1)</v>
      </c>
    </row>
    <row r="22889" spans="1:4" x14ac:dyDescent="0.2">
      <c r="B22889" t="s">
        <v>1</v>
      </c>
    </row>
    <row r="22890" spans="1:4" x14ac:dyDescent="0.2">
      <c r="B22890" t="s">
        <v>103</v>
      </c>
    </row>
    <row r="22892" spans="1:4" x14ac:dyDescent="0.2">
      <c r="A22892" t="s">
        <v>7579</v>
      </c>
      <c r="B22892" t="str">
        <f>HYPERLINK("https://lindat.mff.cuni.cz/services/teitok/pdtc10/index.php?action=vallex&amp;frame=v-w2947f1", "odvděčovat se (v-w2947f1)")</f>
        <v>odvděčovat se (v-w2947f1)</v>
      </c>
    </row>
    <row r="22893" spans="1:4" x14ac:dyDescent="0.2">
      <c r="B22893" t="s">
        <v>1</v>
      </c>
    </row>
    <row r="22894" spans="1:4" x14ac:dyDescent="0.2">
      <c r="B22894" t="s">
        <v>103</v>
      </c>
    </row>
    <row r="22896" spans="1:4" x14ac:dyDescent="0.2">
      <c r="A22896" t="s">
        <v>7580</v>
      </c>
      <c r="B22896" t="str">
        <f>HYPERLINK("https://lindat.mff.cuni.cz/services/teitok/pdtc10/index.php?action=vallex&amp;frame=v-w2948f1", "odvelet (v-w2948f1)")</f>
        <v>odvelet (v-w2948f1)</v>
      </c>
    </row>
    <row r="22897" spans="1:2" x14ac:dyDescent="0.2">
      <c r="B22897" t="s">
        <v>1</v>
      </c>
    </row>
    <row r="22898" spans="1:2" x14ac:dyDescent="0.2">
      <c r="B22898" t="s">
        <v>8</v>
      </c>
    </row>
    <row r="22899" spans="1:2" x14ac:dyDescent="0.2">
      <c r="B22899" t="s">
        <v>90</v>
      </c>
    </row>
    <row r="22901" spans="1:2" x14ac:dyDescent="0.2">
      <c r="A22901" t="s">
        <v>7581</v>
      </c>
      <c r="B22901" t="str">
        <f>HYPERLINK("https://lindat.mff.cuni.cz/services/teitok/pdtc10/index.php?action=vallex&amp;frame=v-w2956f1", "odvinit (v-w2956f1)")</f>
        <v>odvinit (v-w2956f1)</v>
      </c>
    </row>
    <row r="22902" spans="1:2" x14ac:dyDescent="0.2">
      <c r="B22902" t="s">
        <v>1</v>
      </c>
    </row>
    <row r="22903" spans="1:2" x14ac:dyDescent="0.2">
      <c r="B22903" t="s">
        <v>58</v>
      </c>
    </row>
    <row r="22904" spans="1:2" x14ac:dyDescent="0.2">
      <c r="B22904" t="s">
        <v>247</v>
      </c>
    </row>
    <row r="22906" spans="1:2" x14ac:dyDescent="0.2">
      <c r="A22906" t="s">
        <v>7582</v>
      </c>
      <c r="B22906" t="str">
        <f>HYPERLINK("https://lindat.mff.cuni.cz/services/teitok/pdtc10/index.php?action=vallex&amp;frame=v-w2957f1", "odvinout se (v-w2957f1)")</f>
        <v>odvinout se (v-w2957f1)</v>
      </c>
    </row>
    <row r="22907" spans="1:2" x14ac:dyDescent="0.2">
      <c r="B22907" t="s">
        <v>1</v>
      </c>
    </row>
    <row r="22908" spans="1:2" x14ac:dyDescent="0.2">
      <c r="B22908" t="s">
        <v>19</v>
      </c>
    </row>
    <row r="22910" spans="1:2" x14ac:dyDescent="0.2">
      <c r="A22910" t="s">
        <v>7583</v>
      </c>
      <c r="B22910" t="str">
        <f>HYPERLINK("https://lindat.mff.cuni.cz/services/teitok/pdtc10/index.php?action=vallex&amp;frame=v-whsa_885hsa_886", "odvlíknout (v-whsa_885hsa_886)")</f>
        <v>odvlíknout (v-whsa_885hsa_886)</v>
      </c>
    </row>
    <row r="22911" spans="1:2" x14ac:dyDescent="0.2">
      <c r="B22911" t="s">
        <v>1</v>
      </c>
    </row>
    <row r="22912" spans="1:2" x14ac:dyDescent="0.2">
      <c r="B22912" t="s">
        <v>8</v>
      </c>
    </row>
    <row r="22913" spans="1:4" x14ac:dyDescent="0.2">
      <c r="B22913" t="s">
        <v>90</v>
      </c>
    </row>
    <row r="22915" spans="1:4" x14ac:dyDescent="0.2">
      <c r="A22915" t="s">
        <v>7584</v>
      </c>
      <c r="B22915" t="str">
        <f>HYPERLINK("https://lindat.mff.cuni.cz/services/teitok/pdtc10/index.php?action=vallex&amp;frame=v-w2959f1", "odvodit (v-w2959f1)")</f>
        <v>odvodit (v-w2959f1)</v>
      </c>
    </row>
    <row r="22916" spans="1:4" x14ac:dyDescent="0.2">
      <c r="B22916" t="s">
        <v>1</v>
      </c>
      <c r="C22916" t="s">
        <v>133</v>
      </c>
      <c r="D22916" t="s">
        <v>23689</v>
      </c>
    </row>
    <row r="22917" spans="1:4" x14ac:dyDescent="0.2">
      <c r="B22917" t="s">
        <v>41</v>
      </c>
      <c r="C22917" t="s">
        <v>1340</v>
      </c>
      <c r="D22917" t="s">
        <v>19345</v>
      </c>
    </row>
    <row r="22918" spans="1:4" x14ac:dyDescent="0.2">
      <c r="B22918" t="s">
        <v>7585</v>
      </c>
      <c r="C22918" t="s">
        <v>7352</v>
      </c>
      <c r="D22918" t="s">
        <v>2079</v>
      </c>
    </row>
    <row r="22920" spans="1:4" x14ac:dyDescent="0.2">
      <c r="A22920" t="s">
        <v>7586</v>
      </c>
      <c r="B22920" t="str">
        <f>HYPERLINK("https://lindat.mff.cuni.cz/services/teitok/pdtc10/index.php?action=vallex&amp;frame=v-w2959f2", "odvodit (v-w2959f2)")</f>
        <v>odvodit (v-w2959f2)</v>
      </c>
    </row>
    <row r="22921" spans="1:4" x14ac:dyDescent="0.2">
      <c r="B22921" t="s">
        <v>1</v>
      </c>
    </row>
    <row r="22922" spans="1:4" x14ac:dyDescent="0.2">
      <c r="B22922" t="s">
        <v>7587</v>
      </c>
    </row>
    <row r="22923" spans="1:4" x14ac:dyDescent="0.2">
      <c r="B22923" t="s">
        <v>269</v>
      </c>
    </row>
    <row r="22925" spans="1:4" x14ac:dyDescent="0.2">
      <c r="A22925" t="s">
        <v>7588</v>
      </c>
      <c r="B22925" t="str">
        <f>HYPERLINK("https://lindat.mff.cuni.cz/services/teitok/pdtc10/index.php?action=vallex&amp;frame=v-w2961f1", "odvolat (v-w2961f1)")</f>
        <v>odvolat (v-w2961f1)</v>
      </c>
    </row>
    <row r="22926" spans="1:4" x14ac:dyDescent="0.2">
      <c r="B22926" t="s">
        <v>1</v>
      </c>
      <c r="C22926" t="s">
        <v>7589</v>
      </c>
      <c r="D22926" t="s">
        <v>6131</v>
      </c>
    </row>
    <row r="22927" spans="1:4" x14ac:dyDescent="0.2">
      <c r="B22927" t="s">
        <v>8</v>
      </c>
      <c r="C22927" t="s">
        <v>7111</v>
      </c>
      <c r="D22927" t="s">
        <v>18247</v>
      </c>
    </row>
    <row r="22928" spans="1:4" x14ac:dyDescent="0.2">
      <c r="B22928" t="s">
        <v>333</v>
      </c>
      <c r="C22928" t="s">
        <v>7510</v>
      </c>
      <c r="D22928" t="s">
        <v>23090</v>
      </c>
    </row>
    <row r="22930" spans="1:4" x14ac:dyDescent="0.2">
      <c r="A22930" t="s">
        <v>7590</v>
      </c>
      <c r="B22930" t="str">
        <f>HYPERLINK("https://lindat.mff.cuni.cz/services/teitok/pdtc10/index.php?action=vallex&amp;frame=v-w2961f3", "odvolat (v-w2961f3)")</f>
        <v>odvolat (v-w2961f3)</v>
      </c>
    </row>
    <row r="22931" spans="1:4" x14ac:dyDescent="0.2">
      <c r="B22931" t="s">
        <v>1</v>
      </c>
      <c r="D22931" t="s">
        <v>6131</v>
      </c>
    </row>
    <row r="22932" spans="1:4" x14ac:dyDescent="0.2">
      <c r="B22932" t="s">
        <v>8</v>
      </c>
      <c r="D22932" t="s">
        <v>18247</v>
      </c>
    </row>
    <row r="22933" spans="1:4" x14ac:dyDescent="0.2">
      <c r="B22933" t="s">
        <v>333</v>
      </c>
      <c r="D22933" t="s">
        <v>23090</v>
      </c>
    </row>
    <row r="22935" spans="1:4" x14ac:dyDescent="0.2">
      <c r="A22935" t="s">
        <v>7591</v>
      </c>
      <c r="B22935" t="str">
        <f>HYPERLINK("https://lindat.mff.cuni.cz/services/teitok/pdtc10/index.php?action=vallex&amp;frame=v-w2961f2", "odvolat (v-w2961f2)")</f>
        <v>odvolat (v-w2961f2)</v>
      </c>
    </row>
    <row r="22936" spans="1:4" x14ac:dyDescent="0.2">
      <c r="B22936" t="s">
        <v>1</v>
      </c>
      <c r="C22936" t="s">
        <v>7592</v>
      </c>
      <c r="D22936" t="s">
        <v>23598</v>
      </c>
    </row>
    <row r="22937" spans="1:4" x14ac:dyDescent="0.2">
      <c r="B22937" t="s">
        <v>41</v>
      </c>
      <c r="C22937" t="s">
        <v>7593</v>
      </c>
      <c r="D22937" t="s">
        <v>23599</v>
      </c>
    </row>
    <row r="22939" spans="1:4" x14ac:dyDescent="0.2">
      <c r="A22939" t="s">
        <v>7594</v>
      </c>
      <c r="B22939" t="str">
        <f>HYPERLINK("https://lindat.mff.cuni.cz/services/teitok/pdtc10/index.php?action=vallex&amp;frame=v-w2962f2", "odvolat se (v-w2962f2)")</f>
        <v>odvolat se (v-w2962f2)</v>
      </c>
    </row>
    <row r="22940" spans="1:4" x14ac:dyDescent="0.2">
      <c r="B22940" t="s">
        <v>1</v>
      </c>
      <c r="C22940" t="s">
        <v>7595</v>
      </c>
    </row>
    <row r="22941" spans="1:4" x14ac:dyDescent="0.2">
      <c r="B22941" t="s">
        <v>28</v>
      </c>
      <c r="C22941" t="s">
        <v>7596</v>
      </c>
    </row>
    <row r="22943" spans="1:4" x14ac:dyDescent="0.2">
      <c r="A22943" t="s">
        <v>7597</v>
      </c>
      <c r="B22943" t="str">
        <f>HYPERLINK("https://lindat.mff.cuni.cz/services/teitok/pdtc10/index.php?action=vallex&amp;frame=v-w2962f1", "odvolat se (v-w2962f1)")</f>
        <v>odvolat se (v-w2962f1)</v>
      </c>
    </row>
    <row r="22944" spans="1:4" x14ac:dyDescent="0.2">
      <c r="B22944" t="s">
        <v>1</v>
      </c>
      <c r="C22944" t="s">
        <v>115</v>
      </c>
    </row>
    <row r="22945" spans="1:4" x14ac:dyDescent="0.2">
      <c r="B22945" t="s">
        <v>1310</v>
      </c>
      <c r="C22945" t="s">
        <v>1340</v>
      </c>
    </row>
    <row r="22947" spans="1:4" x14ac:dyDescent="0.2">
      <c r="A22947" t="s">
        <v>7598</v>
      </c>
      <c r="B22947" t="str">
        <f>HYPERLINK("https://lindat.mff.cuni.cz/services/teitok/pdtc10/index.php?action=vallex&amp;frame=v-w2964f1", "odvolávat (v-w2964f1)")</f>
        <v>odvolávat (v-w2964f1)</v>
      </c>
    </row>
    <row r="22948" spans="1:4" x14ac:dyDescent="0.2">
      <c r="B22948" t="s">
        <v>1</v>
      </c>
    </row>
    <row r="22949" spans="1:4" x14ac:dyDescent="0.2">
      <c r="B22949" t="s">
        <v>8</v>
      </c>
    </row>
    <row r="22950" spans="1:4" x14ac:dyDescent="0.2">
      <c r="B22950" t="s">
        <v>333</v>
      </c>
    </row>
    <row r="22952" spans="1:4" x14ac:dyDescent="0.2">
      <c r="A22952" t="s">
        <v>7599</v>
      </c>
      <c r="B22952" t="str">
        <f>HYPERLINK("https://lindat.mff.cuni.cz/services/teitok/pdtc10/index.php?action=vallex&amp;frame=v-w2964f2", "odvolávat (v-w2964f2)")</f>
        <v>odvolávat (v-w2964f2)</v>
      </c>
    </row>
    <row r="22953" spans="1:4" x14ac:dyDescent="0.2">
      <c r="B22953" t="s">
        <v>1</v>
      </c>
      <c r="D22953" t="s">
        <v>6131</v>
      </c>
    </row>
    <row r="22954" spans="1:4" x14ac:dyDescent="0.2">
      <c r="B22954" t="s">
        <v>8</v>
      </c>
      <c r="D22954" t="s">
        <v>18247</v>
      </c>
    </row>
    <row r="22955" spans="1:4" x14ac:dyDescent="0.2">
      <c r="B22955" t="s">
        <v>333</v>
      </c>
      <c r="D22955" t="s">
        <v>23090</v>
      </c>
    </row>
    <row r="22957" spans="1:4" x14ac:dyDescent="0.2">
      <c r="A22957" t="s">
        <v>7600</v>
      </c>
      <c r="B22957" t="str">
        <f>HYPERLINK("https://lindat.mff.cuni.cz/services/teitok/pdtc10/index.php?action=vallex&amp;frame=v-w2964f3", "odvolávat (v-w2964f3)")</f>
        <v>odvolávat (v-w2964f3)</v>
      </c>
    </row>
    <row r="22958" spans="1:4" x14ac:dyDescent="0.2">
      <c r="B22958" t="s">
        <v>1</v>
      </c>
      <c r="D22958" t="s">
        <v>23598</v>
      </c>
    </row>
    <row r="22959" spans="1:4" x14ac:dyDescent="0.2">
      <c r="B22959" t="s">
        <v>41</v>
      </c>
      <c r="D22959" t="s">
        <v>23599</v>
      </c>
    </row>
    <row r="22961" spans="1:4" x14ac:dyDescent="0.2">
      <c r="A22961" t="s">
        <v>7601</v>
      </c>
      <c r="B22961" t="str">
        <f>HYPERLINK("https://lindat.mff.cuni.cz/services/teitok/pdtc10/index.php?action=vallex&amp;frame=v-w2965f1", "odvolávat se (v-w2965f1)")</f>
        <v>odvolávat se (v-w2965f1)</v>
      </c>
    </row>
    <row r="22962" spans="1:4" x14ac:dyDescent="0.2">
      <c r="B22962" t="s">
        <v>1</v>
      </c>
      <c r="C22962" t="s">
        <v>102</v>
      </c>
      <c r="D22962" t="s">
        <v>22960</v>
      </c>
    </row>
    <row r="22963" spans="1:4" x14ac:dyDescent="0.2">
      <c r="B22963" t="s">
        <v>28</v>
      </c>
      <c r="C22963" t="s">
        <v>4079</v>
      </c>
      <c r="D22963" t="s">
        <v>22961</v>
      </c>
    </row>
    <row r="22965" spans="1:4" x14ac:dyDescent="0.2">
      <c r="A22965" t="s">
        <v>7602</v>
      </c>
      <c r="B22965" t="str">
        <f>HYPERLINK("https://lindat.mff.cuni.cz/services/teitok/pdtc10/index.php?action=vallex&amp;frame=v-w2965f2", "odvolávat se (v-w2965f2)")</f>
        <v>odvolávat se (v-w2965f2)</v>
      </c>
    </row>
    <row r="22966" spans="1:4" x14ac:dyDescent="0.2">
      <c r="B22966" t="s">
        <v>1</v>
      </c>
      <c r="C22966" t="s">
        <v>2303</v>
      </c>
    </row>
    <row r="22967" spans="1:4" x14ac:dyDescent="0.2">
      <c r="B22967" t="s">
        <v>1310</v>
      </c>
      <c r="C22967" t="s">
        <v>1340</v>
      </c>
    </row>
    <row r="22969" spans="1:4" x14ac:dyDescent="0.2">
      <c r="A22969" t="s">
        <v>7603</v>
      </c>
      <c r="B22969" t="str">
        <f>HYPERLINK("https://lindat.mff.cuni.cz/services/teitok/pdtc10/index.php?action=vallex&amp;frame=v-w2969f1", "odvozovat (v-w2969f1)")</f>
        <v>odvozovat (v-w2969f1)</v>
      </c>
    </row>
    <row r="22970" spans="1:4" x14ac:dyDescent="0.2">
      <c r="B22970" t="s">
        <v>1</v>
      </c>
      <c r="C22970" t="s">
        <v>990</v>
      </c>
      <c r="D22970" t="s">
        <v>23689</v>
      </c>
    </row>
    <row r="22971" spans="1:4" x14ac:dyDescent="0.2">
      <c r="B22971" t="s">
        <v>41</v>
      </c>
      <c r="C22971" t="s">
        <v>1109</v>
      </c>
      <c r="D22971" t="s">
        <v>19345</v>
      </c>
    </row>
    <row r="22972" spans="1:4" x14ac:dyDescent="0.2">
      <c r="B22972" t="s">
        <v>7585</v>
      </c>
      <c r="C22972" t="s">
        <v>2079</v>
      </c>
      <c r="D22972" t="s">
        <v>2079</v>
      </c>
    </row>
    <row r="22974" spans="1:4" x14ac:dyDescent="0.2">
      <c r="A22974" t="s">
        <v>7604</v>
      </c>
      <c r="B22974" t="str">
        <f>HYPERLINK("https://lindat.mff.cuni.cz/services/teitok/pdtc10/index.php?action=vallex&amp;frame=v-w2972f1", "odvracet (v-w2972f1)")</f>
        <v>odvracet (v-w2972f1)</v>
      </c>
    </row>
    <row r="22975" spans="1:4" x14ac:dyDescent="0.2">
      <c r="B22975" t="s">
        <v>1</v>
      </c>
      <c r="D22975" t="s">
        <v>22980</v>
      </c>
    </row>
    <row r="22976" spans="1:4" x14ac:dyDescent="0.2">
      <c r="B22976" t="s">
        <v>8</v>
      </c>
      <c r="D22976" t="s">
        <v>22981</v>
      </c>
    </row>
    <row r="22978" spans="1:4" x14ac:dyDescent="0.2">
      <c r="A22978" t="s">
        <v>7605</v>
      </c>
      <c r="B22978" t="str">
        <f>HYPERLINK("https://lindat.mff.cuni.cz/services/teitok/pdtc10/index.php?action=vallex&amp;frame=v-w2972hsa_865", "odvracet (v-w2972hsa_865)")</f>
        <v>odvracet (v-w2972hsa_865)</v>
      </c>
    </row>
    <row r="22979" spans="1:4" x14ac:dyDescent="0.2">
      <c r="B22979" t="s">
        <v>1</v>
      </c>
      <c r="D22979" t="s">
        <v>373</v>
      </c>
    </row>
    <row r="22980" spans="1:4" x14ac:dyDescent="0.2">
      <c r="B22980" t="s">
        <v>58</v>
      </c>
      <c r="C22980" t="s">
        <v>2810</v>
      </c>
      <c r="D22980" t="s">
        <v>2901</v>
      </c>
    </row>
    <row r="22981" spans="1:4" x14ac:dyDescent="0.2">
      <c r="B22981" t="s">
        <v>19</v>
      </c>
      <c r="D22981" t="s">
        <v>4060</v>
      </c>
    </row>
    <row r="22983" spans="1:4" x14ac:dyDescent="0.2">
      <c r="A22983" t="s">
        <v>7606</v>
      </c>
      <c r="B22983" t="str">
        <f>HYPERLINK("https://lindat.mff.cuni.cz/services/teitok/pdtc10/index.php?action=vallex&amp;frame=v-w2973f1", "odvracet se (v-w2973f1)")</f>
        <v>odvracet se (v-w2973f1)</v>
      </c>
    </row>
    <row r="22984" spans="1:4" x14ac:dyDescent="0.2">
      <c r="B22984" t="s">
        <v>1</v>
      </c>
    </row>
    <row r="22985" spans="1:4" x14ac:dyDescent="0.2">
      <c r="B22985" t="s">
        <v>19</v>
      </c>
    </row>
    <row r="22987" spans="1:4" x14ac:dyDescent="0.2">
      <c r="A22987" t="s">
        <v>7607</v>
      </c>
      <c r="B22987" t="str">
        <f>HYPERLINK("https://lindat.mff.cuni.cz/services/teitok/pdtc10/index.php?action=vallex&amp;frame=v-w10418f2", "odvrhnout (v-w10418f2)")</f>
        <v>odvrhnout (v-w10418f2)</v>
      </c>
    </row>
    <row r="22988" spans="1:4" x14ac:dyDescent="0.2">
      <c r="B22988" t="s">
        <v>1</v>
      </c>
      <c r="C22988" t="s">
        <v>334</v>
      </c>
    </row>
    <row r="22989" spans="1:4" x14ac:dyDescent="0.2">
      <c r="B22989" t="s">
        <v>8</v>
      </c>
      <c r="C22989" t="s">
        <v>1066</v>
      </c>
    </row>
    <row r="22991" spans="1:4" x14ac:dyDescent="0.2">
      <c r="A22991" t="s">
        <v>7608</v>
      </c>
      <c r="B22991" t="str">
        <f>HYPERLINK("https://lindat.mff.cuni.cz/services/teitok/pdtc10/index.php?action=vallex&amp;frame=v-w2974f1", "odvrátit (v-w2974f1)")</f>
        <v>odvrátit (v-w2974f1)</v>
      </c>
    </row>
    <row r="22992" spans="1:4" x14ac:dyDescent="0.2">
      <c r="B22992" t="s">
        <v>1</v>
      </c>
      <c r="C22992" t="s">
        <v>7609</v>
      </c>
      <c r="D22992" t="s">
        <v>22980</v>
      </c>
    </row>
    <row r="22993" spans="1:4" x14ac:dyDescent="0.2">
      <c r="B22993" t="s">
        <v>8</v>
      </c>
      <c r="C22993" t="s">
        <v>3581</v>
      </c>
      <c r="D22993" t="s">
        <v>22981</v>
      </c>
    </row>
    <row r="22995" spans="1:4" x14ac:dyDescent="0.2">
      <c r="A22995" t="s">
        <v>7610</v>
      </c>
      <c r="B22995" t="str">
        <f>HYPERLINK("https://lindat.mff.cuni.cz/services/teitok/pdtc10/index.php?action=vallex&amp;frame=v-w2974f3_ZU", "odvrátit (v-w2974f3_ZU)")</f>
        <v>odvrátit (v-w2974f3_ZU)</v>
      </c>
    </row>
    <row r="22996" spans="1:4" x14ac:dyDescent="0.2">
      <c r="B22996" t="s">
        <v>1</v>
      </c>
      <c r="C22996" t="s">
        <v>33</v>
      </c>
    </row>
    <row r="22997" spans="1:4" x14ac:dyDescent="0.2">
      <c r="B22997" t="s">
        <v>8</v>
      </c>
      <c r="C22997" t="s">
        <v>56</v>
      </c>
    </row>
    <row r="22999" spans="1:4" x14ac:dyDescent="0.2">
      <c r="A22999" t="s">
        <v>7611</v>
      </c>
      <c r="B22999" t="str">
        <f>HYPERLINK("https://lindat.mff.cuni.cz/services/teitok/pdtc10/index.php?action=vallex&amp;frame=v-w2974f2", "odvrátit (v-w2974f2)")</f>
        <v>odvrátit (v-w2974f2)</v>
      </c>
    </row>
    <row r="23000" spans="1:4" x14ac:dyDescent="0.2">
      <c r="B23000" t="s">
        <v>1</v>
      </c>
    </row>
    <row r="23001" spans="1:4" x14ac:dyDescent="0.2">
      <c r="B23001" t="s">
        <v>58</v>
      </c>
    </row>
    <row r="23002" spans="1:4" x14ac:dyDescent="0.2">
      <c r="B23002" t="s">
        <v>247</v>
      </c>
    </row>
    <row r="23004" spans="1:4" x14ac:dyDescent="0.2">
      <c r="A23004" t="s">
        <v>7612</v>
      </c>
      <c r="B23004" t="str">
        <f>HYPERLINK("https://lindat.mff.cuni.cz/services/teitok/pdtc10/index.php?action=vallex&amp;frame=v-w2975f1", "odvrátit se (v-w2975f1)")</f>
        <v>odvrátit se (v-w2975f1)</v>
      </c>
    </row>
    <row r="23005" spans="1:4" x14ac:dyDescent="0.2">
      <c r="B23005" t="s">
        <v>1</v>
      </c>
      <c r="C23005" t="s">
        <v>4213</v>
      </c>
      <c r="D23005" t="s">
        <v>23653</v>
      </c>
    </row>
    <row r="23006" spans="1:4" x14ac:dyDescent="0.2">
      <c r="B23006" t="s">
        <v>19</v>
      </c>
      <c r="C23006" t="s">
        <v>7613</v>
      </c>
      <c r="D23006" t="s">
        <v>345</v>
      </c>
    </row>
    <row r="23008" spans="1:4" x14ac:dyDescent="0.2">
      <c r="A23008" t="s">
        <v>7614</v>
      </c>
      <c r="B23008" t="str">
        <f>HYPERLINK("https://lindat.mff.cuni.cz/services/teitok/pdtc10/index.php?action=vallex&amp;frame=v-whsa_1267hsa_1268", "odvykat (v-whsa_1267hsa_1268)")</f>
        <v>odvykat (v-whsa_1267hsa_1268)</v>
      </c>
    </row>
    <row r="23009" spans="1:4" x14ac:dyDescent="0.2">
      <c r="B23009" t="s">
        <v>1</v>
      </c>
      <c r="C23009" t="s">
        <v>115</v>
      </c>
    </row>
    <row r="23010" spans="1:4" x14ac:dyDescent="0.2">
      <c r="B23010" t="s">
        <v>103</v>
      </c>
      <c r="C23010" t="s">
        <v>1798</v>
      </c>
    </row>
    <row r="23012" spans="1:4" x14ac:dyDescent="0.2">
      <c r="A23012" t="s">
        <v>7615</v>
      </c>
      <c r="B23012" t="str">
        <f>HYPERLINK("https://lindat.mff.cuni.cz/services/teitok/pdtc10/index.php?action=vallex&amp;frame=v-w2976f1", "odvyknout (v-w2976f1)")</f>
        <v>odvyknout (v-w2976f1)</v>
      </c>
    </row>
    <row r="23013" spans="1:4" x14ac:dyDescent="0.2">
      <c r="B23013" t="s">
        <v>1</v>
      </c>
    </row>
    <row r="23014" spans="1:4" x14ac:dyDescent="0.2">
      <c r="B23014" t="s">
        <v>103</v>
      </c>
    </row>
    <row r="23016" spans="1:4" x14ac:dyDescent="0.2">
      <c r="A23016" t="s">
        <v>7616</v>
      </c>
      <c r="B23016" t="str">
        <f>HYPERLINK("https://lindat.mff.cuni.cz/services/teitok/pdtc10/index.php?action=vallex&amp;frame=v-w2977f1", "odvyknout si (v-w2977f1)")</f>
        <v>odvyknout si (v-w2977f1)</v>
      </c>
    </row>
    <row r="23017" spans="1:4" x14ac:dyDescent="0.2">
      <c r="B23017" t="s">
        <v>1</v>
      </c>
    </row>
    <row r="23018" spans="1:4" x14ac:dyDescent="0.2">
      <c r="B23018" t="s">
        <v>7617</v>
      </c>
    </row>
    <row r="23020" spans="1:4" x14ac:dyDescent="0.2">
      <c r="A23020" t="s">
        <v>7618</v>
      </c>
      <c r="B23020" t="str">
        <f>HYPERLINK("https://lindat.mff.cuni.cz/services/teitok/pdtc10/index.php?action=vallex&amp;frame=v-w2979f1", "odvysílat (v-w2979f1)")</f>
        <v>odvysílat (v-w2979f1)</v>
      </c>
    </row>
    <row r="23021" spans="1:4" x14ac:dyDescent="0.2">
      <c r="B23021" t="s">
        <v>1</v>
      </c>
      <c r="C23021" t="s">
        <v>1065</v>
      </c>
      <c r="D23021" t="s">
        <v>23690</v>
      </c>
    </row>
    <row r="23022" spans="1:4" x14ac:dyDescent="0.2">
      <c r="B23022" t="s">
        <v>41</v>
      </c>
      <c r="C23022" t="s">
        <v>110</v>
      </c>
      <c r="D23022" t="s">
        <v>1798</v>
      </c>
    </row>
    <row r="23024" spans="1:4" x14ac:dyDescent="0.2">
      <c r="A23024" t="s">
        <v>7619</v>
      </c>
      <c r="B23024" t="str">
        <f>HYPERLINK("https://lindat.mff.cuni.cz/services/teitok/pdtc10/index.php?action=vallex&amp;frame=v-w2937f7", "odvádět (v-w2937f7)")</f>
        <v>odvádět (v-w2937f7)</v>
      </c>
    </row>
    <row r="23025" spans="1:2" x14ac:dyDescent="0.2">
      <c r="B23025" t="s">
        <v>1</v>
      </c>
    </row>
    <row r="23026" spans="1:2" x14ac:dyDescent="0.2">
      <c r="B23026" t="s">
        <v>8</v>
      </c>
    </row>
    <row r="23027" spans="1:2" x14ac:dyDescent="0.2">
      <c r="B23027" t="s">
        <v>78</v>
      </c>
    </row>
    <row r="23028" spans="1:2" x14ac:dyDescent="0.2">
      <c r="B23028" t="s">
        <v>413</v>
      </c>
    </row>
    <row r="23030" spans="1:2" x14ac:dyDescent="0.2">
      <c r="A23030" t="s">
        <v>7620</v>
      </c>
      <c r="B23030" t="str">
        <f>HYPERLINK("https://lindat.mff.cuni.cz/services/teitok/pdtc10/index.php?action=vallex&amp;frame=v-w2937f1", "odvádět (v-w2937f1)")</f>
        <v>odvádět (v-w2937f1)</v>
      </c>
    </row>
    <row r="23031" spans="1:2" x14ac:dyDescent="0.2">
      <c r="B23031" t="s">
        <v>1</v>
      </c>
    </row>
    <row r="23032" spans="1:2" x14ac:dyDescent="0.2">
      <c r="B23032" t="s">
        <v>8</v>
      </c>
    </row>
    <row r="23033" spans="1:2" x14ac:dyDescent="0.2">
      <c r="B23033" t="s">
        <v>78</v>
      </c>
    </row>
    <row r="23035" spans="1:2" x14ac:dyDescent="0.2">
      <c r="A23035" t="s">
        <v>7621</v>
      </c>
      <c r="B23035" t="str">
        <f>HYPERLINK("https://lindat.mff.cuni.cz/services/teitok/pdtc10/index.php?action=vallex&amp;frame=v-w2937f2", "odvádět (v-w2937f2)")</f>
        <v>odvádět (v-w2937f2)</v>
      </c>
    </row>
    <row r="23036" spans="1:2" x14ac:dyDescent="0.2">
      <c r="B23036" t="s">
        <v>1</v>
      </c>
    </row>
    <row r="23037" spans="1:2" x14ac:dyDescent="0.2">
      <c r="B23037" t="s">
        <v>8</v>
      </c>
    </row>
    <row r="23038" spans="1:2" x14ac:dyDescent="0.2">
      <c r="B23038" t="s">
        <v>333</v>
      </c>
    </row>
    <row r="23040" spans="1:2" x14ac:dyDescent="0.2">
      <c r="A23040" t="s">
        <v>7622</v>
      </c>
      <c r="B23040" t="str">
        <f>HYPERLINK("https://lindat.mff.cuni.cz/services/teitok/pdtc10/index.php?action=vallex&amp;frame=v-w2937f4", "odvádět (v-w2937f4)")</f>
        <v>odvádět (v-w2937f4)</v>
      </c>
    </row>
    <row r="23041" spans="1:4" x14ac:dyDescent="0.2">
      <c r="B23041" t="s">
        <v>1</v>
      </c>
      <c r="C23041" t="s">
        <v>230</v>
      </c>
      <c r="D23041" t="s">
        <v>373</v>
      </c>
    </row>
    <row r="23042" spans="1:4" x14ac:dyDescent="0.2">
      <c r="B23042" t="s">
        <v>8</v>
      </c>
      <c r="C23042" t="s">
        <v>1264</v>
      </c>
      <c r="D23042" t="s">
        <v>23</v>
      </c>
    </row>
    <row r="23043" spans="1:4" x14ac:dyDescent="0.2">
      <c r="B23043" t="s">
        <v>333</v>
      </c>
      <c r="C23043" t="s">
        <v>7510</v>
      </c>
      <c r="D23043" t="s">
        <v>7637</v>
      </c>
    </row>
    <row r="23045" spans="1:4" x14ac:dyDescent="0.2">
      <c r="A23045" t="s">
        <v>7623</v>
      </c>
      <c r="B23045" t="str">
        <f>HYPERLINK("https://lindat.mff.cuni.cz/services/teitok/pdtc10/index.php?action=vallex&amp;frame=v-w2937f5", "odvádět (v-w2937f5)")</f>
        <v>odvádět (v-w2937f5)</v>
      </c>
    </row>
    <row r="23046" spans="1:4" x14ac:dyDescent="0.2">
      <c r="B23046" t="s">
        <v>1</v>
      </c>
    </row>
    <row r="23047" spans="1:4" x14ac:dyDescent="0.2">
      <c r="B23047" t="s">
        <v>8</v>
      </c>
    </row>
    <row r="23048" spans="1:4" x14ac:dyDescent="0.2">
      <c r="B23048" t="s">
        <v>90</v>
      </c>
    </row>
    <row r="23050" spans="1:4" x14ac:dyDescent="0.2">
      <c r="A23050" t="s">
        <v>7624</v>
      </c>
      <c r="B23050" t="str">
        <f>HYPERLINK("https://lindat.mff.cuni.cz/services/teitok/pdtc10/index.php?action=vallex&amp;frame=v-w2937f3", "odvádět (v-w2937f3)")</f>
        <v>odvádět (v-w2937f3)</v>
      </c>
    </row>
    <row r="23051" spans="1:4" x14ac:dyDescent="0.2">
      <c r="B23051" t="s">
        <v>1</v>
      </c>
      <c r="C23051" t="s">
        <v>2946</v>
      </c>
      <c r="D23051" t="s">
        <v>23408</v>
      </c>
    </row>
    <row r="23052" spans="1:4" x14ac:dyDescent="0.2">
      <c r="B23052" t="s">
        <v>8</v>
      </c>
      <c r="C23052" t="s">
        <v>7625</v>
      </c>
      <c r="D23052" t="s">
        <v>16380</v>
      </c>
    </row>
    <row r="23054" spans="1:4" x14ac:dyDescent="0.2">
      <c r="A23054" t="s">
        <v>7626</v>
      </c>
      <c r="B23054" t="str">
        <f>HYPERLINK("https://lindat.mff.cuni.cz/services/teitok/pdtc10/index.php?action=vallex&amp;frame=v-w2937f6", "odvádět (v-w2937f6)")</f>
        <v>odvádět (v-w2937f6)</v>
      </c>
    </row>
    <row r="23055" spans="1:4" x14ac:dyDescent="0.2">
      <c r="B23055" t="s">
        <v>1</v>
      </c>
    </row>
    <row r="23056" spans="1:4" x14ac:dyDescent="0.2">
      <c r="B23056" t="s">
        <v>524</v>
      </c>
    </row>
    <row r="23057" spans="1:4" x14ac:dyDescent="0.2">
      <c r="B23057" t="s">
        <v>1382</v>
      </c>
    </row>
    <row r="23058" spans="1:4" x14ac:dyDescent="0.2">
      <c r="B23058" t="s">
        <v>78</v>
      </c>
    </row>
    <row r="23060" spans="1:4" x14ac:dyDescent="0.2">
      <c r="A23060" t="s">
        <v>7627</v>
      </c>
      <c r="B23060" t="str">
        <f>HYPERLINK("https://lindat.mff.cuni.cz/services/teitok/pdtc10/index.php?action=vallex&amp;frame=v-w2941f1", "odvát (v-w2941f1)")</f>
        <v>odvát (v-w2941f1)</v>
      </c>
    </row>
    <row r="23061" spans="1:4" x14ac:dyDescent="0.2">
      <c r="B23061" t="s">
        <v>1</v>
      </c>
      <c r="D23061" t="s">
        <v>140</v>
      </c>
    </row>
    <row r="23062" spans="1:4" x14ac:dyDescent="0.2">
      <c r="B23062" t="s">
        <v>8</v>
      </c>
      <c r="D23062" t="s">
        <v>113</v>
      </c>
    </row>
    <row r="23064" spans="1:4" x14ac:dyDescent="0.2">
      <c r="A23064" t="s">
        <v>7628</v>
      </c>
      <c r="B23064" t="str">
        <f>HYPERLINK("https://lindat.mff.cuni.cz/services/teitok/pdtc10/index.php?action=vallex&amp;frame=v-whsa_612hsa_613", "odvázat se (v-whsa_612hsa_613)")</f>
        <v>odvázat se (v-whsa_612hsa_613)</v>
      </c>
    </row>
    <row r="23065" spans="1:4" x14ac:dyDescent="0.2">
      <c r="B23065" t="s">
        <v>1</v>
      </c>
    </row>
    <row r="23067" spans="1:4" x14ac:dyDescent="0.2">
      <c r="A23067" t="s">
        <v>7629</v>
      </c>
      <c r="B23067" t="str">
        <f>HYPERLINK("https://lindat.mff.cuni.cz/services/teitok/pdtc10/index.php?action=vallex&amp;frame=v-w2942f2", "odvážet (v-w2942f2)")</f>
        <v>odvážet (v-w2942f2)</v>
      </c>
    </row>
    <row r="23068" spans="1:4" x14ac:dyDescent="0.2">
      <c r="B23068" t="s">
        <v>1</v>
      </c>
      <c r="C23068" t="s">
        <v>33</v>
      </c>
      <c r="D23068" t="s">
        <v>7915</v>
      </c>
    </row>
    <row r="23069" spans="1:4" x14ac:dyDescent="0.2">
      <c r="B23069" t="s">
        <v>8</v>
      </c>
      <c r="C23069" t="s">
        <v>34</v>
      </c>
      <c r="D23069" t="s">
        <v>23119</v>
      </c>
    </row>
    <row r="23070" spans="1:4" x14ac:dyDescent="0.2">
      <c r="B23070" t="s">
        <v>35</v>
      </c>
      <c r="D23070" t="s">
        <v>1544</v>
      </c>
    </row>
    <row r="23072" spans="1:4" x14ac:dyDescent="0.2">
      <c r="A23072" t="s">
        <v>7630</v>
      </c>
      <c r="B23072" t="str">
        <f>HYPERLINK("https://lindat.mff.cuni.cz/services/teitok/pdtc10/index.php?action=vallex&amp;frame=v-w2942f1", "odvážet (v-w2942f1)")</f>
        <v>odvážet (v-w2942f1)</v>
      </c>
    </row>
    <row r="23073" spans="1:4" x14ac:dyDescent="0.2">
      <c r="B23073" t="s">
        <v>1</v>
      </c>
    </row>
    <row r="23074" spans="1:4" x14ac:dyDescent="0.2">
      <c r="B23074" t="s">
        <v>8</v>
      </c>
    </row>
    <row r="23075" spans="1:4" x14ac:dyDescent="0.2">
      <c r="B23075" t="s">
        <v>333</v>
      </c>
    </row>
    <row r="23077" spans="1:4" x14ac:dyDescent="0.2">
      <c r="A23077" t="s">
        <v>7631</v>
      </c>
      <c r="B23077" t="str">
        <f>HYPERLINK("https://lindat.mff.cuni.cz/services/teitok/pdtc10/index.php?action=vallex&amp;frame=v-w2942f3", "odvážet (v-w2942f3)")</f>
        <v>odvážet (v-w2942f3)</v>
      </c>
    </row>
    <row r="23078" spans="1:4" x14ac:dyDescent="0.2">
      <c r="B23078" t="s">
        <v>1</v>
      </c>
      <c r="D23078" t="s">
        <v>3292</v>
      </c>
    </row>
    <row r="23079" spans="1:4" x14ac:dyDescent="0.2">
      <c r="B23079" t="s">
        <v>8</v>
      </c>
      <c r="D23079" t="s">
        <v>232</v>
      </c>
    </row>
    <row r="23080" spans="1:4" x14ac:dyDescent="0.2">
      <c r="B23080" t="s">
        <v>90</v>
      </c>
    </row>
    <row r="23082" spans="1:4" x14ac:dyDescent="0.2">
      <c r="A23082" t="s">
        <v>7632</v>
      </c>
      <c r="B23082" t="str">
        <f>HYPERLINK("https://lindat.mff.cuni.cz/services/teitok/pdtc10/index.php?action=vallex&amp;frame=v-w2943f1", "odvážit (v-w2943f1)")</f>
        <v>odvážit (v-w2943f1)</v>
      </c>
    </row>
    <row r="23083" spans="1:4" x14ac:dyDescent="0.2">
      <c r="B23083" t="s">
        <v>1</v>
      </c>
    </row>
    <row r="23084" spans="1:4" x14ac:dyDescent="0.2">
      <c r="B23084" t="s">
        <v>8</v>
      </c>
    </row>
    <row r="23086" spans="1:4" x14ac:dyDescent="0.2">
      <c r="A23086" t="s">
        <v>7633</v>
      </c>
      <c r="B23086" t="str">
        <f>HYPERLINK("https://lindat.mff.cuni.cz/services/teitok/pdtc10/index.php?action=vallex&amp;frame=v-w2944f1", "odvážit se (v-w2944f1)")</f>
        <v>odvážit se (v-w2944f1)</v>
      </c>
    </row>
    <row r="23087" spans="1:4" x14ac:dyDescent="0.2">
      <c r="B23087" t="s">
        <v>1</v>
      </c>
      <c r="C23087" t="s">
        <v>715</v>
      </c>
      <c r="D23087" t="s">
        <v>12315</v>
      </c>
    </row>
    <row r="23088" spans="1:4" x14ac:dyDescent="0.2">
      <c r="B23088" t="s">
        <v>7634</v>
      </c>
      <c r="C23088" t="s">
        <v>7577</v>
      </c>
      <c r="D23088" t="s">
        <v>17315</v>
      </c>
    </row>
    <row r="23090" spans="1:4" x14ac:dyDescent="0.2">
      <c r="A23090" t="s">
        <v>7635</v>
      </c>
      <c r="B23090" t="str">
        <f>HYPERLINK("https://lindat.mff.cuni.cz/services/teitok/pdtc10/index.php?action=vallex&amp;frame=v-w2944f2_ZU", "odvážit se (v-w2944f2_ZU)")</f>
        <v>odvážit se (v-w2944f2_ZU)</v>
      </c>
    </row>
    <row r="23091" spans="1:4" x14ac:dyDescent="0.2">
      <c r="B23091" t="s">
        <v>1</v>
      </c>
    </row>
    <row r="23092" spans="1:4" x14ac:dyDescent="0.2">
      <c r="B23092" t="s">
        <v>252</v>
      </c>
    </row>
    <row r="23094" spans="1:4" x14ac:dyDescent="0.2">
      <c r="A23094" t="s">
        <v>7636</v>
      </c>
      <c r="B23094" t="str">
        <f>HYPERLINK("https://lindat.mff.cuni.cz/services/teitok/pdtc10/index.php?action=vallex&amp;frame=v-w2949f2", "odvést (v-w2949f2)")</f>
        <v>odvést (v-w2949f2)</v>
      </c>
    </row>
    <row r="23095" spans="1:4" x14ac:dyDescent="0.2">
      <c r="B23095" t="s">
        <v>1</v>
      </c>
      <c r="C23095" t="s">
        <v>373</v>
      </c>
      <c r="D23095" t="s">
        <v>373</v>
      </c>
    </row>
    <row r="23096" spans="1:4" x14ac:dyDescent="0.2">
      <c r="B23096" t="s">
        <v>8</v>
      </c>
      <c r="C23096" t="s">
        <v>23</v>
      </c>
      <c r="D23096" t="s">
        <v>23</v>
      </c>
    </row>
    <row r="23097" spans="1:4" x14ac:dyDescent="0.2">
      <c r="B23097" t="s">
        <v>333</v>
      </c>
      <c r="C23097" t="s">
        <v>7637</v>
      </c>
      <c r="D23097" t="s">
        <v>7637</v>
      </c>
    </row>
    <row r="23099" spans="1:4" x14ac:dyDescent="0.2">
      <c r="A23099" t="s">
        <v>7638</v>
      </c>
      <c r="B23099" t="str">
        <f>HYPERLINK("https://lindat.mff.cuni.cz/services/teitok/pdtc10/index.php?action=vallex&amp;frame=v-w2949f3", "odvést (v-w2949f3)")</f>
        <v>odvést (v-w2949f3)</v>
      </c>
    </row>
    <row r="23100" spans="1:4" x14ac:dyDescent="0.2">
      <c r="B23100" t="s">
        <v>1</v>
      </c>
      <c r="D23100" t="s">
        <v>9447</v>
      </c>
    </row>
    <row r="23101" spans="1:4" x14ac:dyDescent="0.2">
      <c r="B23101" t="s">
        <v>8</v>
      </c>
      <c r="D23101" t="s">
        <v>23228</v>
      </c>
    </row>
    <row r="23102" spans="1:4" x14ac:dyDescent="0.2">
      <c r="B23102" t="s">
        <v>90</v>
      </c>
      <c r="D23102" t="s">
        <v>1466</v>
      </c>
    </row>
    <row r="23104" spans="1:4" x14ac:dyDescent="0.2">
      <c r="A23104" t="s">
        <v>7639</v>
      </c>
      <c r="B23104" t="str">
        <f>HYPERLINK("https://lindat.mff.cuni.cz/services/teitok/pdtc10/index.php?action=vallex&amp;frame=v-w2949f1", "odvést (v-w2949f1)")</f>
        <v>odvést (v-w2949f1)</v>
      </c>
    </row>
    <row r="23105" spans="1:4" x14ac:dyDescent="0.2">
      <c r="B23105" t="s">
        <v>1</v>
      </c>
      <c r="C23105" t="s">
        <v>2956</v>
      </c>
      <c r="D23105" t="s">
        <v>23408</v>
      </c>
    </row>
    <row r="23106" spans="1:4" x14ac:dyDescent="0.2">
      <c r="B23106" t="s">
        <v>8</v>
      </c>
      <c r="C23106" t="s">
        <v>7640</v>
      </c>
      <c r="D23106" t="s">
        <v>16380</v>
      </c>
    </row>
    <row r="23108" spans="1:4" x14ac:dyDescent="0.2">
      <c r="A23108" t="s">
        <v>7641</v>
      </c>
      <c r="B23108" t="str">
        <f>HYPERLINK("https://lindat.mff.cuni.cz/services/teitok/pdtc10/index.php?action=vallex&amp;frame=v-w2949f4", "odvést (v-w2949f4)")</f>
        <v>odvést (v-w2949f4)</v>
      </c>
    </row>
    <row r="23109" spans="1:4" x14ac:dyDescent="0.2">
      <c r="B23109" t="s">
        <v>1</v>
      </c>
    </row>
    <row r="23110" spans="1:4" x14ac:dyDescent="0.2">
      <c r="B23110" t="s">
        <v>524</v>
      </c>
    </row>
    <row r="23111" spans="1:4" x14ac:dyDescent="0.2">
      <c r="B23111" t="s">
        <v>1382</v>
      </c>
    </row>
    <row r="23112" spans="1:4" x14ac:dyDescent="0.2">
      <c r="B23112" t="s">
        <v>78</v>
      </c>
    </row>
    <row r="23114" spans="1:4" x14ac:dyDescent="0.2">
      <c r="A23114" t="s">
        <v>7642</v>
      </c>
      <c r="B23114" t="str">
        <f>HYPERLINK("https://lindat.mff.cuni.cz/services/teitok/pdtc10/index.php?action=vallex&amp;frame=v-w2949hsa_596", "odvést (v-w2949hsa_596)")</f>
        <v>odvést (v-w2949hsa_596)</v>
      </c>
    </row>
    <row r="23115" spans="1:4" x14ac:dyDescent="0.2">
      <c r="B23115" t="s">
        <v>1</v>
      </c>
    </row>
    <row r="23116" spans="1:4" x14ac:dyDescent="0.2">
      <c r="B23116" t="s">
        <v>8</v>
      </c>
    </row>
    <row r="23117" spans="1:4" x14ac:dyDescent="0.2">
      <c r="B23117" t="s">
        <v>333</v>
      </c>
    </row>
    <row r="23119" spans="1:4" x14ac:dyDescent="0.2">
      <c r="A23119" t="s">
        <v>7643</v>
      </c>
      <c r="B23119" t="str">
        <f>HYPERLINK("https://lindat.mff.cuni.cz/services/teitok/pdtc10/index.php?action=vallex&amp;frame=v-w2953f3", "odvézt (v-w2953f3)")</f>
        <v>odvézt (v-w2953f3)</v>
      </c>
    </row>
    <row r="23120" spans="1:4" x14ac:dyDescent="0.2">
      <c r="B23120" t="s">
        <v>1</v>
      </c>
      <c r="D23120" t="s">
        <v>7915</v>
      </c>
    </row>
    <row r="23121" spans="1:4" x14ac:dyDescent="0.2">
      <c r="B23121" t="s">
        <v>8</v>
      </c>
      <c r="D23121" t="s">
        <v>23119</v>
      </c>
    </row>
    <row r="23122" spans="1:4" x14ac:dyDescent="0.2">
      <c r="B23122" t="s">
        <v>35</v>
      </c>
      <c r="D23122" t="s">
        <v>1544</v>
      </c>
    </row>
    <row r="23124" spans="1:4" x14ac:dyDescent="0.2">
      <c r="A23124" t="s">
        <v>7644</v>
      </c>
      <c r="B23124" t="str">
        <f>HYPERLINK("https://lindat.mff.cuni.cz/services/teitok/pdtc10/index.php?action=vallex&amp;frame=v-w2953f1", "odvézt (v-w2953f1)")</f>
        <v>odvézt (v-w2953f1)</v>
      </c>
    </row>
    <row r="23125" spans="1:4" x14ac:dyDescent="0.2">
      <c r="B23125" t="s">
        <v>1</v>
      </c>
      <c r="C23125" t="s">
        <v>2571</v>
      </c>
    </row>
    <row r="23126" spans="1:4" x14ac:dyDescent="0.2">
      <c r="B23126" t="s">
        <v>8</v>
      </c>
      <c r="C23126" t="s">
        <v>4083</v>
      </c>
    </row>
    <row r="23127" spans="1:4" x14ac:dyDescent="0.2">
      <c r="B23127" t="s">
        <v>333</v>
      </c>
    </row>
    <row r="23129" spans="1:4" x14ac:dyDescent="0.2">
      <c r="A23129" t="s">
        <v>7645</v>
      </c>
      <c r="B23129" t="str">
        <f>HYPERLINK("https://lindat.mff.cuni.cz/services/teitok/pdtc10/index.php?action=vallex&amp;frame=v-w2953f2", "odvézt (v-w2953f2)")</f>
        <v>odvézt (v-w2953f2)</v>
      </c>
    </row>
    <row r="23130" spans="1:4" x14ac:dyDescent="0.2">
      <c r="B23130" t="s">
        <v>1</v>
      </c>
      <c r="C23130" t="s">
        <v>370</v>
      </c>
      <c r="D23130" t="s">
        <v>23691</v>
      </c>
    </row>
    <row r="23131" spans="1:4" x14ac:dyDescent="0.2">
      <c r="B23131" t="s">
        <v>8</v>
      </c>
      <c r="C23131" t="s">
        <v>1798</v>
      </c>
      <c r="D23131" t="s">
        <v>23692</v>
      </c>
    </row>
    <row r="23132" spans="1:4" x14ac:dyDescent="0.2">
      <c r="B23132" t="s">
        <v>90</v>
      </c>
      <c r="D23132" t="s">
        <v>1466</v>
      </c>
    </row>
    <row r="23134" spans="1:4" x14ac:dyDescent="0.2">
      <c r="A23134" t="s">
        <v>7646</v>
      </c>
      <c r="B23134" t="str">
        <f>HYPERLINK("https://lindat.mff.cuni.cz/services/teitok/pdtc10/index.php?action=vallex&amp;frame=v-w2954f1", "odvíjet (v-w2954f1)")</f>
        <v>odvíjet (v-w2954f1)</v>
      </c>
    </row>
    <row r="23135" spans="1:4" x14ac:dyDescent="0.2">
      <c r="B23135" t="s">
        <v>1</v>
      </c>
    </row>
    <row r="23136" spans="1:4" x14ac:dyDescent="0.2">
      <c r="B23136" t="s">
        <v>8</v>
      </c>
    </row>
    <row r="23137" spans="1:4" x14ac:dyDescent="0.2">
      <c r="B23137" t="s">
        <v>886</v>
      </c>
    </row>
    <row r="23139" spans="1:4" x14ac:dyDescent="0.2">
      <c r="A23139" t="s">
        <v>7647</v>
      </c>
      <c r="B23139" t="str">
        <f>HYPERLINK("https://lindat.mff.cuni.cz/services/teitok/pdtc10/index.php?action=vallex&amp;frame=v-w2955f1", "odvíjet se (v-w2955f1)")</f>
        <v>odvíjet se (v-w2955f1)</v>
      </c>
    </row>
    <row r="23140" spans="1:4" x14ac:dyDescent="0.2">
      <c r="B23140" t="s">
        <v>1</v>
      </c>
    </row>
    <row r="23141" spans="1:4" x14ac:dyDescent="0.2">
      <c r="B23141" t="s">
        <v>19</v>
      </c>
    </row>
    <row r="23143" spans="1:4" x14ac:dyDescent="0.2">
      <c r="A23143" t="s">
        <v>7648</v>
      </c>
      <c r="B23143" t="str">
        <f>HYPERLINK("https://lindat.mff.cuni.cz/services/teitok/pdtc10/index.php?action=vallex&amp;frame=v-w2955f3_ZU", "odvíjet se (v-w2955f3_ZU)")</f>
        <v>odvíjet se (v-w2955f3_ZU)</v>
      </c>
    </row>
    <row r="23144" spans="1:4" x14ac:dyDescent="0.2">
      <c r="B23144" t="s">
        <v>1</v>
      </c>
    </row>
    <row r="23146" spans="1:4" x14ac:dyDescent="0.2">
      <c r="A23146" t="s">
        <v>7648</v>
      </c>
      <c r="B23146" t="str">
        <f>HYPERLINK("https://lindat.mff.cuni.cz/services/teitok/pdtc10/index.php?action=vallex&amp;frame=v-w2955f2", "odvíjet se (v-w2955f2) - substituted with v-w2955f3_ZU")</f>
        <v>odvíjet se (v-w2955f2) - substituted with v-w2955f3_ZU</v>
      </c>
    </row>
    <row r="23147" spans="1:4" x14ac:dyDescent="0.2">
      <c r="B23147" t="s">
        <v>1</v>
      </c>
      <c r="C23147" t="s">
        <v>1168</v>
      </c>
      <c r="D23147" t="s">
        <v>23041</v>
      </c>
    </row>
    <row r="23149" spans="1:4" x14ac:dyDescent="0.2">
      <c r="A23149" t="s">
        <v>7649</v>
      </c>
      <c r="B23149" t="str">
        <f>HYPERLINK("https://lindat.mff.cuni.cz/services/teitok/pdtc10/index.php?action=vallex&amp;frame=v-w2951f1", "odvětit (v-w2951f1)")</f>
        <v>odvětit (v-w2951f1)</v>
      </c>
    </row>
    <row r="23150" spans="1:4" x14ac:dyDescent="0.2">
      <c r="B23150" t="s">
        <v>1</v>
      </c>
      <c r="C23150" t="s">
        <v>4807</v>
      </c>
      <c r="D23150" t="s">
        <v>23661</v>
      </c>
    </row>
    <row r="23151" spans="1:4" x14ac:dyDescent="0.2">
      <c r="B23151" t="s">
        <v>35</v>
      </c>
      <c r="C23151" t="s">
        <v>2810</v>
      </c>
      <c r="D23151" t="s">
        <v>23662</v>
      </c>
    </row>
    <row r="23152" spans="1:4" x14ac:dyDescent="0.2">
      <c r="B23152" t="s">
        <v>7108</v>
      </c>
      <c r="C23152" t="s">
        <v>7650</v>
      </c>
      <c r="D23152" t="s">
        <v>23663</v>
      </c>
    </row>
    <row r="23153" spans="1:4" x14ac:dyDescent="0.2">
      <c r="B23153" t="s">
        <v>46</v>
      </c>
      <c r="C23153" t="s">
        <v>5851</v>
      </c>
      <c r="D23153" t="s">
        <v>23664</v>
      </c>
    </row>
    <row r="23155" spans="1:4" x14ac:dyDescent="0.2">
      <c r="A23155" t="s">
        <v>7651</v>
      </c>
      <c r="B23155" t="str">
        <f>HYPERLINK("https://lindat.mff.cuni.cz/services/teitok/pdtc10/index.php?action=vallex&amp;frame=v-w2981f1", "odzbrojit (v-w2981f1)")</f>
        <v>odzbrojit (v-w2981f1)</v>
      </c>
    </row>
    <row r="23156" spans="1:4" x14ac:dyDescent="0.2">
      <c r="B23156" t="s">
        <v>1</v>
      </c>
    </row>
    <row r="23157" spans="1:4" x14ac:dyDescent="0.2">
      <c r="B23157" t="s">
        <v>8</v>
      </c>
      <c r="C23157" t="s">
        <v>991</v>
      </c>
      <c r="D23157" t="s">
        <v>991</v>
      </c>
    </row>
    <row r="23159" spans="1:4" x14ac:dyDescent="0.2">
      <c r="A23159" t="s">
        <v>7652</v>
      </c>
      <c r="B23159" t="str">
        <f>HYPERLINK("https://lindat.mff.cuni.cz/services/teitok/pdtc10/index.php?action=vallex&amp;frame=v-w2981hsa_608", "odzbrojit (v-w2981hsa_608)")</f>
        <v>odzbrojit (v-w2981hsa_608)</v>
      </c>
    </row>
    <row r="23160" spans="1:4" x14ac:dyDescent="0.2">
      <c r="B23160" t="s">
        <v>1</v>
      </c>
      <c r="D23160" t="s">
        <v>2172</v>
      </c>
    </row>
    <row r="23162" spans="1:4" x14ac:dyDescent="0.2">
      <c r="A23162" t="s">
        <v>7653</v>
      </c>
      <c r="B23162" t="str">
        <f>HYPERLINK("https://lindat.mff.cuni.cz/services/teitok/pdtc10/index.php?action=vallex&amp;frame=v-w2983f1", "odzbrojovat (v-w2983f1)")</f>
        <v>odzbrojovat (v-w2983f1)</v>
      </c>
    </row>
    <row r="23163" spans="1:4" x14ac:dyDescent="0.2">
      <c r="B23163" t="s">
        <v>1</v>
      </c>
    </row>
    <row r="23164" spans="1:4" x14ac:dyDescent="0.2">
      <c r="B23164" t="s">
        <v>8</v>
      </c>
      <c r="D23164" t="s">
        <v>991</v>
      </c>
    </row>
    <row r="23166" spans="1:4" x14ac:dyDescent="0.2">
      <c r="A23166" t="s">
        <v>7654</v>
      </c>
      <c r="B23166" t="str">
        <f>HYPERLINK("https://lindat.mff.cuni.cz/services/teitok/pdtc10/index.php?action=vallex&amp;frame=v-w11538_ZUf1_ZU", "odzvonit (v-w11538_ZUf1_ZU)")</f>
        <v>odzvonit (v-w11538_ZUf1_ZU)</v>
      </c>
    </row>
    <row r="23167" spans="1:4" x14ac:dyDescent="0.2">
      <c r="B23167" t="s">
        <v>455</v>
      </c>
      <c r="C23167" t="s">
        <v>4011</v>
      </c>
    </row>
    <row r="23169" spans="1:3" x14ac:dyDescent="0.2">
      <c r="A23169" t="s">
        <v>7655</v>
      </c>
      <c r="B23169" t="str">
        <f>HYPERLINK("https://lindat.mff.cuni.cz/services/teitok/pdtc10/index.php?action=vallex&amp;frame=v-w11538_ZUhsa_490", "odzvonit (v-w11538_ZUhsa_490)")</f>
        <v>odzvonit (v-w11538_ZUhsa_490)</v>
      </c>
    </row>
    <row r="23170" spans="1:3" x14ac:dyDescent="0.2">
      <c r="B23170" t="s">
        <v>1</v>
      </c>
      <c r="C23170" t="s">
        <v>186</v>
      </c>
    </row>
    <row r="23171" spans="1:3" x14ac:dyDescent="0.2">
      <c r="B23171" t="s">
        <v>8</v>
      </c>
    </row>
    <row r="23173" spans="1:3" x14ac:dyDescent="0.2">
      <c r="A23173" t="s">
        <v>7656</v>
      </c>
      <c r="B23173" t="str">
        <f>HYPERLINK("https://lindat.mff.cuni.cz/services/teitok/pdtc10/index.php?action=vallex&amp;frame=v-w2726f1", "odírat (v-w2726f1)")</f>
        <v>odírat (v-w2726f1)</v>
      </c>
    </row>
    <row r="23174" spans="1:3" x14ac:dyDescent="0.2">
      <c r="B23174" t="s">
        <v>1</v>
      </c>
    </row>
    <row r="23175" spans="1:3" x14ac:dyDescent="0.2">
      <c r="B23175" t="s">
        <v>58</v>
      </c>
    </row>
    <row r="23176" spans="1:3" x14ac:dyDescent="0.2">
      <c r="B23176" t="s">
        <v>2287</v>
      </c>
    </row>
    <row r="23178" spans="1:3" x14ac:dyDescent="0.2">
      <c r="A23178" t="s">
        <v>7657</v>
      </c>
      <c r="B23178" t="str">
        <f>HYPERLINK("https://lindat.mff.cuni.cz/services/teitok/pdtc10/index.php?action=vallex&amp;frame=v-w2727f1", "odít (v-w2727f1)")</f>
        <v>odít (v-w2727f1)</v>
      </c>
    </row>
    <row r="23179" spans="1:3" x14ac:dyDescent="0.2">
      <c r="B23179" t="s">
        <v>1</v>
      </c>
    </row>
    <row r="23180" spans="1:3" x14ac:dyDescent="0.2">
      <c r="B23180" t="s">
        <v>8</v>
      </c>
    </row>
    <row r="23182" spans="1:3" x14ac:dyDescent="0.2">
      <c r="A23182" t="s">
        <v>7658</v>
      </c>
      <c r="B23182" t="str">
        <f>HYPERLINK("https://lindat.mff.cuni.cz/services/teitok/pdtc10/index.php?action=vallex&amp;frame=v-w2641f1", "odčarovat (v-w2641f1)")</f>
        <v>odčarovat (v-w2641f1)</v>
      </c>
    </row>
    <row r="23183" spans="1:3" x14ac:dyDescent="0.2">
      <c r="B23183" t="s">
        <v>1</v>
      </c>
    </row>
    <row r="23184" spans="1:3" x14ac:dyDescent="0.2">
      <c r="B23184" t="s">
        <v>8</v>
      </c>
    </row>
    <row r="23185" spans="1:4" x14ac:dyDescent="0.2">
      <c r="B23185" t="s">
        <v>333</v>
      </c>
    </row>
    <row r="23187" spans="1:4" x14ac:dyDescent="0.2">
      <c r="A23187" t="s">
        <v>7659</v>
      </c>
      <c r="B23187" t="str">
        <f>HYPERLINK("https://lindat.mff.cuni.cz/services/teitok/pdtc10/index.php?action=vallex&amp;frame=v-w2642f2", "odčerpat (v-w2642f2)")</f>
        <v>odčerpat (v-w2642f2)</v>
      </c>
    </row>
    <row r="23188" spans="1:4" x14ac:dyDescent="0.2">
      <c r="B23188" t="s">
        <v>1</v>
      </c>
      <c r="C23188" t="s">
        <v>33</v>
      </c>
      <c r="D23188" t="s">
        <v>140</v>
      </c>
    </row>
    <row r="23189" spans="1:4" x14ac:dyDescent="0.2">
      <c r="B23189" t="s">
        <v>8</v>
      </c>
      <c r="C23189" t="s">
        <v>34</v>
      </c>
      <c r="D23189" t="s">
        <v>20757</v>
      </c>
    </row>
    <row r="23190" spans="1:4" x14ac:dyDescent="0.2">
      <c r="B23190" t="s">
        <v>35</v>
      </c>
    </row>
    <row r="23192" spans="1:4" x14ac:dyDescent="0.2">
      <c r="A23192" t="s">
        <v>7660</v>
      </c>
      <c r="B23192" t="str">
        <f>HYPERLINK("https://lindat.mff.cuni.cz/services/teitok/pdtc10/index.php?action=vallex&amp;frame=v-w2642f1", "odčerpat (v-w2642f1)")</f>
        <v>odčerpat (v-w2642f1)</v>
      </c>
    </row>
    <row r="23193" spans="1:4" x14ac:dyDescent="0.2">
      <c r="B23193" t="s">
        <v>1</v>
      </c>
    </row>
    <row r="23194" spans="1:4" x14ac:dyDescent="0.2">
      <c r="B23194" t="s">
        <v>8</v>
      </c>
    </row>
    <row r="23195" spans="1:4" x14ac:dyDescent="0.2">
      <c r="B23195" t="s">
        <v>333</v>
      </c>
    </row>
    <row r="23197" spans="1:4" x14ac:dyDescent="0.2">
      <c r="A23197" t="s">
        <v>7661</v>
      </c>
      <c r="B23197" t="str">
        <f>HYPERLINK("https://lindat.mff.cuni.cz/services/teitok/pdtc10/index.php?action=vallex&amp;frame=v-w2642f3", "odčerpat (v-w2642f3)")</f>
        <v>odčerpat (v-w2642f3)</v>
      </c>
    </row>
    <row r="23198" spans="1:4" x14ac:dyDescent="0.2">
      <c r="B23198" t="s">
        <v>1</v>
      </c>
      <c r="C23198" t="s">
        <v>2303</v>
      </c>
    </row>
    <row r="23199" spans="1:4" x14ac:dyDescent="0.2">
      <c r="B23199" t="s">
        <v>8</v>
      </c>
      <c r="C23199" t="s">
        <v>3773</v>
      </c>
    </row>
    <row r="23200" spans="1:4" x14ac:dyDescent="0.2">
      <c r="B23200" t="s">
        <v>333</v>
      </c>
      <c r="C23200" t="s">
        <v>7662</v>
      </c>
    </row>
    <row r="23202" spans="1:4" x14ac:dyDescent="0.2">
      <c r="A23202" t="s">
        <v>7663</v>
      </c>
      <c r="B23202" t="str">
        <f>HYPERLINK("https://lindat.mff.cuni.cz/services/teitok/pdtc10/index.php?action=vallex&amp;frame=v-w2645f1", "odčerpávat (v-w2645f1)")</f>
        <v>odčerpávat (v-w2645f1)</v>
      </c>
    </row>
    <row r="23203" spans="1:4" x14ac:dyDescent="0.2">
      <c r="B23203" t="s">
        <v>1</v>
      </c>
      <c r="C23203" t="s">
        <v>133</v>
      </c>
      <c r="D23203" t="s">
        <v>140</v>
      </c>
    </row>
    <row r="23204" spans="1:4" x14ac:dyDescent="0.2">
      <c r="B23204" t="s">
        <v>8</v>
      </c>
      <c r="C23204" t="s">
        <v>7664</v>
      </c>
      <c r="D23204" t="s">
        <v>20757</v>
      </c>
    </row>
    <row r="23205" spans="1:4" x14ac:dyDescent="0.2">
      <c r="B23205" t="s">
        <v>35</v>
      </c>
    </row>
    <row r="23207" spans="1:4" x14ac:dyDescent="0.2">
      <c r="A23207" t="s">
        <v>7665</v>
      </c>
      <c r="B23207" t="str">
        <f>HYPERLINK("https://lindat.mff.cuni.cz/services/teitok/pdtc10/index.php?action=vallex&amp;frame=v-w2645f2", "odčerpávat (v-w2645f2)")</f>
        <v>odčerpávat (v-w2645f2)</v>
      </c>
    </row>
    <row r="23208" spans="1:4" x14ac:dyDescent="0.2">
      <c r="B23208" t="s">
        <v>1</v>
      </c>
      <c r="C23208" t="s">
        <v>249</v>
      </c>
    </row>
    <row r="23209" spans="1:4" x14ac:dyDescent="0.2">
      <c r="B23209" t="s">
        <v>8</v>
      </c>
    </row>
    <row r="23210" spans="1:4" x14ac:dyDescent="0.2">
      <c r="B23210" t="s">
        <v>333</v>
      </c>
      <c r="C23210" t="s">
        <v>7666</v>
      </c>
    </row>
    <row r="23212" spans="1:4" x14ac:dyDescent="0.2">
      <c r="A23212" t="s">
        <v>7667</v>
      </c>
      <c r="B23212" t="str">
        <f>HYPERLINK("https://lindat.mff.cuni.cz/services/teitok/pdtc10/index.php?action=vallex&amp;frame=v-w2647f1", "odčinit (v-w2647f1)")</f>
        <v>odčinit (v-w2647f1)</v>
      </c>
    </row>
    <row r="23213" spans="1:4" x14ac:dyDescent="0.2">
      <c r="B23213" t="s">
        <v>1</v>
      </c>
      <c r="C23213" t="s">
        <v>22</v>
      </c>
    </row>
    <row r="23214" spans="1:4" x14ac:dyDescent="0.2">
      <c r="B23214" t="s">
        <v>8</v>
      </c>
      <c r="C23214" t="s">
        <v>116</v>
      </c>
    </row>
    <row r="23216" spans="1:4" x14ac:dyDescent="0.2">
      <c r="A23216" t="s">
        <v>7668</v>
      </c>
      <c r="B23216" t="str">
        <f>HYPERLINK("https://lindat.mff.cuni.cz/services/teitok/pdtc10/index.php?action=vallex&amp;frame=v-whsa_758hsa_759", "odčítat (v-whsa_758hsa_759)")</f>
        <v>odčítat (v-whsa_758hsa_759)</v>
      </c>
    </row>
    <row r="23217" spans="1:4" x14ac:dyDescent="0.2">
      <c r="B23217" t="s">
        <v>1</v>
      </c>
      <c r="C23217" t="s">
        <v>33</v>
      </c>
      <c r="D23217" t="s">
        <v>4281</v>
      </c>
    </row>
    <row r="23218" spans="1:4" x14ac:dyDescent="0.2">
      <c r="B23218" t="s">
        <v>8</v>
      </c>
      <c r="C23218" t="s">
        <v>23</v>
      </c>
      <c r="D23218" t="s">
        <v>354</v>
      </c>
    </row>
    <row r="23220" spans="1:4" x14ac:dyDescent="0.2">
      <c r="A23220" t="s">
        <v>7669</v>
      </c>
      <c r="B23220" t="str">
        <f>HYPERLINK("https://lindat.mff.cuni.cz/services/teitok/pdtc10/index.php?action=vallex&amp;frame=v-w11688_ZUf1_ZU", "odčítávat (v-w11688_ZUf1_ZU)")</f>
        <v>odčítávat (v-w11688_ZUf1_ZU)</v>
      </c>
    </row>
    <row r="23221" spans="1:4" x14ac:dyDescent="0.2">
      <c r="B23221" t="s">
        <v>1</v>
      </c>
    </row>
    <row r="23222" spans="1:4" x14ac:dyDescent="0.2">
      <c r="B23222" t="s">
        <v>8</v>
      </c>
    </row>
    <row r="23223" spans="1:4" x14ac:dyDescent="0.2">
      <c r="B23223" t="s">
        <v>4622</v>
      </c>
    </row>
    <row r="23225" spans="1:4" x14ac:dyDescent="0.2">
      <c r="A23225" t="s">
        <v>7670</v>
      </c>
      <c r="B23225" t="str">
        <f>HYPERLINK("https://lindat.mff.cuni.cz/services/teitok/pdtc10/index.php?action=vallex&amp;frame=v-w2865f2", "odřeknout (v-w2865f2)")</f>
        <v>odřeknout (v-w2865f2)</v>
      </c>
    </row>
    <row r="23226" spans="1:4" x14ac:dyDescent="0.2">
      <c r="B23226" t="s">
        <v>1</v>
      </c>
    </row>
    <row r="23227" spans="1:4" x14ac:dyDescent="0.2">
      <c r="B23227" t="s">
        <v>7115</v>
      </c>
    </row>
    <row r="23228" spans="1:4" x14ac:dyDescent="0.2">
      <c r="B23228" t="s">
        <v>35</v>
      </c>
    </row>
    <row r="23230" spans="1:4" x14ac:dyDescent="0.2">
      <c r="A23230" t="s">
        <v>7671</v>
      </c>
      <c r="B23230" t="str">
        <f>HYPERLINK("https://lindat.mff.cuni.cz/services/teitok/pdtc10/index.php?action=vallex&amp;frame=v-w2865f1", "odřeknout (v-w2865f1)")</f>
        <v>odřeknout (v-w2865f1)</v>
      </c>
    </row>
    <row r="23231" spans="1:4" x14ac:dyDescent="0.2">
      <c r="B23231" t="s">
        <v>1</v>
      </c>
    </row>
    <row r="23232" spans="1:4" x14ac:dyDescent="0.2">
      <c r="B23232" t="s">
        <v>8</v>
      </c>
    </row>
    <row r="23234" spans="1:4" x14ac:dyDescent="0.2">
      <c r="A23234" t="s">
        <v>7672</v>
      </c>
      <c r="B23234" t="str">
        <f>HYPERLINK("https://lindat.mff.cuni.cz/services/teitok/pdtc10/index.php?action=vallex&amp;frame=v-w2866f1", "odřezávat (v-w2866f1)")</f>
        <v>odřezávat (v-w2866f1)</v>
      </c>
    </row>
    <row r="23235" spans="1:4" x14ac:dyDescent="0.2">
      <c r="B23235" t="s">
        <v>1</v>
      </c>
    </row>
    <row r="23236" spans="1:4" x14ac:dyDescent="0.2">
      <c r="B23236" t="s">
        <v>8</v>
      </c>
    </row>
    <row r="23237" spans="1:4" x14ac:dyDescent="0.2">
      <c r="B23237" t="s">
        <v>1334</v>
      </c>
    </row>
    <row r="23239" spans="1:4" x14ac:dyDescent="0.2">
      <c r="A23239" t="s">
        <v>7673</v>
      </c>
      <c r="B23239" t="str">
        <f>HYPERLINK("https://lindat.mff.cuni.cz/services/teitok/pdtc10/index.php?action=vallex&amp;frame=v-w2866f2", "odřezávat (v-w2866f2)")</f>
        <v>odřezávat (v-w2866f2)</v>
      </c>
    </row>
    <row r="23240" spans="1:4" x14ac:dyDescent="0.2">
      <c r="B23240" t="s">
        <v>1</v>
      </c>
      <c r="D23240" t="s">
        <v>373</v>
      </c>
    </row>
    <row r="23241" spans="1:4" x14ac:dyDescent="0.2">
      <c r="B23241" t="s">
        <v>8</v>
      </c>
      <c r="D23241" t="s">
        <v>3773</v>
      </c>
    </row>
    <row r="23242" spans="1:4" x14ac:dyDescent="0.2">
      <c r="B23242" t="s">
        <v>333</v>
      </c>
      <c r="D23242" t="s">
        <v>7538</v>
      </c>
    </row>
    <row r="23244" spans="1:4" x14ac:dyDescent="0.2">
      <c r="A23244" t="s">
        <v>7674</v>
      </c>
      <c r="B23244" t="str">
        <f>HYPERLINK("https://lindat.mff.cuni.cz/services/teitok/pdtc10/index.php?action=vallex&amp;frame=v-w12189_ZUf1_ZU", "odříci (v-w12189_ZUf1_ZU)")</f>
        <v>odříci (v-w12189_ZUf1_ZU)</v>
      </c>
    </row>
    <row r="23245" spans="1:4" x14ac:dyDescent="0.2">
      <c r="B23245" t="s">
        <v>1</v>
      </c>
    </row>
    <row r="23246" spans="1:4" x14ac:dyDescent="0.2">
      <c r="B23246" t="s">
        <v>8</v>
      </c>
    </row>
    <row r="23248" spans="1:4" x14ac:dyDescent="0.2">
      <c r="A23248" t="s">
        <v>7675</v>
      </c>
      <c r="B23248" t="str">
        <f>HYPERLINK("https://lindat.mff.cuni.cz/services/teitok/pdtc10/index.php?action=vallex&amp;frame=v-w2867f1", "odříci si (v-w2867f1)")</f>
        <v>odříci si (v-w2867f1)</v>
      </c>
    </row>
    <row r="23249" spans="1:4" x14ac:dyDescent="0.2">
      <c r="B23249" t="s">
        <v>1</v>
      </c>
    </row>
    <row r="23250" spans="1:4" x14ac:dyDescent="0.2">
      <c r="B23250" t="s">
        <v>968</v>
      </c>
    </row>
    <row r="23252" spans="1:4" x14ac:dyDescent="0.2">
      <c r="A23252" t="s">
        <v>7676</v>
      </c>
      <c r="B23252" t="str">
        <f>HYPERLINK("https://lindat.mff.cuni.cz/services/teitok/pdtc10/index.php?action=vallex&amp;frame=v-w11812_ZUf1_ZU", "odříkat (v-w11812_ZUf1_ZU)")</f>
        <v>odříkat (v-w11812_ZUf1_ZU)</v>
      </c>
    </row>
    <row r="23253" spans="1:4" x14ac:dyDescent="0.2">
      <c r="B23253" t="s">
        <v>1</v>
      </c>
    </row>
    <row r="23254" spans="1:4" x14ac:dyDescent="0.2">
      <c r="B23254" t="s">
        <v>8</v>
      </c>
    </row>
    <row r="23256" spans="1:4" x14ac:dyDescent="0.2">
      <c r="A23256" t="s">
        <v>7677</v>
      </c>
      <c r="B23256" t="str">
        <f>HYPERLINK("https://lindat.mff.cuni.cz/services/teitok/pdtc10/index.php?action=vallex&amp;frame=v-w2869f1", "odříkat se (v-w2869f1)")</f>
        <v>odříkat se (v-w2869f1)</v>
      </c>
    </row>
    <row r="23257" spans="1:4" x14ac:dyDescent="0.2">
      <c r="B23257" t="s">
        <v>1</v>
      </c>
    </row>
    <row r="23258" spans="1:4" x14ac:dyDescent="0.2">
      <c r="B23258" t="s">
        <v>917</v>
      </c>
    </row>
    <row r="23260" spans="1:4" x14ac:dyDescent="0.2">
      <c r="A23260" t="s">
        <v>7678</v>
      </c>
      <c r="B23260" t="str">
        <f>HYPERLINK("https://lindat.mff.cuni.cz/services/teitok/pdtc10/index.php?action=vallex&amp;frame=v-w2870f1", "odříkávat (v-w2870f1)")</f>
        <v>odříkávat (v-w2870f1)</v>
      </c>
    </row>
    <row r="23261" spans="1:4" x14ac:dyDescent="0.2">
      <c r="B23261" t="s">
        <v>1</v>
      </c>
      <c r="C23261" t="s">
        <v>140</v>
      </c>
      <c r="D23261" t="s">
        <v>23693</v>
      </c>
    </row>
    <row r="23262" spans="1:4" x14ac:dyDescent="0.2">
      <c r="B23262" t="s">
        <v>8</v>
      </c>
      <c r="C23262" t="s">
        <v>23</v>
      </c>
      <c r="D23262" t="s">
        <v>23694</v>
      </c>
    </row>
    <row r="23264" spans="1:4" x14ac:dyDescent="0.2">
      <c r="A23264" t="s">
        <v>7679</v>
      </c>
      <c r="B23264" t="str">
        <f>HYPERLINK("https://lindat.mff.cuni.cz/services/teitok/pdtc10/index.php?action=vallex&amp;frame=v-w12394_MMf1_MM", "odřít (v-w12394_MMf1_MM)")</f>
        <v>odřít (v-w12394_MMf1_MM)</v>
      </c>
    </row>
    <row r="23265" spans="1:4" x14ac:dyDescent="0.2">
      <c r="B23265" t="s">
        <v>1</v>
      </c>
    </row>
    <row r="23266" spans="1:4" x14ac:dyDescent="0.2">
      <c r="B23266" t="s">
        <v>8</v>
      </c>
    </row>
    <row r="23268" spans="1:4" x14ac:dyDescent="0.2">
      <c r="A23268" t="s">
        <v>7680</v>
      </c>
      <c r="B23268" t="str">
        <f>HYPERLINK("https://lindat.mff.cuni.cz/services/teitok/pdtc10/index.php?action=vallex&amp;frame=v-w2871f1", "odříznout (v-w2871f1)")</f>
        <v>odříznout (v-w2871f1)</v>
      </c>
    </row>
    <row r="23269" spans="1:4" x14ac:dyDescent="0.2">
      <c r="B23269" t="s">
        <v>1</v>
      </c>
      <c r="C23269" t="s">
        <v>249</v>
      </c>
      <c r="D23269" t="s">
        <v>1480</v>
      </c>
    </row>
    <row r="23270" spans="1:4" x14ac:dyDescent="0.2">
      <c r="B23270" t="s">
        <v>8</v>
      </c>
      <c r="C23270" t="s">
        <v>354</v>
      </c>
      <c r="D23270" t="s">
        <v>23369</v>
      </c>
    </row>
    <row r="23271" spans="1:4" x14ac:dyDescent="0.2">
      <c r="B23271" t="s">
        <v>1334</v>
      </c>
      <c r="D23271" t="s">
        <v>2079</v>
      </c>
    </row>
    <row r="23273" spans="1:4" x14ac:dyDescent="0.2">
      <c r="A23273" t="s">
        <v>7681</v>
      </c>
      <c r="B23273" t="str">
        <f>HYPERLINK("https://lindat.mff.cuni.cz/services/teitok/pdtc10/index.php?action=vallex&amp;frame=v-w2871f2", "odříznout (v-w2871f2)")</f>
        <v>odříznout (v-w2871f2)</v>
      </c>
    </row>
    <row r="23274" spans="1:4" x14ac:dyDescent="0.2">
      <c r="B23274" t="s">
        <v>1</v>
      </c>
      <c r="D23274" t="s">
        <v>373</v>
      </c>
    </row>
    <row r="23275" spans="1:4" x14ac:dyDescent="0.2">
      <c r="B23275" t="s">
        <v>8</v>
      </c>
      <c r="D23275" t="s">
        <v>3773</v>
      </c>
    </row>
    <row r="23276" spans="1:4" x14ac:dyDescent="0.2">
      <c r="B23276" t="s">
        <v>333</v>
      </c>
      <c r="D23276" t="s">
        <v>7538</v>
      </c>
    </row>
    <row r="23278" spans="1:4" x14ac:dyDescent="0.2">
      <c r="A23278" t="s">
        <v>7682</v>
      </c>
      <c r="B23278" t="str">
        <f>HYPERLINK("https://lindat.mff.cuni.cz/services/teitok/pdtc10/index.php?action=vallex&amp;frame=v-w2871f3_ZU", "odříznout (v-w2871f3_ZU)")</f>
        <v>odříznout (v-w2871f3_ZU)</v>
      </c>
    </row>
    <row r="23279" spans="1:4" x14ac:dyDescent="0.2">
      <c r="B23279" t="s">
        <v>1</v>
      </c>
    </row>
    <row r="23280" spans="1:4" x14ac:dyDescent="0.2">
      <c r="B23280" t="s">
        <v>8</v>
      </c>
    </row>
    <row r="23281" spans="1:3" x14ac:dyDescent="0.2">
      <c r="B23281" t="s">
        <v>35</v>
      </c>
    </row>
    <row r="23283" spans="1:3" x14ac:dyDescent="0.2">
      <c r="A23283" t="s">
        <v>7683</v>
      </c>
      <c r="B23283" t="str">
        <f>HYPERLINK("https://lindat.mff.cuni.cz/services/teitok/pdtc10/index.php?action=vallex&amp;frame=v-w2922f1", "odškodnit (v-w2922f1)")</f>
        <v>odškodnit (v-w2922f1)</v>
      </c>
    </row>
    <row r="23284" spans="1:3" x14ac:dyDescent="0.2">
      <c r="B23284" t="s">
        <v>1</v>
      </c>
      <c r="C23284" t="s">
        <v>22</v>
      </c>
    </row>
    <row r="23285" spans="1:3" x14ac:dyDescent="0.2">
      <c r="B23285" t="s">
        <v>8</v>
      </c>
      <c r="C23285" t="s">
        <v>6677</v>
      </c>
    </row>
    <row r="23287" spans="1:3" x14ac:dyDescent="0.2">
      <c r="A23287" t="s">
        <v>7684</v>
      </c>
      <c r="B23287" t="str">
        <f>HYPERLINK("https://lindat.mff.cuni.cz/services/teitok/pdtc10/index.php?action=vallex&amp;frame=v-w11146f2", "odškodňovat (v-w11146f2)")</f>
        <v>odškodňovat (v-w11146f2)</v>
      </c>
    </row>
    <row r="23288" spans="1:3" x14ac:dyDescent="0.2">
      <c r="B23288" t="s">
        <v>1</v>
      </c>
      <c r="C23288" t="s">
        <v>2239</v>
      </c>
    </row>
    <row r="23289" spans="1:3" x14ac:dyDescent="0.2">
      <c r="B23289" t="s">
        <v>8</v>
      </c>
      <c r="C23289" t="s">
        <v>7685</v>
      </c>
    </row>
    <row r="23291" spans="1:3" x14ac:dyDescent="0.2">
      <c r="A23291" t="s">
        <v>7686</v>
      </c>
      <c r="B23291" t="str">
        <f>HYPERLINK("https://lindat.mff.cuni.cz/services/teitok/pdtc10/index.php?action=vallex&amp;frame=v-w10926f2", "odškrtávat (v-w10926f2)")</f>
        <v>odškrtávat (v-w10926f2)</v>
      </c>
    </row>
    <row r="23292" spans="1:3" x14ac:dyDescent="0.2">
      <c r="B23292" t="s">
        <v>1</v>
      </c>
    </row>
    <row r="23293" spans="1:3" x14ac:dyDescent="0.2">
      <c r="B23293" t="s">
        <v>8</v>
      </c>
    </row>
    <row r="23295" spans="1:3" x14ac:dyDescent="0.2">
      <c r="A23295" t="s">
        <v>7687</v>
      </c>
      <c r="B23295" t="str">
        <f>HYPERLINK("https://lindat.mff.cuni.cz/services/teitok/pdtc10/index.php?action=vallex&amp;frame=v-w11836_ZUf1_ZU", "odšroubovat (v-w11836_ZUf1_ZU)")</f>
        <v>odšroubovat (v-w11836_ZUf1_ZU)</v>
      </c>
    </row>
    <row r="23296" spans="1:3" x14ac:dyDescent="0.2">
      <c r="B23296" t="s">
        <v>1</v>
      </c>
    </row>
    <row r="23297" spans="1:4" x14ac:dyDescent="0.2">
      <c r="B23297" t="s">
        <v>8</v>
      </c>
    </row>
    <row r="23298" spans="1:4" x14ac:dyDescent="0.2">
      <c r="B23298" t="s">
        <v>4622</v>
      </c>
    </row>
    <row r="23300" spans="1:4" x14ac:dyDescent="0.2">
      <c r="A23300" t="s">
        <v>7688</v>
      </c>
      <c r="B23300" t="str">
        <f>HYPERLINK("https://lindat.mff.cuni.cz/services/teitok/pdtc10/index.php?action=vallex&amp;frame=v-whsa_291hsa_292", "odštípnout (v-whsa_291hsa_292)")</f>
        <v>odštípnout (v-whsa_291hsa_292)</v>
      </c>
    </row>
    <row r="23301" spans="1:4" x14ac:dyDescent="0.2">
      <c r="B23301" t="s">
        <v>1</v>
      </c>
      <c r="C23301" t="s">
        <v>140</v>
      </c>
      <c r="D23301" t="s">
        <v>6459</v>
      </c>
    </row>
    <row r="23302" spans="1:4" x14ac:dyDescent="0.2">
      <c r="B23302" t="s">
        <v>8</v>
      </c>
      <c r="C23302" t="s">
        <v>113</v>
      </c>
      <c r="D23302" t="s">
        <v>1225</v>
      </c>
    </row>
    <row r="23303" spans="1:4" x14ac:dyDescent="0.2">
      <c r="B23303" t="s">
        <v>333</v>
      </c>
      <c r="D23303" t="s">
        <v>23695</v>
      </c>
    </row>
    <row r="23305" spans="1:4" x14ac:dyDescent="0.2">
      <c r="A23305" t="s">
        <v>7689</v>
      </c>
      <c r="B23305" t="str">
        <f>HYPERLINK("https://lindat.mff.cuni.cz/services/teitok/pdtc10/index.php?action=vallex&amp;frame=v-w2924f1", "odštěpit se (v-w2924f1)")</f>
        <v>odštěpit se (v-w2924f1)</v>
      </c>
    </row>
    <row r="23306" spans="1:4" x14ac:dyDescent="0.2">
      <c r="B23306" t="s">
        <v>1</v>
      </c>
      <c r="D23306" t="s">
        <v>23696</v>
      </c>
    </row>
    <row r="23307" spans="1:4" x14ac:dyDescent="0.2">
      <c r="B23307" t="s">
        <v>247</v>
      </c>
      <c r="D23307" t="s">
        <v>4060</v>
      </c>
    </row>
    <row r="23309" spans="1:4" x14ac:dyDescent="0.2">
      <c r="A23309" t="s">
        <v>7690</v>
      </c>
      <c r="B23309" t="str">
        <f>HYPERLINK("https://lindat.mff.cuni.cz/services/teitok/pdtc10/index.php?action=vallex&amp;frame=v-w2934f1", "odůvodnit (v-w2934f1)")</f>
        <v>odůvodnit (v-w2934f1)</v>
      </c>
    </row>
    <row r="23310" spans="1:4" x14ac:dyDescent="0.2">
      <c r="B23310" t="s">
        <v>1</v>
      </c>
      <c r="C23310" t="s">
        <v>3358</v>
      </c>
    </row>
    <row r="23311" spans="1:4" x14ac:dyDescent="0.2">
      <c r="B23311" t="s">
        <v>124</v>
      </c>
      <c r="C23311" t="s">
        <v>6776</v>
      </c>
    </row>
    <row r="23313" spans="1:4" x14ac:dyDescent="0.2">
      <c r="A23313" t="s">
        <v>7691</v>
      </c>
      <c r="B23313" t="str">
        <f>HYPERLINK("https://lindat.mff.cuni.cz/services/teitok/pdtc10/index.php?action=vallex&amp;frame=v-w2935f1", "odůvodňovat (v-w2935f1)")</f>
        <v>odůvodňovat (v-w2935f1)</v>
      </c>
    </row>
    <row r="23314" spans="1:4" x14ac:dyDescent="0.2">
      <c r="B23314" t="s">
        <v>1</v>
      </c>
      <c r="C23314" t="s">
        <v>109</v>
      </c>
      <c r="D23314" t="s">
        <v>16286</v>
      </c>
    </row>
    <row r="23315" spans="1:4" x14ac:dyDescent="0.2">
      <c r="B23315" t="s">
        <v>124</v>
      </c>
      <c r="C23315" t="s">
        <v>5674</v>
      </c>
      <c r="D23315" t="s">
        <v>1604</v>
      </c>
    </row>
    <row r="23317" spans="1:4" x14ac:dyDescent="0.2">
      <c r="A23317" t="s">
        <v>7692</v>
      </c>
      <c r="B23317" t="str">
        <f>HYPERLINK("https://lindat.mff.cuni.cz/services/teitok/pdtc10/index.php?action=vallex&amp;frame=v-w10544f2", "ofotit (v-w10544f2)")</f>
        <v>ofotit (v-w10544f2)</v>
      </c>
    </row>
    <row r="23318" spans="1:4" x14ac:dyDescent="0.2">
      <c r="B23318" t="s">
        <v>1</v>
      </c>
      <c r="D23318" t="s">
        <v>83</v>
      </c>
    </row>
    <row r="23319" spans="1:4" x14ac:dyDescent="0.2">
      <c r="B23319" t="s">
        <v>8</v>
      </c>
      <c r="C23319" t="s">
        <v>113</v>
      </c>
      <c r="D23319" t="s">
        <v>2240</v>
      </c>
    </row>
    <row r="23321" spans="1:4" x14ac:dyDescent="0.2">
      <c r="A23321" t="s">
        <v>7693</v>
      </c>
      <c r="B23321" t="str">
        <f>HYPERLINK("https://lindat.mff.cuni.cz/services/teitok/pdtc10/index.php?action=vallex&amp;frame=v-w12235_ZUf1_ZU", "ofotografovat (v-w12235_ZUf1_ZU)")</f>
        <v>ofotografovat (v-w12235_ZUf1_ZU)</v>
      </c>
    </row>
    <row r="23322" spans="1:4" x14ac:dyDescent="0.2">
      <c r="B23322" t="s">
        <v>1</v>
      </c>
    </row>
    <row r="23323" spans="1:4" x14ac:dyDescent="0.2">
      <c r="B23323" t="s">
        <v>8</v>
      </c>
    </row>
    <row r="23325" spans="1:4" x14ac:dyDescent="0.2">
      <c r="A23325" t="s">
        <v>7694</v>
      </c>
      <c r="B23325" t="str">
        <f>HYPERLINK("https://lindat.mff.cuni.cz/services/teitok/pdtc10/index.php?action=vallex&amp;frame=v-w11735_ZUf1_ZU", "ofouknout (v-w11735_ZUf1_ZU)")</f>
        <v>ofouknout (v-w11735_ZUf1_ZU)</v>
      </c>
    </row>
    <row r="23326" spans="1:4" x14ac:dyDescent="0.2">
      <c r="B23326" t="s">
        <v>1</v>
      </c>
    </row>
    <row r="23327" spans="1:4" x14ac:dyDescent="0.2">
      <c r="B23327" t="s">
        <v>8</v>
      </c>
    </row>
    <row r="23329" spans="1:4" x14ac:dyDescent="0.2">
      <c r="A23329" t="s">
        <v>7695</v>
      </c>
      <c r="B23329" t="str">
        <f>HYPERLINK("https://lindat.mff.cuni.cz/services/teitok/pdtc10/index.php?action=vallex&amp;frame=v-w11806_ZUf1_ZU", "ogrilovat (v-w11806_ZUf1_ZU)")</f>
        <v>ogrilovat (v-w11806_ZUf1_ZU)</v>
      </c>
    </row>
    <row r="23330" spans="1:4" x14ac:dyDescent="0.2">
      <c r="B23330" t="s">
        <v>1</v>
      </c>
    </row>
    <row r="23331" spans="1:4" x14ac:dyDescent="0.2">
      <c r="B23331" t="s">
        <v>8</v>
      </c>
    </row>
    <row r="23333" spans="1:4" x14ac:dyDescent="0.2">
      <c r="A23333" t="s">
        <v>7696</v>
      </c>
      <c r="B23333" t="str">
        <f>HYPERLINK("https://lindat.mff.cuni.cz/services/teitok/pdtc10/index.php?action=vallex&amp;frame=v-w2991f1", "ohlašovat (v-w2991f1)")</f>
        <v>ohlašovat (v-w2991f1)</v>
      </c>
    </row>
    <row r="23334" spans="1:4" x14ac:dyDescent="0.2">
      <c r="B23334" t="s">
        <v>1</v>
      </c>
      <c r="C23334" t="s">
        <v>7697</v>
      </c>
      <c r="D23334" t="s">
        <v>22967</v>
      </c>
    </row>
    <row r="23335" spans="1:4" x14ac:dyDescent="0.2">
      <c r="B23335" t="s">
        <v>120</v>
      </c>
      <c r="C23335" t="s">
        <v>7698</v>
      </c>
      <c r="D23335" t="s">
        <v>22968</v>
      </c>
    </row>
    <row r="23336" spans="1:4" x14ac:dyDescent="0.2">
      <c r="B23336" t="s">
        <v>35</v>
      </c>
      <c r="C23336" t="s">
        <v>7119</v>
      </c>
      <c r="D23336" t="s">
        <v>22969</v>
      </c>
    </row>
    <row r="23338" spans="1:4" x14ac:dyDescent="0.2">
      <c r="A23338" t="s">
        <v>7699</v>
      </c>
      <c r="B23338" t="str">
        <f>HYPERLINK("https://lindat.mff.cuni.cz/services/teitok/pdtc10/index.php?action=vallex&amp;frame=v-w2991f2", "ohlašovat (v-w2991f2)")</f>
        <v>ohlašovat (v-w2991f2)</v>
      </c>
    </row>
    <row r="23339" spans="1:4" x14ac:dyDescent="0.2">
      <c r="B23339" t="s">
        <v>1</v>
      </c>
    </row>
    <row r="23340" spans="1:4" x14ac:dyDescent="0.2">
      <c r="B23340" t="s">
        <v>120</v>
      </c>
    </row>
    <row r="23341" spans="1:4" x14ac:dyDescent="0.2">
      <c r="B23341" t="s">
        <v>90</v>
      </c>
    </row>
    <row r="23343" spans="1:4" x14ac:dyDescent="0.2">
      <c r="A23343" t="s">
        <v>7700</v>
      </c>
      <c r="B23343" t="str">
        <f>HYPERLINK("https://lindat.mff.cuni.cz/services/teitok/pdtc10/index.php?action=vallex&amp;frame=v-w2994f1", "ohledat (v-w2994f1)")</f>
        <v>ohledat (v-w2994f1)</v>
      </c>
    </row>
    <row r="23344" spans="1:4" x14ac:dyDescent="0.2">
      <c r="B23344" t="s">
        <v>1</v>
      </c>
    </row>
    <row r="23345" spans="1:4" x14ac:dyDescent="0.2">
      <c r="B23345" t="s">
        <v>8</v>
      </c>
    </row>
    <row r="23347" spans="1:4" x14ac:dyDescent="0.2">
      <c r="A23347" t="s">
        <v>7701</v>
      </c>
      <c r="B23347" t="str">
        <f>HYPERLINK("https://lindat.mff.cuni.cz/services/teitok/pdtc10/index.php?action=vallex&amp;frame=v-w10839f2", "ohlodat (v-w10839f2)")</f>
        <v>ohlodat (v-w10839f2)</v>
      </c>
    </row>
    <row r="23348" spans="1:4" x14ac:dyDescent="0.2">
      <c r="B23348" t="s">
        <v>1</v>
      </c>
    </row>
    <row r="23349" spans="1:4" x14ac:dyDescent="0.2">
      <c r="B23349" t="s">
        <v>8</v>
      </c>
    </row>
    <row r="23351" spans="1:4" x14ac:dyDescent="0.2">
      <c r="A23351" t="s">
        <v>7702</v>
      </c>
      <c r="B23351" t="str">
        <f>HYPERLINK("https://lindat.mff.cuni.cz/services/teitok/pdtc10/index.php?action=vallex&amp;frame=v-w3000f1", "ohluchnout (v-w3000f1)")</f>
        <v>ohluchnout (v-w3000f1)</v>
      </c>
    </row>
    <row r="23352" spans="1:4" x14ac:dyDescent="0.2">
      <c r="B23352" t="s">
        <v>1</v>
      </c>
    </row>
    <row r="23354" spans="1:4" x14ac:dyDescent="0.2">
      <c r="A23354" t="s">
        <v>7703</v>
      </c>
      <c r="B23354" t="str">
        <f>HYPERLINK("https://lindat.mff.cuni.cz/services/teitok/pdtc10/index.php?action=vallex&amp;frame=v-whsb_419hsa_420", "ohlušit (v-whsb_419hsa_420)")</f>
        <v>ohlušit (v-whsb_419hsa_420)</v>
      </c>
    </row>
    <row r="23355" spans="1:4" x14ac:dyDescent="0.2">
      <c r="B23355" t="s">
        <v>1</v>
      </c>
    </row>
    <row r="23356" spans="1:4" x14ac:dyDescent="0.2">
      <c r="B23356" t="s">
        <v>8</v>
      </c>
    </row>
    <row r="23358" spans="1:4" x14ac:dyDescent="0.2">
      <c r="A23358" t="s">
        <v>7704</v>
      </c>
      <c r="B23358" t="str">
        <f>HYPERLINK("https://lindat.mff.cuni.cz/services/teitok/pdtc10/index.php?action=vallex&amp;frame=v-w2988f1", "ohlásit (v-w2988f1)")</f>
        <v>ohlásit (v-w2988f1)</v>
      </c>
    </row>
    <row r="23359" spans="1:4" x14ac:dyDescent="0.2">
      <c r="B23359" t="s">
        <v>1</v>
      </c>
      <c r="C23359" t="s">
        <v>7705</v>
      </c>
      <c r="D23359" t="s">
        <v>22967</v>
      </c>
    </row>
    <row r="23360" spans="1:4" x14ac:dyDescent="0.2">
      <c r="B23360" t="s">
        <v>120</v>
      </c>
      <c r="C23360" t="s">
        <v>7706</v>
      </c>
      <c r="D23360" t="s">
        <v>22968</v>
      </c>
    </row>
    <row r="23361" spans="1:4" x14ac:dyDescent="0.2">
      <c r="B23361" t="s">
        <v>35</v>
      </c>
      <c r="C23361" t="s">
        <v>7707</v>
      </c>
      <c r="D23361" t="s">
        <v>22969</v>
      </c>
    </row>
    <row r="23363" spans="1:4" x14ac:dyDescent="0.2">
      <c r="A23363" t="s">
        <v>7708</v>
      </c>
      <c r="B23363" t="str">
        <f>HYPERLINK("https://lindat.mff.cuni.cz/services/teitok/pdtc10/index.php?action=vallex&amp;frame=v-w2988f2", "ohlásit (v-w2988f2)")</f>
        <v>ohlásit (v-w2988f2)</v>
      </c>
    </row>
    <row r="23364" spans="1:4" x14ac:dyDescent="0.2">
      <c r="B23364" t="s">
        <v>1</v>
      </c>
    </row>
    <row r="23365" spans="1:4" x14ac:dyDescent="0.2">
      <c r="B23365" t="s">
        <v>120</v>
      </c>
    </row>
    <row r="23366" spans="1:4" x14ac:dyDescent="0.2">
      <c r="B23366" t="s">
        <v>5</v>
      </c>
    </row>
    <row r="23368" spans="1:4" x14ac:dyDescent="0.2">
      <c r="A23368" t="s">
        <v>7709</v>
      </c>
      <c r="B23368" t="str">
        <f>HYPERLINK("https://lindat.mff.cuni.cz/services/teitok/pdtc10/index.php?action=vallex&amp;frame=v-w2988f3", "ohlásit (v-w2988f3)")</f>
        <v>ohlásit (v-w2988f3)</v>
      </c>
    </row>
    <row r="23369" spans="1:4" x14ac:dyDescent="0.2">
      <c r="B23369" t="s">
        <v>1</v>
      </c>
    </row>
    <row r="23370" spans="1:4" x14ac:dyDescent="0.2">
      <c r="B23370" t="s">
        <v>120</v>
      </c>
    </row>
    <row r="23371" spans="1:4" x14ac:dyDescent="0.2">
      <c r="B23371" t="s">
        <v>90</v>
      </c>
    </row>
    <row r="23373" spans="1:4" x14ac:dyDescent="0.2">
      <c r="A23373" t="s">
        <v>7710</v>
      </c>
      <c r="B23373" t="str">
        <f>HYPERLINK("https://lindat.mff.cuni.cz/services/teitok/pdtc10/index.php?action=vallex&amp;frame=v-w2989f1", "ohlásit se (v-w2989f1)")</f>
        <v>ohlásit se (v-w2989f1)</v>
      </c>
    </row>
    <row r="23374" spans="1:4" x14ac:dyDescent="0.2">
      <c r="B23374" t="s">
        <v>1</v>
      </c>
      <c r="C23374" t="s">
        <v>373</v>
      </c>
      <c r="D23374" t="s">
        <v>373</v>
      </c>
    </row>
    <row r="23375" spans="1:4" x14ac:dyDescent="0.2">
      <c r="B23375" t="s">
        <v>103</v>
      </c>
      <c r="C23375" t="s">
        <v>6681</v>
      </c>
      <c r="D23375" t="s">
        <v>6681</v>
      </c>
    </row>
    <row r="23377" spans="1:4" x14ac:dyDescent="0.2">
      <c r="A23377" t="s">
        <v>7711</v>
      </c>
      <c r="B23377" t="str">
        <f>HYPERLINK("https://lindat.mff.cuni.cz/services/teitok/pdtc10/index.php?action=vallex&amp;frame=v-w2989f2_ZU", "ohlásit se (v-w2989f2_ZU)")</f>
        <v>ohlásit se (v-w2989f2_ZU)</v>
      </c>
    </row>
    <row r="23378" spans="1:4" x14ac:dyDescent="0.2">
      <c r="B23378" t="s">
        <v>1</v>
      </c>
    </row>
    <row r="23379" spans="1:4" x14ac:dyDescent="0.2">
      <c r="B23379" t="s">
        <v>889</v>
      </c>
    </row>
    <row r="23381" spans="1:4" x14ac:dyDescent="0.2">
      <c r="A23381" t="s">
        <v>7712</v>
      </c>
      <c r="B23381" t="str">
        <f>HYPERLINK("https://lindat.mff.cuni.cz/services/teitok/pdtc10/index.php?action=vallex&amp;frame=v-w2995f1", "ohlédnout se (v-w2995f1)")</f>
        <v>ohlédnout se (v-w2995f1)</v>
      </c>
    </row>
    <row r="23382" spans="1:4" x14ac:dyDescent="0.2">
      <c r="B23382" t="s">
        <v>1</v>
      </c>
      <c r="D23382" t="s">
        <v>140</v>
      </c>
    </row>
    <row r="23384" spans="1:4" x14ac:dyDescent="0.2">
      <c r="A23384" t="s">
        <v>7713</v>
      </c>
      <c r="B23384" t="str">
        <f>HYPERLINK("https://lindat.mff.cuni.cz/services/teitok/pdtc10/index.php?action=vallex&amp;frame=v-w2998f1", "ohlídat (v-w2998f1)")</f>
        <v>ohlídat (v-w2998f1)</v>
      </c>
    </row>
    <row r="23385" spans="1:4" x14ac:dyDescent="0.2">
      <c r="B23385" t="s">
        <v>1</v>
      </c>
    </row>
    <row r="23386" spans="1:4" x14ac:dyDescent="0.2">
      <c r="B23386" t="s">
        <v>8</v>
      </c>
    </row>
    <row r="23388" spans="1:4" x14ac:dyDescent="0.2">
      <c r="A23388" t="s">
        <v>7714</v>
      </c>
      <c r="B23388" t="str">
        <f>HYPERLINK("https://lindat.mff.cuni.cz/services/teitok/pdtc10/index.php?action=vallex&amp;frame=v-w2999hsa_678", "ohlížet se (v-w2999hsa_678)")</f>
        <v>ohlížet se (v-w2999hsa_678)</v>
      </c>
    </row>
    <row r="23389" spans="1:4" x14ac:dyDescent="0.2">
      <c r="B23389" t="s">
        <v>1</v>
      </c>
    </row>
    <row r="23390" spans="1:4" x14ac:dyDescent="0.2">
      <c r="B23390" t="s">
        <v>7715</v>
      </c>
    </row>
    <row r="23392" spans="1:4" x14ac:dyDescent="0.2">
      <c r="A23392" t="s">
        <v>7714</v>
      </c>
      <c r="B23392" t="str">
        <f>HYPERLINK("https://lindat.mff.cuni.cz/services/teitok/pdtc10/index.php?action=vallex&amp;frame=v-w2999f2", "ohlížet se (v-w2999f2) - substituted with v-w2999hsa_678")</f>
        <v>ohlížet se (v-w2999f2) - substituted with v-w2999hsa_678</v>
      </c>
    </row>
    <row r="23393" spans="1:3" x14ac:dyDescent="0.2">
      <c r="B23393" t="s">
        <v>1</v>
      </c>
    </row>
    <row r="23394" spans="1:3" x14ac:dyDescent="0.2">
      <c r="B23394" t="s">
        <v>7715</v>
      </c>
    </row>
    <row r="23396" spans="1:3" x14ac:dyDescent="0.2">
      <c r="A23396" t="s">
        <v>7716</v>
      </c>
      <c r="B23396" t="str">
        <f>HYPERLINK("https://lindat.mff.cuni.cz/services/teitok/pdtc10/index.php?action=vallex&amp;frame=v-w2999f3", "ohlížet se (v-w2999f3)")</f>
        <v>ohlížet se (v-w2999f3)</v>
      </c>
    </row>
    <row r="23397" spans="1:3" x14ac:dyDescent="0.2">
      <c r="B23397" t="s">
        <v>1</v>
      </c>
    </row>
    <row r="23398" spans="1:3" x14ac:dyDescent="0.2">
      <c r="B23398" t="s">
        <v>183</v>
      </c>
    </row>
    <row r="23400" spans="1:3" x14ac:dyDescent="0.2">
      <c r="A23400" t="s">
        <v>7717</v>
      </c>
      <c r="B23400" t="str">
        <f>HYPERLINK("https://lindat.mff.cuni.cz/services/teitok/pdtc10/index.php?action=vallex&amp;frame=v-w2999f1", "ohlížet se (v-w2999f1)")</f>
        <v>ohlížet se (v-w2999f1)</v>
      </c>
    </row>
    <row r="23401" spans="1:3" x14ac:dyDescent="0.2">
      <c r="B23401" t="s">
        <v>1</v>
      </c>
      <c r="C23401" t="s">
        <v>4110</v>
      </c>
    </row>
    <row r="23403" spans="1:3" x14ac:dyDescent="0.2">
      <c r="A23403" t="s">
        <v>7718</v>
      </c>
      <c r="B23403" t="str">
        <f>HYPERLINK("https://lindat.mff.cuni.cz/services/teitok/pdtc10/index.php?action=vallex&amp;frame=v-whsa_155hsa_156", "ohmatat (v-whsa_155hsa_156)")</f>
        <v>ohmatat (v-whsa_155hsa_156)</v>
      </c>
    </row>
    <row r="23404" spans="1:3" x14ac:dyDescent="0.2">
      <c r="B23404" t="s">
        <v>1</v>
      </c>
    </row>
    <row r="23405" spans="1:3" x14ac:dyDescent="0.2">
      <c r="B23405" t="s">
        <v>8</v>
      </c>
    </row>
    <row r="23407" spans="1:3" x14ac:dyDescent="0.2">
      <c r="A23407" t="s">
        <v>7719</v>
      </c>
      <c r="B23407" t="str">
        <f>HYPERLINK("https://lindat.mff.cuni.cz/services/teitok/pdtc10/index.php?action=vallex&amp;frame=v-w10365f2", "ohmatávat (v-w10365f2)")</f>
        <v>ohmatávat (v-w10365f2)</v>
      </c>
    </row>
    <row r="23408" spans="1:3" x14ac:dyDescent="0.2">
      <c r="B23408" t="s">
        <v>1</v>
      </c>
      <c r="C23408" t="s">
        <v>430</v>
      </c>
    </row>
    <row r="23409" spans="1:4" x14ac:dyDescent="0.2">
      <c r="B23409" t="s">
        <v>8</v>
      </c>
      <c r="C23409" t="s">
        <v>335</v>
      </c>
    </row>
    <row r="23411" spans="1:4" x14ac:dyDescent="0.2">
      <c r="A23411" t="s">
        <v>7720</v>
      </c>
      <c r="B23411" t="str">
        <f>HYPERLINK("https://lindat.mff.cuni.cz/services/teitok/pdtc10/index.php?action=vallex&amp;frame=v-w11946_ZUf1_ZU", "ohnout (v-w11946_ZUf1_ZU)")</f>
        <v>ohnout (v-w11946_ZUf1_ZU)</v>
      </c>
    </row>
    <row r="23412" spans="1:4" x14ac:dyDescent="0.2">
      <c r="B23412" t="s">
        <v>1</v>
      </c>
    </row>
    <row r="23413" spans="1:4" x14ac:dyDescent="0.2">
      <c r="B23413" t="s">
        <v>8</v>
      </c>
    </row>
    <row r="23415" spans="1:4" x14ac:dyDescent="0.2">
      <c r="A23415" t="s">
        <v>7721</v>
      </c>
      <c r="B23415" t="str">
        <f>HYPERLINK("https://lindat.mff.cuni.cz/services/teitok/pdtc10/index.php?action=vallex&amp;frame=v-w11419f1", "ohnout se (v-w11419f1)")</f>
        <v>ohnout se (v-w11419f1)</v>
      </c>
    </row>
    <row r="23416" spans="1:4" x14ac:dyDescent="0.2">
      <c r="B23416" t="s">
        <v>1</v>
      </c>
      <c r="C23416" t="s">
        <v>186</v>
      </c>
      <c r="D23416" t="s">
        <v>23697</v>
      </c>
    </row>
    <row r="23418" spans="1:4" x14ac:dyDescent="0.2">
      <c r="A23418" t="s">
        <v>7722</v>
      </c>
      <c r="B23418" t="str">
        <f>HYPERLINK("https://lindat.mff.cuni.cz/services/teitok/pdtc10/index.php?action=vallex&amp;frame=v-w11419f3_ZU", "ohnout se (v-w11419f3_ZU)")</f>
        <v>ohnout se (v-w11419f3_ZU)</v>
      </c>
    </row>
    <row r="23419" spans="1:4" x14ac:dyDescent="0.2">
      <c r="B23419" t="s">
        <v>1</v>
      </c>
    </row>
    <row r="23421" spans="1:4" x14ac:dyDescent="0.2">
      <c r="A23421" t="s">
        <v>7722</v>
      </c>
      <c r="B23421" t="str">
        <f>HYPERLINK("https://lindat.mff.cuni.cz/services/teitok/pdtc10/index.php?action=vallex&amp;frame=v-w11419f2_ZU", "ohnout se (v-w11419f2_ZU) - substituted with v-w11419f3_ZU")</f>
        <v>ohnout se (v-w11419f2_ZU) - substituted with v-w11419f3_ZU</v>
      </c>
    </row>
    <row r="23422" spans="1:4" x14ac:dyDescent="0.2">
      <c r="B23422" t="s">
        <v>1</v>
      </c>
    </row>
    <row r="23424" spans="1:4" x14ac:dyDescent="0.2">
      <c r="A23424" t="s">
        <v>7723</v>
      </c>
      <c r="B23424" t="str">
        <f>HYPERLINK("https://lindat.mff.cuni.cz/services/teitok/pdtc10/index.php?action=vallex&amp;frame=v-w11785_ZUf1_ZU", "ohnít (v-w11785_ZUf1_ZU)")</f>
        <v>ohnít (v-w11785_ZUf1_ZU)</v>
      </c>
    </row>
    <row r="23425" spans="1:4" x14ac:dyDescent="0.2">
      <c r="B23425" t="s">
        <v>1</v>
      </c>
    </row>
    <row r="23427" spans="1:4" x14ac:dyDescent="0.2">
      <c r="A23427" t="s">
        <v>7724</v>
      </c>
      <c r="B23427" t="str">
        <f>HYPERLINK("https://lindat.mff.cuni.cz/services/teitok/pdtc10/index.php?action=vallex&amp;frame=v-w3003f1", "ohodnocovat (v-w3003f1)")</f>
        <v>ohodnocovat (v-w3003f1)</v>
      </c>
    </row>
    <row r="23428" spans="1:4" x14ac:dyDescent="0.2">
      <c r="B23428" t="s">
        <v>1</v>
      </c>
      <c r="C23428" t="s">
        <v>1106</v>
      </c>
      <c r="D23428" t="s">
        <v>23042</v>
      </c>
    </row>
    <row r="23429" spans="1:4" x14ac:dyDescent="0.2">
      <c r="B23429" t="s">
        <v>41</v>
      </c>
      <c r="C23429" t="s">
        <v>7725</v>
      </c>
      <c r="D23429" t="s">
        <v>23043</v>
      </c>
    </row>
    <row r="23430" spans="1:4" x14ac:dyDescent="0.2">
      <c r="B23430" t="s">
        <v>25</v>
      </c>
      <c r="C23430" t="s">
        <v>970</v>
      </c>
      <c r="D23430" t="s">
        <v>23044</v>
      </c>
    </row>
    <row r="23432" spans="1:4" x14ac:dyDescent="0.2">
      <c r="A23432" t="s">
        <v>7726</v>
      </c>
      <c r="B23432" t="str">
        <f>HYPERLINK("https://lindat.mff.cuni.cz/services/teitok/pdtc10/index.php?action=vallex&amp;frame=v-w3004f1", "ohodnotit (v-w3004f1)")</f>
        <v>ohodnotit (v-w3004f1)</v>
      </c>
    </row>
    <row r="23433" spans="1:4" x14ac:dyDescent="0.2">
      <c r="B23433" t="s">
        <v>1</v>
      </c>
      <c r="C23433" t="s">
        <v>7727</v>
      </c>
      <c r="D23433" t="s">
        <v>334</v>
      </c>
    </row>
    <row r="23434" spans="1:4" x14ac:dyDescent="0.2">
      <c r="B23434" t="s">
        <v>8</v>
      </c>
      <c r="C23434" t="s">
        <v>7728</v>
      </c>
      <c r="D23434" t="s">
        <v>81</v>
      </c>
    </row>
    <row r="23435" spans="1:4" x14ac:dyDescent="0.2">
      <c r="B23435" t="s">
        <v>7729</v>
      </c>
      <c r="C23435" t="s">
        <v>7730</v>
      </c>
      <c r="D23435" t="s">
        <v>15319</v>
      </c>
    </row>
    <row r="23437" spans="1:4" x14ac:dyDescent="0.2">
      <c r="A23437" t="s">
        <v>7731</v>
      </c>
      <c r="B23437" t="str">
        <f>HYPERLINK("https://lindat.mff.cuni.cz/services/teitok/pdtc10/index.php?action=vallex&amp;frame=v-w3004f3_ZU", "ohodnotit (v-w3004f3_ZU)")</f>
        <v>ohodnotit (v-w3004f3_ZU)</v>
      </c>
    </row>
    <row r="23438" spans="1:4" x14ac:dyDescent="0.2">
      <c r="B23438" t="s">
        <v>1</v>
      </c>
      <c r="C23438" t="s">
        <v>5475</v>
      </c>
      <c r="D23438" t="s">
        <v>23042</v>
      </c>
    </row>
    <row r="23439" spans="1:4" x14ac:dyDescent="0.2">
      <c r="B23439" t="s">
        <v>8</v>
      </c>
      <c r="C23439" t="s">
        <v>1343</v>
      </c>
      <c r="D23439" t="s">
        <v>23043</v>
      </c>
    </row>
    <row r="23440" spans="1:4" x14ac:dyDescent="0.2">
      <c r="B23440" t="s">
        <v>61</v>
      </c>
      <c r="C23440" t="s">
        <v>970</v>
      </c>
      <c r="D23440" t="s">
        <v>23044</v>
      </c>
    </row>
    <row r="23442" spans="1:4" x14ac:dyDescent="0.2">
      <c r="A23442" t="s">
        <v>7732</v>
      </c>
      <c r="B23442" t="str">
        <f>HYPERLINK("https://lindat.mff.cuni.cz/services/teitok/pdtc10/index.php?action=vallex&amp;frame=v-w3004f2", "ohodnotit (v-w3004f2)")</f>
        <v>ohodnotit (v-w3004f2)</v>
      </c>
    </row>
    <row r="23443" spans="1:4" x14ac:dyDescent="0.2">
      <c r="B23443" t="s">
        <v>1</v>
      </c>
      <c r="C23443" t="s">
        <v>7733</v>
      </c>
      <c r="D23443" t="s">
        <v>3307</v>
      </c>
    </row>
    <row r="23444" spans="1:4" x14ac:dyDescent="0.2">
      <c r="B23444" t="s">
        <v>124</v>
      </c>
      <c r="C23444" t="s">
        <v>7734</v>
      </c>
      <c r="D23444" t="s">
        <v>732</v>
      </c>
    </row>
    <row r="23446" spans="1:4" x14ac:dyDescent="0.2">
      <c r="A23446" t="s">
        <v>7735</v>
      </c>
      <c r="B23446" t="str">
        <f>HYPERLINK("https://lindat.mff.cuni.cz/services/teitok/pdtc10/index.php?action=vallex&amp;frame=v-w3005f2", "oholit (v-w3005f2)")</f>
        <v>oholit (v-w3005f2)</v>
      </c>
    </row>
    <row r="23447" spans="1:4" x14ac:dyDescent="0.2">
      <c r="B23447" t="s">
        <v>1</v>
      </c>
      <c r="C23447" t="s">
        <v>133</v>
      </c>
    </row>
    <row r="23448" spans="1:4" x14ac:dyDescent="0.2">
      <c r="B23448" t="s">
        <v>8</v>
      </c>
      <c r="C23448" t="s">
        <v>1128</v>
      </c>
    </row>
    <row r="23449" spans="1:4" x14ac:dyDescent="0.2">
      <c r="B23449" t="s">
        <v>333</v>
      </c>
      <c r="C23449" t="s">
        <v>7736</v>
      </c>
    </row>
    <row r="23451" spans="1:4" x14ac:dyDescent="0.2">
      <c r="A23451" t="s">
        <v>7737</v>
      </c>
      <c r="B23451" t="str">
        <f>HYPERLINK("https://lindat.mff.cuni.cz/services/teitok/pdtc10/index.php?action=vallex&amp;frame=v-w3005f1", "oholit (v-w3005f1)")</f>
        <v>oholit (v-w3005f1)</v>
      </c>
    </row>
    <row r="23452" spans="1:4" x14ac:dyDescent="0.2">
      <c r="B23452" t="s">
        <v>1</v>
      </c>
      <c r="C23452" t="s">
        <v>140</v>
      </c>
    </row>
    <row r="23453" spans="1:4" x14ac:dyDescent="0.2">
      <c r="B23453" t="s">
        <v>8</v>
      </c>
      <c r="C23453" t="s">
        <v>113</v>
      </c>
    </row>
    <row r="23455" spans="1:4" x14ac:dyDescent="0.2">
      <c r="A23455" t="s">
        <v>7738</v>
      </c>
      <c r="B23455" t="str">
        <f>HYPERLINK("https://lindat.mff.cuni.cz/services/teitok/pdtc10/index.php?action=vallex&amp;frame=v-w3006f1", "ohořet (v-w3006f1)")</f>
        <v>ohořet (v-w3006f1)</v>
      </c>
    </row>
    <row r="23456" spans="1:4" x14ac:dyDescent="0.2">
      <c r="B23456" t="s">
        <v>1</v>
      </c>
      <c r="D23456" t="s">
        <v>147</v>
      </c>
    </row>
    <row r="23458" spans="1:4" x14ac:dyDescent="0.2">
      <c r="A23458" t="s">
        <v>7739</v>
      </c>
      <c r="B23458" t="str">
        <f>HYPERLINK("https://lindat.mff.cuni.cz/services/teitok/pdtc10/index.php?action=vallex&amp;frame=v-w3007f1", "ohradit (v-w3007f1)")</f>
        <v>ohradit (v-w3007f1)</v>
      </c>
    </row>
    <row r="23459" spans="1:4" x14ac:dyDescent="0.2">
      <c r="B23459" t="s">
        <v>1</v>
      </c>
    </row>
    <row r="23460" spans="1:4" x14ac:dyDescent="0.2">
      <c r="B23460" t="s">
        <v>8</v>
      </c>
    </row>
    <row r="23462" spans="1:4" x14ac:dyDescent="0.2">
      <c r="A23462" t="s">
        <v>7740</v>
      </c>
      <c r="B23462" t="str">
        <f>HYPERLINK("https://lindat.mff.cuni.cz/services/teitok/pdtc10/index.php?action=vallex&amp;frame=v-w3008f1", "ohradit se (v-w3008f1)")</f>
        <v>ohradit se (v-w3008f1)</v>
      </c>
    </row>
    <row r="23463" spans="1:4" x14ac:dyDescent="0.2">
      <c r="B23463" t="s">
        <v>1</v>
      </c>
      <c r="C23463" t="s">
        <v>4110</v>
      </c>
      <c r="D23463" t="s">
        <v>9341</v>
      </c>
    </row>
    <row r="23464" spans="1:4" x14ac:dyDescent="0.2">
      <c r="B23464" t="s">
        <v>7741</v>
      </c>
      <c r="C23464" t="s">
        <v>7742</v>
      </c>
      <c r="D23464" t="s">
        <v>6702</v>
      </c>
    </row>
    <row r="23466" spans="1:4" x14ac:dyDescent="0.2">
      <c r="A23466" t="s">
        <v>7743</v>
      </c>
      <c r="B23466" t="str">
        <f>HYPERLINK("https://lindat.mff.cuni.cz/services/teitok/pdtc10/index.php?action=vallex&amp;frame=v-w10166f2", "ohraničit (v-w10166f2)")</f>
        <v>ohraničit (v-w10166f2)</v>
      </c>
    </row>
    <row r="23467" spans="1:4" x14ac:dyDescent="0.2">
      <c r="B23467" t="s">
        <v>1</v>
      </c>
      <c r="C23467" t="s">
        <v>33</v>
      </c>
      <c r="D23467" t="s">
        <v>147</v>
      </c>
    </row>
    <row r="23468" spans="1:4" x14ac:dyDescent="0.2">
      <c r="B23468" t="s">
        <v>172</v>
      </c>
      <c r="C23468" t="s">
        <v>23</v>
      </c>
      <c r="D23468" t="s">
        <v>1301</v>
      </c>
    </row>
    <row r="23470" spans="1:4" x14ac:dyDescent="0.2">
      <c r="A23470" t="s">
        <v>7744</v>
      </c>
      <c r="B23470" t="str">
        <f>HYPERLINK("https://lindat.mff.cuni.cz/services/teitok/pdtc10/index.php?action=vallex&amp;frame=v-w10947f2", "ohraničovat (v-w10947f2)")</f>
        <v>ohraničovat (v-w10947f2)</v>
      </c>
    </row>
    <row r="23471" spans="1:4" x14ac:dyDescent="0.2">
      <c r="B23471" t="s">
        <v>1</v>
      </c>
      <c r="C23471" t="s">
        <v>5817</v>
      </c>
      <c r="D23471" t="s">
        <v>147</v>
      </c>
    </row>
    <row r="23472" spans="1:4" x14ac:dyDescent="0.2">
      <c r="B23472" t="s">
        <v>8</v>
      </c>
      <c r="C23472" t="s">
        <v>7745</v>
      </c>
      <c r="D23472" t="s">
        <v>1301</v>
      </c>
    </row>
    <row r="23474" spans="1:4" x14ac:dyDescent="0.2">
      <c r="A23474" t="s">
        <v>7746</v>
      </c>
      <c r="B23474" t="str">
        <f>HYPERLINK("https://lindat.mff.cuni.cz/services/teitok/pdtc10/index.php?action=vallex&amp;frame=v-w3013f1", "ohrazovat (v-w3013f1)")</f>
        <v>ohrazovat (v-w3013f1)</v>
      </c>
    </row>
    <row r="23475" spans="1:4" x14ac:dyDescent="0.2">
      <c r="B23475" t="s">
        <v>1</v>
      </c>
    </row>
    <row r="23476" spans="1:4" x14ac:dyDescent="0.2">
      <c r="B23476" t="s">
        <v>8</v>
      </c>
    </row>
    <row r="23478" spans="1:4" x14ac:dyDescent="0.2">
      <c r="A23478" t="s">
        <v>7747</v>
      </c>
      <c r="B23478" t="str">
        <f>HYPERLINK("https://lindat.mff.cuni.cz/services/teitok/pdtc10/index.php?action=vallex&amp;frame=v-w3014f1", "ohrazovat se (v-w3014f1)")</f>
        <v>ohrazovat se (v-w3014f1)</v>
      </c>
    </row>
    <row r="23479" spans="1:4" x14ac:dyDescent="0.2">
      <c r="B23479" t="s">
        <v>1</v>
      </c>
      <c r="C23479" t="s">
        <v>990</v>
      </c>
      <c r="D23479" t="s">
        <v>9341</v>
      </c>
    </row>
    <row r="23480" spans="1:4" x14ac:dyDescent="0.2">
      <c r="B23480" t="s">
        <v>7741</v>
      </c>
      <c r="C23480" t="s">
        <v>1128</v>
      </c>
      <c r="D23480" t="s">
        <v>6702</v>
      </c>
    </row>
    <row r="23482" spans="1:4" x14ac:dyDescent="0.2">
      <c r="A23482" t="s">
        <v>7748</v>
      </c>
      <c r="B23482" t="str">
        <f>HYPERLINK("https://lindat.mff.cuni.cz/services/teitok/pdtc10/index.php?action=vallex&amp;frame=v-w10719f3", "ohrnout (v-w10719f3)")</f>
        <v>ohrnout (v-w10719f3)</v>
      </c>
    </row>
    <row r="23483" spans="1:4" x14ac:dyDescent="0.2">
      <c r="B23483" t="s">
        <v>1</v>
      </c>
    </row>
    <row r="23484" spans="1:4" x14ac:dyDescent="0.2">
      <c r="B23484" t="s">
        <v>8</v>
      </c>
      <c r="C23484" t="s">
        <v>991</v>
      </c>
    </row>
    <row r="23486" spans="1:4" x14ac:dyDescent="0.2">
      <c r="A23486" t="s">
        <v>7749</v>
      </c>
      <c r="B23486" t="str">
        <f>HYPERLINK("https://lindat.mff.cuni.cz/services/teitok/pdtc10/index.php?action=vallex&amp;frame=v-w10719f2", "ohrnout (v-w10719f2)")</f>
        <v>ohrnout (v-w10719f2)</v>
      </c>
    </row>
    <row r="23487" spans="1:4" x14ac:dyDescent="0.2">
      <c r="B23487" t="s">
        <v>1</v>
      </c>
      <c r="D23487" t="s">
        <v>373</v>
      </c>
    </row>
    <row r="23488" spans="1:4" x14ac:dyDescent="0.2">
      <c r="B23488" t="s">
        <v>7750</v>
      </c>
    </row>
    <row r="23490" spans="1:4" x14ac:dyDescent="0.2">
      <c r="A23490" t="s">
        <v>7751</v>
      </c>
      <c r="B23490" t="str">
        <f>HYPERLINK("https://lindat.mff.cuni.cz/services/teitok/pdtc10/index.php?action=vallex&amp;frame=v-w10709f3", "ohrnovat (v-w10709f3)")</f>
        <v>ohrnovat (v-w10709f3)</v>
      </c>
    </row>
    <row r="23491" spans="1:4" x14ac:dyDescent="0.2">
      <c r="B23491" t="s">
        <v>1</v>
      </c>
      <c r="C23491" t="s">
        <v>430</v>
      </c>
      <c r="D23491" t="s">
        <v>373</v>
      </c>
    </row>
    <row r="23492" spans="1:4" x14ac:dyDescent="0.2">
      <c r="B23492" t="s">
        <v>7750</v>
      </c>
    </row>
    <row r="23494" spans="1:4" x14ac:dyDescent="0.2">
      <c r="A23494" t="s">
        <v>7752</v>
      </c>
      <c r="B23494" t="str">
        <f>HYPERLINK("https://lindat.mff.cuni.cz/services/teitok/pdtc10/index.php?action=vallex&amp;frame=v-w3015f1", "ohromit (v-w3015f1)")</f>
        <v>ohromit (v-w3015f1)</v>
      </c>
    </row>
    <row r="23495" spans="1:4" x14ac:dyDescent="0.2">
      <c r="B23495" t="s">
        <v>7753</v>
      </c>
      <c r="C23495" t="s">
        <v>7754</v>
      </c>
      <c r="D23495" t="s">
        <v>23698</v>
      </c>
    </row>
    <row r="23496" spans="1:4" x14ac:dyDescent="0.2">
      <c r="B23496" t="s">
        <v>8</v>
      </c>
      <c r="C23496" t="s">
        <v>7755</v>
      </c>
      <c r="D23496" t="s">
        <v>23699</v>
      </c>
    </row>
    <row r="23498" spans="1:4" x14ac:dyDescent="0.2">
      <c r="A23498" t="s">
        <v>7756</v>
      </c>
      <c r="B23498" t="str">
        <f>HYPERLINK("https://lindat.mff.cuni.cz/services/teitok/pdtc10/index.php?action=vallex&amp;frame=v-w10380f2", "ohromovat (v-w10380f2)")</f>
        <v>ohromovat (v-w10380f2)</v>
      </c>
    </row>
    <row r="23499" spans="1:4" x14ac:dyDescent="0.2">
      <c r="B23499" t="s">
        <v>1</v>
      </c>
      <c r="D23499" t="s">
        <v>23698</v>
      </c>
    </row>
    <row r="23500" spans="1:4" x14ac:dyDescent="0.2">
      <c r="B23500" t="s">
        <v>8</v>
      </c>
      <c r="D23500" t="s">
        <v>23699</v>
      </c>
    </row>
    <row r="23502" spans="1:4" x14ac:dyDescent="0.2">
      <c r="A23502" t="s">
        <v>7757</v>
      </c>
      <c r="B23502" t="str">
        <f>HYPERLINK("https://lindat.mff.cuni.cz/services/teitok/pdtc10/index.php?action=vallex&amp;frame=v-w3016f1", "ohrozit (v-w3016f1)")</f>
        <v>ohrozit (v-w3016f1)</v>
      </c>
    </row>
    <row r="23503" spans="1:4" x14ac:dyDescent="0.2">
      <c r="B23503" t="s">
        <v>1</v>
      </c>
      <c r="C23503" t="s">
        <v>7758</v>
      </c>
      <c r="D23503" t="s">
        <v>1504</v>
      </c>
    </row>
    <row r="23504" spans="1:4" x14ac:dyDescent="0.2">
      <c r="B23504" t="s">
        <v>8</v>
      </c>
      <c r="C23504" t="s">
        <v>7759</v>
      </c>
      <c r="D23504" t="s">
        <v>23700</v>
      </c>
    </row>
    <row r="23506" spans="1:4" x14ac:dyDescent="0.2">
      <c r="A23506" t="s">
        <v>7760</v>
      </c>
      <c r="B23506" t="str">
        <f>HYPERLINK("https://lindat.mff.cuni.cz/services/teitok/pdtc10/index.php?action=vallex&amp;frame=v-w3020f1", "ohrožovat (v-w3020f1)")</f>
        <v>ohrožovat (v-w3020f1)</v>
      </c>
    </row>
    <row r="23507" spans="1:4" x14ac:dyDescent="0.2">
      <c r="B23507" t="s">
        <v>1</v>
      </c>
      <c r="C23507" t="s">
        <v>7761</v>
      </c>
      <c r="D23507" t="s">
        <v>1504</v>
      </c>
    </row>
    <row r="23508" spans="1:4" x14ac:dyDescent="0.2">
      <c r="B23508" t="s">
        <v>8</v>
      </c>
      <c r="C23508" t="s">
        <v>7762</v>
      </c>
      <c r="D23508" t="s">
        <v>23700</v>
      </c>
    </row>
    <row r="23510" spans="1:4" x14ac:dyDescent="0.2">
      <c r="A23510" t="s">
        <v>7763</v>
      </c>
      <c r="B23510" t="str">
        <f>HYPERLINK("https://lindat.mff.cuni.cz/services/teitok/pdtc10/index.php?action=vallex&amp;frame=v-w3011f1", "ohrávat (v-w3011f1)")</f>
        <v>ohrávat (v-w3011f1)</v>
      </c>
    </row>
    <row r="23511" spans="1:4" x14ac:dyDescent="0.2">
      <c r="B23511" t="s">
        <v>1</v>
      </c>
    </row>
    <row r="23512" spans="1:4" x14ac:dyDescent="0.2">
      <c r="B23512" t="s">
        <v>8</v>
      </c>
    </row>
    <row r="23514" spans="1:4" x14ac:dyDescent="0.2">
      <c r="A23514" t="s">
        <v>7764</v>
      </c>
      <c r="B23514" t="str">
        <f>HYPERLINK("https://lindat.mff.cuni.cz/services/teitok/pdtc10/index.php?action=vallex&amp;frame=v-w2986f1", "ohánět se (v-w2986f1)")</f>
        <v>ohánět se (v-w2986f1)</v>
      </c>
    </row>
    <row r="23515" spans="1:4" x14ac:dyDescent="0.2">
      <c r="B23515" t="s">
        <v>1</v>
      </c>
      <c r="C23515" t="s">
        <v>373</v>
      </c>
      <c r="D23515" t="s">
        <v>4110</v>
      </c>
    </row>
    <row r="23516" spans="1:4" x14ac:dyDescent="0.2">
      <c r="B23516" t="s">
        <v>158</v>
      </c>
      <c r="C23516" t="s">
        <v>1340</v>
      </c>
      <c r="D23516" t="s">
        <v>17</v>
      </c>
    </row>
    <row r="23518" spans="1:4" x14ac:dyDescent="0.2">
      <c r="A23518" t="s">
        <v>7765</v>
      </c>
      <c r="B23518" t="str">
        <f>HYPERLINK("https://lindat.mff.cuni.cz/services/teitok/pdtc10/index.php?action=vallex&amp;frame=v-w2986f2", "ohánět se (v-w2986f2)")</f>
        <v>ohánět se (v-w2986f2)</v>
      </c>
    </row>
    <row r="23519" spans="1:4" x14ac:dyDescent="0.2">
      <c r="B23519" t="s">
        <v>1</v>
      </c>
    </row>
    <row r="23521" spans="1:3" x14ac:dyDescent="0.2">
      <c r="A23521" t="s">
        <v>7766</v>
      </c>
      <c r="B23521" t="str">
        <f>HYPERLINK("https://lindat.mff.cuni.cz/services/teitok/pdtc10/index.php?action=vallex&amp;frame=v-w11466f1", "ohýbat (v-w11466f1)")</f>
        <v>ohýbat (v-w11466f1)</v>
      </c>
    </row>
    <row r="23522" spans="1:3" x14ac:dyDescent="0.2">
      <c r="B23522" t="s">
        <v>1</v>
      </c>
    </row>
    <row r="23523" spans="1:3" x14ac:dyDescent="0.2">
      <c r="B23523" t="s">
        <v>8</v>
      </c>
    </row>
    <row r="23525" spans="1:3" x14ac:dyDescent="0.2">
      <c r="A23525" t="s">
        <v>7767</v>
      </c>
      <c r="B23525" t="str">
        <f>HYPERLINK("https://lindat.mff.cuni.cz/services/teitok/pdtc10/index.php?action=vallex&amp;frame=v-w3026f1", "ohýbat se (v-w3026f1)")</f>
        <v>ohýbat se (v-w3026f1)</v>
      </c>
    </row>
    <row r="23526" spans="1:3" x14ac:dyDescent="0.2">
      <c r="B23526" t="s">
        <v>1</v>
      </c>
    </row>
    <row r="23528" spans="1:3" x14ac:dyDescent="0.2">
      <c r="A23528" t="s">
        <v>7768</v>
      </c>
      <c r="B23528" t="str">
        <f>HYPERLINK("https://lindat.mff.cuni.cz/services/teitok/pdtc10/index.php?action=vallex&amp;frame=v-whsa_1443hsa_1444", "ohřát (v-whsa_1443hsa_1444)")</f>
        <v>ohřát (v-whsa_1443hsa_1444)</v>
      </c>
    </row>
    <row r="23529" spans="1:3" x14ac:dyDescent="0.2">
      <c r="B23529" t="s">
        <v>1</v>
      </c>
    </row>
    <row r="23530" spans="1:3" x14ac:dyDescent="0.2">
      <c r="B23530" t="s">
        <v>8</v>
      </c>
    </row>
    <row r="23532" spans="1:3" x14ac:dyDescent="0.2">
      <c r="A23532" t="s">
        <v>7769</v>
      </c>
      <c r="B23532" t="str">
        <f>HYPERLINK("https://lindat.mff.cuni.cz/services/teitok/pdtc10/index.php?action=vallex&amp;frame=v-w3022f1", "ohřát se (v-w3022f1)")</f>
        <v>ohřát se (v-w3022f1)</v>
      </c>
    </row>
    <row r="23533" spans="1:3" x14ac:dyDescent="0.2">
      <c r="B23533" t="s">
        <v>1</v>
      </c>
    </row>
    <row r="23535" spans="1:3" x14ac:dyDescent="0.2">
      <c r="A23535" t="s">
        <v>7770</v>
      </c>
      <c r="B23535" t="str">
        <f>HYPERLINK("https://lindat.mff.cuni.cz/services/teitok/pdtc10/index.php?action=vallex&amp;frame=v-w10069f2", "ohřívat (v-w10069f2)")</f>
        <v>ohřívat (v-w10069f2)</v>
      </c>
    </row>
    <row r="23536" spans="1:3" x14ac:dyDescent="0.2">
      <c r="B23536" t="s">
        <v>1</v>
      </c>
      <c r="C23536" t="s">
        <v>2787</v>
      </c>
    </row>
    <row r="23537" spans="1:4" x14ac:dyDescent="0.2">
      <c r="B23537" t="s">
        <v>8</v>
      </c>
      <c r="C23537" t="s">
        <v>2788</v>
      </c>
    </row>
    <row r="23539" spans="1:4" x14ac:dyDescent="0.2">
      <c r="A23539" t="s">
        <v>7771</v>
      </c>
      <c r="B23539" t="str">
        <f>HYPERLINK("https://lindat.mff.cuni.cz/services/teitok/pdtc10/index.php?action=vallex&amp;frame=v-w3048f1", "oklamat (v-w3048f1)")</f>
        <v>oklamat (v-w3048f1)</v>
      </c>
    </row>
    <row r="23540" spans="1:4" x14ac:dyDescent="0.2">
      <c r="B23540" t="s">
        <v>1</v>
      </c>
      <c r="C23540" t="s">
        <v>2571</v>
      </c>
      <c r="D23540" t="s">
        <v>3735</v>
      </c>
    </row>
    <row r="23541" spans="1:4" x14ac:dyDescent="0.2">
      <c r="B23541" t="s">
        <v>8</v>
      </c>
      <c r="C23541" t="s">
        <v>7772</v>
      </c>
      <c r="D23541" t="s">
        <v>21749</v>
      </c>
    </row>
    <row r="23543" spans="1:4" x14ac:dyDescent="0.2">
      <c r="A23543" t="s">
        <v>7773</v>
      </c>
      <c r="B23543" t="str">
        <f>HYPERLINK("https://lindat.mff.cuni.cz/services/teitok/pdtc10/index.php?action=vallex&amp;frame=v-whsa_1971hsa_1972", "oklepat se (v-whsa_1971hsa_1972)")</f>
        <v>oklepat se (v-whsa_1971hsa_1972)</v>
      </c>
    </row>
    <row r="23544" spans="1:4" x14ac:dyDescent="0.2">
      <c r="B23544" t="s">
        <v>1</v>
      </c>
    </row>
    <row r="23546" spans="1:4" x14ac:dyDescent="0.2">
      <c r="A23546" t="s">
        <v>7774</v>
      </c>
      <c r="B23546" t="str">
        <f>HYPERLINK("https://lindat.mff.cuni.cz/services/teitok/pdtc10/index.php?action=vallex&amp;frame=v-w11388f1", "oklepávat se (v-w11388f1)")</f>
        <v>oklepávat se (v-w11388f1)</v>
      </c>
    </row>
    <row r="23547" spans="1:4" x14ac:dyDescent="0.2">
      <c r="B23547" t="s">
        <v>1</v>
      </c>
    </row>
    <row r="23548" spans="1:4" x14ac:dyDescent="0.2">
      <c r="B23548" t="s">
        <v>438</v>
      </c>
    </row>
    <row r="23550" spans="1:4" x14ac:dyDescent="0.2">
      <c r="A23550" t="s">
        <v>7775</v>
      </c>
      <c r="B23550" t="str">
        <f>HYPERLINK("https://lindat.mff.cuni.cz/services/teitok/pdtc10/index.php?action=vallex&amp;frame=v-w11163f2", "oklestit (v-w11163f2)")</f>
        <v>oklestit (v-w11163f2)</v>
      </c>
    </row>
    <row r="23551" spans="1:4" x14ac:dyDescent="0.2">
      <c r="B23551" t="s">
        <v>1</v>
      </c>
      <c r="C23551" t="s">
        <v>1065</v>
      </c>
      <c r="D23551" t="s">
        <v>23701</v>
      </c>
    </row>
    <row r="23552" spans="1:4" x14ac:dyDescent="0.2">
      <c r="B23552" t="s">
        <v>8</v>
      </c>
      <c r="C23552" t="s">
        <v>4676</v>
      </c>
      <c r="D23552" t="s">
        <v>23702</v>
      </c>
    </row>
    <row r="23554" spans="1:4" x14ac:dyDescent="0.2">
      <c r="A23554" t="s">
        <v>7776</v>
      </c>
      <c r="B23554" t="str">
        <f>HYPERLINK("https://lindat.mff.cuni.cz/services/teitok/pdtc10/index.php?action=vallex&amp;frame=v-w3050f1", "oklešťovat (v-w3050f1)")</f>
        <v>oklešťovat (v-w3050f1)</v>
      </c>
    </row>
    <row r="23555" spans="1:4" x14ac:dyDescent="0.2">
      <c r="B23555" t="s">
        <v>1</v>
      </c>
      <c r="C23555" t="s">
        <v>7777</v>
      </c>
      <c r="D23555" t="s">
        <v>23703</v>
      </c>
    </row>
    <row r="23556" spans="1:4" x14ac:dyDescent="0.2">
      <c r="B23556" t="s">
        <v>8</v>
      </c>
      <c r="C23556" t="s">
        <v>7778</v>
      </c>
      <c r="D23556" t="s">
        <v>23704</v>
      </c>
    </row>
    <row r="23558" spans="1:4" x14ac:dyDescent="0.2">
      <c r="A23558" t="s">
        <v>7779</v>
      </c>
      <c r="B23558" t="str">
        <f>HYPERLINK("https://lindat.mff.cuni.cz/services/teitok/pdtc10/index.php?action=vallex&amp;frame=v-whsa_1987hsa_1988", "okopat (v-whsa_1987hsa_1988)")</f>
        <v>okopat (v-whsa_1987hsa_1988)</v>
      </c>
    </row>
    <row r="23559" spans="1:4" x14ac:dyDescent="0.2">
      <c r="B23559" t="s">
        <v>1</v>
      </c>
    </row>
    <row r="23560" spans="1:4" x14ac:dyDescent="0.2">
      <c r="B23560" t="s">
        <v>8</v>
      </c>
    </row>
    <row r="23562" spans="1:4" x14ac:dyDescent="0.2">
      <c r="A23562" t="s">
        <v>7780</v>
      </c>
      <c r="B23562" t="str">
        <f>HYPERLINK("https://lindat.mff.cuni.cz/services/teitok/pdtc10/index.php?action=vallex&amp;frame=v-whsa_1987hsa_1989", "okopat (v-whsa_1987hsa_1989)")</f>
        <v>okopat (v-whsa_1987hsa_1989)</v>
      </c>
    </row>
    <row r="23563" spans="1:4" x14ac:dyDescent="0.2">
      <c r="B23563" t="s">
        <v>1</v>
      </c>
    </row>
    <row r="23564" spans="1:4" x14ac:dyDescent="0.2">
      <c r="B23564" t="s">
        <v>8</v>
      </c>
    </row>
    <row r="23566" spans="1:4" x14ac:dyDescent="0.2">
      <c r="A23566" t="s">
        <v>7781</v>
      </c>
      <c r="B23566" t="str">
        <f>HYPERLINK("https://lindat.mff.cuni.cz/services/teitok/pdtc10/index.php?action=vallex&amp;frame=v-w3052f1", "okopávat (v-w3052f1)")</f>
        <v>okopávat (v-w3052f1)</v>
      </c>
    </row>
    <row r="23567" spans="1:4" x14ac:dyDescent="0.2">
      <c r="B23567" t="s">
        <v>1</v>
      </c>
    </row>
    <row r="23568" spans="1:4" x14ac:dyDescent="0.2">
      <c r="B23568" t="s">
        <v>8</v>
      </c>
    </row>
    <row r="23570" spans="1:4" x14ac:dyDescent="0.2">
      <c r="A23570" t="s">
        <v>7782</v>
      </c>
      <c r="B23570" t="str">
        <f>HYPERLINK("https://lindat.mff.cuni.cz/services/teitok/pdtc10/index.php?action=vallex&amp;frame=v-w3052f2", "okopávat (v-w3052f2)")</f>
        <v>okopávat (v-w3052f2)</v>
      </c>
    </row>
    <row r="23571" spans="1:4" x14ac:dyDescent="0.2">
      <c r="B23571" t="s">
        <v>1</v>
      </c>
    </row>
    <row r="23572" spans="1:4" x14ac:dyDescent="0.2">
      <c r="B23572" t="s">
        <v>8</v>
      </c>
    </row>
    <row r="23574" spans="1:4" x14ac:dyDescent="0.2">
      <c r="A23574" t="s">
        <v>7783</v>
      </c>
      <c r="B23574" t="str">
        <f>HYPERLINK("https://lindat.mff.cuni.cz/services/teitok/pdtc10/index.php?action=vallex&amp;frame=v-w3054f1", "okopírovat (v-w3054f1)")</f>
        <v>okopírovat (v-w3054f1)</v>
      </c>
    </row>
    <row r="23575" spans="1:4" x14ac:dyDescent="0.2">
      <c r="B23575" t="s">
        <v>1</v>
      </c>
      <c r="C23575" t="s">
        <v>249</v>
      </c>
      <c r="D23575" t="s">
        <v>83</v>
      </c>
    </row>
    <row r="23576" spans="1:4" x14ac:dyDescent="0.2">
      <c r="B23576" t="s">
        <v>8</v>
      </c>
      <c r="C23576" t="s">
        <v>354</v>
      </c>
      <c r="D23576" t="s">
        <v>2240</v>
      </c>
    </row>
    <row r="23578" spans="1:4" x14ac:dyDescent="0.2">
      <c r="A23578" t="s">
        <v>7784</v>
      </c>
      <c r="B23578" t="str">
        <f>HYPERLINK("https://lindat.mff.cuni.cz/services/teitok/pdtc10/index.php?action=vallex&amp;frame=v-w3054hsa_31", "okopírovat (v-w3054hsa_31)")</f>
        <v>okopírovat (v-w3054hsa_31)</v>
      </c>
    </row>
    <row r="23579" spans="1:4" x14ac:dyDescent="0.2">
      <c r="B23579" t="s">
        <v>1</v>
      </c>
      <c r="C23579" t="s">
        <v>249</v>
      </c>
    </row>
    <row r="23580" spans="1:4" x14ac:dyDescent="0.2">
      <c r="B23580" t="s">
        <v>8</v>
      </c>
      <c r="C23580" t="s">
        <v>54</v>
      </c>
    </row>
    <row r="23581" spans="1:4" x14ac:dyDescent="0.2">
      <c r="B23581" t="s">
        <v>321</v>
      </c>
    </row>
    <row r="23583" spans="1:4" x14ac:dyDescent="0.2">
      <c r="A23583" t="s">
        <v>7785</v>
      </c>
      <c r="B23583" t="str">
        <f>HYPERLINK("https://lindat.mff.cuni.cz/services/teitok/pdtc10/index.php?action=vallex&amp;frame=v-w3056f1", "okoukat (v-w3056f1)")</f>
        <v>okoukat (v-w3056f1)</v>
      </c>
    </row>
    <row r="23584" spans="1:4" x14ac:dyDescent="0.2">
      <c r="B23584" t="s">
        <v>1</v>
      </c>
    </row>
    <row r="23585" spans="1:2" x14ac:dyDescent="0.2">
      <c r="B23585" t="s">
        <v>8</v>
      </c>
    </row>
    <row r="23586" spans="1:2" x14ac:dyDescent="0.2">
      <c r="B23586" t="s">
        <v>1142</v>
      </c>
    </row>
    <row r="23588" spans="1:2" x14ac:dyDescent="0.2">
      <c r="A23588" t="s">
        <v>7786</v>
      </c>
      <c r="B23588" t="str">
        <f>HYPERLINK("https://lindat.mff.cuni.cz/services/teitok/pdtc10/index.php?action=vallex&amp;frame=v-w3057f1", "okoukat se (v-w3057f1)")</f>
        <v>okoukat se (v-w3057f1)</v>
      </c>
    </row>
    <row r="23589" spans="1:2" x14ac:dyDescent="0.2">
      <c r="B23589" t="s">
        <v>1</v>
      </c>
    </row>
    <row r="23591" spans="1:2" x14ac:dyDescent="0.2">
      <c r="A23591" t="s">
        <v>7787</v>
      </c>
      <c r="B23591" t="str">
        <f>HYPERLINK("https://lindat.mff.cuni.cz/services/teitok/pdtc10/index.php?action=vallex&amp;frame=v-w3058f1", "okouknout (v-w3058f1)")</f>
        <v>okouknout (v-w3058f1)</v>
      </c>
    </row>
    <row r="23592" spans="1:2" x14ac:dyDescent="0.2">
      <c r="B23592" t="s">
        <v>1</v>
      </c>
    </row>
    <row r="23593" spans="1:2" x14ac:dyDescent="0.2">
      <c r="B23593" t="s">
        <v>8</v>
      </c>
    </row>
    <row r="23595" spans="1:2" x14ac:dyDescent="0.2">
      <c r="A23595" t="s">
        <v>7788</v>
      </c>
      <c r="B23595" t="str">
        <f>HYPERLINK("https://lindat.mff.cuni.cz/services/teitok/pdtc10/index.php?action=vallex&amp;frame=v-w3060f1", "okouzlit (v-w3060f1)")</f>
        <v>okouzlit (v-w3060f1)</v>
      </c>
    </row>
    <row r="23596" spans="1:2" x14ac:dyDescent="0.2">
      <c r="B23596" t="s">
        <v>1</v>
      </c>
    </row>
    <row r="23597" spans="1:2" x14ac:dyDescent="0.2">
      <c r="B23597" t="s">
        <v>8</v>
      </c>
    </row>
    <row r="23599" spans="1:2" x14ac:dyDescent="0.2">
      <c r="A23599" t="s">
        <v>7789</v>
      </c>
      <c r="B23599" t="str">
        <f>HYPERLINK("https://lindat.mff.cuni.cz/services/teitok/pdtc10/index.php?action=vallex&amp;frame=v-w3061f1", "okouzlovat (v-w3061f1)")</f>
        <v>okouzlovat (v-w3061f1)</v>
      </c>
    </row>
    <row r="23600" spans="1:2" x14ac:dyDescent="0.2">
      <c r="B23600" t="s">
        <v>1</v>
      </c>
    </row>
    <row r="23601" spans="1:4" x14ac:dyDescent="0.2">
      <c r="B23601" t="s">
        <v>8</v>
      </c>
    </row>
    <row r="23603" spans="1:4" x14ac:dyDescent="0.2">
      <c r="A23603" t="s">
        <v>7790</v>
      </c>
      <c r="B23603" t="str">
        <f>HYPERLINK("https://lindat.mff.cuni.cz/services/teitok/pdtc10/index.php?action=vallex&amp;frame=v-w3055f1", "okořenit (v-w3055f1)")</f>
        <v>okořenit (v-w3055f1)</v>
      </c>
    </row>
    <row r="23604" spans="1:4" x14ac:dyDescent="0.2">
      <c r="B23604" t="s">
        <v>1</v>
      </c>
    </row>
    <row r="23605" spans="1:4" x14ac:dyDescent="0.2">
      <c r="B23605" t="s">
        <v>8</v>
      </c>
    </row>
    <row r="23607" spans="1:4" x14ac:dyDescent="0.2">
      <c r="A23607" t="s">
        <v>7791</v>
      </c>
      <c r="B23607" t="str">
        <f>HYPERLINK("https://lindat.mff.cuni.cz/services/teitok/pdtc10/index.php?action=vallex&amp;frame=v-w3063f1", "okrádat (v-w3063f1)")</f>
        <v>okrádat (v-w3063f1)</v>
      </c>
    </row>
    <row r="23608" spans="1:4" x14ac:dyDescent="0.2">
      <c r="B23608" t="s">
        <v>1</v>
      </c>
      <c r="C23608" t="s">
        <v>140</v>
      </c>
    </row>
    <row r="23609" spans="1:4" x14ac:dyDescent="0.2">
      <c r="B23609" t="s">
        <v>58</v>
      </c>
      <c r="C23609" t="s">
        <v>2810</v>
      </c>
      <c r="D23609" t="s">
        <v>4016</v>
      </c>
    </row>
    <row r="23610" spans="1:4" x14ac:dyDescent="0.2">
      <c r="B23610" t="s">
        <v>2287</v>
      </c>
    </row>
    <row r="23612" spans="1:4" x14ac:dyDescent="0.2">
      <c r="A23612" t="s">
        <v>7792</v>
      </c>
      <c r="B23612" t="str">
        <f>HYPERLINK("https://lindat.mff.cuni.cz/services/teitok/pdtc10/index.php?action=vallex&amp;frame=v-w3065f1", "okrást (v-w3065f1)")</f>
        <v>okrást (v-w3065f1)</v>
      </c>
    </row>
    <row r="23613" spans="1:4" x14ac:dyDescent="0.2">
      <c r="B23613" t="s">
        <v>1</v>
      </c>
    </row>
    <row r="23614" spans="1:4" x14ac:dyDescent="0.2">
      <c r="B23614" t="s">
        <v>58</v>
      </c>
      <c r="C23614" t="s">
        <v>4016</v>
      </c>
      <c r="D23614" t="s">
        <v>4016</v>
      </c>
    </row>
    <row r="23615" spans="1:4" x14ac:dyDescent="0.2">
      <c r="B23615" t="s">
        <v>2287</v>
      </c>
    </row>
    <row r="23617" spans="1:4" x14ac:dyDescent="0.2">
      <c r="A23617" t="s">
        <v>7793</v>
      </c>
      <c r="B23617" t="str">
        <f>HYPERLINK("https://lindat.mff.cuni.cz/services/teitok/pdtc10/index.php?action=vallex&amp;frame=v-w3066f1", "oktrojovat (v-w3066f1)")</f>
        <v>oktrojovat (v-w3066f1)</v>
      </c>
    </row>
    <row r="23618" spans="1:4" x14ac:dyDescent="0.2">
      <c r="B23618" t="s">
        <v>1</v>
      </c>
    </row>
    <row r="23619" spans="1:4" x14ac:dyDescent="0.2">
      <c r="B23619" t="s">
        <v>8</v>
      </c>
    </row>
    <row r="23620" spans="1:4" x14ac:dyDescent="0.2">
      <c r="B23620" t="s">
        <v>78</v>
      </c>
    </row>
    <row r="23622" spans="1:4" x14ac:dyDescent="0.2">
      <c r="A23622" t="s">
        <v>7794</v>
      </c>
      <c r="B23622" t="str">
        <f>HYPERLINK("https://lindat.mff.cuni.cz/services/teitok/pdtc10/index.php?action=vallex&amp;frame=v-w11915_ZUf1_ZU", "okukovat (v-w11915_ZUf1_ZU)")</f>
        <v>okukovat (v-w11915_ZUf1_ZU)</v>
      </c>
    </row>
    <row r="23623" spans="1:4" x14ac:dyDescent="0.2">
      <c r="B23623" t="s">
        <v>1</v>
      </c>
    </row>
    <row r="23624" spans="1:4" x14ac:dyDescent="0.2">
      <c r="B23624" t="s">
        <v>8</v>
      </c>
    </row>
    <row r="23626" spans="1:4" x14ac:dyDescent="0.2">
      <c r="A23626" t="s">
        <v>7795</v>
      </c>
      <c r="B23626" t="str">
        <f>HYPERLINK("https://lindat.mff.cuni.cz/services/teitok/pdtc10/index.php?action=vallex&amp;frame=v-w3069f1", "okupovat (v-w3069f1)")</f>
        <v>okupovat (v-w3069f1)</v>
      </c>
    </row>
    <row r="23627" spans="1:4" x14ac:dyDescent="0.2">
      <c r="B23627" t="s">
        <v>1</v>
      </c>
      <c r="C23627" t="s">
        <v>7796</v>
      </c>
      <c r="D23627" t="s">
        <v>8690</v>
      </c>
    </row>
    <row r="23628" spans="1:4" x14ac:dyDescent="0.2">
      <c r="B23628" t="s">
        <v>8</v>
      </c>
      <c r="C23628" t="s">
        <v>5666</v>
      </c>
      <c r="D23628" t="s">
        <v>4631</v>
      </c>
    </row>
    <row r="23630" spans="1:4" x14ac:dyDescent="0.2">
      <c r="A23630" t="s">
        <v>7797</v>
      </c>
      <c r="B23630" t="str">
        <f>HYPERLINK("https://lindat.mff.cuni.cz/services/teitok/pdtc10/index.php?action=vallex&amp;frame=v-w3070f1", "okusit (v-w3070f1)")</f>
        <v>okusit (v-w3070f1)</v>
      </c>
    </row>
    <row r="23631" spans="1:4" x14ac:dyDescent="0.2">
      <c r="B23631" t="s">
        <v>1</v>
      </c>
      <c r="C23631" t="s">
        <v>7798</v>
      </c>
    </row>
    <row r="23632" spans="1:4" x14ac:dyDescent="0.2">
      <c r="B23632" t="s">
        <v>8</v>
      </c>
      <c r="C23632" t="s">
        <v>7799</v>
      </c>
    </row>
    <row r="23634" spans="1:2" x14ac:dyDescent="0.2">
      <c r="A23634" t="s">
        <v>7800</v>
      </c>
      <c r="B23634" t="str">
        <f>HYPERLINK("https://lindat.mff.cuni.cz/services/teitok/pdtc10/index.php?action=vallex&amp;frame=v-w3070f2", "okusit (v-w3070f2)")</f>
        <v>okusit (v-w3070f2)</v>
      </c>
    </row>
    <row r="23635" spans="1:2" x14ac:dyDescent="0.2">
      <c r="B23635" t="s">
        <v>1</v>
      </c>
    </row>
    <row r="23636" spans="1:2" x14ac:dyDescent="0.2">
      <c r="B23636" t="s">
        <v>8</v>
      </c>
    </row>
    <row r="23638" spans="1:2" x14ac:dyDescent="0.2">
      <c r="A23638" t="s">
        <v>7801</v>
      </c>
      <c r="B23638" t="str">
        <f>HYPERLINK("https://lindat.mff.cuni.cz/services/teitok/pdtc10/index.php?action=vallex&amp;frame=v-w12299_MMf1_MM", "okusovat (v-w12299_MMf1_MM)")</f>
        <v>okusovat (v-w12299_MMf1_MM)</v>
      </c>
    </row>
    <row r="23639" spans="1:2" x14ac:dyDescent="0.2">
      <c r="B23639" t="s">
        <v>1</v>
      </c>
    </row>
    <row r="23640" spans="1:2" x14ac:dyDescent="0.2">
      <c r="B23640" t="s">
        <v>8</v>
      </c>
    </row>
    <row r="23642" spans="1:2" x14ac:dyDescent="0.2">
      <c r="A23642" t="s">
        <v>7802</v>
      </c>
      <c r="B23642" t="str">
        <f>HYPERLINK("https://lindat.mff.cuni.cz/services/teitok/pdtc10/index.php?action=vallex&amp;frame=v-w3047f1", "okázat se (v-w3047f1)")</f>
        <v>okázat se (v-w3047f1)</v>
      </c>
    </row>
    <row r="23643" spans="1:2" x14ac:dyDescent="0.2">
      <c r="B23643" t="s">
        <v>1</v>
      </c>
    </row>
    <row r="23644" spans="1:2" x14ac:dyDescent="0.2">
      <c r="B23644" t="s">
        <v>3215</v>
      </c>
    </row>
    <row r="23646" spans="1:2" x14ac:dyDescent="0.2">
      <c r="A23646" t="s">
        <v>7803</v>
      </c>
      <c r="B23646" t="str">
        <f>HYPERLINK("https://lindat.mff.cuni.cz/services/teitok/pdtc10/index.php?action=vallex&amp;frame=v-whsb_694hsa_695", "olizovat (v-whsb_694hsa_695)")</f>
        <v>olizovat (v-whsb_694hsa_695)</v>
      </c>
    </row>
    <row r="23647" spans="1:2" x14ac:dyDescent="0.2">
      <c r="B23647" t="s">
        <v>1</v>
      </c>
    </row>
    <row r="23648" spans="1:2" x14ac:dyDescent="0.2">
      <c r="B23648" t="s">
        <v>8</v>
      </c>
    </row>
    <row r="23650" spans="1:4" x14ac:dyDescent="0.2">
      <c r="A23650" t="s">
        <v>7804</v>
      </c>
      <c r="B23650" t="str">
        <f>HYPERLINK("https://lindat.mff.cuni.cz/services/teitok/pdtc10/index.php?action=vallex&amp;frame=v-w10113f2", "oloupat (v-w10113f2)")</f>
        <v>oloupat (v-w10113f2)</v>
      </c>
    </row>
    <row r="23651" spans="1:4" x14ac:dyDescent="0.2">
      <c r="B23651" t="s">
        <v>1</v>
      </c>
      <c r="D23651" t="s">
        <v>230</v>
      </c>
    </row>
    <row r="23652" spans="1:4" x14ac:dyDescent="0.2">
      <c r="B23652" t="s">
        <v>8</v>
      </c>
      <c r="D23652" t="s">
        <v>2902</v>
      </c>
    </row>
    <row r="23653" spans="1:4" x14ac:dyDescent="0.2">
      <c r="B23653" t="s">
        <v>333</v>
      </c>
      <c r="D23653" t="s">
        <v>23705</v>
      </c>
    </row>
    <row r="23655" spans="1:4" x14ac:dyDescent="0.2">
      <c r="A23655" t="s">
        <v>7805</v>
      </c>
      <c r="B23655" t="str">
        <f>HYPERLINK("https://lindat.mff.cuni.cz/services/teitok/pdtc10/index.php?action=vallex&amp;frame=v-w12008_ZUf1_ZU", "omakat si (v-w12008_ZUf1_ZU)")</f>
        <v>omakat si (v-w12008_ZUf1_ZU)</v>
      </c>
    </row>
    <row r="23656" spans="1:4" x14ac:dyDescent="0.2">
      <c r="B23656" t="s">
        <v>1</v>
      </c>
    </row>
    <row r="23657" spans="1:4" x14ac:dyDescent="0.2">
      <c r="B23657" t="s">
        <v>7806</v>
      </c>
    </row>
    <row r="23659" spans="1:4" x14ac:dyDescent="0.2">
      <c r="A23659" t="s">
        <v>7807</v>
      </c>
      <c r="B23659" t="str">
        <f>HYPERLINK("https://lindat.mff.cuni.cz/services/teitok/pdtc10/index.php?action=vallex&amp;frame=v-w3073f1", "omalovat (v-w3073f1)")</f>
        <v>omalovat (v-w3073f1)</v>
      </c>
    </row>
    <row r="23660" spans="1:4" x14ac:dyDescent="0.2">
      <c r="B23660" t="s">
        <v>1</v>
      </c>
      <c r="D23660" t="s">
        <v>430</v>
      </c>
    </row>
    <row r="23661" spans="1:4" x14ac:dyDescent="0.2">
      <c r="B23661" t="s">
        <v>8</v>
      </c>
      <c r="D23661" t="s">
        <v>335</v>
      </c>
    </row>
    <row r="23663" spans="1:4" x14ac:dyDescent="0.2">
      <c r="A23663" t="s">
        <v>7808</v>
      </c>
      <c r="B23663" t="str">
        <f>HYPERLINK("https://lindat.mff.cuni.cz/services/teitok/pdtc10/index.php?action=vallex&amp;frame=v-whsb_655hsa_656", "omarodit (v-whsb_655hsa_656)")</f>
        <v>omarodit (v-whsb_655hsa_656)</v>
      </c>
    </row>
    <row r="23664" spans="1:4" x14ac:dyDescent="0.2">
      <c r="B23664" t="s">
        <v>1</v>
      </c>
    </row>
    <row r="23665" spans="1:4" x14ac:dyDescent="0.2">
      <c r="B23665" t="s">
        <v>2423</v>
      </c>
    </row>
    <row r="23667" spans="1:4" x14ac:dyDescent="0.2">
      <c r="A23667" t="s">
        <v>7809</v>
      </c>
      <c r="B23667" t="str">
        <f>HYPERLINK("https://lindat.mff.cuni.cz/services/teitok/pdtc10/index.php?action=vallex&amp;frame=v-w12042_ZUf1_ZU", "omarodit (v-w12042_ZUf1_ZU)")</f>
        <v>omarodit (v-w12042_ZUf1_ZU)</v>
      </c>
    </row>
    <row r="23668" spans="1:4" x14ac:dyDescent="0.2">
      <c r="B23668" t="s">
        <v>1</v>
      </c>
    </row>
    <row r="23669" spans="1:4" x14ac:dyDescent="0.2">
      <c r="B23669" t="s">
        <v>8</v>
      </c>
    </row>
    <row r="23671" spans="1:4" x14ac:dyDescent="0.2">
      <c r="A23671" t="s">
        <v>7810</v>
      </c>
      <c r="B23671" t="str">
        <f>HYPERLINK("https://lindat.mff.cuni.cz/services/teitok/pdtc10/index.php?action=vallex&amp;frame=v-w11955_ZUf1_ZU", "omdlévat (v-w11955_ZUf1_ZU)")</f>
        <v>omdlévat (v-w11955_ZUf1_ZU)</v>
      </c>
    </row>
    <row r="23672" spans="1:4" x14ac:dyDescent="0.2">
      <c r="B23672" t="s">
        <v>1</v>
      </c>
    </row>
    <row r="23674" spans="1:4" x14ac:dyDescent="0.2">
      <c r="A23674" t="s">
        <v>7811</v>
      </c>
      <c r="B23674" t="str">
        <f>HYPERLINK("https://lindat.mff.cuni.cz/services/teitok/pdtc10/index.php?action=vallex&amp;frame=v-w3074f1", "omdlít (v-w3074f1)")</f>
        <v>omdlít (v-w3074f1)</v>
      </c>
    </row>
    <row r="23675" spans="1:4" x14ac:dyDescent="0.2">
      <c r="B23675" t="s">
        <v>1</v>
      </c>
    </row>
    <row r="23677" spans="1:4" x14ac:dyDescent="0.2">
      <c r="A23677" t="s">
        <v>7812</v>
      </c>
      <c r="B23677" t="str">
        <f>HYPERLINK("https://lindat.mff.cuni.cz/services/teitok/pdtc10/index.php?action=vallex&amp;frame=v-w3076f1", "omezit (v-w3076f1)")</f>
        <v>omezit (v-w3076f1)</v>
      </c>
    </row>
    <row r="23678" spans="1:4" x14ac:dyDescent="0.2">
      <c r="B23678" t="s">
        <v>1</v>
      </c>
      <c r="C23678" t="s">
        <v>7813</v>
      </c>
      <c r="D23678" t="s">
        <v>23706</v>
      </c>
    </row>
    <row r="23679" spans="1:4" x14ac:dyDescent="0.2">
      <c r="B23679" t="s">
        <v>8</v>
      </c>
      <c r="C23679" t="s">
        <v>7814</v>
      </c>
      <c r="D23679" t="s">
        <v>23707</v>
      </c>
    </row>
    <row r="23680" spans="1:4" x14ac:dyDescent="0.2">
      <c r="B23680" t="s">
        <v>24</v>
      </c>
      <c r="C23680" t="s">
        <v>7815</v>
      </c>
      <c r="D23680" t="s">
        <v>23708</v>
      </c>
    </row>
    <row r="23681" spans="1:4" x14ac:dyDescent="0.2">
      <c r="B23681" t="s">
        <v>61</v>
      </c>
      <c r="C23681" t="s">
        <v>7816</v>
      </c>
      <c r="D23681" t="s">
        <v>23709</v>
      </c>
    </row>
    <row r="23683" spans="1:4" x14ac:dyDescent="0.2">
      <c r="A23683" t="s">
        <v>7817</v>
      </c>
      <c r="B23683" t="str">
        <f>HYPERLINK("https://lindat.mff.cuni.cz/services/teitok/pdtc10/index.php?action=vallex&amp;frame=v-w3076hsa_241", "omezit (v-w3076hsa_241)")</f>
        <v>omezit (v-w3076hsa_241)</v>
      </c>
    </row>
    <row r="23684" spans="1:4" x14ac:dyDescent="0.2">
      <c r="B23684" t="s">
        <v>1</v>
      </c>
      <c r="D23684" t="s">
        <v>2125</v>
      </c>
    </row>
    <row r="23685" spans="1:4" x14ac:dyDescent="0.2">
      <c r="B23685" t="s">
        <v>8</v>
      </c>
      <c r="C23685" t="s">
        <v>1128</v>
      </c>
      <c r="D23685" t="s">
        <v>23459</v>
      </c>
    </row>
    <row r="23686" spans="1:4" x14ac:dyDescent="0.2">
      <c r="B23686" t="s">
        <v>1462</v>
      </c>
      <c r="D23686" t="s">
        <v>6778</v>
      </c>
    </row>
    <row r="23688" spans="1:4" x14ac:dyDescent="0.2">
      <c r="A23688" t="s">
        <v>7818</v>
      </c>
      <c r="B23688" t="str">
        <f>HYPERLINK("https://lindat.mff.cuni.cz/services/teitok/pdtc10/index.php?action=vallex&amp;frame=v-w3077f1", "omezit se (v-w3077f1)")</f>
        <v>omezit se (v-w3077f1)</v>
      </c>
    </row>
    <row r="23689" spans="1:4" x14ac:dyDescent="0.2">
      <c r="B23689" t="s">
        <v>1</v>
      </c>
    </row>
    <row r="23690" spans="1:4" x14ac:dyDescent="0.2">
      <c r="B23690" t="s">
        <v>28</v>
      </c>
    </row>
    <row r="23692" spans="1:4" x14ac:dyDescent="0.2">
      <c r="A23692" t="s">
        <v>7819</v>
      </c>
      <c r="B23692" t="str">
        <f>HYPERLINK("https://lindat.mff.cuni.cz/services/teitok/pdtc10/index.php?action=vallex&amp;frame=v-w3077f2", "omezit se (v-w3077f2)")</f>
        <v>omezit se (v-w3077f2)</v>
      </c>
    </row>
    <row r="23693" spans="1:4" x14ac:dyDescent="0.2">
      <c r="B23693" t="s">
        <v>1</v>
      </c>
    </row>
    <row r="23695" spans="1:4" x14ac:dyDescent="0.2">
      <c r="A23695" t="s">
        <v>7820</v>
      </c>
      <c r="B23695" t="str">
        <f>HYPERLINK("https://lindat.mff.cuni.cz/services/teitok/pdtc10/index.php?action=vallex&amp;frame=v-w3080f1", "omezovat (v-w3080f1)")</f>
        <v>omezovat (v-w3080f1)</v>
      </c>
    </row>
    <row r="23696" spans="1:4" x14ac:dyDescent="0.2">
      <c r="B23696" t="s">
        <v>1</v>
      </c>
      <c r="C23696" t="s">
        <v>7821</v>
      </c>
      <c r="D23696" t="s">
        <v>23706</v>
      </c>
    </row>
    <row r="23697" spans="1:4" x14ac:dyDescent="0.2">
      <c r="B23697" t="s">
        <v>8</v>
      </c>
      <c r="C23697" t="s">
        <v>7822</v>
      </c>
      <c r="D23697" t="s">
        <v>23707</v>
      </c>
    </row>
    <row r="23698" spans="1:4" x14ac:dyDescent="0.2">
      <c r="B23698" t="s">
        <v>24</v>
      </c>
      <c r="C23698" t="s">
        <v>7823</v>
      </c>
      <c r="D23698" t="s">
        <v>23708</v>
      </c>
    </row>
    <row r="23699" spans="1:4" x14ac:dyDescent="0.2">
      <c r="B23699" t="s">
        <v>61</v>
      </c>
      <c r="C23699" t="s">
        <v>7824</v>
      </c>
      <c r="D23699" t="s">
        <v>23709</v>
      </c>
    </row>
    <row r="23701" spans="1:4" x14ac:dyDescent="0.2">
      <c r="A23701" t="s">
        <v>7825</v>
      </c>
      <c r="B23701" t="str">
        <f>HYPERLINK("https://lindat.mff.cuni.cz/services/teitok/pdtc10/index.php?action=vallex&amp;frame=v-w3080hsa_633", "omezovat (v-w3080hsa_633)")</f>
        <v>omezovat (v-w3080hsa_633)</v>
      </c>
    </row>
    <row r="23702" spans="1:4" x14ac:dyDescent="0.2">
      <c r="B23702" t="s">
        <v>1</v>
      </c>
      <c r="C23702" t="s">
        <v>370</v>
      </c>
      <c r="D23702" t="s">
        <v>2125</v>
      </c>
    </row>
    <row r="23703" spans="1:4" x14ac:dyDescent="0.2">
      <c r="B23703" t="s">
        <v>58</v>
      </c>
      <c r="C23703" t="s">
        <v>7826</v>
      </c>
      <c r="D23703" t="s">
        <v>23710</v>
      </c>
    </row>
    <row r="23704" spans="1:4" x14ac:dyDescent="0.2">
      <c r="B23704" t="s">
        <v>551</v>
      </c>
      <c r="C23704" t="s">
        <v>7827</v>
      </c>
      <c r="D23704" t="s">
        <v>7830</v>
      </c>
    </row>
    <row r="23706" spans="1:4" x14ac:dyDescent="0.2">
      <c r="A23706" t="s">
        <v>7828</v>
      </c>
      <c r="B23706" t="str">
        <f>HYPERLINK("https://lindat.mff.cuni.cz/services/teitok/pdtc10/index.php?action=vallex&amp;frame=v-w3081f1", "omezovat se (v-w3081f1)")</f>
        <v>omezovat se (v-w3081f1)</v>
      </c>
    </row>
    <row r="23707" spans="1:4" x14ac:dyDescent="0.2">
      <c r="B23707" t="s">
        <v>1</v>
      </c>
      <c r="C23707" t="s">
        <v>7829</v>
      </c>
    </row>
    <row r="23708" spans="1:4" x14ac:dyDescent="0.2">
      <c r="B23708" t="s">
        <v>28</v>
      </c>
      <c r="C23708" t="s">
        <v>7830</v>
      </c>
    </row>
    <row r="23710" spans="1:4" x14ac:dyDescent="0.2">
      <c r="A23710" t="s">
        <v>7831</v>
      </c>
      <c r="B23710" t="str">
        <f>HYPERLINK("https://lindat.mff.cuni.cz/services/teitok/pdtc10/index.php?action=vallex&amp;frame=v-w3081hsa_651", "omezovat se (v-w3081hsa_651)")</f>
        <v>omezovat se (v-w3081hsa_651)</v>
      </c>
    </row>
    <row r="23711" spans="1:4" x14ac:dyDescent="0.2">
      <c r="B23711" t="s">
        <v>1</v>
      </c>
    </row>
    <row r="23713" spans="1:4" x14ac:dyDescent="0.2">
      <c r="A23713" t="s">
        <v>7832</v>
      </c>
      <c r="B23713" t="str">
        <f>HYPERLINK("https://lindat.mff.cuni.cz/services/teitok/pdtc10/index.php?action=vallex&amp;frame=v-w3084f1", "omilostnit (v-w3084f1)")</f>
        <v>omilostnit (v-w3084f1)</v>
      </c>
    </row>
    <row r="23714" spans="1:4" x14ac:dyDescent="0.2">
      <c r="B23714" t="s">
        <v>1</v>
      </c>
    </row>
    <row r="23715" spans="1:4" x14ac:dyDescent="0.2">
      <c r="B23715" t="s">
        <v>8</v>
      </c>
    </row>
    <row r="23716" spans="1:4" x14ac:dyDescent="0.2">
      <c r="B23716" t="s">
        <v>7530</v>
      </c>
    </row>
    <row r="23718" spans="1:4" x14ac:dyDescent="0.2">
      <c r="A23718" t="s">
        <v>7833</v>
      </c>
      <c r="B23718" t="str">
        <f>HYPERLINK("https://lindat.mff.cuni.cz/services/teitok/pdtc10/index.php?action=vallex&amp;frame=v-w3085f1", "omladit (v-w3085f1)")</f>
        <v>omladit (v-w3085f1)</v>
      </c>
    </row>
    <row r="23719" spans="1:4" x14ac:dyDescent="0.2">
      <c r="B23719" t="s">
        <v>1</v>
      </c>
    </row>
    <row r="23720" spans="1:4" x14ac:dyDescent="0.2">
      <c r="B23720" t="s">
        <v>8</v>
      </c>
    </row>
    <row r="23722" spans="1:4" x14ac:dyDescent="0.2">
      <c r="A23722" t="s">
        <v>7834</v>
      </c>
      <c r="B23722" t="str">
        <f>HYPERLINK("https://lindat.mff.cuni.cz/services/teitok/pdtc10/index.php?action=vallex&amp;frame=v-w3088f1", "omlouvat (v-w3088f1)")</f>
        <v>omlouvat (v-w3088f1)</v>
      </c>
    </row>
    <row r="23723" spans="1:4" x14ac:dyDescent="0.2">
      <c r="B23723" t="s">
        <v>1</v>
      </c>
      <c r="C23723" t="s">
        <v>33</v>
      </c>
      <c r="D23723" t="s">
        <v>133</v>
      </c>
    </row>
    <row r="23724" spans="1:4" x14ac:dyDescent="0.2">
      <c r="B23724" t="s">
        <v>8</v>
      </c>
      <c r="D23724" t="s">
        <v>18961</v>
      </c>
    </row>
    <row r="23725" spans="1:4" x14ac:dyDescent="0.2">
      <c r="B23725" t="s">
        <v>78</v>
      </c>
      <c r="D23725" t="s">
        <v>297</v>
      </c>
    </row>
    <row r="23727" spans="1:4" x14ac:dyDescent="0.2">
      <c r="A23727" t="s">
        <v>7835</v>
      </c>
      <c r="B23727" t="str">
        <f>HYPERLINK("https://lindat.mff.cuni.cz/services/teitok/pdtc10/index.php?action=vallex&amp;frame=v-w3088f2", "omlouvat (v-w3088f2)")</f>
        <v>omlouvat (v-w3088f2)</v>
      </c>
    </row>
    <row r="23728" spans="1:4" x14ac:dyDescent="0.2">
      <c r="B23728" t="s">
        <v>1</v>
      </c>
    </row>
    <row r="23729" spans="1:4" x14ac:dyDescent="0.2">
      <c r="B23729" t="s">
        <v>8</v>
      </c>
      <c r="D23729" t="s">
        <v>1301</v>
      </c>
    </row>
    <row r="23731" spans="1:4" x14ac:dyDescent="0.2">
      <c r="A23731" t="s">
        <v>7836</v>
      </c>
      <c r="B23731" t="str">
        <f>HYPERLINK("https://lindat.mff.cuni.cz/services/teitok/pdtc10/index.php?action=vallex&amp;frame=v-whsb_683hsa_684", "omlouvat se (v-whsb_683hsa_684)")</f>
        <v>omlouvat se (v-whsb_683hsa_684)</v>
      </c>
    </row>
    <row r="23732" spans="1:4" x14ac:dyDescent="0.2">
      <c r="B23732" t="s">
        <v>1</v>
      </c>
    </row>
    <row r="23733" spans="1:4" x14ac:dyDescent="0.2">
      <c r="B23733" t="s">
        <v>103</v>
      </c>
    </row>
    <row r="23735" spans="1:4" x14ac:dyDescent="0.2">
      <c r="A23735" t="s">
        <v>7837</v>
      </c>
      <c r="B23735" t="str">
        <f>HYPERLINK("https://lindat.mff.cuni.cz/services/teitok/pdtc10/index.php?action=vallex&amp;frame=v-w3090f1", "omluvit (v-w3090f1)")</f>
        <v>omluvit (v-w3090f1)</v>
      </c>
    </row>
    <row r="23736" spans="1:4" x14ac:dyDescent="0.2">
      <c r="B23736" t="s">
        <v>1</v>
      </c>
      <c r="C23736" t="s">
        <v>7838</v>
      </c>
      <c r="D23736" t="s">
        <v>133</v>
      </c>
    </row>
    <row r="23737" spans="1:4" x14ac:dyDescent="0.2">
      <c r="B23737" t="s">
        <v>8</v>
      </c>
      <c r="D23737" t="s">
        <v>18961</v>
      </c>
    </row>
    <row r="23738" spans="1:4" x14ac:dyDescent="0.2">
      <c r="B23738" t="s">
        <v>78</v>
      </c>
      <c r="D23738" t="s">
        <v>297</v>
      </c>
    </row>
    <row r="23740" spans="1:4" x14ac:dyDescent="0.2">
      <c r="A23740" t="s">
        <v>7839</v>
      </c>
      <c r="B23740" t="str">
        <f>HYPERLINK("https://lindat.mff.cuni.cz/services/teitok/pdtc10/index.php?action=vallex&amp;frame=v-w3090f2", "omluvit (v-w3090f2)")</f>
        <v>omluvit (v-w3090f2)</v>
      </c>
    </row>
    <row r="23741" spans="1:4" x14ac:dyDescent="0.2">
      <c r="B23741" t="s">
        <v>1</v>
      </c>
    </row>
    <row r="23742" spans="1:4" x14ac:dyDescent="0.2">
      <c r="B23742" t="s">
        <v>8</v>
      </c>
      <c r="C23742" t="s">
        <v>1301</v>
      </c>
      <c r="D23742" t="s">
        <v>1301</v>
      </c>
    </row>
    <row r="23744" spans="1:4" x14ac:dyDescent="0.2">
      <c r="A23744" t="s">
        <v>7840</v>
      </c>
      <c r="B23744" t="str">
        <f>HYPERLINK("https://lindat.mff.cuni.cz/services/teitok/pdtc10/index.php?action=vallex&amp;frame=v-whsa_579hsa_580", "omládnout (v-whsa_579hsa_580)")</f>
        <v>omládnout (v-whsa_579hsa_580)</v>
      </c>
    </row>
    <row r="23745" spans="1:2" x14ac:dyDescent="0.2">
      <c r="B23745" t="s">
        <v>1</v>
      </c>
    </row>
    <row r="23747" spans="1:2" x14ac:dyDescent="0.2">
      <c r="A23747" t="s">
        <v>7841</v>
      </c>
      <c r="B23747" t="str">
        <f>HYPERLINK("https://lindat.mff.cuni.cz/services/teitok/pdtc10/index.php?action=vallex&amp;frame=v-w3086f2", "omlátit (v-w3086f2)")</f>
        <v>omlátit (v-w3086f2)</v>
      </c>
    </row>
    <row r="23748" spans="1:2" x14ac:dyDescent="0.2">
      <c r="B23748" t="s">
        <v>1</v>
      </c>
    </row>
    <row r="23749" spans="1:2" x14ac:dyDescent="0.2">
      <c r="B23749" t="s">
        <v>8</v>
      </c>
    </row>
    <row r="23751" spans="1:2" x14ac:dyDescent="0.2">
      <c r="A23751" t="s">
        <v>7842</v>
      </c>
      <c r="B23751" t="str">
        <f>HYPERLINK("https://lindat.mff.cuni.cz/services/teitok/pdtc10/index.php?action=vallex&amp;frame=v-w3086f1", "omlátit (v-w3086f1)")</f>
        <v>omlátit (v-w3086f1)</v>
      </c>
    </row>
    <row r="23752" spans="1:2" x14ac:dyDescent="0.2">
      <c r="B23752" t="s">
        <v>1</v>
      </c>
    </row>
    <row r="23753" spans="1:2" x14ac:dyDescent="0.2">
      <c r="B23753" t="s">
        <v>7843</v>
      </c>
    </row>
    <row r="23754" spans="1:2" x14ac:dyDescent="0.2">
      <c r="B23754" t="s">
        <v>8</v>
      </c>
    </row>
    <row r="23755" spans="1:2" x14ac:dyDescent="0.2">
      <c r="B23755" t="s">
        <v>35</v>
      </c>
    </row>
    <row r="23757" spans="1:2" x14ac:dyDescent="0.2">
      <c r="A23757" t="s">
        <v>7844</v>
      </c>
      <c r="B23757" t="str">
        <f>HYPERLINK("https://lindat.mff.cuni.cz/services/teitok/pdtc10/index.php?action=vallex&amp;frame=v-w12128_ZUf1_ZU", "omrzet (v-w12128_ZUf1_ZU)")</f>
        <v>omrzet (v-w12128_ZUf1_ZU)</v>
      </c>
    </row>
    <row r="23758" spans="1:2" x14ac:dyDescent="0.2">
      <c r="B23758" t="s">
        <v>146</v>
      </c>
    </row>
    <row r="23759" spans="1:2" x14ac:dyDescent="0.2">
      <c r="B23759" t="s">
        <v>3702</v>
      </c>
    </row>
    <row r="23761" spans="1:4" x14ac:dyDescent="0.2">
      <c r="A23761" t="s">
        <v>7845</v>
      </c>
      <c r="B23761" t="str">
        <f>HYPERLINK("https://lindat.mff.cuni.cz/services/teitok/pdtc10/index.php?action=vallex&amp;frame=v-w3091f1", "omráčit (v-w3091f1)")</f>
        <v>omráčit (v-w3091f1)</v>
      </c>
    </row>
    <row r="23762" spans="1:4" x14ac:dyDescent="0.2">
      <c r="B23762" t="s">
        <v>1</v>
      </c>
      <c r="D23762" t="s">
        <v>249</v>
      </c>
    </row>
    <row r="23763" spans="1:4" x14ac:dyDescent="0.2">
      <c r="B23763" t="s">
        <v>8</v>
      </c>
      <c r="D23763" t="s">
        <v>335</v>
      </c>
    </row>
    <row r="23765" spans="1:4" x14ac:dyDescent="0.2">
      <c r="A23765" t="s">
        <v>7846</v>
      </c>
      <c r="B23765" t="str">
        <f>HYPERLINK("https://lindat.mff.cuni.cz/services/teitok/pdtc10/index.php?action=vallex&amp;frame=v-w3091f2", "omráčit (v-w3091f2)")</f>
        <v>omráčit (v-w3091f2)</v>
      </c>
    </row>
    <row r="23766" spans="1:4" x14ac:dyDescent="0.2">
      <c r="B23766" t="s">
        <v>1</v>
      </c>
      <c r="D23766" t="s">
        <v>23416</v>
      </c>
    </row>
    <row r="23767" spans="1:4" x14ac:dyDescent="0.2">
      <c r="B23767" t="s">
        <v>8</v>
      </c>
      <c r="D23767" t="s">
        <v>23417</v>
      </c>
    </row>
    <row r="23769" spans="1:4" x14ac:dyDescent="0.2">
      <c r="A23769" t="s">
        <v>7847</v>
      </c>
      <c r="B23769" t="str">
        <f>HYPERLINK("https://lindat.mff.cuni.cz/services/teitok/pdtc10/index.php?action=vallex&amp;frame=v-w10806f2", "omílat (v-w10806f2)")</f>
        <v>omílat (v-w10806f2)</v>
      </c>
    </row>
    <row r="23770" spans="1:4" x14ac:dyDescent="0.2">
      <c r="B23770" t="s">
        <v>1</v>
      </c>
      <c r="D23770" t="s">
        <v>7863</v>
      </c>
    </row>
    <row r="23771" spans="1:4" x14ac:dyDescent="0.2">
      <c r="B23771" t="s">
        <v>7848</v>
      </c>
      <c r="C23771" t="s">
        <v>113</v>
      </c>
      <c r="D23771" t="s">
        <v>3308</v>
      </c>
    </row>
    <row r="23772" spans="1:4" x14ac:dyDescent="0.2">
      <c r="B23772" t="s">
        <v>78</v>
      </c>
    </row>
    <row r="23773" spans="1:4" x14ac:dyDescent="0.2">
      <c r="B23773" t="s">
        <v>7849</v>
      </c>
    </row>
    <row r="23775" spans="1:4" x14ac:dyDescent="0.2">
      <c r="A23775" t="s">
        <v>7850</v>
      </c>
      <c r="B23775" t="str">
        <f>HYPERLINK("https://lindat.mff.cuni.cz/services/teitok/pdtc10/index.php?action=vallex&amp;frame=v-w11539_ZUf1_ZU", "omítnout (v-w11539_ZUf1_ZU)")</f>
        <v>omítnout (v-w11539_ZUf1_ZU)</v>
      </c>
    </row>
    <row r="23776" spans="1:4" x14ac:dyDescent="0.2">
      <c r="B23776" t="s">
        <v>1</v>
      </c>
      <c r="D23776" t="s">
        <v>373</v>
      </c>
    </row>
    <row r="23777" spans="1:4" x14ac:dyDescent="0.2">
      <c r="B23777" t="s">
        <v>8</v>
      </c>
      <c r="D23777" t="s">
        <v>338</v>
      </c>
    </row>
    <row r="23779" spans="1:4" x14ac:dyDescent="0.2">
      <c r="A23779" t="s">
        <v>7851</v>
      </c>
      <c r="B23779" t="str">
        <f>HYPERLINK("https://lindat.mff.cuni.cz/services/teitok/pdtc10/index.php?action=vallex&amp;frame=v-w3093f1", "omývat (v-w3093f1)")</f>
        <v>omývat (v-w3093f1)</v>
      </c>
    </row>
    <row r="23780" spans="1:4" x14ac:dyDescent="0.2">
      <c r="B23780" t="s">
        <v>1</v>
      </c>
      <c r="D23780" t="s">
        <v>22</v>
      </c>
    </row>
    <row r="23781" spans="1:4" x14ac:dyDescent="0.2">
      <c r="B23781" t="s">
        <v>8</v>
      </c>
      <c r="D23781" t="s">
        <v>23428</v>
      </c>
    </row>
    <row r="23783" spans="1:4" x14ac:dyDescent="0.2">
      <c r="A23783" t="s">
        <v>7852</v>
      </c>
      <c r="B23783" t="str">
        <f>HYPERLINK("https://lindat.mff.cuni.cz/services/teitok/pdtc10/index.php?action=vallex&amp;frame=v-w3095f1", "onemocnět (v-w3095f1)")</f>
        <v>onemocnět (v-w3095f1)</v>
      </c>
    </row>
    <row r="23784" spans="1:4" x14ac:dyDescent="0.2">
      <c r="B23784" t="s">
        <v>1</v>
      </c>
      <c r="C23784" t="s">
        <v>7853</v>
      </c>
    </row>
    <row r="23785" spans="1:4" x14ac:dyDescent="0.2">
      <c r="B23785" t="s">
        <v>3225</v>
      </c>
      <c r="C23785" t="s">
        <v>7854</v>
      </c>
    </row>
    <row r="23787" spans="1:4" x14ac:dyDescent="0.2">
      <c r="A23787" t="s">
        <v>7855</v>
      </c>
      <c r="B23787" t="str">
        <f>HYPERLINK("https://lindat.mff.cuni.cz/services/teitok/pdtc10/index.php?action=vallex&amp;frame=v-w12159_ZUf1_ZU", "onosit (v-w12159_ZUf1_ZU)")</f>
        <v>onosit (v-w12159_ZUf1_ZU)</v>
      </c>
    </row>
    <row r="23788" spans="1:4" x14ac:dyDescent="0.2">
      <c r="B23788" t="s">
        <v>1</v>
      </c>
    </row>
    <row r="23789" spans="1:4" x14ac:dyDescent="0.2">
      <c r="B23789" t="s">
        <v>8</v>
      </c>
    </row>
    <row r="23791" spans="1:4" x14ac:dyDescent="0.2">
      <c r="A23791" t="s">
        <v>7856</v>
      </c>
      <c r="B23791" t="str">
        <f>HYPERLINK("https://lindat.mff.cuni.cz/services/teitok/pdtc10/index.php?action=vallex&amp;frame=v-w10092f2", "opadat (v-w10092f2)")</f>
        <v>opadat (v-w10092f2)</v>
      </c>
    </row>
    <row r="23792" spans="1:4" x14ac:dyDescent="0.2">
      <c r="B23792" t="s">
        <v>1</v>
      </c>
      <c r="C23792" t="s">
        <v>566</v>
      </c>
      <c r="D23792" t="s">
        <v>3043</v>
      </c>
    </row>
    <row r="23794" spans="1:4" x14ac:dyDescent="0.2">
      <c r="A23794" t="s">
        <v>7857</v>
      </c>
      <c r="B23794" t="str">
        <f>HYPERLINK("https://lindat.mff.cuni.cz/services/teitok/pdtc10/index.php?action=vallex&amp;frame=v-w10092f3_ZU", "opadat (v-w10092f3_ZU)")</f>
        <v>opadat (v-w10092f3_ZU)</v>
      </c>
    </row>
    <row r="23795" spans="1:4" x14ac:dyDescent="0.2">
      <c r="B23795" t="s">
        <v>1</v>
      </c>
      <c r="C23795" t="s">
        <v>127</v>
      </c>
      <c r="D23795" t="s">
        <v>23324</v>
      </c>
    </row>
    <row r="23797" spans="1:4" x14ac:dyDescent="0.2">
      <c r="A23797" t="s">
        <v>7858</v>
      </c>
      <c r="B23797" t="str">
        <f>HYPERLINK("https://lindat.mff.cuni.cz/services/teitok/pdtc10/index.php?action=vallex&amp;frame=v-w3096f1", "opadnout (v-w3096f1)")</f>
        <v>opadnout (v-w3096f1)</v>
      </c>
    </row>
    <row r="23798" spans="1:4" x14ac:dyDescent="0.2">
      <c r="B23798" t="s">
        <v>1</v>
      </c>
      <c r="C23798" t="s">
        <v>3781</v>
      </c>
      <c r="D23798" t="s">
        <v>23636</v>
      </c>
    </row>
    <row r="23800" spans="1:4" x14ac:dyDescent="0.2">
      <c r="A23800" t="s">
        <v>7859</v>
      </c>
      <c r="B23800" t="str">
        <f>HYPERLINK("https://lindat.mff.cuni.cz/services/teitok/pdtc10/index.php?action=vallex&amp;frame=v-w3096f2_MM", "opadnout (v-w3096f2_MM)")</f>
        <v>opadnout (v-w3096f2_MM)</v>
      </c>
    </row>
    <row r="23801" spans="1:4" x14ac:dyDescent="0.2">
      <c r="B23801" t="s">
        <v>1</v>
      </c>
    </row>
    <row r="23803" spans="1:4" x14ac:dyDescent="0.2">
      <c r="A23803" t="s">
        <v>7860</v>
      </c>
      <c r="B23803" t="str">
        <f>HYPERLINK("https://lindat.mff.cuni.cz/services/teitok/pdtc10/index.php?action=vallex&amp;frame=v-whsa_694hsa_695", "opadávat (v-whsa_694hsa_695)")</f>
        <v>opadávat (v-whsa_694hsa_695)</v>
      </c>
    </row>
    <row r="23804" spans="1:4" x14ac:dyDescent="0.2">
      <c r="B23804" t="s">
        <v>1</v>
      </c>
      <c r="C23804" t="s">
        <v>201</v>
      </c>
      <c r="D23804" t="s">
        <v>23324</v>
      </c>
    </row>
    <row r="23806" spans="1:4" x14ac:dyDescent="0.2">
      <c r="A23806" t="s">
        <v>7861</v>
      </c>
      <c r="B23806" t="str">
        <f>HYPERLINK("https://lindat.mff.cuni.cz/services/teitok/pdtc10/index.php?action=vallex&amp;frame=v-whsa_694f1_ZU", "opadávat (v-whsa_694f1_ZU)")</f>
        <v>opadávat (v-whsa_694f1_ZU)</v>
      </c>
    </row>
    <row r="23807" spans="1:4" x14ac:dyDescent="0.2">
      <c r="B23807" t="s">
        <v>1</v>
      </c>
    </row>
    <row r="23809" spans="1:4" x14ac:dyDescent="0.2">
      <c r="A23809" t="s">
        <v>7862</v>
      </c>
      <c r="B23809" t="str">
        <f>HYPERLINK("https://lindat.mff.cuni.cz/services/teitok/pdtc10/index.php?action=vallex&amp;frame=v-w3099f1", "opakovat (v-w3099f1)")</f>
        <v>opakovat (v-w3099f1)</v>
      </c>
    </row>
    <row r="23810" spans="1:4" x14ac:dyDescent="0.2">
      <c r="B23810" t="s">
        <v>1</v>
      </c>
      <c r="C23810" t="s">
        <v>7863</v>
      </c>
      <c r="D23810" t="s">
        <v>7863</v>
      </c>
    </row>
    <row r="23811" spans="1:4" x14ac:dyDescent="0.2">
      <c r="B23811" t="s">
        <v>7848</v>
      </c>
      <c r="C23811" t="s">
        <v>2290</v>
      </c>
      <c r="D23811" t="s">
        <v>3308</v>
      </c>
    </row>
    <row r="23812" spans="1:4" x14ac:dyDescent="0.2">
      <c r="B23812" t="s">
        <v>78</v>
      </c>
    </row>
    <row r="23813" spans="1:4" x14ac:dyDescent="0.2">
      <c r="B23813" t="s">
        <v>7849</v>
      </c>
    </row>
    <row r="23815" spans="1:4" x14ac:dyDescent="0.2">
      <c r="A23815" t="s">
        <v>7864</v>
      </c>
      <c r="B23815" t="str">
        <f>HYPERLINK("https://lindat.mff.cuni.cz/services/teitok/pdtc10/index.php?action=vallex&amp;frame=v-w3099f2", "opakovat (v-w3099f2)")</f>
        <v>opakovat (v-w3099f2)</v>
      </c>
    </row>
    <row r="23816" spans="1:4" x14ac:dyDescent="0.2">
      <c r="B23816" t="s">
        <v>1</v>
      </c>
      <c r="C23816" t="s">
        <v>7865</v>
      </c>
    </row>
    <row r="23817" spans="1:4" x14ac:dyDescent="0.2">
      <c r="B23817" t="s">
        <v>7866</v>
      </c>
      <c r="C23817" t="s">
        <v>1510</v>
      </c>
    </row>
    <row r="23818" spans="1:4" x14ac:dyDescent="0.2">
      <c r="B23818" t="s">
        <v>2328</v>
      </c>
    </row>
    <row r="23820" spans="1:4" x14ac:dyDescent="0.2">
      <c r="A23820" t="s">
        <v>7867</v>
      </c>
      <c r="B23820" t="str">
        <f>HYPERLINK("https://lindat.mff.cuni.cz/services/teitok/pdtc10/index.php?action=vallex&amp;frame=v-w3099f3", "opakovat (v-w3099f3)")</f>
        <v>opakovat (v-w3099f3)</v>
      </c>
    </row>
    <row r="23821" spans="1:4" x14ac:dyDescent="0.2">
      <c r="B23821" t="s">
        <v>1</v>
      </c>
      <c r="C23821" t="s">
        <v>7865</v>
      </c>
    </row>
    <row r="23822" spans="1:4" x14ac:dyDescent="0.2">
      <c r="B23822" t="s">
        <v>4749</v>
      </c>
      <c r="C23822" t="s">
        <v>7868</v>
      </c>
    </row>
    <row r="23823" spans="1:4" x14ac:dyDescent="0.2">
      <c r="B23823" t="s">
        <v>269</v>
      </c>
    </row>
    <row r="23824" spans="1:4" x14ac:dyDescent="0.2">
      <c r="B23824" t="s">
        <v>78</v>
      </c>
    </row>
    <row r="23826" spans="1:3" x14ac:dyDescent="0.2">
      <c r="A23826" t="s">
        <v>7869</v>
      </c>
      <c r="B23826" t="str">
        <f>HYPERLINK("https://lindat.mff.cuni.cz/services/teitok/pdtc10/index.php?action=vallex&amp;frame=v-w3100f1", "opakovat se (v-w3100f1)")</f>
        <v>opakovat se (v-w3100f1)</v>
      </c>
    </row>
    <row r="23827" spans="1:3" x14ac:dyDescent="0.2">
      <c r="B23827" t="s">
        <v>1</v>
      </c>
      <c r="C23827" t="s">
        <v>7870</v>
      </c>
    </row>
    <row r="23829" spans="1:3" x14ac:dyDescent="0.2">
      <c r="A23829" t="s">
        <v>7871</v>
      </c>
      <c r="B23829" t="str">
        <f>HYPERLINK("https://lindat.mff.cuni.cz/services/teitok/pdtc10/index.php?action=vallex&amp;frame=v-w3100f2", "opakovat se (v-w3100f2)")</f>
        <v>opakovat se (v-w3100f2)</v>
      </c>
    </row>
    <row r="23830" spans="1:3" x14ac:dyDescent="0.2">
      <c r="B23830" t="s">
        <v>1</v>
      </c>
    </row>
    <row r="23832" spans="1:3" x14ac:dyDescent="0.2">
      <c r="A23832" t="s">
        <v>7872</v>
      </c>
      <c r="B23832" t="str">
        <f>HYPERLINK("https://lindat.mff.cuni.cz/services/teitok/pdtc10/index.php?action=vallex&amp;frame=v-w3101f1", "opakovat si (v-w3101f1)")</f>
        <v>opakovat si (v-w3101f1)</v>
      </c>
    </row>
    <row r="23833" spans="1:3" x14ac:dyDescent="0.2">
      <c r="B23833" t="s">
        <v>1</v>
      </c>
    </row>
    <row r="23834" spans="1:3" x14ac:dyDescent="0.2">
      <c r="B23834" t="s">
        <v>8</v>
      </c>
    </row>
    <row r="23836" spans="1:3" x14ac:dyDescent="0.2">
      <c r="A23836" t="s">
        <v>7873</v>
      </c>
      <c r="B23836" t="str">
        <f>HYPERLINK("https://lindat.mff.cuni.cz/services/teitok/pdtc10/index.php?action=vallex&amp;frame=v-w11540_ZUf1_ZU", "opalovat (v-w11540_ZUf1_ZU)")</f>
        <v>opalovat (v-w11540_ZUf1_ZU)</v>
      </c>
    </row>
    <row r="23837" spans="1:3" x14ac:dyDescent="0.2">
      <c r="B23837" t="s">
        <v>1</v>
      </c>
    </row>
    <row r="23838" spans="1:3" x14ac:dyDescent="0.2">
      <c r="B23838" t="s">
        <v>8</v>
      </c>
    </row>
    <row r="23840" spans="1:3" x14ac:dyDescent="0.2">
      <c r="A23840" t="s">
        <v>7874</v>
      </c>
      <c r="B23840" t="str">
        <f>HYPERLINK("https://lindat.mff.cuni.cz/services/teitok/pdtc10/index.php?action=vallex&amp;frame=v-w3103f1", "opalovat se (v-w3103f1)")</f>
        <v>opalovat se (v-w3103f1)</v>
      </c>
    </row>
    <row r="23841" spans="1:4" x14ac:dyDescent="0.2">
      <c r="B23841" t="s">
        <v>1</v>
      </c>
    </row>
    <row r="23843" spans="1:4" x14ac:dyDescent="0.2">
      <c r="A23843" t="s">
        <v>7875</v>
      </c>
      <c r="B23843" t="str">
        <f>HYPERLINK("https://lindat.mff.cuni.cz/services/teitok/pdtc10/index.php?action=vallex&amp;frame=v-w3109f1", "opatrovat (v-w3109f1)")</f>
        <v>opatrovat (v-w3109f1)</v>
      </c>
    </row>
    <row r="23844" spans="1:4" x14ac:dyDescent="0.2">
      <c r="B23844" t="s">
        <v>1</v>
      </c>
    </row>
    <row r="23845" spans="1:4" x14ac:dyDescent="0.2">
      <c r="B23845" t="s">
        <v>8</v>
      </c>
    </row>
    <row r="23846" spans="1:4" x14ac:dyDescent="0.2">
      <c r="B23846" t="s">
        <v>308</v>
      </c>
    </row>
    <row r="23848" spans="1:4" x14ac:dyDescent="0.2">
      <c r="A23848" t="s">
        <v>7876</v>
      </c>
      <c r="B23848" t="str">
        <f>HYPERLINK("https://lindat.mff.cuni.cz/services/teitok/pdtc10/index.php?action=vallex&amp;frame=v-w3109hsa_682", "opatrovat (v-w3109hsa_682)")</f>
        <v>opatrovat (v-w3109hsa_682)</v>
      </c>
    </row>
    <row r="23849" spans="1:4" x14ac:dyDescent="0.2">
      <c r="B23849" t="s">
        <v>1</v>
      </c>
    </row>
    <row r="23850" spans="1:4" x14ac:dyDescent="0.2">
      <c r="B23850" t="s">
        <v>8</v>
      </c>
    </row>
    <row r="23852" spans="1:4" x14ac:dyDescent="0.2">
      <c r="A23852" t="s">
        <v>7877</v>
      </c>
      <c r="B23852" t="str">
        <f>HYPERLINK("https://lindat.mff.cuni.cz/services/teitok/pdtc10/index.php?action=vallex&amp;frame=v-w3113f1", "opatřit (v-w3113f1)")</f>
        <v>opatřit (v-w3113f1)</v>
      </c>
    </row>
    <row r="23853" spans="1:4" x14ac:dyDescent="0.2">
      <c r="B23853" t="s">
        <v>1</v>
      </c>
      <c r="D23853" t="s">
        <v>23711</v>
      </c>
    </row>
    <row r="23854" spans="1:4" x14ac:dyDescent="0.2">
      <c r="B23854" t="s">
        <v>8</v>
      </c>
      <c r="D23854" t="s">
        <v>23712</v>
      </c>
    </row>
    <row r="23855" spans="1:4" x14ac:dyDescent="0.2">
      <c r="B23855" t="s">
        <v>1193</v>
      </c>
      <c r="D23855" t="s">
        <v>23713</v>
      </c>
    </row>
    <row r="23857" spans="1:4" x14ac:dyDescent="0.2">
      <c r="A23857" t="s">
        <v>7878</v>
      </c>
      <c r="B23857" t="str">
        <f>HYPERLINK("https://lindat.mff.cuni.cz/services/teitok/pdtc10/index.php?action=vallex&amp;frame=v-w3113f3_ZU", "opatřit (v-w3113f3_ZU)")</f>
        <v>opatřit (v-w3113f3_ZU)</v>
      </c>
    </row>
    <row r="23858" spans="1:4" x14ac:dyDescent="0.2">
      <c r="B23858" t="s">
        <v>1</v>
      </c>
    </row>
    <row r="23859" spans="1:4" x14ac:dyDescent="0.2">
      <c r="B23859" t="s">
        <v>8</v>
      </c>
    </row>
    <row r="23860" spans="1:4" x14ac:dyDescent="0.2">
      <c r="B23860" t="s">
        <v>321</v>
      </c>
    </row>
    <row r="23862" spans="1:4" x14ac:dyDescent="0.2">
      <c r="A23862" t="s">
        <v>7878</v>
      </c>
      <c r="B23862" t="str">
        <f>HYPERLINK("https://lindat.mff.cuni.cz/services/teitok/pdtc10/index.php?action=vallex&amp;frame=v-w3113f2", "opatřit (v-w3113f2) - substituted with v-w3113f3_ZU")</f>
        <v>opatřit (v-w3113f2) - substituted with v-w3113f3_ZU</v>
      </c>
    </row>
    <row r="23863" spans="1:4" x14ac:dyDescent="0.2">
      <c r="B23863" t="s">
        <v>1</v>
      </c>
      <c r="C23863" t="s">
        <v>2571</v>
      </c>
      <c r="D23863" t="s">
        <v>3081</v>
      </c>
    </row>
    <row r="23864" spans="1:4" x14ac:dyDescent="0.2">
      <c r="B23864" t="s">
        <v>8</v>
      </c>
      <c r="C23864" t="s">
        <v>1277</v>
      </c>
      <c r="D23864" t="s">
        <v>23630</v>
      </c>
    </row>
    <row r="23865" spans="1:4" x14ac:dyDescent="0.2">
      <c r="B23865" t="s">
        <v>321</v>
      </c>
    </row>
    <row r="23867" spans="1:4" x14ac:dyDescent="0.2">
      <c r="A23867" t="s">
        <v>7879</v>
      </c>
      <c r="B23867" t="str">
        <f>HYPERLINK("https://lindat.mff.cuni.cz/services/teitok/pdtc10/index.php?action=vallex&amp;frame=v-w3113hsa_1247", "opatřit (v-w3113hsa_1247)")</f>
        <v>opatřit (v-w3113hsa_1247)</v>
      </c>
    </row>
    <row r="23868" spans="1:4" x14ac:dyDescent="0.2">
      <c r="B23868" t="s">
        <v>1</v>
      </c>
    </row>
    <row r="23869" spans="1:4" x14ac:dyDescent="0.2">
      <c r="B23869" t="s">
        <v>8</v>
      </c>
    </row>
    <row r="23871" spans="1:4" x14ac:dyDescent="0.2">
      <c r="A23871" t="s">
        <v>7880</v>
      </c>
      <c r="B23871" t="str">
        <f>HYPERLINK("https://lindat.mff.cuni.cz/services/teitok/pdtc10/index.php?action=vallex&amp;frame=v-whsa_1558hsa_1559", "opatřovat (v-whsa_1558hsa_1559)")</f>
        <v>opatřovat (v-whsa_1558hsa_1559)</v>
      </c>
    </row>
    <row r="23872" spans="1:4" x14ac:dyDescent="0.2">
      <c r="B23872" t="s">
        <v>1</v>
      </c>
    </row>
    <row r="23873" spans="1:2" x14ac:dyDescent="0.2">
      <c r="B23873" t="s">
        <v>8</v>
      </c>
    </row>
    <row r="23875" spans="1:2" x14ac:dyDescent="0.2">
      <c r="A23875" t="s">
        <v>7881</v>
      </c>
      <c r="B23875" t="str">
        <f>HYPERLINK("https://lindat.mff.cuni.cz/services/teitok/pdtc10/index.php?action=vallex&amp;frame=v-w3104f2", "opařit (v-w3104f2)")</f>
        <v>opařit (v-w3104f2)</v>
      </c>
    </row>
    <row r="23876" spans="1:2" x14ac:dyDescent="0.2">
      <c r="B23876" t="s">
        <v>1</v>
      </c>
    </row>
    <row r="23877" spans="1:2" x14ac:dyDescent="0.2">
      <c r="B23877" t="s">
        <v>8</v>
      </c>
    </row>
    <row r="23879" spans="1:2" x14ac:dyDescent="0.2">
      <c r="A23879" t="s">
        <v>7882</v>
      </c>
      <c r="B23879" t="str">
        <f>HYPERLINK("https://lindat.mff.cuni.cz/services/teitok/pdtc10/index.php?action=vallex&amp;frame=v-w3104f1", "opařit (v-w3104f1)")</f>
        <v>opařit (v-w3104f1)</v>
      </c>
    </row>
    <row r="23880" spans="1:2" x14ac:dyDescent="0.2">
      <c r="B23880" t="s">
        <v>1</v>
      </c>
    </row>
    <row r="23881" spans="1:2" x14ac:dyDescent="0.2">
      <c r="B23881" t="s">
        <v>8</v>
      </c>
    </row>
    <row r="23883" spans="1:2" x14ac:dyDescent="0.2">
      <c r="A23883" t="s">
        <v>7883</v>
      </c>
      <c r="B23883" t="str">
        <f>HYPERLINK("https://lindat.mff.cuni.cz/services/teitok/pdtc10/index.php?action=vallex&amp;frame=v-w3105f1", "opařit se (v-w3105f1)")</f>
        <v>opařit se (v-w3105f1)</v>
      </c>
    </row>
    <row r="23884" spans="1:2" x14ac:dyDescent="0.2">
      <c r="B23884" t="s">
        <v>1</v>
      </c>
    </row>
    <row r="23886" spans="1:2" x14ac:dyDescent="0.2">
      <c r="A23886" t="s">
        <v>7884</v>
      </c>
      <c r="B23886" t="str">
        <f>HYPERLINK("https://lindat.mff.cuni.cz/services/teitok/pdtc10/index.php?action=vallex&amp;frame=v-w11541_ZUf1_ZU", "opepřit (v-w11541_ZUf1_ZU)")</f>
        <v>opepřit (v-w11541_ZUf1_ZU)</v>
      </c>
    </row>
    <row r="23887" spans="1:2" x14ac:dyDescent="0.2">
      <c r="B23887" t="s">
        <v>1</v>
      </c>
    </row>
    <row r="23888" spans="1:2" x14ac:dyDescent="0.2">
      <c r="B23888" t="s">
        <v>8</v>
      </c>
    </row>
    <row r="23890" spans="1:4" x14ac:dyDescent="0.2">
      <c r="A23890" t="s">
        <v>7885</v>
      </c>
      <c r="B23890" t="str">
        <f>HYPERLINK("https://lindat.mff.cuni.cz/services/teitok/pdtc10/index.php?action=vallex&amp;frame=v-w3117f1", "operovat (v-w3117f1)")</f>
        <v>operovat (v-w3117f1)</v>
      </c>
    </row>
    <row r="23891" spans="1:4" x14ac:dyDescent="0.2">
      <c r="B23891" t="s">
        <v>1</v>
      </c>
      <c r="C23891" t="s">
        <v>990</v>
      </c>
    </row>
    <row r="23892" spans="1:4" x14ac:dyDescent="0.2">
      <c r="B23892" t="s">
        <v>8</v>
      </c>
      <c r="C23892" t="s">
        <v>110</v>
      </c>
    </row>
    <row r="23894" spans="1:4" x14ac:dyDescent="0.2">
      <c r="A23894" t="s">
        <v>7886</v>
      </c>
      <c r="B23894" t="str">
        <f>HYPERLINK("https://lindat.mff.cuni.cz/services/teitok/pdtc10/index.php?action=vallex&amp;frame=v-w3117f5_ZU", "operovat (v-w3117f5_ZU)")</f>
        <v>operovat (v-w3117f5_ZU)</v>
      </c>
    </row>
    <row r="23895" spans="1:4" x14ac:dyDescent="0.2">
      <c r="B23895" t="s">
        <v>1</v>
      </c>
      <c r="D23895" t="s">
        <v>23714</v>
      </c>
    </row>
    <row r="23896" spans="1:4" x14ac:dyDescent="0.2">
      <c r="B23896" t="s">
        <v>1358</v>
      </c>
      <c r="D23896" t="s">
        <v>23715</v>
      </c>
    </row>
    <row r="23898" spans="1:4" x14ac:dyDescent="0.2">
      <c r="A23898" t="s">
        <v>7886</v>
      </c>
      <c r="B23898" t="str">
        <f>HYPERLINK("https://lindat.mff.cuni.cz/services/teitok/pdtc10/index.php?action=vallex&amp;frame=v-w3117f3", "operovat (v-w3117f3) - substituted with v-w3117f5_ZU")</f>
        <v>operovat (v-w3117f3) - substituted with v-w3117f5_ZU</v>
      </c>
    </row>
    <row r="23899" spans="1:4" x14ac:dyDescent="0.2">
      <c r="B23899" t="s">
        <v>1</v>
      </c>
      <c r="C23899" t="s">
        <v>5817</v>
      </c>
    </row>
    <row r="23900" spans="1:4" x14ac:dyDescent="0.2">
      <c r="B23900" t="s">
        <v>1358</v>
      </c>
      <c r="C23900" t="s">
        <v>7887</v>
      </c>
    </row>
    <row r="23902" spans="1:4" x14ac:dyDescent="0.2">
      <c r="A23902" t="s">
        <v>7886</v>
      </c>
      <c r="B23902" t="str">
        <f>HYPERLINK("https://lindat.mff.cuni.cz/services/teitok/pdtc10/index.php?action=vallex&amp;frame=v-w3117f4_ZU", "operovat (v-w3117f4_ZU) - substituted with v-w3117f5_ZU")</f>
        <v>operovat (v-w3117f4_ZU) - substituted with v-w3117f5_ZU</v>
      </c>
    </row>
    <row r="23903" spans="1:4" x14ac:dyDescent="0.2">
      <c r="B23903" t="s">
        <v>1</v>
      </c>
    </row>
    <row r="23904" spans="1:4" x14ac:dyDescent="0.2">
      <c r="B23904" t="s">
        <v>1358</v>
      </c>
    </row>
    <row r="23906" spans="1:4" x14ac:dyDescent="0.2">
      <c r="A23906" t="s">
        <v>7888</v>
      </c>
      <c r="B23906" t="str">
        <f>HYPERLINK("https://lindat.mff.cuni.cz/services/teitok/pdtc10/index.php?action=vallex&amp;frame=v-w3117f2", "operovat (v-w3117f2)")</f>
        <v>operovat (v-w3117f2)</v>
      </c>
    </row>
    <row r="23907" spans="1:4" x14ac:dyDescent="0.2">
      <c r="B23907" t="s">
        <v>1</v>
      </c>
      <c r="C23907" t="s">
        <v>7889</v>
      </c>
      <c r="D23907" t="s">
        <v>23468</v>
      </c>
    </row>
    <row r="23908" spans="1:4" x14ac:dyDescent="0.2">
      <c r="B23908" t="s">
        <v>5</v>
      </c>
      <c r="C23908" t="s">
        <v>7890</v>
      </c>
      <c r="D23908" t="s">
        <v>23469</v>
      </c>
    </row>
    <row r="23910" spans="1:4" x14ac:dyDescent="0.2">
      <c r="A23910" t="s">
        <v>7891</v>
      </c>
      <c r="B23910" t="str">
        <f>HYPERLINK("https://lindat.mff.cuni.cz/services/teitok/pdtc10/index.php?action=vallex&amp;frame=v-w3117f6_ZU", "operovat (v-w3117f6_ZU)")</f>
        <v>operovat (v-w3117f6_ZU)</v>
      </c>
    </row>
    <row r="23911" spans="1:4" x14ac:dyDescent="0.2">
      <c r="B23911" t="s">
        <v>1</v>
      </c>
      <c r="C23911" t="s">
        <v>7892</v>
      </c>
      <c r="D23911" t="s">
        <v>23034</v>
      </c>
    </row>
    <row r="23913" spans="1:4" x14ac:dyDescent="0.2">
      <c r="A23913" t="s">
        <v>7893</v>
      </c>
      <c r="B23913" t="str">
        <f>HYPERLINK("https://lindat.mff.cuni.cz/services/teitok/pdtc10/index.php?action=vallex&amp;frame=v-w3117f8_ZU", "operovat (v-w3117f8_ZU)")</f>
        <v>operovat (v-w3117f8_ZU)</v>
      </c>
    </row>
    <row r="23914" spans="1:4" x14ac:dyDescent="0.2">
      <c r="B23914" t="s">
        <v>1</v>
      </c>
    </row>
    <row r="23915" spans="1:4" x14ac:dyDescent="0.2">
      <c r="B23915" t="s">
        <v>8</v>
      </c>
    </row>
    <row r="23917" spans="1:4" x14ac:dyDescent="0.2">
      <c r="A23917" t="s">
        <v>7893</v>
      </c>
      <c r="B23917" t="str">
        <f>HYPERLINK("https://lindat.mff.cuni.cz/services/teitok/pdtc10/index.php?action=vallex&amp;frame=v-w3117f7_ZU", "operovat (v-w3117f7_ZU) - substituted with v-w3117f8_ZU")</f>
        <v>operovat (v-w3117f7_ZU) - substituted with v-w3117f8_ZU</v>
      </c>
    </row>
    <row r="23918" spans="1:4" x14ac:dyDescent="0.2">
      <c r="B23918" t="s">
        <v>1</v>
      </c>
    </row>
    <row r="23919" spans="1:4" x14ac:dyDescent="0.2">
      <c r="B23919" t="s">
        <v>8</v>
      </c>
    </row>
    <row r="23921" spans="1:4" x14ac:dyDescent="0.2">
      <c r="A23921" t="s">
        <v>7894</v>
      </c>
      <c r="B23921" t="str">
        <f>HYPERLINK("https://lindat.mff.cuni.cz/services/teitok/pdtc10/index.php?action=vallex&amp;frame=v-w10094f2", "opevňovat (v-w10094f2)")</f>
        <v>opevňovat (v-w10094f2)</v>
      </c>
    </row>
    <row r="23922" spans="1:4" x14ac:dyDescent="0.2">
      <c r="B23922" t="s">
        <v>1</v>
      </c>
      <c r="C23922" t="s">
        <v>140</v>
      </c>
      <c r="D23922" t="s">
        <v>23716</v>
      </c>
    </row>
    <row r="23923" spans="1:4" x14ac:dyDescent="0.2">
      <c r="B23923" t="s">
        <v>8</v>
      </c>
      <c r="D23923" t="s">
        <v>23717</v>
      </c>
    </row>
    <row r="23924" spans="1:4" x14ac:dyDescent="0.2">
      <c r="B23924" t="s">
        <v>308</v>
      </c>
      <c r="D23924" t="s">
        <v>23718</v>
      </c>
    </row>
    <row r="23926" spans="1:4" x14ac:dyDescent="0.2">
      <c r="A23926" t="s">
        <v>7895</v>
      </c>
      <c r="B23926" t="str">
        <f>HYPERLINK("https://lindat.mff.cuni.cz/services/teitok/pdtc10/index.php?action=vallex&amp;frame=v-w10842f2", "opečovávat (v-w10842f2)")</f>
        <v>opečovávat (v-w10842f2)</v>
      </c>
    </row>
    <row r="23927" spans="1:4" x14ac:dyDescent="0.2">
      <c r="B23927" t="s">
        <v>1</v>
      </c>
    </row>
    <row r="23928" spans="1:4" x14ac:dyDescent="0.2">
      <c r="B23928" t="s">
        <v>8</v>
      </c>
    </row>
    <row r="23930" spans="1:4" x14ac:dyDescent="0.2">
      <c r="A23930" t="s">
        <v>7896</v>
      </c>
      <c r="B23930" t="str">
        <f>HYPERLINK("https://lindat.mff.cuni.cz/services/teitok/pdtc10/index.php?action=vallex&amp;frame=v-w3127f1", "opisovat (v-w3127f1)")</f>
        <v>opisovat (v-w3127f1)</v>
      </c>
    </row>
    <row r="23931" spans="1:4" x14ac:dyDescent="0.2">
      <c r="B23931" t="s">
        <v>1</v>
      </c>
      <c r="C23931" t="s">
        <v>249</v>
      </c>
      <c r="D23931" t="s">
        <v>334</v>
      </c>
    </row>
    <row r="23932" spans="1:4" x14ac:dyDescent="0.2">
      <c r="B23932" t="s">
        <v>8</v>
      </c>
      <c r="C23932" t="s">
        <v>7897</v>
      </c>
      <c r="D23932" t="s">
        <v>125</v>
      </c>
    </row>
    <row r="23934" spans="1:4" x14ac:dyDescent="0.2">
      <c r="A23934" t="s">
        <v>7898</v>
      </c>
      <c r="B23934" t="str">
        <f>HYPERLINK("https://lindat.mff.cuni.cz/services/teitok/pdtc10/index.php?action=vallex&amp;frame=v-w12193_ZUf1_ZU", "opičit se (v-w12193_ZUf1_ZU)")</f>
        <v>opičit se (v-w12193_ZUf1_ZU)</v>
      </c>
    </row>
    <row r="23935" spans="1:4" x14ac:dyDescent="0.2">
      <c r="B23935" t="s">
        <v>1</v>
      </c>
    </row>
    <row r="23936" spans="1:4" x14ac:dyDescent="0.2">
      <c r="B23936" t="s">
        <v>1165</v>
      </c>
    </row>
    <row r="23938" spans="1:4" x14ac:dyDescent="0.2">
      <c r="A23938" t="s">
        <v>7899</v>
      </c>
      <c r="B23938" t="str">
        <f>HYPERLINK("https://lindat.mff.cuni.cz/services/teitok/pdtc10/index.php?action=vallex&amp;frame=v-whsa_887hsa_888", "oplakat (v-whsa_887hsa_888)")</f>
        <v>oplakat (v-whsa_887hsa_888)</v>
      </c>
    </row>
    <row r="23939" spans="1:4" x14ac:dyDescent="0.2">
      <c r="B23939" t="s">
        <v>1</v>
      </c>
    </row>
    <row r="23940" spans="1:4" x14ac:dyDescent="0.2">
      <c r="B23940" t="s">
        <v>8</v>
      </c>
    </row>
    <row r="23942" spans="1:4" x14ac:dyDescent="0.2">
      <c r="A23942" t="s">
        <v>7900</v>
      </c>
      <c r="B23942" t="str">
        <f>HYPERLINK("https://lindat.mff.cuni.cz/services/teitok/pdtc10/index.php?action=vallex&amp;frame=v-w10467f2", "oplakávat (v-w10467f2)")</f>
        <v>oplakávat (v-w10467f2)</v>
      </c>
    </row>
    <row r="23943" spans="1:4" x14ac:dyDescent="0.2">
      <c r="B23943" t="s">
        <v>1</v>
      </c>
      <c r="C23943" t="s">
        <v>140</v>
      </c>
      <c r="D23943" t="s">
        <v>23719</v>
      </c>
    </row>
    <row r="23944" spans="1:4" x14ac:dyDescent="0.2">
      <c r="B23944" t="s">
        <v>8</v>
      </c>
      <c r="C23944" t="s">
        <v>34</v>
      </c>
      <c r="D23944" t="s">
        <v>1044</v>
      </c>
    </row>
    <row r="23946" spans="1:4" x14ac:dyDescent="0.2">
      <c r="A23946" t="s">
        <v>7901</v>
      </c>
      <c r="B23946" t="str">
        <f>HYPERLINK("https://lindat.mff.cuni.cz/services/teitok/pdtc10/index.php?action=vallex&amp;frame=v-w3131f1", "oplatit (v-w3131f1)")</f>
        <v>oplatit (v-w3131f1)</v>
      </c>
    </row>
    <row r="23947" spans="1:4" x14ac:dyDescent="0.2">
      <c r="B23947" t="s">
        <v>1</v>
      </c>
    </row>
    <row r="23948" spans="1:4" x14ac:dyDescent="0.2">
      <c r="B23948" t="s">
        <v>8</v>
      </c>
    </row>
    <row r="23949" spans="1:4" x14ac:dyDescent="0.2">
      <c r="B23949" t="s">
        <v>35</v>
      </c>
    </row>
    <row r="23951" spans="1:4" x14ac:dyDescent="0.2">
      <c r="A23951" t="s">
        <v>7902</v>
      </c>
      <c r="B23951" t="str">
        <f>HYPERLINK("https://lindat.mff.cuni.cz/services/teitok/pdtc10/index.php?action=vallex&amp;frame=v-w10918f2", "oplodnit (v-w10918f2)")</f>
        <v>oplodnit (v-w10918f2)</v>
      </c>
    </row>
    <row r="23952" spans="1:4" x14ac:dyDescent="0.2">
      <c r="B23952" t="s">
        <v>1</v>
      </c>
      <c r="C23952" t="s">
        <v>33</v>
      </c>
      <c r="D23952" t="s">
        <v>33</v>
      </c>
    </row>
    <row r="23953" spans="1:4" x14ac:dyDescent="0.2">
      <c r="B23953" t="s">
        <v>8</v>
      </c>
      <c r="C23953" t="s">
        <v>23</v>
      </c>
      <c r="D23953" t="s">
        <v>23</v>
      </c>
    </row>
    <row r="23955" spans="1:4" x14ac:dyDescent="0.2">
      <c r="A23955" t="s">
        <v>7903</v>
      </c>
      <c r="B23955" t="str">
        <f>HYPERLINK("https://lindat.mff.cuni.cz/services/teitok/pdtc10/index.php?action=vallex&amp;frame=v-w3132f1", "oplotit (v-w3132f1)")</f>
        <v>oplotit (v-w3132f1)</v>
      </c>
    </row>
    <row r="23956" spans="1:4" x14ac:dyDescent="0.2">
      <c r="B23956" t="s">
        <v>1</v>
      </c>
    </row>
    <row r="23957" spans="1:4" x14ac:dyDescent="0.2">
      <c r="B23957" t="s">
        <v>8</v>
      </c>
    </row>
    <row r="23959" spans="1:4" x14ac:dyDescent="0.2">
      <c r="A23959" t="s">
        <v>7904</v>
      </c>
      <c r="B23959" t="str">
        <f>HYPERLINK("https://lindat.mff.cuni.cz/services/teitok/pdtc10/index.php?action=vallex&amp;frame=v-whsa_1191f1_ZU", "oplácet (v-whsa_1191f1_ZU)")</f>
        <v>oplácet (v-whsa_1191f1_ZU)</v>
      </c>
    </row>
    <row r="23960" spans="1:4" x14ac:dyDescent="0.2">
      <c r="B23960" t="s">
        <v>1</v>
      </c>
    </row>
    <row r="23961" spans="1:4" x14ac:dyDescent="0.2">
      <c r="B23961" t="s">
        <v>8</v>
      </c>
    </row>
    <row r="23962" spans="1:4" x14ac:dyDescent="0.2">
      <c r="B23962" t="s">
        <v>35</v>
      </c>
    </row>
    <row r="23964" spans="1:4" x14ac:dyDescent="0.2">
      <c r="A23964" t="s">
        <v>7904</v>
      </c>
      <c r="B23964" t="str">
        <f>HYPERLINK("https://lindat.mff.cuni.cz/services/teitok/pdtc10/index.php?action=vallex&amp;frame=v-whsa_1191hsa_1192", "oplácet (v-whsa_1191hsa_1192) - substituted with v-whsa_1191f1_ZU")</f>
        <v>oplácet (v-whsa_1191hsa_1192) - substituted with v-whsa_1191f1_ZU</v>
      </c>
    </row>
    <row r="23965" spans="1:4" x14ac:dyDescent="0.2">
      <c r="B23965" t="s">
        <v>1</v>
      </c>
    </row>
    <row r="23966" spans="1:4" x14ac:dyDescent="0.2">
      <c r="B23966" t="s">
        <v>8</v>
      </c>
    </row>
    <row r="23967" spans="1:4" x14ac:dyDescent="0.2">
      <c r="B23967" t="s">
        <v>35</v>
      </c>
    </row>
    <row r="23969" spans="1:4" x14ac:dyDescent="0.2">
      <c r="A23969" t="s">
        <v>7905</v>
      </c>
      <c r="B23969" t="str">
        <f>HYPERLINK("https://lindat.mff.cuni.cz/services/teitok/pdtc10/index.php?action=vallex&amp;frame=v-whsb_606hsa_607", "opláchnout (v-whsb_606hsa_607)")</f>
        <v>opláchnout (v-whsb_606hsa_607)</v>
      </c>
    </row>
    <row r="23970" spans="1:4" x14ac:dyDescent="0.2">
      <c r="B23970" t="s">
        <v>1</v>
      </c>
    </row>
    <row r="23971" spans="1:4" x14ac:dyDescent="0.2">
      <c r="B23971" t="s">
        <v>8</v>
      </c>
    </row>
    <row r="23973" spans="1:4" x14ac:dyDescent="0.2">
      <c r="A23973" t="s">
        <v>7906</v>
      </c>
      <c r="B23973" t="str">
        <f>HYPERLINK("https://lindat.mff.cuni.cz/services/teitok/pdtc10/index.php?action=vallex&amp;frame=v-w3134f1", "oplývat (v-w3134f1)")</f>
        <v>oplývat (v-w3134f1)</v>
      </c>
    </row>
    <row r="23974" spans="1:4" x14ac:dyDescent="0.2">
      <c r="B23974" t="s">
        <v>1</v>
      </c>
      <c r="C23974" t="s">
        <v>7907</v>
      </c>
      <c r="D23974" t="s">
        <v>4597</v>
      </c>
    </row>
    <row r="23975" spans="1:4" x14ac:dyDescent="0.2">
      <c r="B23975" t="s">
        <v>158</v>
      </c>
      <c r="C23975" t="s">
        <v>4676</v>
      </c>
      <c r="D23975" t="s">
        <v>991</v>
      </c>
    </row>
    <row r="23977" spans="1:4" x14ac:dyDescent="0.2">
      <c r="A23977" t="s">
        <v>7908</v>
      </c>
      <c r="B23977" t="str">
        <f>HYPERLINK("https://lindat.mff.cuni.cz/services/teitok/pdtc10/index.php?action=vallex&amp;frame=v-w3136f1", "opodstatňovat (v-w3136f1)")</f>
        <v>opodstatňovat (v-w3136f1)</v>
      </c>
    </row>
    <row r="23978" spans="1:4" x14ac:dyDescent="0.2">
      <c r="B23978" t="s">
        <v>1</v>
      </c>
    </row>
    <row r="23979" spans="1:4" x14ac:dyDescent="0.2">
      <c r="B23979" t="s">
        <v>124</v>
      </c>
    </row>
    <row r="23981" spans="1:4" x14ac:dyDescent="0.2">
      <c r="A23981" t="s">
        <v>7909</v>
      </c>
      <c r="B23981" t="str">
        <f>HYPERLINK("https://lindat.mff.cuni.cz/services/teitok/pdtc10/index.php?action=vallex&amp;frame=v-w3138f1", "opomenout (v-w3138f1)")</f>
        <v>opomenout (v-w3138f1)</v>
      </c>
    </row>
    <row r="23982" spans="1:4" x14ac:dyDescent="0.2">
      <c r="B23982" t="s">
        <v>1</v>
      </c>
      <c r="C23982" t="s">
        <v>7910</v>
      </c>
      <c r="D23982" t="s">
        <v>306</v>
      </c>
    </row>
    <row r="23983" spans="1:4" x14ac:dyDescent="0.2">
      <c r="B23983" t="s">
        <v>7911</v>
      </c>
      <c r="C23983" t="s">
        <v>7912</v>
      </c>
      <c r="D23983" t="s">
        <v>7127</v>
      </c>
    </row>
    <row r="23985" spans="1:4" x14ac:dyDescent="0.2">
      <c r="A23985" t="s">
        <v>7913</v>
      </c>
      <c r="B23985" t="str">
        <f>HYPERLINK("https://lindat.mff.cuni.cz/services/teitok/pdtc10/index.php?action=vallex&amp;frame=v-w10578f2", "opominout (v-w10578f2)")</f>
        <v>opominout (v-w10578f2)</v>
      </c>
    </row>
    <row r="23986" spans="1:4" x14ac:dyDescent="0.2">
      <c r="B23986" t="s">
        <v>1</v>
      </c>
      <c r="C23986" t="s">
        <v>230</v>
      </c>
      <c r="D23986" t="s">
        <v>306</v>
      </c>
    </row>
    <row r="23987" spans="1:4" x14ac:dyDescent="0.2">
      <c r="B23987" t="s">
        <v>7911</v>
      </c>
      <c r="C23987" t="s">
        <v>3308</v>
      </c>
      <c r="D23987" t="s">
        <v>7127</v>
      </c>
    </row>
    <row r="23989" spans="1:4" x14ac:dyDescent="0.2">
      <c r="A23989" t="s">
        <v>7914</v>
      </c>
      <c r="B23989" t="str">
        <f>HYPERLINK("https://lindat.mff.cuni.cz/services/teitok/pdtc10/index.php?action=vallex&amp;frame=v-w3140f1", "opomíjet (v-w3140f1)")</f>
        <v>opomíjet (v-w3140f1)</v>
      </c>
    </row>
    <row r="23990" spans="1:4" x14ac:dyDescent="0.2">
      <c r="B23990" t="s">
        <v>1</v>
      </c>
      <c r="C23990" t="s">
        <v>7915</v>
      </c>
      <c r="D23990" t="s">
        <v>306</v>
      </c>
    </row>
    <row r="23991" spans="1:4" x14ac:dyDescent="0.2">
      <c r="B23991" t="s">
        <v>7911</v>
      </c>
      <c r="C23991" t="s">
        <v>4686</v>
      </c>
      <c r="D23991" t="s">
        <v>7127</v>
      </c>
    </row>
    <row r="23993" spans="1:4" x14ac:dyDescent="0.2">
      <c r="A23993" t="s">
        <v>7916</v>
      </c>
      <c r="B23993" t="str">
        <f>HYPERLINK("https://lindat.mff.cuni.cz/services/teitok/pdtc10/index.php?action=vallex&amp;frame=v-w3141f1", "oponovat (v-w3141f1)")</f>
        <v>oponovat (v-w3141f1)</v>
      </c>
    </row>
    <row r="23994" spans="1:4" x14ac:dyDescent="0.2">
      <c r="B23994" t="s">
        <v>1</v>
      </c>
      <c r="C23994" t="s">
        <v>7917</v>
      </c>
      <c r="D23994" t="s">
        <v>9341</v>
      </c>
    </row>
    <row r="23995" spans="1:4" x14ac:dyDescent="0.2">
      <c r="B23995" t="s">
        <v>7342</v>
      </c>
      <c r="C23995" t="s">
        <v>7918</v>
      </c>
      <c r="D23995" t="s">
        <v>6702</v>
      </c>
    </row>
    <row r="23997" spans="1:4" x14ac:dyDescent="0.2">
      <c r="A23997" t="s">
        <v>7919</v>
      </c>
      <c r="B23997" t="str">
        <f>HYPERLINK("https://lindat.mff.cuni.cz/services/teitok/pdtc10/index.php?action=vallex&amp;frame=v-w3141f2", "oponovat (v-w3141f2)")</f>
        <v>oponovat (v-w3141f2)</v>
      </c>
    </row>
    <row r="23998" spans="1:4" x14ac:dyDescent="0.2">
      <c r="B23998" t="s">
        <v>1</v>
      </c>
      <c r="C23998" t="s">
        <v>7920</v>
      </c>
    </row>
    <row r="23999" spans="1:4" x14ac:dyDescent="0.2">
      <c r="B23999" t="s">
        <v>8</v>
      </c>
      <c r="C23999" t="s">
        <v>7921</v>
      </c>
    </row>
    <row r="24001" spans="1:4" x14ac:dyDescent="0.2">
      <c r="A24001" t="s">
        <v>7922</v>
      </c>
      <c r="B24001" t="str">
        <f>HYPERLINK("https://lindat.mff.cuni.cz/services/teitok/pdtc10/index.php?action=vallex&amp;frame=v-w10783f2", "opotřebovat (v-w10783f2)")</f>
        <v>opotřebovat (v-w10783f2)</v>
      </c>
    </row>
    <row r="24002" spans="1:4" x14ac:dyDescent="0.2">
      <c r="B24002" t="s">
        <v>1</v>
      </c>
    </row>
    <row r="24003" spans="1:4" x14ac:dyDescent="0.2">
      <c r="B24003" t="s">
        <v>8</v>
      </c>
    </row>
    <row r="24005" spans="1:4" x14ac:dyDescent="0.2">
      <c r="A24005" t="s">
        <v>7923</v>
      </c>
      <c r="B24005" t="str">
        <f>HYPERLINK("https://lindat.mff.cuni.cz/services/teitok/pdtc10/index.php?action=vallex&amp;frame=v-w3143f1", "opouštět (v-w3143f1)")</f>
        <v>opouštět (v-w3143f1)</v>
      </c>
    </row>
    <row r="24006" spans="1:4" x14ac:dyDescent="0.2">
      <c r="B24006" t="s">
        <v>1</v>
      </c>
      <c r="C24006" t="s">
        <v>5968</v>
      </c>
      <c r="D24006" t="s">
        <v>23091</v>
      </c>
    </row>
    <row r="24007" spans="1:4" x14ac:dyDescent="0.2">
      <c r="B24007" t="s">
        <v>8</v>
      </c>
      <c r="C24007" t="s">
        <v>7924</v>
      </c>
      <c r="D24007" t="s">
        <v>84</v>
      </c>
    </row>
    <row r="24009" spans="1:4" x14ac:dyDescent="0.2">
      <c r="A24009" t="s">
        <v>7925</v>
      </c>
      <c r="B24009" t="str">
        <f>HYPERLINK("https://lindat.mff.cuni.cz/services/teitok/pdtc10/index.php?action=vallex&amp;frame=v-w3143f2_MM", "opouštět (v-w3143f2_MM)")</f>
        <v>opouštět (v-w3143f2_MM)</v>
      </c>
    </row>
    <row r="24010" spans="1:4" x14ac:dyDescent="0.2">
      <c r="B24010" t="s">
        <v>1</v>
      </c>
    </row>
    <row r="24011" spans="1:4" x14ac:dyDescent="0.2">
      <c r="B24011" t="s">
        <v>8</v>
      </c>
    </row>
    <row r="24013" spans="1:4" x14ac:dyDescent="0.2">
      <c r="A24013" t="s">
        <v>7926</v>
      </c>
      <c r="B24013" t="str">
        <f>HYPERLINK("https://lindat.mff.cuni.cz/services/teitok/pdtc10/index.php?action=vallex&amp;frame=v-w12263_ZUf1_ZU", "opovrhnout (v-w12263_ZUf1_ZU)")</f>
        <v>opovrhnout (v-w12263_ZUf1_ZU)</v>
      </c>
    </row>
    <row r="24014" spans="1:4" x14ac:dyDescent="0.2">
      <c r="B24014" t="s">
        <v>1</v>
      </c>
    </row>
    <row r="24015" spans="1:4" x14ac:dyDescent="0.2">
      <c r="B24015" t="s">
        <v>158</v>
      </c>
    </row>
    <row r="24017" spans="1:4" x14ac:dyDescent="0.2">
      <c r="A24017" t="s">
        <v>7927</v>
      </c>
      <c r="B24017" t="str">
        <f>HYPERLINK("https://lindat.mff.cuni.cz/services/teitok/pdtc10/index.php?action=vallex&amp;frame=v-w10539f2", "opovrhovat (v-w10539f2)")</f>
        <v>opovrhovat (v-w10539f2)</v>
      </c>
    </row>
    <row r="24018" spans="1:4" x14ac:dyDescent="0.2">
      <c r="B24018" t="s">
        <v>1</v>
      </c>
      <c r="C24018" t="s">
        <v>140</v>
      </c>
      <c r="D24018" t="s">
        <v>140</v>
      </c>
    </row>
    <row r="24019" spans="1:4" x14ac:dyDescent="0.2">
      <c r="B24019" t="s">
        <v>158</v>
      </c>
      <c r="C24019" t="s">
        <v>23</v>
      </c>
      <c r="D24019" t="s">
        <v>113</v>
      </c>
    </row>
    <row r="24021" spans="1:4" x14ac:dyDescent="0.2">
      <c r="A24021" t="s">
        <v>7928</v>
      </c>
      <c r="B24021" t="str">
        <f>HYPERLINK("https://lindat.mff.cuni.cz/services/teitok/pdtc10/index.php?action=vallex&amp;frame=v-w10933f2", "opozdit (v-w10933f2)")</f>
        <v>opozdit (v-w10933f2)</v>
      </c>
    </row>
    <row r="24022" spans="1:4" x14ac:dyDescent="0.2">
      <c r="B24022" t="s">
        <v>1</v>
      </c>
      <c r="C24022" t="s">
        <v>1581</v>
      </c>
      <c r="D24022" t="s">
        <v>23640</v>
      </c>
    </row>
    <row r="24023" spans="1:4" x14ac:dyDescent="0.2">
      <c r="B24023" t="s">
        <v>8</v>
      </c>
      <c r="C24023" t="s">
        <v>3789</v>
      </c>
      <c r="D24023" t="s">
        <v>23641</v>
      </c>
    </row>
    <row r="24025" spans="1:4" x14ac:dyDescent="0.2">
      <c r="A24025" t="s">
        <v>7929</v>
      </c>
      <c r="B24025" t="str">
        <f>HYPERLINK("https://lindat.mff.cuni.cz/services/teitok/pdtc10/index.php?action=vallex&amp;frame=v-w11420f2", "opozdit se (v-w11420f2)")</f>
        <v>opozdit se (v-w11420f2)</v>
      </c>
    </row>
    <row r="24026" spans="1:4" x14ac:dyDescent="0.2">
      <c r="B24026" t="s">
        <v>1</v>
      </c>
      <c r="C24026" t="s">
        <v>7930</v>
      </c>
    </row>
    <row r="24027" spans="1:4" x14ac:dyDescent="0.2">
      <c r="B24027" t="s">
        <v>7931</v>
      </c>
    </row>
    <row r="24029" spans="1:4" x14ac:dyDescent="0.2">
      <c r="A24029" t="s">
        <v>7932</v>
      </c>
      <c r="B24029" t="str">
        <f>HYPERLINK("https://lindat.mff.cuni.cz/services/teitok/pdtc10/index.php?action=vallex&amp;frame=v-w11420hsa_378", "opozdit se (v-w11420hsa_378)")</f>
        <v>opozdit se (v-w11420hsa_378)</v>
      </c>
    </row>
    <row r="24030" spans="1:4" x14ac:dyDescent="0.2">
      <c r="B24030" t="s">
        <v>1</v>
      </c>
      <c r="D24030" t="s">
        <v>2353</v>
      </c>
    </row>
    <row r="24031" spans="1:4" x14ac:dyDescent="0.2">
      <c r="B24031" t="s">
        <v>411</v>
      </c>
      <c r="D24031" t="s">
        <v>3098</v>
      </c>
    </row>
    <row r="24033" spans="1:4" x14ac:dyDescent="0.2">
      <c r="A24033" t="s">
        <v>7933</v>
      </c>
      <c r="B24033" t="str">
        <f>HYPERLINK("https://lindat.mff.cuni.cz/services/teitok/pdtc10/index.php?action=vallex&amp;frame=v-w11429f3_ZU", "opožďovat se (v-w11429f3_ZU)")</f>
        <v>opožďovat se (v-w11429f3_ZU)</v>
      </c>
    </row>
    <row r="24034" spans="1:4" x14ac:dyDescent="0.2">
      <c r="B24034" t="s">
        <v>1</v>
      </c>
      <c r="C24034" t="s">
        <v>370</v>
      </c>
      <c r="D24034" t="s">
        <v>2353</v>
      </c>
    </row>
    <row r="24035" spans="1:4" x14ac:dyDescent="0.2">
      <c r="B24035" t="s">
        <v>7931</v>
      </c>
      <c r="C24035" t="s">
        <v>3773</v>
      </c>
      <c r="D24035" t="s">
        <v>3098</v>
      </c>
    </row>
    <row r="24037" spans="1:4" x14ac:dyDescent="0.2">
      <c r="A24037" t="s">
        <v>7933</v>
      </c>
      <c r="B24037" t="str">
        <f>HYPERLINK("https://lindat.mff.cuni.cz/services/teitok/pdtc10/index.php?action=vallex&amp;frame=v-w11429f2", "opožďovat se (v-w11429f2) - substituted with v-w11429f3_ZU")</f>
        <v>opožďovat se (v-w11429f2) - substituted with v-w11429f3_ZU</v>
      </c>
    </row>
    <row r="24038" spans="1:4" x14ac:dyDescent="0.2">
      <c r="B24038" t="s">
        <v>1</v>
      </c>
    </row>
    <row r="24039" spans="1:4" x14ac:dyDescent="0.2">
      <c r="B24039" t="s">
        <v>7931</v>
      </c>
    </row>
    <row r="24041" spans="1:4" x14ac:dyDescent="0.2">
      <c r="A24041" t="s">
        <v>7934</v>
      </c>
      <c r="B24041" t="str">
        <f>HYPERLINK("https://lindat.mff.cuni.cz/services/teitok/pdtc10/index.php?action=vallex&amp;frame=v-whsb_277hsa_278", "opracovat (v-whsb_277hsa_278)")</f>
        <v>opracovat (v-whsb_277hsa_278)</v>
      </c>
    </row>
    <row r="24042" spans="1:4" x14ac:dyDescent="0.2">
      <c r="B24042" t="s">
        <v>1</v>
      </c>
    </row>
    <row r="24043" spans="1:4" x14ac:dyDescent="0.2">
      <c r="B24043" t="s">
        <v>8</v>
      </c>
    </row>
    <row r="24045" spans="1:4" x14ac:dyDescent="0.2">
      <c r="A24045" t="s">
        <v>7935</v>
      </c>
      <c r="B24045" t="str">
        <f>HYPERLINK("https://lindat.mff.cuni.cz/services/teitok/pdtc10/index.php?action=vallex&amp;frame=v-w10177f4", "opracovávat (v-w10177f4)")</f>
        <v>opracovávat (v-w10177f4)</v>
      </c>
    </row>
    <row r="24046" spans="1:4" x14ac:dyDescent="0.2">
      <c r="B24046" t="s">
        <v>1</v>
      </c>
      <c r="D24046" t="s">
        <v>133</v>
      </c>
    </row>
    <row r="24047" spans="1:4" x14ac:dyDescent="0.2">
      <c r="B24047" t="s">
        <v>8</v>
      </c>
      <c r="C24047" t="s">
        <v>113</v>
      </c>
      <c r="D24047" t="s">
        <v>113</v>
      </c>
    </row>
    <row r="24049" spans="1:4" x14ac:dyDescent="0.2">
      <c r="A24049" t="s">
        <v>7936</v>
      </c>
      <c r="B24049" t="str">
        <f>HYPERLINK("https://lindat.mff.cuni.cz/services/teitok/pdtc10/index.php?action=vallex&amp;frame=v-w3147f3_ZU", "opravit (v-w3147f3_ZU)")</f>
        <v>opravit (v-w3147f3_ZU)</v>
      </c>
    </row>
    <row r="24050" spans="1:4" x14ac:dyDescent="0.2">
      <c r="B24050" t="s">
        <v>1</v>
      </c>
      <c r="C24050" t="s">
        <v>80</v>
      </c>
      <c r="D24050" t="s">
        <v>23720</v>
      </c>
    </row>
    <row r="24051" spans="1:4" x14ac:dyDescent="0.2">
      <c r="B24051" t="s">
        <v>8</v>
      </c>
      <c r="C24051" t="s">
        <v>116</v>
      </c>
      <c r="D24051" t="s">
        <v>23721</v>
      </c>
    </row>
    <row r="24052" spans="1:4" x14ac:dyDescent="0.2">
      <c r="B24052" t="s">
        <v>4203</v>
      </c>
      <c r="C24052" t="s">
        <v>1045</v>
      </c>
      <c r="D24052" t="s">
        <v>22947</v>
      </c>
    </row>
    <row r="24053" spans="1:4" x14ac:dyDescent="0.2">
      <c r="B24053" t="s">
        <v>24</v>
      </c>
      <c r="C24053" t="s">
        <v>5408</v>
      </c>
      <c r="D24053" t="s">
        <v>22946</v>
      </c>
    </row>
    <row r="24055" spans="1:4" x14ac:dyDescent="0.2">
      <c r="A24055" t="s">
        <v>7936</v>
      </c>
      <c r="B24055" t="str">
        <f>HYPERLINK("https://lindat.mff.cuni.cz/services/teitok/pdtc10/index.php?action=vallex&amp;frame=v-w3147f2", "opravit (v-w3147f2) - substituted with v-w3147f3_ZU")</f>
        <v>opravit (v-w3147f2) - substituted with v-w3147f3_ZU</v>
      </c>
    </row>
    <row r="24056" spans="1:4" x14ac:dyDescent="0.2">
      <c r="B24056" t="s">
        <v>1</v>
      </c>
      <c r="C24056" t="s">
        <v>16</v>
      </c>
    </row>
    <row r="24057" spans="1:4" x14ac:dyDescent="0.2">
      <c r="B24057" t="s">
        <v>8</v>
      </c>
      <c r="C24057" t="s">
        <v>4372</v>
      </c>
    </row>
    <row r="24058" spans="1:4" x14ac:dyDescent="0.2">
      <c r="B24058" t="s">
        <v>4203</v>
      </c>
      <c r="C24058" t="s">
        <v>1045</v>
      </c>
    </row>
    <row r="24059" spans="1:4" x14ac:dyDescent="0.2">
      <c r="B24059" t="s">
        <v>24</v>
      </c>
    </row>
    <row r="24061" spans="1:4" x14ac:dyDescent="0.2">
      <c r="A24061" t="s">
        <v>7937</v>
      </c>
      <c r="B24061" t="str">
        <f>HYPERLINK("https://lindat.mff.cuni.cz/services/teitok/pdtc10/index.php?action=vallex&amp;frame=v-w3147f1", "opravit (v-w3147f1)")</f>
        <v>opravit (v-w3147f1)</v>
      </c>
    </row>
    <row r="24062" spans="1:4" x14ac:dyDescent="0.2">
      <c r="B24062" t="s">
        <v>1</v>
      </c>
      <c r="C24062" t="s">
        <v>3358</v>
      </c>
      <c r="D24062" t="s">
        <v>373</v>
      </c>
    </row>
    <row r="24063" spans="1:4" x14ac:dyDescent="0.2">
      <c r="B24063" t="s">
        <v>8</v>
      </c>
      <c r="C24063" t="s">
        <v>2305</v>
      </c>
      <c r="D24063" t="s">
        <v>338</v>
      </c>
    </row>
    <row r="24065" spans="1:4" x14ac:dyDescent="0.2">
      <c r="A24065" t="s">
        <v>7938</v>
      </c>
      <c r="B24065" t="str">
        <f>HYPERLINK("https://lindat.mff.cuni.cz/services/teitok/pdtc10/index.php?action=vallex&amp;frame=v-w3153f1", "opravovat (v-w3153f1)")</f>
        <v>opravovat (v-w3153f1)</v>
      </c>
    </row>
    <row r="24066" spans="1:4" x14ac:dyDescent="0.2">
      <c r="B24066" t="s">
        <v>1</v>
      </c>
      <c r="C24066" t="s">
        <v>22</v>
      </c>
      <c r="D24066" t="s">
        <v>3081</v>
      </c>
    </row>
    <row r="24067" spans="1:4" x14ac:dyDescent="0.2">
      <c r="B24067" t="s">
        <v>8</v>
      </c>
      <c r="C24067" t="s">
        <v>1798</v>
      </c>
      <c r="D24067" t="s">
        <v>7164</v>
      </c>
    </row>
    <row r="24068" spans="1:4" x14ac:dyDescent="0.2">
      <c r="B24068" t="s">
        <v>4203</v>
      </c>
    </row>
    <row r="24070" spans="1:4" x14ac:dyDescent="0.2">
      <c r="A24070" t="s">
        <v>7939</v>
      </c>
      <c r="B24070" t="str">
        <f>HYPERLINK("https://lindat.mff.cuni.cz/services/teitok/pdtc10/index.php?action=vallex&amp;frame=v-w3153f2", "opravovat (v-w3153f2)")</f>
        <v>opravovat (v-w3153f2)</v>
      </c>
    </row>
    <row r="24071" spans="1:4" x14ac:dyDescent="0.2">
      <c r="B24071" t="s">
        <v>1</v>
      </c>
      <c r="C24071" t="s">
        <v>2239</v>
      </c>
      <c r="D24071" t="s">
        <v>373</v>
      </c>
    </row>
    <row r="24072" spans="1:4" x14ac:dyDescent="0.2">
      <c r="B24072" t="s">
        <v>8</v>
      </c>
      <c r="C24072" t="s">
        <v>1264</v>
      </c>
      <c r="D24072" t="s">
        <v>338</v>
      </c>
    </row>
    <row r="24074" spans="1:4" x14ac:dyDescent="0.2">
      <c r="A24074" t="s">
        <v>7940</v>
      </c>
      <c r="B24074" t="str">
        <f>HYPERLINK("https://lindat.mff.cuni.cz/services/teitok/pdtc10/index.php?action=vallex&amp;frame=v-w3153hsa_366", "opravovat (v-w3153hsa_366)")</f>
        <v>opravovat (v-w3153hsa_366)</v>
      </c>
    </row>
    <row r="24075" spans="1:4" x14ac:dyDescent="0.2">
      <c r="B24075" t="s">
        <v>1</v>
      </c>
      <c r="C24075" t="s">
        <v>430</v>
      </c>
      <c r="D24075" t="s">
        <v>3081</v>
      </c>
    </row>
    <row r="24076" spans="1:4" x14ac:dyDescent="0.2">
      <c r="B24076" t="s">
        <v>8</v>
      </c>
      <c r="D24076" t="s">
        <v>7164</v>
      </c>
    </row>
    <row r="24078" spans="1:4" x14ac:dyDescent="0.2">
      <c r="A24078" t="s">
        <v>7941</v>
      </c>
      <c r="B24078" t="str">
        <f>HYPERLINK("https://lindat.mff.cuni.cz/services/teitok/pdtc10/index.php?action=vallex&amp;frame=v-w3152f1", "opravňovat (v-w3152f1)")</f>
        <v>opravňovat (v-w3152f1)</v>
      </c>
    </row>
    <row r="24079" spans="1:4" x14ac:dyDescent="0.2">
      <c r="B24079" t="s">
        <v>1</v>
      </c>
      <c r="C24079" t="s">
        <v>7942</v>
      </c>
      <c r="D24079" t="s">
        <v>23722</v>
      </c>
    </row>
    <row r="24080" spans="1:4" x14ac:dyDescent="0.2">
      <c r="B24080" t="s">
        <v>7943</v>
      </c>
      <c r="C24080" t="s">
        <v>7944</v>
      </c>
      <c r="D24080" t="s">
        <v>23723</v>
      </c>
    </row>
    <row r="24081" spans="1:4" x14ac:dyDescent="0.2">
      <c r="B24081" t="s">
        <v>58</v>
      </c>
      <c r="C24081" t="s">
        <v>7945</v>
      </c>
      <c r="D24081" t="s">
        <v>23724</v>
      </c>
    </row>
    <row r="24083" spans="1:4" x14ac:dyDescent="0.2">
      <c r="A24083" t="s">
        <v>7946</v>
      </c>
      <c r="B24083" t="str">
        <f>HYPERLINK("https://lindat.mff.cuni.cz/services/teitok/pdtc10/index.php?action=vallex&amp;frame=v-w3152f2", "opravňovat (v-w3152f2)")</f>
        <v>opravňovat (v-w3152f2)</v>
      </c>
    </row>
    <row r="24084" spans="1:4" x14ac:dyDescent="0.2">
      <c r="B24084" t="s">
        <v>1</v>
      </c>
      <c r="C24084" t="s">
        <v>109</v>
      </c>
    </row>
    <row r="24085" spans="1:4" x14ac:dyDescent="0.2">
      <c r="B24085" t="s">
        <v>8</v>
      </c>
      <c r="C24085" t="s">
        <v>338</v>
      </c>
    </row>
    <row r="24087" spans="1:4" x14ac:dyDescent="0.2">
      <c r="A24087" t="s">
        <v>7947</v>
      </c>
      <c r="B24087" t="str">
        <f>HYPERLINK("https://lindat.mff.cuni.cz/services/teitok/pdtc10/index.php?action=vallex&amp;frame=v-w10959f2", "oprašovat (v-w10959f2)")</f>
        <v>oprašovat (v-w10959f2)</v>
      </c>
    </row>
    <row r="24088" spans="1:4" x14ac:dyDescent="0.2">
      <c r="B24088" t="s">
        <v>1</v>
      </c>
      <c r="C24088" t="s">
        <v>140</v>
      </c>
      <c r="D24088" t="s">
        <v>23613</v>
      </c>
    </row>
    <row r="24089" spans="1:4" x14ac:dyDescent="0.2">
      <c r="B24089" t="s">
        <v>8</v>
      </c>
      <c r="C24089" t="s">
        <v>34</v>
      </c>
      <c r="D24089" t="s">
        <v>12206</v>
      </c>
    </row>
    <row r="24091" spans="1:4" x14ac:dyDescent="0.2">
      <c r="A24091" t="s">
        <v>7948</v>
      </c>
      <c r="B24091" t="str">
        <f>HYPERLINK("https://lindat.mff.cuni.cz/services/teitok/pdtc10/index.php?action=vallex&amp;frame=v-w3154f1", "oprostit (v-w3154f1)")</f>
        <v>oprostit (v-w3154f1)</v>
      </c>
    </row>
    <row r="24092" spans="1:4" x14ac:dyDescent="0.2">
      <c r="B24092" t="s">
        <v>1</v>
      </c>
      <c r="C24092" t="s">
        <v>4281</v>
      </c>
      <c r="D24092" t="s">
        <v>2303</v>
      </c>
    </row>
    <row r="24093" spans="1:4" x14ac:dyDescent="0.2">
      <c r="B24093" t="s">
        <v>8</v>
      </c>
      <c r="D24093" t="s">
        <v>23725</v>
      </c>
    </row>
    <row r="24094" spans="1:4" x14ac:dyDescent="0.2">
      <c r="B24094" t="s">
        <v>1334</v>
      </c>
      <c r="C24094" t="s">
        <v>1443</v>
      </c>
      <c r="D24094" t="s">
        <v>23726</v>
      </c>
    </row>
    <row r="24096" spans="1:4" x14ac:dyDescent="0.2">
      <c r="A24096" t="s">
        <v>7949</v>
      </c>
      <c r="B24096" t="str">
        <f>HYPERLINK("https://lindat.mff.cuni.cz/services/teitok/pdtc10/index.php?action=vallex&amp;frame=v-w3151f1", "oprávnit (v-w3151f1)")</f>
        <v>oprávnit (v-w3151f1)</v>
      </c>
    </row>
    <row r="24097" spans="1:4" x14ac:dyDescent="0.2">
      <c r="B24097" t="s">
        <v>1</v>
      </c>
      <c r="C24097" t="s">
        <v>2303</v>
      </c>
      <c r="D24097" t="s">
        <v>23225</v>
      </c>
    </row>
    <row r="24098" spans="1:4" x14ac:dyDescent="0.2">
      <c r="B24098" t="s">
        <v>7950</v>
      </c>
      <c r="C24098" t="s">
        <v>335</v>
      </c>
      <c r="D24098" t="s">
        <v>23226</v>
      </c>
    </row>
    <row r="24099" spans="1:4" x14ac:dyDescent="0.2">
      <c r="B24099" t="s">
        <v>58</v>
      </c>
      <c r="C24099" t="s">
        <v>7951</v>
      </c>
      <c r="D24099" t="s">
        <v>23227</v>
      </c>
    </row>
    <row r="24101" spans="1:4" x14ac:dyDescent="0.2">
      <c r="A24101" t="s">
        <v>7952</v>
      </c>
      <c r="B24101" t="str">
        <f>HYPERLINK("https://lindat.mff.cuni.cz/services/teitok/pdtc10/index.php?action=vallex&amp;frame=v-w3151hsa_797", "oprávnit (v-w3151hsa_797)")</f>
        <v>oprávnit (v-w3151hsa_797)</v>
      </c>
    </row>
    <row r="24102" spans="1:4" x14ac:dyDescent="0.2">
      <c r="B24102" t="s">
        <v>1</v>
      </c>
      <c r="C24102" t="s">
        <v>109</v>
      </c>
    </row>
    <row r="24103" spans="1:4" x14ac:dyDescent="0.2">
      <c r="B24103" t="s">
        <v>8</v>
      </c>
      <c r="C24103" t="s">
        <v>338</v>
      </c>
    </row>
    <row r="24105" spans="1:4" x14ac:dyDescent="0.2">
      <c r="A24105" t="s">
        <v>7953</v>
      </c>
      <c r="B24105" t="str">
        <f>HYPERLINK("https://lindat.mff.cuni.cz/services/teitok/pdtc10/index.php?action=vallex&amp;frame=v-w3145f1", "oprášit (v-w3145f1)")</f>
        <v>oprášit (v-w3145f1)</v>
      </c>
    </row>
    <row r="24106" spans="1:4" x14ac:dyDescent="0.2">
      <c r="B24106" t="s">
        <v>1</v>
      </c>
    </row>
    <row r="24107" spans="1:4" x14ac:dyDescent="0.2">
      <c r="B24107" t="s">
        <v>8</v>
      </c>
    </row>
    <row r="24109" spans="1:4" x14ac:dyDescent="0.2">
      <c r="A24109" t="s">
        <v>7954</v>
      </c>
      <c r="B24109" t="str">
        <f>HYPERLINK("https://lindat.mff.cuni.cz/services/teitok/pdtc10/index.php?action=vallex&amp;frame=v-w3145f2", "oprášit (v-w3145f2)")</f>
        <v>oprášit (v-w3145f2)</v>
      </c>
    </row>
    <row r="24110" spans="1:4" x14ac:dyDescent="0.2">
      <c r="B24110" t="s">
        <v>1</v>
      </c>
    </row>
    <row r="24111" spans="1:4" x14ac:dyDescent="0.2">
      <c r="B24111" t="s">
        <v>8</v>
      </c>
    </row>
    <row r="24113" spans="1:4" x14ac:dyDescent="0.2">
      <c r="A24113" t="s">
        <v>7955</v>
      </c>
      <c r="B24113" t="str">
        <f>HYPERLINK("https://lindat.mff.cuni.cz/services/teitok/pdtc10/index.php?action=vallex&amp;frame=v-w11044f3", "opsat (v-w11044f3)")</f>
        <v>opsat (v-w11044f3)</v>
      </c>
    </row>
    <row r="24114" spans="1:4" x14ac:dyDescent="0.2">
      <c r="B24114" t="s">
        <v>1</v>
      </c>
    </row>
    <row r="24115" spans="1:4" x14ac:dyDescent="0.2">
      <c r="B24115" t="s">
        <v>8</v>
      </c>
    </row>
    <row r="24116" spans="1:4" x14ac:dyDescent="0.2">
      <c r="B24116" t="s">
        <v>321</v>
      </c>
    </row>
    <row r="24118" spans="1:4" x14ac:dyDescent="0.2">
      <c r="A24118" t="s">
        <v>7956</v>
      </c>
      <c r="B24118" t="str">
        <f>HYPERLINK("https://lindat.mff.cuni.cz/services/teitok/pdtc10/index.php?action=vallex&amp;frame=v-w11044f4", "opsat (v-w11044f4)")</f>
        <v>opsat (v-w11044f4)</v>
      </c>
    </row>
    <row r="24119" spans="1:4" x14ac:dyDescent="0.2">
      <c r="B24119" t="s">
        <v>1</v>
      </c>
      <c r="C24119" t="s">
        <v>140</v>
      </c>
      <c r="D24119" t="s">
        <v>334</v>
      </c>
    </row>
    <row r="24120" spans="1:4" x14ac:dyDescent="0.2">
      <c r="B24120" t="s">
        <v>8</v>
      </c>
      <c r="C24120" t="s">
        <v>113</v>
      </c>
      <c r="D24120" t="s">
        <v>125</v>
      </c>
    </row>
    <row r="24122" spans="1:4" x14ac:dyDescent="0.2">
      <c r="A24122" t="s">
        <v>7957</v>
      </c>
      <c r="B24122" t="str">
        <f>HYPERLINK("https://lindat.mff.cuni.cz/services/teitok/pdtc10/index.php?action=vallex&amp;frame=v-w3158f1", "optat se (v-w3158f1)")</f>
        <v>optat se (v-w3158f1)</v>
      </c>
    </row>
    <row r="24123" spans="1:4" x14ac:dyDescent="0.2">
      <c r="B24123" t="s">
        <v>1</v>
      </c>
      <c r="D24123" t="s">
        <v>23213</v>
      </c>
    </row>
    <row r="24124" spans="1:4" x14ac:dyDescent="0.2">
      <c r="B24124" t="s">
        <v>7958</v>
      </c>
      <c r="D24124" t="s">
        <v>23214</v>
      </c>
    </row>
    <row r="24125" spans="1:4" x14ac:dyDescent="0.2">
      <c r="B24125" t="s">
        <v>58</v>
      </c>
      <c r="D24125" t="s">
        <v>23215</v>
      </c>
    </row>
    <row r="24127" spans="1:4" x14ac:dyDescent="0.2">
      <c r="A24127" t="s">
        <v>7959</v>
      </c>
      <c r="B24127" t="str">
        <f>HYPERLINK("https://lindat.mff.cuni.cz/services/teitok/pdtc10/index.php?action=vallex&amp;frame=v-w3160f1", "optimalizovat (v-w3160f1)")</f>
        <v>optimalizovat (v-w3160f1)</v>
      </c>
    </row>
    <row r="24128" spans="1:4" x14ac:dyDescent="0.2">
      <c r="B24128" t="s">
        <v>1</v>
      </c>
    </row>
    <row r="24129" spans="1:4" x14ac:dyDescent="0.2">
      <c r="B24129" t="s">
        <v>8</v>
      </c>
    </row>
    <row r="24131" spans="1:4" x14ac:dyDescent="0.2">
      <c r="A24131" t="s">
        <v>7960</v>
      </c>
      <c r="B24131" t="str">
        <f>HYPERLINK("https://lindat.mff.cuni.cz/services/teitok/pdtc10/index.php?action=vallex&amp;frame=v-w3161f1", "opustit (v-w3161f1)")</f>
        <v>opustit (v-w3161f1)</v>
      </c>
    </row>
    <row r="24132" spans="1:4" x14ac:dyDescent="0.2">
      <c r="B24132" t="s">
        <v>1</v>
      </c>
      <c r="C24132" t="s">
        <v>7961</v>
      </c>
      <c r="D24132" t="s">
        <v>23091</v>
      </c>
    </row>
    <row r="24133" spans="1:4" x14ac:dyDescent="0.2">
      <c r="B24133" t="s">
        <v>8</v>
      </c>
      <c r="C24133" t="s">
        <v>7111</v>
      </c>
      <c r="D24133" t="s">
        <v>84</v>
      </c>
    </row>
    <row r="24135" spans="1:4" x14ac:dyDescent="0.2">
      <c r="A24135" t="s">
        <v>7962</v>
      </c>
      <c r="B24135" t="str">
        <f>HYPERLINK("https://lindat.mff.cuni.cz/services/teitok/pdtc10/index.php?action=vallex&amp;frame=v-w3161f2", "opustit (v-w3161f2)")</f>
        <v>opustit (v-w3161f2)</v>
      </c>
    </row>
    <row r="24136" spans="1:4" x14ac:dyDescent="0.2">
      <c r="B24136" t="s">
        <v>1</v>
      </c>
      <c r="C24136" t="s">
        <v>7963</v>
      </c>
      <c r="D24136" t="s">
        <v>23064</v>
      </c>
    </row>
    <row r="24137" spans="1:4" x14ac:dyDescent="0.2">
      <c r="B24137" t="s">
        <v>8</v>
      </c>
      <c r="C24137" t="s">
        <v>7964</v>
      </c>
      <c r="D24137" t="s">
        <v>23065</v>
      </c>
    </row>
    <row r="24139" spans="1:4" x14ac:dyDescent="0.2">
      <c r="A24139" t="s">
        <v>7965</v>
      </c>
      <c r="B24139" t="str">
        <f>HYPERLINK("https://lindat.mff.cuni.cz/services/teitok/pdtc10/index.php?action=vallex&amp;frame=v-w3161f3_MM", "opustit (v-w3161f3_MM)")</f>
        <v>opustit (v-w3161f3_MM)</v>
      </c>
    </row>
    <row r="24140" spans="1:4" x14ac:dyDescent="0.2">
      <c r="B24140" t="s">
        <v>1</v>
      </c>
    </row>
    <row r="24141" spans="1:4" x14ac:dyDescent="0.2">
      <c r="B24141" t="s">
        <v>8</v>
      </c>
    </row>
    <row r="24143" spans="1:4" x14ac:dyDescent="0.2">
      <c r="A24143" t="s">
        <v>7966</v>
      </c>
      <c r="B24143" t="str">
        <f>HYPERLINK("https://lindat.mff.cuni.cz/services/teitok/pdtc10/index.php?action=vallex&amp;frame=v-w3161hsa_1411", "opustit (v-w3161hsa_1411)")</f>
        <v>opustit (v-w3161hsa_1411)</v>
      </c>
    </row>
    <row r="24144" spans="1:4" x14ac:dyDescent="0.2">
      <c r="B24144" t="s">
        <v>1</v>
      </c>
    </row>
    <row r="24145" spans="1:4" x14ac:dyDescent="0.2">
      <c r="B24145" t="s">
        <v>8</v>
      </c>
    </row>
    <row r="24147" spans="1:4" x14ac:dyDescent="0.2">
      <c r="A24147" t="s">
        <v>7967</v>
      </c>
      <c r="B24147" t="str">
        <f>HYPERLINK("https://lindat.mff.cuni.cz/services/teitok/pdtc10/index.php?action=vallex&amp;frame=v-w11156f2", "opylit (v-w11156f2)")</f>
        <v>opylit (v-w11156f2)</v>
      </c>
    </row>
    <row r="24148" spans="1:4" x14ac:dyDescent="0.2">
      <c r="B24148" t="s">
        <v>1</v>
      </c>
      <c r="D24148" t="s">
        <v>33</v>
      </c>
    </row>
    <row r="24149" spans="1:4" x14ac:dyDescent="0.2">
      <c r="B24149" t="s">
        <v>8</v>
      </c>
      <c r="D24149" t="s">
        <v>23</v>
      </c>
    </row>
    <row r="24151" spans="1:4" x14ac:dyDescent="0.2">
      <c r="A24151" t="s">
        <v>7968</v>
      </c>
      <c r="B24151" t="str">
        <f>HYPERLINK("https://lindat.mff.cuni.cz/services/teitok/pdtc10/index.php?action=vallex&amp;frame=v-w10372f2", "opylovat (v-w10372f2)")</f>
        <v>opylovat (v-w10372f2)</v>
      </c>
    </row>
    <row r="24152" spans="1:4" x14ac:dyDescent="0.2">
      <c r="B24152" t="s">
        <v>1</v>
      </c>
      <c r="C24152" t="s">
        <v>147</v>
      </c>
      <c r="D24152" t="s">
        <v>33</v>
      </c>
    </row>
    <row r="24153" spans="1:4" x14ac:dyDescent="0.2">
      <c r="B24153" t="s">
        <v>8</v>
      </c>
      <c r="C24153" t="s">
        <v>150</v>
      </c>
      <c r="D24153" t="s">
        <v>23</v>
      </c>
    </row>
    <row r="24155" spans="1:4" x14ac:dyDescent="0.2">
      <c r="A24155" t="s">
        <v>7969</v>
      </c>
      <c r="B24155" t="str">
        <f>HYPERLINK("https://lindat.mff.cuni.cz/services/teitok/pdtc10/index.php?action=vallex&amp;frame=v-w3102f1", "opálit (v-w3102f1)")</f>
        <v>opálit (v-w3102f1)</v>
      </c>
    </row>
    <row r="24156" spans="1:4" x14ac:dyDescent="0.2">
      <c r="B24156" t="s">
        <v>1</v>
      </c>
    </row>
    <row r="24157" spans="1:4" x14ac:dyDescent="0.2">
      <c r="B24157" t="s">
        <v>8</v>
      </c>
    </row>
    <row r="24159" spans="1:4" x14ac:dyDescent="0.2">
      <c r="A24159" t="s">
        <v>7970</v>
      </c>
      <c r="B24159" t="str">
        <f>HYPERLINK("https://lindat.mff.cuni.cz/services/teitok/pdtc10/index.php?action=vallex&amp;frame=v-w3106f1", "opásat (v-w3106f1)")</f>
        <v>opásat (v-w3106f1)</v>
      </c>
    </row>
    <row r="24160" spans="1:4" x14ac:dyDescent="0.2">
      <c r="B24160" t="s">
        <v>1</v>
      </c>
    </row>
    <row r="24161" spans="1:3" x14ac:dyDescent="0.2">
      <c r="B24161" t="s">
        <v>8</v>
      </c>
    </row>
    <row r="24163" spans="1:3" x14ac:dyDescent="0.2">
      <c r="A24163" t="s">
        <v>7971</v>
      </c>
      <c r="B24163" t="str">
        <f>HYPERLINK("https://lindat.mff.cuni.cz/services/teitok/pdtc10/index.php?action=vallex&amp;frame=v-w10925f2", "opáčit (v-w10925f2)")</f>
        <v>opáčit (v-w10925f2)</v>
      </c>
    </row>
    <row r="24164" spans="1:3" x14ac:dyDescent="0.2">
      <c r="B24164" t="s">
        <v>1</v>
      </c>
      <c r="C24164" t="s">
        <v>334</v>
      </c>
    </row>
    <row r="24165" spans="1:3" x14ac:dyDescent="0.2">
      <c r="B24165" t="s">
        <v>35</v>
      </c>
      <c r="C24165" t="s">
        <v>7972</v>
      </c>
    </row>
    <row r="24166" spans="1:3" x14ac:dyDescent="0.2">
      <c r="B24166" t="s">
        <v>7108</v>
      </c>
      <c r="C24166" t="s">
        <v>4150</v>
      </c>
    </row>
    <row r="24167" spans="1:3" x14ac:dyDescent="0.2">
      <c r="B24167" t="s">
        <v>46</v>
      </c>
    </row>
    <row r="24169" spans="1:3" x14ac:dyDescent="0.2">
      <c r="A24169" t="s">
        <v>7973</v>
      </c>
      <c r="B24169" t="str">
        <f>HYPERLINK("https://lindat.mff.cuni.cz/services/teitok/pdtc10/index.php?action=vallex&amp;frame=v-whsb_724hsa_725", "opéci (v-whsb_724hsa_725)")</f>
        <v>opéci (v-whsb_724hsa_725)</v>
      </c>
    </row>
    <row r="24170" spans="1:3" x14ac:dyDescent="0.2">
      <c r="B24170" t="s">
        <v>1</v>
      </c>
    </row>
    <row r="24171" spans="1:3" x14ac:dyDescent="0.2">
      <c r="B24171" t="s">
        <v>8</v>
      </c>
    </row>
    <row r="24173" spans="1:3" x14ac:dyDescent="0.2">
      <c r="A24173" t="s">
        <v>7974</v>
      </c>
      <c r="B24173" t="str">
        <f>HYPERLINK("https://lindat.mff.cuni.cz/services/teitok/pdtc10/index.php?action=vallex&amp;frame=v-whsa_1111hsa_1112", "opékat (v-whsa_1111hsa_1112)")</f>
        <v>opékat (v-whsa_1111hsa_1112)</v>
      </c>
    </row>
    <row r="24174" spans="1:3" x14ac:dyDescent="0.2">
      <c r="B24174" t="s">
        <v>1</v>
      </c>
    </row>
    <row r="24175" spans="1:3" x14ac:dyDescent="0.2">
      <c r="B24175" t="s">
        <v>8</v>
      </c>
    </row>
    <row r="24177" spans="1:2" x14ac:dyDescent="0.2">
      <c r="A24177" t="s">
        <v>7975</v>
      </c>
      <c r="B24177" t="str">
        <f>HYPERLINK("https://lindat.mff.cuni.cz/services/teitok/pdtc10/index.php?action=vallex&amp;frame=v-w3119f1", "opíjet (v-w3119f1)")</f>
        <v>opíjet (v-w3119f1)</v>
      </c>
    </row>
    <row r="24178" spans="1:2" x14ac:dyDescent="0.2">
      <c r="B24178" t="s">
        <v>1</v>
      </c>
    </row>
    <row r="24179" spans="1:2" x14ac:dyDescent="0.2">
      <c r="B24179" t="s">
        <v>8</v>
      </c>
    </row>
    <row r="24181" spans="1:2" x14ac:dyDescent="0.2">
      <c r="A24181" t="s">
        <v>7976</v>
      </c>
      <c r="B24181" t="str">
        <f>HYPERLINK("https://lindat.mff.cuni.cz/services/teitok/pdtc10/index.php?action=vallex&amp;frame=v-w3120f1", "opíjet se (v-w3120f1)")</f>
        <v>opíjet se (v-w3120f1)</v>
      </c>
    </row>
    <row r="24182" spans="1:2" x14ac:dyDescent="0.2">
      <c r="B24182" t="s">
        <v>1</v>
      </c>
    </row>
    <row r="24184" spans="1:2" x14ac:dyDescent="0.2">
      <c r="A24184" t="s">
        <v>7977</v>
      </c>
      <c r="B24184" t="str">
        <f>HYPERLINK("https://lindat.mff.cuni.cz/services/teitok/pdtc10/index.php?action=vallex&amp;frame=v-w3120f2", "opíjet se (v-w3120f2)")</f>
        <v>opíjet se (v-w3120f2)</v>
      </c>
    </row>
    <row r="24185" spans="1:2" x14ac:dyDescent="0.2">
      <c r="B24185" t="s">
        <v>1</v>
      </c>
    </row>
    <row r="24187" spans="1:2" x14ac:dyDescent="0.2">
      <c r="A24187" t="s">
        <v>7978</v>
      </c>
      <c r="B24187" t="str">
        <f>HYPERLINK("https://lindat.mff.cuni.cz/services/teitok/pdtc10/index.php?action=vallex&amp;frame=v-w3123f1", "opírat (v-w3123f1)")</f>
        <v>opírat (v-w3123f1)</v>
      </c>
    </row>
    <row r="24188" spans="1:2" x14ac:dyDescent="0.2">
      <c r="B24188" t="s">
        <v>1</v>
      </c>
    </row>
    <row r="24189" spans="1:2" x14ac:dyDescent="0.2">
      <c r="B24189" t="s">
        <v>8</v>
      </c>
    </row>
    <row r="24190" spans="1:2" x14ac:dyDescent="0.2">
      <c r="B24190" t="s">
        <v>7979</v>
      </c>
    </row>
    <row r="24192" spans="1:2" x14ac:dyDescent="0.2">
      <c r="A24192" t="s">
        <v>7980</v>
      </c>
      <c r="B24192" t="str">
        <f>HYPERLINK("https://lindat.mff.cuni.cz/services/teitok/pdtc10/index.php?action=vallex&amp;frame=v-w3123f2", "opírat (v-w3123f2)")</f>
        <v>opírat (v-w3123f2)</v>
      </c>
    </row>
    <row r="24193" spans="1:4" x14ac:dyDescent="0.2">
      <c r="B24193" t="s">
        <v>1</v>
      </c>
    </row>
    <row r="24194" spans="1:4" x14ac:dyDescent="0.2">
      <c r="B24194" t="s">
        <v>8</v>
      </c>
    </row>
    <row r="24195" spans="1:4" x14ac:dyDescent="0.2">
      <c r="B24195" t="s">
        <v>90</v>
      </c>
    </row>
    <row r="24197" spans="1:4" x14ac:dyDescent="0.2">
      <c r="A24197" t="s">
        <v>7981</v>
      </c>
      <c r="B24197" t="str">
        <f>HYPERLINK("https://lindat.mff.cuni.cz/services/teitok/pdtc10/index.php?action=vallex&amp;frame=v-w3124f1", "opírat se (v-w3124f1)")</f>
        <v>opírat se (v-w3124f1)</v>
      </c>
    </row>
    <row r="24198" spans="1:4" x14ac:dyDescent="0.2">
      <c r="B24198" t="s">
        <v>1</v>
      </c>
      <c r="C24198" t="s">
        <v>7982</v>
      </c>
      <c r="D24198" t="s">
        <v>2031</v>
      </c>
    </row>
    <row r="24199" spans="1:4" x14ac:dyDescent="0.2">
      <c r="B24199" t="s">
        <v>467</v>
      </c>
      <c r="C24199" t="s">
        <v>7983</v>
      </c>
      <c r="D24199" t="s">
        <v>23727</v>
      </c>
    </row>
    <row r="24201" spans="1:4" x14ac:dyDescent="0.2">
      <c r="A24201" t="s">
        <v>7984</v>
      </c>
      <c r="B24201" t="str">
        <f>HYPERLINK("https://lindat.mff.cuni.cz/services/teitok/pdtc10/index.php?action=vallex&amp;frame=v-w3124f2", "opírat se (v-w3124f2)")</f>
        <v>opírat se (v-w3124f2)</v>
      </c>
    </row>
    <row r="24202" spans="1:4" x14ac:dyDescent="0.2">
      <c r="B24202" t="s">
        <v>1</v>
      </c>
    </row>
    <row r="24204" spans="1:4" x14ac:dyDescent="0.2">
      <c r="A24204" t="s">
        <v>7985</v>
      </c>
      <c r="B24204" t="str">
        <f>HYPERLINK("https://lindat.mff.cuni.cz/services/teitok/pdtc10/index.php?action=vallex&amp;frame=v-w3128f1", "opít (v-w3128f1)")</f>
        <v>opít (v-w3128f1)</v>
      </c>
    </row>
    <row r="24205" spans="1:4" x14ac:dyDescent="0.2">
      <c r="B24205" t="s">
        <v>1</v>
      </c>
    </row>
    <row r="24206" spans="1:4" x14ac:dyDescent="0.2">
      <c r="B24206" t="s">
        <v>8</v>
      </c>
    </row>
    <row r="24208" spans="1:4" x14ac:dyDescent="0.2">
      <c r="A24208" t="s">
        <v>7986</v>
      </c>
      <c r="B24208" t="str">
        <f>HYPERLINK("https://lindat.mff.cuni.cz/services/teitok/pdtc10/index.php?action=vallex&amp;frame=v-w3128f2", "opít (v-w3128f2)")</f>
        <v>opít (v-w3128f2)</v>
      </c>
    </row>
    <row r="24209" spans="1:4" x14ac:dyDescent="0.2">
      <c r="B24209" t="s">
        <v>1</v>
      </c>
    </row>
    <row r="24210" spans="1:4" x14ac:dyDescent="0.2">
      <c r="B24210" t="s">
        <v>8</v>
      </c>
    </row>
    <row r="24212" spans="1:4" x14ac:dyDescent="0.2">
      <c r="A24212" t="s">
        <v>7987</v>
      </c>
      <c r="B24212" t="str">
        <f>HYPERLINK("https://lindat.mff.cuni.cz/services/teitok/pdtc10/index.php?action=vallex&amp;frame=v-w3129f2_ZU", "opít se (v-w3129f2_ZU)")</f>
        <v>opít se (v-w3129f2_ZU)</v>
      </c>
    </row>
    <row r="24213" spans="1:4" x14ac:dyDescent="0.2">
      <c r="B24213" t="s">
        <v>1</v>
      </c>
      <c r="C24213" t="s">
        <v>7988</v>
      </c>
    </row>
    <row r="24215" spans="1:4" x14ac:dyDescent="0.2">
      <c r="A24215" t="s">
        <v>7987</v>
      </c>
      <c r="B24215" t="str">
        <f>HYPERLINK("https://lindat.mff.cuni.cz/services/teitok/pdtc10/index.php?action=vallex&amp;frame=v-w3129f1", "opít se (v-w3129f1) - substituted with v-w3129f2_ZU")</f>
        <v>opít se (v-w3129f1) - substituted with v-w3129f2_ZU</v>
      </c>
    </row>
    <row r="24216" spans="1:4" x14ac:dyDescent="0.2">
      <c r="B24216" t="s">
        <v>1</v>
      </c>
    </row>
    <row r="24218" spans="1:4" x14ac:dyDescent="0.2">
      <c r="A24218" t="s">
        <v>7989</v>
      </c>
      <c r="B24218" t="str">
        <f>HYPERLINK("https://lindat.mff.cuni.cz/services/teitok/pdtc10/index.php?action=vallex&amp;frame=v-w10903f2", "opětovat (v-w10903f2)")</f>
        <v>opětovat (v-w10903f2)</v>
      </c>
    </row>
    <row r="24219" spans="1:4" x14ac:dyDescent="0.2">
      <c r="B24219" t="s">
        <v>1</v>
      </c>
      <c r="C24219" t="s">
        <v>4110</v>
      </c>
      <c r="D24219" t="s">
        <v>373</v>
      </c>
    </row>
    <row r="24220" spans="1:4" x14ac:dyDescent="0.2">
      <c r="B24220" t="s">
        <v>8</v>
      </c>
      <c r="C24220" t="s">
        <v>7990</v>
      </c>
      <c r="D24220" t="s">
        <v>56</v>
      </c>
    </row>
    <row r="24222" spans="1:4" x14ac:dyDescent="0.2">
      <c r="A24222" t="s">
        <v>7991</v>
      </c>
      <c r="B24222" t="str">
        <f>HYPERLINK("https://lindat.mff.cuni.cz/services/teitok/pdtc10/index.php?action=vallex&amp;frame=v-w10774f2", "opěvovat (v-w10774f2)")</f>
        <v>opěvovat (v-w10774f2)</v>
      </c>
    </row>
    <row r="24223" spans="1:4" x14ac:dyDescent="0.2">
      <c r="B24223" t="s">
        <v>1</v>
      </c>
    </row>
    <row r="24224" spans="1:4" x14ac:dyDescent="0.2">
      <c r="B24224" t="s">
        <v>7992</v>
      </c>
    </row>
    <row r="24226" spans="1:4" x14ac:dyDescent="0.2">
      <c r="A24226" t="s">
        <v>7993</v>
      </c>
      <c r="B24226" t="str">
        <f>HYPERLINK("https://lindat.mff.cuni.cz/services/teitok/pdtc10/index.php?action=vallex&amp;frame=v-w11662_ZUf1_ZU", "opřít (v-w11662_ZUf1_ZU)")</f>
        <v>opřít (v-w11662_ZUf1_ZU)</v>
      </c>
    </row>
    <row r="24227" spans="1:4" x14ac:dyDescent="0.2">
      <c r="B24227" t="s">
        <v>1</v>
      </c>
    </row>
    <row r="24228" spans="1:4" x14ac:dyDescent="0.2">
      <c r="B24228" t="s">
        <v>8</v>
      </c>
    </row>
    <row r="24229" spans="1:4" x14ac:dyDescent="0.2">
      <c r="B24229" t="s">
        <v>1632</v>
      </c>
    </row>
    <row r="24231" spans="1:4" x14ac:dyDescent="0.2">
      <c r="A24231" t="s">
        <v>7994</v>
      </c>
      <c r="B24231" t="str">
        <f>HYPERLINK("https://lindat.mff.cuni.cz/services/teitok/pdtc10/index.php?action=vallex&amp;frame=v-w3157f1", "opřít se (v-w3157f1)")</f>
        <v>opřít se (v-w3157f1)</v>
      </c>
    </row>
    <row r="24232" spans="1:4" x14ac:dyDescent="0.2">
      <c r="B24232" t="s">
        <v>1</v>
      </c>
      <c r="C24232" t="s">
        <v>7995</v>
      </c>
      <c r="D24232" t="s">
        <v>2031</v>
      </c>
    </row>
    <row r="24233" spans="1:4" x14ac:dyDescent="0.2">
      <c r="B24233" t="s">
        <v>467</v>
      </c>
      <c r="D24233" t="s">
        <v>23727</v>
      </c>
    </row>
    <row r="24235" spans="1:4" x14ac:dyDescent="0.2">
      <c r="A24235" t="s">
        <v>7996</v>
      </c>
      <c r="B24235" t="str">
        <f>HYPERLINK("https://lindat.mff.cuni.cz/services/teitok/pdtc10/index.php?action=vallex&amp;frame=v-w3157f2", "opřít se (v-w3157f2)")</f>
        <v>opřít se (v-w3157f2)</v>
      </c>
    </row>
    <row r="24236" spans="1:4" x14ac:dyDescent="0.2">
      <c r="B24236" t="s">
        <v>331</v>
      </c>
    </row>
    <row r="24237" spans="1:4" x14ac:dyDescent="0.2">
      <c r="B24237" t="s">
        <v>90</v>
      </c>
    </row>
    <row r="24239" spans="1:4" x14ac:dyDescent="0.2">
      <c r="A24239" t="s">
        <v>7997</v>
      </c>
      <c r="B24239" t="str">
        <f>HYPERLINK("https://lindat.mff.cuni.cz/services/teitok/pdtc10/index.php?action=vallex&amp;frame=v-w3157f3", "opřít se (v-w3157f3)")</f>
        <v>opřít se (v-w3157f3)</v>
      </c>
    </row>
    <row r="24240" spans="1:4" x14ac:dyDescent="0.2">
      <c r="B24240" t="s">
        <v>1</v>
      </c>
    </row>
    <row r="24242" spans="1:4" x14ac:dyDescent="0.2">
      <c r="A24242" t="s">
        <v>7998</v>
      </c>
      <c r="B24242" t="str">
        <f>HYPERLINK("https://lindat.mff.cuni.cz/services/teitok/pdtc10/index.php?action=vallex&amp;frame=v-w3163f1", "orat (v-w3163f1)")</f>
        <v>orat (v-w3163f1)</v>
      </c>
    </row>
    <row r="24243" spans="1:4" x14ac:dyDescent="0.2">
      <c r="B24243" t="s">
        <v>1</v>
      </c>
      <c r="C24243" t="s">
        <v>140</v>
      </c>
    </row>
    <row r="24244" spans="1:4" x14ac:dyDescent="0.2">
      <c r="B24244" t="s">
        <v>8</v>
      </c>
    </row>
    <row r="24246" spans="1:4" x14ac:dyDescent="0.2">
      <c r="A24246" t="s">
        <v>7999</v>
      </c>
      <c r="B24246" t="str">
        <f>HYPERLINK("https://lindat.mff.cuni.cz/services/teitok/pdtc10/index.php?action=vallex&amp;frame=v-w11009f2", "orazítkovat (v-w11009f2)")</f>
        <v>orazítkovat (v-w11009f2)</v>
      </c>
    </row>
    <row r="24247" spans="1:4" x14ac:dyDescent="0.2">
      <c r="B24247" t="s">
        <v>1</v>
      </c>
    </row>
    <row r="24248" spans="1:4" x14ac:dyDescent="0.2">
      <c r="B24248" t="s">
        <v>8</v>
      </c>
      <c r="C24248" t="s">
        <v>991</v>
      </c>
      <c r="D24248" t="s">
        <v>113</v>
      </c>
    </row>
    <row r="24250" spans="1:4" x14ac:dyDescent="0.2">
      <c r="A24250" t="s">
        <v>8000</v>
      </c>
      <c r="B24250" t="str">
        <f>HYPERLINK("https://lindat.mff.cuni.cz/services/teitok/pdtc10/index.php?action=vallex&amp;frame=v-w3164f1", "ordinovat (v-w3164f1)")</f>
        <v>ordinovat (v-w3164f1)</v>
      </c>
    </row>
    <row r="24251" spans="1:4" x14ac:dyDescent="0.2">
      <c r="B24251" t="s">
        <v>1</v>
      </c>
    </row>
    <row r="24252" spans="1:4" x14ac:dyDescent="0.2">
      <c r="B24252" t="s">
        <v>8001</v>
      </c>
    </row>
    <row r="24253" spans="1:4" x14ac:dyDescent="0.2">
      <c r="B24253" t="s">
        <v>35</v>
      </c>
    </row>
    <row r="24255" spans="1:4" x14ac:dyDescent="0.2">
      <c r="A24255" t="s">
        <v>8002</v>
      </c>
      <c r="B24255" t="str">
        <f>HYPERLINK("https://lindat.mff.cuni.cz/services/teitok/pdtc10/index.php?action=vallex&amp;frame=v-w3169f2_MM", "organizovat (v-w3169f2_MM)")</f>
        <v>organizovat (v-w3169f2_MM)</v>
      </c>
    </row>
    <row r="24256" spans="1:4" x14ac:dyDescent="0.2">
      <c r="B24256" t="s">
        <v>1</v>
      </c>
    </row>
    <row r="24257" spans="1:4" x14ac:dyDescent="0.2">
      <c r="B24257" t="s">
        <v>41</v>
      </c>
    </row>
    <row r="24259" spans="1:4" x14ac:dyDescent="0.2">
      <c r="A24259" t="s">
        <v>8002</v>
      </c>
      <c r="B24259" t="str">
        <f>HYPERLINK("https://lindat.mff.cuni.cz/services/teitok/pdtc10/index.php?action=vallex&amp;frame=v-w3169f1", "organizovat (v-w3169f1) - substituted with v-w3169f2_MM")</f>
        <v>organizovat (v-w3169f1) - substituted with v-w3169f2_MM</v>
      </c>
    </row>
    <row r="24260" spans="1:4" x14ac:dyDescent="0.2">
      <c r="B24260" t="s">
        <v>1</v>
      </c>
      <c r="C24260" t="s">
        <v>8003</v>
      </c>
      <c r="D24260" t="s">
        <v>23061</v>
      </c>
    </row>
    <row r="24261" spans="1:4" x14ac:dyDescent="0.2">
      <c r="B24261" t="s">
        <v>41</v>
      </c>
      <c r="C24261" t="s">
        <v>8004</v>
      </c>
      <c r="D24261" t="s">
        <v>2374</v>
      </c>
    </row>
    <row r="24263" spans="1:4" x14ac:dyDescent="0.2">
      <c r="A24263" t="s">
        <v>8005</v>
      </c>
      <c r="B24263" t="str">
        <f>HYPERLINK("https://lindat.mff.cuni.cz/services/teitok/pdtc10/index.php?action=vallex&amp;frame=v-w3169hsa_470", "organizovat (v-w3169hsa_470)")</f>
        <v>organizovat (v-w3169hsa_470)</v>
      </c>
    </row>
    <row r="24264" spans="1:4" x14ac:dyDescent="0.2">
      <c r="B24264" t="s">
        <v>1</v>
      </c>
      <c r="C24264" t="s">
        <v>1077</v>
      </c>
    </row>
    <row r="24265" spans="1:4" x14ac:dyDescent="0.2">
      <c r="B24265" t="s">
        <v>8</v>
      </c>
      <c r="C24265" t="s">
        <v>1264</v>
      </c>
    </row>
    <row r="24267" spans="1:4" x14ac:dyDescent="0.2">
      <c r="A24267" t="s">
        <v>8006</v>
      </c>
      <c r="B24267" t="str">
        <f>HYPERLINK("https://lindat.mff.cuni.cz/services/teitok/pdtc10/index.php?action=vallex&amp;frame=v-w3172f4", "orientovat (v-w3172f4)")</f>
        <v>orientovat (v-w3172f4)</v>
      </c>
    </row>
    <row r="24268" spans="1:4" x14ac:dyDescent="0.2">
      <c r="B24268" t="s">
        <v>1</v>
      </c>
      <c r="C24268" t="s">
        <v>33</v>
      </c>
      <c r="D24268" t="s">
        <v>23069</v>
      </c>
    </row>
    <row r="24269" spans="1:4" x14ac:dyDescent="0.2">
      <c r="B24269" t="s">
        <v>8</v>
      </c>
      <c r="C24269" t="s">
        <v>8007</v>
      </c>
      <c r="D24269" t="s">
        <v>23070</v>
      </c>
    </row>
    <row r="24270" spans="1:4" x14ac:dyDescent="0.2">
      <c r="B24270" t="s">
        <v>1216</v>
      </c>
      <c r="C24270" t="s">
        <v>1217</v>
      </c>
      <c r="D24270" t="s">
        <v>23071</v>
      </c>
    </row>
    <row r="24272" spans="1:4" x14ac:dyDescent="0.2">
      <c r="A24272" t="s">
        <v>8008</v>
      </c>
      <c r="B24272" t="str">
        <f>HYPERLINK("https://lindat.mff.cuni.cz/services/teitok/pdtc10/index.php?action=vallex&amp;frame=v-w3172f2", "orientovat (v-w3172f2)")</f>
        <v>orientovat (v-w3172f2)</v>
      </c>
    </row>
    <row r="24273" spans="1:4" x14ac:dyDescent="0.2">
      <c r="B24273" t="s">
        <v>1</v>
      </c>
    </row>
    <row r="24274" spans="1:4" x14ac:dyDescent="0.2">
      <c r="B24274" t="s">
        <v>8</v>
      </c>
    </row>
    <row r="24275" spans="1:4" x14ac:dyDescent="0.2">
      <c r="B24275" t="s">
        <v>90</v>
      </c>
    </row>
    <row r="24277" spans="1:4" x14ac:dyDescent="0.2">
      <c r="A24277" t="s">
        <v>8009</v>
      </c>
      <c r="B24277" t="str">
        <f>HYPERLINK("https://lindat.mff.cuni.cz/services/teitok/pdtc10/index.php?action=vallex&amp;frame=v-w3172f3", "orientovat (v-w3172f3)")</f>
        <v>orientovat (v-w3172f3)</v>
      </c>
    </row>
    <row r="24278" spans="1:4" x14ac:dyDescent="0.2">
      <c r="B24278" t="s">
        <v>1</v>
      </c>
    </row>
    <row r="24279" spans="1:4" x14ac:dyDescent="0.2">
      <c r="B24279" t="s">
        <v>8</v>
      </c>
    </row>
    <row r="24280" spans="1:4" x14ac:dyDescent="0.2">
      <c r="B24280" t="s">
        <v>90</v>
      </c>
    </row>
    <row r="24282" spans="1:4" x14ac:dyDescent="0.2">
      <c r="A24282" t="s">
        <v>8009</v>
      </c>
      <c r="B24282" t="str">
        <f>HYPERLINK("https://lindat.mff.cuni.cz/services/teitok/pdtc10/index.php?action=vallex&amp;frame=v-w3172f1", "orientovat (v-w3172f1) - substituted with v-w3172f3")</f>
        <v>orientovat (v-w3172f1) - substituted with v-w3172f3</v>
      </c>
    </row>
    <row r="24283" spans="1:4" x14ac:dyDescent="0.2">
      <c r="B24283" t="s">
        <v>1</v>
      </c>
    </row>
    <row r="24284" spans="1:4" x14ac:dyDescent="0.2">
      <c r="B24284" t="s">
        <v>8</v>
      </c>
    </row>
    <row r="24285" spans="1:4" x14ac:dyDescent="0.2">
      <c r="B24285" t="s">
        <v>90</v>
      </c>
    </row>
    <row r="24287" spans="1:4" x14ac:dyDescent="0.2">
      <c r="A24287" t="s">
        <v>8010</v>
      </c>
      <c r="B24287" t="str">
        <f>HYPERLINK("https://lindat.mff.cuni.cz/services/teitok/pdtc10/index.php?action=vallex&amp;frame=v-w3173f3_ZU", "orientovat se (v-w3173f3_ZU)")</f>
        <v>orientovat se (v-w3173f3_ZU)</v>
      </c>
    </row>
    <row r="24288" spans="1:4" x14ac:dyDescent="0.2">
      <c r="B24288" t="s">
        <v>1</v>
      </c>
      <c r="C24288" t="s">
        <v>8011</v>
      </c>
      <c r="D24288" t="s">
        <v>23728</v>
      </c>
    </row>
    <row r="24289" spans="1:4" x14ac:dyDescent="0.2">
      <c r="B24289" t="s">
        <v>8012</v>
      </c>
      <c r="D24289" t="s">
        <v>23729</v>
      </c>
    </row>
    <row r="24291" spans="1:4" x14ac:dyDescent="0.2">
      <c r="A24291" t="s">
        <v>8010</v>
      </c>
      <c r="B24291" t="str">
        <f>HYPERLINK("https://lindat.mff.cuni.cz/services/teitok/pdtc10/index.php?action=vallex&amp;frame=v-w3173f1", "orientovat se (v-w3173f1) - substituted with v-w3173f3_ZU")</f>
        <v>orientovat se (v-w3173f1) - substituted with v-w3173f3_ZU</v>
      </c>
    </row>
    <row r="24292" spans="1:4" x14ac:dyDescent="0.2">
      <c r="B24292" t="s">
        <v>1</v>
      </c>
      <c r="C24292" t="s">
        <v>8013</v>
      </c>
    </row>
    <row r="24293" spans="1:4" x14ac:dyDescent="0.2">
      <c r="B24293" t="s">
        <v>8012</v>
      </c>
      <c r="C24293" t="s">
        <v>4121</v>
      </c>
    </row>
    <row r="24295" spans="1:4" x14ac:dyDescent="0.2">
      <c r="A24295" t="s">
        <v>8014</v>
      </c>
      <c r="B24295" t="str">
        <f>HYPERLINK("https://lindat.mff.cuni.cz/services/teitok/pdtc10/index.php?action=vallex&amp;frame=v-w3173f2", "orientovat se (v-w3173f2)")</f>
        <v>orientovat se (v-w3173f2)</v>
      </c>
    </row>
    <row r="24296" spans="1:4" x14ac:dyDescent="0.2">
      <c r="B24296" t="s">
        <v>1</v>
      </c>
    </row>
    <row r="24297" spans="1:4" x14ac:dyDescent="0.2">
      <c r="B24297" t="s">
        <v>5</v>
      </c>
    </row>
    <row r="24299" spans="1:4" x14ac:dyDescent="0.2">
      <c r="A24299" t="s">
        <v>8015</v>
      </c>
      <c r="B24299" t="str">
        <f>HYPERLINK("https://lindat.mff.cuni.cz/services/teitok/pdtc10/index.php?action=vallex&amp;frame=v-w3173hsa_735", "orientovat se (v-w3173hsa_735)")</f>
        <v>orientovat se (v-w3173hsa_735)</v>
      </c>
    </row>
    <row r="24300" spans="1:4" x14ac:dyDescent="0.2">
      <c r="B24300" t="s">
        <v>1</v>
      </c>
    </row>
    <row r="24301" spans="1:4" x14ac:dyDescent="0.2">
      <c r="B24301" t="s">
        <v>90</v>
      </c>
    </row>
    <row r="24303" spans="1:4" x14ac:dyDescent="0.2">
      <c r="A24303" t="s">
        <v>8016</v>
      </c>
      <c r="B24303" t="str">
        <f>HYPERLINK("https://lindat.mff.cuni.cz/services/teitok/pdtc10/index.php?action=vallex&amp;frame=v-w12139_ZUf1_ZU", "orodovat (v-w12139_ZUf1_ZU)")</f>
        <v>orodovat (v-w12139_ZUf1_ZU)</v>
      </c>
    </row>
    <row r="24304" spans="1:4" x14ac:dyDescent="0.2">
      <c r="B24304" t="s">
        <v>1</v>
      </c>
    </row>
    <row r="24305" spans="1:2" x14ac:dyDescent="0.2">
      <c r="B24305" t="s">
        <v>1382</v>
      </c>
    </row>
    <row r="24307" spans="1:2" x14ac:dyDescent="0.2">
      <c r="A24307" t="s">
        <v>8017</v>
      </c>
      <c r="B24307" t="str">
        <f>HYPERLINK("https://lindat.mff.cuni.cz/services/teitok/pdtc10/index.php?action=vallex&amp;frame=v-w3174f1", "orosit se (v-w3174f1)")</f>
        <v>orosit se (v-w3174f1)</v>
      </c>
    </row>
    <row r="24308" spans="1:2" x14ac:dyDescent="0.2">
      <c r="B24308" t="s">
        <v>1</v>
      </c>
    </row>
    <row r="24310" spans="1:2" x14ac:dyDescent="0.2">
      <c r="A24310" t="s">
        <v>8018</v>
      </c>
      <c r="B24310" t="str">
        <f>HYPERLINK("https://lindat.mff.cuni.cz/services/teitok/pdtc10/index.php?action=vallex&amp;frame=v-w11232f1", "osahat (v-w11232f1)")</f>
        <v>osahat (v-w11232f1)</v>
      </c>
    </row>
    <row r="24311" spans="1:2" x14ac:dyDescent="0.2">
      <c r="B24311" t="s">
        <v>1</v>
      </c>
    </row>
    <row r="24312" spans="1:2" x14ac:dyDescent="0.2">
      <c r="B24312" t="s">
        <v>8</v>
      </c>
    </row>
    <row r="24314" spans="1:2" x14ac:dyDescent="0.2">
      <c r="A24314" t="s">
        <v>8019</v>
      </c>
      <c r="B24314" t="str">
        <f>HYPERLINK("https://lindat.mff.cuni.cz/services/teitok/pdtc10/index.php?action=vallex&amp;frame=v-w3176f1", "osahat si (v-w3176f1)")</f>
        <v>osahat si (v-w3176f1)</v>
      </c>
    </row>
    <row r="24315" spans="1:2" x14ac:dyDescent="0.2">
      <c r="B24315" t="s">
        <v>1</v>
      </c>
    </row>
    <row r="24316" spans="1:2" x14ac:dyDescent="0.2">
      <c r="B24316" t="s">
        <v>8</v>
      </c>
    </row>
    <row r="24318" spans="1:2" x14ac:dyDescent="0.2">
      <c r="A24318" t="s">
        <v>8020</v>
      </c>
      <c r="B24318" t="str">
        <f>HYPERLINK("https://lindat.mff.cuni.cz/services/teitok/pdtc10/index.php?action=vallex&amp;frame=v-w3177f1", "osahávat (v-w3177f1)")</f>
        <v>osahávat (v-w3177f1)</v>
      </c>
    </row>
    <row r="24319" spans="1:2" x14ac:dyDescent="0.2">
      <c r="B24319" t="s">
        <v>1</v>
      </c>
    </row>
    <row r="24320" spans="1:2" x14ac:dyDescent="0.2">
      <c r="B24320" t="s">
        <v>8</v>
      </c>
    </row>
    <row r="24322" spans="1:2" x14ac:dyDescent="0.2">
      <c r="A24322" t="s">
        <v>8021</v>
      </c>
      <c r="B24322" t="str">
        <f>HYPERLINK("https://lindat.mff.cuni.cz/services/teitok/pdtc10/index.php?action=vallex&amp;frame=v-w3181f2", "osamostatnit se (v-w3181f2)")</f>
        <v>osamostatnit se (v-w3181f2)</v>
      </c>
    </row>
    <row r="24323" spans="1:2" x14ac:dyDescent="0.2">
      <c r="B24323" t="s">
        <v>1</v>
      </c>
    </row>
    <row r="24324" spans="1:2" x14ac:dyDescent="0.2">
      <c r="B24324" t="s">
        <v>19</v>
      </c>
    </row>
    <row r="24326" spans="1:2" x14ac:dyDescent="0.2">
      <c r="A24326" t="s">
        <v>8022</v>
      </c>
      <c r="B24326" t="str">
        <f>HYPERLINK("https://lindat.mff.cuni.cz/services/teitok/pdtc10/index.php?action=vallex&amp;frame=v-w3181f1", "osamostatnit se (v-w3181f1)")</f>
        <v>osamostatnit se (v-w3181f1)</v>
      </c>
    </row>
    <row r="24327" spans="1:2" x14ac:dyDescent="0.2">
      <c r="B24327" t="s">
        <v>1</v>
      </c>
    </row>
    <row r="24329" spans="1:2" x14ac:dyDescent="0.2">
      <c r="A24329" t="s">
        <v>8023</v>
      </c>
      <c r="B24329" t="str">
        <f>HYPERLINK("https://lindat.mff.cuni.cz/services/teitok/pdtc10/index.php?action=vallex&amp;frame=v-w11700_ZUf1_ZU", "osamostatňovat se (v-w11700_ZUf1_ZU)")</f>
        <v>osamostatňovat se (v-w11700_ZUf1_ZU)</v>
      </c>
    </row>
    <row r="24330" spans="1:2" x14ac:dyDescent="0.2">
      <c r="B24330" t="s">
        <v>1</v>
      </c>
    </row>
    <row r="24332" spans="1:2" x14ac:dyDescent="0.2">
      <c r="A24332" t="s">
        <v>8024</v>
      </c>
      <c r="B24332" t="str">
        <f>HYPERLINK("https://lindat.mff.cuni.cz/services/teitok/pdtc10/index.php?action=vallex&amp;frame=v-w12052_ZUf1_ZU", "osazovat (v-w12052_ZUf1_ZU)")</f>
        <v>osazovat (v-w12052_ZUf1_ZU)</v>
      </c>
    </row>
    <row r="24333" spans="1:2" x14ac:dyDescent="0.2">
      <c r="B24333" t="s">
        <v>1</v>
      </c>
    </row>
    <row r="24334" spans="1:2" x14ac:dyDescent="0.2">
      <c r="B24334" t="s">
        <v>8</v>
      </c>
    </row>
    <row r="24336" spans="1:2" x14ac:dyDescent="0.2">
      <c r="A24336" t="s">
        <v>8025</v>
      </c>
      <c r="B24336" t="str">
        <f>HYPERLINK("https://lindat.mff.cuni.cz/services/teitok/pdtc10/index.php?action=vallex&amp;frame=v-whsa_870f1_ZU", "oscilovat (v-whsa_870f1_ZU)")</f>
        <v>oscilovat (v-whsa_870f1_ZU)</v>
      </c>
    </row>
    <row r="24337" spans="1:4" x14ac:dyDescent="0.2">
      <c r="B24337" t="s">
        <v>1</v>
      </c>
      <c r="C24337" t="s">
        <v>715</v>
      </c>
    </row>
    <row r="24339" spans="1:4" x14ac:dyDescent="0.2">
      <c r="A24339" t="s">
        <v>8025</v>
      </c>
      <c r="B24339" t="str">
        <f>HYPERLINK("https://lindat.mff.cuni.cz/services/teitok/pdtc10/index.php?action=vallex&amp;frame=v-whsa_870hsa_871", "oscilovat (v-whsa_870hsa_871) - substituted with v-whsa_870f1_ZU")</f>
        <v>oscilovat (v-whsa_870hsa_871) - substituted with v-whsa_870f1_ZU</v>
      </c>
    </row>
    <row r="24340" spans="1:4" x14ac:dyDescent="0.2">
      <c r="B24340" t="s">
        <v>1</v>
      </c>
    </row>
    <row r="24342" spans="1:4" x14ac:dyDescent="0.2">
      <c r="A24342" t="s">
        <v>8026</v>
      </c>
      <c r="B24342" t="str">
        <f>HYPERLINK("https://lindat.mff.cuni.cz/services/teitok/pdtc10/index.php?action=vallex&amp;frame=v-w11542_ZUf1_ZU", "osedlat si (v-w11542_ZUf1_ZU)")</f>
        <v>osedlat si (v-w11542_ZUf1_ZU)</v>
      </c>
    </row>
    <row r="24343" spans="1:4" x14ac:dyDescent="0.2">
      <c r="B24343" t="s">
        <v>1</v>
      </c>
      <c r="C24343" t="s">
        <v>140</v>
      </c>
    </row>
    <row r="24344" spans="1:4" x14ac:dyDescent="0.2">
      <c r="B24344" t="s">
        <v>8</v>
      </c>
      <c r="C24344" t="s">
        <v>4060</v>
      </c>
    </row>
    <row r="24346" spans="1:4" x14ac:dyDescent="0.2">
      <c r="A24346" t="s">
        <v>8027</v>
      </c>
      <c r="B24346" t="str">
        <f>HYPERLINK("https://lindat.mff.cuni.cz/services/teitok/pdtc10/index.php?action=vallex&amp;frame=v-w10714f2", "osekat (v-w10714f2)")</f>
        <v>osekat (v-w10714f2)</v>
      </c>
    </row>
    <row r="24347" spans="1:4" x14ac:dyDescent="0.2">
      <c r="B24347" t="s">
        <v>1</v>
      </c>
      <c r="C24347" t="s">
        <v>140</v>
      </c>
      <c r="D24347" t="s">
        <v>23706</v>
      </c>
    </row>
    <row r="24348" spans="1:4" x14ac:dyDescent="0.2">
      <c r="B24348" t="s">
        <v>8</v>
      </c>
      <c r="C24348" t="s">
        <v>34</v>
      </c>
      <c r="D24348" t="s">
        <v>23707</v>
      </c>
    </row>
    <row r="24349" spans="1:4" x14ac:dyDescent="0.2">
      <c r="B24349" t="s">
        <v>24</v>
      </c>
      <c r="D24349" t="s">
        <v>23708</v>
      </c>
    </row>
    <row r="24350" spans="1:4" x14ac:dyDescent="0.2">
      <c r="B24350" t="s">
        <v>61</v>
      </c>
      <c r="D24350" t="s">
        <v>23709</v>
      </c>
    </row>
    <row r="24352" spans="1:4" x14ac:dyDescent="0.2">
      <c r="A24352" t="s">
        <v>8028</v>
      </c>
      <c r="B24352" t="str">
        <f>HYPERLINK("https://lindat.mff.cuni.cz/services/teitok/pdtc10/index.php?action=vallex&amp;frame=v-w10677f2", "oseknout (v-w10677f2)")</f>
        <v>oseknout (v-w10677f2)</v>
      </c>
    </row>
    <row r="24353" spans="1:4" x14ac:dyDescent="0.2">
      <c r="B24353" t="s">
        <v>1</v>
      </c>
    </row>
    <row r="24354" spans="1:4" x14ac:dyDescent="0.2">
      <c r="B24354" t="s">
        <v>8</v>
      </c>
    </row>
    <row r="24355" spans="1:4" x14ac:dyDescent="0.2">
      <c r="B24355" t="s">
        <v>24</v>
      </c>
    </row>
    <row r="24356" spans="1:4" x14ac:dyDescent="0.2">
      <c r="B24356" t="s">
        <v>61</v>
      </c>
    </row>
    <row r="24358" spans="1:4" x14ac:dyDescent="0.2">
      <c r="A24358" t="s">
        <v>8029</v>
      </c>
      <c r="B24358" t="str">
        <f>HYPERLINK("https://lindat.mff.cuni.cz/services/teitok/pdtc10/index.php?action=vallex&amp;frame=v-w3186f1", "osiřet (v-w3186f1)")</f>
        <v>osiřet (v-w3186f1)</v>
      </c>
    </row>
    <row r="24359" spans="1:4" x14ac:dyDescent="0.2">
      <c r="B24359" t="s">
        <v>1</v>
      </c>
    </row>
    <row r="24361" spans="1:4" x14ac:dyDescent="0.2">
      <c r="A24361" t="s">
        <v>8030</v>
      </c>
      <c r="B24361" t="str">
        <f>HYPERLINK("https://lindat.mff.cuni.cz/services/teitok/pdtc10/index.php?action=vallex&amp;frame=v-whsa_616hsa_617", "oskenovat (v-whsa_616hsa_617)")</f>
        <v>oskenovat (v-whsa_616hsa_617)</v>
      </c>
    </row>
    <row r="24362" spans="1:4" x14ac:dyDescent="0.2">
      <c r="B24362" t="s">
        <v>1</v>
      </c>
    </row>
    <row r="24363" spans="1:4" x14ac:dyDescent="0.2">
      <c r="B24363" t="s">
        <v>8</v>
      </c>
    </row>
    <row r="24365" spans="1:4" x14ac:dyDescent="0.2">
      <c r="A24365" t="s">
        <v>8031</v>
      </c>
      <c r="B24365" t="str">
        <f>HYPERLINK("https://lindat.mff.cuni.cz/services/teitok/pdtc10/index.php?action=vallex&amp;frame=v-w3188f1", "oslabit (v-w3188f1)")</f>
        <v>oslabit (v-w3188f1)</v>
      </c>
    </row>
    <row r="24366" spans="1:4" x14ac:dyDescent="0.2">
      <c r="B24366" t="s">
        <v>1</v>
      </c>
      <c r="C24366" t="s">
        <v>8032</v>
      </c>
      <c r="D24366" t="s">
        <v>23730</v>
      </c>
    </row>
    <row r="24367" spans="1:4" x14ac:dyDescent="0.2">
      <c r="B24367" t="s">
        <v>8</v>
      </c>
      <c r="C24367" t="s">
        <v>3072</v>
      </c>
      <c r="D24367" t="s">
        <v>23731</v>
      </c>
    </row>
    <row r="24368" spans="1:4" x14ac:dyDescent="0.2">
      <c r="B24368" t="s">
        <v>24</v>
      </c>
      <c r="D24368" t="s">
        <v>23732</v>
      </c>
    </row>
    <row r="24369" spans="1:4" x14ac:dyDescent="0.2">
      <c r="B24369" t="s">
        <v>61</v>
      </c>
      <c r="C24369" t="s">
        <v>3737</v>
      </c>
      <c r="D24369" t="s">
        <v>23733</v>
      </c>
    </row>
    <row r="24371" spans="1:4" x14ac:dyDescent="0.2">
      <c r="A24371" t="s">
        <v>8033</v>
      </c>
      <c r="B24371" t="str">
        <f>HYPERLINK("https://lindat.mff.cuni.cz/services/teitok/pdtc10/index.php?action=vallex&amp;frame=v-w3188f3", "oslabit (v-w3188f3)")</f>
        <v>oslabit (v-w3188f3)</v>
      </c>
    </row>
    <row r="24372" spans="1:4" x14ac:dyDescent="0.2">
      <c r="B24372" t="s">
        <v>1</v>
      </c>
      <c r="C24372" t="s">
        <v>2148</v>
      </c>
      <c r="D24372" t="s">
        <v>23734</v>
      </c>
    </row>
    <row r="24373" spans="1:4" x14ac:dyDescent="0.2">
      <c r="B24373" t="s">
        <v>8</v>
      </c>
      <c r="C24373" t="s">
        <v>4631</v>
      </c>
      <c r="D24373" t="s">
        <v>10078</v>
      </c>
    </row>
    <row r="24375" spans="1:4" x14ac:dyDescent="0.2">
      <c r="A24375" t="s">
        <v>8034</v>
      </c>
      <c r="B24375" t="str">
        <f>HYPERLINK("https://lindat.mff.cuni.cz/services/teitok/pdtc10/index.php?action=vallex&amp;frame=v-w3188f2", "oslabit (v-w3188f2)")</f>
        <v>oslabit (v-w3188f2)</v>
      </c>
    </row>
    <row r="24376" spans="1:4" x14ac:dyDescent="0.2">
      <c r="B24376" t="s">
        <v>1</v>
      </c>
      <c r="C24376" t="s">
        <v>8035</v>
      </c>
      <c r="D24376" t="s">
        <v>23735</v>
      </c>
    </row>
    <row r="24378" spans="1:4" x14ac:dyDescent="0.2">
      <c r="A24378" t="s">
        <v>8036</v>
      </c>
      <c r="B24378" t="str">
        <f>HYPERLINK("https://lindat.mff.cuni.cz/services/teitok/pdtc10/index.php?action=vallex&amp;frame=v-w3188f4_ZU", "oslabit (v-w3188f4_ZU)")</f>
        <v>oslabit (v-w3188f4_ZU)</v>
      </c>
    </row>
    <row r="24379" spans="1:4" x14ac:dyDescent="0.2">
      <c r="B24379" t="s">
        <v>1</v>
      </c>
      <c r="C24379" t="s">
        <v>8037</v>
      </c>
      <c r="D24379" t="s">
        <v>23736</v>
      </c>
    </row>
    <row r="24380" spans="1:4" x14ac:dyDescent="0.2">
      <c r="B24380" t="s">
        <v>46</v>
      </c>
      <c r="C24380" t="s">
        <v>8038</v>
      </c>
      <c r="D24380" t="s">
        <v>23737</v>
      </c>
    </row>
    <row r="24381" spans="1:4" x14ac:dyDescent="0.2">
      <c r="B24381" t="s">
        <v>24</v>
      </c>
      <c r="C24381" t="s">
        <v>8039</v>
      </c>
      <c r="D24381" t="s">
        <v>23738</v>
      </c>
    </row>
    <row r="24383" spans="1:4" x14ac:dyDescent="0.2">
      <c r="A24383" t="s">
        <v>8036</v>
      </c>
      <c r="B24383" t="str">
        <f>HYPERLINK("https://lindat.mff.cuni.cz/services/teitok/pdtc10/index.php?action=vallex&amp;frame=v-w3188hsa_487", "oslabit (v-w3188hsa_487) - substituted with v-w3188f4_ZU")</f>
        <v>oslabit (v-w3188hsa_487) - substituted with v-w3188f4_ZU</v>
      </c>
    </row>
    <row r="24384" spans="1:4" x14ac:dyDescent="0.2">
      <c r="B24384" t="s">
        <v>1</v>
      </c>
    </row>
    <row r="24385" spans="1:4" x14ac:dyDescent="0.2">
      <c r="B24385" t="s">
        <v>46</v>
      </c>
    </row>
    <row r="24386" spans="1:4" x14ac:dyDescent="0.2">
      <c r="B24386" t="s">
        <v>24</v>
      </c>
    </row>
    <row r="24388" spans="1:4" x14ac:dyDescent="0.2">
      <c r="A24388" t="s">
        <v>8040</v>
      </c>
      <c r="B24388" t="str">
        <f>HYPERLINK("https://lindat.mff.cuni.cz/services/teitok/pdtc10/index.php?action=vallex&amp;frame=v-w3190f1", "oslabovat (v-w3190f1)")</f>
        <v>oslabovat (v-w3190f1)</v>
      </c>
    </row>
    <row r="24389" spans="1:4" x14ac:dyDescent="0.2">
      <c r="B24389" t="s">
        <v>1</v>
      </c>
      <c r="D24389" t="s">
        <v>23730</v>
      </c>
    </row>
    <row r="24390" spans="1:4" x14ac:dyDescent="0.2">
      <c r="B24390" t="s">
        <v>8</v>
      </c>
      <c r="D24390" t="s">
        <v>23731</v>
      </c>
    </row>
    <row r="24391" spans="1:4" x14ac:dyDescent="0.2">
      <c r="B24391" t="s">
        <v>24</v>
      </c>
      <c r="D24391" t="s">
        <v>23732</v>
      </c>
    </row>
    <row r="24392" spans="1:4" x14ac:dyDescent="0.2">
      <c r="B24392" t="s">
        <v>61</v>
      </c>
      <c r="D24392" t="s">
        <v>23733</v>
      </c>
    </row>
    <row r="24394" spans="1:4" x14ac:dyDescent="0.2">
      <c r="A24394" t="s">
        <v>8041</v>
      </c>
      <c r="B24394" t="str">
        <f>HYPERLINK("https://lindat.mff.cuni.cz/services/teitok/pdtc10/index.php?action=vallex&amp;frame=v-w3190f2", "oslabovat (v-w3190f2)")</f>
        <v>oslabovat (v-w3190f2)</v>
      </c>
    </row>
    <row r="24395" spans="1:4" x14ac:dyDescent="0.2">
      <c r="B24395" t="s">
        <v>1</v>
      </c>
      <c r="C24395" t="s">
        <v>370</v>
      </c>
      <c r="D24395" t="s">
        <v>23734</v>
      </c>
    </row>
    <row r="24396" spans="1:4" x14ac:dyDescent="0.2">
      <c r="B24396" t="s">
        <v>8</v>
      </c>
      <c r="C24396" t="s">
        <v>116</v>
      </c>
      <c r="D24396" t="s">
        <v>10078</v>
      </c>
    </row>
    <row r="24398" spans="1:4" x14ac:dyDescent="0.2">
      <c r="A24398" t="s">
        <v>8042</v>
      </c>
      <c r="B24398" t="str">
        <f>HYPERLINK("https://lindat.mff.cuni.cz/services/teitok/pdtc10/index.php?action=vallex&amp;frame=v-w3190f4_ZU", "oslabovat (v-w3190f4_ZU)")</f>
        <v>oslabovat (v-w3190f4_ZU)</v>
      </c>
    </row>
    <row r="24399" spans="1:4" x14ac:dyDescent="0.2">
      <c r="B24399" t="s">
        <v>1</v>
      </c>
      <c r="D24399" t="s">
        <v>23735</v>
      </c>
    </row>
    <row r="24401" spans="1:4" x14ac:dyDescent="0.2">
      <c r="A24401" t="s">
        <v>8042</v>
      </c>
      <c r="B24401" t="str">
        <f>HYPERLINK("https://lindat.mff.cuni.cz/services/teitok/pdtc10/index.php?action=vallex&amp;frame=v-w3190f3_ZU", "oslabovat (v-w3190f3_ZU) - substituted with v-w3190f4_ZU")</f>
        <v>oslabovat (v-w3190f3_ZU) - substituted with v-w3190f4_ZU</v>
      </c>
    </row>
    <row r="24402" spans="1:4" x14ac:dyDescent="0.2">
      <c r="B24402" t="s">
        <v>1</v>
      </c>
      <c r="C24402" t="s">
        <v>2458</v>
      </c>
    </row>
    <row r="24404" spans="1:4" x14ac:dyDescent="0.2">
      <c r="A24404" t="s">
        <v>8043</v>
      </c>
      <c r="B24404" t="str">
        <f>HYPERLINK("https://lindat.mff.cuni.cz/services/teitok/pdtc10/index.php?action=vallex&amp;frame=v-w3190hsa_1298", "oslabovat (v-w3190hsa_1298)")</f>
        <v>oslabovat (v-w3190hsa_1298)</v>
      </c>
    </row>
    <row r="24405" spans="1:4" x14ac:dyDescent="0.2">
      <c r="B24405" t="s">
        <v>1</v>
      </c>
    </row>
    <row r="24407" spans="1:4" x14ac:dyDescent="0.2">
      <c r="A24407" t="s">
        <v>8044</v>
      </c>
      <c r="B24407" t="str">
        <f>HYPERLINK("https://lindat.mff.cuni.cz/services/teitok/pdtc10/index.php?action=vallex&amp;frame=v-w3191f1", "oslabovat se (v-w3191f1)")</f>
        <v>oslabovat se (v-w3191f1)</v>
      </c>
    </row>
    <row r="24408" spans="1:4" x14ac:dyDescent="0.2">
      <c r="B24408" t="s">
        <v>1</v>
      </c>
      <c r="C24408" t="s">
        <v>553</v>
      </c>
    </row>
    <row r="24410" spans="1:4" x14ac:dyDescent="0.2">
      <c r="A24410" t="s">
        <v>8045</v>
      </c>
      <c r="B24410" t="str">
        <f>HYPERLINK("https://lindat.mff.cuni.cz/services/teitok/pdtc10/index.php?action=vallex&amp;frame=v-w11213f2", "osladit (v-w11213f2)")</f>
        <v>osladit (v-w11213f2)</v>
      </c>
    </row>
    <row r="24411" spans="1:4" x14ac:dyDescent="0.2">
      <c r="B24411" t="s">
        <v>1</v>
      </c>
      <c r="C24411" t="s">
        <v>334</v>
      </c>
      <c r="D24411" t="s">
        <v>334</v>
      </c>
    </row>
    <row r="24412" spans="1:4" x14ac:dyDescent="0.2">
      <c r="B24412" t="s">
        <v>8</v>
      </c>
      <c r="C24412" t="s">
        <v>1025</v>
      </c>
      <c r="D24412" t="s">
        <v>1025</v>
      </c>
    </row>
    <row r="24414" spans="1:4" x14ac:dyDescent="0.2">
      <c r="A24414" t="s">
        <v>8046</v>
      </c>
      <c r="B24414" t="str">
        <f>HYPERLINK("https://lindat.mff.cuni.cz/services/teitok/pdtc10/index.php?action=vallex&amp;frame=v-w11213f3_ZU", "osladit (v-w11213f3_ZU)")</f>
        <v>osladit (v-w11213f3_ZU)</v>
      </c>
    </row>
    <row r="24415" spans="1:4" x14ac:dyDescent="0.2">
      <c r="B24415" t="s">
        <v>1</v>
      </c>
    </row>
    <row r="24416" spans="1:4" x14ac:dyDescent="0.2">
      <c r="B24416" t="s">
        <v>8</v>
      </c>
    </row>
    <row r="24418" spans="1:4" x14ac:dyDescent="0.2">
      <c r="A24418" t="s">
        <v>8047</v>
      </c>
      <c r="B24418" t="str">
        <f>HYPERLINK("https://lindat.mff.cuni.cz/services/teitok/pdtc10/index.php?action=vallex&amp;frame=v-w3193f1", "oslavit (v-w3193f1)")</f>
        <v>oslavit (v-w3193f1)</v>
      </c>
    </row>
    <row r="24419" spans="1:4" x14ac:dyDescent="0.2">
      <c r="B24419" t="s">
        <v>1</v>
      </c>
      <c r="C24419" t="s">
        <v>83</v>
      </c>
      <c r="D24419" t="s">
        <v>1065</v>
      </c>
    </row>
    <row r="24420" spans="1:4" x14ac:dyDescent="0.2">
      <c r="B24420" t="s">
        <v>1227</v>
      </c>
      <c r="C24420" t="s">
        <v>1340</v>
      </c>
      <c r="D24420" t="s">
        <v>18169</v>
      </c>
    </row>
    <row r="24422" spans="1:4" x14ac:dyDescent="0.2">
      <c r="A24422" t="s">
        <v>8048</v>
      </c>
      <c r="B24422" t="str">
        <f>HYPERLINK("https://lindat.mff.cuni.cz/services/teitok/pdtc10/index.php?action=vallex&amp;frame=v-w3194f1", "oslavovat (v-w3194f1)")</f>
        <v>oslavovat (v-w3194f1)</v>
      </c>
    </row>
    <row r="24423" spans="1:4" x14ac:dyDescent="0.2">
      <c r="B24423" t="s">
        <v>1</v>
      </c>
      <c r="C24423" t="s">
        <v>115</v>
      </c>
      <c r="D24423" t="s">
        <v>1065</v>
      </c>
    </row>
    <row r="24424" spans="1:4" x14ac:dyDescent="0.2">
      <c r="B24424" t="s">
        <v>124</v>
      </c>
      <c r="C24424" t="s">
        <v>8049</v>
      </c>
      <c r="D24424" t="s">
        <v>18169</v>
      </c>
    </row>
    <row r="24426" spans="1:4" x14ac:dyDescent="0.2">
      <c r="A24426" t="s">
        <v>8050</v>
      </c>
      <c r="B24426" t="str">
        <f>HYPERLINK("https://lindat.mff.cuni.cz/services/teitok/pdtc10/index.php?action=vallex&amp;frame=v-w3196f1", "oslepit (v-w3196f1)")</f>
        <v>oslepit (v-w3196f1)</v>
      </c>
    </row>
    <row r="24427" spans="1:4" x14ac:dyDescent="0.2">
      <c r="B24427" t="s">
        <v>1</v>
      </c>
    </row>
    <row r="24428" spans="1:4" x14ac:dyDescent="0.2">
      <c r="B24428" t="s">
        <v>8</v>
      </c>
    </row>
    <row r="24430" spans="1:4" x14ac:dyDescent="0.2">
      <c r="A24430" t="s">
        <v>8051</v>
      </c>
      <c r="B24430" t="str">
        <f>HYPERLINK("https://lindat.mff.cuni.cz/services/teitok/pdtc10/index.php?action=vallex&amp;frame=v-w12142_ZUf1_ZU", "oslepnout (v-w12142_ZUf1_ZU)")</f>
        <v>oslepnout (v-w12142_ZUf1_ZU)</v>
      </c>
    </row>
    <row r="24431" spans="1:4" x14ac:dyDescent="0.2">
      <c r="B24431" t="s">
        <v>1</v>
      </c>
    </row>
    <row r="24433" spans="1:4" x14ac:dyDescent="0.2">
      <c r="A24433" t="s">
        <v>8052</v>
      </c>
      <c r="B24433" t="str">
        <f>HYPERLINK("https://lindat.mff.cuni.cz/services/teitok/pdtc10/index.php?action=vallex&amp;frame=v-w3197f1", "oslnit (v-w3197f1)")</f>
        <v>oslnit (v-w3197f1)</v>
      </c>
    </row>
    <row r="24434" spans="1:4" x14ac:dyDescent="0.2">
      <c r="B24434" t="s">
        <v>1</v>
      </c>
      <c r="C24434" t="s">
        <v>33</v>
      </c>
      <c r="D24434" t="s">
        <v>23739</v>
      </c>
    </row>
    <row r="24435" spans="1:4" x14ac:dyDescent="0.2">
      <c r="B24435" t="s">
        <v>8</v>
      </c>
      <c r="C24435" t="s">
        <v>113</v>
      </c>
      <c r="D24435" t="s">
        <v>23740</v>
      </c>
    </row>
    <row r="24437" spans="1:4" x14ac:dyDescent="0.2">
      <c r="A24437" t="s">
        <v>8053</v>
      </c>
      <c r="B24437" t="str">
        <f>HYPERLINK("https://lindat.mff.cuni.cz/services/teitok/pdtc10/index.php?action=vallex&amp;frame=v-w3199f2", "oslovit (v-w3199f2)")</f>
        <v>oslovit (v-w3199f2)</v>
      </c>
    </row>
    <row r="24438" spans="1:4" x14ac:dyDescent="0.2">
      <c r="B24438" t="s">
        <v>1</v>
      </c>
      <c r="C24438" t="s">
        <v>373</v>
      </c>
      <c r="D24438" t="s">
        <v>7388</v>
      </c>
    </row>
    <row r="24439" spans="1:4" x14ac:dyDescent="0.2">
      <c r="B24439" t="s">
        <v>8</v>
      </c>
      <c r="C24439" t="s">
        <v>81</v>
      </c>
      <c r="D24439" t="s">
        <v>23588</v>
      </c>
    </row>
    <row r="24440" spans="1:4" x14ac:dyDescent="0.2">
      <c r="B24440" t="s">
        <v>8054</v>
      </c>
      <c r="D24440" t="s">
        <v>23589</v>
      </c>
    </row>
    <row r="24442" spans="1:4" x14ac:dyDescent="0.2">
      <c r="A24442" t="s">
        <v>8055</v>
      </c>
      <c r="B24442" t="str">
        <f>HYPERLINK("https://lindat.mff.cuni.cz/services/teitok/pdtc10/index.php?action=vallex&amp;frame=v-w3199f5_ZU", "oslovit (v-w3199f5_ZU)")</f>
        <v>oslovit (v-w3199f5_ZU)</v>
      </c>
    </row>
    <row r="24443" spans="1:4" x14ac:dyDescent="0.2">
      <c r="B24443" t="s">
        <v>1</v>
      </c>
      <c r="C24443" t="s">
        <v>6317</v>
      </c>
      <c r="D24443" t="s">
        <v>22956</v>
      </c>
    </row>
    <row r="24444" spans="1:4" x14ac:dyDescent="0.2">
      <c r="B24444" t="s">
        <v>8</v>
      </c>
      <c r="C24444" t="s">
        <v>8056</v>
      </c>
      <c r="D24444" t="s">
        <v>22957</v>
      </c>
    </row>
    <row r="24445" spans="1:4" x14ac:dyDescent="0.2">
      <c r="B24445" t="s">
        <v>8057</v>
      </c>
      <c r="D24445" t="s">
        <v>23741</v>
      </c>
    </row>
    <row r="24447" spans="1:4" x14ac:dyDescent="0.2">
      <c r="A24447" t="s">
        <v>8055</v>
      </c>
      <c r="B24447" t="str">
        <f>HYPERLINK("https://lindat.mff.cuni.cz/services/teitok/pdtc10/index.php?action=vallex&amp;frame=v-w3199f1", "oslovit (v-w3199f1) - substituted with v-w3199f5_ZU")</f>
        <v>oslovit (v-w3199f1) - substituted with v-w3199f5_ZU</v>
      </c>
    </row>
    <row r="24448" spans="1:4" x14ac:dyDescent="0.2">
      <c r="B24448" t="s">
        <v>1</v>
      </c>
      <c r="C24448" t="s">
        <v>8058</v>
      </c>
    </row>
    <row r="24449" spans="1:4" x14ac:dyDescent="0.2">
      <c r="B24449" t="s">
        <v>8</v>
      </c>
      <c r="C24449" t="s">
        <v>8059</v>
      </c>
    </row>
    <row r="24450" spans="1:4" x14ac:dyDescent="0.2">
      <c r="B24450" t="s">
        <v>8057</v>
      </c>
    </row>
    <row r="24452" spans="1:4" x14ac:dyDescent="0.2">
      <c r="A24452" t="s">
        <v>8060</v>
      </c>
      <c r="B24452" t="str">
        <f>HYPERLINK("https://lindat.mff.cuni.cz/services/teitok/pdtc10/index.php?action=vallex&amp;frame=v-w3199f4_ZU", "oslovit (v-w3199f4_ZU)")</f>
        <v>oslovit (v-w3199f4_ZU)</v>
      </c>
    </row>
    <row r="24453" spans="1:4" x14ac:dyDescent="0.2">
      <c r="B24453" t="s">
        <v>1</v>
      </c>
      <c r="D24453" t="s">
        <v>23742</v>
      </c>
    </row>
    <row r="24454" spans="1:4" x14ac:dyDescent="0.2">
      <c r="B24454" t="s">
        <v>8</v>
      </c>
      <c r="D24454" t="s">
        <v>56</v>
      </c>
    </row>
    <row r="24456" spans="1:4" x14ac:dyDescent="0.2">
      <c r="A24456" t="s">
        <v>8060</v>
      </c>
      <c r="B24456" t="str">
        <f>HYPERLINK("https://lindat.mff.cuni.cz/services/teitok/pdtc10/index.php?action=vallex&amp;frame=v-w3199f3_ZU", "oslovit (v-w3199f3_ZU) - substituted with v-w3199f4_ZU")</f>
        <v>oslovit (v-w3199f3_ZU) - substituted with v-w3199f4_ZU</v>
      </c>
    </row>
    <row r="24457" spans="1:4" x14ac:dyDescent="0.2">
      <c r="B24457" t="s">
        <v>1</v>
      </c>
    </row>
    <row r="24458" spans="1:4" x14ac:dyDescent="0.2">
      <c r="B24458" t="s">
        <v>8</v>
      </c>
    </row>
    <row r="24460" spans="1:4" x14ac:dyDescent="0.2">
      <c r="A24460" t="s">
        <v>8060</v>
      </c>
      <c r="B24460" t="str">
        <f>HYPERLINK("https://lindat.mff.cuni.cz/services/teitok/pdtc10/index.php?action=vallex&amp;frame=v-w3199hsa_152", "oslovit (v-w3199hsa_152) - substituted with v-w3199f4_ZU")</f>
        <v>oslovit (v-w3199hsa_152) - substituted with v-w3199f4_ZU</v>
      </c>
    </row>
    <row r="24461" spans="1:4" x14ac:dyDescent="0.2">
      <c r="B24461" t="s">
        <v>1</v>
      </c>
      <c r="C24461" t="s">
        <v>990</v>
      </c>
    </row>
    <row r="24462" spans="1:4" x14ac:dyDescent="0.2">
      <c r="B24462" t="s">
        <v>8</v>
      </c>
      <c r="C24462" t="s">
        <v>1510</v>
      </c>
    </row>
    <row r="24464" spans="1:4" x14ac:dyDescent="0.2">
      <c r="A24464" t="s">
        <v>8061</v>
      </c>
      <c r="B24464" t="str">
        <f>HYPERLINK("https://lindat.mff.cuni.cz/services/teitok/pdtc10/index.php?action=vallex&amp;frame=v-w3200f1", "oslovovat (v-w3200f1)")</f>
        <v>oslovovat (v-w3200f1)</v>
      </c>
    </row>
    <row r="24465" spans="1:4" x14ac:dyDescent="0.2">
      <c r="B24465" t="s">
        <v>1</v>
      </c>
    </row>
    <row r="24466" spans="1:4" x14ac:dyDescent="0.2">
      <c r="B24466" t="s">
        <v>8</v>
      </c>
    </row>
    <row r="24468" spans="1:4" x14ac:dyDescent="0.2">
      <c r="A24468" t="s">
        <v>8062</v>
      </c>
      <c r="B24468" t="str">
        <f>HYPERLINK("https://lindat.mff.cuni.cz/services/teitok/pdtc10/index.php?action=vallex&amp;frame=v-w3200f2_ZU", "oslovovat (v-w3200f2_ZU)")</f>
        <v>oslovovat (v-w3200f2_ZU)</v>
      </c>
    </row>
    <row r="24469" spans="1:4" x14ac:dyDescent="0.2">
      <c r="B24469" t="s">
        <v>1</v>
      </c>
    </row>
    <row r="24470" spans="1:4" x14ac:dyDescent="0.2">
      <c r="B24470" t="s">
        <v>8</v>
      </c>
    </row>
    <row r="24471" spans="1:4" x14ac:dyDescent="0.2">
      <c r="B24471" t="s">
        <v>8063</v>
      </c>
    </row>
    <row r="24473" spans="1:4" x14ac:dyDescent="0.2">
      <c r="A24473" t="s">
        <v>8062</v>
      </c>
      <c r="B24473" t="str">
        <f>HYPERLINK("https://lindat.mff.cuni.cz/services/teitok/pdtc10/index.php?action=vallex&amp;frame=v-w3200hsa_963", "oslovovat (v-w3200hsa_963) - substituted with v-w3200f2_ZU")</f>
        <v>oslovovat (v-w3200hsa_963) - substituted with v-w3200f2_ZU</v>
      </c>
    </row>
    <row r="24474" spans="1:4" x14ac:dyDescent="0.2">
      <c r="B24474" t="s">
        <v>1</v>
      </c>
      <c r="C24474" t="s">
        <v>6388</v>
      </c>
      <c r="D24474" t="s">
        <v>7388</v>
      </c>
    </row>
    <row r="24475" spans="1:4" x14ac:dyDescent="0.2">
      <c r="B24475" t="s">
        <v>8</v>
      </c>
      <c r="C24475" t="s">
        <v>6389</v>
      </c>
      <c r="D24475" t="s">
        <v>23588</v>
      </c>
    </row>
    <row r="24476" spans="1:4" x14ac:dyDescent="0.2">
      <c r="B24476" t="s">
        <v>8063</v>
      </c>
      <c r="C24476" t="s">
        <v>8064</v>
      </c>
      <c r="D24476" t="s">
        <v>23589</v>
      </c>
    </row>
    <row r="24478" spans="1:4" x14ac:dyDescent="0.2">
      <c r="A24478" t="s">
        <v>8065</v>
      </c>
      <c r="B24478" t="str">
        <f>HYPERLINK("https://lindat.mff.cuni.cz/services/teitok/pdtc10/index.php?action=vallex&amp;frame=v-w3201f1", "oslyšet (v-w3201f1)")</f>
        <v>oslyšet (v-w3201f1)</v>
      </c>
    </row>
    <row r="24479" spans="1:4" x14ac:dyDescent="0.2">
      <c r="B24479" t="s">
        <v>1</v>
      </c>
    </row>
    <row r="24480" spans="1:4" x14ac:dyDescent="0.2">
      <c r="B24480" t="s">
        <v>8</v>
      </c>
    </row>
    <row r="24482" spans="1:3" x14ac:dyDescent="0.2">
      <c r="A24482" t="s">
        <v>8066</v>
      </c>
      <c r="B24482" t="str">
        <f>HYPERLINK("https://lindat.mff.cuni.cz/services/teitok/pdtc10/index.php?action=vallex&amp;frame=v-w10420f2", "osnovat (v-w10420f2)")</f>
        <v>osnovat (v-w10420f2)</v>
      </c>
    </row>
    <row r="24483" spans="1:3" x14ac:dyDescent="0.2">
      <c r="B24483" t="s">
        <v>1</v>
      </c>
      <c r="C24483" t="s">
        <v>140</v>
      </c>
    </row>
    <row r="24484" spans="1:3" x14ac:dyDescent="0.2">
      <c r="B24484" t="s">
        <v>8</v>
      </c>
      <c r="C24484" t="s">
        <v>84</v>
      </c>
    </row>
    <row r="24486" spans="1:3" x14ac:dyDescent="0.2">
      <c r="A24486" t="s">
        <v>8067</v>
      </c>
      <c r="B24486" t="str">
        <f>HYPERLINK("https://lindat.mff.cuni.cz/services/teitok/pdtc10/index.php?action=vallex&amp;frame=v-w3202f1", "osobovat si (v-w3202f1)")</f>
        <v>osobovat si (v-w3202f1)</v>
      </c>
    </row>
    <row r="24487" spans="1:3" x14ac:dyDescent="0.2">
      <c r="B24487" t="s">
        <v>1</v>
      </c>
    </row>
    <row r="24488" spans="1:3" x14ac:dyDescent="0.2">
      <c r="B24488" t="s">
        <v>8</v>
      </c>
    </row>
    <row r="24490" spans="1:3" x14ac:dyDescent="0.2">
      <c r="A24490" t="s">
        <v>8068</v>
      </c>
      <c r="B24490" t="str">
        <f>HYPERLINK("https://lindat.mff.cuni.cz/services/teitok/pdtc10/index.php?action=vallex&amp;frame=v-w3206f1", "osolit (v-w3206f1)")</f>
        <v>osolit (v-w3206f1)</v>
      </c>
    </row>
    <row r="24491" spans="1:3" x14ac:dyDescent="0.2">
      <c r="B24491" t="s">
        <v>1</v>
      </c>
    </row>
    <row r="24492" spans="1:3" x14ac:dyDescent="0.2">
      <c r="B24492" t="s">
        <v>8</v>
      </c>
    </row>
    <row r="24494" spans="1:3" x14ac:dyDescent="0.2">
      <c r="A24494" t="s">
        <v>8069</v>
      </c>
      <c r="B24494" t="str">
        <f>HYPERLINK("https://lindat.mff.cuni.cz/services/teitok/pdtc10/index.php?action=vallex&amp;frame=v-whsa_1324f1_ZU", "osopit se (v-whsa_1324f1_ZU)")</f>
        <v>osopit se (v-whsa_1324f1_ZU)</v>
      </c>
    </row>
    <row r="24495" spans="1:3" x14ac:dyDescent="0.2">
      <c r="B24495" t="s">
        <v>1</v>
      </c>
    </row>
    <row r="24496" spans="1:3" x14ac:dyDescent="0.2">
      <c r="B24496" t="s">
        <v>88</v>
      </c>
    </row>
    <row r="24497" spans="1:4" x14ac:dyDescent="0.2">
      <c r="B24497" t="s">
        <v>8070</v>
      </c>
    </row>
    <row r="24499" spans="1:4" x14ac:dyDescent="0.2">
      <c r="A24499" t="s">
        <v>8069</v>
      </c>
      <c r="B24499" t="str">
        <f>HYPERLINK("https://lindat.mff.cuni.cz/services/teitok/pdtc10/index.php?action=vallex&amp;frame=v-whsb_1324hsa_1325", "osopit se (v-whsb_1324hsa_1325) - substituted with v-whsa_1324f1_ZU")</f>
        <v>osopit se (v-whsb_1324hsa_1325) - substituted with v-whsa_1324f1_ZU</v>
      </c>
    </row>
    <row r="24500" spans="1:4" x14ac:dyDescent="0.2">
      <c r="B24500" t="s">
        <v>1</v>
      </c>
    </row>
    <row r="24501" spans="1:4" x14ac:dyDescent="0.2">
      <c r="B24501" t="s">
        <v>88</v>
      </c>
    </row>
    <row r="24502" spans="1:4" x14ac:dyDescent="0.2">
      <c r="B24502" t="s">
        <v>8070</v>
      </c>
    </row>
    <row r="24504" spans="1:4" x14ac:dyDescent="0.2">
      <c r="A24504" t="s">
        <v>8071</v>
      </c>
      <c r="B24504" t="str">
        <f>HYPERLINK("https://lindat.mff.cuni.cz/services/teitok/pdtc10/index.php?action=vallex&amp;frame=v-w3205f1", "osočovat (v-w3205f1)")</f>
        <v>osočovat (v-w3205f1)</v>
      </c>
    </row>
    <row r="24505" spans="1:4" x14ac:dyDescent="0.2">
      <c r="B24505" t="s">
        <v>1</v>
      </c>
    </row>
    <row r="24506" spans="1:4" x14ac:dyDescent="0.2">
      <c r="B24506" t="s">
        <v>58</v>
      </c>
    </row>
    <row r="24507" spans="1:4" x14ac:dyDescent="0.2">
      <c r="B24507" t="s">
        <v>6427</v>
      </c>
    </row>
    <row r="24509" spans="1:4" x14ac:dyDescent="0.2">
      <c r="A24509" t="s">
        <v>8072</v>
      </c>
      <c r="B24509" t="str">
        <f>HYPERLINK("https://lindat.mff.cuni.cz/services/teitok/pdtc10/index.php?action=vallex&amp;frame=v-w3208f1", "ospravedlnit (v-w3208f1)")</f>
        <v>ospravedlnit (v-w3208f1)</v>
      </c>
    </row>
    <row r="24510" spans="1:4" x14ac:dyDescent="0.2">
      <c r="B24510" t="s">
        <v>1</v>
      </c>
      <c r="C24510" t="s">
        <v>109</v>
      </c>
      <c r="D24510" t="s">
        <v>109</v>
      </c>
    </row>
    <row r="24511" spans="1:4" x14ac:dyDescent="0.2">
      <c r="B24511" t="s">
        <v>41</v>
      </c>
      <c r="C24511" t="s">
        <v>5674</v>
      </c>
      <c r="D24511" t="s">
        <v>5674</v>
      </c>
    </row>
    <row r="24513" spans="1:4" x14ac:dyDescent="0.2">
      <c r="A24513" t="s">
        <v>8073</v>
      </c>
      <c r="B24513" t="str">
        <f>HYPERLINK("https://lindat.mff.cuni.cz/services/teitok/pdtc10/index.php?action=vallex&amp;frame=v-w3209f1", "ospravedlňovat (v-w3209f1)")</f>
        <v>ospravedlňovat (v-w3209f1)</v>
      </c>
    </row>
    <row r="24514" spans="1:4" x14ac:dyDescent="0.2">
      <c r="B24514" t="s">
        <v>1</v>
      </c>
      <c r="C24514" t="s">
        <v>109</v>
      </c>
      <c r="D24514" t="s">
        <v>109</v>
      </c>
    </row>
    <row r="24515" spans="1:4" x14ac:dyDescent="0.2">
      <c r="B24515" t="s">
        <v>41</v>
      </c>
      <c r="C24515" t="s">
        <v>338</v>
      </c>
      <c r="D24515" t="s">
        <v>5674</v>
      </c>
    </row>
    <row r="24517" spans="1:4" x14ac:dyDescent="0.2">
      <c r="A24517" t="s">
        <v>8074</v>
      </c>
      <c r="B24517" t="str">
        <f>HYPERLINK("https://lindat.mff.cuni.cz/services/teitok/pdtc10/index.php?action=vallex&amp;frame=v-w11793_ZUf1_ZU", "osprchovat (v-w11793_ZUf1_ZU)")</f>
        <v>osprchovat (v-w11793_ZUf1_ZU)</v>
      </c>
    </row>
    <row r="24518" spans="1:4" x14ac:dyDescent="0.2">
      <c r="B24518" t="s">
        <v>1</v>
      </c>
    </row>
    <row r="24519" spans="1:4" x14ac:dyDescent="0.2">
      <c r="B24519" t="s">
        <v>8</v>
      </c>
    </row>
    <row r="24521" spans="1:4" x14ac:dyDescent="0.2">
      <c r="A24521" t="s">
        <v>8075</v>
      </c>
      <c r="B24521" t="str">
        <f>HYPERLINK("https://lindat.mff.cuni.cz/services/teitok/pdtc10/index.php?action=vallex&amp;frame=v-w3215f1", "ostýchat se (v-w3215f1)")</f>
        <v>ostýchat se (v-w3215f1)</v>
      </c>
    </row>
    <row r="24522" spans="1:4" x14ac:dyDescent="0.2">
      <c r="B24522" t="s">
        <v>1</v>
      </c>
    </row>
    <row r="24523" spans="1:4" x14ac:dyDescent="0.2">
      <c r="B24523" t="s">
        <v>8076</v>
      </c>
    </row>
    <row r="24525" spans="1:4" x14ac:dyDescent="0.2">
      <c r="A24525" t="s">
        <v>8077</v>
      </c>
      <c r="B24525" t="str">
        <f>HYPERLINK("https://lindat.mff.cuni.cz/services/teitok/pdtc10/index.php?action=vallex&amp;frame=v-w3212f1", "ostřelovat (v-w3212f1)")</f>
        <v>ostřelovat (v-w3212f1)</v>
      </c>
    </row>
    <row r="24526" spans="1:4" x14ac:dyDescent="0.2">
      <c r="B24526" t="s">
        <v>1</v>
      </c>
      <c r="D24526" t="s">
        <v>83</v>
      </c>
    </row>
    <row r="24527" spans="1:4" x14ac:dyDescent="0.2">
      <c r="B24527" t="s">
        <v>8</v>
      </c>
      <c r="C24527" t="s">
        <v>113</v>
      </c>
      <c r="D24527" t="s">
        <v>54</v>
      </c>
    </row>
    <row r="24529" spans="1:4" x14ac:dyDescent="0.2">
      <c r="A24529" t="s">
        <v>8078</v>
      </c>
      <c r="B24529" t="str">
        <f>HYPERLINK("https://lindat.mff.cuni.cz/services/teitok/pdtc10/index.php?action=vallex&amp;frame=v-w3213f1", "ostřit (v-w3213f1)")</f>
        <v>ostřit (v-w3213f1)</v>
      </c>
    </row>
    <row r="24530" spans="1:4" x14ac:dyDescent="0.2">
      <c r="B24530" t="s">
        <v>1</v>
      </c>
    </row>
    <row r="24531" spans="1:4" x14ac:dyDescent="0.2">
      <c r="B24531" t="s">
        <v>8</v>
      </c>
    </row>
    <row r="24533" spans="1:4" x14ac:dyDescent="0.2">
      <c r="A24533" t="s">
        <v>8079</v>
      </c>
      <c r="B24533" t="str">
        <f>HYPERLINK("https://lindat.mff.cuni.cz/services/teitok/pdtc10/index.php?action=vallex&amp;frame=v-whsa_480hsa_481", "ostříhat (v-whsa_480hsa_481)")</f>
        <v>ostříhat (v-whsa_480hsa_481)</v>
      </c>
    </row>
    <row r="24534" spans="1:4" x14ac:dyDescent="0.2">
      <c r="B24534" t="s">
        <v>1</v>
      </c>
    </row>
    <row r="24535" spans="1:4" x14ac:dyDescent="0.2">
      <c r="B24535" t="s">
        <v>8</v>
      </c>
    </row>
    <row r="24537" spans="1:4" x14ac:dyDescent="0.2">
      <c r="A24537" t="s">
        <v>8080</v>
      </c>
      <c r="B24537" t="str">
        <f>HYPERLINK("https://lindat.mff.cuni.cz/services/teitok/pdtc10/index.php?action=vallex&amp;frame=v-w12329_MMf1_MM", "osušit (v-w12329_MMf1_MM)")</f>
        <v>osušit (v-w12329_MMf1_MM)</v>
      </c>
    </row>
    <row r="24538" spans="1:4" x14ac:dyDescent="0.2">
      <c r="B24538" t="s">
        <v>1</v>
      </c>
    </row>
    <row r="24539" spans="1:4" x14ac:dyDescent="0.2">
      <c r="B24539" t="s">
        <v>8</v>
      </c>
    </row>
    <row r="24541" spans="1:4" x14ac:dyDescent="0.2">
      <c r="A24541" t="s">
        <v>8081</v>
      </c>
      <c r="B24541" t="str">
        <f>HYPERLINK("https://lindat.mff.cuni.cz/services/teitok/pdtc10/index.php?action=vallex&amp;frame=v-w3230hsa_934", "osvobodit (v-w3230hsa_934)")</f>
        <v>osvobodit (v-w3230hsa_934)</v>
      </c>
    </row>
    <row r="24542" spans="1:4" x14ac:dyDescent="0.2">
      <c r="B24542" t="s">
        <v>1</v>
      </c>
      <c r="C24542" t="s">
        <v>334</v>
      </c>
      <c r="D24542" t="s">
        <v>2303</v>
      </c>
    </row>
    <row r="24543" spans="1:4" x14ac:dyDescent="0.2">
      <c r="B24543" t="s">
        <v>8</v>
      </c>
      <c r="C24543" t="s">
        <v>116</v>
      </c>
      <c r="D24543" t="s">
        <v>23725</v>
      </c>
    </row>
    <row r="24544" spans="1:4" x14ac:dyDescent="0.2">
      <c r="B24544" t="s">
        <v>8082</v>
      </c>
      <c r="C24544" t="s">
        <v>2079</v>
      </c>
      <c r="D24544" t="s">
        <v>23726</v>
      </c>
    </row>
    <row r="24546" spans="1:4" x14ac:dyDescent="0.2">
      <c r="A24546" t="s">
        <v>8081</v>
      </c>
      <c r="B24546" t="str">
        <f>HYPERLINK("https://lindat.mff.cuni.cz/services/teitok/pdtc10/index.php?action=vallex&amp;frame=v-w3230f1", "osvobodit (v-w3230f1) - substituted with v-w3230hsa_934")</f>
        <v>osvobodit (v-w3230f1) - substituted with v-w3230hsa_934</v>
      </c>
    </row>
    <row r="24547" spans="1:4" x14ac:dyDescent="0.2">
      <c r="B24547" t="s">
        <v>1</v>
      </c>
      <c r="C24547" t="s">
        <v>249</v>
      </c>
    </row>
    <row r="24548" spans="1:4" x14ac:dyDescent="0.2">
      <c r="B24548" t="s">
        <v>8</v>
      </c>
      <c r="C24548" t="s">
        <v>1190</v>
      </c>
    </row>
    <row r="24549" spans="1:4" x14ac:dyDescent="0.2">
      <c r="B24549" t="s">
        <v>8082</v>
      </c>
      <c r="C24549" t="s">
        <v>7071</v>
      </c>
    </row>
    <row r="24551" spans="1:4" x14ac:dyDescent="0.2">
      <c r="A24551" t="s">
        <v>8083</v>
      </c>
      <c r="B24551" t="str">
        <f>HYPERLINK("https://lindat.mff.cuni.cz/services/teitok/pdtc10/index.php?action=vallex&amp;frame=v-w3230f2", "osvobodit (v-w3230f2)")</f>
        <v>osvobodit (v-w3230f2)</v>
      </c>
    </row>
    <row r="24552" spans="1:4" x14ac:dyDescent="0.2">
      <c r="B24552" t="s">
        <v>1</v>
      </c>
    </row>
    <row r="24553" spans="1:4" x14ac:dyDescent="0.2">
      <c r="B24553" t="s">
        <v>8</v>
      </c>
    </row>
    <row r="24554" spans="1:4" x14ac:dyDescent="0.2">
      <c r="B24554" t="s">
        <v>7530</v>
      </c>
    </row>
    <row r="24556" spans="1:4" x14ac:dyDescent="0.2">
      <c r="A24556" t="s">
        <v>8084</v>
      </c>
      <c r="B24556" t="str">
        <f>HYPERLINK("https://lindat.mff.cuni.cz/services/teitok/pdtc10/index.php?action=vallex&amp;frame=v-w3233f1", "osvobozovat (v-w3233f1)")</f>
        <v>osvobozovat (v-w3233f1)</v>
      </c>
    </row>
    <row r="24557" spans="1:4" x14ac:dyDescent="0.2">
      <c r="B24557" t="s">
        <v>1</v>
      </c>
      <c r="C24557" t="s">
        <v>8085</v>
      </c>
      <c r="D24557" t="s">
        <v>2303</v>
      </c>
    </row>
    <row r="24558" spans="1:4" x14ac:dyDescent="0.2">
      <c r="B24558" t="s">
        <v>8</v>
      </c>
      <c r="C24558" t="s">
        <v>8086</v>
      </c>
      <c r="D24558" t="s">
        <v>23725</v>
      </c>
    </row>
    <row r="24559" spans="1:4" x14ac:dyDescent="0.2">
      <c r="B24559" t="s">
        <v>1334</v>
      </c>
      <c r="C24559" t="s">
        <v>8087</v>
      </c>
      <c r="D24559" t="s">
        <v>23726</v>
      </c>
    </row>
    <row r="24561" spans="1:3" x14ac:dyDescent="0.2">
      <c r="A24561" t="s">
        <v>8088</v>
      </c>
      <c r="B24561" t="str">
        <f>HYPERLINK("https://lindat.mff.cuni.cz/services/teitok/pdtc10/index.php?action=vallex&amp;frame=v-w3233f2", "osvobozovat (v-w3233f2)")</f>
        <v>osvobozovat (v-w3233f2)</v>
      </c>
    </row>
    <row r="24562" spans="1:3" x14ac:dyDescent="0.2">
      <c r="B24562" t="s">
        <v>1</v>
      </c>
    </row>
    <row r="24563" spans="1:3" x14ac:dyDescent="0.2">
      <c r="B24563" t="s">
        <v>8</v>
      </c>
    </row>
    <row r="24564" spans="1:3" x14ac:dyDescent="0.2">
      <c r="B24564" t="s">
        <v>308</v>
      </c>
    </row>
    <row r="24566" spans="1:3" x14ac:dyDescent="0.2">
      <c r="A24566" t="s">
        <v>8089</v>
      </c>
      <c r="B24566" t="str">
        <f>HYPERLINK("https://lindat.mff.cuni.cz/services/teitok/pdtc10/index.php?action=vallex&amp;frame=v-w3235f1", "osvojit si (v-w3235f1)")</f>
        <v>osvojit si (v-w3235f1)</v>
      </c>
    </row>
    <row r="24567" spans="1:3" x14ac:dyDescent="0.2">
      <c r="B24567" t="s">
        <v>1</v>
      </c>
      <c r="C24567" t="s">
        <v>8090</v>
      </c>
    </row>
    <row r="24568" spans="1:3" x14ac:dyDescent="0.2">
      <c r="B24568" t="s">
        <v>124</v>
      </c>
      <c r="C24568" t="s">
        <v>8091</v>
      </c>
    </row>
    <row r="24570" spans="1:3" x14ac:dyDescent="0.2">
      <c r="A24570" t="s">
        <v>8092</v>
      </c>
      <c r="B24570" t="str">
        <f>HYPERLINK("https://lindat.mff.cuni.cz/services/teitok/pdtc10/index.php?action=vallex&amp;frame=v-w3235f2_ZU", "osvojit si (v-w3235f2_ZU)")</f>
        <v>osvojit si (v-w3235f2_ZU)</v>
      </c>
    </row>
    <row r="24571" spans="1:3" x14ac:dyDescent="0.2">
      <c r="B24571" t="s">
        <v>1</v>
      </c>
    </row>
    <row r="24572" spans="1:3" x14ac:dyDescent="0.2">
      <c r="B24572" t="s">
        <v>8</v>
      </c>
    </row>
    <row r="24574" spans="1:3" x14ac:dyDescent="0.2">
      <c r="A24574" t="s">
        <v>8093</v>
      </c>
      <c r="B24574" t="str">
        <f>HYPERLINK("https://lindat.mff.cuni.cz/services/teitok/pdtc10/index.php?action=vallex&amp;frame=v-w3236f1", "osvojovat si (v-w3236f1)")</f>
        <v>osvojovat si (v-w3236f1)</v>
      </c>
    </row>
    <row r="24575" spans="1:3" x14ac:dyDescent="0.2">
      <c r="B24575" t="s">
        <v>1</v>
      </c>
      <c r="C24575" t="s">
        <v>8094</v>
      </c>
    </row>
    <row r="24576" spans="1:3" x14ac:dyDescent="0.2">
      <c r="B24576" t="s">
        <v>124</v>
      </c>
      <c r="C24576" t="s">
        <v>8095</v>
      </c>
    </row>
    <row r="24578" spans="1:4" x14ac:dyDescent="0.2">
      <c r="A24578" t="s">
        <v>8096</v>
      </c>
      <c r="B24578" t="str">
        <f>HYPERLINK("https://lindat.mff.cuni.cz/services/teitok/pdtc10/index.php?action=vallex&amp;frame=v-w11082f2", "osvítit (v-w11082f2)")</f>
        <v>osvítit (v-w11082f2)</v>
      </c>
    </row>
    <row r="24579" spans="1:4" x14ac:dyDescent="0.2">
      <c r="B24579" t="s">
        <v>1</v>
      </c>
    </row>
    <row r="24580" spans="1:4" x14ac:dyDescent="0.2">
      <c r="B24580" t="s">
        <v>8</v>
      </c>
    </row>
    <row r="24582" spans="1:4" x14ac:dyDescent="0.2">
      <c r="A24582" t="s">
        <v>8097</v>
      </c>
      <c r="B24582" t="str">
        <f>HYPERLINK("https://lindat.mff.cuni.cz/services/teitok/pdtc10/index.php?action=vallex&amp;frame=v-w11695_ZUf1_ZU", "osvěcovat (v-w11695_ZUf1_ZU)")</f>
        <v>osvěcovat (v-w11695_ZUf1_ZU)</v>
      </c>
    </row>
    <row r="24583" spans="1:4" x14ac:dyDescent="0.2">
      <c r="B24583" t="s">
        <v>1</v>
      </c>
    </row>
    <row r="24584" spans="1:4" x14ac:dyDescent="0.2">
      <c r="B24584" t="s">
        <v>8</v>
      </c>
    </row>
    <row r="24586" spans="1:4" x14ac:dyDescent="0.2">
      <c r="A24586" t="s">
        <v>8098</v>
      </c>
      <c r="B24586" t="str">
        <f>HYPERLINK("https://lindat.mff.cuni.cz/services/teitok/pdtc10/index.php?action=vallex&amp;frame=v-w3219f1", "osvědčit (v-w3219f1)")</f>
        <v>osvědčit (v-w3219f1)</v>
      </c>
    </row>
    <row r="24587" spans="1:4" x14ac:dyDescent="0.2">
      <c r="B24587" t="s">
        <v>1</v>
      </c>
    </row>
    <row r="24588" spans="1:4" x14ac:dyDescent="0.2">
      <c r="B24588" t="s">
        <v>8</v>
      </c>
    </row>
    <row r="24589" spans="1:4" x14ac:dyDescent="0.2">
      <c r="B24589" t="s">
        <v>78</v>
      </c>
    </row>
    <row r="24591" spans="1:4" x14ac:dyDescent="0.2">
      <c r="A24591" t="s">
        <v>8099</v>
      </c>
      <c r="B24591" t="str">
        <f>HYPERLINK("https://lindat.mff.cuni.cz/services/teitok/pdtc10/index.php?action=vallex&amp;frame=v-w3220f1", "osvědčit se (v-w3220f1)")</f>
        <v>osvědčit se (v-w3220f1)</v>
      </c>
    </row>
    <row r="24592" spans="1:4" x14ac:dyDescent="0.2">
      <c r="B24592" t="s">
        <v>5487</v>
      </c>
      <c r="C24592" t="s">
        <v>8100</v>
      </c>
      <c r="D24592" t="s">
        <v>6317</v>
      </c>
    </row>
    <row r="24593" spans="1:2" x14ac:dyDescent="0.2">
      <c r="B24593" t="s">
        <v>86</v>
      </c>
    </row>
    <row r="24595" spans="1:2" x14ac:dyDescent="0.2">
      <c r="A24595" t="s">
        <v>8101</v>
      </c>
      <c r="B24595" t="str">
        <f>HYPERLINK("https://lindat.mff.cuni.cz/services/teitok/pdtc10/index.php?action=vallex&amp;frame=v-w3221f1", "osvědčovat (v-w3221f1)")</f>
        <v>osvědčovat (v-w3221f1)</v>
      </c>
    </row>
    <row r="24596" spans="1:2" x14ac:dyDescent="0.2">
      <c r="B24596" t="s">
        <v>1</v>
      </c>
    </row>
    <row r="24597" spans="1:2" x14ac:dyDescent="0.2">
      <c r="B24597" t="s">
        <v>8</v>
      </c>
    </row>
    <row r="24598" spans="1:2" x14ac:dyDescent="0.2">
      <c r="B24598" t="s">
        <v>78</v>
      </c>
    </row>
    <row r="24600" spans="1:2" x14ac:dyDescent="0.2">
      <c r="A24600" t="s">
        <v>8102</v>
      </c>
      <c r="B24600" t="str">
        <f>HYPERLINK("https://lindat.mff.cuni.cz/services/teitok/pdtc10/index.php?action=vallex&amp;frame=v-w3222f1", "osvědčovat se (v-w3222f1)")</f>
        <v>osvědčovat se (v-w3222f1)</v>
      </c>
    </row>
    <row r="24601" spans="1:2" x14ac:dyDescent="0.2">
      <c r="B24601" t="s">
        <v>5487</v>
      </c>
    </row>
    <row r="24602" spans="1:2" x14ac:dyDescent="0.2">
      <c r="B24602" t="s">
        <v>86</v>
      </c>
    </row>
    <row r="24604" spans="1:2" x14ac:dyDescent="0.2">
      <c r="A24604" t="s">
        <v>8103</v>
      </c>
      <c r="B24604" t="str">
        <f>HYPERLINK("https://lindat.mff.cuni.cz/services/teitok/pdtc10/index.php?action=vallex&amp;frame=v-w3225f1", "osvětlit (v-w3225f1)")</f>
        <v>osvětlit (v-w3225f1)</v>
      </c>
    </row>
    <row r="24605" spans="1:2" x14ac:dyDescent="0.2">
      <c r="B24605" t="s">
        <v>1</v>
      </c>
    </row>
    <row r="24606" spans="1:2" x14ac:dyDescent="0.2">
      <c r="B24606" t="s">
        <v>6701</v>
      </c>
    </row>
    <row r="24607" spans="1:2" x14ac:dyDescent="0.2">
      <c r="B24607" t="s">
        <v>35</v>
      </c>
    </row>
    <row r="24609" spans="1:4" x14ac:dyDescent="0.2">
      <c r="A24609" t="s">
        <v>8104</v>
      </c>
      <c r="B24609" t="str">
        <f>HYPERLINK("https://lindat.mff.cuni.cz/services/teitok/pdtc10/index.php?action=vallex&amp;frame=v-w3225f2", "osvětlit (v-w3225f2)")</f>
        <v>osvětlit (v-w3225f2)</v>
      </c>
    </row>
    <row r="24610" spans="1:4" x14ac:dyDescent="0.2">
      <c r="B24610" t="s">
        <v>1</v>
      </c>
    </row>
    <row r="24611" spans="1:4" x14ac:dyDescent="0.2">
      <c r="B24611" t="s">
        <v>8</v>
      </c>
    </row>
    <row r="24613" spans="1:4" x14ac:dyDescent="0.2">
      <c r="A24613" t="s">
        <v>8105</v>
      </c>
      <c r="B24613" t="str">
        <f>HYPERLINK("https://lindat.mff.cuni.cz/services/teitok/pdtc10/index.php?action=vallex&amp;frame=v-w3226f1", "osvětlovat (v-w3226f1)")</f>
        <v>osvětlovat (v-w3226f1)</v>
      </c>
    </row>
    <row r="24614" spans="1:4" x14ac:dyDescent="0.2">
      <c r="B24614" t="s">
        <v>1</v>
      </c>
      <c r="D24614" t="s">
        <v>6700</v>
      </c>
    </row>
    <row r="24615" spans="1:4" x14ac:dyDescent="0.2">
      <c r="B24615" t="s">
        <v>6701</v>
      </c>
      <c r="D24615" t="s">
        <v>9067</v>
      </c>
    </row>
    <row r="24616" spans="1:4" x14ac:dyDescent="0.2">
      <c r="B24616" t="s">
        <v>35</v>
      </c>
      <c r="D24616" t="s">
        <v>3185</v>
      </c>
    </row>
    <row r="24618" spans="1:4" x14ac:dyDescent="0.2">
      <c r="A24618" t="s">
        <v>8106</v>
      </c>
      <c r="B24618" t="str">
        <f>HYPERLINK("https://lindat.mff.cuni.cz/services/teitok/pdtc10/index.php?action=vallex&amp;frame=v-w3226f2_ZU", "osvětlovat (v-w3226f2_ZU)")</f>
        <v>osvětlovat (v-w3226f2_ZU)</v>
      </c>
    </row>
    <row r="24619" spans="1:4" x14ac:dyDescent="0.2">
      <c r="B24619" t="s">
        <v>1</v>
      </c>
      <c r="D24619" t="s">
        <v>6700</v>
      </c>
    </row>
    <row r="24620" spans="1:4" x14ac:dyDescent="0.2">
      <c r="B24620" t="s">
        <v>78</v>
      </c>
      <c r="D24620" t="s">
        <v>3185</v>
      </c>
    </row>
    <row r="24621" spans="1:4" x14ac:dyDescent="0.2">
      <c r="B24621" t="s">
        <v>8</v>
      </c>
      <c r="D24621" t="s">
        <v>9067</v>
      </c>
    </row>
    <row r="24623" spans="1:4" x14ac:dyDescent="0.2">
      <c r="A24623" t="s">
        <v>8107</v>
      </c>
      <c r="B24623" t="str">
        <f>HYPERLINK("https://lindat.mff.cuni.cz/services/teitok/pdtc10/index.php?action=vallex&amp;frame=v-w3228f2_ZU", "osvěžit (v-w3228f2_ZU)")</f>
        <v>osvěžit (v-w3228f2_ZU)</v>
      </c>
    </row>
    <row r="24624" spans="1:4" x14ac:dyDescent="0.2">
      <c r="B24624" t="s">
        <v>1</v>
      </c>
    </row>
    <row r="24625" spans="1:4" x14ac:dyDescent="0.2">
      <c r="B24625" t="s">
        <v>41</v>
      </c>
    </row>
    <row r="24627" spans="1:4" x14ac:dyDescent="0.2">
      <c r="A24627" t="s">
        <v>8107</v>
      </c>
      <c r="B24627" t="str">
        <f>HYPERLINK("https://lindat.mff.cuni.cz/services/teitok/pdtc10/index.php?action=vallex&amp;frame=v-w3228f1", "osvěžit (v-w3228f1) - substituted with v-w3228f2_ZU")</f>
        <v>osvěžit (v-w3228f1) - substituted with v-w3228f2_ZU</v>
      </c>
    </row>
    <row r="24628" spans="1:4" x14ac:dyDescent="0.2">
      <c r="B24628" t="s">
        <v>1</v>
      </c>
      <c r="D24628" t="s">
        <v>23613</v>
      </c>
    </row>
    <row r="24629" spans="1:4" x14ac:dyDescent="0.2">
      <c r="B24629" t="s">
        <v>41</v>
      </c>
      <c r="C24629" t="s">
        <v>113</v>
      </c>
      <c r="D24629" t="s">
        <v>12206</v>
      </c>
    </row>
    <row r="24631" spans="1:4" x14ac:dyDescent="0.2">
      <c r="A24631" t="s">
        <v>8108</v>
      </c>
      <c r="B24631" t="str">
        <f>HYPERLINK("https://lindat.mff.cuni.cz/services/teitok/pdtc10/index.php?action=vallex&amp;frame=v-whsa_2052hsa_2053", "osvěžit se (v-whsa_2052hsa_2053)")</f>
        <v>osvěžit se (v-whsa_2052hsa_2053)</v>
      </c>
    </row>
    <row r="24632" spans="1:4" x14ac:dyDescent="0.2">
      <c r="B24632" t="s">
        <v>1</v>
      </c>
    </row>
    <row r="24634" spans="1:4" x14ac:dyDescent="0.2">
      <c r="A24634" t="s">
        <v>8109</v>
      </c>
      <c r="B24634" t="str">
        <f>HYPERLINK("https://lindat.mff.cuni.cz/services/teitok/pdtc10/index.php?action=vallex&amp;frame=v-whsa_1530hsa_1531", "osázet (v-whsa_1530hsa_1531)")</f>
        <v>osázet (v-whsa_1530hsa_1531)</v>
      </c>
    </row>
    <row r="24635" spans="1:4" x14ac:dyDescent="0.2">
      <c r="B24635" t="s">
        <v>1</v>
      </c>
    </row>
    <row r="24636" spans="1:4" x14ac:dyDescent="0.2">
      <c r="B24636" t="s">
        <v>8</v>
      </c>
    </row>
    <row r="24638" spans="1:4" x14ac:dyDescent="0.2">
      <c r="A24638" t="s">
        <v>8110</v>
      </c>
      <c r="B24638" t="str">
        <f>HYPERLINK("https://lindat.mff.cuni.cz/services/teitok/pdtc10/index.php?action=vallex&amp;frame=v-w3184f1", "osídlit (v-w3184f1)")</f>
        <v>osídlit (v-w3184f1)</v>
      </c>
    </row>
    <row r="24639" spans="1:4" x14ac:dyDescent="0.2">
      <c r="B24639" t="s">
        <v>1</v>
      </c>
    </row>
    <row r="24640" spans="1:4" x14ac:dyDescent="0.2">
      <c r="B24640" t="s">
        <v>8</v>
      </c>
    </row>
    <row r="24642" spans="1:4" x14ac:dyDescent="0.2">
      <c r="A24642" t="s">
        <v>8111</v>
      </c>
      <c r="B24642" t="str">
        <f>HYPERLINK("https://lindat.mff.cuni.cz/services/teitok/pdtc10/index.php?action=vallex&amp;frame=v-w12073_ZUf1_ZU", "osídlovat (v-w12073_ZUf1_ZU)")</f>
        <v>osídlovat (v-w12073_ZUf1_ZU)</v>
      </c>
    </row>
    <row r="24643" spans="1:4" x14ac:dyDescent="0.2">
      <c r="B24643" t="s">
        <v>1</v>
      </c>
    </row>
    <row r="24644" spans="1:4" x14ac:dyDescent="0.2">
      <c r="B24644" t="s">
        <v>8</v>
      </c>
    </row>
    <row r="24646" spans="1:4" x14ac:dyDescent="0.2">
      <c r="A24646" t="s">
        <v>8112</v>
      </c>
      <c r="B24646" t="str">
        <f>HYPERLINK("https://lindat.mff.cuni.cz/services/teitok/pdtc10/index.php?action=vallex&amp;frame=v-w3255f1", "oteplit se (v-w3255f1)")</f>
        <v>oteplit se (v-w3255f1)</v>
      </c>
    </row>
    <row r="24648" spans="1:4" x14ac:dyDescent="0.2">
      <c r="A24648" t="s">
        <v>8113</v>
      </c>
      <c r="B24648" t="str">
        <f>HYPERLINK("https://lindat.mff.cuni.cz/services/teitok/pdtc10/index.php?action=vallex&amp;frame=v-w3256f1", "oteplovat (v-w3256f1)")</f>
        <v>oteplovat (v-w3256f1)</v>
      </c>
    </row>
    <row r="24649" spans="1:4" x14ac:dyDescent="0.2">
      <c r="B24649" t="s">
        <v>1</v>
      </c>
    </row>
    <row r="24650" spans="1:4" x14ac:dyDescent="0.2">
      <c r="B24650" t="s">
        <v>8</v>
      </c>
    </row>
    <row r="24652" spans="1:4" x14ac:dyDescent="0.2">
      <c r="A24652" t="s">
        <v>8114</v>
      </c>
      <c r="B24652" t="str">
        <f>HYPERLINK("https://lindat.mff.cuni.cz/services/teitok/pdtc10/index.php?action=vallex&amp;frame=v-w3257f2", "oteplovat se (v-w3257f2)")</f>
        <v>oteplovat se (v-w3257f2)</v>
      </c>
    </row>
    <row r="24653" spans="1:4" x14ac:dyDescent="0.2">
      <c r="B24653" t="s">
        <v>1</v>
      </c>
      <c r="C24653" t="s">
        <v>2172</v>
      </c>
      <c r="D24653" t="s">
        <v>2172</v>
      </c>
    </row>
    <row r="24655" spans="1:4" x14ac:dyDescent="0.2">
      <c r="A24655" t="s">
        <v>8115</v>
      </c>
      <c r="B24655" t="str">
        <f>HYPERLINK("https://lindat.mff.cuni.cz/services/teitok/pdtc10/index.php?action=vallex&amp;frame=v-w3257f1", "oteplovat se (v-w3257f1)")</f>
        <v>oteplovat se (v-w3257f1)</v>
      </c>
    </row>
    <row r="24657" spans="1:4" x14ac:dyDescent="0.2">
      <c r="A24657" t="s">
        <v>8116</v>
      </c>
      <c r="B24657" t="str">
        <f>HYPERLINK("https://lindat.mff.cuni.cz/services/teitok/pdtc10/index.php?action=vallex&amp;frame=v-w11543_ZUf1_ZU", "otesat (v-w11543_ZUf1_ZU)")</f>
        <v>otesat (v-w11543_ZUf1_ZU)</v>
      </c>
    </row>
    <row r="24658" spans="1:4" x14ac:dyDescent="0.2">
      <c r="B24658" t="s">
        <v>1</v>
      </c>
    </row>
    <row r="24659" spans="1:4" x14ac:dyDescent="0.2">
      <c r="B24659" t="s">
        <v>8</v>
      </c>
      <c r="C24659" t="s">
        <v>113</v>
      </c>
      <c r="D24659" t="s">
        <v>113</v>
      </c>
    </row>
    <row r="24661" spans="1:4" x14ac:dyDescent="0.2">
      <c r="A24661" t="s">
        <v>8117</v>
      </c>
      <c r="B24661" t="str">
        <f>HYPERLINK("https://lindat.mff.cuni.cz/services/teitok/pdtc10/index.php?action=vallex&amp;frame=v-w3258f1", "otestovat (v-w3258f1)")</f>
        <v>otestovat (v-w3258f1)</v>
      </c>
    </row>
    <row r="24662" spans="1:4" x14ac:dyDescent="0.2">
      <c r="B24662" t="s">
        <v>1</v>
      </c>
      <c r="C24662" t="s">
        <v>3560</v>
      </c>
      <c r="D24662" t="s">
        <v>7065</v>
      </c>
    </row>
    <row r="24663" spans="1:4" x14ac:dyDescent="0.2">
      <c r="B24663" t="s">
        <v>1693</v>
      </c>
      <c r="C24663" t="s">
        <v>8118</v>
      </c>
      <c r="D24663" t="s">
        <v>3308</v>
      </c>
    </row>
    <row r="24665" spans="1:4" x14ac:dyDescent="0.2">
      <c r="A24665" t="s">
        <v>8119</v>
      </c>
      <c r="B24665" t="str">
        <f>HYPERLINK("https://lindat.mff.cuni.cz/services/teitok/pdtc10/index.php?action=vallex&amp;frame=v-w3261f1", "otevírat (v-w3261f1)")</f>
        <v>otevírat (v-w3261f1)</v>
      </c>
    </row>
    <row r="24666" spans="1:4" x14ac:dyDescent="0.2">
      <c r="B24666" t="s">
        <v>1</v>
      </c>
      <c r="C24666" t="s">
        <v>8120</v>
      </c>
      <c r="D24666" t="s">
        <v>22950</v>
      </c>
    </row>
    <row r="24667" spans="1:4" x14ac:dyDescent="0.2">
      <c r="B24667" t="s">
        <v>8</v>
      </c>
      <c r="C24667" t="s">
        <v>5993</v>
      </c>
      <c r="D24667" t="s">
        <v>22951</v>
      </c>
    </row>
    <row r="24669" spans="1:4" x14ac:dyDescent="0.2">
      <c r="A24669" t="s">
        <v>8121</v>
      </c>
      <c r="B24669" t="str">
        <f>HYPERLINK("https://lindat.mff.cuni.cz/services/teitok/pdtc10/index.php?action=vallex&amp;frame=v-w3261f3", "otevírat (v-w3261f3)")</f>
        <v>otevírat (v-w3261f3)</v>
      </c>
    </row>
    <row r="24670" spans="1:4" x14ac:dyDescent="0.2">
      <c r="B24670" t="s">
        <v>1</v>
      </c>
      <c r="C24670" t="s">
        <v>8122</v>
      </c>
      <c r="D24670" t="s">
        <v>23643</v>
      </c>
    </row>
    <row r="24671" spans="1:4" x14ac:dyDescent="0.2">
      <c r="B24671" t="s">
        <v>8</v>
      </c>
      <c r="C24671" t="s">
        <v>8123</v>
      </c>
      <c r="D24671" t="s">
        <v>16005</v>
      </c>
    </row>
    <row r="24673" spans="1:4" x14ac:dyDescent="0.2">
      <c r="A24673" t="s">
        <v>8124</v>
      </c>
      <c r="B24673" t="str">
        <f>HYPERLINK("https://lindat.mff.cuni.cz/services/teitok/pdtc10/index.php?action=vallex&amp;frame=v-w3261f4", "otevírat (v-w3261f4)")</f>
        <v>otevírat (v-w3261f4)</v>
      </c>
    </row>
    <row r="24674" spans="1:4" x14ac:dyDescent="0.2">
      <c r="B24674" t="s">
        <v>1</v>
      </c>
      <c r="C24674" t="s">
        <v>7126</v>
      </c>
    </row>
    <row r="24675" spans="1:4" x14ac:dyDescent="0.2">
      <c r="B24675" t="s">
        <v>8</v>
      </c>
      <c r="C24675" t="s">
        <v>5674</v>
      </c>
    </row>
    <row r="24677" spans="1:4" x14ac:dyDescent="0.2">
      <c r="A24677" t="s">
        <v>8125</v>
      </c>
      <c r="B24677" t="str">
        <f>HYPERLINK("https://lindat.mff.cuni.cz/services/teitok/pdtc10/index.php?action=vallex&amp;frame=v-w3261f5", "otevírat (v-w3261f5)")</f>
        <v>otevírat (v-w3261f5)</v>
      </c>
    </row>
    <row r="24678" spans="1:4" x14ac:dyDescent="0.2">
      <c r="B24678" t="s">
        <v>1</v>
      </c>
      <c r="C24678" t="s">
        <v>8126</v>
      </c>
      <c r="D24678" t="s">
        <v>13672</v>
      </c>
    </row>
    <row r="24680" spans="1:4" x14ac:dyDescent="0.2">
      <c r="A24680" t="s">
        <v>8127</v>
      </c>
      <c r="B24680" t="str">
        <f>HYPERLINK("https://lindat.mff.cuni.cz/services/teitok/pdtc10/index.php?action=vallex&amp;frame=v-w3261f2", "otevírat (v-w3261f2)")</f>
        <v>otevírat (v-w3261f2)</v>
      </c>
    </row>
    <row r="24681" spans="1:4" x14ac:dyDescent="0.2">
      <c r="B24681" t="s">
        <v>1</v>
      </c>
      <c r="C24681" t="s">
        <v>4597</v>
      </c>
      <c r="D24681" t="s">
        <v>23273</v>
      </c>
    </row>
    <row r="24682" spans="1:4" x14ac:dyDescent="0.2">
      <c r="B24682" t="s">
        <v>8128</v>
      </c>
      <c r="C24682" t="s">
        <v>2696</v>
      </c>
      <c r="D24682" t="s">
        <v>23265</v>
      </c>
    </row>
    <row r="24683" spans="1:4" x14ac:dyDescent="0.2">
      <c r="B24683" t="s">
        <v>2542</v>
      </c>
      <c r="C24683" t="s">
        <v>4016</v>
      </c>
      <c r="D24683" t="s">
        <v>23258</v>
      </c>
    </row>
    <row r="24685" spans="1:4" x14ac:dyDescent="0.2">
      <c r="A24685" t="s">
        <v>8129</v>
      </c>
      <c r="B24685" t="str">
        <f>HYPERLINK("https://lindat.mff.cuni.cz/services/teitok/pdtc10/index.php?action=vallex&amp;frame=v-w3261hsa_928", "otevírat (v-w3261hsa_928)")</f>
        <v>otevírat (v-w3261hsa_928)</v>
      </c>
    </row>
    <row r="24686" spans="1:4" x14ac:dyDescent="0.2">
      <c r="B24686" t="s">
        <v>1</v>
      </c>
      <c r="D24686" t="s">
        <v>23273</v>
      </c>
    </row>
    <row r="24687" spans="1:4" x14ac:dyDescent="0.2">
      <c r="B24687" t="s">
        <v>8</v>
      </c>
      <c r="D24687" t="s">
        <v>23285</v>
      </c>
    </row>
    <row r="24688" spans="1:4" x14ac:dyDescent="0.2">
      <c r="B24688" t="s">
        <v>35</v>
      </c>
      <c r="D24688" t="s">
        <v>23258</v>
      </c>
    </row>
    <row r="24690" spans="1:4" x14ac:dyDescent="0.2">
      <c r="A24690" t="s">
        <v>8130</v>
      </c>
      <c r="B24690" t="str">
        <f>HYPERLINK("https://lindat.mff.cuni.cz/services/teitok/pdtc10/index.php?action=vallex&amp;frame=v-w3261hsa_929", "otevírat (v-w3261hsa_929)")</f>
        <v>otevírat (v-w3261hsa_929)</v>
      </c>
    </row>
    <row r="24691" spans="1:4" x14ac:dyDescent="0.2">
      <c r="B24691" t="s">
        <v>1</v>
      </c>
      <c r="C24691" t="s">
        <v>8131</v>
      </c>
      <c r="D24691" t="s">
        <v>8131</v>
      </c>
    </row>
    <row r="24692" spans="1:4" x14ac:dyDescent="0.2">
      <c r="B24692" t="s">
        <v>346</v>
      </c>
      <c r="D24692" t="s">
        <v>23681</v>
      </c>
    </row>
    <row r="24693" spans="1:4" x14ac:dyDescent="0.2">
      <c r="B24693" t="s">
        <v>1245</v>
      </c>
      <c r="C24693" t="s">
        <v>8132</v>
      </c>
      <c r="D24693" t="s">
        <v>23680</v>
      </c>
    </row>
    <row r="24695" spans="1:4" x14ac:dyDescent="0.2">
      <c r="A24695" t="s">
        <v>8133</v>
      </c>
      <c r="B24695" t="str">
        <f>HYPERLINK("https://lindat.mff.cuni.cz/services/teitok/pdtc10/index.php?action=vallex&amp;frame=v-w3261f6_ZU", "otevírat (v-w3261f6_ZU)")</f>
        <v>otevírat (v-w3261f6_ZU)</v>
      </c>
    </row>
    <row r="24696" spans="1:4" x14ac:dyDescent="0.2">
      <c r="B24696" t="s">
        <v>1</v>
      </c>
    </row>
    <row r="24697" spans="1:4" x14ac:dyDescent="0.2">
      <c r="B24697" t="s">
        <v>8134</v>
      </c>
    </row>
    <row r="24698" spans="1:4" x14ac:dyDescent="0.2">
      <c r="B24698" t="s">
        <v>8135</v>
      </c>
    </row>
    <row r="24700" spans="1:4" x14ac:dyDescent="0.2">
      <c r="A24700" t="s">
        <v>8133</v>
      </c>
      <c r="B24700" t="str">
        <f>HYPERLINK("https://lindat.mff.cuni.cz/services/teitok/pdtc10/index.php?action=vallex&amp;frame=v-w3261hsa_930", "otevírat (v-w3261hsa_930) - substituted with v-w3261f6_ZU")</f>
        <v>otevírat (v-w3261hsa_930) - substituted with v-w3261f6_ZU</v>
      </c>
    </row>
    <row r="24701" spans="1:4" x14ac:dyDescent="0.2">
      <c r="B24701" t="s">
        <v>1</v>
      </c>
    </row>
    <row r="24702" spans="1:4" x14ac:dyDescent="0.2">
      <c r="B24702" t="s">
        <v>8134</v>
      </c>
    </row>
    <row r="24703" spans="1:4" x14ac:dyDescent="0.2">
      <c r="B24703" t="s">
        <v>8135</v>
      </c>
    </row>
    <row r="24705" spans="1:4" x14ac:dyDescent="0.2">
      <c r="A24705" t="s">
        <v>8136</v>
      </c>
      <c r="B24705" t="str">
        <f>HYPERLINK("https://lindat.mff.cuni.cz/services/teitok/pdtc10/index.php?action=vallex&amp;frame=v-w3262f1", "otevírat se (v-w3262f1)")</f>
        <v>otevírat se (v-w3262f1)</v>
      </c>
    </row>
    <row r="24706" spans="1:4" x14ac:dyDescent="0.2">
      <c r="B24706" t="s">
        <v>1</v>
      </c>
    </row>
    <row r="24708" spans="1:4" x14ac:dyDescent="0.2">
      <c r="A24708" t="s">
        <v>8137</v>
      </c>
      <c r="B24708" t="str">
        <f>HYPERLINK("https://lindat.mff.cuni.cz/services/teitok/pdtc10/index.php?action=vallex&amp;frame=v-w3262hsa_178", "otevírat se (v-w3262hsa_178)")</f>
        <v>otevírat se (v-w3262hsa_178)</v>
      </c>
    </row>
    <row r="24709" spans="1:4" x14ac:dyDescent="0.2">
      <c r="B24709" t="s">
        <v>1</v>
      </c>
      <c r="C24709" t="s">
        <v>186</v>
      </c>
      <c r="D24709" t="s">
        <v>2172</v>
      </c>
    </row>
    <row r="24710" spans="1:4" x14ac:dyDescent="0.2">
      <c r="B24710" t="s">
        <v>103</v>
      </c>
      <c r="C24710" t="s">
        <v>8138</v>
      </c>
      <c r="D24710" t="s">
        <v>8138</v>
      </c>
    </row>
    <row r="24712" spans="1:4" x14ac:dyDescent="0.2">
      <c r="A24712" t="s">
        <v>8139</v>
      </c>
      <c r="B24712" t="str">
        <f>HYPERLINK("https://lindat.mff.cuni.cz/services/teitok/pdtc10/index.php?action=vallex&amp;frame=v-w3262f2_ZU", "otevírat se (v-w3262f2_ZU)")</f>
        <v>otevírat se (v-w3262f2_ZU)</v>
      </c>
    </row>
    <row r="24713" spans="1:4" x14ac:dyDescent="0.2">
      <c r="B24713" t="s">
        <v>1</v>
      </c>
    </row>
    <row r="24715" spans="1:4" x14ac:dyDescent="0.2">
      <c r="A24715" t="s">
        <v>8140</v>
      </c>
      <c r="B24715" t="str">
        <f>HYPERLINK("https://lindat.mff.cuni.cz/services/teitok/pdtc10/index.php?action=vallex&amp;frame=v-w3265f10_ZU", "otevřít (v-w3265f10_ZU)")</f>
        <v>otevřít (v-w3265f10_ZU)</v>
      </c>
    </row>
    <row r="24716" spans="1:4" x14ac:dyDescent="0.2">
      <c r="B24716" t="s">
        <v>1</v>
      </c>
    </row>
    <row r="24717" spans="1:4" x14ac:dyDescent="0.2">
      <c r="B24717" t="s">
        <v>8</v>
      </c>
    </row>
    <row r="24719" spans="1:4" x14ac:dyDescent="0.2">
      <c r="A24719" t="s">
        <v>8140</v>
      </c>
      <c r="B24719" t="str">
        <f>HYPERLINK("https://lindat.mff.cuni.cz/services/teitok/pdtc10/index.php?action=vallex&amp;frame=v-w3265f1", "otevřít (v-w3265f1) - substituted with v-w3265f10_ZU")</f>
        <v>otevřít (v-w3265f1) - substituted with v-w3265f10_ZU</v>
      </c>
    </row>
    <row r="24720" spans="1:4" x14ac:dyDescent="0.2">
      <c r="B24720" t="s">
        <v>1</v>
      </c>
      <c r="C24720" t="s">
        <v>8141</v>
      </c>
      <c r="D24720" t="s">
        <v>23743</v>
      </c>
    </row>
    <row r="24721" spans="1:4" x14ac:dyDescent="0.2">
      <c r="B24721" t="s">
        <v>8</v>
      </c>
      <c r="C24721" t="s">
        <v>8142</v>
      </c>
      <c r="D24721" t="s">
        <v>23744</v>
      </c>
    </row>
    <row r="24723" spans="1:4" x14ac:dyDescent="0.2">
      <c r="A24723" t="s">
        <v>8143</v>
      </c>
      <c r="B24723" t="str">
        <f>HYPERLINK("https://lindat.mff.cuni.cz/services/teitok/pdtc10/index.php?action=vallex&amp;frame=v-w3265f2", "otevřít (v-w3265f2)")</f>
        <v>otevřít (v-w3265f2)</v>
      </c>
    </row>
    <row r="24724" spans="1:4" x14ac:dyDescent="0.2">
      <c r="B24724" t="s">
        <v>1</v>
      </c>
      <c r="C24724" t="s">
        <v>8144</v>
      </c>
      <c r="D24724" t="s">
        <v>23643</v>
      </c>
    </row>
    <row r="24725" spans="1:4" x14ac:dyDescent="0.2">
      <c r="B24725" t="s">
        <v>8</v>
      </c>
      <c r="C24725" t="s">
        <v>8145</v>
      </c>
      <c r="D24725" t="s">
        <v>16005</v>
      </c>
    </row>
    <row r="24727" spans="1:4" x14ac:dyDescent="0.2">
      <c r="A24727" t="s">
        <v>8146</v>
      </c>
      <c r="B24727" t="str">
        <f>HYPERLINK("https://lindat.mff.cuni.cz/services/teitok/pdtc10/index.php?action=vallex&amp;frame=v-w3265f5", "otevřít (v-w3265f5)")</f>
        <v>otevřít (v-w3265f5)</v>
      </c>
    </row>
    <row r="24728" spans="1:4" x14ac:dyDescent="0.2">
      <c r="B24728" t="s">
        <v>1</v>
      </c>
      <c r="C24728" t="s">
        <v>8147</v>
      </c>
      <c r="D24728" t="s">
        <v>23745</v>
      </c>
    </row>
    <row r="24729" spans="1:4" x14ac:dyDescent="0.2">
      <c r="B24729" t="s">
        <v>8</v>
      </c>
      <c r="C24729" t="s">
        <v>341</v>
      </c>
      <c r="D24729" t="s">
        <v>12884</v>
      </c>
    </row>
    <row r="24731" spans="1:4" x14ac:dyDescent="0.2">
      <c r="A24731" t="s">
        <v>8148</v>
      </c>
      <c r="B24731" t="str">
        <f>HYPERLINK("https://lindat.mff.cuni.cz/services/teitok/pdtc10/index.php?action=vallex&amp;frame=v-w3265f9_ZU", "otevřít (v-w3265f9_ZU)")</f>
        <v>otevřít (v-w3265f9_ZU)</v>
      </c>
    </row>
    <row r="24732" spans="1:4" x14ac:dyDescent="0.2">
      <c r="B24732" t="s">
        <v>1</v>
      </c>
      <c r="C24732" t="s">
        <v>8131</v>
      </c>
      <c r="D24732" t="s">
        <v>8131</v>
      </c>
    </row>
    <row r="24733" spans="1:4" x14ac:dyDescent="0.2">
      <c r="B24733" t="s">
        <v>8149</v>
      </c>
      <c r="D24733" t="s">
        <v>23680</v>
      </c>
    </row>
    <row r="24734" spans="1:4" x14ac:dyDescent="0.2">
      <c r="B24734" t="s">
        <v>3495</v>
      </c>
      <c r="C24734" t="s">
        <v>8150</v>
      </c>
      <c r="D24734" t="s">
        <v>23681</v>
      </c>
    </row>
    <row r="24736" spans="1:4" x14ac:dyDescent="0.2">
      <c r="A24736" t="s">
        <v>8148</v>
      </c>
      <c r="B24736" t="str">
        <f>HYPERLINK("https://lindat.mff.cuni.cz/services/teitok/pdtc10/index.php?action=vallex&amp;frame=v-w3265f6_ZU", "otevřít (v-w3265f6_ZU) - substituted with v-w3265f9_ZU")</f>
        <v>otevřít (v-w3265f6_ZU) - substituted with v-w3265f9_ZU</v>
      </c>
    </row>
    <row r="24737" spans="1:4" x14ac:dyDescent="0.2">
      <c r="B24737" t="s">
        <v>1</v>
      </c>
    </row>
    <row r="24738" spans="1:4" x14ac:dyDescent="0.2">
      <c r="B24738" t="s">
        <v>8149</v>
      </c>
    </row>
    <row r="24739" spans="1:4" x14ac:dyDescent="0.2">
      <c r="B24739" t="s">
        <v>3495</v>
      </c>
    </row>
    <row r="24741" spans="1:4" x14ac:dyDescent="0.2">
      <c r="A24741" t="s">
        <v>8148</v>
      </c>
      <c r="B24741" t="str">
        <f>HYPERLINK("https://lindat.mff.cuni.cz/services/teitok/pdtc10/index.php?action=vallex&amp;frame=v-w3265f7_ZU", "otevřít (v-w3265f7_ZU) - substituted with v-w3265f9_ZU")</f>
        <v>otevřít (v-w3265f7_ZU) - substituted with v-w3265f9_ZU</v>
      </c>
    </row>
    <row r="24742" spans="1:4" x14ac:dyDescent="0.2">
      <c r="B24742" t="s">
        <v>1</v>
      </c>
      <c r="C24742" t="s">
        <v>8131</v>
      </c>
    </row>
    <row r="24743" spans="1:4" x14ac:dyDescent="0.2">
      <c r="B24743" t="s">
        <v>8149</v>
      </c>
      <c r="C24743" t="s">
        <v>8132</v>
      </c>
    </row>
    <row r="24744" spans="1:4" x14ac:dyDescent="0.2">
      <c r="B24744" t="s">
        <v>3495</v>
      </c>
    </row>
    <row r="24746" spans="1:4" x14ac:dyDescent="0.2">
      <c r="A24746" t="s">
        <v>8151</v>
      </c>
      <c r="B24746" t="str">
        <f>HYPERLINK("https://lindat.mff.cuni.cz/services/teitok/pdtc10/index.php?action=vallex&amp;frame=v-w3265f4", "otevřít (v-w3265f4)")</f>
        <v>otevřít (v-w3265f4)</v>
      </c>
    </row>
    <row r="24747" spans="1:4" x14ac:dyDescent="0.2">
      <c r="B24747" t="s">
        <v>1</v>
      </c>
      <c r="C24747" t="s">
        <v>8152</v>
      </c>
      <c r="D24747" t="s">
        <v>13672</v>
      </c>
    </row>
    <row r="24749" spans="1:4" x14ac:dyDescent="0.2">
      <c r="A24749" t="s">
        <v>8153</v>
      </c>
      <c r="B24749" t="str">
        <f>HYPERLINK("https://lindat.mff.cuni.cz/services/teitok/pdtc10/index.php?action=vallex&amp;frame=v-w3265hsa_303", "otevřít (v-w3265hsa_303)")</f>
        <v>otevřít (v-w3265hsa_303)</v>
      </c>
    </row>
    <row r="24750" spans="1:4" x14ac:dyDescent="0.2">
      <c r="B24750" t="s">
        <v>1</v>
      </c>
      <c r="C24750" t="s">
        <v>8154</v>
      </c>
      <c r="D24750" t="s">
        <v>23746</v>
      </c>
    </row>
    <row r="24751" spans="1:4" x14ac:dyDescent="0.2">
      <c r="B24751" t="s">
        <v>8155</v>
      </c>
      <c r="C24751" t="s">
        <v>8156</v>
      </c>
      <c r="D24751" t="s">
        <v>23747</v>
      </c>
    </row>
    <row r="24752" spans="1:4" x14ac:dyDescent="0.2">
      <c r="B24752" t="s">
        <v>2542</v>
      </c>
      <c r="C24752" t="s">
        <v>8157</v>
      </c>
      <c r="D24752" t="s">
        <v>23748</v>
      </c>
    </row>
    <row r="24754" spans="1:4" x14ac:dyDescent="0.2">
      <c r="A24754" t="s">
        <v>8153</v>
      </c>
      <c r="B24754" t="str">
        <f>HYPERLINK("https://lindat.mff.cuni.cz/services/teitok/pdtc10/index.php?action=vallex&amp;frame=v-w3265f3", "otevřít (v-w3265f3) - substituted with v-w3265hsa_303")</f>
        <v>otevřít (v-w3265f3) - substituted with v-w3265hsa_303</v>
      </c>
    </row>
    <row r="24755" spans="1:4" x14ac:dyDescent="0.2">
      <c r="B24755" t="s">
        <v>1</v>
      </c>
      <c r="C24755" t="s">
        <v>8158</v>
      </c>
    </row>
    <row r="24756" spans="1:4" x14ac:dyDescent="0.2">
      <c r="B24756" t="s">
        <v>8155</v>
      </c>
      <c r="C24756" t="s">
        <v>8159</v>
      </c>
    </row>
    <row r="24757" spans="1:4" x14ac:dyDescent="0.2">
      <c r="B24757" t="s">
        <v>2542</v>
      </c>
      <c r="C24757" t="s">
        <v>8160</v>
      </c>
    </row>
    <row r="24759" spans="1:4" x14ac:dyDescent="0.2">
      <c r="A24759" t="s">
        <v>8161</v>
      </c>
      <c r="B24759" t="str">
        <f>HYPERLINK("https://lindat.mff.cuni.cz/services/teitok/pdtc10/index.php?action=vallex&amp;frame=v-w3265f8_ZU", "otevřít (v-w3265f8_ZU)")</f>
        <v>otevřít (v-w3265f8_ZU)</v>
      </c>
    </row>
    <row r="24760" spans="1:4" x14ac:dyDescent="0.2">
      <c r="B24760" t="s">
        <v>1</v>
      </c>
      <c r="C24760" t="s">
        <v>8162</v>
      </c>
      <c r="D24760" t="s">
        <v>23746</v>
      </c>
    </row>
    <row r="24761" spans="1:4" x14ac:dyDescent="0.2">
      <c r="B24761" t="s">
        <v>8134</v>
      </c>
      <c r="C24761" t="s">
        <v>8163</v>
      </c>
    </row>
    <row r="24762" spans="1:4" x14ac:dyDescent="0.2">
      <c r="B24762" t="s">
        <v>35</v>
      </c>
      <c r="C24762" t="s">
        <v>8157</v>
      </c>
      <c r="D24762" t="s">
        <v>23748</v>
      </c>
    </row>
    <row r="24763" spans="1:4" x14ac:dyDescent="0.2">
      <c r="B24763" t="s">
        <v>8164</v>
      </c>
      <c r="D24763" t="s">
        <v>23749</v>
      </c>
    </row>
    <row r="24765" spans="1:4" x14ac:dyDescent="0.2">
      <c r="A24765" t="s">
        <v>8161</v>
      </c>
      <c r="B24765" t="str">
        <f>HYPERLINK("https://lindat.mff.cuni.cz/services/teitok/pdtc10/index.php?action=vallex&amp;frame=v-w3265hsa_304", "otevřít (v-w3265hsa_304) - substituted with v-w3265f8_ZU")</f>
        <v>otevřít (v-w3265hsa_304) - substituted with v-w3265f8_ZU</v>
      </c>
    </row>
    <row r="24766" spans="1:4" x14ac:dyDescent="0.2">
      <c r="B24766" t="s">
        <v>1</v>
      </c>
    </row>
    <row r="24767" spans="1:4" x14ac:dyDescent="0.2">
      <c r="B24767" t="s">
        <v>8134</v>
      </c>
    </row>
    <row r="24768" spans="1:4" x14ac:dyDescent="0.2">
      <c r="B24768" t="s">
        <v>35</v>
      </c>
    </row>
    <row r="24769" spans="1:4" x14ac:dyDescent="0.2">
      <c r="B24769" t="s">
        <v>8164</v>
      </c>
    </row>
    <row r="24771" spans="1:4" x14ac:dyDescent="0.2">
      <c r="A24771" t="s">
        <v>8165</v>
      </c>
      <c r="B24771" t="str">
        <f>HYPERLINK("https://lindat.mff.cuni.cz/services/teitok/pdtc10/index.php?action=vallex&amp;frame=v-w3266f3", "otevřít se (v-w3266f3)")</f>
        <v>otevřít se (v-w3266f3)</v>
      </c>
    </row>
    <row r="24772" spans="1:4" x14ac:dyDescent="0.2">
      <c r="B24772" t="s">
        <v>1</v>
      </c>
      <c r="C24772" t="s">
        <v>8166</v>
      </c>
      <c r="D24772" t="s">
        <v>2172</v>
      </c>
    </row>
    <row r="24773" spans="1:4" x14ac:dyDescent="0.2">
      <c r="B24773" t="s">
        <v>8167</v>
      </c>
      <c r="C24773" t="s">
        <v>8168</v>
      </c>
      <c r="D24773" t="s">
        <v>8138</v>
      </c>
    </row>
    <row r="24775" spans="1:4" x14ac:dyDescent="0.2">
      <c r="A24775" t="s">
        <v>8169</v>
      </c>
      <c r="B24775" t="str">
        <f>HYPERLINK("https://lindat.mff.cuni.cz/services/teitok/pdtc10/index.php?action=vallex&amp;frame=v-w3266f1", "otevřít se (v-w3266f1)")</f>
        <v>otevřít se (v-w3266f1)</v>
      </c>
    </row>
    <row r="24776" spans="1:4" x14ac:dyDescent="0.2">
      <c r="B24776" t="s">
        <v>1</v>
      </c>
      <c r="C24776" t="s">
        <v>8170</v>
      </c>
      <c r="D24776" t="s">
        <v>13672</v>
      </c>
    </row>
    <row r="24778" spans="1:4" x14ac:dyDescent="0.2">
      <c r="A24778" t="s">
        <v>8171</v>
      </c>
      <c r="B24778" t="str">
        <f>HYPERLINK("https://lindat.mff.cuni.cz/services/teitok/pdtc10/index.php?action=vallex&amp;frame=v-w3266f2", "otevřít se (v-w3266f2)")</f>
        <v>otevřít se (v-w3266f2)</v>
      </c>
    </row>
    <row r="24779" spans="1:4" x14ac:dyDescent="0.2">
      <c r="B24779" t="s">
        <v>1</v>
      </c>
      <c r="C24779" t="s">
        <v>8172</v>
      </c>
      <c r="D24779" t="s">
        <v>8172</v>
      </c>
    </row>
    <row r="24781" spans="1:4" x14ac:dyDescent="0.2">
      <c r="A24781" t="s">
        <v>8173</v>
      </c>
      <c r="B24781" t="str">
        <f>HYPERLINK("https://lindat.mff.cuni.cz/services/teitok/pdtc10/index.php?action=vallex&amp;frame=v-w3267f1", "otipovat (v-w3267f1)")</f>
        <v>otipovat (v-w3267f1)</v>
      </c>
    </row>
    <row r="24782" spans="1:4" x14ac:dyDescent="0.2">
      <c r="B24782" t="s">
        <v>1</v>
      </c>
    </row>
    <row r="24783" spans="1:4" x14ac:dyDescent="0.2">
      <c r="B24783" t="s">
        <v>41</v>
      </c>
    </row>
    <row r="24784" spans="1:4" x14ac:dyDescent="0.2">
      <c r="B24784" t="s">
        <v>25</v>
      </c>
    </row>
    <row r="24786" spans="1:4" x14ac:dyDescent="0.2">
      <c r="A24786" t="s">
        <v>8174</v>
      </c>
      <c r="B24786" t="str">
        <f>HYPERLINK("https://lindat.mff.cuni.cz/services/teitok/pdtc10/index.php?action=vallex&amp;frame=v-w3268f1", "otisknout (v-w3268f1)")</f>
        <v>otisknout (v-w3268f1)</v>
      </c>
    </row>
    <row r="24787" spans="1:4" x14ac:dyDescent="0.2">
      <c r="B24787" t="s">
        <v>1</v>
      </c>
      <c r="C24787" t="s">
        <v>8175</v>
      </c>
      <c r="D24787" t="s">
        <v>22967</v>
      </c>
    </row>
    <row r="24788" spans="1:4" x14ac:dyDescent="0.2">
      <c r="B24788" t="s">
        <v>1284</v>
      </c>
      <c r="C24788" t="s">
        <v>8176</v>
      </c>
      <c r="D24788" t="s">
        <v>22968</v>
      </c>
    </row>
    <row r="24790" spans="1:4" x14ac:dyDescent="0.2">
      <c r="A24790" t="s">
        <v>8177</v>
      </c>
      <c r="B24790" t="str">
        <f>HYPERLINK("https://lindat.mff.cuni.cz/services/teitok/pdtc10/index.php?action=vallex&amp;frame=v-w3268f2", "otisknout (v-w3268f2)")</f>
        <v>otisknout (v-w3268f2)</v>
      </c>
    </row>
    <row r="24791" spans="1:4" x14ac:dyDescent="0.2">
      <c r="B24791" t="s">
        <v>1</v>
      </c>
    </row>
    <row r="24792" spans="1:4" x14ac:dyDescent="0.2">
      <c r="B24792" t="s">
        <v>4749</v>
      </c>
    </row>
    <row r="24793" spans="1:4" x14ac:dyDescent="0.2">
      <c r="B24793" t="s">
        <v>269</v>
      </c>
    </row>
    <row r="24795" spans="1:4" x14ac:dyDescent="0.2">
      <c r="A24795" t="s">
        <v>8178</v>
      </c>
      <c r="B24795" t="str">
        <f>HYPERLINK("https://lindat.mff.cuni.cz/services/teitok/pdtc10/index.php?action=vallex&amp;frame=v-w3269f1", "otiskovat (v-w3269f1)")</f>
        <v>otiskovat (v-w3269f1)</v>
      </c>
    </row>
    <row r="24796" spans="1:4" x14ac:dyDescent="0.2">
      <c r="B24796" t="s">
        <v>1</v>
      </c>
      <c r="D24796" t="s">
        <v>22967</v>
      </c>
    </row>
    <row r="24797" spans="1:4" x14ac:dyDescent="0.2">
      <c r="B24797" t="s">
        <v>1284</v>
      </c>
      <c r="D24797" t="s">
        <v>22968</v>
      </c>
    </row>
    <row r="24799" spans="1:4" x14ac:dyDescent="0.2">
      <c r="A24799" t="s">
        <v>8179</v>
      </c>
      <c r="B24799" t="str">
        <f>HYPERLINK("https://lindat.mff.cuni.cz/services/teitok/pdtc10/index.php?action=vallex&amp;frame=v-w3269f2", "otiskovat (v-w3269f2)")</f>
        <v>otiskovat (v-w3269f2)</v>
      </c>
    </row>
    <row r="24800" spans="1:4" x14ac:dyDescent="0.2">
      <c r="B24800" t="s">
        <v>1</v>
      </c>
    </row>
    <row r="24801" spans="1:4" x14ac:dyDescent="0.2">
      <c r="B24801" t="s">
        <v>4749</v>
      </c>
    </row>
    <row r="24802" spans="1:4" x14ac:dyDescent="0.2">
      <c r="B24802" t="s">
        <v>269</v>
      </c>
    </row>
    <row r="24804" spans="1:4" x14ac:dyDescent="0.2">
      <c r="A24804" t="s">
        <v>8180</v>
      </c>
      <c r="B24804" t="str">
        <f>HYPERLINK("https://lindat.mff.cuni.cz/services/teitok/pdtc10/index.php?action=vallex&amp;frame=v-w11877_ZUf1_ZU", "otlačit se (v-w11877_ZUf1_ZU)")</f>
        <v>otlačit se (v-w11877_ZUf1_ZU)</v>
      </c>
    </row>
    <row r="24805" spans="1:4" x14ac:dyDescent="0.2">
      <c r="B24805" t="s">
        <v>1</v>
      </c>
    </row>
    <row r="24807" spans="1:4" x14ac:dyDescent="0.2">
      <c r="A24807" t="s">
        <v>8181</v>
      </c>
      <c r="B24807" t="str">
        <f>HYPERLINK("https://lindat.mff.cuni.cz/services/teitok/pdtc10/index.php?action=vallex&amp;frame=v-w12150_ZUf1_ZU", "otlouci (v-w12150_ZUf1_ZU)")</f>
        <v>otlouci (v-w12150_ZUf1_ZU)</v>
      </c>
    </row>
    <row r="24808" spans="1:4" x14ac:dyDescent="0.2">
      <c r="B24808" t="s">
        <v>1</v>
      </c>
    </row>
    <row r="24809" spans="1:4" x14ac:dyDescent="0.2">
      <c r="B24809" t="s">
        <v>8</v>
      </c>
    </row>
    <row r="24811" spans="1:4" x14ac:dyDescent="0.2">
      <c r="A24811" t="s">
        <v>8182</v>
      </c>
      <c r="B24811" t="str">
        <f>HYPERLINK("https://lindat.mff.cuni.cz/services/teitok/pdtc10/index.php?action=vallex&amp;frame=v-whsa_392hsa_393", "otloukat (v-whsa_392hsa_393)")</f>
        <v>otloukat (v-whsa_392hsa_393)</v>
      </c>
    </row>
    <row r="24812" spans="1:4" x14ac:dyDescent="0.2">
      <c r="B24812" t="s">
        <v>1</v>
      </c>
    </row>
    <row r="24813" spans="1:4" x14ac:dyDescent="0.2">
      <c r="B24813" t="s">
        <v>8</v>
      </c>
    </row>
    <row r="24815" spans="1:4" x14ac:dyDescent="0.2">
      <c r="A24815" t="s">
        <v>8183</v>
      </c>
      <c r="B24815" t="str">
        <f>HYPERLINK("https://lindat.mff.cuni.cz/services/teitok/pdtc10/index.php?action=vallex&amp;frame=v-w3271f1", "otočit (v-w3271f1)")</f>
        <v>otočit (v-w3271f1)</v>
      </c>
    </row>
    <row r="24816" spans="1:4" x14ac:dyDescent="0.2">
      <c r="B24816" t="s">
        <v>1</v>
      </c>
      <c r="C24816" t="s">
        <v>1805</v>
      </c>
      <c r="D24816" t="s">
        <v>16226</v>
      </c>
    </row>
    <row r="24817" spans="1:4" x14ac:dyDescent="0.2">
      <c r="B24817" t="s">
        <v>8</v>
      </c>
      <c r="C24817" t="s">
        <v>1343</v>
      </c>
      <c r="D24817" t="s">
        <v>7127</v>
      </c>
    </row>
    <row r="24818" spans="1:4" x14ac:dyDescent="0.2">
      <c r="B24818" t="s">
        <v>24</v>
      </c>
    </row>
    <row r="24819" spans="1:4" x14ac:dyDescent="0.2">
      <c r="B24819" t="s">
        <v>61</v>
      </c>
      <c r="D24819" t="s">
        <v>6778</v>
      </c>
    </row>
    <row r="24821" spans="1:4" x14ac:dyDescent="0.2">
      <c r="A24821" t="s">
        <v>8184</v>
      </c>
      <c r="B24821" t="str">
        <f>HYPERLINK("https://lindat.mff.cuni.cz/services/teitok/pdtc10/index.php?action=vallex&amp;frame=v-w3271f2", "otočit (v-w3271f2)")</f>
        <v>otočit (v-w3271f2)</v>
      </c>
    </row>
    <row r="24822" spans="1:4" x14ac:dyDescent="0.2">
      <c r="B24822" t="s">
        <v>1</v>
      </c>
      <c r="D24822" t="s">
        <v>140</v>
      </c>
    </row>
    <row r="24823" spans="1:4" x14ac:dyDescent="0.2">
      <c r="B24823" t="s">
        <v>1532</v>
      </c>
      <c r="D24823" t="s">
        <v>113</v>
      </c>
    </row>
    <row r="24825" spans="1:4" x14ac:dyDescent="0.2">
      <c r="A24825" t="s">
        <v>8185</v>
      </c>
      <c r="B24825" t="str">
        <f>HYPERLINK("https://lindat.mff.cuni.cz/services/teitok/pdtc10/index.php?action=vallex&amp;frame=v-w3271f3", "otočit (v-w3271f3)")</f>
        <v>otočit (v-w3271f3)</v>
      </c>
    </row>
    <row r="24826" spans="1:4" x14ac:dyDescent="0.2">
      <c r="B24826" t="s">
        <v>1</v>
      </c>
    </row>
    <row r="24827" spans="1:4" x14ac:dyDescent="0.2">
      <c r="B24827" t="s">
        <v>8</v>
      </c>
    </row>
    <row r="24829" spans="1:4" x14ac:dyDescent="0.2">
      <c r="A24829" t="s">
        <v>8186</v>
      </c>
      <c r="B24829" t="str">
        <f>HYPERLINK("https://lindat.mff.cuni.cz/services/teitok/pdtc10/index.php?action=vallex&amp;frame=v-w3271hsa_533", "otočit (v-w3271hsa_533)")</f>
        <v>otočit (v-w3271hsa_533)</v>
      </c>
    </row>
    <row r="24830" spans="1:4" x14ac:dyDescent="0.2">
      <c r="B24830" t="s">
        <v>1</v>
      </c>
      <c r="C24830" t="s">
        <v>6825</v>
      </c>
    </row>
    <row r="24832" spans="1:4" x14ac:dyDescent="0.2">
      <c r="A24832" t="s">
        <v>8187</v>
      </c>
      <c r="B24832" t="str">
        <f>HYPERLINK("https://lindat.mff.cuni.cz/services/teitok/pdtc10/index.php?action=vallex&amp;frame=v-w3271f4_ZU", "otočit (v-w3271f4_ZU)")</f>
        <v>otočit (v-w3271f4_ZU)</v>
      </c>
    </row>
    <row r="24833" spans="1:3" x14ac:dyDescent="0.2">
      <c r="B24833" t="s">
        <v>1</v>
      </c>
    </row>
    <row r="24834" spans="1:3" x14ac:dyDescent="0.2">
      <c r="B24834" t="s">
        <v>8</v>
      </c>
    </row>
    <row r="24836" spans="1:3" x14ac:dyDescent="0.2">
      <c r="A24836" t="s">
        <v>8188</v>
      </c>
      <c r="B24836" t="str">
        <f>HYPERLINK("https://lindat.mff.cuni.cz/services/teitok/pdtc10/index.php?action=vallex&amp;frame=v-w3271hsa_534", "otočit (v-w3271hsa_534)")</f>
        <v>otočit (v-w3271hsa_534)</v>
      </c>
    </row>
    <row r="24837" spans="1:3" x14ac:dyDescent="0.2">
      <c r="B24837" t="s">
        <v>1</v>
      </c>
    </row>
    <row r="24838" spans="1:3" x14ac:dyDescent="0.2">
      <c r="B24838" t="s">
        <v>8</v>
      </c>
    </row>
    <row r="24839" spans="1:3" x14ac:dyDescent="0.2">
      <c r="B24839" t="s">
        <v>6777</v>
      </c>
    </row>
    <row r="24841" spans="1:3" x14ac:dyDescent="0.2">
      <c r="A24841" t="s">
        <v>8189</v>
      </c>
      <c r="B24841" t="str">
        <f>HYPERLINK("https://lindat.mff.cuni.cz/services/teitok/pdtc10/index.php?action=vallex&amp;frame=v-w3272f2", "otočit se (v-w3272f2)")</f>
        <v>otočit se (v-w3272f2)</v>
      </c>
    </row>
    <row r="24842" spans="1:3" x14ac:dyDescent="0.2">
      <c r="B24842" t="s">
        <v>1</v>
      </c>
      <c r="C24842" t="s">
        <v>435</v>
      </c>
    </row>
    <row r="24843" spans="1:3" x14ac:dyDescent="0.2">
      <c r="B24843" t="s">
        <v>4524</v>
      </c>
      <c r="C24843" t="s">
        <v>8190</v>
      </c>
    </row>
    <row r="24844" spans="1:3" x14ac:dyDescent="0.2">
      <c r="B24844" t="s">
        <v>24</v>
      </c>
      <c r="C24844" t="s">
        <v>8191</v>
      </c>
    </row>
    <row r="24846" spans="1:3" x14ac:dyDescent="0.2">
      <c r="A24846" t="s">
        <v>8192</v>
      </c>
      <c r="B24846" t="str">
        <f>HYPERLINK("https://lindat.mff.cuni.cz/services/teitok/pdtc10/index.php?action=vallex&amp;frame=v-w3272f1", "otočit se (v-w3272f1)")</f>
        <v>otočit se (v-w3272f1)</v>
      </c>
    </row>
    <row r="24847" spans="1:3" x14ac:dyDescent="0.2">
      <c r="B24847" t="s">
        <v>1</v>
      </c>
      <c r="C24847" t="s">
        <v>8193</v>
      </c>
    </row>
    <row r="24849" spans="1:4" x14ac:dyDescent="0.2">
      <c r="A24849" t="s">
        <v>8194</v>
      </c>
      <c r="B24849" t="str">
        <f>HYPERLINK("https://lindat.mff.cuni.cz/services/teitok/pdtc10/index.php?action=vallex&amp;frame=v-w3272f3_ZU", "otočit se (v-w3272f3_ZU)")</f>
        <v>otočit se (v-w3272f3_ZU)</v>
      </c>
    </row>
    <row r="24850" spans="1:4" x14ac:dyDescent="0.2">
      <c r="B24850" t="s">
        <v>1</v>
      </c>
      <c r="D24850" t="s">
        <v>23386</v>
      </c>
    </row>
    <row r="24851" spans="1:4" x14ac:dyDescent="0.2">
      <c r="B24851" t="s">
        <v>6796</v>
      </c>
    </row>
    <row r="24852" spans="1:4" x14ac:dyDescent="0.2">
      <c r="B24852" t="s">
        <v>176</v>
      </c>
      <c r="D24852" t="s">
        <v>2439</v>
      </c>
    </row>
    <row r="24854" spans="1:4" x14ac:dyDescent="0.2">
      <c r="A24854" t="s">
        <v>8195</v>
      </c>
      <c r="B24854" t="str">
        <f>HYPERLINK("https://lindat.mff.cuni.cz/services/teitok/pdtc10/index.php?action=vallex&amp;frame=v-w3272f4_ZU", "otočit se (v-w3272f4_ZU)")</f>
        <v>otočit se (v-w3272f4_ZU)</v>
      </c>
    </row>
    <row r="24855" spans="1:4" x14ac:dyDescent="0.2">
      <c r="B24855" t="s">
        <v>1</v>
      </c>
    </row>
    <row r="24857" spans="1:4" x14ac:dyDescent="0.2">
      <c r="A24857" t="s">
        <v>8196</v>
      </c>
      <c r="B24857" t="str">
        <f>HYPERLINK("https://lindat.mff.cuni.cz/services/teitok/pdtc10/index.php?action=vallex&amp;frame=v-w3277f1", "otravovat (v-w3277f1)")</f>
        <v>otravovat (v-w3277f1)</v>
      </c>
    </row>
    <row r="24858" spans="1:4" x14ac:dyDescent="0.2">
      <c r="B24858" t="s">
        <v>1</v>
      </c>
      <c r="C24858" t="s">
        <v>3171</v>
      </c>
      <c r="D24858" t="s">
        <v>23325</v>
      </c>
    </row>
    <row r="24859" spans="1:4" x14ac:dyDescent="0.2">
      <c r="B24859" t="s">
        <v>8</v>
      </c>
      <c r="C24859" t="s">
        <v>56</v>
      </c>
      <c r="D24859" t="s">
        <v>23326</v>
      </c>
    </row>
    <row r="24861" spans="1:4" x14ac:dyDescent="0.2">
      <c r="A24861" t="s">
        <v>8197</v>
      </c>
      <c r="B24861" t="str">
        <f>HYPERLINK("https://lindat.mff.cuni.cz/services/teitok/pdtc10/index.php?action=vallex&amp;frame=v-w3277hsa_281", "otravovat (v-w3277hsa_281)")</f>
        <v>otravovat (v-w3277hsa_281)</v>
      </c>
    </row>
    <row r="24862" spans="1:4" x14ac:dyDescent="0.2">
      <c r="B24862" t="s">
        <v>1</v>
      </c>
    </row>
    <row r="24863" spans="1:4" x14ac:dyDescent="0.2">
      <c r="B24863" t="s">
        <v>8</v>
      </c>
    </row>
    <row r="24865" spans="1:4" x14ac:dyDescent="0.2">
      <c r="A24865" t="s">
        <v>8198</v>
      </c>
      <c r="B24865" t="str">
        <f>HYPERLINK("https://lindat.mff.cuni.cz/services/teitok/pdtc10/index.php?action=vallex&amp;frame=v-whsa_441hsa_442", "otrhat (v-whsa_441hsa_442)")</f>
        <v>otrhat (v-whsa_441hsa_442)</v>
      </c>
    </row>
    <row r="24866" spans="1:4" x14ac:dyDescent="0.2">
      <c r="B24866" t="s">
        <v>1</v>
      </c>
    </row>
    <row r="24867" spans="1:4" x14ac:dyDescent="0.2">
      <c r="B24867" t="s">
        <v>8</v>
      </c>
    </row>
    <row r="24869" spans="1:4" x14ac:dyDescent="0.2">
      <c r="A24869" t="s">
        <v>8199</v>
      </c>
      <c r="B24869" t="str">
        <f>HYPERLINK("https://lindat.mff.cuni.cz/services/teitok/pdtc10/index.php?action=vallex&amp;frame=v-w3278f1", "otrkat se (v-w3278f1)")</f>
        <v>otrkat se (v-w3278f1)</v>
      </c>
    </row>
    <row r="24870" spans="1:4" x14ac:dyDescent="0.2">
      <c r="B24870" t="s">
        <v>1</v>
      </c>
    </row>
    <row r="24872" spans="1:4" x14ac:dyDescent="0.2">
      <c r="A24872" t="s">
        <v>8200</v>
      </c>
      <c r="B24872" t="str">
        <f>HYPERLINK("https://lindat.mff.cuni.cz/services/teitok/pdtc10/index.php?action=vallex&amp;frame=v-w3279f1", "otrnout (v-w3279f1)")</f>
        <v>otrnout (v-w3279f1)</v>
      </c>
    </row>
    <row r="24873" spans="1:4" x14ac:dyDescent="0.2">
      <c r="B24873" t="s">
        <v>455</v>
      </c>
    </row>
    <row r="24875" spans="1:4" x14ac:dyDescent="0.2">
      <c r="A24875" t="s">
        <v>8201</v>
      </c>
      <c r="B24875" t="str">
        <f>HYPERLINK("https://lindat.mff.cuni.cz/services/teitok/pdtc10/index.php?action=vallex&amp;frame=v-w3275f1", "otrávit (v-w3275f1)")</f>
        <v>otrávit (v-w3275f1)</v>
      </c>
    </row>
    <row r="24876" spans="1:4" x14ac:dyDescent="0.2">
      <c r="B24876" t="s">
        <v>1</v>
      </c>
      <c r="D24876" t="s">
        <v>23750</v>
      </c>
    </row>
    <row r="24877" spans="1:4" x14ac:dyDescent="0.2">
      <c r="B24877" t="s">
        <v>8</v>
      </c>
      <c r="D24877" t="s">
        <v>22227</v>
      </c>
    </row>
    <row r="24879" spans="1:4" x14ac:dyDescent="0.2">
      <c r="A24879" t="s">
        <v>8202</v>
      </c>
      <c r="B24879" t="str">
        <f>HYPERLINK("https://lindat.mff.cuni.cz/services/teitok/pdtc10/index.php?action=vallex&amp;frame=v-w3276f1", "otrávit se (v-w3276f1)")</f>
        <v>otrávit se (v-w3276f1)</v>
      </c>
    </row>
    <row r="24880" spans="1:4" x14ac:dyDescent="0.2">
      <c r="B24880" t="s">
        <v>1</v>
      </c>
      <c r="D24880" t="s">
        <v>1185</v>
      </c>
    </row>
    <row r="24882" spans="1:4" x14ac:dyDescent="0.2">
      <c r="A24882" t="s">
        <v>8203</v>
      </c>
      <c r="B24882" t="str">
        <f>HYPERLINK("https://lindat.mff.cuni.cz/services/teitok/pdtc10/index.php?action=vallex&amp;frame=v-w10983f2", "otupit (v-w10983f2)")</f>
        <v>otupit (v-w10983f2)</v>
      </c>
    </row>
    <row r="24883" spans="1:4" x14ac:dyDescent="0.2">
      <c r="B24883" t="s">
        <v>1</v>
      </c>
      <c r="C24883" t="s">
        <v>249</v>
      </c>
      <c r="D24883" t="s">
        <v>3580</v>
      </c>
    </row>
    <row r="24884" spans="1:4" x14ac:dyDescent="0.2">
      <c r="B24884" t="s">
        <v>8</v>
      </c>
      <c r="C24884" t="s">
        <v>54</v>
      </c>
      <c r="D24884" t="s">
        <v>23751</v>
      </c>
    </row>
    <row r="24886" spans="1:4" x14ac:dyDescent="0.2">
      <c r="A24886" t="s">
        <v>8204</v>
      </c>
      <c r="B24886" t="str">
        <f>HYPERLINK("https://lindat.mff.cuni.cz/services/teitok/pdtc10/index.php?action=vallex&amp;frame=v-w3284f1", "otupovat (v-w3284f1)")</f>
        <v>otupovat (v-w3284f1)</v>
      </c>
    </row>
    <row r="24887" spans="1:4" x14ac:dyDescent="0.2">
      <c r="B24887" t="s">
        <v>1</v>
      </c>
      <c r="D24887" t="s">
        <v>3580</v>
      </c>
    </row>
    <row r="24888" spans="1:4" x14ac:dyDescent="0.2">
      <c r="B24888" t="s">
        <v>8</v>
      </c>
      <c r="D24888" t="s">
        <v>23751</v>
      </c>
    </row>
    <row r="24890" spans="1:4" x14ac:dyDescent="0.2">
      <c r="A24890" t="s">
        <v>8205</v>
      </c>
      <c r="B24890" t="str">
        <f>HYPERLINK("https://lindat.mff.cuni.cz/services/teitok/pdtc10/index.php?action=vallex&amp;frame=v-w10049f2", "otupět (v-w10049f2)")</f>
        <v>otupět (v-w10049f2)</v>
      </c>
    </row>
    <row r="24891" spans="1:4" x14ac:dyDescent="0.2">
      <c r="B24891" t="s">
        <v>1</v>
      </c>
      <c r="C24891" t="s">
        <v>33</v>
      </c>
      <c r="D24891" t="s">
        <v>3580</v>
      </c>
    </row>
    <row r="24892" spans="1:4" x14ac:dyDescent="0.2">
      <c r="B24892" t="s">
        <v>8</v>
      </c>
      <c r="C24892" t="s">
        <v>34</v>
      </c>
      <c r="D24892" t="s">
        <v>23751</v>
      </c>
    </row>
    <row r="24894" spans="1:4" x14ac:dyDescent="0.2">
      <c r="A24894" t="s">
        <v>8206</v>
      </c>
      <c r="B24894" t="str">
        <f>HYPERLINK("https://lindat.mff.cuni.cz/services/teitok/pdtc10/index.php?action=vallex&amp;frame=v-w3286f1", "otužovat (v-w3286f1)")</f>
        <v>otužovat (v-w3286f1)</v>
      </c>
    </row>
    <row r="24895" spans="1:4" x14ac:dyDescent="0.2">
      <c r="B24895" t="s">
        <v>1</v>
      </c>
    </row>
    <row r="24896" spans="1:4" x14ac:dyDescent="0.2">
      <c r="B24896" t="s">
        <v>8</v>
      </c>
    </row>
    <row r="24898" spans="1:4" x14ac:dyDescent="0.2">
      <c r="A24898" t="s">
        <v>8207</v>
      </c>
      <c r="B24898" t="str">
        <f>HYPERLINK("https://lindat.mff.cuni.cz/services/teitok/pdtc10/index.php?action=vallex&amp;frame=v-w3288f1", "otvírat (v-w3288f1)")</f>
        <v>otvírat (v-w3288f1)</v>
      </c>
    </row>
    <row r="24899" spans="1:4" x14ac:dyDescent="0.2">
      <c r="B24899" t="s">
        <v>1</v>
      </c>
      <c r="C24899" t="s">
        <v>249</v>
      </c>
      <c r="D24899" t="s">
        <v>23752</v>
      </c>
    </row>
    <row r="24900" spans="1:4" x14ac:dyDescent="0.2">
      <c r="B24900" t="s">
        <v>8</v>
      </c>
      <c r="C24900" t="s">
        <v>23</v>
      </c>
      <c r="D24900" t="s">
        <v>23753</v>
      </c>
    </row>
    <row r="24902" spans="1:4" x14ac:dyDescent="0.2">
      <c r="A24902" t="s">
        <v>8208</v>
      </c>
      <c r="B24902" t="str">
        <f>HYPERLINK("https://lindat.mff.cuni.cz/services/teitok/pdtc10/index.php?action=vallex&amp;frame=v-w3288f3", "otvírat (v-w3288f3)")</f>
        <v>otvírat (v-w3288f3)</v>
      </c>
    </row>
    <row r="24903" spans="1:4" x14ac:dyDescent="0.2">
      <c r="B24903" t="s">
        <v>1</v>
      </c>
      <c r="C24903" t="s">
        <v>147</v>
      </c>
      <c r="D24903" t="s">
        <v>22950</v>
      </c>
    </row>
    <row r="24904" spans="1:4" x14ac:dyDescent="0.2">
      <c r="B24904" t="s">
        <v>8</v>
      </c>
      <c r="D24904" t="s">
        <v>22951</v>
      </c>
    </row>
    <row r="24906" spans="1:4" x14ac:dyDescent="0.2">
      <c r="A24906" t="s">
        <v>8209</v>
      </c>
      <c r="B24906" t="str">
        <f>HYPERLINK("https://lindat.mff.cuni.cz/services/teitok/pdtc10/index.php?action=vallex&amp;frame=v-w3288f5_ZU", "otvírat (v-w3288f5_ZU)")</f>
        <v>otvírat (v-w3288f5_ZU)</v>
      </c>
    </row>
    <row r="24907" spans="1:4" x14ac:dyDescent="0.2">
      <c r="B24907" t="s">
        <v>1</v>
      </c>
      <c r="C24907" t="s">
        <v>8131</v>
      </c>
    </row>
    <row r="24908" spans="1:4" x14ac:dyDescent="0.2">
      <c r="B24908" t="s">
        <v>889</v>
      </c>
      <c r="C24908" t="s">
        <v>8132</v>
      </c>
    </row>
    <row r="24910" spans="1:4" x14ac:dyDescent="0.2">
      <c r="A24910" t="s">
        <v>8210</v>
      </c>
      <c r="B24910" t="str">
        <f>HYPERLINK("https://lindat.mff.cuni.cz/services/teitok/pdtc10/index.php?action=vallex&amp;frame=v-w3288f4", "otvírat (v-w3288f4)")</f>
        <v>otvírat (v-w3288f4)</v>
      </c>
    </row>
    <row r="24911" spans="1:4" x14ac:dyDescent="0.2">
      <c r="B24911" t="s">
        <v>1</v>
      </c>
    </row>
    <row r="24913" spans="1:4" x14ac:dyDescent="0.2">
      <c r="A24913" t="s">
        <v>8211</v>
      </c>
      <c r="B24913" t="str">
        <f>HYPERLINK("https://lindat.mff.cuni.cz/services/teitok/pdtc10/index.php?action=vallex&amp;frame=v-w3288f2", "otvírat (v-w3288f2)")</f>
        <v>otvírat (v-w3288f2)</v>
      </c>
    </row>
    <row r="24914" spans="1:4" x14ac:dyDescent="0.2">
      <c r="B24914" t="s">
        <v>1</v>
      </c>
    </row>
    <row r="24915" spans="1:4" x14ac:dyDescent="0.2">
      <c r="B24915" t="s">
        <v>8212</v>
      </c>
    </row>
    <row r="24916" spans="1:4" x14ac:dyDescent="0.2">
      <c r="B24916" t="s">
        <v>2542</v>
      </c>
    </row>
    <row r="24918" spans="1:4" x14ac:dyDescent="0.2">
      <c r="A24918" t="s">
        <v>8213</v>
      </c>
      <c r="B24918" t="str">
        <f>HYPERLINK("https://lindat.mff.cuni.cz/services/teitok/pdtc10/index.php?action=vallex&amp;frame=v-w3288f6_ZU", "otvírat (v-w3288f6_ZU)")</f>
        <v>otvírat (v-w3288f6_ZU)</v>
      </c>
    </row>
    <row r="24919" spans="1:4" x14ac:dyDescent="0.2">
      <c r="B24919" t="s">
        <v>1</v>
      </c>
    </row>
    <row r="24920" spans="1:4" x14ac:dyDescent="0.2">
      <c r="B24920" t="s">
        <v>8134</v>
      </c>
    </row>
    <row r="24921" spans="1:4" x14ac:dyDescent="0.2">
      <c r="B24921" t="s">
        <v>35</v>
      </c>
    </row>
    <row r="24922" spans="1:4" x14ac:dyDescent="0.2">
      <c r="B24922" t="s">
        <v>8164</v>
      </c>
    </row>
    <row r="24924" spans="1:4" x14ac:dyDescent="0.2">
      <c r="A24924" t="s">
        <v>8214</v>
      </c>
      <c r="B24924" t="str">
        <f>HYPERLINK("https://lindat.mff.cuni.cz/services/teitok/pdtc10/index.php?action=vallex&amp;frame=v-w3289f2", "otvírat se (v-w3289f2)")</f>
        <v>otvírat se (v-w3289f2)</v>
      </c>
    </row>
    <row r="24925" spans="1:4" x14ac:dyDescent="0.2">
      <c r="B24925" t="s">
        <v>1</v>
      </c>
      <c r="C24925" t="s">
        <v>147</v>
      </c>
      <c r="D24925" t="s">
        <v>2172</v>
      </c>
    </row>
    <row r="24926" spans="1:4" x14ac:dyDescent="0.2">
      <c r="B24926" t="s">
        <v>103</v>
      </c>
      <c r="D24926" t="s">
        <v>8138</v>
      </c>
    </row>
    <row r="24928" spans="1:4" x14ac:dyDescent="0.2">
      <c r="A24928" t="s">
        <v>8215</v>
      </c>
      <c r="B24928" t="str">
        <f>HYPERLINK("https://lindat.mff.cuni.cz/services/teitok/pdtc10/index.php?action=vallex&amp;frame=v-w3289f1", "otvírat se (v-w3289f1)")</f>
        <v>otvírat se (v-w3289f1)</v>
      </c>
    </row>
    <row r="24929" spans="1:4" x14ac:dyDescent="0.2">
      <c r="B24929" t="s">
        <v>1</v>
      </c>
    </row>
    <row r="24931" spans="1:4" x14ac:dyDescent="0.2">
      <c r="A24931" t="s">
        <v>8216</v>
      </c>
      <c r="B24931" t="str">
        <f>HYPERLINK("https://lindat.mff.cuni.cz/services/teitok/pdtc10/index.php?action=vallex&amp;frame=v-w3247f1", "otálet (v-w3247f1)")</f>
        <v>otálet (v-w3247f1)</v>
      </c>
    </row>
    <row r="24932" spans="1:4" x14ac:dyDescent="0.2">
      <c r="B24932" t="s">
        <v>1</v>
      </c>
    </row>
    <row r="24933" spans="1:4" x14ac:dyDescent="0.2">
      <c r="B24933" t="s">
        <v>2423</v>
      </c>
    </row>
    <row r="24935" spans="1:4" x14ac:dyDescent="0.2">
      <c r="A24935" t="s">
        <v>8217</v>
      </c>
      <c r="B24935" t="str">
        <f>HYPERLINK("https://lindat.mff.cuni.cz/services/teitok/pdtc10/index.php?action=vallex&amp;frame=v-w3248f1", "otázat se (v-w3248f1)")</f>
        <v>otázat se (v-w3248f1)</v>
      </c>
    </row>
    <row r="24936" spans="1:4" x14ac:dyDescent="0.2">
      <c r="B24936" t="s">
        <v>1</v>
      </c>
    </row>
    <row r="24937" spans="1:4" x14ac:dyDescent="0.2">
      <c r="B24937" t="s">
        <v>8218</v>
      </c>
    </row>
    <row r="24938" spans="1:4" x14ac:dyDescent="0.2">
      <c r="B24938" t="s">
        <v>2131</v>
      </c>
    </row>
    <row r="24940" spans="1:4" x14ac:dyDescent="0.2">
      <c r="A24940" t="s">
        <v>8219</v>
      </c>
      <c r="B24940" t="str">
        <f>HYPERLINK("https://lindat.mff.cuni.cz/services/teitok/pdtc10/index.php?action=vallex&amp;frame=v-w11042hsa_640", "otáčet (v-w11042hsa_640)")</f>
        <v>otáčet (v-w11042hsa_640)</v>
      </c>
    </row>
    <row r="24941" spans="1:4" x14ac:dyDescent="0.2">
      <c r="B24941" t="s">
        <v>1</v>
      </c>
      <c r="C24941" t="s">
        <v>140</v>
      </c>
      <c r="D24941" t="s">
        <v>140</v>
      </c>
    </row>
    <row r="24942" spans="1:4" x14ac:dyDescent="0.2">
      <c r="B24942" t="s">
        <v>8220</v>
      </c>
      <c r="C24942" t="s">
        <v>113</v>
      </c>
      <c r="D24942" t="s">
        <v>113</v>
      </c>
    </row>
    <row r="24944" spans="1:4" x14ac:dyDescent="0.2">
      <c r="A24944" t="s">
        <v>8219</v>
      </c>
      <c r="B24944" t="str">
        <f>HYPERLINK("https://lindat.mff.cuni.cz/services/teitok/pdtc10/index.php?action=vallex&amp;frame=v-w11042f2", "otáčet (v-w11042f2) - substituted with v-w11042hsa_640")</f>
        <v>otáčet (v-w11042f2) - substituted with v-w11042hsa_640</v>
      </c>
    </row>
    <row r="24945" spans="1:2" x14ac:dyDescent="0.2">
      <c r="B24945" t="s">
        <v>1</v>
      </c>
    </row>
    <row r="24946" spans="1:2" x14ac:dyDescent="0.2">
      <c r="B24946" t="s">
        <v>8220</v>
      </c>
    </row>
    <row r="24948" spans="1:2" x14ac:dyDescent="0.2">
      <c r="A24948" t="s">
        <v>8221</v>
      </c>
      <c r="B24948" t="str">
        <f>HYPERLINK("https://lindat.mff.cuni.cz/services/teitok/pdtc10/index.php?action=vallex&amp;frame=v-whsa_1974hsa_1975", "otáčet se (v-whsa_1974hsa_1975)")</f>
        <v>otáčet se (v-whsa_1974hsa_1975)</v>
      </c>
    </row>
    <row r="24949" spans="1:2" x14ac:dyDescent="0.2">
      <c r="B24949" t="s">
        <v>1</v>
      </c>
    </row>
    <row r="24951" spans="1:2" x14ac:dyDescent="0.2">
      <c r="A24951" t="s">
        <v>8222</v>
      </c>
      <c r="B24951" t="str">
        <f>HYPERLINK("https://lindat.mff.cuni.cz/services/teitok/pdtc10/index.php?action=vallex&amp;frame=v-whsa_1974hsa_1976", "otáčet se (v-whsa_1974hsa_1976)")</f>
        <v>otáčet se (v-whsa_1974hsa_1976)</v>
      </c>
    </row>
    <row r="24952" spans="1:2" x14ac:dyDescent="0.2">
      <c r="B24952" t="s">
        <v>1</v>
      </c>
    </row>
    <row r="24954" spans="1:2" x14ac:dyDescent="0.2">
      <c r="A24954" t="s">
        <v>8223</v>
      </c>
      <c r="B24954" t="str">
        <f>HYPERLINK("https://lindat.mff.cuni.cz/services/teitok/pdtc10/index.php?action=vallex&amp;frame=v-w3251f1", "otéci (v-w3251f1)")</f>
        <v>otéci (v-w3251f1)</v>
      </c>
    </row>
    <row r="24955" spans="1:2" x14ac:dyDescent="0.2">
      <c r="B24955" t="s">
        <v>1</v>
      </c>
    </row>
    <row r="24957" spans="1:2" x14ac:dyDescent="0.2">
      <c r="A24957" t="s">
        <v>8224</v>
      </c>
      <c r="B24957" t="str">
        <f>HYPERLINK("https://lindat.mff.cuni.cz/services/teitok/pdtc10/index.php?action=vallex&amp;frame=v-whsa_810hsa_811", "otékat (v-whsa_810hsa_811)")</f>
        <v>otékat (v-whsa_810hsa_811)</v>
      </c>
    </row>
    <row r="24958" spans="1:2" x14ac:dyDescent="0.2">
      <c r="B24958" t="s">
        <v>1</v>
      </c>
    </row>
    <row r="24960" spans="1:2" x14ac:dyDescent="0.2">
      <c r="A24960" t="s">
        <v>8225</v>
      </c>
      <c r="B24960" t="str">
        <f>HYPERLINK("https://lindat.mff.cuni.cz/services/teitok/pdtc10/index.php?action=vallex&amp;frame=v-w3253f1", "otěhotnět (v-w3253f1)")</f>
        <v>otěhotnět (v-w3253f1)</v>
      </c>
    </row>
    <row r="24961" spans="1:4" x14ac:dyDescent="0.2">
      <c r="B24961" t="s">
        <v>1</v>
      </c>
      <c r="D24961" t="s">
        <v>1168</v>
      </c>
    </row>
    <row r="24963" spans="1:4" x14ac:dyDescent="0.2">
      <c r="A24963" t="s">
        <v>8226</v>
      </c>
      <c r="B24963" t="str">
        <f>HYPERLINK("https://lindat.mff.cuni.cz/services/teitok/pdtc10/index.php?action=vallex&amp;frame=v-w11427f1", "otřepávat se (v-w11427f1)")</f>
        <v>otřepávat se (v-w11427f1)</v>
      </c>
    </row>
    <row r="24964" spans="1:4" x14ac:dyDescent="0.2">
      <c r="B24964" t="s">
        <v>1</v>
      </c>
      <c r="C24964" t="s">
        <v>6793</v>
      </c>
      <c r="D24964" t="s">
        <v>23062</v>
      </c>
    </row>
    <row r="24965" spans="1:4" x14ac:dyDescent="0.2">
      <c r="B24965" t="s">
        <v>438</v>
      </c>
    </row>
    <row r="24967" spans="1:4" x14ac:dyDescent="0.2">
      <c r="A24967" t="s">
        <v>8227</v>
      </c>
      <c r="B24967" t="str">
        <f>HYPERLINK("https://lindat.mff.cuni.cz/services/teitok/pdtc10/index.php?action=vallex&amp;frame=v-w3280f3", "otřásat (v-w3280f3)")</f>
        <v>otřásat (v-w3280f3)</v>
      </c>
    </row>
    <row r="24968" spans="1:4" x14ac:dyDescent="0.2">
      <c r="B24968" t="s">
        <v>1</v>
      </c>
    </row>
    <row r="24969" spans="1:4" x14ac:dyDescent="0.2">
      <c r="B24969" t="s">
        <v>8</v>
      </c>
    </row>
    <row r="24970" spans="1:4" x14ac:dyDescent="0.2">
      <c r="B24970" t="s">
        <v>333</v>
      </c>
    </row>
    <row r="24972" spans="1:4" x14ac:dyDescent="0.2">
      <c r="A24972" t="s">
        <v>8228</v>
      </c>
      <c r="B24972" t="str">
        <f>HYPERLINK("https://lindat.mff.cuni.cz/services/teitok/pdtc10/index.php?action=vallex&amp;frame=v-w3280f1", "otřásat (v-w3280f1)")</f>
        <v>otřásat (v-w3280f1)</v>
      </c>
    </row>
    <row r="24973" spans="1:4" x14ac:dyDescent="0.2">
      <c r="B24973" t="s">
        <v>1</v>
      </c>
      <c r="C24973" t="s">
        <v>964</v>
      </c>
      <c r="D24973" t="s">
        <v>23754</v>
      </c>
    </row>
    <row r="24974" spans="1:4" x14ac:dyDescent="0.2">
      <c r="B24974" t="s">
        <v>158</v>
      </c>
      <c r="C24974" t="s">
        <v>2344</v>
      </c>
      <c r="D24974" t="s">
        <v>19278</v>
      </c>
    </row>
    <row r="24976" spans="1:4" x14ac:dyDescent="0.2">
      <c r="A24976" t="s">
        <v>8229</v>
      </c>
      <c r="B24976" t="str">
        <f>HYPERLINK("https://lindat.mff.cuni.cz/services/teitok/pdtc10/index.php?action=vallex&amp;frame=v-w3280f2", "otřásat (v-w3280f2)")</f>
        <v>otřásat (v-w3280f2)</v>
      </c>
    </row>
    <row r="24977" spans="1:4" x14ac:dyDescent="0.2">
      <c r="B24977" t="s">
        <v>1</v>
      </c>
      <c r="C24977" t="s">
        <v>92</v>
      </c>
      <c r="D24977" t="s">
        <v>2353</v>
      </c>
    </row>
    <row r="24978" spans="1:4" x14ac:dyDescent="0.2">
      <c r="B24978" t="s">
        <v>158</v>
      </c>
      <c r="C24978" t="s">
        <v>2235</v>
      </c>
      <c r="D24978" t="s">
        <v>4372</v>
      </c>
    </row>
    <row r="24980" spans="1:4" x14ac:dyDescent="0.2">
      <c r="A24980" t="s">
        <v>8230</v>
      </c>
      <c r="B24980" t="str">
        <f>HYPERLINK("https://lindat.mff.cuni.cz/services/teitok/pdtc10/index.php?action=vallex&amp;frame=v-w11327f1", "otřásat se (v-w11327f1)")</f>
        <v>otřásat se (v-w11327f1)</v>
      </c>
    </row>
    <row r="24981" spans="1:4" x14ac:dyDescent="0.2">
      <c r="B24981" t="s">
        <v>1</v>
      </c>
      <c r="C24981" t="s">
        <v>8231</v>
      </c>
      <c r="D24981" t="s">
        <v>23755</v>
      </c>
    </row>
    <row r="24983" spans="1:4" x14ac:dyDescent="0.2">
      <c r="A24983" t="s">
        <v>8232</v>
      </c>
      <c r="B24983" t="str">
        <f>HYPERLINK("https://lindat.mff.cuni.cz/services/teitok/pdtc10/index.php?action=vallex&amp;frame=v-w3281f3", "otřást (v-w3281f3)")</f>
        <v>otřást (v-w3281f3)</v>
      </c>
    </row>
    <row r="24984" spans="1:4" x14ac:dyDescent="0.2">
      <c r="B24984" t="s">
        <v>1</v>
      </c>
    </row>
    <row r="24985" spans="1:4" x14ac:dyDescent="0.2">
      <c r="B24985" t="s">
        <v>8</v>
      </c>
    </row>
    <row r="24986" spans="1:4" x14ac:dyDescent="0.2">
      <c r="B24986" t="s">
        <v>333</v>
      </c>
    </row>
    <row r="24988" spans="1:4" x14ac:dyDescent="0.2">
      <c r="A24988" t="s">
        <v>8233</v>
      </c>
      <c r="B24988" t="str">
        <f>HYPERLINK("https://lindat.mff.cuni.cz/services/teitok/pdtc10/index.php?action=vallex&amp;frame=v-w3281f1", "otřást (v-w3281f1)")</f>
        <v>otřást (v-w3281f1)</v>
      </c>
    </row>
    <row r="24989" spans="1:4" x14ac:dyDescent="0.2">
      <c r="B24989" t="s">
        <v>1</v>
      </c>
      <c r="C24989" t="s">
        <v>2555</v>
      </c>
      <c r="D24989" t="s">
        <v>23754</v>
      </c>
    </row>
    <row r="24990" spans="1:4" x14ac:dyDescent="0.2">
      <c r="B24990" t="s">
        <v>158</v>
      </c>
      <c r="C24990" t="s">
        <v>93</v>
      </c>
      <c r="D24990" t="s">
        <v>19278</v>
      </c>
    </row>
    <row r="24992" spans="1:4" x14ac:dyDescent="0.2">
      <c r="A24992" t="s">
        <v>8234</v>
      </c>
      <c r="B24992" t="str">
        <f>HYPERLINK("https://lindat.mff.cuni.cz/services/teitok/pdtc10/index.php?action=vallex&amp;frame=v-w3281f2", "otřást (v-w3281f2)")</f>
        <v>otřást (v-w3281f2)</v>
      </c>
    </row>
    <row r="24993" spans="1:4" x14ac:dyDescent="0.2">
      <c r="B24993" t="s">
        <v>1</v>
      </c>
      <c r="C24993" t="s">
        <v>8235</v>
      </c>
      <c r="D24993" t="s">
        <v>2353</v>
      </c>
    </row>
    <row r="24994" spans="1:4" x14ac:dyDescent="0.2">
      <c r="B24994" t="s">
        <v>158</v>
      </c>
      <c r="C24994" t="s">
        <v>2290</v>
      </c>
      <c r="D24994" t="s">
        <v>4372</v>
      </c>
    </row>
    <row r="24996" spans="1:4" x14ac:dyDescent="0.2">
      <c r="A24996" t="s">
        <v>8236</v>
      </c>
      <c r="B24996" t="str">
        <f>HYPERLINK("https://lindat.mff.cuni.cz/services/teitok/pdtc10/index.php?action=vallex&amp;frame=v-w3281f5_ZU", "otřást (v-w3281f5_ZU)")</f>
        <v>otřást (v-w3281f5_ZU)</v>
      </c>
    </row>
    <row r="24997" spans="1:4" x14ac:dyDescent="0.2">
      <c r="B24997" t="s">
        <v>1</v>
      </c>
      <c r="C24997" t="s">
        <v>3307</v>
      </c>
    </row>
    <row r="24998" spans="1:4" x14ac:dyDescent="0.2">
      <c r="B24998" t="s">
        <v>158</v>
      </c>
      <c r="C24998" t="s">
        <v>338</v>
      </c>
    </row>
    <row r="25000" spans="1:4" x14ac:dyDescent="0.2">
      <c r="A25000" t="s">
        <v>8236</v>
      </c>
      <c r="B25000" t="str">
        <f>HYPERLINK("https://lindat.mff.cuni.cz/services/teitok/pdtc10/index.php?action=vallex&amp;frame=v-w3281f4_ZU", "otřást (v-w3281f4_ZU) - substituted with v-w3281f5_ZU")</f>
        <v>otřást (v-w3281f4_ZU) - substituted with v-w3281f5_ZU</v>
      </c>
    </row>
    <row r="25001" spans="1:4" x14ac:dyDescent="0.2">
      <c r="B25001" t="s">
        <v>1</v>
      </c>
    </row>
    <row r="25002" spans="1:4" x14ac:dyDescent="0.2">
      <c r="B25002" t="s">
        <v>158</v>
      </c>
    </row>
    <row r="25004" spans="1:4" x14ac:dyDescent="0.2">
      <c r="A25004" t="s">
        <v>8237</v>
      </c>
      <c r="B25004" t="str">
        <f>HYPERLINK("https://lindat.mff.cuni.cz/services/teitok/pdtc10/index.php?action=vallex&amp;frame=v-w11544_ZUf1_ZU", "otřást se (v-w11544_ZUf1_ZU)")</f>
        <v>otřást se (v-w11544_ZUf1_ZU)</v>
      </c>
    </row>
    <row r="25005" spans="1:4" x14ac:dyDescent="0.2">
      <c r="B25005" t="s">
        <v>1</v>
      </c>
      <c r="C25005" t="s">
        <v>8238</v>
      </c>
      <c r="D25005" t="s">
        <v>23755</v>
      </c>
    </row>
    <row r="25007" spans="1:4" x14ac:dyDescent="0.2">
      <c r="A25007" t="s">
        <v>8239</v>
      </c>
      <c r="B25007" t="str">
        <f>HYPERLINK("https://lindat.mff.cuni.cz/services/teitok/pdtc10/index.php?action=vallex&amp;frame=v-w11115f2", "otřít (v-w11115f2)")</f>
        <v>otřít (v-w11115f2)</v>
      </c>
    </row>
    <row r="25008" spans="1:4" x14ac:dyDescent="0.2">
      <c r="B25008" t="s">
        <v>1</v>
      </c>
      <c r="D25008" t="s">
        <v>80</v>
      </c>
    </row>
    <row r="25009" spans="1:4" x14ac:dyDescent="0.2">
      <c r="B25009" t="s">
        <v>8</v>
      </c>
      <c r="D25009" t="s">
        <v>23455</v>
      </c>
    </row>
    <row r="25011" spans="1:4" x14ac:dyDescent="0.2">
      <c r="A25011" t="s">
        <v>8240</v>
      </c>
      <c r="B25011" t="str">
        <f>HYPERLINK("https://lindat.mff.cuni.cz/services/teitok/pdtc10/index.php?action=vallex&amp;frame=v-w11332f1", "ovdovět (v-w11332f1)")</f>
        <v>ovdovět (v-w11332f1)</v>
      </c>
    </row>
    <row r="25012" spans="1:4" x14ac:dyDescent="0.2">
      <c r="B25012" t="s">
        <v>1</v>
      </c>
    </row>
    <row r="25014" spans="1:4" x14ac:dyDescent="0.2">
      <c r="A25014" t="s">
        <v>8241</v>
      </c>
      <c r="B25014" t="str">
        <f>HYPERLINK("https://lindat.mff.cuni.cz/services/teitok/pdtc10/index.php?action=vallex&amp;frame=v-w3305f1", "ovlivnit (v-w3305f1)")</f>
        <v>ovlivnit (v-w3305f1)</v>
      </c>
    </row>
    <row r="25015" spans="1:4" x14ac:dyDescent="0.2">
      <c r="B25015" t="s">
        <v>1</v>
      </c>
      <c r="C25015" t="s">
        <v>8242</v>
      </c>
      <c r="D25015" t="s">
        <v>1366</v>
      </c>
    </row>
    <row r="25016" spans="1:4" x14ac:dyDescent="0.2">
      <c r="B25016" t="s">
        <v>8243</v>
      </c>
      <c r="C25016" t="s">
        <v>8244</v>
      </c>
      <c r="D25016" t="s">
        <v>3040</v>
      </c>
    </row>
    <row r="25018" spans="1:4" x14ac:dyDescent="0.2">
      <c r="A25018" t="s">
        <v>8245</v>
      </c>
      <c r="B25018" t="str">
        <f>HYPERLINK("https://lindat.mff.cuni.cz/services/teitok/pdtc10/index.php?action=vallex&amp;frame=v-w3309f1", "ovlivňovat (v-w3309f1)")</f>
        <v>ovlivňovat (v-w3309f1)</v>
      </c>
    </row>
    <row r="25019" spans="1:4" x14ac:dyDescent="0.2">
      <c r="B25019" t="s">
        <v>1</v>
      </c>
      <c r="C25019" t="s">
        <v>8246</v>
      </c>
      <c r="D25019" t="s">
        <v>1366</v>
      </c>
    </row>
    <row r="25020" spans="1:4" x14ac:dyDescent="0.2">
      <c r="B25020" t="s">
        <v>8243</v>
      </c>
      <c r="C25020" t="s">
        <v>8247</v>
      </c>
      <c r="D25020" t="s">
        <v>3040</v>
      </c>
    </row>
    <row r="25022" spans="1:4" x14ac:dyDescent="0.2">
      <c r="A25022" t="s">
        <v>8248</v>
      </c>
      <c r="B25022" t="str">
        <f>HYPERLINK("https://lindat.mff.cuni.cz/services/teitok/pdtc10/index.php?action=vallex&amp;frame=v-w3299f1", "ovládat (v-w3299f1)")</f>
        <v>ovládat (v-w3299f1)</v>
      </c>
    </row>
    <row r="25023" spans="1:4" x14ac:dyDescent="0.2">
      <c r="B25023" t="s">
        <v>1</v>
      </c>
      <c r="C25023" t="s">
        <v>8249</v>
      </c>
      <c r="D25023" t="s">
        <v>23026</v>
      </c>
    </row>
    <row r="25024" spans="1:4" x14ac:dyDescent="0.2">
      <c r="B25024" t="s">
        <v>8</v>
      </c>
      <c r="C25024" t="s">
        <v>7164</v>
      </c>
      <c r="D25024" t="s">
        <v>7280</v>
      </c>
    </row>
    <row r="25026" spans="1:4" x14ac:dyDescent="0.2">
      <c r="A25026" t="s">
        <v>8250</v>
      </c>
      <c r="B25026" t="str">
        <f>HYPERLINK("https://lindat.mff.cuni.cz/services/teitok/pdtc10/index.php?action=vallex&amp;frame=v-w3299f2", "ovládat (v-w3299f2)")</f>
        <v>ovládat (v-w3299f2)</v>
      </c>
    </row>
    <row r="25027" spans="1:4" x14ac:dyDescent="0.2">
      <c r="B25027" t="s">
        <v>1</v>
      </c>
      <c r="C25027" t="s">
        <v>8251</v>
      </c>
      <c r="D25027" t="s">
        <v>23098</v>
      </c>
    </row>
    <row r="25028" spans="1:4" x14ac:dyDescent="0.2">
      <c r="B25028" t="s">
        <v>8</v>
      </c>
      <c r="C25028" t="s">
        <v>8252</v>
      </c>
      <c r="D25028" t="s">
        <v>16830</v>
      </c>
    </row>
    <row r="25030" spans="1:4" x14ac:dyDescent="0.2">
      <c r="A25030" t="s">
        <v>8253</v>
      </c>
      <c r="B25030" t="str">
        <f>HYPERLINK("https://lindat.mff.cuni.cz/services/teitok/pdtc10/index.php?action=vallex&amp;frame=v-w3299f3", "ovládat (v-w3299f3)")</f>
        <v>ovládat (v-w3299f3)</v>
      </c>
    </row>
    <row r="25031" spans="1:4" x14ac:dyDescent="0.2">
      <c r="B25031" t="s">
        <v>1</v>
      </c>
      <c r="C25031" t="s">
        <v>8254</v>
      </c>
      <c r="D25031" t="s">
        <v>23098</v>
      </c>
    </row>
    <row r="25032" spans="1:4" x14ac:dyDescent="0.2">
      <c r="B25032" t="s">
        <v>8</v>
      </c>
      <c r="C25032" t="s">
        <v>8255</v>
      </c>
      <c r="D25032" t="s">
        <v>16830</v>
      </c>
    </row>
    <row r="25034" spans="1:4" x14ac:dyDescent="0.2">
      <c r="A25034" t="s">
        <v>8256</v>
      </c>
      <c r="B25034" t="str">
        <f>HYPERLINK("https://lindat.mff.cuni.cz/services/teitok/pdtc10/index.php?action=vallex&amp;frame=v-w3301f1", "ovládnout (v-w3301f1)")</f>
        <v>ovládnout (v-w3301f1)</v>
      </c>
    </row>
    <row r="25035" spans="1:4" x14ac:dyDescent="0.2">
      <c r="B25035" t="s">
        <v>1</v>
      </c>
      <c r="C25035" t="s">
        <v>8257</v>
      </c>
      <c r="D25035" t="s">
        <v>2239</v>
      </c>
    </row>
    <row r="25036" spans="1:4" x14ac:dyDescent="0.2">
      <c r="B25036" t="s">
        <v>8</v>
      </c>
      <c r="C25036" t="s">
        <v>8258</v>
      </c>
      <c r="D25036" t="s">
        <v>335</v>
      </c>
    </row>
    <row r="25038" spans="1:4" x14ac:dyDescent="0.2">
      <c r="A25038" t="s">
        <v>8259</v>
      </c>
      <c r="B25038" t="str">
        <f>HYPERLINK("https://lindat.mff.cuni.cz/services/teitok/pdtc10/index.php?action=vallex&amp;frame=v-w3301f3", "ovládnout (v-w3301f3)")</f>
        <v>ovládnout (v-w3301f3)</v>
      </c>
    </row>
    <row r="25039" spans="1:4" x14ac:dyDescent="0.2">
      <c r="B25039" t="s">
        <v>1</v>
      </c>
    </row>
    <row r="25040" spans="1:4" x14ac:dyDescent="0.2">
      <c r="B25040" t="s">
        <v>8</v>
      </c>
    </row>
    <row r="25042" spans="1:4" x14ac:dyDescent="0.2">
      <c r="A25042" t="s">
        <v>8260</v>
      </c>
      <c r="B25042" t="str">
        <f>HYPERLINK("https://lindat.mff.cuni.cz/services/teitok/pdtc10/index.php?action=vallex&amp;frame=v-w3301f2", "ovládnout (v-w3301f2)")</f>
        <v>ovládnout (v-w3301f2)</v>
      </c>
    </row>
    <row r="25043" spans="1:4" x14ac:dyDescent="0.2">
      <c r="B25043" t="s">
        <v>1</v>
      </c>
      <c r="C25043" t="s">
        <v>8261</v>
      </c>
      <c r="D25043" t="s">
        <v>23098</v>
      </c>
    </row>
    <row r="25044" spans="1:4" x14ac:dyDescent="0.2">
      <c r="B25044" t="s">
        <v>8</v>
      </c>
      <c r="C25044" t="s">
        <v>8262</v>
      </c>
      <c r="D25044" t="s">
        <v>16830</v>
      </c>
    </row>
    <row r="25046" spans="1:4" x14ac:dyDescent="0.2">
      <c r="A25046" t="s">
        <v>8263</v>
      </c>
      <c r="B25046" t="str">
        <f>HYPERLINK("https://lindat.mff.cuni.cz/services/teitok/pdtc10/index.php?action=vallex&amp;frame=v-w3295f1", "ověsit (v-w3295f1)")</f>
        <v>ověsit (v-w3295f1)</v>
      </c>
    </row>
    <row r="25047" spans="1:4" x14ac:dyDescent="0.2">
      <c r="B25047" t="s">
        <v>1</v>
      </c>
    </row>
    <row r="25048" spans="1:4" x14ac:dyDescent="0.2">
      <c r="B25048" t="s">
        <v>8</v>
      </c>
    </row>
    <row r="25050" spans="1:4" x14ac:dyDescent="0.2">
      <c r="A25050" t="s">
        <v>8264</v>
      </c>
      <c r="B25050" t="str">
        <f>HYPERLINK("https://lindat.mff.cuni.cz/services/teitok/pdtc10/index.php?action=vallex&amp;frame=v-w3291f1", "ověřit (v-w3291f1)")</f>
        <v>ověřit (v-w3291f1)</v>
      </c>
    </row>
    <row r="25051" spans="1:4" x14ac:dyDescent="0.2">
      <c r="B25051" t="s">
        <v>1</v>
      </c>
      <c r="C25051" t="s">
        <v>8265</v>
      </c>
      <c r="D25051" t="s">
        <v>23756</v>
      </c>
    </row>
    <row r="25052" spans="1:4" x14ac:dyDescent="0.2">
      <c r="B25052" t="s">
        <v>8266</v>
      </c>
      <c r="C25052" t="s">
        <v>7055</v>
      </c>
      <c r="D25052" t="s">
        <v>23757</v>
      </c>
    </row>
    <row r="25054" spans="1:4" x14ac:dyDescent="0.2">
      <c r="A25054" t="s">
        <v>8267</v>
      </c>
      <c r="B25054" t="str">
        <f>HYPERLINK("https://lindat.mff.cuni.cz/services/teitok/pdtc10/index.php?action=vallex&amp;frame=v-w3293f1", "ověřovat (v-w3293f1)")</f>
        <v>ověřovat (v-w3293f1)</v>
      </c>
    </row>
    <row r="25055" spans="1:4" x14ac:dyDescent="0.2">
      <c r="B25055" t="s">
        <v>1</v>
      </c>
      <c r="C25055" t="s">
        <v>140</v>
      </c>
      <c r="D25055" t="s">
        <v>23756</v>
      </c>
    </row>
    <row r="25056" spans="1:4" x14ac:dyDescent="0.2">
      <c r="B25056" t="s">
        <v>8266</v>
      </c>
      <c r="C25056" t="s">
        <v>991</v>
      </c>
      <c r="D25056" t="s">
        <v>23757</v>
      </c>
    </row>
    <row r="25058" spans="1:4" x14ac:dyDescent="0.2">
      <c r="A25058" t="s">
        <v>8268</v>
      </c>
      <c r="B25058" t="str">
        <f>HYPERLINK("https://lindat.mff.cuni.cz/services/teitok/pdtc10/index.php?action=vallex&amp;frame=v-w12368_MMf1_MM", "oxeroxovat (v-w12368_MMf1_MM)")</f>
        <v>oxeroxovat (v-w12368_MMf1_MM)</v>
      </c>
    </row>
    <row r="25059" spans="1:4" x14ac:dyDescent="0.2">
      <c r="B25059" t="s">
        <v>1</v>
      </c>
    </row>
    <row r="25060" spans="1:4" x14ac:dyDescent="0.2">
      <c r="B25060" t="s">
        <v>8</v>
      </c>
    </row>
    <row r="25062" spans="1:4" x14ac:dyDescent="0.2">
      <c r="A25062" t="s">
        <v>8269</v>
      </c>
      <c r="B25062" t="str">
        <f>HYPERLINK("https://lindat.mff.cuni.cz/services/teitok/pdtc10/index.php?action=vallex&amp;frame=v-w3313f1", "ozbrojit (v-w3313f1)")</f>
        <v>ozbrojit (v-w3313f1)</v>
      </c>
    </row>
    <row r="25063" spans="1:4" x14ac:dyDescent="0.2">
      <c r="B25063" t="s">
        <v>1</v>
      </c>
    </row>
    <row r="25064" spans="1:4" x14ac:dyDescent="0.2">
      <c r="B25064" t="s">
        <v>8</v>
      </c>
    </row>
    <row r="25065" spans="1:4" x14ac:dyDescent="0.2">
      <c r="B25065" t="s">
        <v>5479</v>
      </c>
    </row>
    <row r="25067" spans="1:4" x14ac:dyDescent="0.2">
      <c r="A25067" t="s">
        <v>8270</v>
      </c>
      <c r="B25067" t="str">
        <f>HYPERLINK("https://lindat.mff.cuni.cz/services/teitok/pdtc10/index.php?action=vallex&amp;frame=v-w3316f1", "ozdobit (v-w3316f1)")</f>
        <v>ozdobit (v-w3316f1)</v>
      </c>
    </row>
    <row r="25068" spans="1:4" x14ac:dyDescent="0.2">
      <c r="B25068" t="s">
        <v>1</v>
      </c>
      <c r="C25068" t="s">
        <v>140</v>
      </c>
      <c r="D25068" t="s">
        <v>2239</v>
      </c>
    </row>
    <row r="25069" spans="1:4" x14ac:dyDescent="0.2">
      <c r="B25069" t="s">
        <v>8</v>
      </c>
      <c r="C25069" t="s">
        <v>113</v>
      </c>
      <c r="D25069" t="s">
        <v>354</v>
      </c>
    </row>
    <row r="25071" spans="1:4" x14ac:dyDescent="0.2">
      <c r="A25071" t="s">
        <v>8271</v>
      </c>
      <c r="B25071" t="str">
        <f>HYPERLINK("https://lindat.mff.cuni.cz/services/teitok/pdtc10/index.php?action=vallex&amp;frame=v-whsa_563hsa_564", "ozdravět (v-whsa_563hsa_564)")</f>
        <v>ozdravět (v-whsa_563hsa_564)</v>
      </c>
    </row>
    <row r="25072" spans="1:4" x14ac:dyDescent="0.2">
      <c r="B25072" t="s">
        <v>1</v>
      </c>
    </row>
    <row r="25074" spans="1:4" x14ac:dyDescent="0.2">
      <c r="A25074" t="s">
        <v>8272</v>
      </c>
      <c r="B25074" t="str">
        <f>HYPERLINK("https://lindat.mff.cuni.cz/services/teitok/pdtc10/index.php?action=vallex&amp;frame=v-w10841f2", "ozkoušet (v-w10841f2)")</f>
        <v>ozkoušet (v-w10841f2)</v>
      </c>
    </row>
    <row r="25075" spans="1:4" x14ac:dyDescent="0.2">
      <c r="B25075" t="s">
        <v>1</v>
      </c>
    </row>
    <row r="25076" spans="1:4" x14ac:dyDescent="0.2">
      <c r="B25076" t="s">
        <v>1284</v>
      </c>
    </row>
    <row r="25078" spans="1:4" x14ac:dyDescent="0.2">
      <c r="A25078" t="s">
        <v>8273</v>
      </c>
      <c r="B25078" t="str">
        <f>HYPERLINK("https://lindat.mff.cuni.cz/services/teitok/pdtc10/index.php?action=vallex&amp;frame=v-w3330f2", "oznamovat (v-w3330f2)")</f>
        <v>oznamovat (v-w3330f2)</v>
      </c>
    </row>
    <row r="25079" spans="1:4" x14ac:dyDescent="0.2">
      <c r="B25079" t="s">
        <v>1</v>
      </c>
      <c r="C25079" t="s">
        <v>8274</v>
      </c>
      <c r="D25079" t="s">
        <v>22967</v>
      </c>
    </row>
    <row r="25080" spans="1:4" x14ac:dyDescent="0.2">
      <c r="B25080" t="s">
        <v>120</v>
      </c>
      <c r="C25080" t="s">
        <v>8275</v>
      </c>
      <c r="D25080" t="s">
        <v>22968</v>
      </c>
    </row>
    <row r="25081" spans="1:4" x14ac:dyDescent="0.2">
      <c r="B25081" t="s">
        <v>78</v>
      </c>
      <c r="C25081" t="s">
        <v>7119</v>
      </c>
      <c r="D25081" t="s">
        <v>22969</v>
      </c>
    </row>
    <row r="25083" spans="1:4" x14ac:dyDescent="0.2">
      <c r="A25083" t="s">
        <v>8276</v>
      </c>
      <c r="B25083" t="str">
        <f>HYPERLINK("https://lindat.mff.cuni.cz/services/teitok/pdtc10/index.php?action=vallex&amp;frame=v-w3330f1", "oznamovat (v-w3330f1)")</f>
        <v>oznamovat (v-w3330f1)</v>
      </c>
    </row>
    <row r="25084" spans="1:4" x14ac:dyDescent="0.2">
      <c r="B25084" t="s">
        <v>1</v>
      </c>
      <c r="C25084" t="s">
        <v>8277</v>
      </c>
      <c r="D25084" t="s">
        <v>23758</v>
      </c>
    </row>
    <row r="25085" spans="1:4" x14ac:dyDescent="0.2">
      <c r="B25085" t="s">
        <v>35</v>
      </c>
      <c r="C25085" t="s">
        <v>8278</v>
      </c>
      <c r="D25085" t="s">
        <v>23759</v>
      </c>
    </row>
    <row r="25086" spans="1:4" x14ac:dyDescent="0.2">
      <c r="B25086" t="s">
        <v>4749</v>
      </c>
      <c r="C25086" t="s">
        <v>8279</v>
      </c>
      <c r="D25086" t="s">
        <v>23760</v>
      </c>
    </row>
    <row r="25087" spans="1:4" x14ac:dyDescent="0.2">
      <c r="B25087" t="s">
        <v>269</v>
      </c>
      <c r="C25087" t="s">
        <v>1472</v>
      </c>
      <c r="D25087" t="s">
        <v>22968</v>
      </c>
    </row>
    <row r="25089" spans="1:4" x14ac:dyDescent="0.2">
      <c r="A25089" t="s">
        <v>8280</v>
      </c>
      <c r="B25089" t="str">
        <f>HYPERLINK("https://lindat.mff.cuni.cz/services/teitok/pdtc10/index.php?action=vallex&amp;frame=v-w3330f3", "oznamovat (v-w3330f3)")</f>
        <v>oznamovat (v-w3330f3)</v>
      </c>
    </row>
    <row r="25090" spans="1:4" x14ac:dyDescent="0.2">
      <c r="B25090" t="s">
        <v>1</v>
      </c>
      <c r="D25090" t="s">
        <v>22967</v>
      </c>
    </row>
    <row r="25091" spans="1:4" x14ac:dyDescent="0.2">
      <c r="B25091" t="s">
        <v>35</v>
      </c>
      <c r="D25091" t="s">
        <v>22969</v>
      </c>
    </row>
    <row r="25092" spans="1:4" x14ac:dyDescent="0.2">
      <c r="B25092" t="s">
        <v>8281</v>
      </c>
      <c r="D25092" t="s">
        <v>23120</v>
      </c>
    </row>
    <row r="25093" spans="1:4" x14ac:dyDescent="0.2">
      <c r="B25093" t="s">
        <v>46</v>
      </c>
      <c r="D25093" t="s">
        <v>22968</v>
      </c>
    </row>
    <row r="25095" spans="1:4" x14ac:dyDescent="0.2">
      <c r="A25095" t="s">
        <v>8282</v>
      </c>
      <c r="B25095" t="str">
        <f>HYPERLINK("https://lindat.mff.cuni.cz/services/teitok/pdtc10/index.php?action=vallex&amp;frame=v-w3330f4", "oznamovat (v-w3330f4)")</f>
        <v>oznamovat (v-w3330f4)</v>
      </c>
    </row>
    <row r="25096" spans="1:4" x14ac:dyDescent="0.2">
      <c r="B25096" t="s">
        <v>1</v>
      </c>
      <c r="D25096" t="s">
        <v>22967</v>
      </c>
    </row>
    <row r="25097" spans="1:4" x14ac:dyDescent="0.2">
      <c r="B25097" t="s">
        <v>8281</v>
      </c>
      <c r="D25097" t="s">
        <v>23120</v>
      </c>
    </row>
    <row r="25098" spans="1:4" x14ac:dyDescent="0.2">
      <c r="B25098" t="s">
        <v>5</v>
      </c>
      <c r="D25098" t="s">
        <v>23761</v>
      </c>
    </row>
    <row r="25099" spans="1:4" x14ac:dyDescent="0.2">
      <c r="B25099" t="s">
        <v>46</v>
      </c>
      <c r="D25099" t="s">
        <v>22968</v>
      </c>
    </row>
    <row r="25101" spans="1:4" x14ac:dyDescent="0.2">
      <c r="A25101" t="s">
        <v>8283</v>
      </c>
      <c r="B25101" t="str">
        <f>HYPERLINK("https://lindat.mff.cuni.cz/services/teitok/pdtc10/index.php?action=vallex&amp;frame=v-w3321f1", "označit (v-w3321f1)")</f>
        <v>označit (v-w3321f1)</v>
      </c>
    </row>
    <row r="25102" spans="1:4" x14ac:dyDescent="0.2">
      <c r="B25102" t="s">
        <v>1</v>
      </c>
      <c r="C25102" t="s">
        <v>8284</v>
      </c>
      <c r="D25102" t="s">
        <v>102</v>
      </c>
    </row>
    <row r="25103" spans="1:4" x14ac:dyDescent="0.2">
      <c r="B25103" t="s">
        <v>228</v>
      </c>
      <c r="C25103" t="s">
        <v>8285</v>
      </c>
      <c r="D25103" t="s">
        <v>23046</v>
      </c>
    </row>
    <row r="25104" spans="1:4" x14ac:dyDescent="0.2">
      <c r="B25104" t="s">
        <v>952</v>
      </c>
      <c r="C25104" t="s">
        <v>8286</v>
      </c>
      <c r="D25104" t="s">
        <v>23762</v>
      </c>
    </row>
    <row r="25106" spans="1:4" x14ac:dyDescent="0.2">
      <c r="A25106" t="s">
        <v>8287</v>
      </c>
      <c r="B25106" t="str">
        <f>HYPERLINK("https://lindat.mff.cuni.cz/services/teitok/pdtc10/index.php?action=vallex&amp;frame=v-w3321f3", "označit (v-w3321f3)")</f>
        <v>označit (v-w3321f3)</v>
      </c>
    </row>
    <row r="25107" spans="1:4" x14ac:dyDescent="0.2">
      <c r="B25107" t="s">
        <v>1</v>
      </c>
      <c r="C25107" t="s">
        <v>8288</v>
      </c>
      <c r="D25107" t="s">
        <v>23261</v>
      </c>
    </row>
    <row r="25108" spans="1:4" x14ac:dyDescent="0.2">
      <c r="B25108" t="s">
        <v>7150</v>
      </c>
      <c r="C25108" t="s">
        <v>2910</v>
      </c>
      <c r="D25108" t="s">
        <v>9548</v>
      </c>
    </row>
    <row r="25110" spans="1:4" x14ac:dyDescent="0.2">
      <c r="A25110" t="s">
        <v>8289</v>
      </c>
      <c r="B25110" t="str">
        <f>HYPERLINK("https://lindat.mff.cuni.cz/services/teitok/pdtc10/index.php?action=vallex&amp;frame=v-w3321f2", "označit (v-w3321f2)")</f>
        <v>označit (v-w3321f2)</v>
      </c>
    </row>
    <row r="25111" spans="1:4" x14ac:dyDescent="0.2">
      <c r="B25111" t="s">
        <v>1</v>
      </c>
      <c r="C25111" t="s">
        <v>33</v>
      </c>
      <c r="D25111" t="s">
        <v>33</v>
      </c>
    </row>
    <row r="25112" spans="1:4" x14ac:dyDescent="0.2">
      <c r="B25112" t="s">
        <v>8</v>
      </c>
      <c r="C25112" t="s">
        <v>3086</v>
      </c>
      <c r="D25112" t="s">
        <v>8366</v>
      </c>
    </row>
    <row r="25114" spans="1:4" x14ac:dyDescent="0.2">
      <c r="A25114" t="s">
        <v>8290</v>
      </c>
      <c r="B25114" t="str">
        <f>HYPERLINK("https://lindat.mff.cuni.cz/services/teitok/pdtc10/index.php?action=vallex&amp;frame=v-w3325f1", "označovat (v-w3325f1)")</f>
        <v>označovat (v-w3325f1)</v>
      </c>
    </row>
    <row r="25115" spans="1:4" x14ac:dyDescent="0.2">
      <c r="B25115" t="s">
        <v>1</v>
      </c>
      <c r="C25115" t="s">
        <v>8291</v>
      </c>
      <c r="D25115" t="s">
        <v>102</v>
      </c>
    </row>
    <row r="25116" spans="1:4" x14ac:dyDescent="0.2">
      <c r="B25116" t="s">
        <v>8</v>
      </c>
      <c r="C25116" t="s">
        <v>8292</v>
      </c>
      <c r="D25116" t="s">
        <v>23046</v>
      </c>
    </row>
    <row r="25117" spans="1:4" x14ac:dyDescent="0.2">
      <c r="B25117" t="s">
        <v>952</v>
      </c>
      <c r="C25117" t="s">
        <v>8293</v>
      </c>
      <c r="D25117" t="s">
        <v>23762</v>
      </c>
    </row>
    <row r="25119" spans="1:4" x14ac:dyDescent="0.2">
      <c r="A25119" t="s">
        <v>8294</v>
      </c>
      <c r="B25119" t="str">
        <f>HYPERLINK("https://lindat.mff.cuni.cz/services/teitok/pdtc10/index.php?action=vallex&amp;frame=v-w3325f3", "označovat (v-w3325f3)")</f>
        <v>označovat (v-w3325f3)</v>
      </c>
    </row>
    <row r="25120" spans="1:4" x14ac:dyDescent="0.2">
      <c r="B25120" t="s">
        <v>1</v>
      </c>
      <c r="C25120" t="s">
        <v>3597</v>
      </c>
      <c r="D25120" t="s">
        <v>23261</v>
      </c>
    </row>
    <row r="25121" spans="1:4" x14ac:dyDescent="0.2">
      <c r="B25121" t="s">
        <v>7150</v>
      </c>
      <c r="C25121" t="s">
        <v>8295</v>
      </c>
      <c r="D25121" t="s">
        <v>9548</v>
      </c>
    </row>
    <row r="25123" spans="1:4" x14ac:dyDescent="0.2">
      <c r="A25123" t="s">
        <v>8296</v>
      </c>
      <c r="B25123" t="str">
        <f>HYPERLINK("https://lindat.mff.cuni.cz/services/teitok/pdtc10/index.php?action=vallex&amp;frame=v-w3325f2", "označovat (v-w3325f2)")</f>
        <v>označovat (v-w3325f2)</v>
      </c>
    </row>
    <row r="25124" spans="1:4" x14ac:dyDescent="0.2">
      <c r="B25124" t="s">
        <v>1</v>
      </c>
      <c r="C25124" t="s">
        <v>115</v>
      </c>
      <c r="D25124" t="s">
        <v>33</v>
      </c>
    </row>
    <row r="25125" spans="1:4" x14ac:dyDescent="0.2">
      <c r="B25125" t="s">
        <v>8</v>
      </c>
      <c r="C25125" t="s">
        <v>977</v>
      </c>
      <c r="D25125" t="s">
        <v>8366</v>
      </c>
    </row>
    <row r="25127" spans="1:4" x14ac:dyDescent="0.2">
      <c r="A25127" t="s">
        <v>8297</v>
      </c>
      <c r="B25127" t="str">
        <f>HYPERLINK("https://lindat.mff.cuni.cz/services/teitok/pdtc10/index.php?action=vallex&amp;frame=v-w3328f5_ZU", "oznámit (v-w3328f5_ZU)")</f>
        <v>oznámit (v-w3328f5_ZU)</v>
      </c>
    </row>
    <row r="25128" spans="1:4" x14ac:dyDescent="0.2">
      <c r="B25128" t="s">
        <v>1</v>
      </c>
      <c r="C25128" t="s">
        <v>8298</v>
      </c>
      <c r="D25128" t="s">
        <v>22967</v>
      </c>
    </row>
    <row r="25129" spans="1:4" x14ac:dyDescent="0.2">
      <c r="B25129" t="s">
        <v>8299</v>
      </c>
      <c r="C25129" t="s">
        <v>8300</v>
      </c>
      <c r="D25129" t="s">
        <v>22968</v>
      </c>
    </row>
    <row r="25130" spans="1:4" x14ac:dyDescent="0.2">
      <c r="B25130" t="s">
        <v>78</v>
      </c>
      <c r="C25130" t="s">
        <v>8301</v>
      </c>
      <c r="D25130" t="s">
        <v>22969</v>
      </c>
    </row>
    <row r="25132" spans="1:4" x14ac:dyDescent="0.2">
      <c r="A25132" t="s">
        <v>8297</v>
      </c>
      <c r="B25132" t="str">
        <f>HYPERLINK("https://lindat.mff.cuni.cz/services/teitok/pdtc10/index.php?action=vallex&amp;frame=v-w3328f2", "oznámit (v-w3328f2) - substituted with v-w3328f5_ZU")</f>
        <v>oznámit (v-w3328f2) - substituted with v-w3328f5_ZU</v>
      </c>
    </row>
    <row r="25133" spans="1:4" x14ac:dyDescent="0.2">
      <c r="B25133" t="s">
        <v>1</v>
      </c>
      <c r="C25133" t="s">
        <v>8302</v>
      </c>
    </row>
    <row r="25134" spans="1:4" x14ac:dyDescent="0.2">
      <c r="B25134" t="s">
        <v>8299</v>
      </c>
      <c r="C25134" t="s">
        <v>8303</v>
      </c>
    </row>
    <row r="25135" spans="1:4" x14ac:dyDescent="0.2">
      <c r="B25135" t="s">
        <v>78</v>
      </c>
      <c r="C25135" t="s">
        <v>8304</v>
      </c>
    </row>
    <row r="25137" spans="1:4" x14ac:dyDescent="0.2">
      <c r="A25137" t="s">
        <v>8305</v>
      </c>
      <c r="B25137" t="str">
        <f>HYPERLINK("https://lindat.mff.cuni.cz/services/teitok/pdtc10/index.php?action=vallex&amp;frame=v-w3328f6_ZU", "oznámit (v-w3328f6_ZU)")</f>
        <v>oznámit (v-w3328f6_ZU)</v>
      </c>
    </row>
    <row r="25138" spans="1:4" x14ac:dyDescent="0.2">
      <c r="B25138" t="s">
        <v>1</v>
      </c>
      <c r="C25138" t="s">
        <v>8306</v>
      </c>
      <c r="D25138" t="s">
        <v>22967</v>
      </c>
    </row>
    <row r="25139" spans="1:4" x14ac:dyDescent="0.2">
      <c r="B25139" t="s">
        <v>35</v>
      </c>
      <c r="C25139" t="s">
        <v>987</v>
      </c>
      <c r="D25139" t="s">
        <v>22969</v>
      </c>
    </row>
    <row r="25140" spans="1:4" x14ac:dyDescent="0.2">
      <c r="B25140" t="s">
        <v>4742</v>
      </c>
      <c r="C25140" t="s">
        <v>8307</v>
      </c>
      <c r="D25140" t="s">
        <v>23120</v>
      </c>
    </row>
    <row r="25141" spans="1:4" x14ac:dyDescent="0.2">
      <c r="B25141" t="s">
        <v>269</v>
      </c>
      <c r="D25141" t="s">
        <v>22968</v>
      </c>
    </row>
    <row r="25143" spans="1:4" x14ac:dyDescent="0.2">
      <c r="A25143" t="s">
        <v>8305</v>
      </c>
      <c r="B25143" t="str">
        <f>HYPERLINK("https://lindat.mff.cuni.cz/services/teitok/pdtc10/index.php?action=vallex&amp;frame=v-w3328f1", "oznámit (v-w3328f1) - substituted with v-w3328f6_ZU")</f>
        <v>oznámit (v-w3328f1) - substituted with v-w3328f6_ZU</v>
      </c>
    </row>
    <row r="25144" spans="1:4" x14ac:dyDescent="0.2">
      <c r="B25144" t="s">
        <v>1</v>
      </c>
      <c r="C25144" t="s">
        <v>8308</v>
      </c>
    </row>
    <row r="25145" spans="1:4" x14ac:dyDescent="0.2">
      <c r="B25145" t="s">
        <v>35</v>
      </c>
      <c r="C25145" t="s">
        <v>8309</v>
      </c>
    </row>
    <row r="25146" spans="1:4" x14ac:dyDescent="0.2">
      <c r="B25146" t="s">
        <v>4742</v>
      </c>
      <c r="C25146" t="s">
        <v>8310</v>
      </c>
    </row>
    <row r="25147" spans="1:4" x14ac:dyDescent="0.2">
      <c r="B25147" t="s">
        <v>269</v>
      </c>
      <c r="C25147" t="s">
        <v>8311</v>
      </c>
    </row>
    <row r="25149" spans="1:4" x14ac:dyDescent="0.2">
      <c r="A25149" t="s">
        <v>8312</v>
      </c>
      <c r="B25149" t="str">
        <f>HYPERLINK("https://lindat.mff.cuni.cz/services/teitok/pdtc10/index.php?action=vallex&amp;frame=v-w3328f3", "oznámit (v-w3328f3)")</f>
        <v>oznámit (v-w3328f3)</v>
      </c>
    </row>
    <row r="25150" spans="1:4" x14ac:dyDescent="0.2">
      <c r="B25150" t="s">
        <v>1</v>
      </c>
      <c r="D25150" t="s">
        <v>22967</v>
      </c>
    </row>
    <row r="25151" spans="1:4" x14ac:dyDescent="0.2">
      <c r="B25151" t="s">
        <v>35</v>
      </c>
      <c r="D25151" t="s">
        <v>22969</v>
      </c>
    </row>
    <row r="25152" spans="1:4" x14ac:dyDescent="0.2">
      <c r="B25152" t="s">
        <v>8281</v>
      </c>
      <c r="D25152" t="s">
        <v>23120</v>
      </c>
    </row>
    <row r="25153" spans="1:4" x14ac:dyDescent="0.2">
      <c r="B25153" t="s">
        <v>46</v>
      </c>
      <c r="D25153" t="s">
        <v>22968</v>
      </c>
    </row>
    <row r="25155" spans="1:4" x14ac:dyDescent="0.2">
      <c r="A25155" t="s">
        <v>8313</v>
      </c>
      <c r="B25155" t="str">
        <f>HYPERLINK("https://lindat.mff.cuni.cz/services/teitok/pdtc10/index.php?action=vallex&amp;frame=v-w3328f4", "oznámit (v-w3328f4)")</f>
        <v>oznámit (v-w3328f4)</v>
      </c>
    </row>
    <row r="25156" spans="1:4" x14ac:dyDescent="0.2">
      <c r="B25156" t="s">
        <v>1</v>
      </c>
      <c r="C25156" t="s">
        <v>3277</v>
      </c>
      <c r="D25156" t="s">
        <v>22967</v>
      </c>
    </row>
    <row r="25157" spans="1:4" x14ac:dyDescent="0.2">
      <c r="B25157" t="s">
        <v>8281</v>
      </c>
      <c r="C25157" t="s">
        <v>3279</v>
      </c>
      <c r="D25157" t="s">
        <v>23120</v>
      </c>
    </row>
    <row r="25158" spans="1:4" x14ac:dyDescent="0.2">
      <c r="B25158" t="s">
        <v>5</v>
      </c>
      <c r="D25158" t="s">
        <v>23761</v>
      </c>
    </row>
    <row r="25159" spans="1:4" x14ac:dyDescent="0.2">
      <c r="B25159" t="s">
        <v>46</v>
      </c>
      <c r="D25159" t="s">
        <v>22968</v>
      </c>
    </row>
    <row r="25161" spans="1:4" x14ac:dyDescent="0.2">
      <c r="A25161" t="s">
        <v>8314</v>
      </c>
      <c r="B25161" t="str">
        <f>HYPERLINK("https://lindat.mff.cuni.cz/services/teitok/pdtc10/index.php?action=vallex&amp;frame=v-w3333f2", "ozvat se (v-w3333f2)")</f>
        <v>ozvat se (v-w3333f2)</v>
      </c>
    </row>
    <row r="25162" spans="1:4" x14ac:dyDescent="0.2">
      <c r="B25162" t="s">
        <v>1</v>
      </c>
      <c r="C25162" t="s">
        <v>8315</v>
      </c>
      <c r="D25162" t="s">
        <v>2353</v>
      </c>
    </row>
    <row r="25163" spans="1:4" x14ac:dyDescent="0.2">
      <c r="B25163" t="s">
        <v>103</v>
      </c>
      <c r="C25163" t="s">
        <v>81</v>
      </c>
      <c r="D25163" t="s">
        <v>3308</v>
      </c>
    </row>
    <row r="25165" spans="1:4" x14ac:dyDescent="0.2">
      <c r="A25165" t="s">
        <v>8316</v>
      </c>
      <c r="B25165" t="str">
        <f>HYPERLINK("https://lindat.mff.cuni.cz/services/teitok/pdtc10/index.php?action=vallex&amp;frame=v-w3333f3", "ozvat se (v-w3333f3)")</f>
        <v>ozvat se (v-w3333f3)</v>
      </c>
    </row>
    <row r="25166" spans="1:4" x14ac:dyDescent="0.2">
      <c r="B25166" t="s">
        <v>1</v>
      </c>
    </row>
    <row r="25167" spans="1:4" x14ac:dyDescent="0.2">
      <c r="B25167" t="s">
        <v>3788</v>
      </c>
    </row>
    <row r="25169" spans="1:4" x14ac:dyDescent="0.2">
      <c r="A25169" t="s">
        <v>8317</v>
      </c>
      <c r="B25169" t="str">
        <f>HYPERLINK("https://lindat.mff.cuni.cz/services/teitok/pdtc10/index.php?action=vallex&amp;frame=v-w3333f4_ZU", "ozvat se (v-w3333f4_ZU)")</f>
        <v>ozvat se (v-w3333f4_ZU)</v>
      </c>
    </row>
    <row r="25170" spans="1:4" x14ac:dyDescent="0.2">
      <c r="B25170" t="s">
        <v>8318</v>
      </c>
    </row>
    <row r="25172" spans="1:4" x14ac:dyDescent="0.2">
      <c r="A25172" t="s">
        <v>8317</v>
      </c>
      <c r="B25172" t="str">
        <f>HYPERLINK("https://lindat.mff.cuni.cz/services/teitok/pdtc10/index.php?action=vallex&amp;frame=v-w3333f1", "ozvat se (v-w3333f1) - substituted with v-w3333f4_ZU")</f>
        <v>ozvat se (v-w3333f1) - substituted with v-w3333f4_ZU</v>
      </c>
    </row>
    <row r="25173" spans="1:4" x14ac:dyDescent="0.2">
      <c r="B25173" t="s">
        <v>8318</v>
      </c>
      <c r="C25173" t="s">
        <v>140</v>
      </c>
      <c r="D25173" t="s">
        <v>147</v>
      </c>
    </row>
    <row r="25175" spans="1:4" x14ac:dyDescent="0.2">
      <c r="A25175" t="s">
        <v>8319</v>
      </c>
      <c r="B25175" t="str">
        <f>HYPERLINK("https://lindat.mff.cuni.cz/services/teitok/pdtc10/index.php?action=vallex&amp;frame=v-w3312f1", "ozářit (v-w3312f1)")</f>
        <v>ozářit (v-w3312f1)</v>
      </c>
    </row>
    <row r="25176" spans="1:4" x14ac:dyDescent="0.2">
      <c r="B25176" t="s">
        <v>1</v>
      </c>
    </row>
    <row r="25177" spans="1:4" x14ac:dyDescent="0.2">
      <c r="B25177" t="s">
        <v>8</v>
      </c>
    </row>
    <row r="25179" spans="1:4" x14ac:dyDescent="0.2">
      <c r="A25179" t="s">
        <v>8320</v>
      </c>
      <c r="B25179" t="str">
        <f>HYPERLINK("https://lindat.mff.cuni.cz/services/teitok/pdtc10/index.php?action=vallex&amp;frame=v-w3312f2", "ozářit (v-w3312f2)")</f>
        <v>ozářit (v-w3312f2)</v>
      </c>
    </row>
    <row r="25180" spans="1:4" x14ac:dyDescent="0.2">
      <c r="B25180" t="s">
        <v>1</v>
      </c>
    </row>
    <row r="25181" spans="1:4" x14ac:dyDescent="0.2">
      <c r="B25181" t="s">
        <v>8</v>
      </c>
    </row>
    <row r="25183" spans="1:4" x14ac:dyDescent="0.2">
      <c r="A25183" t="s">
        <v>8321</v>
      </c>
      <c r="B25183" t="str">
        <f>HYPERLINK("https://lindat.mff.cuni.cz/services/teitok/pdtc10/index.php?action=vallex&amp;frame=v-w3336f3", "ozývat se (v-w3336f3)")</f>
        <v>ozývat se (v-w3336f3)</v>
      </c>
    </row>
    <row r="25184" spans="1:4" x14ac:dyDescent="0.2">
      <c r="B25184" t="s">
        <v>1</v>
      </c>
    </row>
    <row r="25185" spans="1:4" x14ac:dyDescent="0.2">
      <c r="B25185" t="s">
        <v>103</v>
      </c>
    </row>
    <row r="25187" spans="1:4" x14ac:dyDescent="0.2">
      <c r="A25187" t="s">
        <v>8322</v>
      </c>
      <c r="B25187" t="str">
        <f>HYPERLINK("https://lindat.mff.cuni.cz/services/teitok/pdtc10/index.php?action=vallex&amp;frame=v-w3336f5_ZU", "ozývat se (v-w3336f5_ZU)")</f>
        <v>ozývat se (v-w3336f5_ZU)</v>
      </c>
    </row>
    <row r="25188" spans="1:4" x14ac:dyDescent="0.2">
      <c r="B25188" t="s">
        <v>1</v>
      </c>
    </row>
    <row r="25189" spans="1:4" x14ac:dyDescent="0.2">
      <c r="B25189" t="s">
        <v>7741</v>
      </c>
    </row>
    <row r="25191" spans="1:4" x14ac:dyDescent="0.2">
      <c r="A25191" t="s">
        <v>8322</v>
      </c>
      <c r="B25191" t="str">
        <f>HYPERLINK("https://lindat.mff.cuni.cz/services/teitok/pdtc10/index.php?action=vallex&amp;frame=v-w3336f2", "ozývat se (v-w3336f2) - substituted with v-w3336f5_ZU")</f>
        <v>ozývat se (v-w3336f2) - substituted with v-w3336f5_ZU</v>
      </c>
    </row>
    <row r="25192" spans="1:4" x14ac:dyDescent="0.2">
      <c r="B25192" t="s">
        <v>1</v>
      </c>
    </row>
    <row r="25193" spans="1:4" x14ac:dyDescent="0.2">
      <c r="B25193" t="s">
        <v>7741</v>
      </c>
    </row>
    <row r="25195" spans="1:4" x14ac:dyDescent="0.2">
      <c r="A25195" t="s">
        <v>8323</v>
      </c>
      <c r="B25195" t="str">
        <f>HYPERLINK("https://lindat.mff.cuni.cz/services/teitok/pdtc10/index.php?action=vallex&amp;frame=v-w3336f4_ZU", "ozývat se (v-w3336f4_ZU)")</f>
        <v>ozývat se (v-w3336f4_ZU)</v>
      </c>
    </row>
    <row r="25196" spans="1:4" x14ac:dyDescent="0.2">
      <c r="B25196" t="s">
        <v>8318</v>
      </c>
      <c r="D25196" t="s">
        <v>147</v>
      </c>
    </row>
    <row r="25198" spans="1:4" x14ac:dyDescent="0.2">
      <c r="A25198" t="s">
        <v>8323</v>
      </c>
      <c r="B25198" t="str">
        <f>HYPERLINK("https://lindat.mff.cuni.cz/services/teitok/pdtc10/index.php?action=vallex&amp;frame=v-w3336f1", "ozývat se (v-w3336f1) - substituted with v-w3336f4_ZU")</f>
        <v>ozývat se (v-w3336f1) - substituted with v-w3336f4_ZU</v>
      </c>
    </row>
    <row r="25199" spans="1:4" x14ac:dyDescent="0.2">
      <c r="B25199" t="s">
        <v>8318</v>
      </c>
      <c r="C25199" t="s">
        <v>8324</v>
      </c>
    </row>
    <row r="25201" spans="1:4" x14ac:dyDescent="0.2">
      <c r="A25201" t="s">
        <v>8325</v>
      </c>
      <c r="B25201" t="str">
        <f>HYPERLINK("https://lindat.mff.cuni.cz/services/teitok/pdtc10/index.php?action=vallex&amp;frame=v-w3332f1", "ozřejmit (v-w3332f1)")</f>
        <v>ozřejmit (v-w3332f1)</v>
      </c>
    </row>
    <row r="25202" spans="1:4" x14ac:dyDescent="0.2">
      <c r="B25202" t="s">
        <v>1</v>
      </c>
    </row>
    <row r="25203" spans="1:4" x14ac:dyDescent="0.2">
      <c r="B25203" t="s">
        <v>8326</v>
      </c>
    </row>
    <row r="25204" spans="1:4" x14ac:dyDescent="0.2">
      <c r="B25204" t="s">
        <v>35</v>
      </c>
    </row>
    <row r="25206" spans="1:4" x14ac:dyDescent="0.2">
      <c r="A25206" t="s">
        <v>8327</v>
      </c>
      <c r="B25206" t="str">
        <f>HYPERLINK("https://lindat.mff.cuni.cz/services/teitok/pdtc10/index.php?action=vallex&amp;frame=v-w10669f2", "ozřejmovat (v-w10669f2)")</f>
        <v>ozřejmovat (v-w10669f2)</v>
      </c>
    </row>
    <row r="25207" spans="1:4" x14ac:dyDescent="0.2">
      <c r="B25207" t="s">
        <v>1</v>
      </c>
    </row>
    <row r="25208" spans="1:4" x14ac:dyDescent="0.2">
      <c r="B25208" t="s">
        <v>8326</v>
      </c>
    </row>
    <row r="25209" spans="1:4" x14ac:dyDescent="0.2">
      <c r="B25209" t="s">
        <v>35</v>
      </c>
    </row>
    <row r="25211" spans="1:4" x14ac:dyDescent="0.2">
      <c r="A25211" t="s">
        <v>8328</v>
      </c>
      <c r="B25211" t="str">
        <f>HYPERLINK("https://lindat.mff.cuni.cz/services/teitok/pdtc10/index.php?action=vallex&amp;frame=v-w10304f2", "očarovávat (v-w10304f2)")</f>
        <v>očarovávat (v-w10304f2)</v>
      </c>
    </row>
    <row r="25212" spans="1:4" x14ac:dyDescent="0.2">
      <c r="B25212" t="s">
        <v>1</v>
      </c>
    </row>
    <row r="25213" spans="1:4" x14ac:dyDescent="0.2">
      <c r="B25213" t="s">
        <v>8</v>
      </c>
    </row>
    <row r="25215" spans="1:4" x14ac:dyDescent="0.2">
      <c r="A25215" t="s">
        <v>8329</v>
      </c>
      <c r="B25215" t="str">
        <f>HYPERLINK("https://lindat.mff.cuni.cz/services/teitok/pdtc10/index.php?action=vallex&amp;frame=v-w2608f1", "očekávat (v-w2608f1)")</f>
        <v>očekávat (v-w2608f1)</v>
      </c>
    </row>
    <row r="25216" spans="1:4" x14ac:dyDescent="0.2">
      <c r="B25216" t="s">
        <v>1</v>
      </c>
      <c r="C25216" t="s">
        <v>8330</v>
      </c>
      <c r="D25216" t="s">
        <v>83</v>
      </c>
    </row>
    <row r="25217" spans="1:4" x14ac:dyDescent="0.2">
      <c r="B25217" t="s">
        <v>7150</v>
      </c>
      <c r="C25217" t="s">
        <v>8331</v>
      </c>
      <c r="D25217" t="s">
        <v>54</v>
      </c>
    </row>
    <row r="25218" spans="1:4" x14ac:dyDescent="0.2">
      <c r="B25218" t="s">
        <v>321</v>
      </c>
      <c r="C25218" t="s">
        <v>8332</v>
      </c>
      <c r="D25218" t="s">
        <v>23763</v>
      </c>
    </row>
    <row r="25220" spans="1:4" x14ac:dyDescent="0.2">
      <c r="A25220" t="s">
        <v>8333</v>
      </c>
      <c r="B25220" t="str">
        <f>HYPERLINK("https://lindat.mff.cuni.cz/services/teitok/pdtc10/index.php?action=vallex&amp;frame=v-w2608f2", "očekávat (v-w2608f2)")</f>
        <v>očekávat (v-w2608f2)</v>
      </c>
    </row>
    <row r="25221" spans="1:4" x14ac:dyDescent="0.2">
      <c r="B25221" t="s">
        <v>1</v>
      </c>
      <c r="C25221" t="s">
        <v>8334</v>
      </c>
      <c r="D25221" t="s">
        <v>23764</v>
      </c>
    </row>
    <row r="25222" spans="1:4" x14ac:dyDescent="0.2">
      <c r="B25222" t="s">
        <v>8335</v>
      </c>
      <c r="C25222" t="s">
        <v>8336</v>
      </c>
      <c r="D25222" t="s">
        <v>23765</v>
      </c>
    </row>
    <row r="25224" spans="1:4" x14ac:dyDescent="0.2">
      <c r="A25224" t="s">
        <v>8337</v>
      </c>
      <c r="B25224" t="str">
        <f>HYPERLINK("https://lindat.mff.cuni.cz/services/teitok/pdtc10/index.php?action=vallex&amp;frame=v-w2608hsa_1088", "očekávat (v-w2608hsa_1088)")</f>
        <v>očekávat (v-w2608hsa_1088)</v>
      </c>
    </row>
    <row r="25225" spans="1:4" x14ac:dyDescent="0.2">
      <c r="B25225" t="s">
        <v>1</v>
      </c>
      <c r="C25225" t="s">
        <v>8338</v>
      </c>
    </row>
    <row r="25226" spans="1:4" x14ac:dyDescent="0.2">
      <c r="B25226" t="s">
        <v>2185</v>
      </c>
    </row>
    <row r="25227" spans="1:4" x14ac:dyDescent="0.2">
      <c r="B25227" t="s">
        <v>269</v>
      </c>
      <c r="C25227" t="s">
        <v>8339</v>
      </c>
    </row>
    <row r="25229" spans="1:4" x14ac:dyDescent="0.2">
      <c r="A25229" t="s">
        <v>8340</v>
      </c>
      <c r="B25229" t="str">
        <f>HYPERLINK("https://lindat.mff.cuni.cz/services/teitok/pdtc10/index.php?action=vallex&amp;frame=v-w2608f3_ZU", "očekávat (v-w2608f3_ZU)")</f>
        <v>očekávat (v-w2608f3_ZU)</v>
      </c>
    </row>
    <row r="25230" spans="1:4" x14ac:dyDescent="0.2">
      <c r="B25230" t="s">
        <v>1</v>
      </c>
    </row>
    <row r="25231" spans="1:4" x14ac:dyDescent="0.2">
      <c r="B25231" t="s">
        <v>8</v>
      </c>
    </row>
    <row r="25233" spans="1:4" x14ac:dyDescent="0.2">
      <c r="A25233" t="s">
        <v>8341</v>
      </c>
      <c r="B25233" t="str">
        <f>HYPERLINK("https://lindat.mff.cuni.cz/services/teitok/pdtc10/index.php?action=vallex&amp;frame=v-w10762f2", "očernit (v-w10762f2)")</f>
        <v>očernit (v-w10762f2)</v>
      </c>
    </row>
    <row r="25234" spans="1:4" x14ac:dyDescent="0.2">
      <c r="B25234" t="s">
        <v>1</v>
      </c>
      <c r="D25234" t="s">
        <v>9612</v>
      </c>
    </row>
    <row r="25235" spans="1:4" x14ac:dyDescent="0.2">
      <c r="B25235" t="s">
        <v>8</v>
      </c>
      <c r="D25235" t="s">
        <v>1362</v>
      </c>
    </row>
    <row r="25237" spans="1:4" x14ac:dyDescent="0.2">
      <c r="A25237" t="s">
        <v>8342</v>
      </c>
      <c r="B25237" t="str">
        <f>HYPERLINK("https://lindat.mff.cuni.cz/services/teitok/pdtc10/index.php?action=vallex&amp;frame=v-w11529_ZUf1_ZU", "očerňovat (v-w11529_ZUf1_ZU)")</f>
        <v>očerňovat (v-w11529_ZUf1_ZU)</v>
      </c>
    </row>
    <row r="25238" spans="1:4" x14ac:dyDescent="0.2">
      <c r="B25238" t="s">
        <v>1</v>
      </c>
      <c r="D25238" t="s">
        <v>9612</v>
      </c>
    </row>
    <row r="25239" spans="1:4" x14ac:dyDescent="0.2">
      <c r="B25239" t="s">
        <v>8</v>
      </c>
      <c r="D25239" t="s">
        <v>1362</v>
      </c>
    </row>
    <row r="25241" spans="1:4" x14ac:dyDescent="0.2">
      <c r="A25241" t="s">
        <v>8343</v>
      </c>
      <c r="B25241" t="str">
        <f>HYPERLINK("https://lindat.mff.cuni.cz/services/teitok/pdtc10/index.php?action=vallex&amp;frame=v-w11530_ZUf1_ZU", "očesat (v-w11530_ZUf1_ZU)")</f>
        <v>očesat (v-w11530_ZUf1_ZU)</v>
      </c>
    </row>
    <row r="25242" spans="1:4" x14ac:dyDescent="0.2">
      <c r="B25242" t="s">
        <v>1</v>
      </c>
      <c r="C25242" t="s">
        <v>33</v>
      </c>
      <c r="D25242" t="s">
        <v>133</v>
      </c>
    </row>
    <row r="25243" spans="1:4" x14ac:dyDescent="0.2">
      <c r="B25243" t="s">
        <v>8</v>
      </c>
      <c r="C25243" t="s">
        <v>8344</v>
      </c>
      <c r="D25243" t="s">
        <v>23766</v>
      </c>
    </row>
    <row r="25245" spans="1:4" x14ac:dyDescent="0.2">
      <c r="A25245" t="s">
        <v>8345</v>
      </c>
      <c r="B25245" t="str">
        <f>HYPERLINK("https://lindat.mff.cuni.cz/services/teitok/pdtc10/index.php?action=vallex&amp;frame=v-w10761f2", "očesávat (v-w10761f2)")</f>
        <v>očesávat (v-w10761f2)</v>
      </c>
    </row>
    <row r="25246" spans="1:4" x14ac:dyDescent="0.2">
      <c r="B25246" t="s">
        <v>1</v>
      </c>
      <c r="D25246" t="s">
        <v>133</v>
      </c>
    </row>
    <row r="25247" spans="1:4" x14ac:dyDescent="0.2">
      <c r="B25247" t="s">
        <v>8</v>
      </c>
      <c r="D25247" t="s">
        <v>23766</v>
      </c>
    </row>
    <row r="25249" spans="1:4" x14ac:dyDescent="0.2">
      <c r="A25249" t="s">
        <v>8346</v>
      </c>
      <c r="B25249" t="str">
        <f>HYPERLINK("https://lindat.mff.cuni.cz/services/teitok/pdtc10/index.php?action=vallex&amp;frame=v-w10761f3_ZU", "očesávat (v-w10761f3_ZU)")</f>
        <v>očesávat (v-w10761f3_ZU)</v>
      </c>
    </row>
    <row r="25250" spans="1:4" x14ac:dyDescent="0.2">
      <c r="B25250" t="s">
        <v>1</v>
      </c>
    </row>
    <row r="25251" spans="1:4" x14ac:dyDescent="0.2">
      <c r="B25251" t="s">
        <v>8</v>
      </c>
    </row>
    <row r="25253" spans="1:4" x14ac:dyDescent="0.2">
      <c r="A25253" t="s">
        <v>8347</v>
      </c>
      <c r="B25253" t="str">
        <f>HYPERLINK("https://lindat.mff.cuni.cz/services/teitok/pdtc10/index.php?action=vallex&amp;frame=v-w2612f3_ZU", "očistit (v-w2612f3_ZU)")</f>
        <v>očistit (v-w2612f3_ZU)</v>
      </c>
    </row>
    <row r="25254" spans="1:4" x14ac:dyDescent="0.2">
      <c r="B25254" t="s">
        <v>1</v>
      </c>
    </row>
    <row r="25255" spans="1:4" x14ac:dyDescent="0.2">
      <c r="B25255" t="s">
        <v>8</v>
      </c>
    </row>
    <row r="25256" spans="1:4" x14ac:dyDescent="0.2">
      <c r="B25256" t="s">
        <v>321</v>
      </c>
    </row>
    <row r="25258" spans="1:4" x14ac:dyDescent="0.2">
      <c r="A25258" t="s">
        <v>8347</v>
      </c>
      <c r="B25258" t="str">
        <f>HYPERLINK("https://lindat.mff.cuni.cz/services/teitok/pdtc10/index.php?action=vallex&amp;frame=v-w2612f1", "očistit (v-w2612f1) - substituted with v-w2612f3_ZU")</f>
        <v>očistit (v-w2612f1) - substituted with v-w2612f3_ZU</v>
      </c>
    </row>
    <row r="25259" spans="1:4" x14ac:dyDescent="0.2">
      <c r="B25259" t="s">
        <v>1</v>
      </c>
      <c r="C25259" t="s">
        <v>430</v>
      </c>
      <c r="D25259" t="s">
        <v>5475</v>
      </c>
    </row>
    <row r="25260" spans="1:4" x14ac:dyDescent="0.2">
      <c r="B25260" t="s">
        <v>8</v>
      </c>
      <c r="C25260" t="s">
        <v>8348</v>
      </c>
      <c r="D25260" t="s">
        <v>23767</v>
      </c>
    </row>
    <row r="25261" spans="1:4" x14ac:dyDescent="0.2">
      <c r="B25261" t="s">
        <v>321</v>
      </c>
      <c r="C25261" t="s">
        <v>8349</v>
      </c>
      <c r="D25261" t="s">
        <v>23768</v>
      </c>
    </row>
    <row r="25263" spans="1:4" x14ac:dyDescent="0.2">
      <c r="A25263" t="s">
        <v>8350</v>
      </c>
      <c r="B25263" t="str">
        <f>HYPERLINK("https://lindat.mff.cuni.cz/services/teitok/pdtc10/index.php?action=vallex&amp;frame=v-w2612f2_ZU", "očistit (v-w2612f2_ZU)")</f>
        <v>očistit (v-w2612f2_ZU)</v>
      </c>
    </row>
    <row r="25264" spans="1:4" x14ac:dyDescent="0.2">
      <c r="B25264" t="s">
        <v>1</v>
      </c>
      <c r="C25264" t="s">
        <v>83</v>
      </c>
      <c r="D25264" t="s">
        <v>2303</v>
      </c>
    </row>
    <row r="25265" spans="1:4" x14ac:dyDescent="0.2">
      <c r="B25265" t="s">
        <v>8</v>
      </c>
      <c r="C25265" t="s">
        <v>4185</v>
      </c>
      <c r="D25265" t="s">
        <v>23725</v>
      </c>
    </row>
    <row r="25266" spans="1:4" x14ac:dyDescent="0.2">
      <c r="B25266" t="s">
        <v>321</v>
      </c>
      <c r="C25266" t="s">
        <v>8351</v>
      </c>
      <c r="D25266" t="s">
        <v>23726</v>
      </c>
    </row>
    <row r="25268" spans="1:4" x14ac:dyDescent="0.2">
      <c r="A25268" t="s">
        <v>8352</v>
      </c>
      <c r="B25268" t="str">
        <f>HYPERLINK("https://lindat.mff.cuni.cz/services/teitok/pdtc10/index.php?action=vallex&amp;frame=v-w2612hsa_891", "očistit (v-w2612hsa_891)")</f>
        <v>očistit (v-w2612hsa_891)</v>
      </c>
    </row>
    <row r="25269" spans="1:4" x14ac:dyDescent="0.2">
      <c r="B25269" t="s">
        <v>1</v>
      </c>
    </row>
    <row r="25270" spans="1:4" x14ac:dyDescent="0.2">
      <c r="B25270" t="s">
        <v>8</v>
      </c>
    </row>
    <row r="25272" spans="1:4" x14ac:dyDescent="0.2">
      <c r="A25272" t="s">
        <v>8353</v>
      </c>
      <c r="B25272" t="str">
        <f>HYPERLINK("https://lindat.mff.cuni.cz/services/teitok/pdtc10/index.php?action=vallex&amp;frame=v-w2612hsa_892", "očistit (v-w2612hsa_892)")</f>
        <v>očistit (v-w2612hsa_892)</v>
      </c>
    </row>
    <row r="25273" spans="1:4" x14ac:dyDescent="0.2">
      <c r="B25273" t="s">
        <v>1</v>
      </c>
    </row>
    <row r="25274" spans="1:4" x14ac:dyDescent="0.2">
      <c r="B25274" t="s">
        <v>8</v>
      </c>
    </row>
    <row r="25276" spans="1:4" x14ac:dyDescent="0.2">
      <c r="A25276" t="s">
        <v>8354</v>
      </c>
      <c r="B25276" t="str">
        <f>HYPERLINK("https://lindat.mff.cuni.cz/services/teitok/pdtc10/index.php?action=vallex&amp;frame=v-w11531_ZUf1_ZU", "očišťovat (v-w11531_ZUf1_ZU)")</f>
        <v>očišťovat (v-w11531_ZUf1_ZU)</v>
      </c>
    </row>
    <row r="25277" spans="1:4" x14ac:dyDescent="0.2">
      <c r="B25277" t="s">
        <v>1</v>
      </c>
      <c r="C25277" t="s">
        <v>80</v>
      </c>
      <c r="D25277" t="s">
        <v>4110</v>
      </c>
    </row>
    <row r="25278" spans="1:4" x14ac:dyDescent="0.2">
      <c r="B25278" t="s">
        <v>8</v>
      </c>
      <c r="C25278" t="s">
        <v>81</v>
      </c>
      <c r="D25278" t="s">
        <v>23769</v>
      </c>
    </row>
    <row r="25279" spans="1:4" x14ac:dyDescent="0.2">
      <c r="B25279" t="s">
        <v>321</v>
      </c>
      <c r="C25279" t="s">
        <v>3656</v>
      </c>
      <c r="D25279" t="s">
        <v>23768</v>
      </c>
    </row>
    <row r="25281" spans="1:2" x14ac:dyDescent="0.2">
      <c r="A25281" t="s">
        <v>8355</v>
      </c>
      <c r="B25281" t="str">
        <f>HYPERLINK("https://lindat.mff.cuni.cz/services/teitok/pdtc10/index.php?action=vallex&amp;frame=v-w2615f1", "očkovat (v-w2615f1)")</f>
        <v>očkovat (v-w2615f1)</v>
      </c>
    </row>
    <row r="25282" spans="1:2" x14ac:dyDescent="0.2">
      <c r="B25282" t="s">
        <v>1</v>
      </c>
    </row>
    <row r="25283" spans="1:2" x14ac:dyDescent="0.2">
      <c r="B25283" t="s">
        <v>8</v>
      </c>
    </row>
    <row r="25285" spans="1:2" x14ac:dyDescent="0.2">
      <c r="A25285" t="s">
        <v>8356</v>
      </c>
      <c r="B25285" t="str">
        <f>HYPERLINK("https://lindat.mff.cuni.cz/services/teitok/pdtc10/index.php?action=vallex&amp;frame=v-w11777_ZUf1_ZU", "očuchávat (v-w11777_ZUf1_ZU)")</f>
        <v>očuchávat (v-w11777_ZUf1_ZU)</v>
      </c>
    </row>
    <row r="25286" spans="1:2" x14ac:dyDescent="0.2">
      <c r="B25286" t="s">
        <v>1</v>
      </c>
    </row>
    <row r="25287" spans="1:2" x14ac:dyDescent="0.2">
      <c r="B25287" t="s">
        <v>8</v>
      </c>
    </row>
    <row r="25289" spans="1:2" x14ac:dyDescent="0.2">
      <c r="A25289" t="s">
        <v>8357</v>
      </c>
      <c r="B25289" t="str">
        <f>HYPERLINK("https://lindat.mff.cuni.cz/services/teitok/pdtc10/index.php?action=vallex&amp;frame=v-w2610f1", "očíslovat (v-w2610f1)")</f>
        <v>očíslovat (v-w2610f1)</v>
      </c>
    </row>
    <row r="25290" spans="1:2" x14ac:dyDescent="0.2">
      <c r="B25290" t="s">
        <v>1</v>
      </c>
    </row>
    <row r="25291" spans="1:2" x14ac:dyDescent="0.2">
      <c r="B25291" t="s">
        <v>8</v>
      </c>
    </row>
    <row r="25293" spans="1:2" x14ac:dyDescent="0.2">
      <c r="A25293" t="s">
        <v>8358</v>
      </c>
      <c r="B25293" t="str">
        <f>HYPERLINK("https://lindat.mff.cuni.cz/services/teitok/pdtc10/index.php?action=vallex&amp;frame=v-w10292f3", "ořezat (v-w10292f3)")</f>
        <v>ořezat (v-w10292f3)</v>
      </c>
    </row>
    <row r="25294" spans="1:2" x14ac:dyDescent="0.2">
      <c r="B25294" t="s">
        <v>1</v>
      </c>
    </row>
    <row r="25295" spans="1:2" x14ac:dyDescent="0.2">
      <c r="B25295" t="s">
        <v>467</v>
      </c>
    </row>
    <row r="25296" spans="1:2" x14ac:dyDescent="0.2">
      <c r="B25296" t="s">
        <v>58</v>
      </c>
    </row>
    <row r="25298" spans="1:4" x14ac:dyDescent="0.2">
      <c r="A25298" t="s">
        <v>8359</v>
      </c>
      <c r="B25298" t="str">
        <f>HYPERLINK("https://lindat.mff.cuni.cz/services/teitok/pdtc10/index.php?action=vallex&amp;frame=v-w10292f6", "ořezat (v-w10292f6)")</f>
        <v>ořezat (v-w10292f6)</v>
      </c>
    </row>
    <row r="25299" spans="1:4" x14ac:dyDescent="0.2">
      <c r="B25299" t="s">
        <v>1</v>
      </c>
      <c r="C25299" t="s">
        <v>133</v>
      </c>
      <c r="D25299" t="s">
        <v>23703</v>
      </c>
    </row>
    <row r="25300" spans="1:4" x14ac:dyDescent="0.2">
      <c r="B25300" t="s">
        <v>8</v>
      </c>
      <c r="C25300" t="s">
        <v>1128</v>
      </c>
      <c r="D25300" t="s">
        <v>23704</v>
      </c>
    </row>
    <row r="25301" spans="1:4" x14ac:dyDescent="0.2">
      <c r="B25301" t="s">
        <v>24</v>
      </c>
      <c r="C25301" t="s">
        <v>1289</v>
      </c>
      <c r="D25301" t="s">
        <v>23770</v>
      </c>
    </row>
    <row r="25302" spans="1:4" x14ac:dyDescent="0.2">
      <c r="B25302" t="s">
        <v>8360</v>
      </c>
      <c r="C25302" t="s">
        <v>8361</v>
      </c>
      <c r="D25302" t="s">
        <v>23771</v>
      </c>
    </row>
    <row r="25304" spans="1:4" x14ac:dyDescent="0.2">
      <c r="A25304" t="s">
        <v>8362</v>
      </c>
      <c r="B25304" t="str">
        <f>HYPERLINK("https://lindat.mff.cuni.cz/services/teitok/pdtc10/index.php?action=vallex&amp;frame=v-w10292f5", "ořezat (v-w10292f5)")</f>
        <v>ořezat (v-w10292f5)</v>
      </c>
    </row>
    <row r="25305" spans="1:4" x14ac:dyDescent="0.2">
      <c r="B25305" t="s">
        <v>1</v>
      </c>
    </row>
    <row r="25306" spans="1:4" x14ac:dyDescent="0.2">
      <c r="B25306" t="s">
        <v>8</v>
      </c>
    </row>
    <row r="25308" spans="1:4" x14ac:dyDescent="0.2">
      <c r="A25308" t="s">
        <v>8363</v>
      </c>
      <c r="B25308" t="str">
        <f>HYPERLINK("https://lindat.mff.cuni.cz/services/teitok/pdtc10/index.php?action=vallex&amp;frame=v-whsa_1162hsa_1163", "ořezávat (v-whsa_1162hsa_1163)")</f>
        <v>ořezávat (v-whsa_1162hsa_1163)</v>
      </c>
    </row>
    <row r="25309" spans="1:4" x14ac:dyDescent="0.2">
      <c r="B25309" t="s">
        <v>1</v>
      </c>
      <c r="C25309" t="s">
        <v>33</v>
      </c>
      <c r="D25309" t="s">
        <v>23703</v>
      </c>
    </row>
    <row r="25310" spans="1:4" x14ac:dyDescent="0.2">
      <c r="B25310" t="s">
        <v>8</v>
      </c>
      <c r="C25310" t="s">
        <v>84</v>
      </c>
      <c r="D25310" t="s">
        <v>23704</v>
      </c>
    </row>
    <row r="25312" spans="1:4" x14ac:dyDescent="0.2">
      <c r="A25312" t="s">
        <v>8364</v>
      </c>
      <c r="B25312" t="str">
        <f>HYPERLINK("https://lindat.mff.cuni.cz/services/teitok/pdtc10/index.php?action=vallex&amp;frame=v-w11153f2", "oříznout (v-w11153f2)")</f>
        <v>oříznout (v-w11153f2)</v>
      </c>
    </row>
    <row r="25313" spans="1:4" x14ac:dyDescent="0.2">
      <c r="B25313" t="s">
        <v>1</v>
      </c>
    </row>
    <row r="25314" spans="1:4" x14ac:dyDescent="0.2">
      <c r="B25314" t="s">
        <v>8</v>
      </c>
    </row>
    <row r="25315" spans="1:4" x14ac:dyDescent="0.2">
      <c r="B25315" t="s">
        <v>61</v>
      </c>
    </row>
    <row r="25317" spans="1:4" x14ac:dyDescent="0.2">
      <c r="A25317" t="s">
        <v>8365</v>
      </c>
      <c r="B25317" t="str">
        <f>HYPERLINK("https://lindat.mff.cuni.cz/services/teitok/pdtc10/index.php?action=vallex&amp;frame=v-w3238f2_ZU", "ošetřit (v-w3238f2_ZU)")</f>
        <v>ošetřit (v-w3238f2_ZU)</v>
      </c>
    </row>
    <row r="25318" spans="1:4" x14ac:dyDescent="0.2">
      <c r="B25318" t="s">
        <v>1</v>
      </c>
    </row>
    <row r="25319" spans="1:4" x14ac:dyDescent="0.2">
      <c r="B25319" t="s">
        <v>8</v>
      </c>
    </row>
    <row r="25321" spans="1:4" x14ac:dyDescent="0.2">
      <c r="A25321" t="s">
        <v>8365</v>
      </c>
      <c r="B25321" t="str">
        <f>HYPERLINK("https://lindat.mff.cuni.cz/services/teitok/pdtc10/index.php?action=vallex&amp;frame=v-w3238f1", "ošetřit (v-w3238f1) - substituted with v-w3238f2_ZU")</f>
        <v>ošetřit (v-w3238f1) - substituted with v-w3238f2_ZU</v>
      </c>
    </row>
    <row r="25322" spans="1:4" x14ac:dyDescent="0.2">
      <c r="B25322" t="s">
        <v>1</v>
      </c>
      <c r="C25322" t="s">
        <v>33</v>
      </c>
      <c r="D25322" t="s">
        <v>33</v>
      </c>
    </row>
    <row r="25323" spans="1:4" x14ac:dyDescent="0.2">
      <c r="B25323" t="s">
        <v>8</v>
      </c>
      <c r="C25323" t="s">
        <v>8366</v>
      </c>
      <c r="D25323" t="s">
        <v>8366</v>
      </c>
    </row>
    <row r="25325" spans="1:4" x14ac:dyDescent="0.2">
      <c r="A25325" t="s">
        <v>8367</v>
      </c>
      <c r="B25325" t="str">
        <f>HYPERLINK("https://lindat.mff.cuni.cz/services/teitok/pdtc10/index.php?action=vallex&amp;frame=v-w3238hsa_941", "ošetřit (v-w3238hsa_941)")</f>
        <v>ošetřit (v-w3238hsa_941)</v>
      </c>
    </row>
    <row r="25326" spans="1:4" x14ac:dyDescent="0.2">
      <c r="B25326" t="s">
        <v>1</v>
      </c>
      <c r="C25326" t="s">
        <v>976</v>
      </c>
      <c r="D25326" t="s">
        <v>12786</v>
      </c>
    </row>
    <row r="25327" spans="1:4" x14ac:dyDescent="0.2">
      <c r="B25327" t="s">
        <v>8</v>
      </c>
      <c r="C25327" t="s">
        <v>307</v>
      </c>
      <c r="D25327" t="s">
        <v>23772</v>
      </c>
    </row>
    <row r="25329" spans="1:4" x14ac:dyDescent="0.2">
      <c r="A25329" t="s">
        <v>8368</v>
      </c>
      <c r="B25329" t="str">
        <f>HYPERLINK("https://lindat.mff.cuni.cz/services/teitok/pdtc10/index.php?action=vallex&amp;frame=v-w3240f1", "ošetřovat (v-w3240f1)")</f>
        <v>ošetřovat (v-w3240f1)</v>
      </c>
    </row>
    <row r="25330" spans="1:4" x14ac:dyDescent="0.2">
      <c r="B25330" t="s">
        <v>1</v>
      </c>
      <c r="C25330" t="s">
        <v>33</v>
      </c>
      <c r="D25330" t="s">
        <v>33</v>
      </c>
    </row>
    <row r="25331" spans="1:4" x14ac:dyDescent="0.2">
      <c r="B25331" t="s">
        <v>8</v>
      </c>
      <c r="C25331" t="s">
        <v>8369</v>
      </c>
      <c r="D25331" t="s">
        <v>8366</v>
      </c>
    </row>
    <row r="25333" spans="1:4" x14ac:dyDescent="0.2">
      <c r="A25333" t="s">
        <v>8370</v>
      </c>
      <c r="B25333" t="str">
        <f>HYPERLINK("https://lindat.mff.cuni.cz/services/teitok/pdtc10/index.php?action=vallex&amp;frame=v-w3242f2_ZU", "ošidit (v-w3242f2_ZU)")</f>
        <v>ošidit (v-w3242f2_ZU)</v>
      </c>
    </row>
    <row r="25334" spans="1:4" x14ac:dyDescent="0.2">
      <c r="B25334" t="s">
        <v>1</v>
      </c>
    </row>
    <row r="25335" spans="1:4" x14ac:dyDescent="0.2">
      <c r="B25335" t="s">
        <v>8</v>
      </c>
    </row>
    <row r="25337" spans="1:4" x14ac:dyDescent="0.2">
      <c r="A25337" t="s">
        <v>8370</v>
      </c>
      <c r="B25337" t="str">
        <f>HYPERLINK("https://lindat.mff.cuni.cz/services/teitok/pdtc10/index.php?action=vallex&amp;frame=v-w3242f1", "ošidit (v-w3242f1) - substituted with v-w3242f2_ZU")</f>
        <v>ošidit (v-w3242f1) - substituted with v-w3242f2_ZU</v>
      </c>
    </row>
    <row r="25338" spans="1:4" x14ac:dyDescent="0.2">
      <c r="B25338" t="s">
        <v>1</v>
      </c>
      <c r="C25338" t="s">
        <v>133</v>
      </c>
      <c r="D25338" t="s">
        <v>140</v>
      </c>
    </row>
    <row r="25339" spans="1:4" x14ac:dyDescent="0.2">
      <c r="B25339" t="s">
        <v>8</v>
      </c>
      <c r="C25339" t="s">
        <v>7577</v>
      </c>
      <c r="D25339" t="s">
        <v>1331</v>
      </c>
    </row>
    <row r="25341" spans="1:4" x14ac:dyDescent="0.2">
      <c r="A25341" t="s">
        <v>8371</v>
      </c>
      <c r="B25341" t="str">
        <f>HYPERLINK("https://lindat.mff.cuni.cz/services/teitok/pdtc10/index.php?action=vallex&amp;frame=v-whsa_1591hsa_1592", "ošklíbat se (v-whsa_1591hsa_1592)")</f>
        <v>ošklíbat se (v-whsa_1591hsa_1592)</v>
      </c>
    </row>
    <row r="25342" spans="1:4" x14ac:dyDescent="0.2">
      <c r="B25342" t="s">
        <v>1</v>
      </c>
    </row>
    <row r="25343" spans="1:4" x14ac:dyDescent="0.2">
      <c r="B25343" t="s">
        <v>8372</v>
      </c>
    </row>
    <row r="25345" spans="1:2" x14ac:dyDescent="0.2">
      <c r="A25345" t="s">
        <v>8373</v>
      </c>
      <c r="B25345" t="str">
        <f>HYPERLINK("https://lindat.mff.cuni.cz/services/teitok/pdtc10/index.php?action=vallex&amp;frame=v-whsa_96hsa_97", "oškrábat (v-whsa_96hsa_97)")</f>
        <v>oškrábat (v-whsa_96hsa_97)</v>
      </c>
    </row>
    <row r="25346" spans="1:2" x14ac:dyDescent="0.2">
      <c r="B25346" t="s">
        <v>1</v>
      </c>
    </row>
    <row r="25347" spans="1:2" x14ac:dyDescent="0.2">
      <c r="B25347" t="s">
        <v>8</v>
      </c>
    </row>
    <row r="25349" spans="1:2" x14ac:dyDescent="0.2">
      <c r="A25349" t="s">
        <v>8374</v>
      </c>
      <c r="B25349" t="str">
        <f>HYPERLINK("https://lindat.mff.cuni.cz/services/teitok/pdtc10/index.php?action=vallex&amp;frame=v-w11129f2", "oškubat (v-w11129f2)")</f>
        <v>oškubat (v-w11129f2)</v>
      </c>
    </row>
    <row r="25350" spans="1:2" x14ac:dyDescent="0.2">
      <c r="B25350" t="s">
        <v>1</v>
      </c>
    </row>
    <row r="25351" spans="1:2" x14ac:dyDescent="0.2">
      <c r="B25351" t="s">
        <v>58</v>
      </c>
    </row>
    <row r="25352" spans="1:2" x14ac:dyDescent="0.2">
      <c r="B25352" t="s">
        <v>2287</v>
      </c>
    </row>
    <row r="25354" spans="1:2" x14ac:dyDescent="0.2">
      <c r="A25354" t="s">
        <v>8375</v>
      </c>
      <c r="B25354" t="str">
        <f>HYPERLINK("https://lindat.mff.cuni.cz/services/teitok/pdtc10/index.php?action=vallex&amp;frame=v-w3243f1", "ošlapat (v-w3243f1)")</f>
        <v>ošlapat (v-w3243f1)</v>
      </c>
    </row>
    <row r="25355" spans="1:2" x14ac:dyDescent="0.2">
      <c r="B25355" t="s">
        <v>1</v>
      </c>
    </row>
    <row r="25356" spans="1:2" x14ac:dyDescent="0.2">
      <c r="B25356" t="s">
        <v>8</v>
      </c>
    </row>
    <row r="25358" spans="1:2" x14ac:dyDescent="0.2">
      <c r="A25358" t="s">
        <v>8376</v>
      </c>
      <c r="B25358" t="str">
        <f>HYPERLINK("https://lindat.mff.cuni.cz/services/teitok/pdtc10/index.php?action=vallex&amp;frame=v-w3244f1", "ošoustat (v-w3244f1)")</f>
        <v>ošoustat (v-w3244f1)</v>
      </c>
    </row>
    <row r="25359" spans="1:2" x14ac:dyDescent="0.2">
      <c r="B25359" t="s">
        <v>1</v>
      </c>
    </row>
    <row r="25360" spans="1:2" x14ac:dyDescent="0.2">
      <c r="B25360" t="s">
        <v>8</v>
      </c>
    </row>
    <row r="25362" spans="1:4" x14ac:dyDescent="0.2">
      <c r="A25362" t="s">
        <v>8377</v>
      </c>
      <c r="B25362" t="str">
        <f>HYPERLINK("https://lindat.mff.cuni.cz/services/teitok/pdtc10/index.php?action=vallex&amp;frame=v-w12192_ZUf1_ZU", "ošplouchnout (v-w12192_ZUf1_ZU)")</f>
        <v>ošplouchnout (v-w12192_ZUf1_ZU)</v>
      </c>
    </row>
    <row r="25363" spans="1:4" x14ac:dyDescent="0.2">
      <c r="B25363" t="s">
        <v>1</v>
      </c>
    </row>
    <row r="25364" spans="1:4" x14ac:dyDescent="0.2">
      <c r="B25364" t="s">
        <v>8</v>
      </c>
    </row>
    <row r="25366" spans="1:4" x14ac:dyDescent="0.2">
      <c r="A25366" t="s">
        <v>8378</v>
      </c>
      <c r="B25366" t="str">
        <f>HYPERLINK("https://lindat.mff.cuni.cz/services/teitok/pdtc10/index.php?action=vallex&amp;frame=v-w11795_ZUf1_ZU", "oštipovat (v-w11795_ZUf1_ZU)")</f>
        <v>oštipovat (v-w11795_ZUf1_ZU)</v>
      </c>
    </row>
    <row r="25367" spans="1:4" x14ac:dyDescent="0.2">
      <c r="B25367" t="s">
        <v>1</v>
      </c>
    </row>
    <row r="25368" spans="1:4" x14ac:dyDescent="0.2">
      <c r="B25368" t="s">
        <v>8</v>
      </c>
    </row>
    <row r="25370" spans="1:4" x14ac:dyDescent="0.2">
      <c r="A25370" t="s">
        <v>8379</v>
      </c>
      <c r="B25370" t="str">
        <f>HYPERLINK("https://lindat.mff.cuni.cz/services/teitok/pdtc10/index.php?action=vallex&amp;frame=v-whsa_1456hsa_1457", "ošukat (v-whsa_1456hsa_1457)")</f>
        <v>ošukat (v-whsa_1456hsa_1457)</v>
      </c>
    </row>
    <row r="25371" spans="1:4" x14ac:dyDescent="0.2">
      <c r="B25371" t="s">
        <v>1</v>
      </c>
    </row>
    <row r="25372" spans="1:4" x14ac:dyDescent="0.2">
      <c r="B25372" t="s">
        <v>8</v>
      </c>
    </row>
    <row r="25374" spans="1:4" x14ac:dyDescent="0.2">
      <c r="A25374" t="s">
        <v>8380</v>
      </c>
      <c r="B25374" t="str">
        <f>HYPERLINK("https://lindat.mff.cuni.cz/services/teitok/pdtc10/index.php?action=vallex&amp;frame=v-w11185f2", "ošálit (v-w11185f2)")</f>
        <v>ošálit (v-w11185f2)</v>
      </c>
    </row>
    <row r="25375" spans="1:4" x14ac:dyDescent="0.2">
      <c r="B25375" t="s">
        <v>1</v>
      </c>
      <c r="C25375" t="s">
        <v>33</v>
      </c>
      <c r="D25375" t="s">
        <v>140</v>
      </c>
    </row>
    <row r="25376" spans="1:4" x14ac:dyDescent="0.2">
      <c r="B25376" t="s">
        <v>8</v>
      </c>
      <c r="C25376" t="s">
        <v>84</v>
      </c>
      <c r="D25376" t="s">
        <v>991</v>
      </c>
    </row>
    <row r="25378" spans="1:2" x14ac:dyDescent="0.2">
      <c r="A25378" t="s">
        <v>8381</v>
      </c>
      <c r="B25378" t="str">
        <f>HYPERLINK("https://lindat.mff.cuni.cz/services/teitok/pdtc10/index.php?action=vallex&amp;frame=v-w3283f1", "oťukat (v-w3283f1)")</f>
        <v>oťukat (v-w3283f1)</v>
      </c>
    </row>
    <row r="25379" spans="1:2" x14ac:dyDescent="0.2">
      <c r="B25379" t="s">
        <v>1</v>
      </c>
    </row>
    <row r="25380" spans="1:2" x14ac:dyDescent="0.2">
      <c r="B25380" t="s">
        <v>8382</v>
      </c>
    </row>
    <row r="25382" spans="1:2" x14ac:dyDescent="0.2">
      <c r="A25382" t="s">
        <v>8383</v>
      </c>
      <c r="B25382" t="str">
        <f>HYPERLINK("https://lindat.mff.cuni.cz/services/teitok/pdtc10/index.php?action=vallex&amp;frame=v-w11663_ZUf2_ZU", "ožebračit (v-w11663_ZUf2_ZU)")</f>
        <v>ožebračit (v-w11663_ZUf2_ZU)</v>
      </c>
    </row>
    <row r="25383" spans="1:2" x14ac:dyDescent="0.2">
      <c r="B25383" t="s">
        <v>1</v>
      </c>
    </row>
    <row r="25384" spans="1:2" x14ac:dyDescent="0.2">
      <c r="B25384" t="s">
        <v>467</v>
      </c>
    </row>
    <row r="25385" spans="1:2" x14ac:dyDescent="0.2">
      <c r="B25385" t="s">
        <v>58</v>
      </c>
    </row>
    <row r="25387" spans="1:2" x14ac:dyDescent="0.2">
      <c r="A25387" t="s">
        <v>8383</v>
      </c>
      <c r="B25387" t="str">
        <f>HYPERLINK("https://lindat.mff.cuni.cz/services/teitok/pdtc10/index.php?action=vallex&amp;frame=v-w11663_ZUf1_ZU", "ožebračit (v-w11663_ZUf1_ZU) - substituted with v-w11663_ZUf2_ZU")</f>
        <v>ožebračit (v-w11663_ZUf1_ZU) - substituted with v-w11663_ZUf2_ZU</v>
      </c>
    </row>
    <row r="25388" spans="1:2" x14ac:dyDescent="0.2">
      <c r="B25388" t="s">
        <v>1</v>
      </c>
    </row>
    <row r="25389" spans="1:2" x14ac:dyDescent="0.2">
      <c r="B25389" t="s">
        <v>467</v>
      </c>
    </row>
    <row r="25390" spans="1:2" x14ac:dyDescent="0.2">
      <c r="B25390" t="s">
        <v>58</v>
      </c>
    </row>
    <row r="25392" spans="1:2" x14ac:dyDescent="0.2">
      <c r="A25392" t="s">
        <v>8384</v>
      </c>
      <c r="B25392" t="str">
        <f>HYPERLINK("https://lindat.mff.cuni.cz/services/teitok/pdtc10/index.php?action=vallex&amp;frame=v-w3337f1", "ožebračovat (v-w3337f1)")</f>
        <v>ožebračovat (v-w3337f1)</v>
      </c>
    </row>
    <row r="25393" spans="1:4" x14ac:dyDescent="0.2">
      <c r="B25393" t="s">
        <v>1</v>
      </c>
    </row>
    <row r="25394" spans="1:4" x14ac:dyDescent="0.2">
      <c r="B25394" t="s">
        <v>467</v>
      </c>
    </row>
    <row r="25395" spans="1:4" x14ac:dyDescent="0.2">
      <c r="B25395" t="s">
        <v>58</v>
      </c>
    </row>
    <row r="25397" spans="1:4" x14ac:dyDescent="0.2">
      <c r="A25397" t="s">
        <v>8385</v>
      </c>
      <c r="B25397" t="str">
        <f>HYPERLINK("https://lindat.mff.cuni.cz/services/teitok/pdtc10/index.php?action=vallex&amp;frame=v-w3338f1", "oženit (v-w3338f1)")</f>
        <v>oženit (v-w3338f1)</v>
      </c>
    </row>
    <row r="25398" spans="1:4" x14ac:dyDescent="0.2">
      <c r="B25398" t="s">
        <v>1</v>
      </c>
    </row>
    <row r="25399" spans="1:4" x14ac:dyDescent="0.2">
      <c r="B25399" t="s">
        <v>8</v>
      </c>
    </row>
    <row r="25400" spans="1:4" x14ac:dyDescent="0.2">
      <c r="B25400" t="s">
        <v>2328</v>
      </c>
    </row>
    <row r="25402" spans="1:4" x14ac:dyDescent="0.2">
      <c r="A25402" t="s">
        <v>8386</v>
      </c>
      <c r="B25402" t="str">
        <f>HYPERLINK("https://lindat.mff.cuni.cz/services/teitok/pdtc10/index.php?action=vallex&amp;frame=v-w3339f1", "oženit se (v-w3339f1)")</f>
        <v>oženit se (v-w3339f1)</v>
      </c>
    </row>
    <row r="25403" spans="1:4" x14ac:dyDescent="0.2">
      <c r="B25403" t="s">
        <v>1</v>
      </c>
      <c r="C25403" t="s">
        <v>8387</v>
      </c>
      <c r="D25403" t="s">
        <v>4011</v>
      </c>
    </row>
    <row r="25404" spans="1:4" x14ac:dyDescent="0.2">
      <c r="B25404" t="s">
        <v>2423</v>
      </c>
      <c r="C25404" t="s">
        <v>8388</v>
      </c>
      <c r="D25404" t="s">
        <v>3156</v>
      </c>
    </row>
    <row r="25406" spans="1:4" x14ac:dyDescent="0.2">
      <c r="A25406" t="s">
        <v>8389</v>
      </c>
      <c r="B25406" t="str">
        <f>HYPERLINK("https://lindat.mff.cuni.cz/services/teitok/pdtc10/index.php?action=vallex&amp;frame=v-w3344f1", "oživit (v-w3344f1)")</f>
        <v>oživit (v-w3344f1)</v>
      </c>
    </row>
    <row r="25407" spans="1:4" x14ac:dyDescent="0.2">
      <c r="B25407" t="s">
        <v>1</v>
      </c>
      <c r="C25407" t="s">
        <v>8390</v>
      </c>
      <c r="D25407" t="s">
        <v>23773</v>
      </c>
    </row>
    <row r="25408" spans="1:4" x14ac:dyDescent="0.2">
      <c r="B25408" t="s">
        <v>8</v>
      </c>
      <c r="C25408" t="s">
        <v>8391</v>
      </c>
      <c r="D25408" t="s">
        <v>23774</v>
      </c>
    </row>
    <row r="25410" spans="1:4" x14ac:dyDescent="0.2">
      <c r="A25410" t="s">
        <v>8392</v>
      </c>
      <c r="B25410" t="str">
        <f>HYPERLINK("https://lindat.mff.cuni.cz/services/teitok/pdtc10/index.php?action=vallex&amp;frame=v-w3344f2_ZU", "oživit (v-w3344f2_ZU)")</f>
        <v>oživit (v-w3344f2_ZU)</v>
      </c>
    </row>
    <row r="25411" spans="1:4" x14ac:dyDescent="0.2">
      <c r="B25411" t="s">
        <v>1</v>
      </c>
    </row>
    <row r="25413" spans="1:4" x14ac:dyDescent="0.2">
      <c r="A25413" t="s">
        <v>8393</v>
      </c>
      <c r="B25413" t="str">
        <f>HYPERLINK("https://lindat.mff.cuni.cz/services/teitok/pdtc10/index.php?action=vallex&amp;frame=v-w3344f3_ZU", "oživit (v-w3344f3_ZU)")</f>
        <v>oživit (v-w3344f3_ZU)</v>
      </c>
    </row>
    <row r="25414" spans="1:4" x14ac:dyDescent="0.2">
      <c r="B25414" t="s">
        <v>1</v>
      </c>
    </row>
    <row r="25415" spans="1:4" x14ac:dyDescent="0.2">
      <c r="B25415" t="s">
        <v>8</v>
      </c>
    </row>
    <row r="25417" spans="1:4" x14ac:dyDescent="0.2">
      <c r="A25417" t="s">
        <v>8394</v>
      </c>
      <c r="B25417" t="str">
        <f>HYPERLINK("https://lindat.mff.cuni.cz/services/teitok/pdtc10/index.php?action=vallex&amp;frame=v-whsa_267hsa_268", "oživnout (v-whsa_267hsa_268)")</f>
        <v>oživnout (v-whsa_267hsa_268)</v>
      </c>
    </row>
    <row r="25418" spans="1:4" x14ac:dyDescent="0.2">
      <c r="B25418" t="s">
        <v>1</v>
      </c>
      <c r="C25418" t="s">
        <v>8395</v>
      </c>
    </row>
    <row r="25420" spans="1:4" x14ac:dyDescent="0.2">
      <c r="A25420" t="s">
        <v>8396</v>
      </c>
      <c r="B25420" t="str">
        <f>HYPERLINK("https://lindat.mff.cuni.cz/services/teitok/pdtc10/index.php?action=vallex&amp;frame=v-w3346f1", "oživovat (v-w3346f1)")</f>
        <v>oživovat (v-w3346f1)</v>
      </c>
    </row>
    <row r="25421" spans="1:4" x14ac:dyDescent="0.2">
      <c r="B25421" t="s">
        <v>1</v>
      </c>
      <c r="C25421" t="s">
        <v>8397</v>
      </c>
      <c r="D25421" t="s">
        <v>23613</v>
      </c>
    </row>
    <row r="25422" spans="1:4" x14ac:dyDescent="0.2">
      <c r="B25422" t="s">
        <v>8</v>
      </c>
      <c r="C25422" t="s">
        <v>7127</v>
      </c>
      <c r="D25422" t="s">
        <v>12206</v>
      </c>
    </row>
    <row r="25424" spans="1:4" x14ac:dyDescent="0.2">
      <c r="A25424" t="s">
        <v>8398</v>
      </c>
      <c r="B25424" t="str">
        <f>HYPERLINK("https://lindat.mff.cuni.cz/services/teitok/pdtc10/index.php?action=vallex&amp;frame=v-w3346f2", "oživovat (v-w3346f2)")</f>
        <v>oživovat (v-w3346f2)</v>
      </c>
    </row>
    <row r="25425" spans="1:3" x14ac:dyDescent="0.2">
      <c r="B25425" t="s">
        <v>1</v>
      </c>
      <c r="C25425" t="s">
        <v>2239</v>
      </c>
    </row>
    <row r="25426" spans="1:3" x14ac:dyDescent="0.2">
      <c r="B25426" t="s">
        <v>8</v>
      </c>
      <c r="C25426" t="s">
        <v>3433</v>
      </c>
    </row>
    <row r="25428" spans="1:3" x14ac:dyDescent="0.2">
      <c r="A25428" t="s">
        <v>8399</v>
      </c>
      <c r="B25428" t="str">
        <f>HYPERLINK("https://lindat.mff.cuni.cz/services/teitok/pdtc10/index.php?action=vallex&amp;frame=v-w3346hsa_1933", "oživovat (v-w3346hsa_1933)")</f>
        <v>oživovat (v-w3346hsa_1933)</v>
      </c>
    </row>
    <row r="25429" spans="1:3" x14ac:dyDescent="0.2">
      <c r="B25429" t="s">
        <v>1</v>
      </c>
    </row>
    <row r="25430" spans="1:3" x14ac:dyDescent="0.2">
      <c r="B25430" t="s">
        <v>8</v>
      </c>
    </row>
    <row r="25432" spans="1:3" x14ac:dyDescent="0.2">
      <c r="A25432" t="s">
        <v>8400</v>
      </c>
      <c r="B25432" t="str">
        <f>HYPERLINK("https://lindat.mff.cuni.cz/services/teitok/pdtc10/index.php?action=vallex&amp;frame=v-w12198_ZUf1_ZU", "ožrat (v-w12198_ZUf1_ZU)")</f>
        <v>ožrat (v-w12198_ZUf1_ZU)</v>
      </c>
    </row>
    <row r="25433" spans="1:3" x14ac:dyDescent="0.2">
      <c r="B25433" t="s">
        <v>1</v>
      </c>
    </row>
    <row r="25434" spans="1:3" x14ac:dyDescent="0.2">
      <c r="B25434" t="s">
        <v>8</v>
      </c>
    </row>
    <row r="25436" spans="1:3" x14ac:dyDescent="0.2">
      <c r="A25436" t="s">
        <v>8401</v>
      </c>
      <c r="B25436" t="str">
        <f>HYPERLINK("https://lindat.mff.cuni.cz/services/teitok/pdtc10/index.php?action=vallex&amp;frame=v-w12199_ZUf1_ZU", "ožírat (v-w12199_ZUf1_ZU)")</f>
        <v>ožírat (v-w12199_ZUf1_ZU)</v>
      </c>
    </row>
    <row r="25437" spans="1:3" x14ac:dyDescent="0.2">
      <c r="B25437" t="s">
        <v>1</v>
      </c>
    </row>
    <row r="25438" spans="1:3" x14ac:dyDescent="0.2">
      <c r="B25438" t="s">
        <v>8</v>
      </c>
    </row>
    <row r="25440" spans="1:3" x14ac:dyDescent="0.2">
      <c r="A25440" t="s">
        <v>8402</v>
      </c>
      <c r="B25440" t="str">
        <f>HYPERLINK("https://lindat.mff.cuni.cz/services/teitok/pdtc10/index.php?action=vallex&amp;frame=v-w3341f1", "ožít (v-w3341f1)")</f>
        <v>ožít (v-w3341f1)</v>
      </c>
    </row>
    <row r="25441" spans="1:4" x14ac:dyDescent="0.2">
      <c r="B25441" t="s">
        <v>1</v>
      </c>
      <c r="C25441" t="s">
        <v>3043</v>
      </c>
      <c r="D25441" t="s">
        <v>23449</v>
      </c>
    </row>
    <row r="25443" spans="1:4" x14ac:dyDescent="0.2">
      <c r="A25443" t="s">
        <v>8403</v>
      </c>
      <c r="B25443" t="str">
        <f>HYPERLINK("https://lindat.mff.cuni.cz/services/teitok/pdtc10/index.php?action=vallex&amp;frame=v-w3341hsa_163", "ožít (v-w3341hsa_163)")</f>
        <v>ožít (v-w3341hsa_163)</v>
      </c>
    </row>
    <row r="25444" spans="1:4" x14ac:dyDescent="0.2">
      <c r="B25444" t="s">
        <v>1</v>
      </c>
    </row>
    <row r="25446" spans="1:4" x14ac:dyDescent="0.2">
      <c r="A25446" t="s">
        <v>8404</v>
      </c>
      <c r="B25446" t="str">
        <f>HYPERLINK("https://lindat.mff.cuni.cz/services/teitok/pdtc10/index.php?action=vallex&amp;frame=v-w3342f1", "ožívat (v-w3342f1)")</f>
        <v>ožívat (v-w3342f1)</v>
      </c>
    </row>
    <row r="25447" spans="1:4" x14ac:dyDescent="0.2">
      <c r="B25447" t="s">
        <v>1</v>
      </c>
      <c r="C25447" t="s">
        <v>553</v>
      </c>
    </row>
    <row r="25449" spans="1:4" x14ac:dyDescent="0.2">
      <c r="A25449" t="s">
        <v>8405</v>
      </c>
      <c r="B25449" t="str">
        <f>HYPERLINK("https://lindat.mff.cuni.cz/services/teitok/pdtc10/index.php?action=vallex&amp;frame=v-w3342f2", "ožívat (v-w3342f2)")</f>
        <v>ožívat (v-w3342f2)</v>
      </c>
    </row>
    <row r="25450" spans="1:4" x14ac:dyDescent="0.2">
      <c r="B25450" t="s">
        <v>1</v>
      </c>
      <c r="D25450" t="s">
        <v>23062</v>
      </c>
    </row>
    <row r="25452" spans="1:4" x14ac:dyDescent="0.2">
      <c r="A25452" t="s">
        <v>8406</v>
      </c>
      <c r="B25452" t="str">
        <f>HYPERLINK("https://lindat.mff.cuni.cz/services/teitok/pdtc10/index.php?action=vallex&amp;frame=v-w11355f3_ZU", "pachtit se (v-w11355f3_ZU)")</f>
        <v>pachtit se (v-w11355f3_ZU)</v>
      </c>
    </row>
    <row r="25453" spans="1:4" x14ac:dyDescent="0.2">
      <c r="B25453" t="s">
        <v>1</v>
      </c>
    </row>
    <row r="25454" spans="1:4" x14ac:dyDescent="0.2">
      <c r="B25454" t="s">
        <v>3368</v>
      </c>
    </row>
    <row r="25456" spans="1:4" x14ac:dyDescent="0.2">
      <c r="A25456" t="s">
        <v>8406</v>
      </c>
      <c r="B25456" t="str">
        <f>HYPERLINK("https://lindat.mff.cuni.cz/services/teitok/pdtc10/index.php?action=vallex&amp;frame=v-w11355f2_ZU", "pachtit se (v-w11355f2_ZU) - substituted with v-w11355f3_ZU")</f>
        <v>pachtit se (v-w11355f2_ZU) - substituted with v-w11355f3_ZU</v>
      </c>
    </row>
    <row r="25457" spans="1:4" x14ac:dyDescent="0.2">
      <c r="B25457" t="s">
        <v>1</v>
      </c>
    </row>
    <row r="25458" spans="1:4" x14ac:dyDescent="0.2">
      <c r="B25458" t="s">
        <v>3368</v>
      </c>
    </row>
    <row r="25460" spans="1:4" x14ac:dyDescent="0.2">
      <c r="A25460" t="s">
        <v>8407</v>
      </c>
      <c r="B25460" t="str">
        <f>HYPERLINK("https://lindat.mff.cuni.cz/services/teitok/pdtc10/index.php?action=vallex&amp;frame=v-w11355f1", "pachtit se (v-w11355f1)")</f>
        <v>pachtit se (v-w11355f1)</v>
      </c>
    </row>
    <row r="25461" spans="1:4" x14ac:dyDescent="0.2">
      <c r="B25461" t="s">
        <v>1</v>
      </c>
      <c r="C25461" t="s">
        <v>133</v>
      </c>
      <c r="D25461" t="s">
        <v>23318</v>
      </c>
    </row>
    <row r="25463" spans="1:4" x14ac:dyDescent="0.2">
      <c r="A25463" t="s">
        <v>8408</v>
      </c>
      <c r="B25463" t="str">
        <f>HYPERLINK("https://lindat.mff.cuni.cz/services/teitok/pdtc10/index.php?action=vallex&amp;frame=v-w3348f1", "pacifikovat (v-w3348f1)")</f>
        <v>pacifikovat (v-w3348f1)</v>
      </c>
    </row>
    <row r="25464" spans="1:4" x14ac:dyDescent="0.2">
      <c r="B25464" t="s">
        <v>1</v>
      </c>
      <c r="D25464" t="s">
        <v>23047</v>
      </c>
    </row>
    <row r="25465" spans="1:4" x14ac:dyDescent="0.2">
      <c r="B25465" t="s">
        <v>8</v>
      </c>
      <c r="D25465" t="s">
        <v>2747</v>
      </c>
    </row>
    <row r="25467" spans="1:4" x14ac:dyDescent="0.2">
      <c r="A25467" t="s">
        <v>8409</v>
      </c>
      <c r="B25467" t="str">
        <f>HYPERLINK("https://lindat.mff.cuni.cz/services/teitok/pdtc10/index.php?action=vallex&amp;frame=v-w3351f3", "padat (v-w3351f3)")</f>
        <v>padat (v-w3351f3)</v>
      </c>
    </row>
    <row r="25468" spans="1:4" x14ac:dyDescent="0.2">
      <c r="B25468" t="s">
        <v>1</v>
      </c>
      <c r="C25468" t="s">
        <v>8410</v>
      </c>
      <c r="D25468" t="s">
        <v>23736</v>
      </c>
    </row>
    <row r="25469" spans="1:4" x14ac:dyDescent="0.2">
      <c r="B25469" t="s">
        <v>46</v>
      </c>
      <c r="C25469" t="s">
        <v>8411</v>
      </c>
      <c r="D25469" t="s">
        <v>23737</v>
      </c>
    </row>
    <row r="25470" spans="1:4" x14ac:dyDescent="0.2">
      <c r="B25470" t="s">
        <v>24</v>
      </c>
      <c r="C25470" t="s">
        <v>8412</v>
      </c>
      <c r="D25470" t="s">
        <v>23738</v>
      </c>
    </row>
    <row r="25472" spans="1:4" x14ac:dyDescent="0.2">
      <c r="A25472" t="s">
        <v>8413</v>
      </c>
      <c r="B25472" t="str">
        <f>HYPERLINK("https://lindat.mff.cuni.cz/services/teitok/pdtc10/index.php?action=vallex&amp;frame=v-w3351f4", "padat (v-w3351f4)")</f>
        <v>padat (v-w3351f4)</v>
      </c>
    </row>
    <row r="25473" spans="1:4" x14ac:dyDescent="0.2">
      <c r="B25473" t="s">
        <v>1</v>
      </c>
    </row>
    <row r="25474" spans="1:4" x14ac:dyDescent="0.2">
      <c r="B25474" t="s">
        <v>411</v>
      </c>
    </row>
    <row r="25476" spans="1:4" x14ac:dyDescent="0.2">
      <c r="A25476" t="s">
        <v>8414</v>
      </c>
      <c r="B25476" t="str">
        <f>HYPERLINK("https://lindat.mff.cuni.cz/services/teitok/pdtc10/index.php?action=vallex&amp;frame=v-w3351f5_ZU", "padat (v-w3351f5_ZU)")</f>
        <v>padat (v-w3351f5_ZU)</v>
      </c>
    </row>
    <row r="25477" spans="1:4" x14ac:dyDescent="0.2">
      <c r="B25477" t="s">
        <v>1</v>
      </c>
    </row>
    <row r="25478" spans="1:4" x14ac:dyDescent="0.2">
      <c r="B25478" t="s">
        <v>252</v>
      </c>
    </row>
    <row r="25480" spans="1:4" x14ac:dyDescent="0.2">
      <c r="A25480" t="s">
        <v>8415</v>
      </c>
      <c r="B25480" t="str">
        <f>HYPERLINK("https://lindat.mff.cuni.cz/services/teitok/pdtc10/index.php?action=vallex&amp;frame=v-w3351f1", "padat (v-w3351f1)")</f>
        <v>padat (v-w3351f1)</v>
      </c>
    </row>
    <row r="25481" spans="1:4" x14ac:dyDescent="0.2">
      <c r="B25481" t="s">
        <v>1</v>
      </c>
      <c r="C25481" t="s">
        <v>8416</v>
      </c>
      <c r="D25481" t="s">
        <v>3043</v>
      </c>
    </row>
    <row r="25483" spans="1:4" x14ac:dyDescent="0.2">
      <c r="A25483" t="s">
        <v>8417</v>
      </c>
      <c r="B25483" t="str">
        <f>HYPERLINK("https://lindat.mff.cuni.cz/services/teitok/pdtc10/index.php?action=vallex&amp;frame=v-w3351f2", "padat (v-w3351f2)")</f>
        <v>padat (v-w3351f2)</v>
      </c>
    </row>
    <row r="25484" spans="1:4" x14ac:dyDescent="0.2">
      <c r="B25484" t="s">
        <v>1</v>
      </c>
    </row>
    <row r="25486" spans="1:4" x14ac:dyDescent="0.2">
      <c r="A25486" t="s">
        <v>8418</v>
      </c>
      <c r="B25486" t="str">
        <f>HYPERLINK("https://lindat.mff.cuni.cz/services/teitok/pdtc10/index.php?action=vallex&amp;frame=v-w3351f6_ZU", "padat (v-w3351f6_ZU)")</f>
        <v>padat (v-w3351f6_ZU)</v>
      </c>
    </row>
    <row r="25487" spans="1:4" x14ac:dyDescent="0.2">
      <c r="B25487" t="s">
        <v>8419</v>
      </c>
      <c r="C25487" t="s">
        <v>8420</v>
      </c>
    </row>
    <row r="25489" spans="1:4" x14ac:dyDescent="0.2">
      <c r="A25489" t="s">
        <v>8421</v>
      </c>
      <c r="B25489" t="str">
        <f>HYPERLINK("https://lindat.mff.cuni.cz/services/teitok/pdtc10/index.php?action=vallex&amp;frame=v-w3351f7_ZU", "padat (v-w3351f7_ZU)")</f>
        <v>padat (v-w3351f7_ZU)</v>
      </c>
    </row>
    <row r="25490" spans="1:4" x14ac:dyDescent="0.2">
      <c r="B25490" t="s">
        <v>1</v>
      </c>
    </row>
    <row r="25492" spans="1:4" x14ac:dyDescent="0.2">
      <c r="A25492" t="s">
        <v>8422</v>
      </c>
      <c r="B25492" t="str">
        <f>HYPERLINK("https://lindat.mff.cuni.cz/services/teitok/pdtc10/index.php?action=vallex&amp;frame=v-w3351f8_ZU", "padat (v-w3351f8_ZU)")</f>
        <v>padat (v-w3351f8_ZU)</v>
      </c>
    </row>
    <row r="25493" spans="1:4" x14ac:dyDescent="0.2">
      <c r="B25493" t="s">
        <v>1</v>
      </c>
    </row>
    <row r="25495" spans="1:4" x14ac:dyDescent="0.2">
      <c r="A25495" t="s">
        <v>8423</v>
      </c>
      <c r="B25495" t="str">
        <f>HYPERLINK("https://lindat.mff.cuni.cz/services/teitok/pdtc10/index.php?action=vallex&amp;frame=v-w3356f20", "padnout (v-w3356f20)")</f>
        <v>padnout (v-w3356f20)</v>
      </c>
    </row>
    <row r="25496" spans="1:4" x14ac:dyDescent="0.2">
      <c r="B25496" t="s">
        <v>1</v>
      </c>
      <c r="C25496" t="s">
        <v>3992</v>
      </c>
      <c r="D25496" t="s">
        <v>23736</v>
      </c>
    </row>
    <row r="25497" spans="1:4" x14ac:dyDescent="0.2">
      <c r="B25497" t="s">
        <v>46</v>
      </c>
      <c r="C25497" t="s">
        <v>3993</v>
      </c>
      <c r="D25497" t="s">
        <v>23737</v>
      </c>
    </row>
    <row r="25498" spans="1:4" x14ac:dyDescent="0.2">
      <c r="B25498" t="s">
        <v>24</v>
      </c>
      <c r="C25498" t="s">
        <v>3994</v>
      </c>
      <c r="D25498" t="s">
        <v>23738</v>
      </c>
    </row>
    <row r="25500" spans="1:4" x14ac:dyDescent="0.2">
      <c r="A25500" t="s">
        <v>8424</v>
      </c>
      <c r="B25500" t="str">
        <f>HYPERLINK("https://lindat.mff.cuni.cz/services/teitok/pdtc10/index.php?action=vallex&amp;frame=v-w3356f16", "padnout (v-w3356f16)")</f>
        <v>padnout (v-w3356f16)</v>
      </c>
    </row>
    <row r="25501" spans="1:4" x14ac:dyDescent="0.2">
      <c r="B25501" t="s">
        <v>5942</v>
      </c>
    </row>
    <row r="25502" spans="1:4" x14ac:dyDescent="0.2">
      <c r="B25502" t="s">
        <v>103</v>
      </c>
    </row>
    <row r="25504" spans="1:4" x14ac:dyDescent="0.2">
      <c r="A25504" t="s">
        <v>8425</v>
      </c>
      <c r="B25504" t="str">
        <f>HYPERLINK("https://lindat.mff.cuni.cz/services/teitok/pdtc10/index.php?action=vallex&amp;frame=v-w3356f7", "padnout (v-w3356f7)")</f>
        <v>padnout (v-w3356f7)</v>
      </c>
    </row>
    <row r="25505" spans="1:4" x14ac:dyDescent="0.2">
      <c r="B25505" t="s">
        <v>1</v>
      </c>
      <c r="C25505" t="s">
        <v>6843</v>
      </c>
      <c r="D25505" t="s">
        <v>23156</v>
      </c>
    </row>
    <row r="25506" spans="1:4" x14ac:dyDescent="0.2">
      <c r="B25506" t="s">
        <v>28</v>
      </c>
      <c r="C25506" t="s">
        <v>7830</v>
      </c>
      <c r="D25506" t="s">
        <v>23157</v>
      </c>
    </row>
    <row r="25508" spans="1:4" x14ac:dyDescent="0.2">
      <c r="A25508" t="s">
        <v>8426</v>
      </c>
      <c r="B25508" t="str">
        <f>HYPERLINK("https://lindat.mff.cuni.cz/services/teitok/pdtc10/index.php?action=vallex&amp;frame=v-w3356f10", "padnout (v-w3356f10)")</f>
        <v>padnout (v-w3356f10)</v>
      </c>
    </row>
    <row r="25509" spans="1:4" x14ac:dyDescent="0.2">
      <c r="B25509" t="s">
        <v>1</v>
      </c>
    </row>
    <row r="25510" spans="1:4" x14ac:dyDescent="0.2">
      <c r="B25510" t="s">
        <v>28</v>
      </c>
    </row>
    <row r="25512" spans="1:4" x14ac:dyDescent="0.2">
      <c r="A25512" t="s">
        <v>8427</v>
      </c>
      <c r="B25512" t="str">
        <f>HYPERLINK("https://lindat.mff.cuni.cz/services/teitok/pdtc10/index.php?action=vallex&amp;frame=v-w3356f18", "padnout (v-w3356f18)")</f>
        <v>padnout (v-w3356f18)</v>
      </c>
    </row>
    <row r="25513" spans="1:4" x14ac:dyDescent="0.2">
      <c r="B25513" t="s">
        <v>1</v>
      </c>
    </row>
    <row r="25514" spans="1:4" x14ac:dyDescent="0.2">
      <c r="B25514" t="s">
        <v>28</v>
      </c>
    </row>
    <row r="25516" spans="1:4" x14ac:dyDescent="0.2">
      <c r="A25516" t="s">
        <v>8428</v>
      </c>
      <c r="B25516" t="str">
        <f>HYPERLINK("https://lindat.mff.cuni.cz/services/teitok/pdtc10/index.php?action=vallex&amp;frame=v-w3356f17", "padnout (v-w3356f17)")</f>
        <v>padnout (v-w3356f17)</v>
      </c>
    </row>
    <row r="25517" spans="1:4" x14ac:dyDescent="0.2">
      <c r="B25517" t="s">
        <v>1</v>
      </c>
    </row>
    <row r="25518" spans="1:4" x14ac:dyDescent="0.2">
      <c r="B25518" t="s">
        <v>28</v>
      </c>
    </row>
    <row r="25520" spans="1:4" x14ac:dyDescent="0.2">
      <c r="A25520" t="s">
        <v>8429</v>
      </c>
      <c r="B25520" t="str">
        <f>HYPERLINK("https://lindat.mff.cuni.cz/services/teitok/pdtc10/index.php?action=vallex&amp;frame=v-w3356f8", "padnout (v-w3356f8)")</f>
        <v>padnout (v-w3356f8)</v>
      </c>
    </row>
    <row r="25521" spans="1:4" x14ac:dyDescent="0.2">
      <c r="B25521" t="s">
        <v>1</v>
      </c>
      <c r="C25521" t="s">
        <v>566</v>
      </c>
    </row>
    <row r="25522" spans="1:4" x14ac:dyDescent="0.2">
      <c r="B25522" t="s">
        <v>205</v>
      </c>
    </row>
    <row r="25524" spans="1:4" x14ac:dyDescent="0.2">
      <c r="A25524" t="s">
        <v>8430</v>
      </c>
      <c r="B25524" t="str">
        <f>HYPERLINK("https://lindat.mff.cuni.cz/services/teitok/pdtc10/index.php?action=vallex&amp;frame=v-w3356f2", "padnout (v-w3356f2)")</f>
        <v>padnout (v-w3356f2)</v>
      </c>
    </row>
    <row r="25525" spans="1:4" x14ac:dyDescent="0.2">
      <c r="B25525" t="s">
        <v>1</v>
      </c>
      <c r="C25525" t="s">
        <v>6843</v>
      </c>
    </row>
    <row r="25527" spans="1:4" x14ac:dyDescent="0.2">
      <c r="A25527" t="s">
        <v>8431</v>
      </c>
      <c r="B25527" t="str">
        <f>HYPERLINK("https://lindat.mff.cuni.cz/services/teitok/pdtc10/index.php?action=vallex&amp;frame=v-w3356f3", "padnout (v-w3356f3)")</f>
        <v>padnout (v-w3356f3)</v>
      </c>
    </row>
    <row r="25528" spans="1:4" x14ac:dyDescent="0.2">
      <c r="B25528" t="s">
        <v>1</v>
      </c>
      <c r="C25528" t="s">
        <v>8432</v>
      </c>
      <c r="D25528" t="s">
        <v>23775</v>
      </c>
    </row>
    <row r="25530" spans="1:4" x14ac:dyDescent="0.2">
      <c r="A25530" t="s">
        <v>8433</v>
      </c>
      <c r="B25530" t="str">
        <f>HYPERLINK("https://lindat.mff.cuni.cz/services/teitok/pdtc10/index.php?action=vallex&amp;frame=v-w3356f4", "padnout (v-w3356f4)")</f>
        <v>padnout (v-w3356f4)</v>
      </c>
    </row>
    <row r="25531" spans="1:4" x14ac:dyDescent="0.2">
      <c r="B25531" t="s">
        <v>1</v>
      </c>
      <c r="C25531" t="s">
        <v>553</v>
      </c>
      <c r="D25531" t="s">
        <v>1593</v>
      </c>
    </row>
    <row r="25533" spans="1:4" x14ac:dyDescent="0.2">
      <c r="A25533" t="s">
        <v>8434</v>
      </c>
      <c r="B25533" t="str">
        <f>HYPERLINK("https://lindat.mff.cuni.cz/services/teitok/pdtc10/index.php?action=vallex&amp;frame=v-w3356f5", "padnout (v-w3356f5)")</f>
        <v>padnout (v-w3356f5)</v>
      </c>
    </row>
    <row r="25534" spans="1:4" x14ac:dyDescent="0.2">
      <c r="B25534" t="s">
        <v>1</v>
      </c>
    </row>
    <row r="25536" spans="1:4" x14ac:dyDescent="0.2">
      <c r="A25536" t="s">
        <v>8435</v>
      </c>
      <c r="B25536" t="str">
        <f>HYPERLINK("https://lindat.mff.cuni.cz/services/teitok/pdtc10/index.php?action=vallex&amp;frame=v-w3356f6", "padnout (v-w3356f6)")</f>
        <v>padnout (v-w3356f6)</v>
      </c>
    </row>
    <row r="25537" spans="1:4" x14ac:dyDescent="0.2">
      <c r="B25537" t="s">
        <v>1</v>
      </c>
    </row>
    <row r="25539" spans="1:4" x14ac:dyDescent="0.2">
      <c r="A25539" t="s">
        <v>8436</v>
      </c>
      <c r="B25539" t="str">
        <f>HYPERLINK("https://lindat.mff.cuni.cz/services/teitok/pdtc10/index.php?action=vallex&amp;frame=v-w3356f9", "padnout (v-w3356f9)")</f>
        <v>padnout (v-w3356f9)</v>
      </c>
    </row>
    <row r="25540" spans="1:4" x14ac:dyDescent="0.2">
      <c r="B25540" t="s">
        <v>1</v>
      </c>
      <c r="C25540" t="s">
        <v>201</v>
      </c>
      <c r="D25540" t="s">
        <v>7571</v>
      </c>
    </row>
    <row r="25542" spans="1:4" x14ac:dyDescent="0.2">
      <c r="A25542" t="s">
        <v>8437</v>
      </c>
      <c r="B25542" t="str">
        <f>HYPERLINK("https://lindat.mff.cuni.cz/services/teitok/pdtc10/index.php?action=vallex&amp;frame=v-w3356f14", "padnout (v-w3356f14)")</f>
        <v>padnout (v-w3356f14)</v>
      </c>
    </row>
    <row r="25543" spans="1:4" x14ac:dyDescent="0.2">
      <c r="B25543" t="s">
        <v>1</v>
      </c>
    </row>
    <row r="25545" spans="1:4" x14ac:dyDescent="0.2">
      <c r="A25545" t="s">
        <v>8438</v>
      </c>
      <c r="B25545" t="str">
        <f>HYPERLINK("https://lindat.mff.cuni.cz/services/teitok/pdtc10/index.php?action=vallex&amp;frame=v-w3356f1", "padnout (v-w3356f1)")</f>
        <v>padnout (v-w3356f1)</v>
      </c>
    </row>
    <row r="25546" spans="1:4" x14ac:dyDescent="0.2">
      <c r="B25546" t="s">
        <v>8439</v>
      </c>
    </row>
    <row r="25548" spans="1:4" x14ac:dyDescent="0.2">
      <c r="A25548" t="s">
        <v>8440</v>
      </c>
      <c r="B25548" t="str">
        <f>HYPERLINK("https://lindat.mff.cuni.cz/services/teitok/pdtc10/index.php?action=vallex&amp;frame=v-w3356f12", "padnout (v-w3356f12)")</f>
        <v>padnout (v-w3356f12)</v>
      </c>
    </row>
    <row r="25549" spans="1:4" x14ac:dyDescent="0.2">
      <c r="B25549" t="s">
        <v>488</v>
      </c>
    </row>
    <row r="25550" spans="1:4" x14ac:dyDescent="0.2">
      <c r="B25550" t="s">
        <v>8441</v>
      </c>
    </row>
    <row r="25551" spans="1:4" x14ac:dyDescent="0.2">
      <c r="B25551" t="s">
        <v>103</v>
      </c>
    </row>
    <row r="25553" spans="1:4" x14ac:dyDescent="0.2">
      <c r="A25553" t="s">
        <v>8442</v>
      </c>
      <c r="B25553" t="str">
        <f>HYPERLINK("https://lindat.mff.cuni.cz/services/teitok/pdtc10/index.php?action=vallex&amp;frame=v-w3356f19", "padnout (v-w3356f19)")</f>
        <v>padnout (v-w3356f19)</v>
      </c>
    </row>
    <row r="25554" spans="1:4" x14ac:dyDescent="0.2">
      <c r="B25554" t="s">
        <v>1</v>
      </c>
    </row>
    <row r="25555" spans="1:4" x14ac:dyDescent="0.2">
      <c r="B25555" t="s">
        <v>3477</v>
      </c>
    </row>
    <row r="25556" spans="1:4" x14ac:dyDescent="0.2">
      <c r="B25556" t="s">
        <v>103</v>
      </c>
    </row>
    <row r="25558" spans="1:4" x14ac:dyDescent="0.2">
      <c r="A25558" t="s">
        <v>8443</v>
      </c>
      <c r="B25558" t="str">
        <f>HYPERLINK("https://lindat.mff.cuni.cz/services/teitok/pdtc10/index.php?action=vallex&amp;frame=v-w3356f15", "padnout (v-w3356f15)")</f>
        <v>padnout (v-w3356f15)</v>
      </c>
    </row>
    <row r="25559" spans="1:4" x14ac:dyDescent="0.2">
      <c r="B25559" t="s">
        <v>1</v>
      </c>
    </row>
    <row r="25560" spans="1:4" x14ac:dyDescent="0.2">
      <c r="B25560" t="s">
        <v>8444</v>
      </c>
    </row>
    <row r="25561" spans="1:4" x14ac:dyDescent="0.2">
      <c r="B25561" t="s">
        <v>8445</v>
      </c>
    </row>
    <row r="25563" spans="1:4" x14ac:dyDescent="0.2">
      <c r="A25563" t="s">
        <v>8446</v>
      </c>
      <c r="B25563" t="str">
        <f>HYPERLINK("https://lindat.mff.cuni.cz/services/teitok/pdtc10/index.php?action=vallex&amp;frame=v-w3356f11", "padnout (v-w3356f11)")</f>
        <v>padnout (v-w3356f11)</v>
      </c>
    </row>
    <row r="25564" spans="1:4" x14ac:dyDescent="0.2">
      <c r="B25564" t="s">
        <v>1</v>
      </c>
      <c r="C25564" t="s">
        <v>147</v>
      </c>
      <c r="D25564" t="s">
        <v>140</v>
      </c>
    </row>
    <row r="25565" spans="1:4" x14ac:dyDescent="0.2">
      <c r="B25565" t="s">
        <v>8447</v>
      </c>
      <c r="C25565" t="s">
        <v>8448</v>
      </c>
    </row>
    <row r="25566" spans="1:4" x14ac:dyDescent="0.2">
      <c r="B25566" t="s">
        <v>103</v>
      </c>
      <c r="C25566" t="s">
        <v>8449</v>
      </c>
      <c r="D25566" t="s">
        <v>113</v>
      </c>
    </row>
    <row r="25568" spans="1:4" x14ac:dyDescent="0.2">
      <c r="A25568" t="s">
        <v>8450</v>
      </c>
      <c r="B25568" t="str">
        <f>HYPERLINK("https://lindat.mff.cuni.cz/services/teitok/pdtc10/index.php?action=vallex&amp;frame=v-w3356f13", "padnout (v-w3356f13)")</f>
        <v>padnout (v-w3356f13)</v>
      </c>
    </row>
    <row r="25569" spans="1:2" x14ac:dyDescent="0.2">
      <c r="B25569" t="s">
        <v>8451</v>
      </c>
    </row>
    <row r="25571" spans="1:2" x14ac:dyDescent="0.2">
      <c r="A25571" t="s">
        <v>8452</v>
      </c>
      <c r="B25571" t="str">
        <f>HYPERLINK("https://lindat.mff.cuni.cz/services/teitok/pdtc10/index.php?action=vallex&amp;frame=v-w3356f21_ZU", "padnout (v-w3356f21_ZU)")</f>
        <v>padnout (v-w3356f21_ZU)</v>
      </c>
    </row>
    <row r="25572" spans="1:2" x14ac:dyDescent="0.2">
      <c r="B25572" t="s">
        <v>1</v>
      </c>
    </row>
    <row r="25573" spans="1:2" x14ac:dyDescent="0.2">
      <c r="B25573" t="s">
        <v>8453</v>
      </c>
    </row>
    <row r="25574" spans="1:2" x14ac:dyDescent="0.2">
      <c r="B25574" t="s">
        <v>103</v>
      </c>
    </row>
    <row r="25576" spans="1:2" x14ac:dyDescent="0.2">
      <c r="A25576" t="s">
        <v>8452</v>
      </c>
      <c r="B25576" t="str">
        <f>HYPERLINK("https://lindat.mff.cuni.cz/services/teitok/pdtc10/index.php?action=vallex&amp;frame=v-w3356hsa_1100", "padnout (v-w3356hsa_1100) - substituted with v-w3356f21_ZU")</f>
        <v>padnout (v-w3356hsa_1100) - substituted with v-w3356f21_ZU</v>
      </c>
    </row>
    <row r="25577" spans="1:2" x14ac:dyDescent="0.2">
      <c r="B25577" t="s">
        <v>1</v>
      </c>
    </row>
    <row r="25578" spans="1:2" x14ac:dyDescent="0.2">
      <c r="B25578" t="s">
        <v>8453</v>
      </c>
    </row>
    <row r="25579" spans="1:2" x14ac:dyDescent="0.2">
      <c r="B25579" t="s">
        <v>103</v>
      </c>
    </row>
    <row r="25581" spans="1:2" x14ac:dyDescent="0.2">
      <c r="A25581" t="s">
        <v>8454</v>
      </c>
      <c r="B25581" t="str">
        <f>HYPERLINK("https://lindat.mff.cuni.cz/services/teitok/pdtc10/index.php?action=vallex&amp;frame=v-w3356f22_ZU", "padnout (v-w3356f22_ZU)")</f>
        <v>padnout (v-w3356f22_ZU)</v>
      </c>
    </row>
    <row r="25582" spans="1:2" x14ac:dyDescent="0.2">
      <c r="B25582" t="s">
        <v>1</v>
      </c>
    </row>
    <row r="25584" spans="1:2" x14ac:dyDescent="0.2">
      <c r="A25584" t="s">
        <v>8455</v>
      </c>
      <c r="B25584" t="str">
        <f>HYPERLINK("https://lindat.mff.cuni.cz/services/teitok/pdtc10/index.php?action=vallex&amp;frame=v-whsa_1630f1_ZU", "padnout si (v-whsa_1630f1_ZU)")</f>
        <v>padnout si (v-whsa_1630f1_ZU)</v>
      </c>
    </row>
    <row r="25585" spans="1:4" x14ac:dyDescent="0.2">
      <c r="B25585" t="s">
        <v>1</v>
      </c>
    </row>
    <row r="25586" spans="1:4" x14ac:dyDescent="0.2">
      <c r="B25586" t="s">
        <v>8441</v>
      </c>
    </row>
    <row r="25587" spans="1:4" x14ac:dyDescent="0.2">
      <c r="B25587" t="s">
        <v>411</v>
      </c>
    </row>
    <row r="25589" spans="1:4" x14ac:dyDescent="0.2">
      <c r="A25589" t="s">
        <v>8455</v>
      </c>
      <c r="B25589" t="str">
        <f>HYPERLINK("https://lindat.mff.cuni.cz/services/teitok/pdtc10/index.php?action=vallex&amp;frame=v-whsa_1630hsa_1631", "padnout si (v-whsa_1630hsa_1631) - substituted with v-whsa_1630f1_ZU")</f>
        <v>padnout si (v-whsa_1630hsa_1631) - substituted with v-whsa_1630f1_ZU</v>
      </c>
    </row>
    <row r="25590" spans="1:4" x14ac:dyDescent="0.2">
      <c r="B25590" t="s">
        <v>1</v>
      </c>
    </row>
    <row r="25591" spans="1:4" x14ac:dyDescent="0.2">
      <c r="B25591" t="s">
        <v>8441</v>
      </c>
    </row>
    <row r="25592" spans="1:4" x14ac:dyDescent="0.2">
      <c r="B25592" t="s">
        <v>411</v>
      </c>
    </row>
    <row r="25594" spans="1:4" x14ac:dyDescent="0.2">
      <c r="A25594" t="s">
        <v>8456</v>
      </c>
      <c r="B25594" t="str">
        <f>HYPERLINK("https://lindat.mff.cuni.cz/services/teitok/pdtc10/index.php?action=vallex&amp;frame=v-w3353f1", "padělat (v-w3353f1)")</f>
        <v>padělat (v-w3353f1)</v>
      </c>
    </row>
    <row r="25595" spans="1:4" x14ac:dyDescent="0.2">
      <c r="B25595" t="s">
        <v>1</v>
      </c>
      <c r="D25595" t="s">
        <v>80</v>
      </c>
    </row>
    <row r="25596" spans="1:4" x14ac:dyDescent="0.2">
      <c r="B25596" t="s">
        <v>8</v>
      </c>
      <c r="D25596" t="s">
        <v>1066</v>
      </c>
    </row>
    <row r="25598" spans="1:4" x14ac:dyDescent="0.2">
      <c r="A25598" t="s">
        <v>8457</v>
      </c>
      <c r="B25598" t="str">
        <f>HYPERLINK("https://lindat.mff.cuni.cz/services/teitok/pdtc10/index.php?action=vallex&amp;frame=v-whsa_1518hsa_1519", "pakovat (v-whsa_1518hsa_1519)")</f>
        <v>pakovat (v-whsa_1518hsa_1519)</v>
      </c>
    </row>
    <row r="25599" spans="1:4" x14ac:dyDescent="0.2">
      <c r="B25599" t="s">
        <v>1</v>
      </c>
    </row>
    <row r="25600" spans="1:4" x14ac:dyDescent="0.2">
      <c r="B25600" t="s">
        <v>8</v>
      </c>
    </row>
    <row r="25602" spans="1:3" x14ac:dyDescent="0.2">
      <c r="A25602" t="s">
        <v>8458</v>
      </c>
      <c r="B25602" t="str">
        <f>HYPERLINK("https://lindat.mff.cuni.cz/services/teitok/pdtc10/index.php?action=vallex&amp;frame=v-whsa_1514hsa_1515", "pakovat se (v-whsa_1514hsa_1515)")</f>
        <v>pakovat se (v-whsa_1514hsa_1515)</v>
      </c>
    </row>
    <row r="25603" spans="1:3" x14ac:dyDescent="0.2">
      <c r="B25603" t="s">
        <v>1</v>
      </c>
    </row>
    <row r="25605" spans="1:3" x14ac:dyDescent="0.2">
      <c r="A25605" t="s">
        <v>8459</v>
      </c>
      <c r="B25605" t="str">
        <f>HYPERLINK("https://lindat.mff.cuni.cz/services/teitok/pdtc10/index.php?action=vallex&amp;frame=v-w12079_ZUf1_ZU", "paličkovat (v-w12079_ZUf1_ZU)")</f>
        <v>paličkovat (v-w12079_ZUf1_ZU)</v>
      </c>
    </row>
    <row r="25606" spans="1:3" x14ac:dyDescent="0.2">
      <c r="B25606" t="s">
        <v>1</v>
      </c>
    </row>
    <row r="25607" spans="1:3" x14ac:dyDescent="0.2">
      <c r="B25607" t="s">
        <v>8</v>
      </c>
    </row>
    <row r="25608" spans="1:3" x14ac:dyDescent="0.2">
      <c r="B25608" t="s">
        <v>24</v>
      </c>
    </row>
    <row r="25610" spans="1:3" x14ac:dyDescent="0.2">
      <c r="A25610" t="s">
        <v>8460</v>
      </c>
      <c r="B25610" t="str">
        <f>HYPERLINK("https://lindat.mff.cuni.cz/services/teitok/pdtc10/index.php?action=vallex&amp;frame=v-w3367f5_ZU", "pamatovat (v-w3367f5_ZU)")</f>
        <v>pamatovat (v-w3367f5_ZU)</v>
      </c>
    </row>
    <row r="25611" spans="1:3" x14ac:dyDescent="0.2">
      <c r="B25611" t="s">
        <v>1</v>
      </c>
    </row>
    <row r="25612" spans="1:3" x14ac:dyDescent="0.2">
      <c r="B25612" t="s">
        <v>8461</v>
      </c>
    </row>
    <row r="25614" spans="1:3" x14ac:dyDescent="0.2">
      <c r="A25614" t="s">
        <v>8460</v>
      </c>
      <c r="B25614" t="str">
        <f>HYPERLINK("https://lindat.mff.cuni.cz/services/teitok/pdtc10/index.php?action=vallex&amp;frame=v-w3367f1", "pamatovat (v-w3367f1) - substituted with v-w3367f5_ZU")</f>
        <v>pamatovat (v-w3367f1) - substituted with v-w3367f5_ZU</v>
      </c>
    </row>
    <row r="25615" spans="1:3" x14ac:dyDescent="0.2">
      <c r="B25615" t="s">
        <v>1</v>
      </c>
      <c r="C25615" t="s">
        <v>1805</v>
      </c>
    </row>
    <row r="25616" spans="1:3" x14ac:dyDescent="0.2">
      <c r="B25616" t="s">
        <v>8461</v>
      </c>
      <c r="C25616" t="s">
        <v>5674</v>
      </c>
    </row>
    <row r="25618" spans="1:4" x14ac:dyDescent="0.2">
      <c r="A25618" t="s">
        <v>8460</v>
      </c>
      <c r="B25618" t="str">
        <f>HYPERLINK("https://lindat.mff.cuni.cz/services/teitok/pdtc10/index.php?action=vallex&amp;frame=v-w3367f2_ZU", "pamatovat (v-w3367f2_ZU) - substituted with v-w3367f5_ZU")</f>
        <v>pamatovat (v-w3367f2_ZU) - substituted with v-w3367f5_ZU</v>
      </c>
    </row>
    <row r="25619" spans="1:4" x14ac:dyDescent="0.2">
      <c r="B25619" t="s">
        <v>1</v>
      </c>
      <c r="C25619" t="s">
        <v>1805</v>
      </c>
      <c r="D25619" t="s">
        <v>11295</v>
      </c>
    </row>
    <row r="25620" spans="1:4" x14ac:dyDescent="0.2">
      <c r="B25620" t="s">
        <v>8461</v>
      </c>
      <c r="C25620" t="s">
        <v>5674</v>
      </c>
      <c r="D25620" t="s">
        <v>23776</v>
      </c>
    </row>
    <row r="25622" spans="1:4" x14ac:dyDescent="0.2">
      <c r="A25622" t="s">
        <v>8460</v>
      </c>
      <c r="B25622" t="str">
        <f>HYPERLINK("https://lindat.mff.cuni.cz/services/teitok/pdtc10/index.php?action=vallex&amp;frame=v-w3367f3_ZU", "pamatovat (v-w3367f3_ZU) - substituted with v-w3367f5_ZU")</f>
        <v>pamatovat (v-w3367f3_ZU) - substituted with v-w3367f5_ZU</v>
      </c>
    </row>
    <row r="25623" spans="1:4" x14ac:dyDescent="0.2">
      <c r="B25623" t="s">
        <v>1</v>
      </c>
    </row>
    <row r="25624" spans="1:4" x14ac:dyDescent="0.2">
      <c r="B25624" t="s">
        <v>8461</v>
      </c>
    </row>
    <row r="25626" spans="1:4" x14ac:dyDescent="0.2">
      <c r="A25626" t="s">
        <v>8460</v>
      </c>
      <c r="B25626" t="str">
        <f>HYPERLINK("https://lindat.mff.cuni.cz/services/teitok/pdtc10/index.php?action=vallex&amp;frame=v-w3367f4_ZU", "pamatovat (v-w3367f4_ZU) - substituted with v-w3367f5_ZU")</f>
        <v>pamatovat (v-w3367f4_ZU) - substituted with v-w3367f5_ZU</v>
      </c>
    </row>
    <row r="25627" spans="1:4" x14ac:dyDescent="0.2">
      <c r="B25627" t="s">
        <v>1</v>
      </c>
    </row>
    <row r="25628" spans="1:4" x14ac:dyDescent="0.2">
      <c r="B25628" t="s">
        <v>8461</v>
      </c>
    </row>
    <row r="25630" spans="1:4" x14ac:dyDescent="0.2">
      <c r="A25630" t="s">
        <v>8462</v>
      </c>
      <c r="B25630" t="str">
        <f>HYPERLINK("https://lindat.mff.cuni.cz/services/teitok/pdtc10/index.php?action=vallex&amp;frame=v-w3367hsa_326", "pamatovat (v-w3367hsa_326)")</f>
        <v>pamatovat (v-w3367hsa_326)</v>
      </c>
    </row>
    <row r="25631" spans="1:4" x14ac:dyDescent="0.2">
      <c r="B25631" t="s">
        <v>1</v>
      </c>
    </row>
    <row r="25632" spans="1:4" x14ac:dyDescent="0.2">
      <c r="B25632" t="s">
        <v>88</v>
      </c>
      <c r="C25632" t="s">
        <v>2810</v>
      </c>
    </row>
    <row r="25633" spans="1:4" x14ac:dyDescent="0.2">
      <c r="B25633" t="s">
        <v>2423</v>
      </c>
      <c r="C25633" t="s">
        <v>1301</v>
      </c>
    </row>
    <row r="25635" spans="1:4" x14ac:dyDescent="0.2">
      <c r="A25635" t="s">
        <v>8463</v>
      </c>
      <c r="B25635" t="str">
        <f>HYPERLINK("https://lindat.mff.cuni.cz/services/teitok/pdtc10/index.php?action=vallex&amp;frame=v-w3368f2_ZU", "pamatovat se (v-w3368f2_ZU)")</f>
        <v>pamatovat se (v-w3368f2_ZU)</v>
      </c>
    </row>
    <row r="25636" spans="1:4" x14ac:dyDescent="0.2">
      <c r="B25636" t="s">
        <v>1</v>
      </c>
    </row>
    <row r="25637" spans="1:4" x14ac:dyDescent="0.2">
      <c r="B25637" t="s">
        <v>8464</v>
      </c>
    </row>
    <row r="25639" spans="1:4" x14ac:dyDescent="0.2">
      <c r="A25639" t="s">
        <v>8463</v>
      </c>
      <c r="B25639" t="str">
        <f>HYPERLINK("https://lindat.mff.cuni.cz/services/teitok/pdtc10/index.php?action=vallex&amp;frame=v-w3368f1", "pamatovat se (v-w3368f1) - substituted with v-w3368f2_ZU")</f>
        <v>pamatovat se (v-w3368f1) - substituted with v-w3368f2_ZU</v>
      </c>
    </row>
    <row r="25640" spans="1:4" x14ac:dyDescent="0.2">
      <c r="B25640" t="s">
        <v>1</v>
      </c>
      <c r="C25640" t="s">
        <v>1805</v>
      </c>
      <c r="D25640" t="s">
        <v>11295</v>
      </c>
    </row>
    <row r="25641" spans="1:4" x14ac:dyDescent="0.2">
      <c r="B25641" t="s">
        <v>8464</v>
      </c>
      <c r="C25641" t="s">
        <v>5674</v>
      </c>
      <c r="D25641" t="s">
        <v>23776</v>
      </c>
    </row>
    <row r="25643" spans="1:4" x14ac:dyDescent="0.2">
      <c r="A25643" t="s">
        <v>8463</v>
      </c>
      <c r="B25643" t="str">
        <f>HYPERLINK("https://lindat.mff.cuni.cz/services/teitok/pdtc10/index.php?action=vallex&amp;frame=v-w3368hsa_1899", "pamatovat se (v-w3368hsa_1899) - substituted with v-w3368f2_ZU")</f>
        <v>pamatovat se (v-w3368hsa_1899) - substituted with v-w3368f2_ZU</v>
      </c>
    </row>
    <row r="25644" spans="1:4" x14ac:dyDescent="0.2">
      <c r="B25644" t="s">
        <v>1</v>
      </c>
    </row>
    <row r="25645" spans="1:4" x14ac:dyDescent="0.2">
      <c r="B25645" t="s">
        <v>8464</v>
      </c>
    </row>
    <row r="25647" spans="1:4" x14ac:dyDescent="0.2">
      <c r="A25647" t="s">
        <v>8465</v>
      </c>
      <c r="B25647" t="str">
        <f>HYPERLINK("https://lindat.mff.cuni.cz/services/teitok/pdtc10/index.php?action=vallex&amp;frame=v-w3369f4_MM", "pamatovat si (v-w3369f4_MM)")</f>
        <v>pamatovat si (v-w3369f4_MM)</v>
      </c>
    </row>
    <row r="25648" spans="1:4" x14ac:dyDescent="0.2">
      <c r="B25648" t="s">
        <v>1</v>
      </c>
    </row>
    <row r="25649" spans="1:4" x14ac:dyDescent="0.2">
      <c r="B25649" t="s">
        <v>8466</v>
      </c>
    </row>
    <row r="25651" spans="1:4" x14ac:dyDescent="0.2">
      <c r="A25651" t="s">
        <v>8465</v>
      </c>
      <c r="B25651" t="str">
        <f>HYPERLINK("https://lindat.mff.cuni.cz/services/teitok/pdtc10/index.php?action=vallex&amp;frame=v-w3369f1", "pamatovat si (v-w3369f1) - substituted with v-w3369f4_MM")</f>
        <v>pamatovat si (v-w3369f1) - substituted with v-w3369f4_MM</v>
      </c>
    </row>
    <row r="25652" spans="1:4" x14ac:dyDescent="0.2">
      <c r="B25652" t="s">
        <v>1</v>
      </c>
      <c r="C25652" t="s">
        <v>8467</v>
      </c>
      <c r="D25652" t="s">
        <v>11295</v>
      </c>
    </row>
    <row r="25653" spans="1:4" x14ac:dyDescent="0.2">
      <c r="B25653" t="s">
        <v>8466</v>
      </c>
      <c r="C25653" t="s">
        <v>1241</v>
      </c>
      <c r="D25653" t="s">
        <v>23776</v>
      </c>
    </row>
    <row r="25655" spans="1:4" x14ac:dyDescent="0.2">
      <c r="A25655" t="s">
        <v>8465</v>
      </c>
      <c r="B25655" t="str">
        <f>HYPERLINK("https://lindat.mff.cuni.cz/services/teitok/pdtc10/index.php?action=vallex&amp;frame=v-w3369f3_MM", "pamatovat si (v-w3369f3_MM) - substituted with v-w3369f4_MM")</f>
        <v>pamatovat si (v-w3369f3_MM) - substituted with v-w3369f4_MM</v>
      </c>
    </row>
    <row r="25656" spans="1:4" x14ac:dyDescent="0.2">
      <c r="B25656" t="s">
        <v>1</v>
      </c>
    </row>
    <row r="25657" spans="1:4" x14ac:dyDescent="0.2">
      <c r="B25657" t="s">
        <v>8466</v>
      </c>
    </row>
    <row r="25659" spans="1:4" x14ac:dyDescent="0.2">
      <c r="A25659" t="s">
        <v>8468</v>
      </c>
      <c r="B25659" t="str">
        <f>HYPERLINK("https://lindat.mff.cuni.cz/services/teitok/pdtc10/index.php?action=vallex&amp;frame=v-w3369f2", "pamatovat si (v-w3369f2)")</f>
        <v>pamatovat si (v-w3369f2)</v>
      </c>
    </row>
    <row r="25660" spans="1:4" x14ac:dyDescent="0.2">
      <c r="B25660" t="s">
        <v>1</v>
      </c>
    </row>
    <row r="25661" spans="1:4" x14ac:dyDescent="0.2">
      <c r="B25661" t="s">
        <v>4742</v>
      </c>
    </row>
    <row r="25662" spans="1:4" x14ac:dyDescent="0.2">
      <c r="B25662" t="s">
        <v>269</v>
      </c>
    </row>
    <row r="25664" spans="1:4" x14ac:dyDescent="0.2">
      <c r="A25664" t="s">
        <v>8469</v>
      </c>
      <c r="B25664" t="str">
        <f>HYPERLINK("https://lindat.mff.cuni.cz/services/teitok/pdtc10/index.php?action=vallex&amp;frame=v-w11139f2", "panikařit (v-w11139f2)")</f>
        <v>panikařit (v-w11139f2)</v>
      </c>
    </row>
    <row r="25665" spans="1:4" x14ac:dyDescent="0.2">
      <c r="B25665" t="s">
        <v>1</v>
      </c>
      <c r="C25665" t="s">
        <v>8470</v>
      </c>
      <c r="D25665" t="s">
        <v>6793</v>
      </c>
    </row>
    <row r="25667" spans="1:4" x14ac:dyDescent="0.2">
      <c r="A25667" t="s">
        <v>8471</v>
      </c>
      <c r="B25667" t="str">
        <f>HYPERLINK("https://lindat.mff.cuni.cz/services/teitok/pdtc10/index.php?action=vallex&amp;frame=v-w3374f1", "panovat (v-w3374f1)")</f>
        <v>panovat (v-w3374f1)</v>
      </c>
    </row>
    <row r="25668" spans="1:4" x14ac:dyDescent="0.2">
      <c r="B25668" t="s">
        <v>1</v>
      </c>
      <c r="C25668" t="s">
        <v>8472</v>
      </c>
      <c r="D25668" t="s">
        <v>23031</v>
      </c>
    </row>
    <row r="25670" spans="1:4" x14ac:dyDescent="0.2">
      <c r="A25670" t="s">
        <v>8473</v>
      </c>
      <c r="B25670" t="str">
        <f>HYPERLINK("https://lindat.mff.cuni.cz/services/teitok/pdtc10/index.php?action=vallex&amp;frame=v-w3378f1", "parafovat (v-w3378f1)")</f>
        <v>parafovat (v-w3378f1)</v>
      </c>
    </row>
    <row r="25671" spans="1:4" x14ac:dyDescent="0.2">
      <c r="B25671" t="s">
        <v>1</v>
      </c>
    </row>
    <row r="25672" spans="1:4" x14ac:dyDescent="0.2">
      <c r="B25672" t="s">
        <v>124</v>
      </c>
    </row>
    <row r="25674" spans="1:4" x14ac:dyDescent="0.2">
      <c r="A25674" t="s">
        <v>8474</v>
      </c>
      <c r="B25674" t="str">
        <f>HYPERLINK("https://lindat.mff.cuni.cz/services/teitok/pdtc10/index.php?action=vallex&amp;frame=v-w3381f1", "paralyzovat (v-w3381f1)")</f>
        <v>paralyzovat (v-w3381f1)</v>
      </c>
    </row>
    <row r="25675" spans="1:4" x14ac:dyDescent="0.2">
      <c r="B25675" t="s">
        <v>1</v>
      </c>
      <c r="D25675" t="s">
        <v>10775</v>
      </c>
    </row>
    <row r="25676" spans="1:4" x14ac:dyDescent="0.2">
      <c r="B25676" t="s">
        <v>8</v>
      </c>
      <c r="C25676" t="s">
        <v>84</v>
      </c>
      <c r="D25676" t="s">
        <v>23777</v>
      </c>
    </row>
    <row r="25678" spans="1:4" x14ac:dyDescent="0.2">
      <c r="A25678" t="s">
        <v>8475</v>
      </c>
      <c r="B25678" t="str">
        <f>HYPERLINK("https://lindat.mff.cuni.cz/services/teitok/pdtc10/index.php?action=vallex&amp;frame=v-w3382f2", "parazitovat (v-w3382f2)")</f>
        <v>parazitovat (v-w3382f2)</v>
      </c>
    </row>
    <row r="25679" spans="1:4" x14ac:dyDescent="0.2">
      <c r="B25679" t="s">
        <v>1</v>
      </c>
    </row>
    <row r="25680" spans="1:4" x14ac:dyDescent="0.2">
      <c r="B25680" t="s">
        <v>168</v>
      </c>
    </row>
    <row r="25682" spans="1:2" x14ac:dyDescent="0.2">
      <c r="A25682" t="s">
        <v>8476</v>
      </c>
      <c r="B25682" t="str">
        <f>HYPERLINK("https://lindat.mff.cuni.cz/services/teitok/pdtc10/index.php?action=vallex&amp;frame=v-w3382f1", "parazitovat (v-w3382f1)")</f>
        <v>parazitovat (v-w3382f1)</v>
      </c>
    </row>
    <row r="25683" spans="1:2" x14ac:dyDescent="0.2">
      <c r="B25683" t="s">
        <v>1</v>
      </c>
    </row>
    <row r="25685" spans="1:2" x14ac:dyDescent="0.2">
      <c r="A25685" t="s">
        <v>8477</v>
      </c>
      <c r="B25685" t="str">
        <f>HYPERLINK("https://lindat.mff.cuni.cz/services/teitok/pdtc10/index.php?action=vallex&amp;frame=v-w3384f1", "parkovat (v-w3384f1)")</f>
        <v>parkovat (v-w3384f1)</v>
      </c>
    </row>
    <row r="25686" spans="1:2" x14ac:dyDescent="0.2">
      <c r="B25686" t="s">
        <v>1</v>
      </c>
    </row>
    <row r="25687" spans="1:2" x14ac:dyDescent="0.2">
      <c r="B25687" t="s">
        <v>8</v>
      </c>
    </row>
    <row r="25689" spans="1:2" x14ac:dyDescent="0.2">
      <c r="A25689" t="s">
        <v>8478</v>
      </c>
      <c r="B25689" t="str">
        <f>HYPERLINK("https://lindat.mff.cuni.cz/services/teitok/pdtc10/index.php?action=vallex&amp;frame=v-w3384f2", "parkovat (v-w3384f2)")</f>
        <v>parkovat (v-w3384f2)</v>
      </c>
    </row>
    <row r="25690" spans="1:2" x14ac:dyDescent="0.2">
      <c r="B25690" t="s">
        <v>1</v>
      </c>
    </row>
    <row r="25692" spans="1:2" x14ac:dyDescent="0.2">
      <c r="A25692" t="s">
        <v>8479</v>
      </c>
      <c r="B25692" t="str">
        <f>HYPERLINK("https://lindat.mff.cuni.cz/services/teitok/pdtc10/index.php?action=vallex&amp;frame=v-w3386f1", "parodovat (v-w3386f1)")</f>
        <v>parodovat (v-w3386f1)</v>
      </c>
    </row>
    <row r="25693" spans="1:2" x14ac:dyDescent="0.2">
      <c r="B25693" t="s">
        <v>1</v>
      </c>
    </row>
    <row r="25694" spans="1:2" x14ac:dyDescent="0.2">
      <c r="B25694" t="s">
        <v>8</v>
      </c>
    </row>
    <row r="25696" spans="1:2" x14ac:dyDescent="0.2">
      <c r="A25696" t="s">
        <v>8480</v>
      </c>
      <c r="B25696" t="str">
        <f>HYPERLINK("https://lindat.mff.cuni.cz/services/teitok/pdtc10/index.php?action=vallex&amp;frame=v-w3389f1", "participovat (v-w3389f1)")</f>
        <v>participovat (v-w3389f1)</v>
      </c>
    </row>
    <row r="25697" spans="1:3" x14ac:dyDescent="0.2">
      <c r="B25697" t="s">
        <v>1</v>
      </c>
    </row>
    <row r="25698" spans="1:3" x14ac:dyDescent="0.2">
      <c r="B25698" t="s">
        <v>161</v>
      </c>
    </row>
    <row r="25700" spans="1:3" x14ac:dyDescent="0.2">
      <c r="A25700" t="s">
        <v>8481</v>
      </c>
      <c r="B25700" t="str">
        <f>HYPERLINK("https://lindat.mff.cuni.cz/services/teitok/pdtc10/index.php?action=vallex&amp;frame=v-w3397f1", "pasovat (v-w3397f1)")</f>
        <v>pasovat (v-w3397f1)</v>
      </c>
    </row>
    <row r="25701" spans="1:3" x14ac:dyDescent="0.2">
      <c r="B25701" t="s">
        <v>1</v>
      </c>
    </row>
    <row r="25702" spans="1:3" x14ac:dyDescent="0.2">
      <c r="B25702" t="s">
        <v>8</v>
      </c>
    </row>
    <row r="25703" spans="1:3" x14ac:dyDescent="0.2">
      <c r="B25703" t="s">
        <v>8482</v>
      </c>
    </row>
    <row r="25705" spans="1:3" x14ac:dyDescent="0.2">
      <c r="A25705" t="s">
        <v>8483</v>
      </c>
      <c r="B25705" t="str">
        <f>HYPERLINK("https://lindat.mff.cuni.cz/services/teitok/pdtc10/index.php?action=vallex&amp;frame=v-w3397f3", "pasovat (v-w3397f3)")</f>
        <v>pasovat (v-w3397f3)</v>
      </c>
    </row>
    <row r="25706" spans="1:3" x14ac:dyDescent="0.2">
      <c r="B25706" t="s">
        <v>196</v>
      </c>
    </row>
    <row r="25707" spans="1:3" x14ac:dyDescent="0.2">
      <c r="B25707" t="s">
        <v>103</v>
      </c>
    </row>
    <row r="25709" spans="1:3" x14ac:dyDescent="0.2">
      <c r="A25709" t="s">
        <v>8484</v>
      </c>
      <c r="B25709" t="str">
        <f>HYPERLINK("https://lindat.mff.cuni.cz/services/teitok/pdtc10/index.php?action=vallex&amp;frame=v-w3397f2", "pasovat (v-w3397f2)")</f>
        <v>pasovat (v-w3397f2)</v>
      </c>
    </row>
    <row r="25710" spans="1:3" x14ac:dyDescent="0.2">
      <c r="B25710" t="s">
        <v>1</v>
      </c>
      <c r="C25710" t="s">
        <v>715</v>
      </c>
    </row>
    <row r="25711" spans="1:3" x14ac:dyDescent="0.2">
      <c r="B25711" t="s">
        <v>90</v>
      </c>
    </row>
    <row r="25713" spans="1:4" x14ac:dyDescent="0.2">
      <c r="A25713" t="s">
        <v>8485</v>
      </c>
      <c r="B25713" t="str">
        <f>HYPERLINK("https://lindat.mff.cuni.cz/services/teitok/pdtc10/index.php?action=vallex&amp;frame=v-w3397f4_ZU", "pasovat (v-w3397f4_ZU)")</f>
        <v>pasovat (v-w3397f4_ZU)</v>
      </c>
    </row>
    <row r="25714" spans="1:4" x14ac:dyDescent="0.2">
      <c r="B25714" t="s">
        <v>1</v>
      </c>
    </row>
    <row r="25716" spans="1:4" x14ac:dyDescent="0.2">
      <c r="A25716" t="s">
        <v>8486</v>
      </c>
      <c r="B25716" t="str">
        <f>HYPERLINK("https://lindat.mff.cuni.cz/services/teitok/pdtc10/index.php?action=vallex&amp;frame=v-w3397hsa_1357", "pasovat (v-w3397hsa_1357)")</f>
        <v>pasovat (v-w3397hsa_1357)</v>
      </c>
    </row>
    <row r="25717" spans="1:4" x14ac:dyDescent="0.2">
      <c r="B25717" t="s">
        <v>1</v>
      </c>
    </row>
    <row r="25718" spans="1:4" x14ac:dyDescent="0.2">
      <c r="B25718" t="s">
        <v>8</v>
      </c>
    </row>
    <row r="25719" spans="1:4" x14ac:dyDescent="0.2">
      <c r="B25719" t="s">
        <v>90</v>
      </c>
    </row>
    <row r="25721" spans="1:4" x14ac:dyDescent="0.2">
      <c r="A25721" t="s">
        <v>8487</v>
      </c>
      <c r="B25721" t="str">
        <f>HYPERLINK("https://lindat.mff.cuni.cz/services/teitok/pdtc10/index.php?action=vallex&amp;frame=v-w10221f2", "patentovat (v-w10221f2)")</f>
        <v>patentovat (v-w10221f2)</v>
      </c>
    </row>
    <row r="25722" spans="1:4" x14ac:dyDescent="0.2">
      <c r="B25722" t="s">
        <v>1</v>
      </c>
      <c r="C25722" t="s">
        <v>140</v>
      </c>
      <c r="D25722" t="s">
        <v>23458</v>
      </c>
    </row>
    <row r="25723" spans="1:4" x14ac:dyDescent="0.2">
      <c r="B25723" t="s">
        <v>8</v>
      </c>
      <c r="C25723" t="s">
        <v>34</v>
      </c>
      <c r="D25723" t="s">
        <v>2240</v>
      </c>
    </row>
    <row r="25725" spans="1:4" x14ac:dyDescent="0.2">
      <c r="A25725" t="s">
        <v>8488</v>
      </c>
      <c r="B25725" t="str">
        <f>HYPERLINK("https://lindat.mff.cuni.cz/services/teitok/pdtc10/index.php?action=vallex&amp;frame=v-w3411f6_ZU", "patřit (v-w3411f6_ZU)")</f>
        <v>patřit (v-w3411f6_ZU)</v>
      </c>
    </row>
    <row r="25726" spans="1:4" x14ac:dyDescent="0.2">
      <c r="B25726" t="s">
        <v>1</v>
      </c>
    </row>
    <row r="25727" spans="1:4" x14ac:dyDescent="0.2">
      <c r="B25727" t="s">
        <v>8489</v>
      </c>
    </row>
    <row r="25729" spans="1:4" x14ac:dyDescent="0.2">
      <c r="A25729" t="s">
        <v>8488</v>
      </c>
      <c r="B25729" t="str">
        <f>HYPERLINK("https://lindat.mff.cuni.cz/services/teitok/pdtc10/index.php?action=vallex&amp;frame=v-w3411f2", "patřit (v-w3411f2) - substituted with v-w3411f6_ZU")</f>
        <v>patřit (v-w3411f2) - substituted with v-w3411f6_ZU</v>
      </c>
    </row>
    <row r="25730" spans="1:4" x14ac:dyDescent="0.2">
      <c r="B25730" t="s">
        <v>1</v>
      </c>
      <c r="C25730" t="s">
        <v>8490</v>
      </c>
      <c r="D25730" t="s">
        <v>23778</v>
      </c>
    </row>
    <row r="25731" spans="1:4" x14ac:dyDescent="0.2">
      <c r="B25731" t="s">
        <v>8489</v>
      </c>
      <c r="C25731" t="s">
        <v>8491</v>
      </c>
      <c r="D25731" t="s">
        <v>23779</v>
      </c>
    </row>
    <row r="25733" spans="1:4" x14ac:dyDescent="0.2">
      <c r="A25733" t="s">
        <v>8488</v>
      </c>
      <c r="B25733" t="str">
        <f>HYPERLINK("https://lindat.mff.cuni.cz/services/teitok/pdtc10/index.php?action=vallex&amp;frame=v-w3411f5_ZU", "patřit (v-w3411f5_ZU) - substituted with v-w3411f6_ZU")</f>
        <v>patřit (v-w3411f5_ZU) - substituted with v-w3411f6_ZU</v>
      </c>
    </row>
    <row r="25734" spans="1:4" x14ac:dyDescent="0.2">
      <c r="B25734" t="s">
        <v>1</v>
      </c>
    </row>
    <row r="25735" spans="1:4" x14ac:dyDescent="0.2">
      <c r="B25735" t="s">
        <v>8489</v>
      </c>
    </row>
    <row r="25737" spans="1:4" x14ac:dyDescent="0.2">
      <c r="A25737" t="s">
        <v>8492</v>
      </c>
      <c r="B25737" t="str">
        <f>HYPERLINK("https://lindat.mff.cuni.cz/services/teitok/pdtc10/index.php?action=vallex&amp;frame=v-w3411f3", "patřit (v-w3411f3)")</f>
        <v>patřit (v-w3411f3)</v>
      </c>
    </row>
    <row r="25738" spans="1:4" x14ac:dyDescent="0.2">
      <c r="B25738" t="s">
        <v>1</v>
      </c>
    </row>
    <row r="25739" spans="1:4" x14ac:dyDescent="0.2">
      <c r="B25739" t="s">
        <v>103</v>
      </c>
    </row>
    <row r="25741" spans="1:4" x14ac:dyDescent="0.2">
      <c r="A25741" t="s">
        <v>8493</v>
      </c>
      <c r="B25741" t="str">
        <f>HYPERLINK("https://lindat.mff.cuni.cz/services/teitok/pdtc10/index.php?action=vallex&amp;frame=v-w3411f1", "patřit (v-w3411f1)")</f>
        <v>patřit (v-w3411f1)</v>
      </c>
    </row>
    <row r="25742" spans="1:4" x14ac:dyDescent="0.2">
      <c r="B25742" t="s">
        <v>607</v>
      </c>
      <c r="C25742" t="s">
        <v>8494</v>
      </c>
      <c r="D25742" t="s">
        <v>23602</v>
      </c>
    </row>
    <row r="25743" spans="1:4" x14ac:dyDescent="0.2">
      <c r="B25743" t="s">
        <v>90</v>
      </c>
      <c r="C25743" t="s">
        <v>8495</v>
      </c>
      <c r="D25743" t="s">
        <v>23603</v>
      </c>
    </row>
    <row r="25745" spans="1:4" x14ac:dyDescent="0.2">
      <c r="A25745" t="s">
        <v>8496</v>
      </c>
      <c r="B25745" t="str">
        <f>HYPERLINK("https://lindat.mff.cuni.cz/services/teitok/pdtc10/index.php?action=vallex&amp;frame=v-w3411f4", "patřit (v-w3411f4)")</f>
        <v>patřit (v-w3411f4)</v>
      </c>
    </row>
    <row r="25746" spans="1:4" x14ac:dyDescent="0.2">
      <c r="B25746" t="s">
        <v>1</v>
      </c>
      <c r="C25746" t="s">
        <v>364</v>
      </c>
    </row>
    <row r="25747" spans="1:4" x14ac:dyDescent="0.2">
      <c r="B25747" t="s">
        <v>90</v>
      </c>
      <c r="C25747" t="s">
        <v>8497</v>
      </c>
    </row>
    <row r="25749" spans="1:4" x14ac:dyDescent="0.2">
      <c r="A25749" t="s">
        <v>8498</v>
      </c>
      <c r="B25749" t="str">
        <f>HYPERLINK("https://lindat.mff.cuni.cz/services/teitok/pdtc10/index.php?action=vallex&amp;frame=v-w3411f7_ZU", "patřit (v-w3411f7_ZU)")</f>
        <v>patřit (v-w3411f7_ZU)</v>
      </c>
    </row>
    <row r="25750" spans="1:4" x14ac:dyDescent="0.2">
      <c r="B25750" t="s">
        <v>1</v>
      </c>
    </row>
    <row r="25751" spans="1:4" x14ac:dyDescent="0.2">
      <c r="B25751" t="s">
        <v>28</v>
      </c>
    </row>
    <row r="25753" spans="1:4" x14ac:dyDescent="0.2">
      <c r="A25753" t="s">
        <v>8499</v>
      </c>
      <c r="B25753" t="str">
        <f>HYPERLINK("https://lindat.mff.cuni.cz/services/teitok/pdtc10/index.php?action=vallex&amp;frame=v-w3412f1", "patřit se (v-w3412f1)")</f>
        <v>patřit se (v-w3412f1)</v>
      </c>
    </row>
    <row r="25754" spans="1:4" x14ac:dyDescent="0.2">
      <c r="B25754" t="s">
        <v>4868</v>
      </c>
      <c r="D25754" t="s">
        <v>23342</v>
      </c>
    </row>
    <row r="25755" spans="1:4" x14ac:dyDescent="0.2">
      <c r="B25755" t="s">
        <v>8500</v>
      </c>
      <c r="D25755" t="s">
        <v>6505</v>
      </c>
    </row>
    <row r="25757" spans="1:4" x14ac:dyDescent="0.2">
      <c r="A25757" t="s">
        <v>8501</v>
      </c>
      <c r="B25757" t="str">
        <f>HYPERLINK("https://lindat.mff.cuni.cz/services/teitok/pdtc10/index.php?action=vallex&amp;frame=v-w3402f1", "pašovat (v-w3402f1)")</f>
        <v>pašovat (v-w3402f1)</v>
      </c>
    </row>
    <row r="25758" spans="1:4" x14ac:dyDescent="0.2">
      <c r="B25758" t="s">
        <v>1</v>
      </c>
      <c r="C25758" t="s">
        <v>140</v>
      </c>
      <c r="D25758" t="s">
        <v>4110</v>
      </c>
    </row>
    <row r="25759" spans="1:4" x14ac:dyDescent="0.2">
      <c r="B25759" t="s">
        <v>8</v>
      </c>
      <c r="C25759" t="s">
        <v>8502</v>
      </c>
      <c r="D25759" t="s">
        <v>23780</v>
      </c>
    </row>
    <row r="25761" spans="1:4" x14ac:dyDescent="0.2">
      <c r="A25761" t="s">
        <v>8503</v>
      </c>
      <c r="B25761" t="str">
        <f>HYPERLINK("https://lindat.mff.cuni.cz/services/teitok/pdtc10/index.php?action=vallex&amp;frame=v-w10122f2", "pelášit (v-w10122f2)")</f>
        <v>pelášit (v-w10122f2)</v>
      </c>
    </row>
    <row r="25762" spans="1:4" x14ac:dyDescent="0.2">
      <c r="B25762" t="s">
        <v>1</v>
      </c>
      <c r="C25762" t="s">
        <v>3824</v>
      </c>
      <c r="D25762" t="s">
        <v>23091</v>
      </c>
    </row>
    <row r="25764" spans="1:4" x14ac:dyDescent="0.2">
      <c r="A25764" t="s">
        <v>8504</v>
      </c>
      <c r="B25764" t="str">
        <f>HYPERLINK("https://lindat.mff.cuni.cz/services/teitok/pdtc10/index.php?action=vallex&amp;frame=v-w3419f1", "penalizovat (v-w3419f1)")</f>
        <v>penalizovat (v-w3419f1)</v>
      </c>
    </row>
    <row r="25765" spans="1:4" x14ac:dyDescent="0.2">
      <c r="B25765" t="s">
        <v>1</v>
      </c>
      <c r="C25765" t="s">
        <v>33</v>
      </c>
      <c r="D25765" t="s">
        <v>92</v>
      </c>
    </row>
    <row r="25766" spans="1:4" x14ac:dyDescent="0.2">
      <c r="B25766" t="s">
        <v>8</v>
      </c>
      <c r="C25766" t="s">
        <v>84</v>
      </c>
      <c r="D25766" t="s">
        <v>328</v>
      </c>
    </row>
    <row r="25768" spans="1:4" x14ac:dyDescent="0.2">
      <c r="A25768" t="s">
        <v>8505</v>
      </c>
      <c r="B25768" t="str">
        <f>HYPERLINK("https://lindat.mff.cuni.cz/services/teitok/pdtc10/index.php?action=vallex&amp;frame=v-w11969_ZUf1_ZU", "pendlovat (v-w11969_ZUf1_ZU)")</f>
        <v>pendlovat (v-w11969_ZUf1_ZU)</v>
      </c>
    </row>
    <row r="25769" spans="1:4" x14ac:dyDescent="0.2">
      <c r="B25769" t="s">
        <v>1</v>
      </c>
    </row>
    <row r="25771" spans="1:4" x14ac:dyDescent="0.2">
      <c r="A25771" t="s">
        <v>8506</v>
      </c>
      <c r="B25771" t="str">
        <f>HYPERLINK("https://lindat.mff.cuni.cz/services/teitok/pdtc10/index.php?action=vallex&amp;frame=v-w3422f1", "penzionovat (v-w3422f1)")</f>
        <v>penzionovat (v-w3422f1)</v>
      </c>
    </row>
    <row r="25772" spans="1:4" x14ac:dyDescent="0.2">
      <c r="B25772" t="s">
        <v>1</v>
      </c>
    </row>
    <row r="25773" spans="1:4" x14ac:dyDescent="0.2">
      <c r="B25773" t="s">
        <v>8</v>
      </c>
    </row>
    <row r="25775" spans="1:4" x14ac:dyDescent="0.2">
      <c r="A25775" t="s">
        <v>8507</v>
      </c>
      <c r="B25775" t="str">
        <f>HYPERLINK("https://lindat.mff.cuni.cz/services/teitok/pdtc10/index.php?action=vallex&amp;frame=v-w11913_ZUf1_ZU", "persekuovat (v-w11913_ZUf1_ZU)")</f>
        <v>persekuovat (v-w11913_ZUf1_ZU)</v>
      </c>
    </row>
    <row r="25776" spans="1:4" x14ac:dyDescent="0.2">
      <c r="B25776" t="s">
        <v>1</v>
      </c>
    </row>
    <row r="25777" spans="1:3" x14ac:dyDescent="0.2">
      <c r="B25777" t="s">
        <v>8</v>
      </c>
    </row>
    <row r="25779" spans="1:3" x14ac:dyDescent="0.2">
      <c r="A25779" t="s">
        <v>8508</v>
      </c>
      <c r="B25779" t="str">
        <f>HYPERLINK("https://lindat.mff.cuni.cz/services/teitok/pdtc10/index.php?action=vallex&amp;frame=v-w3426f1", "perzekuovat (v-w3426f1)")</f>
        <v>perzekuovat (v-w3426f1)</v>
      </c>
    </row>
    <row r="25780" spans="1:3" x14ac:dyDescent="0.2">
      <c r="B25780" t="s">
        <v>1</v>
      </c>
    </row>
    <row r="25781" spans="1:3" x14ac:dyDescent="0.2">
      <c r="B25781" t="s">
        <v>8</v>
      </c>
    </row>
    <row r="25783" spans="1:3" x14ac:dyDescent="0.2">
      <c r="A25783" t="s">
        <v>8509</v>
      </c>
      <c r="B25783" t="str">
        <f>HYPERLINK("https://lindat.mff.cuni.cz/services/teitok/pdtc10/index.php?action=vallex&amp;frame=v-w3427f1", "perzekvovat (v-w3427f1)")</f>
        <v>perzekvovat (v-w3427f1)</v>
      </c>
    </row>
    <row r="25784" spans="1:3" x14ac:dyDescent="0.2">
      <c r="B25784" t="s">
        <v>1</v>
      </c>
    </row>
    <row r="25785" spans="1:3" x14ac:dyDescent="0.2">
      <c r="B25785" t="s">
        <v>8</v>
      </c>
    </row>
    <row r="25787" spans="1:3" x14ac:dyDescent="0.2">
      <c r="A25787" t="s">
        <v>8510</v>
      </c>
      <c r="B25787" t="str">
        <f>HYPERLINK("https://lindat.mff.cuni.cz/services/teitok/pdtc10/index.php?action=vallex&amp;frame=v-w3428f1", "peskovat (v-w3428f1)")</f>
        <v>peskovat (v-w3428f1)</v>
      </c>
    </row>
    <row r="25788" spans="1:3" x14ac:dyDescent="0.2">
      <c r="B25788" t="s">
        <v>1</v>
      </c>
    </row>
    <row r="25789" spans="1:3" x14ac:dyDescent="0.2">
      <c r="B25789" t="s">
        <v>8</v>
      </c>
    </row>
    <row r="25791" spans="1:3" x14ac:dyDescent="0.2">
      <c r="A25791" t="s">
        <v>8511</v>
      </c>
      <c r="B25791" t="str">
        <f>HYPERLINK("https://lindat.mff.cuni.cz/services/teitok/pdtc10/index.php?action=vallex&amp;frame=v-w3416f1", "pečovat (v-w3416f1)")</f>
        <v>pečovat (v-w3416f1)</v>
      </c>
    </row>
    <row r="25792" spans="1:3" x14ac:dyDescent="0.2">
      <c r="B25792" t="s">
        <v>1</v>
      </c>
      <c r="C25792" t="s">
        <v>230</v>
      </c>
    </row>
    <row r="25793" spans="1:3" x14ac:dyDescent="0.2">
      <c r="B25793" t="s">
        <v>467</v>
      </c>
      <c r="C25793" t="s">
        <v>8512</v>
      </c>
    </row>
    <row r="25795" spans="1:3" x14ac:dyDescent="0.2">
      <c r="A25795" t="s">
        <v>8513</v>
      </c>
      <c r="B25795" t="str">
        <f>HYPERLINK("https://lindat.mff.cuni.cz/services/teitok/pdtc10/index.php?action=vallex&amp;frame=v-w11827_ZUf1_ZU", "pilovat (v-w11827_ZUf1_ZU)")</f>
        <v>pilovat (v-w11827_ZUf1_ZU)</v>
      </c>
    </row>
    <row r="25796" spans="1:3" x14ac:dyDescent="0.2">
      <c r="B25796" t="s">
        <v>1</v>
      </c>
    </row>
    <row r="25797" spans="1:3" x14ac:dyDescent="0.2">
      <c r="B25797" t="s">
        <v>8</v>
      </c>
    </row>
    <row r="25799" spans="1:3" x14ac:dyDescent="0.2">
      <c r="A25799" t="s">
        <v>8514</v>
      </c>
      <c r="B25799" t="str">
        <f>HYPERLINK("https://lindat.mff.cuni.cz/services/teitok/pdtc10/index.php?action=vallex&amp;frame=v-w11827_ZUf2_MM", "pilovat (v-w11827_ZUf2_MM)")</f>
        <v>pilovat (v-w11827_ZUf2_MM)</v>
      </c>
    </row>
    <row r="25800" spans="1:3" x14ac:dyDescent="0.2">
      <c r="B25800" t="s">
        <v>1</v>
      </c>
    </row>
    <row r="25801" spans="1:3" x14ac:dyDescent="0.2">
      <c r="B25801" t="s">
        <v>8</v>
      </c>
    </row>
    <row r="25803" spans="1:3" x14ac:dyDescent="0.2">
      <c r="A25803" t="s">
        <v>8515</v>
      </c>
      <c r="B25803" t="str">
        <f>HYPERLINK("https://lindat.mff.cuni.cz/services/teitok/pdtc10/index.php?action=vallex&amp;frame=v-w3442f1", "pinkat si (v-w3442f1)")</f>
        <v>pinkat si (v-w3442f1)</v>
      </c>
    </row>
    <row r="25804" spans="1:3" x14ac:dyDescent="0.2">
      <c r="B25804" t="s">
        <v>1</v>
      </c>
    </row>
    <row r="25805" spans="1:3" x14ac:dyDescent="0.2">
      <c r="B25805" t="s">
        <v>2423</v>
      </c>
    </row>
    <row r="25807" spans="1:3" x14ac:dyDescent="0.2">
      <c r="A25807" t="s">
        <v>8516</v>
      </c>
      <c r="B25807" t="str">
        <f>HYPERLINK("https://lindat.mff.cuni.cz/services/teitok/pdtc10/index.php?action=vallex&amp;frame=v-w3443f1", "piplat (v-w3443f1)")</f>
        <v>piplat (v-w3443f1)</v>
      </c>
    </row>
    <row r="25808" spans="1:3" x14ac:dyDescent="0.2">
      <c r="B25808" t="s">
        <v>1</v>
      </c>
    </row>
    <row r="25809" spans="1:4" x14ac:dyDescent="0.2">
      <c r="B25809" t="s">
        <v>8</v>
      </c>
    </row>
    <row r="25811" spans="1:4" x14ac:dyDescent="0.2">
      <c r="A25811" t="s">
        <v>8517</v>
      </c>
      <c r="B25811" t="str">
        <f>HYPERLINK("https://lindat.mff.cuni.cz/services/teitok/pdtc10/index.php?action=vallex&amp;frame=v-whsa_760hsa_761", "pitvat (v-whsa_760hsa_761)")</f>
        <v>pitvat (v-whsa_760hsa_761)</v>
      </c>
    </row>
    <row r="25812" spans="1:4" x14ac:dyDescent="0.2">
      <c r="B25812" t="s">
        <v>1</v>
      </c>
      <c r="D25812" t="s">
        <v>22952</v>
      </c>
    </row>
    <row r="25813" spans="1:4" x14ac:dyDescent="0.2">
      <c r="B25813" t="s">
        <v>8</v>
      </c>
      <c r="C25813" t="s">
        <v>113</v>
      </c>
      <c r="D25813" t="s">
        <v>22953</v>
      </c>
    </row>
    <row r="25815" spans="1:4" x14ac:dyDescent="0.2">
      <c r="A25815" t="s">
        <v>8518</v>
      </c>
      <c r="B25815" t="str">
        <f>HYPERLINK("https://lindat.mff.cuni.cz/services/teitok/pdtc10/index.php?action=vallex&amp;frame=v-whsa_760f1_ZU", "pitvat (v-whsa_760f1_ZU)")</f>
        <v>pitvat (v-whsa_760f1_ZU)</v>
      </c>
    </row>
    <row r="25816" spans="1:4" x14ac:dyDescent="0.2">
      <c r="B25816" t="s">
        <v>1</v>
      </c>
    </row>
    <row r="25817" spans="1:4" x14ac:dyDescent="0.2">
      <c r="B25817" t="s">
        <v>8</v>
      </c>
    </row>
    <row r="25819" spans="1:4" x14ac:dyDescent="0.2">
      <c r="A25819" t="s">
        <v>8519</v>
      </c>
      <c r="B25819" t="str">
        <f>HYPERLINK("https://lindat.mff.cuni.cz/services/teitok/pdtc10/index.php?action=vallex&amp;frame=v-w11487f1", "pitvořit se (v-w11487f1)")</f>
        <v>pitvořit se (v-w11487f1)</v>
      </c>
    </row>
    <row r="25820" spans="1:4" x14ac:dyDescent="0.2">
      <c r="B25820" t="s">
        <v>1</v>
      </c>
      <c r="C25820" t="s">
        <v>33</v>
      </c>
      <c r="D25820" t="s">
        <v>33</v>
      </c>
    </row>
    <row r="25821" spans="1:4" x14ac:dyDescent="0.2">
      <c r="B25821" t="s">
        <v>46</v>
      </c>
      <c r="D25821" t="s">
        <v>113</v>
      </c>
    </row>
    <row r="25823" spans="1:4" x14ac:dyDescent="0.2">
      <c r="A25823" t="s">
        <v>8520</v>
      </c>
      <c r="B25823" t="str">
        <f>HYPERLINK("https://lindat.mff.cuni.cz/services/teitok/pdtc10/index.php?action=vallex&amp;frame=v-w10986f2", "plachtit (v-w10986f2)")</f>
        <v>plachtit (v-w10986f2)</v>
      </c>
    </row>
    <row r="25824" spans="1:4" x14ac:dyDescent="0.2">
      <c r="B25824" t="s">
        <v>1</v>
      </c>
    </row>
    <row r="25826" spans="1:4" x14ac:dyDescent="0.2">
      <c r="A25826" t="s">
        <v>8521</v>
      </c>
      <c r="B25826" t="str">
        <f>HYPERLINK("https://lindat.mff.cuni.cz/services/teitok/pdtc10/index.php?action=vallex&amp;frame=v-w10986hsa_379", "plachtit (v-w10986hsa_379)")</f>
        <v>plachtit (v-w10986hsa_379)</v>
      </c>
    </row>
    <row r="25827" spans="1:4" x14ac:dyDescent="0.2">
      <c r="B25827" t="s">
        <v>1</v>
      </c>
    </row>
    <row r="25829" spans="1:4" x14ac:dyDescent="0.2">
      <c r="A25829" t="s">
        <v>8522</v>
      </c>
      <c r="B25829" t="str">
        <f>HYPERLINK("https://lindat.mff.cuni.cz/services/teitok/pdtc10/index.php?action=vallex&amp;frame=v-w12221_ZUf1_ZU", "plahočit se (v-w12221_ZUf1_ZU)")</f>
        <v>plahočit se (v-w12221_ZUf1_ZU)</v>
      </c>
    </row>
    <row r="25830" spans="1:4" x14ac:dyDescent="0.2">
      <c r="B25830" t="s">
        <v>1</v>
      </c>
    </row>
    <row r="25832" spans="1:4" x14ac:dyDescent="0.2">
      <c r="A25832" t="s">
        <v>8523</v>
      </c>
      <c r="B25832" t="str">
        <f>HYPERLINK("https://lindat.mff.cuni.cz/services/teitok/pdtc10/index.php?action=vallex&amp;frame=v-w3457f1", "plakat (v-w3457f1)")</f>
        <v>plakat (v-w3457f1)</v>
      </c>
    </row>
    <row r="25833" spans="1:4" x14ac:dyDescent="0.2">
      <c r="B25833" t="s">
        <v>1</v>
      </c>
      <c r="C25833" t="s">
        <v>33</v>
      </c>
      <c r="D25833" t="s">
        <v>23719</v>
      </c>
    </row>
    <row r="25835" spans="1:4" x14ac:dyDescent="0.2">
      <c r="A25835" t="s">
        <v>8524</v>
      </c>
      <c r="B25835" t="str">
        <f>HYPERLINK("https://lindat.mff.cuni.cz/services/teitok/pdtc10/index.php?action=vallex&amp;frame=v-w3457f2_ZU", "plakat (v-w3457f2_ZU)")</f>
        <v>plakat (v-w3457f2_ZU)</v>
      </c>
    </row>
    <row r="25836" spans="1:4" x14ac:dyDescent="0.2">
      <c r="B25836" t="s">
        <v>1</v>
      </c>
      <c r="C25836" t="s">
        <v>140</v>
      </c>
    </row>
    <row r="25837" spans="1:4" x14ac:dyDescent="0.2">
      <c r="B25837" t="s">
        <v>8525</v>
      </c>
    </row>
    <row r="25839" spans="1:4" x14ac:dyDescent="0.2">
      <c r="A25839" t="s">
        <v>8524</v>
      </c>
      <c r="B25839" t="str">
        <f>HYPERLINK("https://lindat.mff.cuni.cz/services/teitok/pdtc10/index.php?action=vallex&amp;frame=v-w3457hsa_228", "plakat (v-w3457hsa_228) - substituted with v-w3457f2_ZU")</f>
        <v>plakat (v-w3457hsa_228) - substituted with v-w3457f2_ZU</v>
      </c>
    </row>
    <row r="25840" spans="1:4" x14ac:dyDescent="0.2">
      <c r="B25840" t="s">
        <v>1</v>
      </c>
    </row>
    <row r="25841" spans="1:4" x14ac:dyDescent="0.2">
      <c r="B25841" t="s">
        <v>8525</v>
      </c>
    </row>
    <row r="25843" spans="1:4" x14ac:dyDescent="0.2">
      <c r="A25843" t="s">
        <v>8526</v>
      </c>
      <c r="B25843" t="str">
        <f>HYPERLINK("https://lindat.mff.cuni.cz/services/teitok/pdtc10/index.php?action=vallex&amp;frame=v-w12134_ZUf1_ZU", "plandat (v-w12134_ZUf1_ZU)")</f>
        <v>plandat (v-w12134_ZUf1_ZU)</v>
      </c>
    </row>
    <row r="25844" spans="1:4" x14ac:dyDescent="0.2">
      <c r="B25844" t="s">
        <v>1</v>
      </c>
    </row>
    <row r="25846" spans="1:4" x14ac:dyDescent="0.2">
      <c r="A25846" t="s">
        <v>8527</v>
      </c>
      <c r="B25846" t="str">
        <f>HYPERLINK("https://lindat.mff.cuni.cz/services/teitok/pdtc10/index.php?action=vallex&amp;frame=v-w3459f1", "planout (v-w3459f1)")</f>
        <v>planout (v-w3459f1)</v>
      </c>
    </row>
    <row r="25847" spans="1:4" x14ac:dyDescent="0.2">
      <c r="B25847" t="s">
        <v>1</v>
      </c>
    </row>
    <row r="25849" spans="1:4" x14ac:dyDescent="0.2">
      <c r="A25849" t="s">
        <v>8528</v>
      </c>
      <c r="B25849" t="str">
        <f>HYPERLINK("https://lindat.mff.cuni.cz/services/teitok/pdtc10/index.php?action=vallex&amp;frame=v-w3459f2", "planout (v-w3459f2)")</f>
        <v>planout (v-w3459f2)</v>
      </c>
    </row>
    <row r="25850" spans="1:4" x14ac:dyDescent="0.2">
      <c r="B25850" t="s">
        <v>1</v>
      </c>
    </row>
    <row r="25851" spans="1:4" x14ac:dyDescent="0.2">
      <c r="B25851" t="s">
        <v>3429</v>
      </c>
    </row>
    <row r="25853" spans="1:4" x14ac:dyDescent="0.2">
      <c r="A25853" t="s">
        <v>8529</v>
      </c>
      <c r="B25853" t="str">
        <f>HYPERLINK("https://lindat.mff.cuni.cz/services/teitok/pdtc10/index.php?action=vallex&amp;frame=v-w3468f1", "platit (v-w3468f1)")</f>
        <v>platit (v-w3468f1)</v>
      </c>
    </row>
    <row r="25854" spans="1:4" x14ac:dyDescent="0.2">
      <c r="B25854" t="s">
        <v>1</v>
      </c>
      <c r="C25854" t="s">
        <v>8530</v>
      </c>
      <c r="D25854" t="s">
        <v>23350</v>
      </c>
    </row>
    <row r="25855" spans="1:4" x14ac:dyDescent="0.2">
      <c r="B25855" t="s">
        <v>8</v>
      </c>
      <c r="C25855" t="s">
        <v>8531</v>
      </c>
      <c r="D25855" t="s">
        <v>23351</v>
      </c>
    </row>
    <row r="25856" spans="1:4" x14ac:dyDescent="0.2">
      <c r="B25856" t="s">
        <v>78</v>
      </c>
      <c r="C25856" t="s">
        <v>8532</v>
      </c>
      <c r="D25856" t="s">
        <v>23352</v>
      </c>
    </row>
    <row r="25857" spans="1:4" x14ac:dyDescent="0.2">
      <c r="B25857" t="s">
        <v>413</v>
      </c>
      <c r="C25857" t="s">
        <v>8533</v>
      </c>
    </row>
    <row r="25859" spans="1:4" x14ac:dyDescent="0.2">
      <c r="A25859" t="s">
        <v>8534</v>
      </c>
      <c r="B25859" t="str">
        <f>HYPERLINK("https://lindat.mff.cuni.cz/services/teitok/pdtc10/index.php?action=vallex&amp;frame=v-w3468f5", "platit (v-w3468f5)")</f>
        <v>platit (v-w3468f5)</v>
      </c>
    </row>
    <row r="25860" spans="1:4" x14ac:dyDescent="0.2">
      <c r="B25860" t="s">
        <v>488</v>
      </c>
    </row>
    <row r="25861" spans="1:4" x14ac:dyDescent="0.2">
      <c r="B25861" t="s">
        <v>183</v>
      </c>
    </row>
    <row r="25863" spans="1:4" x14ac:dyDescent="0.2">
      <c r="A25863" t="s">
        <v>8535</v>
      </c>
      <c r="B25863" t="str">
        <f>HYPERLINK("https://lindat.mff.cuni.cz/services/teitok/pdtc10/index.php?action=vallex&amp;frame=v-w3468f8", "platit (v-w3468f8)")</f>
        <v>platit (v-w3468f8)</v>
      </c>
    </row>
    <row r="25864" spans="1:4" x14ac:dyDescent="0.2">
      <c r="B25864" t="s">
        <v>1</v>
      </c>
    </row>
    <row r="25865" spans="1:4" x14ac:dyDescent="0.2">
      <c r="B25865" t="s">
        <v>103</v>
      </c>
    </row>
    <row r="25867" spans="1:4" x14ac:dyDescent="0.2">
      <c r="A25867" t="s">
        <v>8536</v>
      </c>
      <c r="B25867" t="str">
        <f>HYPERLINK("https://lindat.mff.cuni.cz/services/teitok/pdtc10/index.php?action=vallex&amp;frame=v-w3468f4", "platit (v-w3468f4)")</f>
        <v>platit (v-w3468f4)</v>
      </c>
    </row>
    <row r="25868" spans="1:4" x14ac:dyDescent="0.2">
      <c r="B25868" t="s">
        <v>1</v>
      </c>
      <c r="C25868" t="s">
        <v>8537</v>
      </c>
      <c r="D25868" t="s">
        <v>23781</v>
      </c>
    </row>
    <row r="25869" spans="1:4" x14ac:dyDescent="0.2">
      <c r="B25869" t="s">
        <v>8</v>
      </c>
      <c r="C25869" t="s">
        <v>8538</v>
      </c>
      <c r="D25869" t="s">
        <v>23782</v>
      </c>
    </row>
    <row r="25871" spans="1:4" x14ac:dyDescent="0.2">
      <c r="A25871" t="s">
        <v>8539</v>
      </c>
      <c r="B25871" t="str">
        <f>HYPERLINK("https://lindat.mff.cuni.cz/services/teitok/pdtc10/index.php?action=vallex&amp;frame=v-w3468f9", "platit (v-w3468f9)")</f>
        <v>platit (v-w3468f9)</v>
      </c>
    </row>
    <row r="25872" spans="1:4" x14ac:dyDescent="0.2">
      <c r="B25872" t="s">
        <v>1</v>
      </c>
    </row>
    <row r="25873" spans="1:4" x14ac:dyDescent="0.2">
      <c r="B25873" t="s">
        <v>28</v>
      </c>
    </row>
    <row r="25875" spans="1:4" x14ac:dyDescent="0.2">
      <c r="A25875" t="s">
        <v>8540</v>
      </c>
      <c r="B25875" t="str">
        <f>HYPERLINK("https://lindat.mff.cuni.cz/services/teitok/pdtc10/index.php?action=vallex&amp;frame=v-w3468f6", "platit (v-w3468f6)")</f>
        <v>platit (v-w3468f6)</v>
      </c>
    </row>
    <row r="25876" spans="1:4" x14ac:dyDescent="0.2">
      <c r="B25876" t="s">
        <v>1</v>
      </c>
    </row>
    <row r="25877" spans="1:4" x14ac:dyDescent="0.2">
      <c r="B25877" t="s">
        <v>357</v>
      </c>
    </row>
    <row r="25879" spans="1:4" x14ac:dyDescent="0.2">
      <c r="A25879" t="s">
        <v>8541</v>
      </c>
      <c r="B25879" t="str">
        <f>HYPERLINK("https://lindat.mff.cuni.cz/services/teitok/pdtc10/index.php?action=vallex&amp;frame=v-w3468f10_ZU", "platit (v-w3468f10_ZU)")</f>
        <v>platit (v-w3468f10_ZU)</v>
      </c>
    </row>
    <row r="25880" spans="1:4" x14ac:dyDescent="0.2">
      <c r="B25880" t="s">
        <v>1</v>
      </c>
    </row>
    <row r="25881" spans="1:4" x14ac:dyDescent="0.2">
      <c r="B25881" t="s">
        <v>996</v>
      </c>
    </row>
    <row r="25883" spans="1:4" x14ac:dyDescent="0.2">
      <c r="A25883" t="s">
        <v>8541</v>
      </c>
      <c r="B25883" t="str">
        <f>HYPERLINK("https://lindat.mff.cuni.cz/services/teitok/pdtc10/index.php?action=vallex&amp;frame=v-w3468f7", "platit (v-w3468f7) - substituted with v-w3468f10_ZU")</f>
        <v>platit (v-w3468f7) - substituted with v-w3468f10_ZU</v>
      </c>
    </row>
    <row r="25884" spans="1:4" x14ac:dyDescent="0.2">
      <c r="B25884" t="s">
        <v>1</v>
      </c>
    </row>
    <row r="25885" spans="1:4" x14ac:dyDescent="0.2">
      <c r="B25885" t="s">
        <v>996</v>
      </c>
    </row>
    <row r="25887" spans="1:4" x14ac:dyDescent="0.2">
      <c r="A25887" t="s">
        <v>8542</v>
      </c>
      <c r="B25887" t="str">
        <f>HYPERLINK("https://lindat.mff.cuni.cz/services/teitok/pdtc10/index.php?action=vallex&amp;frame=v-w3468f3", "platit (v-w3468f3)")</f>
        <v>platit (v-w3468f3)</v>
      </c>
    </row>
    <row r="25888" spans="1:4" x14ac:dyDescent="0.2">
      <c r="B25888" t="s">
        <v>1</v>
      </c>
      <c r="C25888" t="s">
        <v>8543</v>
      </c>
      <c r="D25888" t="s">
        <v>23350</v>
      </c>
    </row>
    <row r="25889" spans="1:4" x14ac:dyDescent="0.2">
      <c r="B25889" t="s">
        <v>524</v>
      </c>
      <c r="C25889" t="s">
        <v>8544</v>
      </c>
      <c r="D25889" t="s">
        <v>23783</v>
      </c>
    </row>
    <row r="25890" spans="1:4" x14ac:dyDescent="0.2">
      <c r="B25890" t="s">
        <v>1382</v>
      </c>
      <c r="C25890" t="s">
        <v>8545</v>
      </c>
    </row>
    <row r="25891" spans="1:4" x14ac:dyDescent="0.2">
      <c r="B25891" t="s">
        <v>78</v>
      </c>
      <c r="C25891" t="s">
        <v>8546</v>
      </c>
      <c r="D25891" t="s">
        <v>23352</v>
      </c>
    </row>
    <row r="25893" spans="1:4" x14ac:dyDescent="0.2">
      <c r="A25893" t="s">
        <v>8547</v>
      </c>
      <c r="B25893" t="str">
        <f>HYPERLINK("https://lindat.mff.cuni.cz/services/teitok/pdtc10/index.php?action=vallex&amp;frame=v-w3468f11_ZU", "platit (v-w3468f11_ZU)")</f>
        <v>platit (v-w3468f11_ZU)</v>
      </c>
    </row>
    <row r="25894" spans="1:4" x14ac:dyDescent="0.2">
      <c r="B25894" t="s">
        <v>488</v>
      </c>
    </row>
    <row r="25896" spans="1:4" x14ac:dyDescent="0.2">
      <c r="A25896" t="s">
        <v>8547</v>
      </c>
      <c r="B25896" t="str">
        <f>HYPERLINK("https://lindat.mff.cuni.cz/services/teitok/pdtc10/index.php?action=vallex&amp;frame=v-w3468f2", "platit (v-w3468f2) - substituted with v-w3468f11_ZU")</f>
        <v>platit (v-w3468f2) - substituted with v-w3468f11_ZU</v>
      </c>
    </row>
    <row r="25897" spans="1:4" x14ac:dyDescent="0.2">
      <c r="B25897" t="s">
        <v>488</v>
      </c>
      <c r="C25897" t="s">
        <v>8548</v>
      </c>
      <c r="D25897" t="s">
        <v>21490</v>
      </c>
    </row>
    <row r="25899" spans="1:4" x14ac:dyDescent="0.2">
      <c r="A25899" t="s">
        <v>8549</v>
      </c>
      <c r="B25899" t="str">
        <f>HYPERLINK("https://lindat.mff.cuni.cz/services/teitok/pdtc10/index.php?action=vallex&amp;frame=v-w10506f3", "platívat (v-w10506f3)")</f>
        <v>platívat (v-w10506f3)</v>
      </c>
    </row>
    <row r="25900" spans="1:4" x14ac:dyDescent="0.2">
      <c r="B25900" t="s">
        <v>1</v>
      </c>
      <c r="C25900" t="s">
        <v>8543</v>
      </c>
      <c r="D25900" t="s">
        <v>23350</v>
      </c>
    </row>
    <row r="25901" spans="1:4" x14ac:dyDescent="0.2">
      <c r="B25901" t="s">
        <v>524</v>
      </c>
      <c r="C25901" t="s">
        <v>8544</v>
      </c>
      <c r="D25901" t="s">
        <v>23783</v>
      </c>
    </row>
    <row r="25902" spans="1:4" x14ac:dyDescent="0.2">
      <c r="B25902" t="s">
        <v>1382</v>
      </c>
      <c r="C25902" t="s">
        <v>8545</v>
      </c>
    </row>
    <row r="25903" spans="1:4" x14ac:dyDescent="0.2">
      <c r="B25903" t="s">
        <v>78</v>
      </c>
      <c r="C25903" t="s">
        <v>8546</v>
      </c>
      <c r="D25903" t="s">
        <v>23352</v>
      </c>
    </row>
    <row r="25905" spans="1:4" x14ac:dyDescent="0.2">
      <c r="A25905" t="s">
        <v>8550</v>
      </c>
      <c r="B25905" t="str">
        <f>HYPERLINK("https://lindat.mff.cuni.cz/services/teitok/pdtc10/index.php?action=vallex&amp;frame=v-w3471f1", "plavat (v-w3471f1)")</f>
        <v>plavat (v-w3471f1)</v>
      </c>
    </row>
    <row r="25906" spans="1:4" x14ac:dyDescent="0.2">
      <c r="B25906" t="s">
        <v>1</v>
      </c>
    </row>
    <row r="25907" spans="1:4" x14ac:dyDescent="0.2">
      <c r="B25907" t="s">
        <v>8</v>
      </c>
    </row>
    <row r="25909" spans="1:4" x14ac:dyDescent="0.2">
      <c r="A25909" t="s">
        <v>8551</v>
      </c>
      <c r="B25909" t="str">
        <f>HYPERLINK("https://lindat.mff.cuni.cz/services/teitok/pdtc10/index.php?action=vallex&amp;frame=v-w3471f2", "plavat (v-w3471f2)")</f>
        <v>plavat (v-w3471f2)</v>
      </c>
    </row>
    <row r="25910" spans="1:4" x14ac:dyDescent="0.2">
      <c r="B25910" t="s">
        <v>1</v>
      </c>
      <c r="C25910" t="s">
        <v>33</v>
      </c>
      <c r="D25910" t="s">
        <v>33</v>
      </c>
    </row>
    <row r="25912" spans="1:4" x14ac:dyDescent="0.2">
      <c r="A25912" t="s">
        <v>8552</v>
      </c>
      <c r="B25912" t="str">
        <f>HYPERLINK("https://lindat.mff.cuni.cz/services/teitok/pdtc10/index.php?action=vallex&amp;frame=v-w3471f3_ZU", "plavat (v-w3471f3_ZU)")</f>
        <v>plavat (v-w3471f3_ZU)</v>
      </c>
    </row>
    <row r="25913" spans="1:4" x14ac:dyDescent="0.2">
      <c r="B25913" t="s">
        <v>1</v>
      </c>
    </row>
    <row r="25914" spans="1:4" x14ac:dyDescent="0.2">
      <c r="B25914" t="s">
        <v>290</v>
      </c>
    </row>
    <row r="25916" spans="1:4" x14ac:dyDescent="0.2">
      <c r="A25916" t="s">
        <v>8553</v>
      </c>
      <c r="B25916" t="str">
        <f>HYPERLINK("https://lindat.mff.cuni.cz/services/teitok/pdtc10/index.php?action=vallex&amp;frame=v-w3471hsa_133", "plavat (v-w3471hsa_133)")</f>
        <v>plavat (v-w3471hsa_133)</v>
      </c>
    </row>
    <row r="25917" spans="1:4" x14ac:dyDescent="0.2">
      <c r="B25917" t="s">
        <v>1</v>
      </c>
    </row>
    <row r="25918" spans="1:4" x14ac:dyDescent="0.2">
      <c r="B25918" t="s">
        <v>8</v>
      </c>
    </row>
    <row r="25920" spans="1:4" x14ac:dyDescent="0.2">
      <c r="A25920" t="s">
        <v>8554</v>
      </c>
      <c r="B25920" t="str">
        <f>HYPERLINK("https://lindat.mff.cuni.cz/services/teitok/pdtc10/index.php?action=vallex&amp;frame=v-w3473f1", "plavit se (v-w3473f1)")</f>
        <v>plavit se (v-w3473f1)</v>
      </c>
    </row>
    <row r="25921" spans="1:4" x14ac:dyDescent="0.2">
      <c r="B25921" t="s">
        <v>1</v>
      </c>
      <c r="D25921" t="s">
        <v>2239</v>
      </c>
    </row>
    <row r="25923" spans="1:4" x14ac:dyDescent="0.2">
      <c r="A25923" t="s">
        <v>8555</v>
      </c>
      <c r="B25923" t="str">
        <f>HYPERLINK("https://lindat.mff.cuni.cz/services/teitok/pdtc10/index.php?action=vallex&amp;frame=v-w3475f1", "plazit se (v-w3475f1)")</f>
        <v>plazit se (v-w3475f1)</v>
      </c>
    </row>
    <row r="25924" spans="1:4" x14ac:dyDescent="0.2">
      <c r="B25924" t="s">
        <v>1</v>
      </c>
      <c r="C25924" t="s">
        <v>334</v>
      </c>
      <c r="D25924" t="s">
        <v>2303</v>
      </c>
    </row>
    <row r="25926" spans="1:4" x14ac:dyDescent="0.2">
      <c r="A25926" t="s">
        <v>8556</v>
      </c>
      <c r="B25926" t="str">
        <f>HYPERLINK("https://lindat.mff.cuni.cz/services/teitok/pdtc10/index.php?action=vallex&amp;frame=v-whsa_504hsa_505", "plašit (v-whsa_504hsa_505)")</f>
        <v>plašit (v-whsa_504hsa_505)</v>
      </c>
    </row>
    <row r="25927" spans="1:4" x14ac:dyDescent="0.2">
      <c r="B25927" t="s">
        <v>1</v>
      </c>
    </row>
    <row r="25928" spans="1:4" x14ac:dyDescent="0.2">
      <c r="B25928" t="s">
        <v>8</v>
      </c>
    </row>
    <row r="25930" spans="1:4" x14ac:dyDescent="0.2">
      <c r="A25930" t="s">
        <v>8557</v>
      </c>
      <c r="B25930" t="str">
        <f>HYPERLINK("https://lindat.mff.cuni.cz/services/teitok/pdtc10/index.php?action=vallex&amp;frame=v-w3465f1", "plašit se (v-w3465f1)")</f>
        <v>plašit se (v-w3465f1)</v>
      </c>
    </row>
    <row r="25931" spans="1:4" x14ac:dyDescent="0.2">
      <c r="B25931" t="s">
        <v>1</v>
      </c>
    </row>
    <row r="25933" spans="1:4" x14ac:dyDescent="0.2">
      <c r="A25933" t="s">
        <v>8558</v>
      </c>
      <c r="B25933" t="str">
        <f>HYPERLINK("https://lindat.mff.cuni.cz/services/teitok/pdtc10/index.php?action=vallex&amp;frame=v-w11546_ZUf1_ZU", "plenit (v-w11546_ZUf1_ZU)")</f>
        <v>plenit (v-w11546_ZUf1_ZU)</v>
      </c>
    </row>
    <row r="25934" spans="1:4" x14ac:dyDescent="0.2">
      <c r="B25934" t="s">
        <v>1</v>
      </c>
      <c r="C25934" t="s">
        <v>83</v>
      </c>
    </row>
    <row r="25935" spans="1:4" x14ac:dyDescent="0.2">
      <c r="B25935" t="s">
        <v>8</v>
      </c>
      <c r="C25935" t="s">
        <v>23</v>
      </c>
    </row>
    <row r="25937" spans="1:4" x14ac:dyDescent="0.2">
      <c r="A25937" t="s">
        <v>8559</v>
      </c>
      <c r="B25937" t="str">
        <f>HYPERLINK("https://lindat.mff.cuni.cz/services/teitok/pdtc10/index.php?action=vallex&amp;frame=v-w12098_ZUf1_ZU", "plesknout (v-w12098_ZUf1_ZU)")</f>
        <v>plesknout (v-w12098_ZUf1_ZU)</v>
      </c>
    </row>
    <row r="25938" spans="1:4" x14ac:dyDescent="0.2">
      <c r="B25938" t="s">
        <v>1</v>
      </c>
    </row>
    <row r="25939" spans="1:4" x14ac:dyDescent="0.2">
      <c r="B25939" t="s">
        <v>35</v>
      </c>
    </row>
    <row r="25940" spans="1:4" x14ac:dyDescent="0.2">
      <c r="B25940" t="s">
        <v>8</v>
      </c>
    </row>
    <row r="25942" spans="1:4" x14ac:dyDescent="0.2">
      <c r="A25942" t="s">
        <v>8560</v>
      </c>
      <c r="B25942" t="str">
        <f>HYPERLINK("https://lindat.mff.cuni.cz/services/teitok/pdtc10/index.php?action=vallex&amp;frame=v-w3482f1", "plešatět (v-w3482f1)")</f>
        <v>plešatět (v-w3482f1)</v>
      </c>
    </row>
    <row r="25943" spans="1:4" x14ac:dyDescent="0.2">
      <c r="B25943" t="s">
        <v>1</v>
      </c>
    </row>
    <row r="25945" spans="1:4" x14ac:dyDescent="0.2">
      <c r="A25945" t="s">
        <v>8561</v>
      </c>
      <c r="B25945" t="str">
        <f>HYPERLINK("https://lindat.mff.cuni.cz/services/teitok/pdtc10/index.php?action=vallex&amp;frame=v-w3483f1", "plivat (v-w3483f1)")</f>
        <v>plivat (v-w3483f1)</v>
      </c>
    </row>
    <row r="25946" spans="1:4" x14ac:dyDescent="0.2">
      <c r="B25946" t="s">
        <v>1</v>
      </c>
    </row>
    <row r="25948" spans="1:4" x14ac:dyDescent="0.2">
      <c r="A25948" t="s">
        <v>8562</v>
      </c>
      <c r="B25948" t="str">
        <f>HYPERLINK("https://lindat.mff.cuni.cz/services/teitok/pdtc10/index.php?action=vallex&amp;frame=v-w11868_ZUf1_ZU", "plivnout (v-w11868_ZUf1_ZU)")</f>
        <v>plivnout (v-w11868_ZUf1_ZU)</v>
      </c>
    </row>
    <row r="25949" spans="1:4" x14ac:dyDescent="0.2">
      <c r="B25949" t="s">
        <v>1</v>
      </c>
    </row>
    <row r="25951" spans="1:4" x14ac:dyDescent="0.2">
      <c r="A25951" t="s">
        <v>8563</v>
      </c>
      <c r="B25951" t="str">
        <f>HYPERLINK("https://lindat.mff.cuni.cz/services/teitok/pdtc10/index.php?action=vallex&amp;frame=v-w3486f2", "plnit (v-w3486f2)")</f>
        <v>plnit (v-w3486f2)</v>
      </c>
    </row>
    <row r="25952" spans="1:4" x14ac:dyDescent="0.2">
      <c r="B25952" t="s">
        <v>1</v>
      </c>
      <c r="C25952" t="s">
        <v>83</v>
      </c>
      <c r="D25952" t="s">
        <v>7907</v>
      </c>
    </row>
    <row r="25953" spans="1:4" x14ac:dyDescent="0.2">
      <c r="B25953" t="s">
        <v>8</v>
      </c>
      <c r="D25953" t="s">
        <v>23547</v>
      </c>
    </row>
    <row r="25954" spans="1:4" x14ac:dyDescent="0.2">
      <c r="B25954" t="s">
        <v>1193</v>
      </c>
      <c r="D25954" t="s">
        <v>23548</v>
      </c>
    </row>
    <row r="25956" spans="1:4" x14ac:dyDescent="0.2">
      <c r="A25956" t="s">
        <v>8564</v>
      </c>
      <c r="B25956" t="str">
        <f>HYPERLINK("https://lindat.mff.cuni.cz/services/teitok/pdtc10/index.php?action=vallex&amp;frame=v-w3486f1", "plnit (v-w3486f1)")</f>
        <v>plnit (v-w3486f1)</v>
      </c>
    </row>
    <row r="25957" spans="1:4" x14ac:dyDescent="0.2">
      <c r="B25957" t="s">
        <v>1</v>
      </c>
      <c r="C25957" t="s">
        <v>8565</v>
      </c>
      <c r="D25957" t="s">
        <v>23784</v>
      </c>
    </row>
    <row r="25958" spans="1:4" x14ac:dyDescent="0.2">
      <c r="B25958" t="s">
        <v>172</v>
      </c>
      <c r="C25958" t="s">
        <v>8566</v>
      </c>
      <c r="D25958" t="s">
        <v>23785</v>
      </c>
    </row>
    <row r="25960" spans="1:4" x14ac:dyDescent="0.2">
      <c r="A25960" t="s">
        <v>8567</v>
      </c>
      <c r="B25960" t="str">
        <f>HYPERLINK("https://lindat.mff.cuni.cz/services/teitok/pdtc10/index.php?action=vallex&amp;frame=v-w3487f1", "plnit si (v-w3487f1)")</f>
        <v>plnit si (v-w3487f1)</v>
      </c>
    </row>
    <row r="25961" spans="1:4" x14ac:dyDescent="0.2">
      <c r="B25961" t="s">
        <v>1</v>
      </c>
    </row>
    <row r="25962" spans="1:4" x14ac:dyDescent="0.2">
      <c r="B25962" t="s">
        <v>8</v>
      </c>
    </row>
    <row r="25964" spans="1:4" x14ac:dyDescent="0.2">
      <c r="A25964" t="s">
        <v>8568</v>
      </c>
      <c r="B25964" t="str">
        <f>HYPERLINK("https://lindat.mff.cuni.cz/services/teitok/pdtc10/index.php?action=vallex&amp;frame=v-w3489f1", "plodit (v-w3489f1)")</f>
        <v>plodit (v-w3489f1)</v>
      </c>
    </row>
    <row r="25965" spans="1:4" x14ac:dyDescent="0.2">
      <c r="B25965" t="s">
        <v>1</v>
      </c>
      <c r="C25965" t="s">
        <v>2486</v>
      </c>
    </row>
    <row r="25966" spans="1:4" x14ac:dyDescent="0.2">
      <c r="B25966" t="s">
        <v>8</v>
      </c>
      <c r="C25966" t="s">
        <v>2622</v>
      </c>
    </row>
    <row r="25968" spans="1:4" x14ac:dyDescent="0.2">
      <c r="A25968" t="s">
        <v>8569</v>
      </c>
      <c r="B25968" t="str">
        <f>HYPERLINK("https://lindat.mff.cuni.cz/services/teitok/pdtc10/index.php?action=vallex&amp;frame=v-w3489f3", "plodit (v-w3489f3)")</f>
        <v>plodit (v-w3489f3)</v>
      </c>
    </row>
    <row r="25969" spans="1:4" x14ac:dyDescent="0.2">
      <c r="B25969" t="s">
        <v>1</v>
      </c>
    </row>
    <row r="25970" spans="1:4" x14ac:dyDescent="0.2">
      <c r="B25970" t="s">
        <v>8</v>
      </c>
    </row>
    <row r="25972" spans="1:4" x14ac:dyDescent="0.2">
      <c r="A25972" t="s">
        <v>8570</v>
      </c>
      <c r="B25972" t="str">
        <f>HYPERLINK("https://lindat.mff.cuni.cz/services/teitok/pdtc10/index.php?action=vallex&amp;frame=v-w3489f2", "plodit (v-w3489f2)")</f>
        <v>plodit (v-w3489f2)</v>
      </c>
    </row>
    <row r="25973" spans="1:4" x14ac:dyDescent="0.2">
      <c r="B25973" t="s">
        <v>1</v>
      </c>
    </row>
    <row r="25974" spans="1:4" x14ac:dyDescent="0.2">
      <c r="B25974" t="s">
        <v>8</v>
      </c>
    </row>
    <row r="25976" spans="1:4" x14ac:dyDescent="0.2">
      <c r="A25976" t="s">
        <v>8571</v>
      </c>
      <c r="B25976" t="str">
        <f>HYPERLINK("https://lindat.mff.cuni.cz/services/teitok/pdtc10/index.php?action=vallex&amp;frame=v-w3490f1", "plout (v-w3490f1)")</f>
        <v>plout (v-w3490f1)</v>
      </c>
    </row>
    <row r="25977" spans="1:4" x14ac:dyDescent="0.2">
      <c r="B25977" t="s">
        <v>1</v>
      </c>
      <c r="C25977" t="s">
        <v>2239</v>
      </c>
      <c r="D25977" t="s">
        <v>2239</v>
      </c>
    </row>
    <row r="25979" spans="1:4" x14ac:dyDescent="0.2">
      <c r="A25979" t="s">
        <v>8572</v>
      </c>
      <c r="B25979" t="str">
        <f>HYPERLINK("https://lindat.mff.cuni.cz/services/teitok/pdtc10/index.php?action=vallex&amp;frame=v-w3490f4_ZU", "plout (v-w3490f4_ZU)")</f>
        <v>plout (v-w3490f4_ZU)</v>
      </c>
    </row>
    <row r="25980" spans="1:4" x14ac:dyDescent="0.2">
      <c r="B25980" t="s">
        <v>1</v>
      </c>
    </row>
    <row r="25982" spans="1:4" x14ac:dyDescent="0.2">
      <c r="A25982" t="s">
        <v>8572</v>
      </c>
      <c r="B25982" t="str">
        <f>HYPERLINK("https://lindat.mff.cuni.cz/services/teitok/pdtc10/index.php?action=vallex&amp;frame=v-w3490f2_ZU", "plout (v-w3490f2_ZU) - substituted with v-w3490f4_ZU")</f>
        <v>plout (v-w3490f2_ZU) - substituted with v-w3490f4_ZU</v>
      </c>
    </row>
    <row r="25983" spans="1:4" x14ac:dyDescent="0.2">
      <c r="B25983" t="s">
        <v>1</v>
      </c>
    </row>
    <row r="25985" spans="1:3" x14ac:dyDescent="0.2">
      <c r="A25985" t="s">
        <v>8572</v>
      </c>
      <c r="B25985" t="str">
        <f>HYPERLINK("https://lindat.mff.cuni.cz/services/teitok/pdtc10/index.php?action=vallex&amp;frame=v-w3490f3_ZU", "plout (v-w3490f3_ZU) - substituted with v-w3490f4_ZU")</f>
        <v>plout (v-w3490f3_ZU) - substituted with v-w3490f4_ZU</v>
      </c>
    </row>
    <row r="25986" spans="1:3" x14ac:dyDescent="0.2">
      <c r="B25986" t="s">
        <v>1</v>
      </c>
    </row>
    <row r="25988" spans="1:3" x14ac:dyDescent="0.2">
      <c r="A25988" t="s">
        <v>8573</v>
      </c>
      <c r="B25988" t="str">
        <f>HYPERLINK("https://lindat.mff.cuni.cz/services/teitok/pdtc10/index.php?action=vallex&amp;frame=v-whsa_1960hsa_1961", "ploužit se (v-whsa_1960hsa_1961)")</f>
        <v>ploužit se (v-whsa_1960hsa_1961)</v>
      </c>
    </row>
    <row r="25989" spans="1:3" x14ac:dyDescent="0.2">
      <c r="B25989" t="s">
        <v>1</v>
      </c>
    </row>
    <row r="25991" spans="1:3" x14ac:dyDescent="0.2">
      <c r="A25991" t="s">
        <v>8574</v>
      </c>
      <c r="B25991" t="str">
        <f>HYPERLINK("https://lindat.mff.cuni.cz/services/teitok/pdtc10/index.php?action=vallex&amp;frame=v-w10426f2", "plužit (v-w10426f2)")</f>
        <v>plužit (v-w10426f2)</v>
      </c>
    </row>
    <row r="25992" spans="1:3" x14ac:dyDescent="0.2">
      <c r="B25992" t="s">
        <v>1</v>
      </c>
    </row>
    <row r="25994" spans="1:3" x14ac:dyDescent="0.2">
      <c r="A25994" t="s">
        <v>8575</v>
      </c>
      <c r="B25994" t="str">
        <f>HYPERLINK("https://lindat.mff.cuni.cz/services/teitok/pdtc10/index.php?action=vallex&amp;frame=v-w3493f1", "plynout (v-w3493f1)")</f>
        <v>plynout (v-w3493f1)</v>
      </c>
    </row>
    <row r="25995" spans="1:3" x14ac:dyDescent="0.2">
      <c r="B25995" t="s">
        <v>604</v>
      </c>
      <c r="C25995" t="s">
        <v>7489</v>
      </c>
    </row>
    <row r="25996" spans="1:3" x14ac:dyDescent="0.2">
      <c r="B25996" t="s">
        <v>168</v>
      </c>
      <c r="C25996" t="s">
        <v>8576</v>
      </c>
    </row>
    <row r="25998" spans="1:3" x14ac:dyDescent="0.2">
      <c r="A25998" t="s">
        <v>8577</v>
      </c>
      <c r="B25998" t="str">
        <f>HYPERLINK("https://lindat.mff.cuni.cz/services/teitok/pdtc10/index.php?action=vallex&amp;frame=v-w3493f2", "plynout (v-w3493f2)")</f>
        <v>plynout (v-w3493f2)</v>
      </c>
    </row>
    <row r="25999" spans="1:3" x14ac:dyDescent="0.2">
      <c r="B25999" t="s">
        <v>1</v>
      </c>
    </row>
    <row r="26001" spans="1:3" x14ac:dyDescent="0.2">
      <c r="A26001" t="s">
        <v>8578</v>
      </c>
      <c r="B26001" t="str">
        <f>HYPERLINK("https://lindat.mff.cuni.cz/services/teitok/pdtc10/index.php?action=vallex&amp;frame=v-w3493f3", "plynout (v-w3493f3)")</f>
        <v>plynout (v-w3493f3)</v>
      </c>
    </row>
    <row r="26002" spans="1:3" x14ac:dyDescent="0.2">
      <c r="B26002" t="s">
        <v>1</v>
      </c>
      <c r="C26002" t="s">
        <v>8579</v>
      </c>
    </row>
    <row r="26004" spans="1:3" x14ac:dyDescent="0.2">
      <c r="A26004" t="s">
        <v>8580</v>
      </c>
      <c r="B26004" t="str">
        <f>HYPERLINK("https://lindat.mff.cuni.cz/services/teitok/pdtc10/index.php?action=vallex&amp;frame=v-w11697_ZUf2_ZU", "plynovat (v-w11697_ZUf2_ZU)")</f>
        <v>plynovat (v-w11697_ZUf2_ZU)</v>
      </c>
    </row>
    <row r="26005" spans="1:3" x14ac:dyDescent="0.2">
      <c r="B26005" t="s">
        <v>1</v>
      </c>
    </row>
    <row r="26006" spans="1:3" x14ac:dyDescent="0.2">
      <c r="B26006" t="s">
        <v>8</v>
      </c>
    </row>
    <row r="26008" spans="1:3" x14ac:dyDescent="0.2">
      <c r="A26008" t="s">
        <v>8580</v>
      </c>
      <c r="B26008" t="str">
        <f>HYPERLINK("https://lindat.mff.cuni.cz/services/teitok/pdtc10/index.php?action=vallex&amp;frame=v-w11697_ZUf1_ZU", "plynovat (v-w11697_ZUf1_ZU) - substituted with v-w11697_ZUf2_ZU")</f>
        <v>plynovat (v-w11697_ZUf1_ZU) - substituted with v-w11697_ZUf2_ZU</v>
      </c>
    </row>
    <row r="26009" spans="1:3" x14ac:dyDescent="0.2">
      <c r="B26009" t="s">
        <v>1</v>
      </c>
    </row>
    <row r="26010" spans="1:3" x14ac:dyDescent="0.2">
      <c r="B26010" t="s">
        <v>8</v>
      </c>
    </row>
    <row r="26012" spans="1:3" x14ac:dyDescent="0.2">
      <c r="A26012" t="s">
        <v>8581</v>
      </c>
      <c r="B26012" t="str">
        <f>HYPERLINK("https://lindat.mff.cuni.cz/services/teitok/pdtc10/index.php?action=vallex&amp;frame=v-whsb_1142f2_MM", "plácat (v-whsb_1142f2_MM)")</f>
        <v>plácat (v-whsb_1142f2_MM)</v>
      </c>
    </row>
    <row r="26013" spans="1:3" x14ac:dyDescent="0.2">
      <c r="B26013" t="s">
        <v>1</v>
      </c>
    </row>
    <row r="26014" spans="1:3" x14ac:dyDescent="0.2">
      <c r="B26014" t="s">
        <v>8582</v>
      </c>
    </row>
    <row r="26016" spans="1:3" x14ac:dyDescent="0.2">
      <c r="A26016" t="s">
        <v>8581</v>
      </c>
      <c r="B26016" t="str">
        <f>HYPERLINK("https://lindat.mff.cuni.cz/services/teitok/pdtc10/index.php?action=vallex&amp;frame=v-whsa_1142f1_ZU", "plácat (v-whsa_1142f1_ZU) - substituted with v-whsb_1142f2_MM")</f>
        <v>plácat (v-whsa_1142f1_ZU) - substituted with v-whsb_1142f2_MM</v>
      </c>
    </row>
    <row r="26017" spans="1:4" x14ac:dyDescent="0.2">
      <c r="B26017" t="s">
        <v>1</v>
      </c>
    </row>
    <row r="26018" spans="1:4" x14ac:dyDescent="0.2">
      <c r="B26018" t="s">
        <v>8582</v>
      </c>
    </row>
    <row r="26020" spans="1:4" x14ac:dyDescent="0.2">
      <c r="A26020" t="s">
        <v>8581</v>
      </c>
      <c r="B26020" t="str">
        <f>HYPERLINK("https://lindat.mff.cuni.cz/services/teitok/pdtc10/index.php?action=vallex&amp;frame=v-whsa_1142hsa_1143", "plácat (v-whsa_1142hsa_1143) - substituted with v-whsb_1142f2_MM")</f>
        <v>plácat (v-whsa_1142hsa_1143) - substituted with v-whsb_1142f2_MM</v>
      </c>
    </row>
    <row r="26021" spans="1:4" x14ac:dyDescent="0.2">
      <c r="B26021" t="s">
        <v>1</v>
      </c>
    </row>
    <row r="26022" spans="1:4" x14ac:dyDescent="0.2">
      <c r="B26022" t="s">
        <v>8582</v>
      </c>
    </row>
    <row r="26024" spans="1:4" x14ac:dyDescent="0.2">
      <c r="A26024" t="s">
        <v>8583</v>
      </c>
      <c r="B26024" t="str">
        <f>HYPERLINK("https://lindat.mff.cuni.cz/services/teitok/pdtc10/index.php?action=vallex&amp;frame=v-w3452f1", "plácat se (v-w3452f1)")</f>
        <v>plácat se (v-w3452f1)</v>
      </c>
    </row>
    <row r="26025" spans="1:4" x14ac:dyDescent="0.2">
      <c r="B26025" t="s">
        <v>1</v>
      </c>
    </row>
    <row r="26026" spans="1:4" x14ac:dyDescent="0.2">
      <c r="B26026" t="s">
        <v>5</v>
      </c>
    </row>
    <row r="26028" spans="1:4" x14ac:dyDescent="0.2">
      <c r="A26028" t="s">
        <v>8584</v>
      </c>
      <c r="B26028" t="str">
        <f>HYPERLINK("https://lindat.mff.cuni.cz/services/teitok/pdtc10/index.php?action=vallex&amp;frame=v-w3455f3", "plácnout (v-w3455f3)")</f>
        <v>plácnout (v-w3455f3)</v>
      </c>
    </row>
    <row r="26029" spans="1:4" x14ac:dyDescent="0.2">
      <c r="B26029" t="s">
        <v>1</v>
      </c>
      <c r="C26029" t="s">
        <v>133</v>
      </c>
      <c r="D26029" t="s">
        <v>133</v>
      </c>
    </row>
    <row r="26030" spans="1:4" x14ac:dyDescent="0.2">
      <c r="B26030" t="s">
        <v>8</v>
      </c>
      <c r="C26030" t="s">
        <v>1128</v>
      </c>
      <c r="D26030" t="s">
        <v>23</v>
      </c>
    </row>
    <row r="26032" spans="1:4" x14ac:dyDescent="0.2">
      <c r="A26032" t="s">
        <v>8585</v>
      </c>
      <c r="B26032" t="str">
        <f>HYPERLINK("https://lindat.mff.cuni.cz/services/teitok/pdtc10/index.php?action=vallex&amp;frame=v-w3455f1", "plácnout (v-w3455f1)")</f>
        <v>plácnout (v-w3455f1)</v>
      </c>
    </row>
    <row r="26033" spans="1:4" x14ac:dyDescent="0.2">
      <c r="B26033" t="s">
        <v>1</v>
      </c>
    </row>
    <row r="26034" spans="1:4" x14ac:dyDescent="0.2">
      <c r="B26034" t="s">
        <v>4749</v>
      </c>
    </row>
    <row r="26035" spans="1:4" x14ac:dyDescent="0.2">
      <c r="B26035" t="s">
        <v>269</v>
      </c>
    </row>
    <row r="26037" spans="1:4" x14ac:dyDescent="0.2">
      <c r="A26037" t="s">
        <v>8586</v>
      </c>
      <c r="B26037" t="str">
        <f>HYPERLINK("https://lindat.mff.cuni.cz/services/teitok/pdtc10/index.php?action=vallex&amp;frame=v-w3455hsa_1581", "plácnout (v-w3455hsa_1581)")</f>
        <v>plácnout (v-w3455hsa_1581)</v>
      </c>
    </row>
    <row r="26038" spans="1:4" x14ac:dyDescent="0.2">
      <c r="B26038" t="s">
        <v>1</v>
      </c>
    </row>
    <row r="26039" spans="1:4" x14ac:dyDescent="0.2">
      <c r="B26039" t="s">
        <v>158</v>
      </c>
    </row>
    <row r="26041" spans="1:4" x14ac:dyDescent="0.2">
      <c r="A26041" t="s">
        <v>8587</v>
      </c>
      <c r="B26041" t="str">
        <f>HYPERLINK("https://lindat.mff.cuni.cz/services/teitok/pdtc10/index.php?action=vallex&amp;frame=v-w3462f1", "plánovat (v-w3462f1)")</f>
        <v>plánovat (v-w3462f1)</v>
      </c>
    </row>
    <row r="26042" spans="1:4" x14ac:dyDescent="0.2">
      <c r="B26042" t="s">
        <v>1</v>
      </c>
      <c r="C26042" t="s">
        <v>8588</v>
      </c>
      <c r="D26042" t="s">
        <v>23491</v>
      </c>
    </row>
    <row r="26043" spans="1:4" x14ac:dyDescent="0.2">
      <c r="B26043" t="s">
        <v>8589</v>
      </c>
      <c r="C26043" t="s">
        <v>8590</v>
      </c>
      <c r="D26043" t="s">
        <v>23492</v>
      </c>
    </row>
    <row r="26045" spans="1:4" x14ac:dyDescent="0.2">
      <c r="A26045" t="s">
        <v>8591</v>
      </c>
      <c r="B26045" t="str">
        <f>HYPERLINK("https://lindat.mff.cuni.cz/services/teitok/pdtc10/index.php?action=vallex&amp;frame=v-w3477f1", "plédovat (v-w3477f1)")</f>
        <v>plédovat (v-w3477f1)</v>
      </c>
    </row>
    <row r="26046" spans="1:4" x14ac:dyDescent="0.2">
      <c r="B26046" t="s">
        <v>331</v>
      </c>
    </row>
    <row r="26047" spans="1:4" x14ac:dyDescent="0.2">
      <c r="B26047" t="s">
        <v>1410</v>
      </c>
    </row>
    <row r="26049" spans="1:3" x14ac:dyDescent="0.2">
      <c r="A26049" t="s">
        <v>8592</v>
      </c>
      <c r="B26049" t="str">
        <f>HYPERLINK("https://lindat.mff.cuni.cz/services/teitok/pdtc10/index.php?action=vallex&amp;frame=v-w3479f2", "plést (v-w3479f2)")</f>
        <v>plést (v-w3479f2)</v>
      </c>
    </row>
    <row r="26050" spans="1:3" x14ac:dyDescent="0.2">
      <c r="B26050" t="s">
        <v>1</v>
      </c>
    </row>
    <row r="26051" spans="1:3" x14ac:dyDescent="0.2">
      <c r="B26051" t="s">
        <v>8</v>
      </c>
    </row>
    <row r="26052" spans="1:3" x14ac:dyDescent="0.2">
      <c r="B26052" t="s">
        <v>8593</v>
      </c>
    </row>
    <row r="26054" spans="1:3" x14ac:dyDescent="0.2">
      <c r="A26054" t="s">
        <v>8594</v>
      </c>
      <c r="B26054" t="str">
        <f>HYPERLINK("https://lindat.mff.cuni.cz/services/teitok/pdtc10/index.php?action=vallex&amp;frame=v-w3479f1", "plést (v-w3479f1)")</f>
        <v>plést (v-w3479f1)</v>
      </c>
    </row>
    <row r="26055" spans="1:3" x14ac:dyDescent="0.2">
      <c r="B26055" t="s">
        <v>488</v>
      </c>
      <c r="C26055" t="s">
        <v>140</v>
      </c>
    </row>
    <row r="26056" spans="1:3" x14ac:dyDescent="0.2">
      <c r="B26056" t="s">
        <v>8</v>
      </c>
      <c r="C26056" t="s">
        <v>113</v>
      </c>
    </row>
    <row r="26058" spans="1:3" x14ac:dyDescent="0.2">
      <c r="A26058" t="s">
        <v>8595</v>
      </c>
      <c r="B26058" t="str">
        <f>HYPERLINK("https://lindat.mff.cuni.cz/services/teitok/pdtc10/index.php?action=vallex&amp;frame=v-w3479f3_ZU", "plést (v-w3479f3_ZU)")</f>
        <v>plést (v-w3479f3_ZU)</v>
      </c>
    </row>
    <row r="26059" spans="1:3" x14ac:dyDescent="0.2">
      <c r="B26059" t="s">
        <v>1</v>
      </c>
    </row>
    <row r="26060" spans="1:3" x14ac:dyDescent="0.2">
      <c r="B26060" t="s">
        <v>8</v>
      </c>
    </row>
    <row r="26061" spans="1:3" x14ac:dyDescent="0.2">
      <c r="B26061" t="s">
        <v>252</v>
      </c>
    </row>
    <row r="26063" spans="1:3" x14ac:dyDescent="0.2">
      <c r="A26063" t="s">
        <v>8596</v>
      </c>
      <c r="B26063" t="str">
        <f>HYPERLINK("https://lindat.mff.cuni.cz/services/teitok/pdtc10/index.php?action=vallex&amp;frame=v-w3479hsa_537", "plést (v-w3479hsa_537)")</f>
        <v>plést (v-w3479hsa_537)</v>
      </c>
    </row>
    <row r="26064" spans="1:3" x14ac:dyDescent="0.2">
      <c r="B26064" t="s">
        <v>1</v>
      </c>
    </row>
    <row r="26065" spans="1:4" x14ac:dyDescent="0.2">
      <c r="B26065" t="s">
        <v>8</v>
      </c>
    </row>
    <row r="26066" spans="1:4" x14ac:dyDescent="0.2">
      <c r="B26066" t="s">
        <v>24</v>
      </c>
    </row>
    <row r="26068" spans="1:4" x14ac:dyDescent="0.2">
      <c r="A26068" t="s">
        <v>8597</v>
      </c>
      <c r="B26068" t="str">
        <f>HYPERLINK("https://lindat.mff.cuni.cz/services/teitok/pdtc10/index.php?action=vallex&amp;frame=v-w3480f1", "plést se (v-w3480f1)")</f>
        <v>plést se (v-w3480f1)</v>
      </c>
    </row>
    <row r="26069" spans="1:4" x14ac:dyDescent="0.2">
      <c r="B26069" t="s">
        <v>1</v>
      </c>
    </row>
    <row r="26070" spans="1:4" x14ac:dyDescent="0.2">
      <c r="B26070" t="s">
        <v>411</v>
      </c>
    </row>
    <row r="26071" spans="1:4" x14ac:dyDescent="0.2">
      <c r="B26071" t="s">
        <v>2156</v>
      </c>
    </row>
    <row r="26073" spans="1:4" x14ac:dyDescent="0.2">
      <c r="A26073" t="s">
        <v>8598</v>
      </c>
      <c r="B26073" t="str">
        <f>HYPERLINK("https://lindat.mff.cuni.cz/services/teitok/pdtc10/index.php?action=vallex&amp;frame=v-w3480f2", "plést se (v-w3480f2)")</f>
        <v>plést se (v-w3480f2)</v>
      </c>
    </row>
    <row r="26074" spans="1:4" x14ac:dyDescent="0.2">
      <c r="B26074" t="s">
        <v>1</v>
      </c>
      <c r="C26074" t="s">
        <v>80</v>
      </c>
      <c r="D26074" t="s">
        <v>23493</v>
      </c>
    </row>
    <row r="26075" spans="1:4" x14ac:dyDescent="0.2">
      <c r="B26075" t="s">
        <v>817</v>
      </c>
      <c r="C26075" t="s">
        <v>2240</v>
      </c>
      <c r="D26075" t="s">
        <v>23494</v>
      </c>
    </row>
    <row r="26077" spans="1:4" x14ac:dyDescent="0.2">
      <c r="A26077" t="s">
        <v>8599</v>
      </c>
      <c r="B26077" t="str">
        <f>HYPERLINK("https://lindat.mff.cuni.cz/services/teitok/pdtc10/index.php?action=vallex&amp;frame=v-w3480f3", "plést se (v-w3480f3)")</f>
        <v>plést se (v-w3480f3)</v>
      </c>
    </row>
    <row r="26078" spans="1:4" x14ac:dyDescent="0.2">
      <c r="B26078" t="s">
        <v>1</v>
      </c>
    </row>
    <row r="26080" spans="1:4" x14ac:dyDescent="0.2">
      <c r="A26080" t="s">
        <v>8600</v>
      </c>
      <c r="B26080" t="str">
        <f>HYPERLINK("https://lindat.mff.cuni.cz/services/teitok/pdtc10/index.php?action=vallex&amp;frame=v-w3480f4_ZU", "plést se (v-w3480f4_ZU)")</f>
        <v>plést se (v-w3480f4_ZU)</v>
      </c>
    </row>
    <row r="26081" spans="1:4" x14ac:dyDescent="0.2">
      <c r="B26081" t="s">
        <v>1</v>
      </c>
    </row>
    <row r="26082" spans="1:4" x14ac:dyDescent="0.2">
      <c r="B26082" t="s">
        <v>86</v>
      </c>
    </row>
    <row r="26084" spans="1:4" x14ac:dyDescent="0.2">
      <c r="A26084" t="s">
        <v>8601</v>
      </c>
      <c r="B26084" t="str">
        <f>HYPERLINK("https://lindat.mff.cuni.cz/services/teitok/pdtc10/index.php?action=vallex&amp;frame=v-w3481f1", "plést si (v-w3481f1)")</f>
        <v>plést si (v-w3481f1)</v>
      </c>
    </row>
    <row r="26085" spans="1:4" x14ac:dyDescent="0.2">
      <c r="B26085" t="s">
        <v>1</v>
      </c>
      <c r="C26085" t="s">
        <v>147</v>
      </c>
      <c r="D26085" t="s">
        <v>147</v>
      </c>
    </row>
    <row r="26086" spans="1:4" x14ac:dyDescent="0.2">
      <c r="B26086" t="s">
        <v>8</v>
      </c>
      <c r="C26086" t="s">
        <v>7577</v>
      </c>
      <c r="D26086" t="s">
        <v>7577</v>
      </c>
    </row>
    <row r="26087" spans="1:4" x14ac:dyDescent="0.2">
      <c r="B26087" t="s">
        <v>2604</v>
      </c>
      <c r="C26087" t="s">
        <v>3966</v>
      </c>
      <c r="D26087" t="s">
        <v>3966</v>
      </c>
    </row>
    <row r="26089" spans="1:4" x14ac:dyDescent="0.2">
      <c r="A26089" t="s">
        <v>8602</v>
      </c>
      <c r="B26089" t="str">
        <f>HYPERLINK("https://lindat.mff.cuni.cz/services/teitok/pdtc10/index.php?action=vallex&amp;frame=v-w3481f2", "plést si (v-w3481f2)")</f>
        <v>plést si (v-w3481f2)</v>
      </c>
    </row>
    <row r="26090" spans="1:4" x14ac:dyDescent="0.2">
      <c r="B26090" t="s">
        <v>1</v>
      </c>
      <c r="C26090" t="s">
        <v>147</v>
      </c>
    </row>
    <row r="26091" spans="1:4" x14ac:dyDescent="0.2">
      <c r="B26091" t="s">
        <v>172</v>
      </c>
      <c r="C26091" t="s">
        <v>7577</v>
      </c>
    </row>
    <row r="26093" spans="1:4" x14ac:dyDescent="0.2">
      <c r="A26093" t="s">
        <v>8603</v>
      </c>
      <c r="B26093" t="str">
        <f>HYPERLINK("https://lindat.mff.cuni.cz/services/teitok/pdtc10/index.php?action=vallex&amp;frame=v-w11030f2", "plísnit (v-w11030f2)")</f>
        <v>plísnit (v-w11030f2)</v>
      </c>
    </row>
    <row r="26094" spans="1:4" x14ac:dyDescent="0.2">
      <c r="B26094" t="s">
        <v>1</v>
      </c>
    </row>
    <row r="26095" spans="1:4" x14ac:dyDescent="0.2">
      <c r="B26095" t="s">
        <v>8</v>
      </c>
    </row>
    <row r="26097" spans="1:4" x14ac:dyDescent="0.2">
      <c r="A26097" t="s">
        <v>8604</v>
      </c>
      <c r="B26097" t="str">
        <f>HYPERLINK("https://lindat.mff.cuni.cz/services/teitok/pdtc10/index.php?action=vallex&amp;frame=v-whsa_1668hsa_1669", "plít (v-whsa_1668hsa_1669)")</f>
        <v>plít (v-whsa_1668hsa_1669)</v>
      </c>
    </row>
    <row r="26098" spans="1:4" x14ac:dyDescent="0.2">
      <c r="B26098" t="s">
        <v>1</v>
      </c>
    </row>
    <row r="26099" spans="1:4" x14ac:dyDescent="0.2">
      <c r="B26099" t="s">
        <v>8</v>
      </c>
    </row>
    <row r="26101" spans="1:4" x14ac:dyDescent="0.2">
      <c r="A26101" t="s">
        <v>8605</v>
      </c>
      <c r="B26101" t="str">
        <f>HYPERLINK("https://lindat.mff.cuni.cz/services/teitok/pdtc10/index.php?action=vallex&amp;frame=v-w11312f1", "plížit se (v-w11312f1)")</f>
        <v>plížit se (v-w11312f1)</v>
      </c>
    </row>
    <row r="26102" spans="1:4" x14ac:dyDescent="0.2">
      <c r="B26102" t="s">
        <v>1</v>
      </c>
      <c r="C26102" t="s">
        <v>133</v>
      </c>
      <c r="D26102" t="s">
        <v>2303</v>
      </c>
    </row>
    <row r="26104" spans="1:4" x14ac:dyDescent="0.2">
      <c r="A26104" t="s">
        <v>8606</v>
      </c>
      <c r="B26104" t="str">
        <f>HYPERLINK("https://lindat.mff.cuni.cz/services/teitok/pdtc10/index.php?action=vallex&amp;frame=v-w3495f2_ZU", "plýtvat (v-w3495f2_ZU)")</f>
        <v>plýtvat (v-w3495f2_ZU)</v>
      </c>
    </row>
    <row r="26105" spans="1:4" x14ac:dyDescent="0.2">
      <c r="B26105" t="s">
        <v>1</v>
      </c>
      <c r="C26105" t="s">
        <v>83</v>
      </c>
      <c r="D26105" t="s">
        <v>1065</v>
      </c>
    </row>
    <row r="26106" spans="1:4" x14ac:dyDescent="0.2">
      <c r="B26106" t="s">
        <v>4778</v>
      </c>
      <c r="C26106" t="s">
        <v>54</v>
      </c>
      <c r="D26106" t="s">
        <v>116</v>
      </c>
    </row>
    <row r="26108" spans="1:4" x14ac:dyDescent="0.2">
      <c r="A26108" t="s">
        <v>8606</v>
      </c>
      <c r="B26108" t="str">
        <f>HYPERLINK("https://lindat.mff.cuni.cz/services/teitok/pdtc10/index.php?action=vallex&amp;frame=v-w3495f1", "plýtvat (v-w3495f1) - substituted with v-w3495f2_ZU")</f>
        <v>plýtvat (v-w3495f1) - substituted with v-w3495f2_ZU</v>
      </c>
    </row>
    <row r="26109" spans="1:4" x14ac:dyDescent="0.2">
      <c r="B26109" t="s">
        <v>1</v>
      </c>
      <c r="C26109" t="s">
        <v>430</v>
      </c>
    </row>
    <row r="26110" spans="1:4" x14ac:dyDescent="0.2">
      <c r="B26110" t="s">
        <v>4778</v>
      </c>
      <c r="C26110" t="s">
        <v>1025</v>
      </c>
    </row>
    <row r="26112" spans="1:4" x14ac:dyDescent="0.2">
      <c r="A26112" t="s">
        <v>8607</v>
      </c>
      <c r="B26112" t="str">
        <f>HYPERLINK("https://lindat.mff.cuni.cz/services/teitok/pdtc10/index.php?action=vallex&amp;frame=v-whsa_1205hsa_1206", "pobabit se (v-whsa_1205hsa_1206)")</f>
        <v>pobabit se (v-whsa_1205hsa_1206)</v>
      </c>
    </row>
    <row r="26113" spans="1:4" x14ac:dyDescent="0.2">
      <c r="B26113" t="s">
        <v>1</v>
      </c>
    </row>
    <row r="26115" spans="1:4" x14ac:dyDescent="0.2">
      <c r="A26115" t="s">
        <v>8608</v>
      </c>
      <c r="B26115" t="str">
        <f>HYPERLINK("https://lindat.mff.cuni.cz/services/teitok/pdtc10/index.php?action=vallex&amp;frame=v-w11865_ZUf1_ZU", "pobalit (v-w11865_ZUf1_ZU)")</f>
        <v>pobalit (v-w11865_ZUf1_ZU)</v>
      </c>
    </row>
    <row r="26116" spans="1:4" x14ac:dyDescent="0.2">
      <c r="B26116" t="s">
        <v>1</v>
      </c>
    </row>
    <row r="26117" spans="1:4" x14ac:dyDescent="0.2">
      <c r="B26117" t="s">
        <v>8</v>
      </c>
    </row>
    <row r="26118" spans="1:4" x14ac:dyDescent="0.2">
      <c r="B26118" t="s">
        <v>130</v>
      </c>
    </row>
    <row r="26120" spans="1:4" x14ac:dyDescent="0.2">
      <c r="A26120" t="s">
        <v>8609</v>
      </c>
      <c r="B26120" t="str">
        <f>HYPERLINK("https://lindat.mff.cuni.cz/services/teitok/pdtc10/index.php?action=vallex&amp;frame=v-w3498hsa_1539", "pobavit (v-w3498hsa_1539)")</f>
        <v>pobavit (v-w3498hsa_1539)</v>
      </c>
    </row>
    <row r="26121" spans="1:4" x14ac:dyDescent="0.2">
      <c r="B26121" t="s">
        <v>488</v>
      </c>
    </row>
    <row r="26122" spans="1:4" x14ac:dyDescent="0.2">
      <c r="B26122" t="s">
        <v>8</v>
      </c>
    </row>
    <row r="26124" spans="1:4" x14ac:dyDescent="0.2">
      <c r="A26124" t="s">
        <v>8609</v>
      </c>
      <c r="B26124" t="str">
        <f>HYPERLINK("https://lindat.mff.cuni.cz/services/teitok/pdtc10/index.php?action=vallex&amp;frame=v-w3498f1", "pobavit (v-w3498f1) - substituted with v-w3498hsa_1539")</f>
        <v>pobavit (v-w3498f1) - substituted with v-w3498hsa_1539</v>
      </c>
    </row>
    <row r="26125" spans="1:4" x14ac:dyDescent="0.2">
      <c r="B26125" t="s">
        <v>488</v>
      </c>
      <c r="C26125" t="s">
        <v>33</v>
      </c>
      <c r="D26125" t="s">
        <v>33</v>
      </c>
    </row>
    <row r="26126" spans="1:4" x14ac:dyDescent="0.2">
      <c r="B26126" t="s">
        <v>8</v>
      </c>
      <c r="C26126" t="s">
        <v>113</v>
      </c>
      <c r="D26126" t="s">
        <v>113</v>
      </c>
    </row>
    <row r="26128" spans="1:4" x14ac:dyDescent="0.2">
      <c r="A26128" t="s">
        <v>8610</v>
      </c>
      <c r="B26128" t="str">
        <f>HYPERLINK("https://lindat.mff.cuni.cz/services/teitok/pdtc10/index.php?action=vallex&amp;frame=v-w3499f1", "pobavit se (v-w3499f1)")</f>
        <v>pobavit se (v-w3499f1)</v>
      </c>
    </row>
    <row r="26129" spans="1:4" x14ac:dyDescent="0.2">
      <c r="B26129" t="s">
        <v>1</v>
      </c>
    </row>
    <row r="26131" spans="1:4" x14ac:dyDescent="0.2">
      <c r="A26131" t="s">
        <v>8611</v>
      </c>
      <c r="B26131" t="str">
        <f>HYPERLINK("https://lindat.mff.cuni.cz/services/teitok/pdtc10/index.php?action=vallex&amp;frame=v-w11963_ZUf1_ZU", "poblahopřát (v-w11963_ZUf1_ZU)")</f>
        <v>poblahopřát (v-w11963_ZUf1_ZU)</v>
      </c>
    </row>
    <row r="26132" spans="1:4" x14ac:dyDescent="0.2">
      <c r="B26132" t="s">
        <v>1</v>
      </c>
    </row>
    <row r="26133" spans="1:4" x14ac:dyDescent="0.2">
      <c r="B26133" t="s">
        <v>176</v>
      </c>
    </row>
    <row r="26134" spans="1:4" x14ac:dyDescent="0.2">
      <c r="B26134" t="s">
        <v>35</v>
      </c>
    </row>
    <row r="26136" spans="1:4" x14ac:dyDescent="0.2">
      <c r="A26136" t="s">
        <v>8612</v>
      </c>
      <c r="B26136" t="str">
        <f>HYPERLINK("https://lindat.mff.cuni.cz/services/teitok/pdtc10/index.php?action=vallex&amp;frame=v-w10390f2", "pobláznit (v-w10390f2)")</f>
        <v>pobláznit (v-w10390f2)</v>
      </c>
    </row>
    <row r="26137" spans="1:4" x14ac:dyDescent="0.2">
      <c r="B26137" t="s">
        <v>1</v>
      </c>
      <c r="C26137" t="s">
        <v>140</v>
      </c>
      <c r="D26137" t="s">
        <v>23742</v>
      </c>
    </row>
    <row r="26138" spans="1:4" x14ac:dyDescent="0.2">
      <c r="B26138" t="s">
        <v>8</v>
      </c>
      <c r="C26138" t="s">
        <v>34</v>
      </c>
      <c r="D26138" t="s">
        <v>56</v>
      </c>
    </row>
    <row r="26140" spans="1:4" x14ac:dyDescent="0.2">
      <c r="A26140" t="s">
        <v>8613</v>
      </c>
      <c r="B26140" t="str">
        <f>HYPERLINK("https://lindat.mff.cuni.cz/services/teitok/pdtc10/index.php?action=vallex&amp;frame=v-w3505f1", "pobodat (v-w3505f1)")</f>
        <v>pobodat (v-w3505f1)</v>
      </c>
    </row>
    <row r="26141" spans="1:4" x14ac:dyDescent="0.2">
      <c r="B26141" t="s">
        <v>1</v>
      </c>
      <c r="C26141" t="s">
        <v>133</v>
      </c>
      <c r="D26141" t="s">
        <v>11295</v>
      </c>
    </row>
    <row r="26142" spans="1:4" x14ac:dyDescent="0.2">
      <c r="B26142" t="s">
        <v>8</v>
      </c>
      <c r="C26142" t="s">
        <v>84</v>
      </c>
      <c r="D26142" t="s">
        <v>13639</v>
      </c>
    </row>
    <row r="26144" spans="1:4" x14ac:dyDescent="0.2">
      <c r="A26144" t="s">
        <v>8614</v>
      </c>
      <c r="B26144" t="str">
        <f>HYPERLINK("https://lindat.mff.cuni.cz/services/teitok/pdtc10/index.php?action=vallex&amp;frame=v-w11017f2", "pobouřit (v-w11017f2)")</f>
        <v>pobouřit (v-w11017f2)</v>
      </c>
    </row>
    <row r="26145" spans="1:4" x14ac:dyDescent="0.2">
      <c r="B26145" t="s">
        <v>1</v>
      </c>
      <c r="C26145" t="s">
        <v>334</v>
      </c>
      <c r="D26145" t="s">
        <v>33</v>
      </c>
    </row>
    <row r="26146" spans="1:4" x14ac:dyDescent="0.2">
      <c r="B26146" t="s">
        <v>8</v>
      </c>
      <c r="C26146" t="s">
        <v>1340</v>
      </c>
      <c r="D26146" t="s">
        <v>991</v>
      </c>
    </row>
    <row r="26148" spans="1:4" x14ac:dyDescent="0.2">
      <c r="A26148" t="s">
        <v>8615</v>
      </c>
      <c r="B26148" t="str">
        <f>HYPERLINK("https://lindat.mff.cuni.cz/services/teitok/pdtc10/index.php?action=vallex&amp;frame=v-w3507f1", "pobrat (v-w3507f1)")</f>
        <v>pobrat (v-w3507f1)</v>
      </c>
    </row>
    <row r="26149" spans="1:4" x14ac:dyDescent="0.2">
      <c r="B26149" t="s">
        <v>1</v>
      </c>
    </row>
    <row r="26150" spans="1:4" x14ac:dyDescent="0.2">
      <c r="B26150" t="s">
        <v>8</v>
      </c>
    </row>
    <row r="26152" spans="1:4" x14ac:dyDescent="0.2">
      <c r="A26152" t="s">
        <v>8616</v>
      </c>
      <c r="B26152" t="str">
        <f>HYPERLINK("https://lindat.mff.cuni.cz/services/teitok/pdtc10/index.php?action=vallex&amp;frame=v-w3507f2", "pobrat (v-w3507f2)")</f>
        <v>pobrat (v-w3507f2)</v>
      </c>
    </row>
    <row r="26153" spans="1:4" x14ac:dyDescent="0.2">
      <c r="B26153" t="s">
        <v>1</v>
      </c>
    </row>
    <row r="26154" spans="1:4" x14ac:dyDescent="0.2">
      <c r="B26154" t="s">
        <v>8</v>
      </c>
    </row>
    <row r="26156" spans="1:4" x14ac:dyDescent="0.2">
      <c r="A26156" t="s">
        <v>8617</v>
      </c>
      <c r="B26156" t="str">
        <f>HYPERLINK("https://lindat.mff.cuni.cz/services/teitok/pdtc10/index.php?action=vallex&amp;frame=v-w3507f4_MM", "pobrat (v-w3507f4_MM)")</f>
        <v>pobrat (v-w3507f4_MM)</v>
      </c>
    </row>
    <row r="26157" spans="1:4" x14ac:dyDescent="0.2">
      <c r="B26157" t="s">
        <v>1</v>
      </c>
    </row>
    <row r="26158" spans="1:4" x14ac:dyDescent="0.2">
      <c r="B26158" t="s">
        <v>8</v>
      </c>
    </row>
    <row r="26160" spans="1:4" x14ac:dyDescent="0.2">
      <c r="A26160" t="s">
        <v>8617</v>
      </c>
      <c r="B26160" t="str">
        <f>HYPERLINK("https://lindat.mff.cuni.cz/services/teitok/pdtc10/index.php?action=vallex&amp;frame=v-w3507f3_MM", "pobrat (v-w3507f3_MM) - substituted with v-w3507f4_MM")</f>
        <v>pobrat (v-w3507f3_MM) - substituted with v-w3507f4_MM</v>
      </c>
    </row>
    <row r="26161" spans="1:4" x14ac:dyDescent="0.2">
      <c r="B26161" t="s">
        <v>1</v>
      </c>
    </row>
    <row r="26162" spans="1:4" x14ac:dyDescent="0.2">
      <c r="B26162" t="s">
        <v>8</v>
      </c>
    </row>
    <row r="26164" spans="1:4" x14ac:dyDescent="0.2">
      <c r="A26164" t="s">
        <v>8618</v>
      </c>
      <c r="B26164" t="str">
        <f>HYPERLINK("https://lindat.mff.cuni.cz/services/teitok/pdtc10/index.php?action=vallex&amp;frame=v-w3507hsa_734", "pobrat (v-w3507hsa_734)")</f>
        <v>pobrat (v-w3507hsa_734)</v>
      </c>
    </row>
    <row r="26165" spans="1:4" x14ac:dyDescent="0.2">
      <c r="B26165" t="s">
        <v>1</v>
      </c>
    </row>
    <row r="26166" spans="1:4" x14ac:dyDescent="0.2">
      <c r="B26166" t="s">
        <v>8</v>
      </c>
    </row>
    <row r="26168" spans="1:4" x14ac:dyDescent="0.2">
      <c r="A26168" t="s">
        <v>8619</v>
      </c>
      <c r="B26168" t="str">
        <f>HYPERLINK("https://lindat.mff.cuni.cz/services/teitok/pdtc10/index.php?action=vallex&amp;frame=v-w3508f1", "pobrukovat si (v-w3508f1)")</f>
        <v>pobrukovat si (v-w3508f1)</v>
      </c>
    </row>
    <row r="26169" spans="1:4" x14ac:dyDescent="0.2">
      <c r="B26169" t="s">
        <v>1</v>
      </c>
      <c r="C26169" t="s">
        <v>33</v>
      </c>
      <c r="D26169" t="s">
        <v>115</v>
      </c>
    </row>
    <row r="26170" spans="1:4" x14ac:dyDescent="0.2">
      <c r="B26170" t="s">
        <v>4742</v>
      </c>
      <c r="C26170" t="s">
        <v>8620</v>
      </c>
      <c r="D26170" t="s">
        <v>23786</v>
      </c>
    </row>
    <row r="26171" spans="1:4" x14ac:dyDescent="0.2">
      <c r="B26171" t="s">
        <v>269</v>
      </c>
      <c r="D26171" t="s">
        <v>1340</v>
      </c>
    </row>
    <row r="26173" spans="1:4" x14ac:dyDescent="0.2">
      <c r="A26173" t="s">
        <v>8621</v>
      </c>
      <c r="B26173" t="str">
        <f>HYPERLINK("https://lindat.mff.cuni.cz/services/teitok/pdtc10/index.php?action=vallex&amp;frame=v-w3509f1", "pobuřovat (v-w3509f1)")</f>
        <v>pobuřovat (v-w3509f1)</v>
      </c>
    </row>
    <row r="26174" spans="1:4" x14ac:dyDescent="0.2">
      <c r="B26174" t="s">
        <v>1</v>
      </c>
      <c r="C26174" t="s">
        <v>249</v>
      </c>
      <c r="D26174" t="s">
        <v>33</v>
      </c>
    </row>
    <row r="26175" spans="1:4" x14ac:dyDescent="0.2">
      <c r="B26175" t="s">
        <v>8</v>
      </c>
      <c r="C26175" t="s">
        <v>335</v>
      </c>
      <c r="D26175" t="s">
        <v>991</v>
      </c>
    </row>
    <row r="26177" spans="1:4" x14ac:dyDescent="0.2">
      <c r="A26177" t="s">
        <v>8622</v>
      </c>
      <c r="B26177" t="str">
        <f>HYPERLINK("https://lindat.mff.cuni.cz/services/teitok/pdtc10/index.php?action=vallex&amp;frame=v-w11505_ZUf3_ZU", "pobídnout (v-w11505_ZUf3_ZU)")</f>
        <v>pobídnout (v-w11505_ZUf3_ZU)</v>
      </c>
    </row>
    <row r="26178" spans="1:4" x14ac:dyDescent="0.2">
      <c r="B26178" t="s">
        <v>1</v>
      </c>
      <c r="C26178" t="s">
        <v>8623</v>
      </c>
      <c r="D26178" t="s">
        <v>2571</v>
      </c>
    </row>
    <row r="26179" spans="1:4" x14ac:dyDescent="0.2">
      <c r="B26179" t="s">
        <v>8624</v>
      </c>
      <c r="C26179" t="s">
        <v>7685</v>
      </c>
      <c r="D26179" t="s">
        <v>23787</v>
      </c>
    </row>
    <row r="26180" spans="1:4" x14ac:dyDescent="0.2">
      <c r="B26180" t="s">
        <v>58</v>
      </c>
      <c r="C26180" t="s">
        <v>8625</v>
      </c>
      <c r="D26180" t="s">
        <v>23788</v>
      </c>
    </row>
    <row r="26182" spans="1:4" x14ac:dyDescent="0.2">
      <c r="A26182" t="s">
        <v>8622</v>
      </c>
      <c r="B26182" t="str">
        <f>HYPERLINK("https://lindat.mff.cuni.cz/services/teitok/pdtc10/index.php?action=vallex&amp;frame=v-w11505_ZUf1_ZU", "pobídnout (v-w11505_ZUf1_ZU) - substituted with v-w11505_ZUf3_ZU")</f>
        <v>pobídnout (v-w11505_ZUf1_ZU) - substituted with v-w11505_ZUf3_ZU</v>
      </c>
    </row>
    <row r="26183" spans="1:4" x14ac:dyDescent="0.2">
      <c r="B26183" t="s">
        <v>1</v>
      </c>
    </row>
    <row r="26184" spans="1:4" x14ac:dyDescent="0.2">
      <c r="B26184" t="s">
        <v>8624</v>
      </c>
    </row>
    <row r="26185" spans="1:4" x14ac:dyDescent="0.2">
      <c r="B26185" t="s">
        <v>58</v>
      </c>
    </row>
    <row r="26187" spans="1:4" x14ac:dyDescent="0.2">
      <c r="A26187" t="s">
        <v>8622</v>
      </c>
      <c r="B26187" t="str">
        <f>HYPERLINK("https://lindat.mff.cuni.cz/services/teitok/pdtc10/index.php?action=vallex&amp;frame=v-w11505_ZUf2_ZU", "pobídnout (v-w11505_ZUf2_ZU) - substituted with v-w11505_ZUf3_ZU")</f>
        <v>pobídnout (v-w11505_ZUf2_ZU) - substituted with v-w11505_ZUf3_ZU</v>
      </c>
    </row>
    <row r="26188" spans="1:4" x14ac:dyDescent="0.2">
      <c r="B26188" t="s">
        <v>1</v>
      </c>
      <c r="C26188" t="s">
        <v>3583</v>
      </c>
    </row>
    <row r="26189" spans="1:4" x14ac:dyDescent="0.2">
      <c r="B26189" t="s">
        <v>8624</v>
      </c>
      <c r="C26189" t="s">
        <v>8626</v>
      </c>
    </row>
    <row r="26190" spans="1:4" x14ac:dyDescent="0.2">
      <c r="B26190" t="s">
        <v>58</v>
      </c>
      <c r="C26190" t="s">
        <v>8627</v>
      </c>
    </row>
    <row r="26192" spans="1:4" x14ac:dyDescent="0.2">
      <c r="A26192" t="s">
        <v>8628</v>
      </c>
      <c r="B26192" t="str">
        <f>HYPERLINK("https://lindat.mff.cuni.cz/services/teitok/pdtc10/index.php?action=vallex&amp;frame=v-w3501f1", "pobíhat (v-w3501f1)")</f>
        <v>pobíhat (v-w3501f1)</v>
      </c>
    </row>
    <row r="26193" spans="1:4" x14ac:dyDescent="0.2">
      <c r="B26193" t="s">
        <v>1</v>
      </c>
      <c r="C26193" t="s">
        <v>2702</v>
      </c>
      <c r="D26193" t="s">
        <v>7065</v>
      </c>
    </row>
    <row r="26195" spans="1:4" x14ac:dyDescent="0.2">
      <c r="A26195" t="s">
        <v>8629</v>
      </c>
      <c r="B26195" t="str">
        <f>HYPERLINK("https://lindat.mff.cuni.cz/services/teitok/pdtc10/index.php?action=vallex&amp;frame=v-w3503f1", "pobírat (v-w3503f1)")</f>
        <v>pobírat (v-w3503f1)</v>
      </c>
    </row>
    <row r="26196" spans="1:4" x14ac:dyDescent="0.2">
      <c r="B26196" t="s">
        <v>1</v>
      </c>
      <c r="C26196" t="s">
        <v>1949</v>
      </c>
    </row>
    <row r="26197" spans="1:4" x14ac:dyDescent="0.2">
      <c r="B26197" t="s">
        <v>8</v>
      </c>
      <c r="C26197" t="s">
        <v>8630</v>
      </c>
    </row>
    <row r="26198" spans="1:4" x14ac:dyDescent="0.2">
      <c r="B26198" t="s">
        <v>321</v>
      </c>
    </row>
    <row r="26200" spans="1:4" x14ac:dyDescent="0.2">
      <c r="A26200" t="s">
        <v>8631</v>
      </c>
      <c r="B26200" t="str">
        <f>HYPERLINK("https://lindat.mff.cuni.cz/services/teitok/pdtc10/index.php?action=vallex&amp;frame=v-w10651f2", "pobít (v-w10651f2)")</f>
        <v>pobít (v-w10651f2)</v>
      </c>
    </row>
    <row r="26201" spans="1:4" x14ac:dyDescent="0.2">
      <c r="B26201" t="s">
        <v>1</v>
      </c>
    </row>
    <row r="26202" spans="1:4" x14ac:dyDescent="0.2">
      <c r="B26202" t="s">
        <v>8</v>
      </c>
    </row>
    <row r="26204" spans="1:4" x14ac:dyDescent="0.2">
      <c r="A26204" t="s">
        <v>8632</v>
      </c>
      <c r="B26204" t="str">
        <f>HYPERLINK("https://lindat.mff.cuni.cz/services/teitok/pdtc10/index.php?action=vallex&amp;frame=v-w10651f3_ZU", "pobít (v-w10651f3_ZU)")</f>
        <v>pobít (v-w10651f3_ZU)</v>
      </c>
    </row>
    <row r="26205" spans="1:4" x14ac:dyDescent="0.2">
      <c r="B26205" t="s">
        <v>1</v>
      </c>
    </row>
    <row r="26206" spans="1:4" x14ac:dyDescent="0.2">
      <c r="B26206" t="s">
        <v>8</v>
      </c>
    </row>
    <row r="26208" spans="1:4" x14ac:dyDescent="0.2">
      <c r="A26208" t="s">
        <v>8633</v>
      </c>
      <c r="B26208" t="str">
        <f>HYPERLINK("https://lindat.mff.cuni.cz/services/teitok/pdtc10/index.php?action=vallex&amp;frame=v-w10651f4_ZU", "pobít (v-w10651f4_ZU)")</f>
        <v>pobít (v-w10651f4_ZU)</v>
      </c>
    </row>
    <row r="26209" spans="1:4" x14ac:dyDescent="0.2">
      <c r="B26209" t="s">
        <v>1</v>
      </c>
    </row>
    <row r="26210" spans="1:4" x14ac:dyDescent="0.2">
      <c r="B26210" t="s">
        <v>8</v>
      </c>
    </row>
    <row r="26212" spans="1:4" x14ac:dyDescent="0.2">
      <c r="A26212" t="s">
        <v>8633</v>
      </c>
      <c r="B26212" t="str">
        <f>HYPERLINK("https://lindat.mff.cuni.cz/services/teitok/pdtc10/index.php?action=vallex&amp;frame=v-w10651hsa_11", "pobít (v-w10651hsa_11) - substituted with v-w10651f4_ZU")</f>
        <v>pobít (v-w10651hsa_11) - substituted with v-w10651f4_ZU</v>
      </c>
    </row>
    <row r="26213" spans="1:4" x14ac:dyDescent="0.2">
      <c r="B26213" t="s">
        <v>1</v>
      </c>
    </row>
    <row r="26214" spans="1:4" x14ac:dyDescent="0.2">
      <c r="B26214" t="s">
        <v>8</v>
      </c>
    </row>
    <row r="26216" spans="1:4" x14ac:dyDescent="0.2">
      <c r="A26216" t="s">
        <v>8634</v>
      </c>
      <c r="B26216" t="str">
        <f>HYPERLINK("https://lindat.mff.cuni.cz/services/teitok/pdtc10/index.php?action=vallex&amp;frame=v-w10704f2", "pobízet (v-w10704f2)")</f>
        <v>pobízet (v-w10704f2)</v>
      </c>
    </row>
    <row r="26217" spans="1:4" x14ac:dyDescent="0.2">
      <c r="B26217" t="s">
        <v>1</v>
      </c>
      <c r="C26217" t="s">
        <v>2239</v>
      </c>
      <c r="D26217" t="s">
        <v>2571</v>
      </c>
    </row>
    <row r="26218" spans="1:4" x14ac:dyDescent="0.2">
      <c r="B26218" t="s">
        <v>8635</v>
      </c>
      <c r="C26218" t="s">
        <v>7685</v>
      </c>
      <c r="D26218" t="s">
        <v>23787</v>
      </c>
    </row>
    <row r="26219" spans="1:4" x14ac:dyDescent="0.2">
      <c r="B26219" t="s">
        <v>58</v>
      </c>
      <c r="C26219" t="s">
        <v>8636</v>
      </c>
      <c r="D26219" t="s">
        <v>23788</v>
      </c>
    </row>
    <row r="26221" spans="1:4" x14ac:dyDescent="0.2">
      <c r="A26221" t="s">
        <v>8637</v>
      </c>
      <c r="B26221" t="str">
        <f>HYPERLINK("https://lindat.mff.cuni.cz/services/teitok/pdtc10/index.php?action=vallex&amp;frame=v-w3511f2", "pobýt (v-w3511f2)")</f>
        <v>pobýt (v-w3511f2)</v>
      </c>
    </row>
    <row r="26222" spans="1:4" x14ac:dyDescent="0.2">
      <c r="B26222" t="s">
        <v>1</v>
      </c>
    </row>
    <row r="26223" spans="1:4" x14ac:dyDescent="0.2">
      <c r="B26223" t="s">
        <v>2360</v>
      </c>
    </row>
    <row r="26225" spans="1:3" x14ac:dyDescent="0.2">
      <c r="A26225" t="s">
        <v>8638</v>
      </c>
      <c r="B26225" t="str">
        <f>HYPERLINK("https://lindat.mff.cuni.cz/services/teitok/pdtc10/index.php?action=vallex&amp;frame=v-w3511f1", "pobýt (v-w3511f1)")</f>
        <v>pobýt (v-w3511f1)</v>
      </c>
    </row>
    <row r="26226" spans="1:3" x14ac:dyDescent="0.2">
      <c r="B26226" t="s">
        <v>1</v>
      </c>
    </row>
    <row r="26227" spans="1:3" x14ac:dyDescent="0.2">
      <c r="B26227" t="s">
        <v>5</v>
      </c>
    </row>
    <row r="26229" spans="1:3" x14ac:dyDescent="0.2">
      <c r="A26229" t="s">
        <v>8639</v>
      </c>
      <c r="B26229" t="str">
        <f>HYPERLINK("https://lindat.mff.cuni.cz/services/teitok/pdtc10/index.php?action=vallex&amp;frame=v-w3513f1", "pobývat (v-w3513f1)")</f>
        <v>pobývat (v-w3513f1)</v>
      </c>
    </row>
    <row r="26230" spans="1:3" x14ac:dyDescent="0.2">
      <c r="B26230" t="s">
        <v>1</v>
      </c>
    </row>
    <row r="26231" spans="1:3" x14ac:dyDescent="0.2">
      <c r="B26231" t="s">
        <v>5</v>
      </c>
    </row>
    <row r="26233" spans="1:3" x14ac:dyDescent="0.2">
      <c r="A26233" t="s">
        <v>8640</v>
      </c>
      <c r="B26233" t="str">
        <f>HYPERLINK("https://lindat.mff.cuni.cz/services/teitok/pdtc10/index.php?action=vallex&amp;frame=v-w3704hsa_1318", "pochlubit se (v-w3704hsa_1318)")</f>
        <v>pochlubit se (v-w3704hsa_1318)</v>
      </c>
    </row>
    <row r="26234" spans="1:3" x14ac:dyDescent="0.2">
      <c r="B26234" t="s">
        <v>1</v>
      </c>
    </row>
    <row r="26235" spans="1:3" x14ac:dyDescent="0.2">
      <c r="B26235" t="s">
        <v>8641</v>
      </c>
    </row>
    <row r="26236" spans="1:3" x14ac:dyDescent="0.2">
      <c r="B26236" t="s">
        <v>216</v>
      </c>
    </row>
    <row r="26238" spans="1:3" x14ac:dyDescent="0.2">
      <c r="A26238" t="s">
        <v>8640</v>
      </c>
      <c r="B26238" t="str">
        <f>HYPERLINK("https://lindat.mff.cuni.cz/services/teitok/pdtc10/index.php?action=vallex&amp;frame=v-w3704f1", "pochlubit se (v-w3704f1) - substituted with v-w3704hsa_1318")</f>
        <v>pochlubit se (v-w3704f1) - substituted with v-w3704hsa_1318</v>
      </c>
    </row>
    <row r="26239" spans="1:3" x14ac:dyDescent="0.2">
      <c r="B26239" t="s">
        <v>1</v>
      </c>
      <c r="C26239" t="s">
        <v>3358</v>
      </c>
    </row>
    <row r="26240" spans="1:3" x14ac:dyDescent="0.2">
      <c r="B26240" t="s">
        <v>8641</v>
      </c>
      <c r="C26240" t="s">
        <v>1109</v>
      </c>
    </row>
    <row r="26241" spans="1:4" x14ac:dyDescent="0.2">
      <c r="B26241" t="s">
        <v>216</v>
      </c>
      <c r="C26241" t="s">
        <v>987</v>
      </c>
    </row>
    <row r="26243" spans="1:4" x14ac:dyDescent="0.2">
      <c r="A26243" t="s">
        <v>8640</v>
      </c>
      <c r="B26243" t="str">
        <f>HYPERLINK("https://lindat.mff.cuni.cz/services/teitok/pdtc10/index.php?action=vallex&amp;frame=v-w3704f2_ZU", "pochlubit se (v-w3704f2_ZU) - substituted with v-w3704hsa_1318")</f>
        <v>pochlubit se (v-w3704f2_ZU) - substituted with v-w3704hsa_1318</v>
      </c>
    </row>
    <row r="26244" spans="1:4" x14ac:dyDescent="0.2">
      <c r="B26244" t="s">
        <v>1</v>
      </c>
      <c r="D26244" t="s">
        <v>4110</v>
      </c>
    </row>
    <row r="26245" spans="1:4" x14ac:dyDescent="0.2">
      <c r="B26245" t="s">
        <v>8641</v>
      </c>
      <c r="D26245" t="s">
        <v>17</v>
      </c>
    </row>
    <row r="26246" spans="1:4" x14ac:dyDescent="0.2">
      <c r="B26246" t="s">
        <v>216</v>
      </c>
      <c r="D26246" t="s">
        <v>987</v>
      </c>
    </row>
    <row r="26248" spans="1:4" x14ac:dyDescent="0.2">
      <c r="A26248" t="s">
        <v>8642</v>
      </c>
      <c r="B26248" t="str">
        <f>HYPERLINK("https://lindat.mff.cuni.cz/services/teitok/pdtc10/index.php?action=vallex&amp;frame=v-w3706f2", "pochodit (v-w3706f2)")</f>
        <v>pochodit (v-w3706f2)</v>
      </c>
    </row>
    <row r="26249" spans="1:4" x14ac:dyDescent="0.2">
      <c r="B26249" t="s">
        <v>1</v>
      </c>
    </row>
    <row r="26250" spans="1:4" x14ac:dyDescent="0.2">
      <c r="B26250" t="s">
        <v>411</v>
      </c>
    </row>
    <row r="26252" spans="1:4" x14ac:dyDescent="0.2">
      <c r="A26252" t="s">
        <v>8643</v>
      </c>
      <c r="B26252" t="str">
        <f>HYPERLINK("https://lindat.mff.cuni.cz/services/teitok/pdtc10/index.php?action=vallex&amp;frame=v-w3706f1", "pochodit (v-w3706f1)")</f>
        <v>pochodit (v-w3706f1)</v>
      </c>
    </row>
    <row r="26253" spans="1:4" x14ac:dyDescent="0.2">
      <c r="B26253" t="s">
        <v>1</v>
      </c>
    </row>
    <row r="26254" spans="1:4" x14ac:dyDescent="0.2">
      <c r="B26254" t="s">
        <v>168</v>
      </c>
    </row>
    <row r="26256" spans="1:4" x14ac:dyDescent="0.2">
      <c r="A26256" t="s">
        <v>8644</v>
      </c>
      <c r="B26256" t="str">
        <f>HYPERLINK("https://lindat.mff.cuni.cz/services/teitok/pdtc10/index.php?action=vallex&amp;frame=v-w3706f3_ZU", "pochodit (v-w3706f3_ZU)")</f>
        <v>pochodit (v-w3706f3_ZU)</v>
      </c>
    </row>
    <row r="26257" spans="1:4" x14ac:dyDescent="0.2">
      <c r="B26257" t="s">
        <v>1</v>
      </c>
      <c r="C26257" t="s">
        <v>8645</v>
      </c>
      <c r="D26257" t="s">
        <v>23158</v>
      </c>
    </row>
    <row r="26258" spans="1:4" x14ac:dyDescent="0.2">
      <c r="B26258" t="s">
        <v>415</v>
      </c>
      <c r="D26258" t="s">
        <v>23159</v>
      </c>
    </row>
    <row r="26259" spans="1:4" x14ac:dyDescent="0.2">
      <c r="B26259" t="s">
        <v>346</v>
      </c>
      <c r="C26259" t="s">
        <v>8646</v>
      </c>
      <c r="D26259" t="s">
        <v>23160</v>
      </c>
    </row>
    <row r="26260" spans="1:4" x14ac:dyDescent="0.2">
      <c r="B26260" t="s">
        <v>349</v>
      </c>
      <c r="D26260" t="s">
        <v>23161</v>
      </c>
    </row>
    <row r="26261" spans="1:4" x14ac:dyDescent="0.2">
      <c r="B26261" t="s">
        <v>350</v>
      </c>
      <c r="D26261" t="s">
        <v>23162</v>
      </c>
    </row>
    <row r="26263" spans="1:4" x14ac:dyDescent="0.2">
      <c r="A26263" t="s">
        <v>8644</v>
      </c>
      <c r="B26263" t="str">
        <f>HYPERLINK("https://lindat.mff.cuni.cz/services/teitok/pdtc10/index.php?action=vallex&amp;frame=v-w3706hsa_271", "pochodit (v-w3706hsa_271) - substituted with v-w3706f3_ZU")</f>
        <v>pochodit (v-w3706hsa_271) - substituted with v-w3706f3_ZU</v>
      </c>
    </row>
    <row r="26264" spans="1:4" x14ac:dyDescent="0.2">
      <c r="B26264" t="s">
        <v>1</v>
      </c>
    </row>
    <row r="26265" spans="1:4" x14ac:dyDescent="0.2">
      <c r="B26265" t="s">
        <v>415</v>
      </c>
    </row>
    <row r="26266" spans="1:4" x14ac:dyDescent="0.2">
      <c r="B26266" t="s">
        <v>346</v>
      </c>
    </row>
    <row r="26267" spans="1:4" x14ac:dyDescent="0.2">
      <c r="B26267" t="s">
        <v>349</v>
      </c>
    </row>
    <row r="26268" spans="1:4" x14ac:dyDescent="0.2">
      <c r="B26268" t="s">
        <v>350</v>
      </c>
    </row>
    <row r="26270" spans="1:4" x14ac:dyDescent="0.2">
      <c r="A26270" t="s">
        <v>8647</v>
      </c>
      <c r="B26270" t="str">
        <f>HYPERLINK("https://lindat.mff.cuni.cz/services/teitok/pdtc10/index.php?action=vallex&amp;frame=v-w3707f1", "pochodovat (v-w3707f1)")</f>
        <v>pochodovat (v-w3707f1)</v>
      </c>
    </row>
    <row r="26271" spans="1:4" x14ac:dyDescent="0.2">
      <c r="B26271" t="s">
        <v>1</v>
      </c>
      <c r="C26271" t="s">
        <v>2118</v>
      </c>
      <c r="D26271" t="s">
        <v>92</v>
      </c>
    </row>
    <row r="26273" spans="1:4" x14ac:dyDescent="0.2">
      <c r="A26273" t="s">
        <v>8648</v>
      </c>
      <c r="B26273" t="str">
        <f>HYPERLINK("https://lindat.mff.cuni.cz/services/teitok/pdtc10/index.php?action=vallex&amp;frame=v-w3709f1", "pochopit (v-w3709f1)")</f>
        <v>pochopit (v-w3709f1)</v>
      </c>
    </row>
    <row r="26274" spans="1:4" x14ac:dyDescent="0.2">
      <c r="B26274" t="s">
        <v>1</v>
      </c>
      <c r="C26274" t="s">
        <v>8649</v>
      </c>
      <c r="D26274" t="s">
        <v>8090</v>
      </c>
    </row>
    <row r="26275" spans="1:4" x14ac:dyDescent="0.2">
      <c r="B26275" t="s">
        <v>8650</v>
      </c>
      <c r="C26275" t="s">
        <v>8651</v>
      </c>
      <c r="D26275" t="s">
        <v>5497</v>
      </c>
    </row>
    <row r="26277" spans="1:4" x14ac:dyDescent="0.2">
      <c r="A26277" t="s">
        <v>8652</v>
      </c>
      <c r="B26277" t="str">
        <f>HYPERLINK("https://lindat.mff.cuni.cz/services/teitok/pdtc10/index.php?action=vallex&amp;frame=v-whsa_712hsa_713", "pochovat (v-whsa_712hsa_713)")</f>
        <v>pochovat (v-whsa_712hsa_713)</v>
      </c>
    </row>
    <row r="26278" spans="1:4" x14ac:dyDescent="0.2">
      <c r="B26278" t="s">
        <v>1</v>
      </c>
    </row>
    <row r="26279" spans="1:4" x14ac:dyDescent="0.2">
      <c r="B26279" t="s">
        <v>8</v>
      </c>
    </row>
    <row r="26281" spans="1:4" x14ac:dyDescent="0.2">
      <c r="A26281" t="s">
        <v>8653</v>
      </c>
      <c r="B26281" t="str">
        <f>HYPERLINK("https://lindat.mff.cuni.cz/services/teitok/pdtc10/index.php?action=vallex&amp;frame=v-whsa_712hsa_714", "pochovat (v-whsa_712hsa_714)")</f>
        <v>pochovat (v-whsa_712hsa_714)</v>
      </c>
    </row>
    <row r="26282" spans="1:4" x14ac:dyDescent="0.2">
      <c r="B26282" t="s">
        <v>1</v>
      </c>
    </row>
    <row r="26283" spans="1:4" x14ac:dyDescent="0.2">
      <c r="B26283" t="s">
        <v>8</v>
      </c>
    </row>
    <row r="26285" spans="1:4" x14ac:dyDescent="0.2">
      <c r="A26285" t="s">
        <v>8654</v>
      </c>
      <c r="B26285" t="str">
        <f>HYPERLINK("https://lindat.mff.cuni.cz/services/teitok/pdtc10/index.php?action=vallex&amp;frame=v-w12251_ZUf1_ZU", "pochovávat (v-w12251_ZUf1_ZU)")</f>
        <v>pochovávat (v-w12251_ZUf1_ZU)</v>
      </c>
    </row>
    <row r="26286" spans="1:4" x14ac:dyDescent="0.2">
      <c r="B26286" t="s">
        <v>1</v>
      </c>
    </row>
    <row r="26287" spans="1:4" x14ac:dyDescent="0.2">
      <c r="B26287" t="s">
        <v>8</v>
      </c>
    </row>
    <row r="26289" spans="1:2" x14ac:dyDescent="0.2">
      <c r="A26289" t="s">
        <v>8655</v>
      </c>
      <c r="B26289" t="str">
        <f>HYPERLINK("https://lindat.mff.cuni.cz/services/teitok/pdtc10/index.php?action=vallex&amp;frame=v-w3711f1", "pochroumat (v-w3711f1)")</f>
        <v>pochroumat (v-w3711f1)</v>
      </c>
    </row>
    <row r="26290" spans="1:2" x14ac:dyDescent="0.2">
      <c r="B26290" t="s">
        <v>1</v>
      </c>
    </row>
    <row r="26291" spans="1:2" x14ac:dyDescent="0.2">
      <c r="B26291" t="s">
        <v>8</v>
      </c>
    </row>
    <row r="26293" spans="1:2" x14ac:dyDescent="0.2">
      <c r="A26293" t="s">
        <v>8656</v>
      </c>
      <c r="B26293" t="str">
        <f>HYPERLINK("https://lindat.mff.cuni.cz/services/teitok/pdtc10/index.php?action=vallex&amp;frame=v-w3712f1", "pochutnat si (v-w3712f1)")</f>
        <v>pochutnat si (v-w3712f1)</v>
      </c>
    </row>
    <row r="26294" spans="1:2" x14ac:dyDescent="0.2">
      <c r="B26294" t="s">
        <v>1</v>
      </c>
    </row>
    <row r="26295" spans="1:2" x14ac:dyDescent="0.2">
      <c r="B26295" t="s">
        <v>2712</v>
      </c>
    </row>
    <row r="26297" spans="1:2" x14ac:dyDescent="0.2">
      <c r="A26297" t="s">
        <v>8657</v>
      </c>
      <c r="B26297" t="str">
        <f>HYPERLINK("https://lindat.mff.cuni.cz/services/teitok/pdtc10/index.php?action=vallex&amp;frame=v-w11747_ZUf2_ZU", "pochutnávat si (v-w11747_ZUf2_ZU)")</f>
        <v>pochutnávat si (v-w11747_ZUf2_ZU)</v>
      </c>
    </row>
    <row r="26298" spans="1:2" x14ac:dyDescent="0.2">
      <c r="B26298" t="s">
        <v>1</v>
      </c>
    </row>
    <row r="26299" spans="1:2" x14ac:dyDescent="0.2">
      <c r="B26299" t="s">
        <v>2712</v>
      </c>
    </row>
    <row r="26301" spans="1:2" x14ac:dyDescent="0.2">
      <c r="A26301" t="s">
        <v>8657</v>
      </c>
      <c r="B26301" t="str">
        <f>HYPERLINK("https://lindat.mff.cuni.cz/services/teitok/pdtc10/index.php?action=vallex&amp;frame=v-w11747_ZUf1_ZU", "pochutnávat si (v-w11747_ZUf1_ZU) - substituted with v-w11747_ZUf2_ZU")</f>
        <v>pochutnávat si (v-w11747_ZUf1_ZU) - substituted with v-w11747_ZUf2_ZU</v>
      </c>
    </row>
    <row r="26302" spans="1:2" x14ac:dyDescent="0.2">
      <c r="B26302" t="s">
        <v>1</v>
      </c>
    </row>
    <row r="26303" spans="1:2" x14ac:dyDescent="0.2">
      <c r="B26303" t="s">
        <v>2712</v>
      </c>
    </row>
    <row r="26305" spans="1:4" x14ac:dyDescent="0.2">
      <c r="A26305" t="s">
        <v>8658</v>
      </c>
      <c r="B26305" t="str">
        <f>HYPERLINK("https://lindat.mff.cuni.cz/services/teitok/pdtc10/index.php?action=vallex&amp;frame=v-w3715f1", "pochvalovat si (v-w3715f1)")</f>
        <v>pochvalovat si (v-w3715f1)</v>
      </c>
    </row>
    <row r="26306" spans="1:4" x14ac:dyDescent="0.2">
      <c r="B26306" t="s">
        <v>1</v>
      </c>
      <c r="C26306" t="s">
        <v>3358</v>
      </c>
    </row>
    <row r="26307" spans="1:4" x14ac:dyDescent="0.2">
      <c r="B26307" t="s">
        <v>124</v>
      </c>
      <c r="C26307" t="s">
        <v>1109</v>
      </c>
    </row>
    <row r="26309" spans="1:4" x14ac:dyDescent="0.2">
      <c r="A26309" t="s">
        <v>8659</v>
      </c>
      <c r="B26309" t="str">
        <f>HYPERLINK("https://lindat.mff.cuni.cz/services/teitok/pdtc10/index.php?action=vallex&amp;frame=v-w3714f1", "pochválit (v-w3714f1)")</f>
        <v>pochválit (v-w3714f1)</v>
      </c>
    </row>
    <row r="26310" spans="1:4" x14ac:dyDescent="0.2">
      <c r="B26310" t="s">
        <v>1</v>
      </c>
      <c r="C26310" t="s">
        <v>1566</v>
      </c>
      <c r="D26310" t="s">
        <v>1581</v>
      </c>
    </row>
    <row r="26311" spans="1:4" x14ac:dyDescent="0.2">
      <c r="B26311" t="s">
        <v>273</v>
      </c>
      <c r="C26311" t="s">
        <v>110</v>
      </c>
      <c r="D26311" t="s">
        <v>23058</v>
      </c>
    </row>
    <row r="26313" spans="1:4" x14ac:dyDescent="0.2">
      <c r="A26313" t="s">
        <v>8660</v>
      </c>
      <c r="B26313" t="str">
        <f>HYPERLINK("https://lindat.mff.cuni.cz/services/teitok/pdtc10/index.php?action=vallex&amp;frame=v-w3718f1", "pochybit (v-w3718f1)")</f>
        <v>pochybit (v-w3718f1)</v>
      </c>
    </row>
    <row r="26314" spans="1:4" x14ac:dyDescent="0.2">
      <c r="B26314" t="s">
        <v>1</v>
      </c>
      <c r="C26314" t="s">
        <v>4110</v>
      </c>
      <c r="D26314" t="s">
        <v>83</v>
      </c>
    </row>
    <row r="26316" spans="1:4" x14ac:dyDescent="0.2">
      <c r="A26316" t="s">
        <v>8661</v>
      </c>
      <c r="B26316" t="str">
        <f>HYPERLINK("https://lindat.mff.cuni.cz/services/teitok/pdtc10/index.php?action=vallex&amp;frame=v-w3721f1", "pochybovat (v-w3721f1)")</f>
        <v>pochybovat (v-w3721f1)</v>
      </c>
    </row>
    <row r="26317" spans="1:4" x14ac:dyDescent="0.2">
      <c r="B26317" t="s">
        <v>1</v>
      </c>
      <c r="C26317" t="s">
        <v>8662</v>
      </c>
      <c r="D26317" t="s">
        <v>23545</v>
      </c>
    </row>
    <row r="26318" spans="1:4" x14ac:dyDescent="0.2">
      <c r="B26318" t="s">
        <v>8663</v>
      </c>
      <c r="C26318" t="s">
        <v>328</v>
      </c>
      <c r="D26318" t="s">
        <v>23546</v>
      </c>
    </row>
    <row r="26320" spans="1:4" x14ac:dyDescent="0.2">
      <c r="A26320" t="s">
        <v>8664</v>
      </c>
      <c r="B26320" t="str">
        <f>HYPERLINK("https://lindat.mff.cuni.cz/services/teitok/pdtc10/index.php?action=vallex&amp;frame=v-w3722f1", "pochytat (v-w3722f1)")</f>
        <v>pochytat (v-w3722f1)</v>
      </c>
    </row>
    <row r="26321" spans="1:4" x14ac:dyDescent="0.2">
      <c r="B26321" t="s">
        <v>1</v>
      </c>
    </row>
    <row r="26322" spans="1:4" x14ac:dyDescent="0.2">
      <c r="B26322" t="s">
        <v>8</v>
      </c>
    </row>
    <row r="26324" spans="1:4" x14ac:dyDescent="0.2">
      <c r="A26324" t="s">
        <v>8665</v>
      </c>
      <c r="B26324" t="str">
        <f>HYPERLINK("https://lindat.mff.cuni.cz/services/teitok/pdtc10/index.php?action=vallex&amp;frame=v-w11212f2", "pochytit (v-w11212f2)")</f>
        <v>pochytit (v-w11212f2)</v>
      </c>
    </row>
    <row r="26325" spans="1:4" x14ac:dyDescent="0.2">
      <c r="B26325" t="s">
        <v>1</v>
      </c>
    </row>
    <row r="26326" spans="1:4" x14ac:dyDescent="0.2">
      <c r="B26326" t="s">
        <v>8</v>
      </c>
    </row>
    <row r="26328" spans="1:4" x14ac:dyDescent="0.2">
      <c r="A26328" t="s">
        <v>8666</v>
      </c>
      <c r="B26328" t="str">
        <f>HYPERLINK("https://lindat.mff.cuni.cz/services/teitok/pdtc10/index.php?action=vallex&amp;frame=v-w11212f3_ZU", "pochytit (v-w11212f3_ZU)")</f>
        <v>pochytit (v-w11212f3_ZU)</v>
      </c>
    </row>
    <row r="26329" spans="1:4" x14ac:dyDescent="0.2">
      <c r="B26329" t="s">
        <v>1</v>
      </c>
    </row>
    <row r="26330" spans="1:4" x14ac:dyDescent="0.2">
      <c r="B26330" t="s">
        <v>8</v>
      </c>
    </row>
    <row r="26332" spans="1:4" x14ac:dyDescent="0.2">
      <c r="A26332" t="s">
        <v>8667</v>
      </c>
      <c r="B26332" t="str">
        <f>HYPERLINK("https://lindat.mff.cuni.cz/services/teitok/pdtc10/index.php?action=vallex&amp;frame=v-w3703f2", "pocházet (v-w3703f2)")</f>
        <v>pocházet (v-w3703f2)</v>
      </c>
    </row>
    <row r="26333" spans="1:4" x14ac:dyDescent="0.2">
      <c r="B26333" t="s">
        <v>1</v>
      </c>
      <c r="C26333" t="s">
        <v>8668</v>
      </c>
      <c r="D26333" t="s">
        <v>23789</v>
      </c>
    </row>
    <row r="26334" spans="1:4" x14ac:dyDescent="0.2">
      <c r="B26334" t="s">
        <v>1258</v>
      </c>
      <c r="C26334" t="s">
        <v>8669</v>
      </c>
      <c r="D26334" t="s">
        <v>23790</v>
      </c>
    </row>
    <row r="26336" spans="1:4" x14ac:dyDescent="0.2">
      <c r="A26336" t="s">
        <v>8670</v>
      </c>
      <c r="B26336" t="str">
        <f>HYPERLINK("https://lindat.mff.cuni.cz/services/teitok/pdtc10/index.php?action=vallex&amp;frame=v-w3703f1", "pocházet (v-w3703f1)")</f>
        <v>pocházet (v-w3703f1)</v>
      </c>
    </row>
    <row r="26337" spans="1:4" x14ac:dyDescent="0.2">
      <c r="B26337" t="s">
        <v>1</v>
      </c>
      <c r="C26337" t="s">
        <v>8671</v>
      </c>
      <c r="D26337" t="s">
        <v>23791</v>
      </c>
    </row>
    <row r="26338" spans="1:4" x14ac:dyDescent="0.2">
      <c r="B26338" t="s">
        <v>333</v>
      </c>
      <c r="C26338" t="s">
        <v>8672</v>
      </c>
    </row>
    <row r="26340" spans="1:4" x14ac:dyDescent="0.2">
      <c r="A26340" t="s">
        <v>8673</v>
      </c>
      <c r="B26340" t="str">
        <f>HYPERLINK("https://lindat.mff.cuni.cz/services/teitok/pdtc10/index.php?action=vallex&amp;frame=v-w3703f3", "pocházet (v-w3703f3)")</f>
        <v>pocházet (v-w3703f3)</v>
      </c>
    </row>
    <row r="26341" spans="1:4" x14ac:dyDescent="0.2">
      <c r="B26341" t="s">
        <v>1</v>
      </c>
      <c r="C26341" t="s">
        <v>715</v>
      </c>
      <c r="D26341" t="s">
        <v>715</v>
      </c>
    </row>
    <row r="26342" spans="1:4" x14ac:dyDescent="0.2">
      <c r="B26342" t="s">
        <v>8674</v>
      </c>
      <c r="C26342" t="s">
        <v>8675</v>
      </c>
      <c r="D26342" t="s">
        <v>8675</v>
      </c>
    </row>
    <row r="26344" spans="1:4" x14ac:dyDescent="0.2">
      <c r="A26344" t="s">
        <v>8676</v>
      </c>
      <c r="B26344" t="str">
        <f>HYPERLINK("https://lindat.mff.cuni.cz/services/teitok/pdtc10/index.php?action=vallex&amp;frame=v-w3516f5_ZU", "pociťovat (v-w3516f5_ZU)")</f>
        <v>pociťovat (v-w3516f5_ZU)</v>
      </c>
    </row>
    <row r="26345" spans="1:4" x14ac:dyDescent="0.2">
      <c r="B26345" t="s">
        <v>1</v>
      </c>
    </row>
    <row r="26346" spans="1:4" x14ac:dyDescent="0.2">
      <c r="B26346" t="s">
        <v>1221</v>
      </c>
    </row>
    <row r="26347" spans="1:4" x14ac:dyDescent="0.2">
      <c r="B26347" t="s">
        <v>8677</v>
      </c>
    </row>
    <row r="26349" spans="1:4" x14ac:dyDescent="0.2">
      <c r="A26349" t="s">
        <v>8676</v>
      </c>
      <c r="B26349" t="str">
        <f>HYPERLINK("https://lindat.mff.cuni.cz/services/teitok/pdtc10/index.php?action=vallex&amp;frame=v-w3516f2", "pociťovat (v-w3516f2) - substituted with v-w3516f5_ZU")</f>
        <v>pociťovat (v-w3516f2) - substituted with v-w3516f5_ZU</v>
      </c>
    </row>
    <row r="26350" spans="1:4" x14ac:dyDescent="0.2">
      <c r="B26350" t="s">
        <v>1</v>
      </c>
    </row>
    <row r="26351" spans="1:4" x14ac:dyDescent="0.2">
      <c r="B26351" t="s">
        <v>1221</v>
      </c>
    </row>
    <row r="26352" spans="1:4" x14ac:dyDescent="0.2">
      <c r="B26352" t="s">
        <v>8677</v>
      </c>
    </row>
    <row r="26354" spans="1:4" x14ac:dyDescent="0.2">
      <c r="A26354" t="s">
        <v>8678</v>
      </c>
      <c r="B26354" t="str">
        <f>HYPERLINK("https://lindat.mff.cuni.cz/services/teitok/pdtc10/index.php?action=vallex&amp;frame=v-w3516f4", "pociťovat (v-w3516f4)")</f>
        <v>pociťovat (v-w3516f4)</v>
      </c>
    </row>
    <row r="26355" spans="1:4" x14ac:dyDescent="0.2">
      <c r="B26355" t="s">
        <v>1</v>
      </c>
    </row>
    <row r="26356" spans="1:4" x14ac:dyDescent="0.2">
      <c r="B26356" t="s">
        <v>6656</v>
      </c>
    </row>
    <row r="26358" spans="1:4" x14ac:dyDescent="0.2">
      <c r="A26358" t="s">
        <v>8679</v>
      </c>
      <c r="B26358" t="str">
        <f>HYPERLINK("https://lindat.mff.cuni.cz/services/teitok/pdtc10/index.php?action=vallex&amp;frame=v-w3516f1", "pociťovat (v-w3516f1)")</f>
        <v>pociťovat (v-w3516f1)</v>
      </c>
    </row>
    <row r="26359" spans="1:4" x14ac:dyDescent="0.2">
      <c r="B26359" t="s">
        <v>1</v>
      </c>
      <c r="C26359" t="s">
        <v>8680</v>
      </c>
      <c r="D26359" t="s">
        <v>8689</v>
      </c>
    </row>
    <row r="26360" spans="1:4" x14ac:dyDescent="0.2">
      <c r="B26360" t="s">
        <v>41</v>
      </c>
      <c r="C26360" t="s">
        <v>8681</v>
      </c>
      <c r="D26360" t="s">
        <v>3324</v>
      </c>
    </row>
    <row r="26362" spans="1:4" x14ac:dyDescent="0.2">
      <c r="A26362" t="s">
        <v>8682</v>
      </c>
      <c r="B26362" t="str">
        <f>HYPERLINK("https://lindat.mff.cuni.cz/services/teitok/pdtc10/index.php?action=vallex&amp;frame=v-w3516hsa_1155", "pociťovat (v-w3516hsa_1155)")</f>
        <v>pociťovat (v-w3516hsa_1155)</v>
      </c>
    </row>
    <row r="26363" spans="1:4" x14ac:dyDescent="0.2">
      <c r="B26363" t="s">
        <v>1</v>
      </c>
      <c r="C26363" t="s">
        <v>5685</v>
      </c>
      <c r="D26363" t="s">
        <v>8689</v>
      </c>
    </row>
    <row r="26364" spans="1:4" x14ac:dyDescent="0.2">
      <c r="B26364" t="s">
        <v>8683</v>
      </c>
      <c r="C26364" t="s">
        <v>8684</v>
      </c>
      <c r="D26364" t="s">
        <v>2572</v>
      </c>
    </row>
    <row r="26366" spans="1:4" x14ac:dyDescent="0.2">
      <c r="A26366" t="s">
        <v>8682</v>
      </c>
      <c r="B26366" t="str">
        <f>HYPERLINK("https://lindat.mff.cuni.cz/services/teitok/pdtc10/index.php?action=vallex&amp;frame=v-w3516f3", "pociťovat (v-w3516f3) - substituted with v-w3516hsa_1155")</f>
        <v>pociťovat (v-w3516f3) - substituted with v-w3516hsa_1155</v>
      </c>
    </row>
    <row r="26367" spans="1:4" x14ac:dyDescent="0.2">
      <c r="B26367" t="s">
        <v>1</v>
      </c>
      <c r="C26367" t="s">
        <v>1234</v>
      </c>
    </row>
    <row r="26368" spans="1:4" x14ac:dyDescent="0.2">
      <c r="B26368" t="s">
        <v>8683</v>
      </c>
      <c r="C26368" t="s">
        <v>1235</v>
      </c>
    </row>
    <row r="26370" spans="1:3" x14ac:dyDescent="0.2">
      <c r="A26370" t="s">
        <v>8685</v>
      </c>
      <c r="B26370" t="str">
        <f>HYPERLINK("https://lindat.mff.cuni.cz/services/teitok/pdtc10/index.php?action=vallex&amp;frame=v-w11028f2", "poctít (v-w11028f2)")</f>
        <v>poctít (v-w11028f2)</v>
      </c>
    </row>
    <row r="26371" spans="1:3" x14ac:dyDescent="0.2">
      <c r="B26371" t="s">
        <v>1</v>
      </c>
    </row>
    <row r="26372" spans="1:3" x14ac:dyDescent="0.2">
      <c r="B26372" t="s">
        <v>58</v>
      </c>
      <c r="C26372" t="s">
        <v>2810</v>
      </c>
    </row>
    <row r="26373" spans="1:3" x14ac:dyDescent="0.2">
      <c r="B26373" t="s">
        <v>3225</v>
      </c>
      <c r="C26373" t="s">
        <v>1301</v>
      </c>
    </row>
    <row r="26375" spans="1:3" x14ac:dyDescent="0.2">
      <c r="A26375" t="s">
        <v>8686</v>
      </c>
      <c r="B26375" t="str">
        <f>HYPERLINK("https://lindat.mff.cuni.cz/services/teitok/pdtc10/index.php?action=vallex&amp;frame=v-w3515f2", "pocítit (v-w3515f2)")</f>
        <v>pocítit (v-w3515f2)</v>
      </c>
    </row>
    <row r="26376" spans="1:3" x14ac:dyDescent="0.2">
      <c r="B26376" t="s">
        <v>1</v>
      </c>
    </row>
    <row r="26377" spans="1:3" x14ac:dyDescent="0.2">
      <c r="B26377" t="s">
        <v>124</v>
      </c>
    </row>
    <row r="26379" spans="1:3" x14ac:dyDescent="0.2">
      <c r="A26379" t="s">
        <v>8687</v>
      </c>
      <c r="B26379" t="str">
        <f>HYPERLINK("https://lindat.mff.cuni.cz/services/teitok/pdtc10/index.php?action=vallex&amp;frame=v-w3515f5_ZU", "pocítit (v-w3515f5_ZU)")</f>
        <v>pocítit (v-w3515f5_ZU)</v>
      </c>
    </row>
    <row r="26380" spans="1:3" x14ac:dyDescent="0.2">
      <c r="B26380" t="s">
        <v>1</v>
      </c>
    </row>
    <row r="26381" spans="1:3" x14ac:dyDescent="0.2">
      <c r="B26381" t="s">
        <v>8688</v>
      </c>
    </row>
    <row r="26383" spans="1:3" x14ac:dyDescent="0.2">
      <c r="A26383" t="s">
        <v>8687</v>
      </c>
      <c r="B26383" t="str">
        <f>HYPERLINK("https://lindat.mff.cuni.cz/services/teitok/pdtc10/index.php?action=vallex&amp;frame=v-w3515f3", "pocítit (v-w3515f3) - substituted with v-w3515f5_ZU")</f>
        <v>pocítit (v-w3515f3) - substituted with v-w3515f5_ZU</v>
      </c>
    </row>
    <row r="26384" spans="1:3" x14ac:dyDescent="0.2">
      <c r="B26384" t="s">
        <v>1</v>
      </c>
      <c r="C26384" t="s">
        <v>8689</v>
      </c>
    </row>
    <row r="26385" spans="1:4" x14ac:dyDescent="0.2">
      <c r="B26385" t="s">
        <v>8688</v>
      </c>
      <c r="C26385" t="s">
        <v>2572</v>
      </c>
    </row>
    <row r="26387" spans="1:4" x14ac:dyDescent="0.2">
      <c r="A26387" t="s">
        <v>8687</v>
      </c>
      <c r="B26387" t="str">
        <f>HYPERLINK("https://lindat.mff.cuni.cz/services/teitok/pdtc10/index.php?action=vallex&amp;frame=v-w3515hsa_283", "pocítit (v-w3515hsa_283) - substituted with v-w3515f5_ZU")</f>
        <v>pocítit (v-w3515hsa_283) - substituted with v-w3515f5_ZU</v>
      </c>
    </row>
    <row r="26388" spans="1:4" x14ac:dyDescent="0.2">
      <c r="B26388" t="s">
        <v>1</v>
      </c>
    </row>
    <row r="26389" spans="1:4" x14ac:dyDescent="0.2">
      <c r="B26389" t="s">
        <v>8688</v>
      </c>
    </row>
    <row r="26391" spans="1:4" x14ac:dyDescent="0.2">
      <c r="A26391" t="s">
        <v>8687</v>
      </c>
      <c r="B26391" t="str">
        <f>HYPERLINK("https://lindat.mff.cuni.cz/services/teitok/pdtc10/index.php?action=vallex&amp;frame=v-w3515hsa_284", "pocítit (v-w3515hsa_284) - substituted with v-w3515f5_ZU")</f>
        <v>pocítit (v-w3515hsa_284) - substituted with v-w3515f5_ZU</v>
      </c>
    </row>
    <row r="26392" spans="1:4" x14ac:dyDescent="0.2">
      <c r="B26392" t="s">
        <v>1</v>
      </c>
      <c r="C26392" t="s">
        <v>8690</v>
      </c>
      <c r="D26392" t="s">
        <v>8689</v>
      </c>
    </row>
    <row r="26393" spans="1:4" x14ac:dyDescent="0.2">
      <c r="B26393" t="s">
        <v>8688</v>
      </c>
      <c r="C26393" t="s">
        <v>8691</v>
      </c>
      <c r="D26393" t="s">
        <v>2572</v>
      </c>
    </row>
    <row r="26395" spans="1:4" x14ac:dyDescent="0.2">
      <c r="A26395" t="s">
        <v>8692</v>
      </c>
      <c r="B26395" t="str">
        <f>HYPERLINK("https://lindat.mff.cuni.cz/services/teitok/pdtc10/index.php?action=vallex&amp;frame=v-w3515hsa_285", "pocítit (v-w3515hsa_285)")</f>
        <v>pocítit (v-w3515hsa_285)</v>
      </c>
    </row>
    <row r="26396" spans="1:4" x14ac:dyDescent="0.2">
      <c r="B26396" t="s">
        <v>1</v>
      </c>
      <c r="C26396" t="s">
        <v>1232</v>
      </c>
      <c r="D26396" t="s">
        <v>8689</v>
      </c>
    </row>
    <row r="26397" spans="1:4" x14ac:dyDescent="0.2">
      <c r="B26397" t="s">
        <v>8693</v>
      </c>
      <c r="C26397" t="s">
        <v>1233</v>
      </c>
      <c r="D26397" t="s">
        <v>2572</v>
      </c>
    </row>
    <row r="26399" spans="1:4" x14ac:dyDescent="0.2">
      <c r="A26399" t="s">
        <v>8692</v>
      </c>
      <c r="B26399" t="str">
        <f>HYPERLINK("https://lindat.mff.cuni.cz/services/teitok/pdtc10/index.php?action=vallex&amp;frame=v-w3515f4_ZU", "pocítit (v-w3515f4_ZU) - substituted with v-w3515hsa_285")</f>
        <v>pocítit (v-w3515f4_ZU) - substituted with v-w3515hsa_285</v>
      </c>
    </row>
    <row r="26400" spans="1:4" x14ac:dyDescent="0.2">
      <c r="B26400" t="s">
        <v>1</v>
      </c>
      <c r="C26400" t="s">
        <v>1865</v>
      </c>
    </row>
    <row r="26401" spans="1:4" x14ac:dyDescent="0.2">
      <c r="B26401" t="s">
        <v>8693</v>
      </c>
      <c r="C26401" t="s">
        <v>1948</v>
      </c>
    </row>
    <row r="26403" spans="1:4" x14ac:dyDescent="0.2">
      <c r="A26403" t="s">
        <v>8694</v>
      </c>
      <c r="B26403" t="str">
        <f>HYPERLINK("https://lindat.mff.cuni.cz/services/teitok/pdtc10/index.php?action=vallex&amp;frame=v-w3515f1", "pocítit (v-w3515f1)")</f>
        <v>pocítit (v-w3515f1)</v>
      </c>
    </row>
    <row r="26404" spans="1:4" x14ac:dyDescent="0.2">
      <c r="B26404" t="s">
        <v>1</v>
      </c>
      <c r="C26404" t="s">
        <v>2148</v>
      </c>
    </row>
    <row r="26405" spans="1:4" x14ac:dyDescent="0.2">
      <c r="B26405" t="s">
        <v>124</v>
      </c>
      <c r="C26405" t="s">
        <v>8695</v>
      </c>
    </row>
    <row r="26406" spans="1:4" x14ac:dyDescent="0.2">
      <c r="B26406" t="s">
        <v>8696</v>
      </c>
    </row>
    <row r="26408" spans="1:4" x14ac:dyDescent="0.2">
      <c r="A26408" t="s">
        <v>8697</v>
      </c>
      <c r="B26408" t="str">
        <f>HYPERLINK("https://lindat.mff.cuni.cz/services/teitok/pdtc10/index.php?action=vallex&amp;frame=v-w10548f2", "podarovat (v-w10548f2)")</f>
        <v>podarovat (v-w10548f2)</v>
      </c>
    </row>
    <row r="26409" spans="1:4" x14ac:dyDescent="0.2">
      <c r="B26409" t="s">
        <v>1</v>
      </c>
    </row>
    <row r="26410" spans="1:4" x14ac:dyDescent="0.2">
      <c r="B26410" t="s">
        <v>8</v>
      </c>
    </row>
    <row r="26412" spans="1:4" x14ac:dyDescent="0.2">
      <c r="A26412" t="s">
        <v>8698</v>
      </c>
      <c r="B26412" t="str">
        <f>HYPERLINK("https://lindat.mff.cuni.cz/services/teitok/pdtc10/index.php?action=vallex&amp;frame=v-w3541f9", "podat (v-w3541f9)")</f>
        <v>podat (v-w3541f9)</v>
      </c>
    </row>
    <row r="26413" spans="1:4" x14ac:dyDescent="0.2">
      <c r="B26413" t="s">
        <v>1</v>
      </c>
      <c r="C26413" t="s">
        <v>92</v>
      </c>
      <c r="D26413" t="s">
        <v>370</v>
      </c>
    </row>
    <row r="26414" spans="1:4" x14ac:dyDescent="0.2">
      <c r="B26414" t="s">
        <v>273</v>
      </c>
      <c r="C26414" t="s">
        <v>1510</v>
      </c>
      <c r="D26414" t="s">
        <v>338</v>
      </c>
    </row>
    <row r="26415" spans="1:4" x14ac:dyDescent="0.2">
      <c r="B26415" t="s">
        <v>35</v>
      </c>
      <c r="D26415" t="s">
        <v>23792</v>
      </c>
    </row>
    <row r="26417" spans="1:4" x14ac:dyDescent="0.2">
      <c r="A26417" t="s">
        <v>8699</v>
      </c>
      <c r="B26417" t="str">
        <f>HYPERLINK("https://lindat.mff.cuni.cz/services/teitok/pdtc10/index.php?action=vallex&amp;frame=v-w3541f2", "podat (v-w3541f2)")</f>
        <v>podat (v-w3541f2)</v>
      </c>
    </row>
    <row r="26418" spans="1:4" x14ac:dyDescent="0.2">
      <c r="B26418" t="s">
        <v>1</v>
      </c>
      <c r="C26418" t="s">
        <v>8700</v>
      </c>
    </row>
    <row r="26419" spans="1:4" x14ac:dyDescent="0.2">
      <c r="B26419" t="s">
        <v>8</v>
      </c>
      <c r="C26419" t="s">
        <v>8701</v>
      </c>
    </row>
    <row r="26420" spans="1:4" x14ac:dyDescent="0.2">
      <c r="B26420" t="s">
        <v>35</v>
      </c>
      <c r="C26420" t="s">
        <v>8702</v>
      </c>
    </row>
    <row r="26422" spans="1:4" x14ac:dyDescent="0.2">
      <c r="A26422" t="s">
        <v>8703</v>
      </c>
      <c r="B26422" t="str">
        <f>HYPERLINK("https://lindat.mff.cuni.cz/services/teitok/pdtc10/index.php?action=vallex&amp;frame=v-w3541f10", "podat (v-w3541f10)")</f>
        <v>podat (v-w3541f10)</v>
      </c>
    </row>
    <row r="26423" spans="1:4" x14ac:dyDescent="0.2">
      <c r="B26423" t="s">
        <v>1</v>
      </c>
      <c r="C26423" t="s">
        <v>8306</v>
      </c>
      <c r="D26423" t="s">
        <v>7279</v>
      </c>
    </row>
    <row r="26424" spans="1:4" x14ac:dyDescent="0.2">
      <c r="B26424" t="s">
        <v>8</v>
      </c>
      <c r="C26424" t="s">
        <v>8704</v>
      </c>
      <c r="D26424" t="s">
        <v>23286</v>
      </c>
    </row>
    <row r="26425" spans="1:4" x14ac:dyDescent="0.2">
      <c r="B26425" t="s">
        <v>35</v>
      </c>
      <c r="C26425" t="s">
        <v>8705</v>
      </c>
      <c r="D26425" t="s">
        <v>23287</v>
      </c>
    </row>
    <row r="26427" spans="1:4" x14ac:dyDescent="0.2">
      <c r="A26427" t="s">
        <v>8706</v>
      </c>
      <c r="B26427" t="str">
        <f>HYPERLINK("https://lindat.mff.cuni.cz/services/teitok/pdtc10/index.php?action=vallex&amp;frame=v-w3541f12", "podat (v-w3541f12)")</f>
        <v>podat (v-w3541f12)</v>
      </c>
    </row>
    <row r="26428" spans="1:4" x14ac:dyDescent="0.2">
      <c r="B26428" t="s">
        <v>1</v>
      </c>
    </row>
    <row r="26429" spans="1:4" x14ac:dyDescent="0.2">
      <c r="B26429" t="s">
        <v>8</v>
      </c>
    </row>
    <row r="26430" spans="1:4" x14ac:dyDescent="0.2">
      <c r="B26430" t="s">
        <v>35</v>
      </c>
    </row>
    <row r="26432" spans="1:4" x14ac:dyDescent="0.2">
      <c r="A26432" t="s">
        <v>8707</v>
      </c>
      <c r="B26432" t="str">
        <f>HYPERLINK("https://lindat.mff.cuni.cz/services/teitok/pdtc10/index.php?action=vallex&amp;frame=v-w3541f5", "podat (v-w3541f5)")</f>
        <v>podat (v-w3541f5)</v>
      </c>
    </row>
    <row r="26433" spans="1:3" x14ac:dyDescent="0.2">
      <c r="B26433" t="s">
        <v>1</v>
      </c>
      <c r="C26433" t="s">
        <v>66</v>
      </c>
    </row>
    <row r="26434" spans="1:3" x14ac:dyDescent="0.2">
      <c r="B26434" t="s">
        <v>8</v>
      </c>
      <c r="C26434" t="s">
        <v>155</v>
      </c>
    </row>
    <row r="26435" spans="1:3" x14ac:dyDescent="0.2">
      <c r="B26435" t="s">
        <v>5</v>
      </c>
    </row>
    <row r="26437" spans="1:3" x14ac:dyDescent="0.2">
      <c r="A26437" t="s">
        <v>8708</v>
      </c>
      <c r="B26437" t="str">
        <f>HYPERLINK("https://lindat.mff.cuni.cz/services/teitok/pdtc10/index.php?action=vallex&amp;frame=v-w3541f7", "podat (v-w3541f7)")</f>
        <v>podat (v-w3541f7)</v>
      </c>
    </row>
    <row r="26438" spans="1:3" x14ac:dyDescent="0.2">
      <c r="B26438" t="s">
        <v>1</v>
      </c>
      <c r="C26438" t="s">
        <v>3081</v>
      </c>
    </row>
    <row r="26439" spans="1:3" x14ac:dyDescent="0.2">
      <c r="B26439" t="s">
        <v>8</v>
      </c>
      <c r="C26439" t="s">
        <v>8709</v>
      </c>
    </row>
    <row r="26440" spans="1:3" x14ac:dyDescent="0.2">
      <c r="B26440" t="s">
        <v>90</v>
      </c>
    </row>
    <row r="26442" spans="1:3" x14ac:dyDescent="0.2">
      <c r="A26442" t="s">
        <v>8710</v>
      </c>
      <c r="B26442" t="str">
        <f>HYPERLINK("https://lindat.mff.cuni.cz/services/teitok/pdtc10/index.php?action=vallex&amp;frame=v-w3541f11", "podat (v-w3541f11)")</f>
        <v>podat (v-w3541f11)</v>
      </c>
    </row>
    <row r="26443" spans="1:3" x14ac:dyDescent="0.2">
      <c r="B26443" t="s">
        <v>1</v>
      </c>
    </row>
    <row r="26445" spans="1:3" x14ac:dyDescent="0.2">
      <c r="A26445" t="s">
        <v>8711</v>
      </c>
      <c r="B26445" t="str">
        <f>HYPERLINK("https://lindat.mff.cuni.cz/services/teitok/pdtc10/index.php?action=vallex&amp;frame=v-w3541f18_ZU", "podat (v-w3541f18_ZU)")</f>
        <v>podat (v-w3541f18_ZU)</v>
      </c>
    </row>
    <row r="26446" spans="1:3" x14ac:dyDescent="0.2">
      <c r="B26446" t="s">
        <v>1</v>
      </c>
    </row>
    <row r="26447" spans="1:3" x14ac:dyDescent="0.2">
      <c r="B26447" t="s">
        <v>8712</v>
      </c>
    </row>
    <row r="26448" spans="1:3" x14ac:dyDescent="0.2">
      <c r="B26448" t="s">
        <v>35</v>
      </c>
    </row>
    <row r="26450" spans="1:3" x14ac:dyDescent="0.2">
      <c r="A26450" t="s">
        <v>8711</v>
      </c>
      <c r="B26450" t="str">
        <f>HYPERLINK("https://lindat.mff.cuni.cz/services/teitok/pdtc10/index.php?action=vallex&amp;frame=v-w3541f1", "podat (v-w3541f1) - substituted with v-w3541f18_ZU")</f>
        <v>podat (v-w3541f1) - substituted with v-w3541f18_ZU</v>
      </c>
    </row>
    <row r="26451" spans="1:3" x14ac:dyDescent="0.2">
      <c r="B26451" t="s">
        <v>1</v>
      </c>
      <c r="C26451" t="s">
        <v>8713</v>
      </c>
    </row>
    <row r="26452" spans="1:3" x14ac:dyDescent="0.2">
      <c r="B26452" t="s">
        <v>8712</v>
      </c>
      <c r="C26452" t="s">
        <v>8714</v>
      </c>
    </row>
    <row r="26453" spans="1:3" x14ac:dyDescent="0.2">
      <c r="B26453" t="s">
        <v>35</v>
      </c>
      <c r="C26453" t="s">
        <v>8715</v>
      </c>
    </row>
    <row r="26455" spans="1:3" x14ac:dyDescent="0.2">
      <c r="A26455" t="s">
        <v>8711</v>
      </c>
      <c r="B26455" t="str">
        <f>HYPERLINK("https://lindat.mff.cuni.cz/services/teitok/pdtc10/index.php?action=vallex&amp;frame=v-w3541f13_ZU", "podat (v-w3541f13_ZU) - substituted with v-w3541f18_ZU")</f>
        <v>podat (v-w3541f13_ZU) - substituted with v-w3541f18_ZU</v>
      </c>
    </row>
    <row r="26456" spans="1:3" x14ac:dyDescent="0.2">
      <c r="B26456" t="s">
        <v>1</v>
      </c>
    </row>
    <row r="26457" spans="1:3" x14ac:dyDescent="0.2">
      <c r="B26457" t="s">
        <v>8712</v>
      </c>
    </row>
    <row r="26458" spans="1:3" x14ac:dyDescent="0.2">
      <c r="B26458" t="s">
        <v>35</v>
      </c>
    </row>
    <row r="26460" spans="1:3" x14ac:dyDescent="0.2">
      <c r="A26460" t="s">
        <v>8711</v>
      </c>
      <c r="B26460" t="str">
        <f>HYPERLINK("https://lindat.mff.cuni.cz/services/teitok/pdtc10/index.php?action=vallex&amp;frame=v-w3541f14_ZU", "podat (v-w3541f14_ZU) - substituted with v-w3541f18_ZU")</f>
        <v>podat (v-w3541f14_ZU) - substituted with v-w3541f18_ZU</v>
      </c>
    </row>
    <row r="26461" spans="1:3" x14ac:dyDescent="0.2">
      <c r="B26461" t="s">
        <v>1</v>
      </c>
    </row>
    <row r="26462" spans="1:3" x14ac:dyDescent="0.2">
      <c r="B26462" t="s">
        <v>8712</v>
      </c>
    </row>
    <row r="26463" spans="1:3" x14ac:dyDescent="0.2">
      <c r="B26463" t="s">
        <v>35</v>
      </c>
    </row>
    <row r="26465" spans="1:3" x14ac:dyDescent="0.2">
      <c r="A26465" t="s">
        <v>8711</v>
      </c>
      <c r="B26465" t="str">
        <f>HYPERLINK("https://lindat.mff.cuni.cz/services/teitok/pdtc10/index.php?action=vallex&amp;frame=v-w3541f15_ZU", "podat (v-w3541f15_ZU) - substituted with v-w3541f18_ZU")</f>
        <v>podat (v-w3541f15_ZU) - substituted with v-w3541f18_ZU</v>
      </c>
    </row>
    <row r="26466" spans="1:3" x14ac:dyDescent="0.2">
      <c r="B26466" t="s">
        <v>1</v>
      </c>
      <c r="C26466" t="s">
        <v>83</v>
      </c>
    </row>
    <row r="26467" spans="1:3" x14ac:dyDescent="0.2">
      <c r="B26467" t="s">
        <v>8712</v>
      </c>
      <c r="C26467" t="s">
        <v>5797</v>
      </c>
    </row>
    <row r="26468" spans="1:3" x14ac:dyDescent="0.2">
      <c r="B26468" t="s">
        <v>35</v>
      </c>
    </row>
    <row r="26470" spans="1:3" x14ac:dyDescent="0.2">
      <c r="A26470" t="s">
        <v>8711</v>
      </c>
      <c r="B26470" t="str">
        <f>HYPERLINK("https://lindat.mff.cuni.cz/services/teitok/pdtc10/index.php?action=vallex&amp;frame=v-w3541f16_ZU", "podat (v-w3541f16_ZU) - substituted with v-w3541f18_ZU")</f>
        <v>podat (v-w3541f16_ZU) - substituted with v-w3541f18_ZU</v>
      </c>
    </row>
    <row r="26471" spans="1:3" x14ac:dyDescent="0.2">
      <c r="B26471" t="s">
        <v>1</v>
      </c>
      <c r="C26471" t="s">
        <v>8716</v>
      </c>
    </row>
    <row r="26472" spans="1:3" x14ac:dyDescent="0.2">
      <c r="B26472" t="s">
        <v>8712</v>
      </c>
      <c r="C26472" t="s">
        <v>8717</v>
      </c>
    </row>
    <row r="26473" spans="1:3" x14ac:dyDescent="0.2">
      <c r="B26473" t="s">
        <v>35</v>
      </c>
      <c r="C26473" t="s">
        <v>8718</v>
      </c>
    </row>
    <row r="26475" spans="1:3" x14ac:dyDescent="0.2">
      <c r="A26475" t="s">
        <v>8711</v>
      </c>
      <c r="B26475" t="str">
        <f>HYPERLINK("https://lindat.mff.cuni.cz/services/teitok/pdtc10/index.php?action=vallex&amp;frame=v-w3541f17_ZU", "podat (v-w3541f17_ZU) - substituted with v-w3541f18_ZU")</f>
        <v>podat (v-w3541f17_ZU) - substituted with v-w3541f18_ZU</v>
      </c>
    </row>
    <row r="26476" spans="1:3" x14ac:dyDescent="0.2">
      <c r="B26476" t="s">
        <v>1</v>
      </c>
    </row>
    <row r="26477" spans="1:3" x14ac:dyDescent="0.2">
      <c r="B26477" t="s">
        <v>8712</v>
      </c>
    </row>
    <row r="26478" spans="1:3" x14ac:dyDescent="0.2">
      <c r="B26478" t="s">
        <v>35</v>
      </c>
    </row>
    <row r="26480" spans="1:3" x14ac:dyDescent="0.2">
      <c r="A26480" t="s">
        <v>8711</v>
      </c>
      <c r="B26480" t="str">
        <f>HYPERLINK("https://lindat.mff.cuni.cz/services/teitok/pdtc10/index.php?action=vallex&amp;frame=v-w3541hsa_1049", "podat (v-w3541hsa_1049) - substituted with v-w3541f18_ZU")</f>
        <v>podat (v-w3541hsa_1049) - substituted with v-w3541f18_ZU</v>
      </c>
    </row>
    <row r="26481" spans="1:4" x14ac:dyDescent="0.2">
      <c r="B26481" t="s">
        <v>1</v>
      </c>
      <c r="C26481" t="s">
        <v>8719</v>
      </c>
      <c r="D26481" t="s">
        <v>23793</v>
      </c>
    </row>
    <row r="26482" spans="1:4" x14ac:dyDescent="0.2">
      <c r="B26482" t="s">
        <v>8712</v>
      </c>
      <c r="C26482" t="s">
        <v>8720</v>
      </c>
      <c r="D26482" t="s">
        <v>23794</v>
      </c>
    </row>
    <row r="26483" spans="1:4" x14ac:dyDescent="0.2">
      <c r="B26483" t="s">
        <v>35</v>
      </c>
      <c r="C26483" t="s">
        <v>2568</v>
      </c>
      <c r="D26483" t="s">
        <v>23795</v>
      </c>
    </row>
    <row r="26485" spans="1:4" x14ac:dyDescent="0.2">
      <c r="A26485" t="s">
        <v>8721</v>
      </c>
      <c r="B26485" t="str">
        <f>HYPERLINK("https://lindat.mff.cuni.cz/services/teitok/pdtc10/index.php?action=vallex&amp;frame=v-w3541hsa_1052", "podat (v-w3541hsa_1052)")</f>
        <v>podat (v-w3541hsa_1052)</v>
      </c>
    </row>
    <row r="26486" spans="1:4" x14ac:dyDescent="0.2">
      <c r="B26486" t="s">
        <v>1</v>
      </c>
      <c r="C26486" t="s">
        <v>8722</v>
      </c>
      <c r="D26486" t="s">
        <v>23793</v>
      </c>
    </row>
    <row r="26487" spans="1:4" x14ac:dyDescent="0.2">
      <c r="B26487" t="s">
        <v>8723</v>
      </c>
      <c r="C26487" t="s">
        <v>8724</v>
      </c>
      <c r="D26487" t="s">
        <v>23794</v>
      </c>
    </row>
    <row r="26488" spans="1:4" x14ac:dyDescent="0.2">
      <c r="B26488" t="s">
        <v>5</v>
      </c>
      <c r="D26488" t="s">
        <v>23796</v>
      </c>
    </row>
    <row r="26490" spans="1:4" x14ac:dyDescent="0.2">
      <c r="A26490" t="s">
        <v>8721</v>
      </c>
      <c r="B26490" t="str">
        <f>HYPERLINK("https://lindat.mff.cuni.cz/services/teitok/pdtc10/index.php?action=vallex&amp;frame=v-w3541f8", "podat (v-w3541f8) - substituted with v-w3541hsa_1052")</f>
        <v>podat (v-w3541f8) - substituted with v-w3541hsa_1052</v>
      </c>
    </row>
    <row r="26491" spans="1:4" x14ac:dyDescent="0.2">
      <c r="B26491" t="s">
        <v>1</v>
      </c>
      <c r="C26491" t="s">
        <v>8725</v>
      </c>
    </row>
    <row r="26492" spans="1:4" x14ac:dyDescent="0.2">
      <c r="B26492" t="s">
        <v>8723</v>
      </c>
      <c r="C26492" t="s">
        <v>8726</v>
      </c>
    </row>
    <row r="26493" spans="1:4" x14ac:dyDescent="0.2">
      <c r="B26493" t="s">
        <v>5</v>
      </c>
      <c r="C26493" t="s">
        <v>8727</v>
      </c>
    </row>
    <row r="26495" spans="1:4" x14ac:dyDescent="0.2">
      <c r="A26495" t="s">
        <v>8721</v>
      </c>
      <c r="B26495" t="str">
        <f>HYPERLINK("https://lindat.mff.cuni.cz/services/teitok/pdtc10/index.php?action=vallex&amp;frame=v-w3541hsa_1050", "podat (v-w3541hsa_1050) - substituted with v-w3541hsa_1052")</f>
        <v>podat (v-w3541hsa_1050) - substituted with v-w3541hsa_1052</v>
      </c>
    </row>
    <row r="26496" spans="1:4" x14ac:dyDescent="0.2">
      <c r="B26496" t="s">
        <v>1</v>
      </c>
    </row>
    <row r="26497" spans="1:3" x14ac:dyDescent="0.2">
      <c r="B26497" t="s">
        <v>8723</v>
      </c>
    </row>
    <row r="26498" spans="1:3" x14ac:dyDescent="0.2">
      <c r="B26498" t="s">
        <v>5</v>
      </c>
    </row>
    <row r="26500" spans="1:3" x14ac:dyDescent="0.2">
      <c r="A26500" t="s">
        <v>8728</v>
      </c>
      <c r="B26500" t="str">
        <f>HYPERLINK("https://lindat.mff.cuni.cz/services/teitok/pdtc10/index.php?action=vallex&amp;frame=v-w3541hsa_1051", "podat (v-w3541hsa_1051)")</f>
        <v>podat (v-w3541hsa_1051)</v>
      </c>
    </row>
    <row r="26501" spans="1:3" x14ac:dyDescent="0.2">
      <c r="B26501" t="s">
        <v>1</v>
      </c>
      <c r="C26501" t="s">
        <v>1271</v>
      </c>
    </row>
    <row r="26502" spans="1:3" x14ac:dyDescent="0.2">
      <c r="B26502" t="s">
        <v>8729</v>
      </c>
      <c r="C26502" t="s">
        <v>8730</v>
      </c>
    </row>
    <row r="26503" spans="1:3" x14ac:dyDescent="0.2">
      <c r="B26503" t="s">
        <v>90</v>
      </c>
    </row>
    <row r="26505" spans="1:3" x14ac:dyDescent="0.2">
      <c r="A26505" t="s">
        <v>8728</v>
      </c>
      <c r="B26505" t="str">
        <f>HYPERLINK("https://lindat.mff.cuni.cz/services/teitok/pdtc10/index.php?action=vallex&amp;frame=v-w3541f6", "podat (v-w3541f6) - substituted with v-w3541hsa_1051")</f>
        <v>podat (v-w3541f6) - substituted with v-w3541hsa_1051</v>
      </c>
    </row>
    <row r="26506" spans="1:3" x14ac:dyDescent="0.2">
      <c r="B26506" t="s">
        <v>1</v>
      </c>
      <c r="C26506" t="s">
        <v>8731</v>
      </c>
    </row>
    <row r="26507" spans="1:3" x14ac:dyDescent="0.2">
      <c r="B26507" t="s">
        <v>8729</v>
      </c>
      <c r="C26507" t="s">
        <v>8732</v>
      </c>
    </row>
    <row r="26508" spans="1:3" x14ac:dyDescent="0.2">
      <c r="B26508" t="s">
        <v>90</v>
      </c>
    </row>
    <row r="26510" spans="1:3" x14ac:dyDescent="0.2">
      <c r="A26510" t="s">
        <v>8733</v>
      </c>
      <c r="B26510" t="str">
        <f>HYPERLINK("https://lindat.mff.cuni.cz/services/teitok/pdtc10/index.php?action=vallex&amp;frame=v-w3541f4", "podat (v-w3541f4)")</f>
        <v>podat (v-w3541f4)</v>
      </c>
    </row>
    <row r="26511" spans="1:3" x14ac:dyDescent="0.2">
      <c r="B26511" t="s">
        <v>1</v>
      </c>
    </row>
    <row r="26512" spans="1:3" x14ac:dyDescent="0.2">
      <c r="B26512" t="s">
        <v>8734</v>
      </c>
    </row>
    <row r="26514" spans="1:2" x14ac:dyDescent="0.2">
      <c r="A26514" t="s">
        <v>8735</v>
      </c>
      <c r="B26514" t="str">
        <f>HYPERLINK("https://lindat.mff.cuni.cz/services/teitok/pdtc10/index.php?action=vallex&amp;frame=v-w3541f3", "podat (v-w3541f3)")</f>
        <v>podat (v-w3541f3)</v>
      </c>
    </row>
    <row r="26515" spans="1:2" x14ac:dyDescent="0.2">
      <c r="B26515" t="s">
        <v>1</v>
      </c>
    </row>
    <row r="26516" spans="1:2" x14ac:dyDescent="0.2">
      <c r="B26516" t="s">
        <v>8736</v>
      </c>
    </row>
    <row r="26518" spans="1:2" x14ac:dyDescent="0.2">
      <c r="A26518" t="s">
        <v>8737</v>
      </c>
      <c r="B26518" t="str">
        <f>HYPERLINK("https://lindat.mff.cuni.cz/services/teitok/pdtc10/index.php?action=vallex&amp;frame=v-w3542f1", "podat si (v-w3542f1)")</f>
        <v>podat si (v-w3542f1)</v>
      </c>
    </row>
    <row r="26519" spans="1:2" x14ac:dyDescent="0.2">
      <c r="B26519" t="s">
        <v>1</v>
      </c>
    </row>
    <row r="26520" spans="1:2" x14ac:dyDescent="0.2">
      <c r="B26520" t="s">
        <v>8</v>
      </c>
    </row>
    <row r="26522" spans="1:2" x14ac:dyDescent="0.2">
      <c r="A26522" t="s">
        <v>8738</v>
      </c>
      <c r="B26522" t="str">
        <f>HYPERLINK("https://lindat.mff.cuni.cz/services/teitok/pdtc10/index.php?action=vallex&amp;frame=v-w3542f3_ZU", "podat si (v-w3542f3_ZU)")</f>
        <v>podat si (v-w3542f3_ZU)</v>
      </c>
    </row>
    <row r="26523" spans="1:2" x14ac:dyDescent="0.2">
      <c r="B26523" t="s">
        <v>1</v>
      </c>
    </row>
    <row r="26524" spans="1:2" x14ac:dyDescent="0.2">
      <c r="B26524" t="s">
        <v>8739</v>
      </c>
    </row>
    <row r="26525" spans="1:2" x14ac:dyDescent="0.2">
      <c r="B26525" t="s">
        <v>411</v>
      </c>
    </row>
    <row r="26527" spans="1:2" x14ac:dyDescent="0.2">
      <c r="A26527" t="s">
        <v>8738</v>
      </c>
      <c r="B26527" t="str">
        <f>HYPERLINK("https://lindat.mff.cuni.cz/services/teitok/pdtc10/index.php?action=vallex&amp;frame=v-w3542f2_ZU", "podat si (v-w3542f2_ZU) - substituted with v-w3542f3_ZU")</f>
        <v>podat si (v-w3542f2_ZU) - substituted with v-w3542f3_ZU</v>
      </c>
    </row>
    <row r="26528" spans="1:2" x14ac:dyDescent="0.2">
      <c r="B26528" t="s">
        <v>1</v>
      </c>
    </row>
    <row r="26529" spans="1:4" x14ac:dyDescent="0.2">
      <c r="B26529" t="s">
        <v>8739</v>
      </c>
    </row>
    <row r="26530" spans="1:4" x14ac:dyDescent="0.2">
      <c r="B26530" t="s">
        <v>411</v>
      </c>
    </row>
    <row r="26532" spans="1:4" x14ac:dyDescent="0.2">
      <c r="A26532" t="s">
        <v>8740</v>
      </c>
      <c r="B26532" t="str">
        <f>HYPERLINK("https://lindat.mff.cuni.cz/services/teitok/pdtc10/index.php?action=vallex&amp;frame=v-w3540f1", "podařit se (v-w3540f1)")</f>
        <v>podařit se (v-w3540f1)</v>
      </c>
    </row>
    <row r="26533" spans="1:4" x14ac:dyDescent="0.2">
      <c r="B26533" t="s">
        <v>455</v>
      </c>
      <c r="C26533" t="s">
        <v>8741</v>
      </c>
      <c r="D26533" t="s">
        <v>23797</v>
      </c>
    </row>
    <row r="26534" spans="1:4" x14ac:dyDescent="0.2">
      <c r="B26534" t="s">
        <v>8742</v>
      </c>
      <c r="C26534" t="s">
        <v>8743</v>
      </c>
      <c r="D26534" t="s">
        <v>23798</v>
      </c>
    </row>
    <row r="26536" spans="1:4" x14ac:dyDescent="0.2">
      <c r="A26536" t="s">
        <v>8744</v>
      </c>
      <c r="B26536" t="str">
        <f>HYPERLINK("https://lindat.mff.cuni.cz/services/teitok/pdtc10/index.php?action=vallex&amp;frame=v-w11172f2", "podbarvit (v-w11172f2)")</f>
        <v>podbarvit (v-w11172f2)</v>
      </c>
    </row>
    <row r="26537" spans="1:4" x14ac:dyDescent="0.2">
      <c r="B26537" t="s">
        <v>1</v>
      </c>
    </row>
    <row r="26538" spans="1:4" x14ac:dyDescent="0.2">
      <c r="B26538" t="s">
        <v>8</v>
      </c>
    </row>
    <row r="26540" spans="1:4" x14ac:dyDescent="0.2">
      <c r="A26540" t="s">
        <v>8745</v>
      </c>
      <c r="B26540" t="str">
        <f>HYPERLINK("https://lindat.mff.cuni.cz/services/teitok/pdtc10/index.php?action=vallex&amp;frame=v-whsb_205f1_ZU", "podbíjet (v-whsb_205f1_ZU)")</f>
        <v>podbíjet (v-whsb_205f1_ZU)</v>
      </c>
    </row>
    <row r="26541" spans="1:4" x14ac:dyDescent="0.2">
      <c r="B26541" t="s">
        <v>1</v>
      </c>
    </row>
    <row r="26542" spans="1:4" x14ac:dyDescent="0.2">
      <c r="B26542" t="s">
        <v>8</v>
      </c>
    </row>
    <row r="26544" spans="1:4" x14ac:dyDescent="0.2">
      <c r="A26544" t="s">
        <v>8745</v>
      </c>
      <c r="B26544" t="str">
        <f>HYPERLINK("https://lindat.mff.cuni.cz/services/teitok/pdtc10/index.php?action=vallex&amp;frame=v-whsb_205hsa_206", "podbíjet (v-whsb_205hsa_206) - substituted with v-whsb_205f1_ZU")</f>
        <v>podbíjet (v-whsb_205hsa_206) - substituted with v-whsb_205f1_ZU</v>
      </c>
    </row>
    <row r="26545" spans="1:4" x14ac:dyDescent="0.2">
      <c r="B26545" t="s">
        <v>1</v>
      </c>
    </row>
    <row r="26546" spans="1:4" x14ac:dyDescent="0.2">
      <c r="B26546" t="s">
        <v>8</v>
      </c>
    </row>
    <row r="26548" spans="1:4" x14ac:dyDescent="0.2">
      <c r="A26548" t="s">
        <v>8746</v>
      </c>
      <c r="B26548" t="str">
        <f>HYPERLINK("https://lindat.mff.cuni.cz/services/teitok/pdtc10/index.php?action=vallex&amp;frame=v-w3547f1", "podbízet se (v-w3547f1)")</f>
        <v>podbízet se (v-w3547f1)</v>
      </c>
    </row>
    <row r="26549" spans="1:4" x14ac:dyDescent="0.2">
      <c r="B26549" t="s">
        <v>1</v>
      </c>
      <c r="C26549" t="s">
        <v>2239</v>
      </c>
    </row>
    <row r="26550" spans="1:4" x14ac:dyDescent="0.2">
      <c r="B26550" t="s">
        <v>103</v>
      </c>
      <c r="C26550" t="s">
        <v>56</v>
      </c>
    </row>
    <row r="26552" spans="1:4" x14ac:dyDescent="0.2">
      <c r="A26552" t="s">
        <v>8747</v>
      </c>
      <c r="B26552" t="str">
        <f>HYPERLINK("https://lindat.mff.cuni.cz/services/teitok/pdtc10/index.php?action=vallex&amp;frame=v-w3548f1", "podcenit (v-w3548f1)")</f>
        <v>podcenit (v-w3548f1)</v>
      </c>
    </row>
    <row r="26553" spans="1:4" x14ac:dyDescent="0.2">
      <c r="B26553" t="s">
        <v>1</v>
      </c>
      <c r="C26553" t="s">
        <v>430</v>
      </c>
      <c r="D26553" t="s">
        <v>5889</v>
      </c>
    </row>
    <row r="26554" spans="1:4" x14ac:dyDescent="0.2">
      <c r="B26554" t="s">
        <v>124</v>
      </c>
      <c r="C26554" t="s">
        <v>335</v>
      </c>
      <c r="D26554" t="s">
        <v>17878</v>
      </c>
    </row>
    <row r="26556" spans="1:4" x14ac:dyDescent="0.2">
      <c r="A26556" t="s">
        <v>8748</v>
      </c>
      <c r="B26556" t="str">
        <f>HYPERLINK("https://lindat.mff.cuni.cz/services/teitok/pdtc10/index.php?action=vallex&amp;frame=v-w3550f1", "podceňovat (v-w3550f1)")</f>
        <v>podceňovat (v-w3550f1)</v>
      </c>
    </row>
    <row r="26557" spans="1:4" x14ac:dyDescent="0.2">
      <c r="B26557" t="s">
        <v>1</v>
      </c>
      <c r="C26557" t="s">
        <v>430</v>
      </c>
      <c r="D26557" t="s">
        <v>5889</v>
      </c>
    </row>
    <row r="26558" spans="1:4" x14ac:dyDescent="0.2">
      <c r="B26558" t="s">
        <v>124</v>
      </c>
      <c r="C26558" t="s">
        <v>335</v>
      </c>
      <c r="D26558" t="s">
        <v>17878</v>
      </c>
    </row>
    <row r="26560" spans="1:4" x14ac:dyDescent="0.2">
      <c r="A26560" t="s">
        <v>8749</v>
      </c>
      <c r="B26560" t="str">
        <f>HYPERLINK("https://lindat.mff.cuni.cz/services/teitok/pdtc10/index.php?action=vallex&amp;frame=v-w10101f2", "podchytit (v-w10101f2)")</f>
        <v>podchytit (v-w10101f2)</v>
      </c>
    </row>
    <row r="26561" spans="1:4" x14ac:dyDescent="0.2">
      <c r="B26561" t="s">
        <v>1</v>
      </c>
      <c r="C26561" t="s">
        <v>22</v>
      </c>
    </row>
    <row r="26562" spans="1:4" x14ac:dyDescent="0.2">
      <c r="B26562" t="s">
        <v>8</v>
      </c>
      <c r="C26562" t="s">
        <v>1025</v>
      </c>
    </row>
    <row r="26564" spans="1:4" x14ac:dyDescent="0.2">
      <c r="A26564" t="s">
        <v>8750</v>
      </c>
      <c r="B26564" t="str">
        <f>HYPERLINK("https://lindat.mff.cuni.cz/services/teitok/pdtc10/index.php?action=vallex&amp;frame=v-w11278f1", "poddat se (v-w11278f1)")</f>
        <v>poddat se (v-w11278f1)</v>
      </c>
    </row>
    <row r="26565" spans="1:4" x14ac:dyDescent="0.2">
      <c r="B26565" t="s">
        <v>1</v>
      </c>
      <c r="C26565" t="s">
        <v>5475</v>
      </c>
      <c r="D26565" t="s">
        <v>9938</v>
      </c>
    </row>
    <row r="26566" spans="1:4" x14ac:dyDescent="0.2">
      <c r="B26566" t="s">
        <v>103</v>
      </c>
      <c r="C26566" t="s">
        <v>8751</v>
      </c>
      <c r="D26566" t="s">
        <v>4088</v>
      </c>
    </row>
    <row r="26568" spans="1:4" x14ac:dyDescent="0.2">
      <c r="A26568" t="s">
        <v>8752</v>
      </c>
      <c r="B26568" t="str">
        <f>HYPERLINK("https://lindat.mff.cuni.cz/services/teitok/pdtc10/index.php?action=vallex&amp;frame=v-w11244f2", "poddávat se (v-w11244f2)")</f>
        <v>poddávat se (v-w11244f2)</v>
      </c>
    </row>
    <row r="26569" spans="1:4" x14ac:dyDescent="0.2">
      <c r="B26569" t="s">
        <v>1</v>
      </c>
      <c r="D26569" t="s">
        <v>9938</v>
      </c>
    </row>
    <row r="26570" spans="1:4" x14ac:dyDescent="0.2">
      <c r="B26570" t="s">
        <v>103</v>
      </c>
      <c r="D26570" t="s">
        <v>4088</v>
      </c>
    </row>
    <row r="26572" spans="1:4" x14ac:dyDescent="0.2">
      <c r="A26572" t="s">
        <v>8753</v>
      </c>
      <c r="B26572" t="str">
        <f>HYPERLINK("https://lindat.mff.cuni.cz/services/teitok/pdtc10/index.php?action=vallex&amp;frame=v-w11825_ZUf1_ZU", "podebatovat (v-w11825_ZUf1_ZU)")</f>
        <v>podebatovat (v-w11825_ZUf1_ZU)</v>
      </c>
    </row>
    <row r="26573" spans="1:4" x14ac:dyDescent="0.2">
      <c r="B26573" t="s">
        <v>1</v>
      </c>
    </row>
    <row r="26574" spans="1:4" x14ac:dyDescent="0.2">
      <c r="B26574" t="s">
        <v>1276</v>
      </c>
    </row>
    <row r="26575" spans="1:4" x14ac:dyDescent="0.2">
      <c r="B26575" t="s">
        <v>153</v>
      </c>
    </row>
    <row r="26577" spans="1:4" x14ac:dyDescent="0.2">
      <c r="A26577" t="s">
        <v>8754</v>
      </c>
      <c r="B26577" t="str">
        <f>HYPERLINK("https://lindat.mff.cuni.cz/services/teitok/pdtc10/index.php?action=vallex&amp;frame=v-w3554f1", "podepisovat (v-w3554f1)")</f>
        <v>podepisovat (v-w3554f1)</v>
      </c>
    </row>
    <row r="26578" spans="1:4" x14ac:dyDescent="0.2">
      <c r="B26578" t="s">
        <v>1</v>
      </c>
      <c r="C26578" t="s">
        <v>7313</v>
      </c>
      <c r="D26578" t="s">
        <v>22965</v>
      </c>
    </row>
    <row r="26579" spans="1:4" x14ac:dyDescent="0.2">
      <c r="B26579" t="s">
        <v>8</v>
      </c>
      <c r="C26579" t="s">
        <v>2113</v>
      </c>
      <c r="D26579" t="s">
        <v>22966</v>
      </c>
    </row>
    <row r="26581" spans="1:4" x14ac:dyDescent="0.2">
      <c r="A26581" t="s">
        <v>8755</v>
      </c>
      <c r="B26581" t="str">
        <f>HYPERLINK("https://lindat.mff.cuni.cz/services/teitok/pdtc10/index.php?action=vallex&amp;frame=v-w3554f2", "podepisovat (v-w3554f2)")</f>
        <v>podepisovat (v-w3554f2)</v>
      </c>
    </row>
    <row r="26582" spans="1:4" x14ac:dyDescent="0.2">
      <c r="B26582" t="s">
        <v>1</v>
      </c>
    </row>
    <row r="26583" spans="1:4" x14ac:dyDescent="0.2">
      <c r="B26583" t="s">
        <v>8</v>
      </c>
    </row>
    <row r="26585" spans="1:4" x14ac:dyDescent="0.2">
      <c r="A26585" t="s">
        <v>8756</v>
      </c>
      <c r="B26585" t="str">
        <f>HYPERLINK("https://lindat.mff.cuni.cz/services/teitok/pdtc10/index.php?action=vallex&amp;frame=v-w3555f1", "podepisovat se (v-w3555f1)")</f>
        <v>podepisovat se (v-w3555f1)</v>
      </c>
    </row>
    <row r="26586" spans="1:4" x14ac:dyDescent="0.2">
      <c r="B26586" t="s">
        <v>1</v>
      </c>
    </row>
    <row r="26587" spans="1:4" x14ac:dyDescent="0.2">
      <c r="B26587" t="s">
        <v>161</v>
      </c>
    </row>
    <row r="26589" spans="1:4" x14ac:dyDescent="0.2">
      <c r="A26589" t="s">
        <v>8757</v>
      </c>
      <c r="B26589" t="str">
        <f>HYPERLINK("https://lindat.mff.cuni.cz/services/teitok/pdtc10/index.php?action=vallex&amp;frame=v-w3559hsa_301", "podepsat (v-w3559hsa_301)")</f>
        <v>podepsat (v-w3559hsa_301)</v>
      </c>
    </row>
    <row r="26590" spans="1:4" x14ac:dyDescent="0.2">
      <c r="B26590" t="s">
        <v>1</v>
      </c>
    </row>
    <row r="26591" spans="1:4" x14ac:dyDescent="0.2">
      <c r="B26591" t="s">
        <v>41</v>
      </c>
    </row>
    <row r="26593" spans="1:4" x14ac:dyDescent="0.2">
      <c r="A26593" t="s">
        <v>8757</v>
      </c>
      <c r="B26593" t="str">
        <f>HYPERLINK("https://lindat.mff.cuni.cz/services/teitok/pdtc10/index.php?action=vallex&amp;frame=v-w3559f1", "podepsat (v-w3559f1) - substituted with v-w3559hsa_301")</f>
        <v>podepsat (v-w3559f1) - substituted with v-w3559hsa_301</v>
      </c>
    </row>
    <row r="26594" spans="1:4" x14ac:dyDescent="0.2">
      <c r="B26594" t="s">
        <v>1</v>
      </c>
      <c r="C26594" t="s">
        <v>8758</v>
      </c>
      <c r="D26594" t="s">
        <v>22965</v>
      </c>
    </row>
    <row r="26595" spans="1:4" x14ac:dyDescent="0.2">
      <c r="B26595" t="s">
        <v>41</v>
      </c>
      <c r="C26595" t="s">
        <v>8759</v>
      </c>
      <c r="D26595" t="s">
        <v>22966</v>
      </c>
    </row>
    <row r="26597" spans="1:4" x14ac:dyDescent="0.2">
      <c r="A26597" t="s">
        <v>8760</v>
      </c>
      <c r="B26597" t="str">
        <f>HYPERLINK("https://lindat.mff.cuni.cz/services/teitok/pdtc10/index.php?action=vallex&amp;frame=v-w3559f2", "podepsat (v-w3559f2)")</f>
        <v>podepsat (v-w3559f2)</v>
      </c>
    </row>
    <row r="26598" spans="1:4" x14ac:dyDescent="0.2">
      <c r="B26598" t="s">
        <v>1</v>
      </c>
      <c r="C26598" t="s">
        <v>4110</v>
      </c>
      <c r="D26598" t="s">
        <v>13005</v>
      </c>
    </row>
    <row r="26599" spans="1:4" x14ac:dyDescent="0.2">
      <c r="B26599" t="s">
        <v>8</v>
      </c>
      <c r="D26599" t="s">
        <v>14823</v>
      </c>
    </row>
    <row r="26601" spans="1:4" x14ac:dyDescent="0.2">
      <c r="A26601" t="s">
        <v>8761</v>
      </c>
      <c r="B26601" t="str">
        <f>HYPERLINK("https://lindat.mff.cuni.cz/services/teitok/pdtc10/index.php?action=vallex&amp;frame=v-w3560f2_MM", "podepsat se (v-w3560f2_MM)")</f>
        <v>podepsat se (v-w3560f2_MM)</v>
      </c>
    </row>
    <row r="26602" spans="1:4" x14ac:dyDescent="0.2">
      <c r="B26602" t="s">
        <v>488</v>
      </c>
    </row>
    <row r="26603" spans="1:4" x14ac:dyDescent="0.2">
      <c r="B26603" t="s">
        <v>161</v>
      </c>
    </row>
    <row r="26605" spans="1:4" x14ac:dyDescent="0.2">
      <c r="A26605" t="s">
        <v>8761</v>
      </c>
      <c r="B26605" t="str">
        <f>HYPERLINK("https://lindat.mff.cuni.cz/services/teitok/pdtc10/index.php?action=vallex&amp;frame=v-w3560f1", "podepsat se (v-w3560f1) - substituted with v-w3560f2_MM")</f>
        <v>podepsat se (v-w3560f1) - substituted with v-w3560f2_MM</v>
      </c>
    </row>
    <row r="26606" spans="1:4" x14ac:dyDescent="0.2">
      <c r="B26606" t="s">
        <v>488</v>
      </c>
    </row>
    <row r="26607" spans="1:4" x14ac:dyDescent="0.2">
      <c r="B26607" t="s">
        <v>161</v>
      </c>
    </row>
    <row r="26609" spans="1:4" x14ac:dyDescent="0.2">
      <c r="A26609" t="s">
        <v>8762</v>
      </c>
      <c r="B26609" t="str">
        <f>HYPERLINK("https://lindat.mff.cuni.cz/services/teitok/pdtc10/index.php?action=vallex&amp;frame=v-w3556f1", "podepřít (v-w3556f1)")</f>
        <v>podepřít (v-w3556f1)</v>
      </c>
    </row>
    <row r="26610" spans="1:4" x14ac:dyDescent="0.2">
      <c r="B26610" t="s">
        <v>1</v>
      </c>
      <c r="C26610" t="s">
        <v>3307</v>
      </c>
      <c r="D26610" t="s">
        <v>23552</v>
      </c>
    </row>
    <row r="26611" spans="1:4" x14ac:dyDescent="0.2">
      <c r="B26611" t="s">
        <v>8</v>
      </c>
      <c r="C26611" t="s">
        <v>977</v>
      </c>
      <c r="D26611" t="s">
        <v>23553</v>
      </c>
    </row>
    <row r="26613" spans="1:4" x14ac:dyDescent="0.2">
      <c r="A26613" t="s">
        <v>8763</v>
      </c>
      <c r="B26613" t="str">
        <f>HYPERLINK("https://lindat.mff.cuni.cz/services/teitok/pdtc10/index.php?action=vallex&amp;frame=v-w3556hsa_912", "podepřít (v-w3556hsa_912)")</f>
        <v>podepřít (v-w3556hsa_912)</v>
      </c>
    </row>
    <row r="26614" spans="1:4" x14ac:dyDescent="0.2">
      <c r="B26614" t="s">
        <v>1</v>
      </c>
    </row>
    <row r="26615" spans="1:4" x14ac:dyDescent="0.2">
      <c r="B26615" t="s">
        <v>8</v>
      </c>
      <c r="C26615" t="s">
        <v>1340</v>
      </c>
    </row>
    <row r="26617" spans="1:4" x14ac:dyDescent="0.2">
      <c r="A26617" t="s">
        <v>8764</v>
      </c>
      <c r="B26617" t="str">
        <f>HYPERLINK("https://lindat.mff.cuni.cz/services/teitok/pdtc10/index.php?action=vallex&amp;frame=v-whsa_463f1_ZU", "podestlat (v-whsa_463f1_ZU)")</f>
        <v>podestlat (v-whsa_463f1_ZU)</v>
      </c>
    </row>
    <row r="26618" spans="1:4" x14ac:dyDescent="0.2">
      <c r="B26618" t="s">
        <v>1</v>
      </c>
    </row>
    <row r="26619" spans="1:4" x14ac:dyDescent="0.2">
      <c r="B26619" t="s">
        <v>8</v>
      </c>
    </row>
    <row r="26621" spans="1:4" x14ac:dyDescent="0.2">
      <c r="A26621" t="s">
        <v>8764</v>
      </c>
      <c r="B26621" t="str">
        <f>HYPERLINK("https://lindat.mff.cuni.cz/services/teitok/pdtc10/index.php?action=vallex&amp;frame=v-whsa_463hsa_464", "podestlat (v-whsa_463hsa_464) - substituted with v-whsa_463f1_ZU")</f>
        <v>podestlat (v-whsa_463hsa_464) - substituted with v-whsa_463f1_ZU</v>
      </c>
    </row>
    <row r="26622" spans="1:4" x14ac:dyDescent="0.2">
      <c r="B26622" t="s">
        <v>1</v>
      </c>
    </row>
    <row r="26623" spans="1:4" x14ac:dyDescent="0.2">
      <c r="B26623" t="s">
        <v>8</v>
      </c>
    </row>
    <row r="26625" spans="1:4" x14ac:dyDescent="0.2">
      <c r="A26625" t="s">
        <v>8765</v>
      </c>
      <c r="B26625" t="str">
        <f>HYPERLINK("https://lindat.mff.cuni.cz/services/teitok/pdtc10/index.php?action=vallex&amp;frame=v-whsa_463f2_ZU", "podestlat (v-whsa_463f2_ZU)")</f>
        <v>podestlat (v-whsa_463f2_ZU)</v>
      </c>
    </row>
    <row r="26626" spans="1:4" x14ac:dyDescent="0.2">
      <c r="B26626" t="s">
        <v>1</v>
      </c>
    </row>
    <row r="26627" spans="1:4" x14ac:dyDescent="0.2">
      <c r="B26627" t="s">
        <v>8</v>
      </c>
    </row>
    <row r="26629" spans="1:4" x14ac:dyDescent="0.2">
      <c r="A26629" t="s">
        <v>8765</v>
      </c>
      <c r="B26629" t="str">
        <f>HYPERLINK("https://lindat.mff.cuni.cz/services/teitok/pdtc10/index.php?action=vallex&amp;frame=v-whsa_463hsa_465", "podestlat (v-whsa_463hsa_465) - substituted with v-whsa_463f2_ZU")</f>
        <v>podestlat (v-whsa_463hsa_465) - substituted with v-whsa_463f2_ZU</v>
      </c>
    </row>
    <row r="26630" spans="1:4" x14ac:dyDescent="0.2">
      <c r="B26630" t="s">
        <v>1</v>
      </c>
    </row>
    <row r="26631" spans="1:4" x14ac:dyDescent="0.2">
      <c r="B26631" t="s">
        <v>8</v>
      </c>
    </row>
    <row r="26633" spans="1:4" x14ac:dyDescent="0.2">
      <c r="A26633" t="s">
        <v>8766</v>
      </c>
      <c r="B26633" t="str">
        <f>HYPERLINK("https://lindat.mff.cuni.cz/services/teitok/pdtc10/index.php?action=vallex&amp;frame=v-w3562f1", "podezírat (v-w3562f1)")</f>
        <v>podezírat (v-w3562f1)</v>
      </c>
    </row>
    <row r="26634" spans="1:4" x14ac:dyDescent="0.2">
      <c r="B26634" t="s">
        <v>1</v>
      </c>
      <c r="C26634" t="s">
        <v>964</v>
      </c>
      <c r="D26634" t="s">
        <v>6301</v>
      </c>
    </row>
    <row r="26635" spans="1:4" x14ac:dyDescent="0.2">
      <c r="B26635" t="s">
        <v>58</v>
      </c>
      <c r="D26635" t="s">
        <v>23302</v>
      </c>
    </row>
    <row r="26636" spans="1:4" x14ac:dyDescent="0.2">
      <c r="B26636" t="s">
        <v>6427</v>
      </c>
      <c r="C26636" t="s">
        <v>2344</v>
      </c>
      <c r="D26636" t="s">
        <v>23301</v>
      </c>
    </row>
    <row r="26638" spans="1:4" x14ac:dyDescent="0.2">
      <c r="A26638" t="s">
        <v>8767</v>
      </c>
      <c r="B26638" t="str">
        <f>HYPERLINK("https://lindat.mff.cuni.cz/services/teitok/pdtc10/index.php?action=vallex&amp;frame=v-w3565f1", "podezřívat (v-w3565f1)")</f>
        <v>podezřívat (v-w3565f1)</v>
      </c>
    </row>
    <row r="26639" spans="1:4" x14ac:dyDescent="0.2">
      <c r="B26639" t="s">
        <v>1</v>
      </c>
      <c r="D26639" t="s">
        <v>6301</v>
      </c>
    </row>
    <row r="26640" spans="1:4" x14ac:dyDescent="0.2">
      <c r="B26640" t="s">
        <v>58</v>
      </c>
      <c r="C26640" t="s">
        <v>8768</v>
      </c>
      <c r="D26640" t="s">
        <v>23302</v>
      </c>
    </row>
    <row r="26641" spans="1:4" x14ac:dyDescent="0.2">
      <c r="B26641" t="s">
        <v>6427</v>
      </c>
      <c r="C26641" t="s">
        <v>34</v>
      </c>
      <c r="D26641" t="s">
        <v>23301</v>
      </c>
    </row>
    <row r="26643" spans="1:4" x14ac:dyDescent="0.2">
      <c r="A26643" t="s">
        <v>8769</v>
      </c>
      <c r="B26643" t="str">
        <f>HYPERLINK("https://lindat.mff.cuni.cz/services/teitok/pdtc10/index.php?action=vallex&amp;frame=v-whsa_1237hsa_1238", "podhlodat (v-whsa_1237hsa_1238)")</f>
        <v>podhlodat (v-whsa_1237hsa_1238)</v>
      </c>
    </row>
    <row r="26644" spans="1:4" x14ac:dyDescent="0.2">
      <c r="B26644" t="s">
        <v>1</v>
      </c>
    </row>
    <row r="26645" spans="1:4" x14ac:dyDescent="0.2">
      <c r="B26645" t="s">
        <v>8</v>
      </c>
    </row>
    <row r="26647" spans="1:4" x14ac:dyDescent="0.2">
      <c r="A26647" t="s">
        <v>8770</v>
      </c>
      <c r="B26647" t="str">
        <f>HYPERLINK("https://lindat.mff.cuni.cz/services/teitok/pdtc10/index.php?action=vallex&amp;frame=v-whsa_567hsa_568", "podhodnocovat (v-whsa_567hsa_568)")</f>
        <v>podhodnocovat (v-whsa_567hsa_568)</v>
      </c>
    </row>
    <row r="26648" spans="1:4" x14ac:dyDescent="0.2">
      <c r="B26648" t="s">
        <v>1</v>
      </c>
      <c r="C26648" t="s">
        <v>249</v>
      </c>
      <c r="D26648" t="s">
        <v>334</v>
      </c>
    </row>
    <row r="26649" spans="1:4" x14ac:dyDescent="0.2">
      <c r="B26649" t="s">
        <v>8</v>
      </c>
      <c r="C26649" t="s">
        <v>335</v>
      </c>
      <c r="D26649" t="s">
        <v>125</v>
      </c>
    </row>
    <row r="26651" spans="1:4" x14ac:dyDescent="0.2">
      <c r="A26651" t="s">
        <v>8771</v>
      </c>
      <c r="B26651" t="str">
        <f>HYPERLINK("https://lindat.mff.cuni.cz/services/teitok/pdtc10/index.php?action=vallex&amp;frame=v-w3567f1", "podhodnotit (v-w3567f1)")</f>
        <v>podhodnotit (v-w3567f1)</v>
      </c>
    </row>
    <row r="26652" spans="1:4" x14ac:dyDescent="0.2">
      <c r="B26652" t="s">
        <v>1</v>
      </c>
      <c r="C26652" t="s">
        <v>334</v>
      </c>
      <c r="D26652" t="s">
        <v>334</v>
      </c>
    </row>
    <row r="26653" spans="1:4" x14ac:dyDescent="0.2">
      <c r="B26653" t="s">
        <v>8</v>
      </c>
      <c r="C26653" t="s">
        <v>125</v>
      </c>
      <c r="D26653" t="s">
        <v>125</v>
      </c>
    </row>
    <row r="26655" spans="1:4" x14ac:dyDescent="0.2">
      <c r="A26655" t="s">
        <v>8772</v>
      </c>
      <c r="B26655" t="str">
        <f>HYPERLINK("https://lindat.mff.cuni.cz/services/teitok/pdtc10/index.php?action=vallex&amp;frame=v-w3575f2", "podivit se (v-w3575f2)")</f>
        <v>podivit se (v-w3575f2)</v>
      </c>
    </row>
    <row r="26656" spans="1:4" x14ac:dyDescent="0.2">
      <c r="B26656" t="s">
        <v>1</v>
      </c>
    </row>
    <row r="26657" spans="1:3" x14ac:dyDescent="0.2">
      <c r="B26657" t="s">
        <v>8773</v>
      </c>
    </row>
    <row r="26659" spans="1:3" x14ac:dyDescent="0.2">
      <c r="A26659" t="s">
        <v>8774</v>
      </c>
      <c r="B26659" t="str">
        <f>HYPERLINK("https://lindat.mff.cuni.cz/services/teitok/pdtc10/index.php?action=vallex&amp;frame=v-w3576f2", "podivovat se (v-w3576f2)")</f>
        <v>podivovat se (v-w3576f2)</v>
      </c>
    </row>
    <row r="26660" spans="1:3" x14ac:dyDescent="0.2">
      <c r="B26660" t="s">
        <v>1</v>
      </c>
      <c r="C26660" t="s">
        <v>4110</v>
      </c>
    </row>
    <row r="26661" spans="1:3" x14ac:dyDescent="0.2">
      <c r="B26661" t="s">
        <v>8773</v>
      </c>
      <c r="C26661" t="s">
        <v>1529</v>
      </c>
    </row>
    <row r="26663" spans="1:3" x14ac:dyDescent="0.2">
      <c r="A26663" t="s">
        <v>8774</v>
      </c>
      <c r="B26663" t="str">
        <f>HYPERLINK("https://lindat.mff.cuni.cz/services/teitok/pdtc10/index.php?action=vallex&amp;frame=v-w3576f1", "podivovat se (v-w3576f1) - substituted with v-w3576f2")</f>
        <v>podivovat se (v-w3576f1) - substituted with v-w3576f2</v>
      </c>
    </row>
    <row r="26664" spans="1:3" x14ac:dyDescent="0.2">
      <c r="B26664" t="s">
        <v>1</v>
      </c>
    </row>
    <row r="26665" spans="1:3" x14ac:dyDescent="0.2">
      <c r="B26665" t="s">
        <v>8773</v>
      </c>
    </row>
    <row r="26667" spans="1:3" x14ac:dyDescent="0.2">
      <c r="A26667" t="s">
        <v>8775</v>
      </c>
      <c r="B26667" t="str">
        <f>HYPERLINK("https://lindat.mff.cuni.cz/services/teitok/pdtc10/index.php?action=vallex&amp;frame=v-w3577f2", "podjet (v-w3577f2)")</f>
        <v>podjet (v-w3577f2)</v>
      </c>
    </row>
    <row r="26668" spans="1:3" x14ac:dyDescent="0.2">
      <c r="B26668" t="s">
        <v>1</v>
      </c>
    </row>
    <row r="26669" spans="1:3" x14ac:dyDescent="0.2">
      <c r="B26669" t="s">
        <v>8</v>
      </c>
    </row>
    <row r="26671" spans="1:3" x14ac:dyDescent="0.2">
      <c r="A26671" t="s">
        <v>8776</v>
      </c>
      <c r="B26671" t="str">
        <f>HYPERLINK("https://lindat.mff.cuni.cz/services/teitok/pdtc10/index.php?action=vallex&amp;frame=v-w3577f1", "podjet (v-w3577f1)")</f>
        <v>podjet (v-w3577f1)</v>
      </c>
    </row>
    <row r="26672" spans="1:3" x14ac:dyDescent="0.2">
      <c r="B26672" t="s">
        <v>1</v>
      </c>
    </row>
    <row r="26674" spans="1:4" x14ac:dyDescent="0.2">
      <c r="A26674" t="s">
        <v>8777</v>
      </c>
      <c r="B26674" t="str">
        <f>HYPERLINK("https://lindat.mff.cuni.cz/services/teitok/pdtc10/index.php?action=vallex&amp;frame=v-w11749_ZUf1_ZU", "podkluzovat (v-w11749_ZUf1_ZU)")</f>
        <v>podkluzovat (v-w11749_ZUf1_ZU)</v>
      </c>
    </row>
    <row r="26675" spans="1:4" x14ac:dyDescent="0.2">
      <c r="B26675" t="s">
        <v>1</v>
      </c>
    </row>
    <row r="26677" spans="1:4" x14ac:dyDescent="0.2">
      <c r="A26677" t="s">
        <v>8778</v>
      </c>
      <c r="B26677" t="str">
        <f>HYPERLINK("https://lindat.mff.cuni.cz/services/teitok/pdtc10/index.php?action=vallex&amp;frame=v-w3579f1", "podkládat (v-w3579f1)")</f>
        <v>podkládat (v-w3579f1)</v>
      </c>
    </row>
    <row r="26678" spans="1:4" x14ac:dyDescent="0.2">
      <c r="B26678" t="s">
        <v>1</v>
      </c>
      <c r="D26678" t="s">
        <v>6039</v>
      </c>
    </row>
    <row r="26679" spans="1:4" x14ac:dyDescent="0.2">
      <c r="B26679" t="s">
        <v>41</v>
      </c>
      <c r="D26679" t="s">
        <v>23799</v>
      </c>
    </row>
    <row r="26680" spans="1:4" x14ac:dyDescent="0.2">
      <c r="B26680" t="s">
        <v>35</v>
      </c>
      <c r="D26680" t="s">
        <v>23800</v>
      </c>
    </row>
    <row r="26682" spans="1:4" x14ac:dyDescent="0.2">
      <c r="A26682" t="s">
        <v>8779</v>
      </c>
      <c r="B26682" t="str">
        <f>HYPERLINK("https://lindat.mff.cuni.cz/services/teitok/pdtc10/index.php?action=vallex&amp;frame=v-w3579f2_ZU", "podkládat (v-w3579f2_ZU)")</f>
        <v>podkládat (v-w3579f2_ZU)</v>
      </c>
    </row>
    <row r="26683" spans="1:4" x14ac:dyDescent="0.2">
      <c r="B26683" t="s">
        <v>1</v>
      </c>
    </row>
    <row r="26684" spans="1:4" x14ac:dyDescent="0.2">
      <c r="B26684" t="s">
        <v>8</v>
      </c>
    </row>
    <row r="26686" spans="1:4" x14ac:dyDescent="0.2">
      <c r="A26686" t="s">
        <v>8780</v>
      </c>
      <c r="B26686" t="str">
        <f>HYPERLINK("https://lindat.mff.cuni.cz/services/teitok/pdtc10/index.php?action=vallex&amp;frame=v-w3580f1", "podkopat (v-w3580f1)")</f>
        <v>podkopat (v-w3580f1)</v>
      </c>
    </row>
    <row r="26687" spans="1:4" x14ac:dyDescent="0.2">
      <c r="B26687" t="s">
        <v>1</v>
      </c>
      <c r="C26687" t="s">
        <v>109</v>
      </c>
      <c r="D26687" t="s">
        <v>23801</v>
      </c>
    </row>
    <row r="26688" spans="1:4" x14ac:dyDescent="0.2">
      <c r="B26688" t="s">
        <v>8</v>
      </c>
      <c r="C26688" t="s">
        <v>1510</v>
      </c>
      <c r="D26688" t="s">
        <v>23102</v>
      </c>
    </row>
    <row r="26690" spans="1:4" x14ac:dyDescent="0.2">
      <c r="A26690" t="s">
        <v>8781</v>
      </c>
      <c r="B26690" t="str">
        <f>HYPERLINK("https://lindat.mff.cuni.cz/services/teitok/pdtc10/index.php?action=vallex&amp;frame=v-w3581f1", "podkopávat (v-w3581f1)")</f>
        <v>podkopávat (v-w3581f1)</v>
      </c>
    </row>
    <row r="26691" spans="1:4" x14ac:dyDescent="0.2">
      <c r="B26691" t="s">
        <v>1</v>
      </c>
      <c r="C26691" t="s">
        <v>370</v>
      </c>
      <c r="D26691" t="s">
        <v>23734</v>
      </c>
    </row>
    <row r="26692" spans="1:4" x14ac:dyDescent="0.2">
      <c r="B26692" t="s">
        <v>8</v>
      </c>
      <c r="C26692" t="s">
        <v>2235</v>
      </c>
      <c r="D26692" t="s">
        <v>10078</v>
      </c>
    </row>
    <row r="26694" spans="1:4" x14ac:dyDescent="0.2">
      <c r="A26694" t="s">
        <v>8782</v>
      </c>
      <c r="B26694" t="str">
        <f>HYPERLINK("https://lindat.mff.cuni.cz/services/teitok/pdtc10/index.php?action=vallex&amp;frame=v-w12070_ZUf1_ZU", "podlamovat se (v-w12070_ZUf1_ZU)")</f>
        <v>podlamovat se (v-w12070_ZUf1_ZU)</v>
      </c>
    </row>
    <row r="26695" spans="1:4" x14ac:dyDescent="0.2">
      <c r="B26695" t="s">
        <v>1</v>
      </c>
    </row>
    <row r="26697" spans="1:4" x14ac:dyDescent="0.2">
      <c r="A26697" t="s">
        <v>8783</v>
      </c>
      <c r="B26697" t="str">
        <f>HYPERLINK("https://lindat.mff.cuni.cz/services/teitok/pdtc10/index.php?action=vallex&amp;frame=v-w3583f1", "podlehnout (v-w3583f1)")</f>
        <v>podlehnout (v-w3583f1)</v>
      </c>
    </row>
    <row r="26698" spans="1:4" x14ac:dyDescent="0.2">
      <c r="B26698" t="s">
        <v>1</v>
      </c>
      <c r="C26698" t="s">
        <v>140</v>
      </c>
      <c r="D26698" t="s">
        <v>140</v>
      </c>
    </row>
    <row r="26699" spans="1:4" x14ac:dyDescent="0.2">
      <c r="B26699" t="s">
        <v>103</v>
      </c>
      <c r="C26699" t="s">
        <v>113</v>
      </c>
      <c r="D26699" t="s">
        <v>113</v>
      </c>
    </row>
    <row r="26701" spans="1:4" x14ac:dyDescent="0.2">
      <c r="A26701" t="s">
        <v>8784</v>
      </c>
      <c r="B26701" t="str">
        <f>HYPERLINK("https://lindat.mff.cuni.cz/services/teitok/pdtc10/index.php?action=vallex&amp;frame=v-w3583f2", "podlehnout (v-w3583f2)")</f>
        <v>podlehnout (v-w3583f2)</v>
      </c>
    </row>
    <row r="26702" spans="1:4" x14ac:dyDescent="0.2">
      <c r="B26702" t="s">
        <v>1</v>
      </c>
      <c r="C26702" t="s">
        <v>8785</v>
      </c>
    </row>
    <row r="26703" spans="1:4" x14ac:dyDescent="0.2">
      <c r="B26703" t="s">
        <v>103</v>
      </c>
      <c r="C26703" t="s">
        <v>8786</v>
      </c>
    </row>
    <row r="26705" spans="1:4" x14ac:dyDescent="0.2">
      <c r="A26705" t="s">
        <v>8787</v>
      </c>
      <c r="B26705" t="str">
        <f>HYPERLINK("https://lindat.mff.cuni.cz/services/teitok/pdtc10/index.php?action=vallex&amp;frame=v-w3584f1", "podlomit (v-w3584f1)")</f>
        <v>podlomit (v-w3584f1)</v>
      </c>
    </row>
    <row r="26706" spans="1:4" x14ac:dyDescent="0.2">
      <c r="B26706" t="s">
        <v>1</v>
      </c>
      <c r="D26706" t="s">
        <v>23801</v>
      </c>
    </row>
    <row r="26707" spans="1:4" x14ac:dyDescent="0.2">
      <c r="B26707" t="s">
        <v>8</v>
      </c>
      <c r="D26707" t="s">
        <v>23102</v>
      </c>
    </row>
    <row r="26709" spans="1:4" x14ac:dyDescent="0.2">
      <c r="A26709" t="s">
        <v>8788</v>
      </c>
      <c r="B26709" t="str">
        <f>HYPERLINK("https://lindat.mff.cuni.cz/services/teitok/pdtc10/index.php?action=vallex&amp;frame=v-w3586f2", "podložit (v-w3586f2)")</f>
        <v>podložit (v-w3586f2)</v>
      </c>
    </row>
    <row r="26710" spans="1:4" x14ac:dyDescent="0.2">
      <c r="B26710" t="s">
        <v>1</v>
      </c>
      <c r="C26710" t="s">
        <v>22</v>
      </c>
      <c r="D26710" t="s">
        <v>6039</v>
      </c>
    </row>
    <row r="26711" spans="1:4" x14ac:dyDescent="0.2">
      <c r="B26711" t="s">
        <v>41</v>
      </c>
      <c r="C26711" t="s">
        <v>1510</v>
      </c>
      <c r="D26711" t="s">
        <v>23799</v>
      </c>
    </row>
    <row r="26712" spans="1:4" x14ac:dyDescent="0.2">
      <c r="B26712" t="s">
        <v>35</v>
      </c>
      <c r="D26712" t="s">
        <v>23800</v>
      </c>
    </row>
    <row r="26714" spans="1:4" x14ac:dyDescent="0.2">
      <c r="A26714" t="s">
        <v>8789</v>
      </c>
      <c r="B26714" t="str">
        <f>HYPERLINK("https://lindat.mff.cuni.cz/services/teitok/pdtc10/index.php?action=vallex&amp;frame=v-w3586f1", "podložit (v-w3586f1)")</f>
        <v>podložit (v-w3586f1)</v>
      </c>
    </row>
    <row r="26715" spans="1:4" x14ac:dyDescent="0.2">
      <c r="B26715" t="s">
        <v>1</v>
      </c>
      <c r="C26715" t="s">
        <v>249</v>
      </c>
    </row>
    <row r="26716" spans="1:4" x14ac:dyDescent="0.2">
      <c r="B26716" t="s">
        <v>8</v>
      </c>
      <c r="C26716" t="s">
        <v>84</v>
      </c>
    </row>
    <row r="26718" spans="1:4" x14ac:dyDescent="0.2">
      <c r="A26718" t="s">
        <v>8790</v>
      </c>
      <c r="B26718" t="str">
        <f>HYPERLINK("https://lindat.mff.cuni.cz/services/teitok/pdtc10/index.php?action=vallex&amp;frame=v-w3582f1", "podléhat (v-w3582f1)")</f>
        <v>podléhat (v-w3582f1)</v>
      </c>
    </row>
    <row r="26719" spans="1:4" x14ac:dyDescent="0.2">
      <c r="B26719" t="s">
        <v>1</v>
      </c>
      <c r="C26719" t="s">
        <v>8791</v>
      </c>
    </row>
    <row r="26720" spans="1:4" x14ac:dyDescent="0.2">
      <c r="B26720" t="s">
        <v>103</v>
      </c>
      <c r="C26720" t="s">
        <v>8792</v>
      </c>
    </row>
    <row r="26722" spans="1:4" x14ac:dyDescent="0.2">
      <c r="A26722" t="s">
        <v>8793</v>
      </c>
      <c r="B26722" t="str">
        <f>HYPERLINK("https://lindat.mff.cuni.cz/services/teitok/pdtc10/index.php?action=vallex&amp;frame=v-w3582f2_ZU", "podléhat (v-w3582f2_ZU)")</f>
        <v>podléhat (v-w3582f2_ZU)</v>
      </c>
    </row>
    <row r="26723" spans="1:4" x14ac:dyDescent="0.2">
      <c r="B26723" t="s">
        <v>1</v>
      </c>
    </row>
    <row r="26724" spans="1:4" x14ac:dyDescent="0.2">
      <c r="B26724" t="s">
        <v>103</v>
      </c>
    </row>
    <row r="26726" spans="1:4" x14ac:dyDescent="0.2">
      <c r="A26726" t="s">
        <v>8794</v>
      </c>
      <c r="B26726" t="str">
        <f>HYPERLINK("https://lindat.mff.cuni.cz/services/teitok/pdtc10/index.php?action=vallex&amp;frame=v-w10367f2", "podlézat (v-w10367f2)")</f>
        <v>podlézat (v-w10367f2)</v>
      </c>
    </row>
    <row r="26727" spans="1:4" x14ac:dyDescent="0.2">
      <c r="B26727" t="s">
        <v>1</v>
      </c>
      <c r="C26727" t="s">
        <v>140</v>
      </c>
      <c r="D26727" t="s">
        <v>2347</v>
      </c>
    </row>
    <row r="26728" spans="1:4" x14ac:dyDescent="0.2">
      <c r="B26728" t="s">
        <v>103</v>
      </c>
      <c r="C26728" t="s">
        <v>8795</v>
      </c>
      <c r="D26728" t="s">
        <v>23802</v>
      </c>
    </row>
    <row r="26730" spans="1:4" x14ac:dyDescent="0.2">
      <c r="A26730" t="s">
        <v>8796</v>
      </c>
      <c r="B26730" t="str">
        <f>HYPERLINK("https://lindat.mff.cuni.cz/services/teitok/pdtc10/index.php?action=vallex&amp;frame=v-whsb_1054hsa_1055", "podlézt (v-whsb_1054hsa_1055)")</f>
        <v>podlézt (v-whsb_1054hsa_1055)</v>
      </c>
    </row>
    <row r="26731" spans="1:4" x14ac:dyDescent="0.2">
      <c r="B26731" t="s">
        <v>1</v>
      </c>
    </row>
    <row r="26732" spans="1:4" x14ac:dyDescent="0.2">
      <c r="B26732" t="s">
        <v>8</v>
      </c>
    </row>
    <row r="26734" spans="1:4" x14ac:dyDescent="0.2">
      <c r="A26734" t="s">
        <v>8797</v>
      </c>
      <c r="B26734" t="str">
        <f>HYPERLINK("https://lindat.mff.cuni.cz/services/teitok/pdtc10/index.php?action=vallex&amp;frame=v-w3587f1", "podmalovávat (v-w3587f1)")</f>
        <v>podmalovávat (v-w3587f1)</v>
      </c>
    </row>
    <row r="26735" spans="1:4" x14ac:dyDescent="0.2">
      <c r="B26735" t="s">
        <v>1</v>
      </c>
    </row>
    <row r="26736" spans="1:4" x14ac:dyDescent="0.2">
      <c r="B26736" t="s">
        <v>8</v>
      </c>
    </row>
    <row r="26738" spans="1:4" x14ac:dyDescent="0.2">
      <c r="A26738" t="s">
        <v>8798</v>
      </c>
      <c r="B26738" t="str">
        <f>HYPERLINK("https://lindat.mff.cuni.cz/services/teitok/pdtc10/index.php?action=vallex&amp;frame=v-w3588f1", "podmanit si (v-w3588f1)")</f>
        <v>podmanit si (v-w3588f1)</v>
      </c>
    </row>
    <row r="26739" spans="1:4" x14ac:dyDescent="0.2">
      <c r="B26739" t="s">
        <v>1</v>
      </c>
    </row>
    <row r="26740" spans="1:4" x14ac:dyDescent="0.2">
      <c r="B26740" t="s">
        <v>8</v>
      </c>
    </row>
    <row r="26742" spans="1:4" x14ac:dyDescent="0.2">
      <c r="A26742" t="s">
        <v>8799</v>
      </c>
      <c r="B26742" t="str">
        <f>HYPERLINK("https://lindat.mff.cuni.cz/services/teitok/pdtc10/index.php?action=vallex&amp;frame=v-w11411f1", "podmaňovat si (v-w11411f1)")</f>
        <v>podmaňovat si (v-w11411f1)</v>
      </c>
    </row>
    <row r="26743" spans="1:4" x14ac:dyDescent="0.2">
      <c r="B26743" t="s">
        <v>1</v>
      </c>
      <c r="C26743" t="s">
        <v>33</v>
      </c>
    </row>
    <row r="26744" spans="1:4" x14ac:dyDescent="0.2">
      <c r="B26744" t="s">
        <v>8</v>
      </c>
      <c r="C26744" t="s">
        <v>991</v>
      </c>
    </row>
    <row r="26746" spans="1:4" x14ac:dyDescent="0.2">
      <c r="A26746" t="s">
        <v>8800</v>
      </c>
      <c r="B26746" t="str">
        <f>HYPERLINK("https://lindat.mff.cuni.cz/services/teitok/pdtc10/index.php?action=vallex&amp;frame=v-w3592f1", "podminovat (v-w3592f1)")</f>
        <v>podminovat (v-w3592f1)</v>
      </c>
    </row>
    <row r="26747" spans="1:4" x14ac:dyDescent="0.2">
      <c r="B26747" t="s">
        <v>1</v>
      </c>
    </row>
    <row r="26748" spans="1:4" x14ac:dyDescent="0.2">
      <c r="B26748" t="s">
        <v>8</v>
      </c>
    </row>
    <row r="26750" spans="1:4" x14ac:dyDescent="0.2">
      <c r="A26750" t="s">
        <v>8801</v>
      </c>
      <c r="B26750" t="str">
        <f>HYPERLINK("https://lindat.mff.cuni.cz/services/teitok/pdtc10/index.php?action=vallex&amp;frame=v-w3593f1", "podmiňovat (v-w3593f1)")</f>
        <v>podmiňovat (v-w3593f1)</v>
      </c>
    </row>
    <row r="26751" spans="1:4" x14ac:dyDescent="0.2">
      <c r="B26751" t="s">
        <v>1</v>
      </c>
    </row>
    <row r="26752" spans="1:4" x14ac:dyDescent="0.2">
      <c r="B26752" t="s">
        <v>8</v>
      </c>
      <c r="D26752" t="s">
        <v>34</v>
      </c>
    </row>
    <row r="26753" spans="1:4" x14ac:dyDescent="0.2">
      <c r="B26753" t="s">
        <v>1193</v>
      </c>
      <c r="D26753" t="s">
        <v>1290</v>
      </c>
    </row>
    <row r="26755" spans="1:4" x14ac:dyDescent="0.2">
      <c r="A26755" t="s">
        <v>8802</v>
      </c>
      <c r="B26755" t="str">
        <f>HYPERLINK("https://lindat.mff.cuni.cz/services/teitok/pdtc10/index.php?action=vallex&amp;frame=v-w3593f2", "podmiňovat (v-w3593f2)")</f>
        <v>podmiňovat (v-w3593f2)</v>
      </c>
    </row>
    <row r="26756" spans="1:4" x14ac:dyDescent="0.2">
      <c r="B26756" t="s">
        <v>488</v>
      </c>
    </row>
    <row r="26757" spans="1:4" x14ac:dyDescent="0.2">
      <c r="B26757" t="s">
        <v>41</v>
      </c>
    </row>
    <row r="26759" spans="1:4" x14ac:dyDescent="0.2">
      <c r="A26759" t="s">
        <v>8803</v>
      </c>
      <c r="B26759" t="str">
        <f>HYPERLINK("https://lindat.mff.cuni.cz/services/teitok/pdtc10/index.php?action=vallex&amp;frame=v-w3590f1", "podmínit (v-w3590f1)")</f>
        <v>podmínit (v-w3590f1)</v>
      </c>
    </row>
    <row r="26760" spans="1:4" x14ac:dyDescent="0.2">
      <c r="B26760" t="s">
        <v>1</v>
      </c>
    </row>
    <row r="26761" spans="1:4" x14ac:dyDescent="0.2">
      <c r="B26761" t="s">
        <v>8</v>
      </c>
      <c r="C26761" t="s">
        <v>34</v>
      </c>
      <c r="D26761" t="s">
        <v>34</v>
      </c>
    </row>
    <row r="26762" spans="1:4" x14ac:dyDescent="0.2">
      <c r="B26762" t="s">
        <v>1193</v>
      </c>
      <c r="C26762" t="s">
        <v>1290</v>
      </c>
      <c r="D26762" t="s">
        <v>1290</v>
      </c>
    </row>
    <row r="26764" spans="1:4" x14ac:dyDescent="0.2">
      <c r="A26764" t="s">
        <v>8804</v>
      </c>
      <c r="B26764" t="str">
        <f>HYPERLINK("https://lindat.mff.cuni.cz/services/teitok/pdtc10/index.php?action=vallex&amp;frame=v-w3590f2", "podmínit (v-w3590f2)")</f>
        <v>podmínit (v-w3590f2)</v>
      </c>
    </row>
    <row r="26765" spans="1:4" x14ac:dyDescent="0.2">
      <c r="B26765" t="s">
        <v>488</v>
      </c>
    </row>
    <row r="26766" spans="1:4" x14ac:dyDescent="0.2">
      <c r="B26766" t="s">
        <v>41</v>
      </c>
    </row>
    <row r="26768" spans="1:4" x14ac:dyDescent="0.2">
      <c r="A26768" t="s">
        <v>8805</v>
      </c>
      <c r="B26768" t="str">
        <f>HYPERLINK("https://lindat.mff.cuni.cz/services/teitok/pdtc10/index.php?action=vallex&amp;frame=v-w3601f2", "podnikat (v-w3601f2)")</f>
        <v>podnikat (v-w3601f2)</v>
      </c>
    </row>
    <row r="26769" spans="1:4" x14ac:dyDescent="0.2">
      <c r="B26769" t="s">
        <v>1</v>
      </c>
      <c r="C26769" t="s">
        <v>8806</v>
      </c>
    </row>
    <row r="26770" spans="1:4" x14ac:dyDescent="0.2">
      <c r="B26770" t="s">
        <v>8</v>
      </c>
      <c r="C26770" t="s">
        <v>1892</v>
      </c>
    </row>
    <row r="26772" spans="1:4" x14ac:dyDescent="0.2">
      <c r="A26772" t="s">
        <v>8807</v>
      </c>
      <c r="B26772" t="str">
        <f>HYPERLINK("https://lindat.mff.cuni.cz/services/teitok/pdtc10/index.php?action=vallex&amp;frame=v-w3601f1", "podnikat (v-w3601f1)")</f>
        <v>podnikat (v-w3601f1)</v>
      </c>
    </row>
    <row r="26773" spans="1:4" x14ac:dyDescent="0.2">
      <c r="B26773" t="s">
        <v>1</v>
      </c>
      <c r="C26773" t="s">
        <v>2946</v>
      </c>
      <c r="D26773" t="s">
        <v>23803</v>
      </c>
    </row>
    <row r="26775" spans="1:4" x14ac:dyDescent="0.2">
      <c r="A26775" t="s">
        <v>8808</v>
      </c>
      <c r="B26775" t="str">
        <f>HYPERLINK("https://lindat.mff.cuni.cz/services/teitok/pdtc10/index.php?action=vallex&amp;frame=v-w3601f3", "podnikat (v-w3601f3)")</f>
        <v>podnikat (v-w3601f3)</v>
      </c>
    </row>
    <row r="26776" spans="1:4" x14ac:dyDescent="0.2">
      <c r="B26776" t="s">
        <v>1</v>
      </c>
      <c r="C26776" t="s">
        <v>8809</v>
      </c>
      <c r="D26776" t="s">
        <v>1792</v>
      </c>
    </row>
    <row r="26777" spans="1:4" x14ac:dyDescent="0.2">
      <c r="B26777" t="s">
        <v>8810</v>
      </c>
      <c r="C26777" t="s">
        <v>8811</v>
      </c>
      <c r="D26777" t="s">
        <v>23804</v>
      </c>
    </row>
    <row r="26779" spans="1:4" x14ac:dyDescent="0.2">
      <c r="A26779" t="s">
        <v>8812</v>
      </c>
      <c r="B26779" t="str">
        <f>HYPERLINK("https://lindat.mff.cuni.cz/services/teitok/pdtc10/index.php?action=vallex&amp;frame=v-w3601f4_ZU", "podnikat (v-w3601f4_ZU)")</f>
        <v>podnikat (v-w3601f4_ZU)</v>
      </c>
    </row>
    <row r="26780" spans="1:4" x14ac:dyDescent="0.2">
      <c r="B26780" t="s">
        <v>1</v>
      </c>
    </row>
    <row r="26781" spans="1:4" x14ac:dyDescent="0.2">
      <c r="B26781" t="s">
        <v>8813</v>
      </c>
    </row>
    <row r="26783" spans="1:4" x14ac:dyDescent="0.2">
      <c r="A26783" t="s">
        <v>8812</v>
      </c>
      <c r="B26783" t="str">
        <f>HYPERLINK("https://lindat.mff.cuni.cz/services/teitok/pdtc10/index.php?action=vallex&amp;frame=v-w3601hsa_1618", "podnikat (v-w3601hsa_1618) - substituted with v-w3601f4_ZU")</f>
        <v>podnikat (v-w3601hsa_1618) - substituted with v-w3601f4_ZU</v>
      </c>
    </row>
    <row r="26784" spans="1:4" x14ac:dyDescent="0.2">
      <c r="B26784" t="s">
        <v>1</v>
      </c>
    </row>
    <row r="26785" spans="1:4" x14ac:dyDescent="0.2">
      <c r="B26785" t="s">
        <v>8813</v>
      </c>
    </row>
    <row r="26787" spans="1:4" x14ac:dyDescent="0.2">
      <c r="A26787" t="s">
        <v>8814</v>
      </c>
      <c r="B26787" t="str">
        <f>HYPERLINK("https://lindat.mff.cuni.cz/services/teitok/pdtc10/index.php?action=vallex&amp;frame=v-w3603f3", "podniknout (v-w3603f3)")</f>
        <v>podniknout (v-w3603f3)</v>
      </c>
    </row>
    <row r="26788" spans="1:4" x14ac:dyDescent="0.2">
      <c r="B26788" t="s">
        <v>1</v>
      </c>
      <c r="C26788" t="s">
        <v>8815</v>
      </c>
      <c r="D26788" t="s">
        <v>23805</v>
      </c>
    </row>
    <row r="26789" spans="1:4" x14ac:dyDescent="0.2">
      <c r="B26789" t="s">
        <v>8</v>
      </c>
      <c r="C26789" t="s">
        <v>8816</v>
      </c>
      <c r="D26789" t="s">
        <v>23806</v>
      </c>
    </row>
    <row r="26791" spans="1:4" x14ac:dyDescent="0.2">
      <c r="A26791" t="s">
        <v>8817</v>
      </c>
      <c r="B26791" t="str">
        <f>HYPERLINK("https://lindat.mff.cuni.cz/services/teitok/pdtc10/index.php?action=vallex&amp;frame=v-w3603hsa_1363", "podniknout (v-w3603hsa_1363)")</f>
        <v>podniknout (v-w3603hsa_1363)</v>
      </c>
    </row>
    <row r="26792" spans="1:4" x14ac:dyDescent="0.2">
      <c r="B26792" t="s">
        <v>1</v>
      </c>
    </row>
    <row r="26793" spans="1:4" x14ac:dyDescent="0.2">
      <c r="B26793" t="s">
        <v>8818</v>
      </c>
    </row>
    <row r="26795" spans="1:4" x14ac:dyDescent="0.2">
      <c r="A26795" t="s">
        <v>8817</v>
      </c>
      <c r="B26795" t="str">
        <f>HYPERLINK("https://lindat.mff.cuni.cz/services/teitok/pdtc10/index.php?action=vallex&amp;frame=v-w3603f2", "podniknout (v-w3603f2) - substituted with v-w3603hsa_1363")</f>
        <v>podniknout (v-w3603f2) - substituted with v-w3603hsa_1363</v>
      </c>
    </row>
    <row r="26796" spans="1:4" x14ac:dyDescent="0.2">
      <c r="B26796" t="s">
        <v>1</v>
      </c>
    </row>
    <row r="26797" spans="1:4" x14ac:dyDescent="0.2">
      <c r="B26797" t="s">
        <v>8818</v>
      </c>
    </row>
    <row r="26799" spans="1:4" x14ac:dyDescent="0.2">
      <c r="A26799" t="s">
        <v>8817</v>
      </c>
      <c r="B26799" t="str">
        <f>HYPERLINK("https://lindat.mff.cuni.cz/services/teitok/pdtc10/index.php?action=vallex&amp;frame=v-w3603hsa_350", "podniknout (v-w3603hsa_350) - substituted with v-w3603hsa_1363")</f>
        <v>podniknout (v-w3603hsa_350) - substituted with v-w3603hsa_1363</v>
      </c>
    </row>
    <row r="26800" spans="1:4" x14ac:dyDescent="0.2">
      <c r="B26800" t="s">
        <v>1</v>
      </c>
      <c r="C26800" t="s">
        <v>8819</v>
      </c>
      <c r="D26800" t="s">
        <v>1792</v>
      </c>
    </row>
    <row r="26801" spans="1:4" x14ac:dyDescent="0.2">
      <c r="B26801" t="s">
        <v>8818</v>
      </c>
      <c r="C26801" t="s">
        <v>8820</v>
      </c>
      <c r="D26801" t="s">
        <v>23804</v>
      </c>
    </row>
    <row r="26803" spans="1:4" x14ac:dyDescent="0.2">
      <c r="A26803" t="s">
        <v>8821</v>
      </c>
      <c r="B26803" t="str">
        <f>HYPERLINK("https://lindat.mff.cuni.cz/services/teitok/pdtc10/index.php?action=vallex&amp;frame=v-w3603hsa_351", "podniknout (v-w3603hsa_351)")</f>
        <v>podniknout (v-w3603hsa_351)</v>
      </c>
    </row>
    <row r="26804" spans="1:4" x14ac:dyDescent="0.2">
      <c r="B26804" t="s">
        <v>1</v>
      </c>
      <c r="C26804" t="s">
        <v>109</v>
      </c>
      <c r="D26804" t="s">
        <v>1792</v>
      </c>
    </row>
    <row r="26805" spans="1:4" x14ac:dyDescent="0.2">
      <c r="B26805" t="s">
        <v>8822</v>
      </c>
      <c r="C26805" t="s">
        <v>8823</v>
      </c>
      <c r="D26805" t="s">
        <v>23804</v>
      </c>
    </row>
    <row r="26807" spans="1:4" x14ac:dyDescent="0.2">
      <c r="A26807" t="s">
        <v>8821</v>
      </c>
      <c r="B26807" t="str">
        <f>HYPERLINK("https://lindat.mff.cuni.cz/services/teitok/pdtc10/index.php?action=vallex&amp;frame=v-w3603f1", "podniknout (v-w3603f1) - substituted with v-w3603hsa_351")</f>
        <v>podniknout (v-w3603f1) - substituted with v-w3603hsa_351</v>
      </c>
    </row>
    <row r="26808" spans="1:4" x14ac:dyDescent="0.2">
      <c r="B26808" t="s">
        <v>1</v>
      </c>
      <c r="C26808" t="s">
        <v>8824</v>
      </c>
    </row>
    <row r="26809" spans="1:4" x14ac:dyDescent="0.2">
      <c r="B26809" t="s">
        <v>8822</v>
      </c>
      <c r="C26809" t="s">
        <v>8825</v>
      </c>
    </row>
    <row r="26811" spans="1:4" x14ac:dyDescent="0.2">
      <c r="A26811" t="s">
        <v>8821</v>
      </c>
      <c r="B26811" t="str">
        <f>HYPERLINK("https://lindat.mff.cuni.cz/services/teitok/pdtc10/index.php?action=vallex&amp;frame=v-w3603f4_ZU", "podniknout (v-w3603f4_ZU) - substituted with v-w3603hsa_351")</f>
        <v>podniknout (v-w3603f4_ZU) - substituted with v-w3603hsa_351</v>
      </c>
    </row>
    <row r="26812" spans="1:4" x14ac:dyDescent="0.2">
      <c r="B26812" t="s">
        <v>1</v>
      </c>
      <c r="C26812" t="s">
        <v>8826</v>
      </c>
    </row>
    <row r="26813" spans="1:4" x14ac:dyDescent="0.2">
      <c r="B26813" t="s">
        <v>8822</v>
      </c>
      <c r="C26813" t="s">
        <v>8827</v>
      </c>
    </row>
    <row r="26815" spans="1:4" x14ac:dyDescent="0.2">
      <c r="A26815" t="s">
        <v>8828</v>
      </c>
      <c r="B26815" t="str">
        <f>HYPERLINK("https://lindat.mff.cuni.cz/services/teitok/pdtc10/index.php?action=vallex&amp;frame=v-w3604f2", "podnítit (v-w3604f2)")</f>
        <v>podnítit (v-w3604f2)</v>
      </c>
    </row>
    <row r="26816" spans="1:4" x14ac:dyDescent="0.2">
      <c r="B26816" t="s">
        <v>1</v>
      </c>
      <c r="C26816" t="s">
        <v>8829</v>
      </c>
      <c r="D26816" t="s">
        <v>23152</v>
      </c>
    </row>
    <row r="26817" spans="1:4" x14ac:dyDescent="0.2">
      <c r="B26817" t="s">
        <v>8830</v>
      </c>
      <c r="C26817" t="s">
        <v>8831</v>
      </c>
      <c r="D26817" t="s">
        <v>23153</v>
      </c>
    </row>
    <row r="26818" spans="1:4" x14ac:dyDescent="0.2">
      <c r="B26818" t="s">
        <v>58</v>
      </c>
      <c r="C26818" t="s">
        <v>8832</v>
      </c>
      <c r="D26818" t="s">
        <v>23154</v>
      </c>
    </row>
    <row r="26820" spans="1:4" x14ac:dyDescent="0.2">
      <c r="A26820" t="s">
        <v>8833</v>
      </c>
      <c r="B26820" t="str">
        <f>HYPERLINK("https://lindat.mff.cuni.cz/services/teitok/pdtc10/index.php?action=vallex&amp;frame=v-w3604f3", "podnítit (v-w3604f3)")</f>
        <v>podnítit (v-w3604f3)</v>
      </c>
    </row>
    <row r="26821" spans="1:4" x14ac:dyDescent="0.2">
      <c r="B26821" t="s">
        <v>1</v>
      </c>
      <c r="C26821" t="s">
        <v>8834</v>
      </c>
      <c r="D26821" t="s">
        <v>22950</v>
      </c>
    </row>
    <row r="26822" spans="1:4" x14ac:dyDescent="0.2">
      <c r="B26822" t="s">
        <v>8</v>
      </c>
      <c r="C26822" t="s">
        <v>8835</v>
      </c>
      <c r="D26822" t="s">
        <v>22951</v>
      </c>
    </row>
    <row r="26824" spans="1:4" x14ac:dyDescent="0.2">
      <c r="A26824" t="s">
        <v>8833</v>
      </c>
      <c r="B26824" t="str">
        <f>HYPERLINK("https://lindat.mff.cuni.cz/services/teitok/pdtc10/index.php?action=vallex&amp;frame=v-w3604f1", "podnítit (v-w3604f1) - substituted with v-w3604f3")</f>
        <v>podnítit (v-w3604f1) - substituted with v-w3604f3</v>
      </c>
    </row>
    <row r="26825" spans="1:4" x14ac:dyDescent="0.2">
      <c r="B26825" t="s">
        <v>1</v>
      </c>
    </row>
    <row r="26826" spans="1:4" x14ac:dyDescent="0.2">
      <c r="B26826" t="s">
        <v>8</v>
      </c>
    </row>
    <row r="26828" spans="1:4" x14ac:dyDescent="0.2">
      <c r="A26828" t="s">
        <v>8836</v>
      </c>
      <c r="B26828" t="str">
        <f>HYPERLINK("https://lindat.mff.cuni.cz/services/teitok/pdtc10/index.php?action=vallex&amp;frame=v-w3604hsa_452", "podnítit (v-w3604hsa_452)")</f>
        <v>podnítit (v-w3604hsa_452)</v>
      </c>
    </row>
    <row r="26829" spans="1:4" x14ac:dyDescent="0.2">
      <c r="B26829" t="s">
        <v>1</v>
      </c>
      <c r="C26829" t="s">
        <v>5659</v>
      </c>
    </row>
    <row r="26830" spans="1:4" x14ac:dyDescent="0.2">
      <c r="B26830" t="s">
        <v>8</v>
      </c>
      <c r="C26830" t="s">
        <v>6357</v>
      </c>
    </row>
    <row r="26831" spans="1:4" x14ac:dyDescent="0.2">
      <c r="B26831" t="s">
        <v>61</v>
      </c>
      <c r="C26831" t="s">
        <v>8837</v>
      </c>
    </row>
    <row r="26833" spans="1:4" x14ac:dyDescent="0.2">
      <c r="A26833" t="s">
        <v>8838</v>
      </c>
      <c r="B26833" t="str">
        <f>HYPERLINK("https://lindat.mff.cuni.cz/services/teitok/pdtc10/index.php?action=vallex&amp;frame=v-w3596f1", "podněcovat (v-w3596f1)")</f>
        <v>podněcovat (v-w3596f1)</v>
      </c>
    </row>
    <row r="26834" spans="1:4" x14ac:dyDescent="0.2">
      <c r="B26834" t="s">
        <v>1</v>
      </c>
      <c r="C26834" t="s">
        <v>8839</v>
      </c>
      <c r="D26834" t="s">
        <v>23152</v>
      </c>
    </row>
    <row r="26835" spans="1:4" x14ac:dyDescent="0.2">
      <c r="B26835" t="s">
        <v>8840</v>
      </c>
      <c r="C26835" t="s">
        <v>8841</v>
      </c>
      <c r="D26835" t="s">
        <v>23153</v>
      </c>
    </row>
    <row r="26836" spans="1:4" x14ac:dyDescent="0.2">
      <c r="B26836" t="s">
        <v>58</v>
      </c>
      <c r="C26836" t="s">
        <v>8842</v>
      </c>
      <c r="D26836" t="s">
        <v>23154</v>
      </c>
    </row>
    <row r="26838" spans="1:4" x14ac:dyDescent="0.2">
      <c r="A26838" t="s">
        <v>8843</v>
      </c>
      <c r="B26838" t="str">
        <f>HYPERLINK("https://lindat.mff.cuni.cz/services/teitok/pdtc10/index.php?action=vallex&amp;frame=v-w3596f2", "podněcovat (v-w3596f2)")</f>
        <v>podněcovat (v-w3596f2)</v>
      </c>
    </row>
    <row r="26839" spans="1:4" x14ac:dyDescent="0.2">
      <c r="B26839" t="s">
        <v>1</v>
      </c>
      <c r="C26839" t="s">
        <v>8844</v>
      </c>
      <c r="D26839" t="s">
        <v>22950</v>
      </c>
    </row>
    <row r="26840" spans="1:4" x14ac:dyDescent="0.2">
      <c r="B26840" t="s">
        <v>8</v>
      </c>
      <c r="C26840" t="s">
        <v>8845</v>
      </c>
      <c r="D26840" t="s">
        <v>22951</v>
      </c>
    </row>
    <row r="26842" spans="1:4" x14ac:dyDescent="0.2">
      <c r="A26842" t="s">
        <v>8846</v>
      </c>
      <c r="B26842" t="str">
        <f>HYPERLINK("https://lindat.mff.cuni.cz/services/teitok/pdtc10/index.php?action=vallex&amp;frame=v-w3605f1", "podobat se (v-w3605f1)")</f>
        <v>podobat se (v-w3605f1)</v>
      </c>
    </row>
    <row r="26843" spans="1:4" x14ac:dyDescent="0.2">
      <c r="B26843" t="s">
        <v>196</v>
      </c>
      <c r="C26843" t="s">
        <v>8847</v>
      </c>
      <c r="D26843" t="s">
        <v>13243</v>
      </c>
    </row>
    <row r="26844" spans="1:4" x14ac:dyDescent="0.2">
      <c r="B26844" t="s">
        <v>103</v>
      </c>
      <c r="C26844" t="s">
        <v>8848</v>
      </c>
      <c r="D26844" t="s">
        <v>23359</v>
      </c>
    </row>
    <row r="26846" spans="1:4" x14ac:dyDescent="0.2">
      <c r="A26846" t="s">
        <v>8849</v>
      </c>
      <c r="B26846" t="str">
        <f>HYPERLINK("https://lindat.mff.cuni.cz/services/teitok/pdtc10/index.php?action=vallex&amp;frame=v-whsa_1470hsa_1471", "podojit (v-whsa_1470hsa_1471)")</f>
        <v>podojit (v-whsa_1470hsa_1471)</v>
      </c>
    </row>
    <row r="26847" spans="1:4" x14ac:dyDescent="0.2">
      <c r="B26847" t="s">
        <v>1</v>
      </c>
    </row>
    <row r="26848" spans="1:4" x14ac:dyDescent="0.2">
      <c r="B26848" t="s">
        <v>8</v>
      </c>
    </row>
    <row r="26850" spans="1:4" x14ac:dyDescent="0.2">
      <c r="A26850" t="s">
        <v>8850</v>
      </c>
      <c r="B26850" t="str">
        <f>HYPERLINK("https://lindat.mff.cuni.cz/services/teitok/pdtc10/index.php?action=vallex&amp;frame=v-w3610f1", "podotknout (v-w3610f1)")</f>
        <v>podotknout (v-w3610f1)</v>
      </c>
    </row>
    <row r="26851" spans="1:4" x14ac:dyDescent="0.2">
      <c r="B26851" t="s">
        <v>1</v>
      </c>
      <c r="C26851" t="s">
        <v>8851</v>
      </c>
      <c r="D26851" t="s">
        <v>23807</v>
      </c>
    </row>
    <row r="26852" spans="1:4" x14ac:dyDescent="0.2">
      <c r="B26852" t="s">
        <v>8852</v>
      </c>
      <c r="C26852" t="s">
        <v>8853</v>
      </c>
      <c r="D26852" t="s">
        <v>23808</v>
      </c>
    </row>
    <row r="26853" spans="1:4" x14ac:dyDescent="0.2">
      <c r="B26853" t="s">
        <v>8854</v>
      </c>
      <c r="C26853" t="s">
        <v>8855</v>
      </c>
      <c r="D26853" t="s">
        <v>2917</v>
      </c>
    </row>
    <row r="26855" spans="1:4" x14ac:dyDescent="0.2">
      <c r="A26855" t="s">
        <v>8856</v>
      </c>
      <c r="B26855" t="str">
        <f>HYPERLINK("https://lindat.mff.cuni.cz/services/teitok/pdtc10/index.php?action=vallex&amp;frame=v-w3611f1", "podotýkat (v-w3611f1)")</f>
        <v>podotýkat (v-w3611f1)</v>
      </c>
    </row>
    <row r="26856" spans="1:4" x14ac:dyDescent="0.2">
      <c r="B26856" t="s">
        <v>1</v>
      </c>
      <c r="C26856" t="s">
        <v>8851</v>
      </c>
      <c r="D26856" t="s">
        <v>23807</v>
      </c>
    </row>
    <row r="26857" spans="1:4" x14ac:dyDescent="0.2">
      <c r="B26857" t="s">
        <v>8852</v>
      </c>
      <c r="C26857" t="s">
        <v>8853</v>
      </c>
      <c r="D26857" t="s">
        <v>23808</v>
      </c>
    </row>
    <row r="26858" spans="1:4" x14ac:dyDescent="0.2">
      <c r="B26858" t="s">
        <v>8854</v>
      </c>
      <c r="C26858" t="s">
        <v>8855</v>
      </c>
      <c r="D26858" t="s">
        <v>2917</v>
      </c>
    </row>
    <row r="26860" spans="1:4" x14ac:dyDescent="0.2">
      <c r="A26860" t="s">
        <v>8857</v>
      </c>
      <c r="B26860" t="str">
        <f>HYPERLINK("https://lindat.mff.cuni.cz/services/teitok/pdtc10/index.php?action=vallex&amp;frame=v-w3613f1", "podpisovat (v-w3613f1)")</f>
        <v>podpisovat (v-w3613f1)</v>
      </c>
    </row>
    <row r="26861" spans="1:4" x14ac:dyDescent="0.2">
      <c r="B26861" t="s">
        <v>1</v>
      </c>
      <c r="D26861" t="s">
        <v>22965</v>
      </c>
    </row>
    <row r="26862" spans="1:4" x14ac:dyDescent="0.2">
      <c r="B26862" t="s">
        <v>8</v>
      </c>
      <c r="D26862" t="s">
        <v>22966</v>
      </c>
    </row>
    <row r="26864" spans="1:4" x14ac:dyDescent="0.2">
      <c r="A26864" t="s">
        <v>8858</v>
      </c>
      <c r="B26864" t="str">
        <f>HYPERLINK("https://lindat.mff.cuni.cz/services/teitok/pdtc10/index.php?action=vallex&amp;frame=v-w3613f2", "podpisovat (v-w3613f2)")</f>
        <v>podpisovat (v-w3613f2)</v>
      </c>
    </row>
    <row r="26865" spans="1:4" x14ac:dyDescent="0.2">
      <c r="B26865" t="s">
        <v>1</v>
      </c>
    </row>
    <row r="26866" spans="1:4" x14ac:dyDescent="0.2">
      <c r="B26866" t="s">
        <v>8</v>
      </c>
    </row>
    <row r="26868" spans="1:4" x14ac:dyDescent="0.2">
      <c r="A26868" t="s">
        <v>8859</v>
      </c>
      <c r="B26868" t="str">
        <f>HYPERLINK("https://lindat.mff.cuni.cz/services/teitok/pdtc10/index.php?action=vallex&amp;frame=v-w3614f1", "podpisovat se (v-w3614f1)")</f>
        <v>podpisovat se (v-w3614f1)</v>
      </c>
    </row>
    <row r="26869" spans="1:4" x14ac:dyDescent="0.2">
      <c r="B26869" t="s">
        <v>1</v>
      </c>
    </row>
    <row r="26870" spans="1:4" x14ac:dyDescent="0.2">
      <c r="B26870" t="s">
        <v>161</v>
      </c>
    </row>
    <row r="26872" spans="1:4" x14ac:dyDescent="0.2">
      <c r="A26872" t="s">
        <v>8860</v>
      </c>
      <c r="B26872" t="str">
        <f>HYPERLINK("https://lindat.mff.cuni.cz/services/teitok/pdtc10/index.php?action=vallex&amp;frame=v-w3614f2", "podpisovat se (v-w3614f2)")</f>
        <v>podpisovat se (v-w3614f2)</v>
      </c>
    </row>
    <row r="26873" spans="1:4" x14ac:dyDescent="0.2">
      <c r="B26873" t="s">
        <v>1</v>
      </c>
    </row>
    <row r="26875" spans="1:4" x14ac:dyDescent="0.2">
      <c r="A26875" t="s">
        <v>8861</v>
      </c>
      <c r="B26875" t="str">
        <f>HYPERLINK("https://lindat.mff.cuni.cz/services/teitok/pdtc10/index.php?action=vallex&amp;frame=v-w3617f1", "podplatit (v-w3617f1)")</f>
        <v>podplatit (v-w3617f1)</v>
      </c>
    </row>
    <row r="26876" spans="1:4" x14ac:dyDescent="0.2">
      <c r="B26876" t="s">
        <v>1</v>
      </c>
      <c r="C26876" t="s">
        <v>2239</v>
      </c>
      <c r="D26876" t="s">
        <v>2239</v>
      </c>
    </row>
    <row r="26877" spans="1:4" x14ac:dyDescent="0.2">
      <c r="B26877" t="s">
        <v>8</v>
      </c>
      <c r="C26877" t="s">
        <v>1025</v>
      </c>
      <c r="D26877" t="s">
        <v>1025</v>
      </c>
    </row>
    <row r="26879" spans="1:4" x14ac:dyDescent="0.2">
      <c r="A26879" t="s">
        <v>8862</v>
      </c>
      <c r="B26879" t="str">
        <f>HYPERLINK("https://lindat.mff.cuni.cz/services/teitok/pdtc10/index.php?action=vallex&amp;frame=v-w10804f2", "podplácet (v-w10804f2)")</f>
        <v>podplácet (v-w10804f2)</v>
      </c>
    </row>
    <row r="26880" spans="1:4" x14ac:dyDescent="0.2">
      <c r="B26880" t="s">
        <v>1</v>
      </c>
      <c r="C26880" t="s">
        <v>2239</v>
      </c>
      <c r="D26880" t="s">
        <v>2239</v>
      </c>
    </row>
    <row r="26881" spans="1:4" x14ac:dyDescent="0.2">
      <c r="B26881" t="s">
        <v>8</v>
      </c>
      <c r="C26881" t="s">
        <v>1025</v>
      </c>
      <c r="D26881" t="s">
        <v>1025</v>
      </c>
    </row>
    <row r="26883" spans="1:4" x14ac:dyDescent="0.2">
      <c r="A26883" t="s">
        <v>8863</v>
      </c>
      <c r="B26883" t="str">
        <f>HYPERLINK("https://lindat.mff.cuni.cz/services/teitok/pdtc10/index.php?action=vallex&amp;frame=v-w3620f1", "podporovat (v-w3620f1)")</f>
        <v>podporovat (v-w3620f1)</v>
      </c>
    </row>
    <row r="26884" spans="1:4" x14ac:dyDescent="0.2">
      <c r="B26884" t="s">
        <v>1</v>
      </c>
      <c r="C26884" t="s">
        <v>8864</v>
      </c>
      <c r="D26884" t="s">
        <v>23552</v>
      </c>
    </row>
    <row r="26885" spans="1:4" x14ac:dyDescent="0.2">
      <c r="B26885" t="s">
        <v>8</v>
      </c>
      <c r="C26885" t="s">
        <v>8865</v>
      </c>
      <c r="D26885" t="s">
        <v>23553</v>
      </c>
    </row>
    <row r="26887" spans="1:4" x14ac:dyDescent="0.2">
      <c r="A26887" t="s">
        <v>8866</v>
      </c>
      <c r="B26887" t="str">
        <f>HYPERLINK("https://lindat.mff.cuni.cz/services/teitok/pdtc10/index.php?action=vallex&amp;frame=v-w3620f2", "podporovat (v-w3620f2)")</f>
        <v>podporovat (v-w3620f2)</v>
      </c>
    </row>
    <row r="26888" spans="1:4" x14ac:dyDescent="0.2">
      <c r="B26888" t="s">
        <v>1</v>
      </c>
      <c r="C26888" t="s">
        <v>6697</v>
      </c>
      <c r="D26888" t="s">
        <v>23554</v>
      </c>
    </row>
    <row r="26889" spans="1:4" x14ac:dyDescent="0.2">
      <c r="B26889" t="s">
        <v>58</v>
      </c>
      <c r="C26889" t="s">
        <v>8867</v>
      </c>
      <c r="D26889" t="s">
        <v>23555</v>
      </c>
    </row>
    <row r="26890" spans="1:4" x14ac:dyDescent="0.2">
      <c r="B26890" t="s">
        <v>551</v>
      </c>
      <c r="D26890" t="s">
        <v>23556</v>
      </c>
    </row>
    <row r="26892" spans="1:4" x14ac:dyDescent="0.2">
      <c r="A26892" t="s">
        <v>8868</v>
      </c>
      <c r="B26892" t="str">
        <f>HYPERLINK("https://lindat.mff.cuni.cz/services/teitok/pdtc10/index.php?action=vallex&amp;frame=v-w3620hsa_1374", "podporovat (v-w3620hsa_1374)")</f>
        <v>podporovat (v-w3620hsa_1374)</v>
      </c>
    </row>
    <row r="26893" spans="1:4" x14ac:dyDescent="0.2">
      <c r="B26893" t="s">
        <v>1</v>
      </c>
    </row>
    <row r="26894" spans="1:4" x14ac:dyDescent="0.2">
      <c r="B26894" t="s">
        <v>8</v>
      </c>
    </row>
    <row r="26896" spans="1:4" x14ac:dyDescent="0.2">
      <c r="A26896" t="s">
        <v>8869</v>
      </c>
      <c r="B26896" t="str">
        <f>HYPERLINK("https://lindat.mff.cuni.cz/services/teitok/pdtc10/index.php?action=vallex&amp;frame=v-w3623f1", "podpořit (v-w3623f1)")</f>
        <v>podpořit (v-w3623f1)</v>
      </c>
    </row>
    <row r="26897" spans="1:4" x14ac:dyDescent="0.2">
      <c r="B26897" t="s">
        <v>1</v>
      </c>
      <c r="C26897" t="s">
        <v>8870</v>
      </c>
      <c r="D26897" t="s">
        <v>23552</v>
      </c>
    </row>
    <row r="26898" spans="1:4" x14ac:dyDescent="0.2">
      <c r="B26898" t="s">
        <v>3526</v>
      </c>
      <c r="C26898" t="s">
        <v>8871</v>
      </c>
      <c r="D26898" t="s">
        <v>23553</v>
      </c>
    </row>
    <row r="26900" spans="1:4" x14ac:dyDescent="0.2">
      <c r="A26900" t="s">
        <v>8872</v>
      </c>
      <c r="B26900" t="str">
        <f>HYPERLINK("https://lindat.mff.cuni.cz/services/teitok/pdtc10/index.php?action=vallex&amp;frame=v-w3623hsa_874", "podpořit (v-w3623hsa_874)")</f>
        <v>podpořit (v-w3623hsa_874)</v>
      </c>
    </row>
    <row r="26901" spans="1:4" x14ac:dyDescent="0.2">
      <c r="B26901" t="s">
        <v>1</v>
      </c>
      <c r="C26901" t="s">
        <v>3583</v>
      </c>
      <c r="D26901" t="s">
        <v>23554</v>
      </c>
    </row>
    <row r="26902" spans="1:4" x14ac:dyDescent="0.2">
      <c r="B26902" t="s">
        <v>58</v>
      </c>
      <c r="C26902" t="s">
        <v>8873</v>
      </c>
      <c r="D26902" t="s">
        <v>23555</v>
      </c>
    </row>
    <row r="26903" spans="1:4" x14ac:dyDescent="0.2">
      <c r="B26903" t="s">
        <v>8874</v>
      </c>
      <c r="C26903" t="s">
        <v>8875</v>
      </c>
    </row>
    <row r="26905" spans="1:4" x14ac:dyDescent="0.2">
      <c r="A26905" t="s">
        <v>8872</v>
      </c>
      <c r="B26905" t="str">
        <f>HYPERLINK("https://lindat.mff.cuni.cz/services/teitok/pdtc10/index.php?action=vallex&amp;frame=v-w3623f2", "podpořit (v-w3623f2) - substituted with v-w3623hsa_874")</f>
        <v>podpořit (v-w3623f2) - substituted with v-w3623hsa_874</v>
      </c>
    </row>
    <row r="26906" spans="1:4" x14ac:dyDescent="0.2">
      <c r="B26906" t="s">
        <v>1</v>
      </c>
      <c r="C26906" t="s">
        <v>8876</v>
      </c>
    </row>
    <row r="26907" spans="1:4" x14ac:dyDescent="0.2">
      <c r="B26907" t="s">
        <v>58</v>
      </c>
      <c r="C26907" t="s">
        <v>8877</v>
      </c>
    </row>
    <row r="26908" spans="1:4" x14ac:dyDescent="0.2">
      <c r="B26908" t="s">
        <v>8874</v>
      </c>
      <c r="C26908" t="s">
        <v>8878</v>
      </c>
    </row>
    <row r="26910" spans="1:4" x14ac:dyDescent="0.2">
      <c r="A26910" t="s">
        <v>8879</v>
      </c>
      <c r="B26910" t="str">
        <f>HYPERLINK("https://lindat.mff.cuni.cz/services/teitok/pdtc10/index.php?action=vallex&amp;frame=v-w11157f2", "podpírat (v-w11157f2)")</f>
        <v>podpírat (v-w11157f2)</v>
      </c>
    </row>
    <row r="26911" spans="1:4" x14ac:dyDescent="0.2">
      <c r="B26911" t="s">
        <v>1</v>
      </c>
      <c r="C26911" t="s">
        <v>2145</v>
      </c>
    </row>
    <row r="26912" spans="1:4" x14ac:dyDescent="0.2">
      <c r="B26912" t="s">
        <v>8</v>
      </c>
      <c r="C26912" t="s">
        <v>8880</v>
      </c>
    </row>
    <row r="26914" spans="1:4" x14ac:dyDescent="0.2">
      <c r="A26914" t="s">
        <v>8881</v>
      </c>
      <c r="B26914" t="str">
        <f>HYPERLINK("https://lindat.mff.cuni.cz/services/teitok/pdtc10/index.php?action=vallex&amp;frame=v-w3625f1", "podrazit (v-w3625f1)")</f>
        <v>podrazit (v-w3625f1)</v>
      </c>
    </row>
    <row r="26915" spans="1:4" x14ac:dyDescent="0.2">
      <c r="B26915" t="s">
        <v>1</v>
      </c>
    </row>
    <row r="26916" spans="1:4" x14ac:dyDescent="0.2">
      <c r="B26916" t="s">
        <v>8</v>
      </c>
    </row>
    <row r="26918" spans="1:4" x14ac:dyDescent="0.2">
      <c r="A26918" t="s">
        <v>8882</v>
      </c>
      <c r="B26918" t="str">
        <f>HYPERLINK("https://lindat.mff.cuni.cz/services/teitok/pdtc10/index.php?action=vallex&amp;frame=v-w3625f2", "podrazit (v-w3625f2)")</f>
        <v>podrazit (v-w3625f2)</v>
      </c>
    </row>
    <row r="26919" spans="1:4" x14ac:dyDescent="0.2">
      <c r="B26919" t="s">
        <v>1</v>
      </c>
    </row>
    <row r="26920" spans="1:4" x14ac:dyDescent="0.2">
      <c r="B26920" t="s">
        <v>8</v>
      </c>
    </row>
    <row r="26922" spans="1:4" x14ac:dyDescent="0.2">
      <c r="A26922" t="s">
        <v>8883</v>
      </c>
      <c r="B26922" t="str">
        <f>HYPERLINK("https://lindat.mff.cuni.cz/services/teitok/pdtc10/index.php?action=vallex&amp;frame=v-w3628f1", "podražit (v-w3628f1)")</f>
        <v>podražit (v-w3628f1)</v>
      </c>
    </row>
    <row r="26923" spans="1:4" x14ac:dyDescent="0.2">
      <c r="B26923" t="s">
        <v>1</v>
      </c>
    </row>
    <row r="26925" spans="1:4" x14ac:dyDescent="0.2">
      <c r="A26925" t="s">
        <v>8884</v>
      </c>
      <c r="B26925" t="str">
        <f>HYPERLINK("https://lindat.mff.cuni.cz/services/teitok/pdtc10/index.php?action=vallex&amp;frame=v-w3629f1", "podrobit (v-w3629f1)")</f>
        <v>podrobit (v-w3629f1)</v>
      </c>
    </row>
    <row r="26926" spans="1:4" x14ac:dyDescent="0.2">
      <c r="B26926" t="s">
        <v>1</v>
      </c>
      <c r="C26926" t="s">
        <v>133</v>
      </c>
      <c r="D26926" t="s">
        <v>80</v>
      </c>
    </row>
    <row r="26927" spans="1:4" x14ac:dyDescent="0.2">
      <c r="B26927" t="s">
        <v>103</v>
      </c>
      <c r="C26927" t="s">
        <v>4060</v>
      </c>
      <c r="D26927" t="s">
        <v>23809</v>
      </c>
    </row>
    <row r="26928" spans="1:4" x14ac:dyDescent="0.2">
      <c r="B26928" t="s">
        <v>58</v>
      </c>
      <c r="C26928" t="s">
        <v>2901</v>
      </c>
      <c r="D26928" t="s">
        <v>23810</v>
      </c>
    </row>
    <row r="26930" spans="1:4" x14ac:dyDescent="0.2">
      <c r="A26930" t="s">
        <v>8885</v>
      </c>
      <c r="B26930" t="str">
        <f>HYPERLINK("https://lindat.mff.cuni.cz/services/teitok/pdtc10/index.php?action=vallex&amp;frame=v-w3630f1", "podrobit se (v-w3630f1)")</f>
        <v>podrobit se (v-w3630f1)</v>
      </c>
    </row>
    <row r="26931" spans="1:4" x14ac:dyDescent="0.2">
      <c r="B26931" t="s">
        <v>1</v>
      </c>
      <c r="C26931" t="s">
        <v>2239</v>
      </c>
      <c r="D26931" t="s">
        <v>9938</v>
      </c>
    </row>
    <row r="26932" spans="1:4" x14ac:dyDescent="0.2">
      <c r="B26932" t="s">
        <v>103</v>
      </c>
      <c r="C26932" t="s">
        <v>2886</v>
      </c>
      <c r="D26932" t="s">
        <v>4088</v>
      </c>
    </row>
    <row r="26934" spans="1:4" x14ac:dyDescent="0.2">
      <c r="A26934" t="s">
        <v>8886</v>
      </c>
      <c r="B26934" t="str">
        <f>HYPERLINK("https://lindat.mff.cuni.cz/services/teitok/pdtc10/index.php?action=vallex&amp;frame=v-w3632f1", "podrobovat (v-w3632f1)")</f>
        <v>podrobovat (v-w3632f1)</v>
      </c>
    </row>
    <row r="26935" spans="1:4" x14ac:dyDescent="0.2">
      <c r="B26935" t="s">
        <v>1</v>
      </c>
      <c r="D26935" t="s">
        <v>80</v>
      </c>
    </row>
    <row r="26936" spans="1:4" x14ac:dyDescent="0.2">
      <c r="B26936" t="s">
        <v>103</v>
      </c>
      <c r="D26936" t="s">
        <v>23809</v>
      </c>
    </row>
    <row r="26937" spans="1:4" x14ac:dyDescent="0.2">
      <c r="B26937" t="s">
        <v>58</v>
      </c>
      <c r="D26937" t="s">
        <v>23810</v>
      </c>
    </row>
    <row r="26939" spans="1:4" x14ac:dyDescent="0.2">
      <c r="A26939" t="s">
        <v>8887</v>
      </c>
      <c r="B26939" t="str">
        <f>HYPERLINK("https://lindat.mff.cuni.cz/services/teitok/pdtc10/index.php?action=vallex&amp;frame=v-w3633f1", "podrobovat se (v-w3633f1)")</f>
        <v>podrobovat se (v-w3633f1)</v>
      </c>
    </row>
    <row r="26940" spans="1:4" x14ac:dyDescent="0.2">
      <c r="B26940" t="s">
        <v>1</v>
      </c>
    </row>
    <row r="26941" spans="1:4" x14ac:dyDescent="0.2">
      <c r="B26941" t="s">
        <v>103</v>
      </c>
    </row>
    <row r="26943" spans="1:4" x14ac:dyDescent="0.2">
      <c r="A26943" t="s">
        <v>8888</v>
      </c>
      <c r="B26943" t="str">
        <f>HYPERLINK("https://lindat.mff.cuni.cz/services/teitok/pdtc10/index.php?action=vallex&amp;frame=v-w3627f1", "podráždit (v-w3627f1)")</f>
        <v>podráždit (v-w3627f1)</v>
      </c>
    </row>
    <row r="26944" spans="1:4" x14ac:dyDescent="0.2">
      <c r="B26944" t="s">
        <v>1</v>
      </c>
      <c r="C26944" t="s">
        <v>127</v>
      </c>
    </row>
    <row r="26945" spans="1:4" x14ac:dyDescent="0.2">
      <c r="B26945" t="s">
        <v>8</v>
      </c>
      <c r="C26945" t="s">
        <v>8889</v>
      </c>
    </row>
    <row r="26947" spans="1:4" x14ac:dyDescent="0.2">
      <c r="A26947" t="s">
        <v>8890</v>
      </c>
      <c r="B26947" t="str">
        <f>HYPERLINK("https://lindat.mff.cuni.cz/services/teitok/pdtc10/index.php?action=vallex&amp;frame=v-w10471f3", "podrýt (v-w10471f3)")</f>
        <v>podrýt (v-w10471f3)</v>
      </c>
    </row>
    <row r="26948" spans="1:4" x14ac:dyDescent="0.2">
      <c r="B26948" t="s">
        <v>1</v>
      </c>
      <c r="C26948" t="s">
        <v>109</v>
      </c>
      <c r="D26948" t="s">
        <v>23811</v>
      </c>
    </row>
    <row r="26949" spans="1:4" x14ac:dyDescent="0.2">
      <c r="B26949" t="s">
        <v>8</v>
      </c>
      <c r="C26949" t="s">
        <v>1510</v>
      </c>
      <c r="D26949" t="s">
        <v>23812</v>
      </c>
    </row>
    <row r="26951" spans="1:4" x14ac:dyDescent="0.2">
      <c r="A26951" t="s">
        <v>8891</v>
      </c>
      <c r="B26951" t="str">
        <f>HYPERLINK("https://lindat.mff.cuni.cz/services/teitok/pdtc10/index.php?action=vallex&amp;frame=v-w10809f2", "podrývat (v-w10809f2)")</f>
        <v>podrývat (v-w10809f2)</v>
      </c>
    </row>
    <row r="26952" spans="1:4" x14ac:dyDescent="0.2">
      <c r="B26952" t="s">
        <v>1</v>
      </c>
      <c r="D26952" t="s">
        <v>23811</v>
      </c>
    </row>
    <row r="26953" spans="1:4" x14ac:dyDescent="0.2">
      <c r="B26953" t="s">
        <v>8</v>
      </c>
      <c r="D26953" t="s">
        <v>23812</v>
      </c>
    </row>
    <row r="26955" spans="1:4" x14ac:dyDescent="0.2">
      <c r="A26955" t="s">
        <v>8892</v>
      </c>
      <c r="B26955" t="str">
        <f>HYPERLINK("https://lindat.mff.cuni.cz/services/teitok/pdtc10/index.php?action=vallex&amp;frame=v-w3634f2", "podržet (v-w3634f2)")</f>
        <v>podržet (v-w3634f2)</v>
      </c>
    </row>
    <row r="26956" spans="1:4" x14ac:dyDescent="0.2">
      <c r="B26956" t="s">
        <v>1</v>
      </c>
      <c r="C26956" t="s">
        <v>8893</v>
      </c>
      <c r="D26956" t="s">
        <v>23813</v>
      </c>
    </row>
    <row r="26957" spans="1:4" x14ac:dyDescent="0.2">
      <c r="B26957" t="s">
        <v>8</v>
      </c>
      <c r="C26957" t="s">
        <v>8894</v>
      </c>
      <c r="D26957" t="s">
        <v>23814</v>
      </c>
    </row>
    <row r="26959" spans="1:4" x14ac:dyDescent="0.2">
      <c r="A26959" t="s">
        <v>8895</v>
      </c>
      <c r="B26959" t="str">
        <f>HYPERLINK("https://lindat.mff.cuni.cz/services/teitok/pdtc10/index.php?action=vallex&amp;frame=v-w3634f1", "podržet (v-w3634f1)")</f>
        <v>podržet (v-w3634f1)</v>
      </c>
    </row>
    <row r="26960" spans="1:4" x14ac:dyDescent="0.2">
      <c r="B26960" t="s">
        <v>1</v>
      </c>
      <c r="C26960" t="s">
        <v>2145</v>
      </c>
      <c r="D26960" t="s">
        <v>23554</v>
      </c>
    </row>
    <row r="26961" spans="1:4" x14ac:dyDescent="0.2">
      <c r="B26961" t="s">
        <v>58</v>
      </c>
      <c r="C26961" t="s">
        <v>8896</v>
      </c>
      <c r="D26961" t="s">
        <v>23555</v>
      </c>
    </row>
    <row r="26962" spans="1:4" x14ac:dyDescent="0.2">
      <c r="B26962" t="s">
        <v>551</v>
      </c>
    </row>
    <row r="26964" spans="1:4" x14ac:dyDescent="0.2">
      <c r="A26964" t="s">
        <v>8897</v>
      </c>
      <c r="B26964" t="str">
        <f>HYPERLINK("https://lindat.mff.cuni.cz/services/teitok/pdtc10/index.php?action=vallex&amp;frame=v-w11097f2", "podsekat (v-w11097f2)")</f>
        <v>podsekat (v-w11097f2)</v>
      </c>
    </row>
    <row r="26965" spans="1:4" x14ac:dyDescent="0.2">
      <c r="B26965" t="s">
        <v>1</v>
      </c>
      <c r="C26965" t="s">
        <v>2239</v>
      </c>
    </row>
    <row r="26966" spans="1:4" x14ac:dyDescent="0.2">
      <c r="B26966" t="s">
        <v>8</v>
      </c>
      <c r="C26966" t="s">
        <v>56</v>
      </c>
    </row>
    <row r="26968" spans="1:4" x14ac:dyDescent="0.2">
      <c r="A26968" t="s">
        <v>8898</v>
      </c>
      <c r="B26968" t="str">
        <f>HYPERLINK("https://lindat.mff.cuni.cz/services/teitok/pdtc10/index.php?action=vallex&amp;frame=v-w3644f1", "podsouvat (v-w3644f1)")</f>
        <v>podsouvat (v-w3644f1)</v>
      </c>
    </row>
    <row r="26969" spans="1:4" x14ac:dyDescent="0.2">
      <c r="B26969" t="s">
        <v>1</v>
      </c>
      <c r="D26969" t="s">
        <v>23815</v>
      </c>
    </row>
    <row r="26970" spans="1:4" x14ac:dyDescent="0.2">
      <c r="B26970" t="s">
        <v>8</v>
      </c>
      <c r="D26970" t="s">
        <v>23816</v>
      </c>
    </row>
    <row r="26971" spans="1:4" x14ac:dyDescent="0.2">
      <c r="B26971" t="s">
        <v>35</v>
      </c>
      <c r="D26971" t="s">
        <v>23817</v>
      </c>
    </row>
    <row r="26973" spans="1:4" x14ac:dyDescent="0.2">
      <c r="A26973" t="s">
        <v>8899</v>
      </c>
      <c r="B26973" t="str">
        <f>HYPERLINK("https://lindat.mff.cuni.cz/services/teitok/pdtc10/index.php?action=vallex&amp;frame=v-w3646f1", "podstoupit (v-w3646f1)")</f>
        <v>podstoupit (v-w3646f1)</v>
      </c>
    </row>
    <row r="26974" spans="1:4" x14ac:dyDescent="0.2">
      <c r="B26974" t="s">
        <v>1</v>
      </c>
      <c r="C26974" t="s">
        <v>8900</v>
      </c>
      <c r="D26974" t="s">
        <v>23818</v>
      </c>
    </row>
    <row r="26975" spans="1:4" x14ac:dyDescent="0.2">
      <c r="B26975" t="s">
        <v>8</v>
      </c>
      <c r="C26975" t="s">
        <v>8901</v>
      </c>
      <c r="D26975" t="s">
        <v>23819</v>
      </c>
    </row>
    <row r="26977" spans="1:4" x14ac:dyDescent="0.2">
      <c r="A26977" t="s">
        <v>8902</v>
      </c>
      <c r="B26977" t="str">
        <f>HYPERLINK("https://lindat.mff.cuni.cz/services/teitok/pdtc10/index.php?action=vallex&amp;frame=v-w3649f1", "podstrojovat (v-w3649f1)")</f>
        <v>podstrojovat (v-w3649f1)</v>
      </c>
    </row>
    <row r="26978" spans="1:4" x14ac:dyDescent="0.2">
      <c r="B26978" t="s">
        <v>1</v>
      </c>
    </row>
    <row r="26979" spans="1:4" x14ac:dyDescent="0.2">
      <c r="B26979" t="s">
        <v>103</v>
      </c>
    </row>
    <row r="26981" spans="1:4" x14ac:dyDescent="0.2">
      <c r="A26981" t="s">
        <v>8903</v>
      </c>
      <c r="B26981" t="str">
        <f>HYPERLINK("https://lindat.mff.cuni.cz/services/teitok/pdtc10/index.php?action=vallex&amp;frame=v-w3647f1", "podstrčit (v-w3647f1)")</f>
        <v>podstrčit (v-w3647f1)</v>
      </c>
    </row>
    <row r="26982" spans="1:4" x14ac:dyDescent="0.2">
      <c r="B26982" t="s">
        <v>1</v>
      </c>
    </row>
    <row r="26983" spans="1:4" x14ac:dyDescent="0.2">
      <c r="B26983" t="s">
        <v>8</v>
      </c>
    </row>
    <row r="26984" spans="1:4" x14ac:dyDescent="0.2">
      <c r="B26984" t="s">
        <v>35</v>
      </c>
    </row>
    <row r="26986" spans="1:4" x14ac:dyDescent="0.2">
      <c r="A26986" t="s">
        <v>8904</v>
      </c>
      <c r="B26986" t="str">
        <f>HYPERLINK("https://lindat.mff.cuni.cz/services/teitok/pdtc10/index.php?action=vallex&amp;frame=v-w3650f1", "podstupovat (v-w3650f1)")</f>
        <v>podstupovat (v-w3650f1)</v>
      </c>
    </row>
    <row r="26987" spans="1:4" x14ac:dyDescent="0.2">
      <c r="B26987" t="s">
        <v>1</v>
      </c>
      <c r="C26987" t="s">
        <v>8905</v>
      </c>
      <c r="D26987" t="s">
        <v>23818</v>
      </c>
    </row>
    <row r="26988" spans="1:4" x14ac:dyDescent="0.2">
      <c r="B26988" t="s">
        <v>8</v>
      </c>
      <c r="C26988" t="s">
        <v>8906</v>
      </c>
      <c r="D26988" t="s">
        <v>23819</v>
      </c>
    </row>
    <row r="26990" spans="1:4" x14ac:dyDescent="0.2">
      <c r="A26990" t="s">
        <v>8907</v>
      </c>
      <c r="B26990" t="str">
        <f>HYPERLINK("https://lindat.mff.cuni.cz/services/teitok/pdtc10/index.php?action=vallex&amp;frame=v-w3651f1", "podtrhnout (v-w3651f1)")</f>
        <v>podtrhnout (v-w3651f1)</v>
      </c>
    </row>
    <row r="26991" spans="1:4" x14ac:dyDescent="0.2">
      <c r="B26991" t="s">
        <v>1</v>
      </c>
      <c r="C26991" t="s">
        <v>1566</v>
      </c>
      <c r="D26991" t="s">
        <v>10977</v>
      </c>
    </row>
    <row r="26992" spans="1:4" x14ac:dyDescent="0.2">
      <c r="B26992" t="s">
        <v>8908</v>
      </c>
      <c r="C26992" t="s">
        <v>110</v>
      </c>
      <c r="D26992" t="s">
        <v>13080</v>
      </c>
    </row>
    <row r="26994" spans="1:4" x14ac:dyDescent="0.2">
      <c r="A26994" t="s">
        <v>8909</v>
      </c>
      <c r="B26994" t="str">
        <f>HYPERLINK("https://lindat.mff.cuni.cz/services/teitok/pdtc10/index.php?action=vallex&amp;frame=v-w3651f2", "podtrhnout (v-w3651f2)")</f>
        <v>podtrhnout (v-w3651f2)</v>
      </c>
    </row>
    <row r="26995" spans="1:4" x14ac:dyDescent="0.2">
      <c r="B26995" t="s">
        <v>1</v>
      </c>
    </row>
    <row r="26996" spans="1:4" x14ac:dyDescent="0.2">
      <c r="B26996" t="s">
        <v>41</v>
      </c>
    </row>
    <row r="26998" spans="1:4" x14ac:dyDescent="0.2">
      <c r="A26998" t="s">
        <v>8910</v>
      </c>
      <c r="B26998" t="str">
        <f>HYPERLINK("https://lindat.mff.cuni.cz/services/teitok/pdtc10/index.php?action=vallex&amp;frame=v-w3652f1", "podtrhovat (v-w3652f1)")</f>
        <v>podtrhovat (v-w3652f1)</v>
      </c>
    </row>
    <row r="26999" spans="1:4" x14ac:dyDescent="0.2">
      <c r="B26999" t="s">
        <v>1</v>
      </c>
      <c r="C26999" t="s">
        <v>1805</v>
      </c>
      <c r="D26999" t="s">
        <v>10977</v>
      </c>
    </row>
    <row r="27000" spans="1:4" x14ac:dyDescent="0.2">
      <c r="B27000" t="s">
        <v>41</v>
      </c>
      <c r="C27000" t="s">
        <v>8911</v>
      </c>
      <c r="D27000" t="s">
        <v>13080</v>
      </c>
    </row>
    <row r="27002" spans="1:4" x14ac:dyDescent="0.2">
      <c r="A27002" t="s">
        <v>8912</v>
      </c>
      <c r="B27002" t="str">
        <f>HYPERLINK("https://lindat.mff.cuni.cz/services/teitok/pdtc10/index.php?action=vallex&amp;frame=v-whsa_939hsa_940", "podtrhávat (v-whsa_939hsa_940)")</f>
        <v>podtrhávat (v-whsa_939hsa_940)</v>
      </c>
    </row>
    <row r="27003" spans="1:4" x14ac:dyDescent="0.2">
      <c r="B27003" t="s">
        <v>1</v>
      </c>
      <c r="D27003" t="s">
        <v>10977</v>
      </c>
    </row>
    <row r="27004" spans="1:4" x14ac:dyDescent="0.2">
      <c r="B27004" t="s">
        <v>8</v>
      </c>
      <c r="C27004" t="s">
        <v>113</v>
      </c>
      <c r="D27004" t="s">
        <v>13080</v>
      </c>
    </row>
    <row r="27006" spans="1:4" x14ac:dyDescent="0.2">
      <c r="A27006" t="s">
        <v>8913</v>
      </c>
      <c r="B27006" t="str">
        <f>HYPERLINK("https://lindat.mff.cuni.cz/services/teitok/pdtc10/index.php?action=vallex&amp;frame=v-whsa_939f1_MM", "podtrhávat (v-whsa_939f1_MM)")</f>
        <v>podtrhávat (v-whsa_939f1_MM)</v>
      </c>
    </row>
    <row r="27007" spans="1:4" x14ac:dyDescent="0.2">
      <c r="B27007" t="s">
        <v>1</v>
      </c>
    </row>
    <row r="27008" spans="1:4" x14ac:dyDescent="0.2">
      <c r="B27008" t="s">
        <v>8</v>
      </c>
    </row>
    <row r="27010" spans="1:4" x14ac:dyDescent="0.2">
      <c r="A27010" t="s">
        <v>8914</v>
      </c>
      <c r="B27010" t="str">
        <f>HYPERLINK("https://lindat.mff.cuni.cz/services/teitok/pdtc10/index.php?action=vallex&amp;frame=v-w3654f1", "podupávat (v-w3654f1)")</f>
        <v>podupávat (v-w3654f1)</v>
      </c>
    </row>
    <row r="27011" spans="1:4" x14ac:dyDescent="0.2">
      <c r="B27011" t="s">
        <v>1</v>
      </c>
    </row>
    <row r="27013" spans="1:4" x14ac:dyDescent="0.2">
      <c r="A27013" t="s">
        <v>8915</v>
      </c>
      <c r="B27013" t="str">
        <f>HYPERLINK("https://lindat.mff.cuni.cz/services/teitok/pdtc10/index.php?action=vallex&amp;frame=v-w12047_ZUf1_ZU", "podupávat si (v-w12047_ZUf1_ZU)")</f>
        <v>podupávat si (v-w12047_ZUf1_ZU)</v>
      </c>
    </row>
    <row r="27014" spans="1:4" x14ac:dyDescent="0.2">
      <c r="B27014" t="s">
        <v>1</v>
      </c>
    </row>
    <row r="27016" spans="1:4" x14ac:dyDescent="0.2">
      <c r="A27016" t="s">
        <v>8916</v>
      </c>
      <c r="B27016" t="str">
        <f>HYPERLINK("https://lindat.mff.cuni.cz/services/teitok/pdtc10/index.php?action=vallex&amp;frame=v-w3656f1", "podvazovat (v-w3656f1)")</f>
        <v>podvazovat (v-w3656f1)</v>
      </c>
    </row>
    <row r="27017" spans="1:4" x14ac:dyDescent="0.2">
      <c r="B27017" t="s">
        <v>1</v>
      </c>
    </row>
    <row r="27018" spans="1:4" x14ac:dyDescent="0.2">
      <c r="B27018" t="s">
        <v>8</v>
      </c>
    </row>
    <row r="27020" spans="1:4" x14ac:dyDescent="0.2">
      <c r="A27020" t="s">
        <v>8917</v>
      </c>
      <c r="B27020" t="str">
        <f>HYPERLINK("https://lindat.mff.cuni.cz/services/teitok/pdtc10/index.php?action=vallex&amp;frame=v-w3658f1", "podvolit se (v-w3658f1)")</f>
        <v>podvolit se (v-w3658f1)</v>
      </c>
    </row>
    <row r="27021" spans="1:4" x14ac:dyDescent="0.2">
      <c r="B27021" t="s">
        <v>1</v>
      </c>
      <c r="C27021" t="s">
        <v>83</v>
      </c>
      <c r="D27021" t="s">
        <v>9938</v>
      </c>
    </row>
    <row r="27022" spans="1:4" x14ac:dyDescent="0.2">
      <c r="B27022" t="s">
        <v>103</v>
      </c>
      <c r="C27022" t="s">
        <v>1044</v>
      </c>
      <c r="D27022" t="s">
        <v>4088</v>
      </c>
    </row>
    <row r="27024" spans="1:4" x14ac:dyDescent="0.2">
      <c r="A27024" t="s">
        <v>8918</v>
      </c>
      <c r="B27024" t="str">
        <f>HYPERLINK("https://lindat.mff.cuni.cz/services/teitok/pdtc10/index.php?action=vallex&amp;frame=v-w3659f1", "podvolovat se (v-w3659f1)")</f>
        <v>podvolovat se (v-w3659f1)</v>
      </c>
    </row>
    <row r="27025" spans="1:4" x14ac:dyDescent="0.2">
      <c r="B27025" t="s">
        <v>1</v>
      </c>
      <c r="C27025" t="s">
        <v>249</v>
      </c>
      <c r="D27025" t="s">
        <v>9938</v>
      </c>
    </row>
    <row r="27026" spans="1:4" x14ac:dyDescent="0.2">
      <c r="B27026" t="s">
        <v>103</v>
      </c>
      <c r="C27026" t="s">
        <v>23</v>
      </c>
      <c r="D27026" t="s">
        <v>4088</v>
      </c>
    </row>
    <row r="27028" spans="1:4" x14ac:dyDescent="0.2">
      <c r="A27028" t="s">
        <v>8919</v>
      </c>
      <c r="B27028" t="str">
        <f>HYPERLINK("https://lindat.mff.cuni.cz/services/teitok/pdtc10/index.php?action=vallex&amp;frame=v-w3660f1", "podvrhnout (v-w3660f1)")</f>
        <v>podvrhnout (v-w3660f1)</v>
      </c>
    </row>
    <row r="27029" spans="1:4" x14ac:dyDescent="0.2">
      <c r="B27029" t="s">
        <v>1</v>
      </c>
    </row>
    <row r="27030" spans="1:4" x14ac:dyDescent="0.2">
      <c r="B27030" t="s">
        <v>8</v>
      </c>
    </row>
    <row r="27032" spans="1:4" x14ac:dyDescent="0.2">
      <c r="A27032" t="s">
        <v>8920</v>
      </c>
      <c r="B27032" t="str">
        <f>HYPERLINK("https://lindat.mff.cuni.cz/services/teitok/pdtc10/index.php?action=vallex&amp;frame=v-w3660f2", "podvrhnout (v-w3660f2)")</f>
        <v>podvrhnout (v-w3660f2)</v>
      </c>
    </row>
    <row r="27033" spans="1:4" x14ac:dyDescent="0.2">
      <c r="B27033" t="s">
        <v>1</v>
      </c>
    </row>
    <row r="27034" spans="1:4" x14ac:dyDescent="0.2">
      <c r="B27034" t="s">
        <v>8</v>
      </c>
    </row>
    <row r="27036" spans="1:4" x14ac:dyDescent="0.2">
      <c r="A27036" t="s">
        <v>8921</v>
      </c>
      <c r="B27036" t="str">
        <f>HYPERLINK("https://lindat.mff.cuni.cz/services/teitok/pdtc10/index.php?action=vallex&amp;frame=v-w10784f2", "podvádět (v-w10784f2)")</f>
        <v>podvádět (v-w10784f2)</v>
      </c>
    </row>
    <row r="27037" spans="1:4" x14ac:dyDescent="0.2">
      <c r="B27037" t="s">
        <v>1</v>
      </c>
      <c r="C27037" t="s">
        <v>249</v>
      </c>
      <c r="D27037" t="s">
        <v>140</v>
      </c>
    </row>
    <row r="27038" spans="1:4" x14ac:dyDescent="0.2">
      <c r="B27038" t="s">
        <v>8</v>
      </c>
      <c r="C27038" t="s">
        <v>7577</v>
      </c>
      <c r="D27038" t="s">
        <v>1331</v>
      </c>
    </row>
    <row r="27040" spans="1:4" x14ac:dyDescent="0.2">
      <c r="A27040" t="s">
        <v>8922</v>
      </c>
      <c r="B27040" t="str">
        <f>HYPERLINK("https://lindat.mff.cuni.cz/services/teitok/pdtc10/index.php?action=vallex&amp;frame=v-w11896_ZUf1_ZU", "podvázat (v-w11896_ZUf1_ZU)")</f>
        <v>podvázat (v-w11896_ZUf1_ZU)</v>
      </c>
    </row>
    <row r="27041" spans="1:4" x14ac:dyDescent="0.2">
      <c r="B27041" t="s">
        <v>1</v>
      </c>
    </row>
    <row r="27042" spans="1:4" x14ac:dyDescent="0.2">
      <c r="B27042" t="s">
        <v>8</v>
      </c>
    </row>
    <row r="27044" spans="1:4" x14ac:dyDescent="0.2">
      <c r="A27044" t="s">
        <v>8923</v>
      </c>
      <c r="B27044" t="str">
        <f>HYPERLINK("https://lindat.mff.cuni.cz/services/teitok/pdtc10/index.php?action=vallex&amp;frame=v-w3657f1", "podvést (v-w3657f1)")</f>
        <v>podvést (v-w3657f1)</v>
      </c>
    </row>
    <row r="27045" spans="1:4" x14ac:dyDescent="0.2">
      <c r="B27045" t="s">
        <v>1</v>
      </c>
      <c r="C27045" t="s">
        <v>33</v>
      </c>
      <c r="D27045" t="s">
        <v>140</v>
      </c>
    </row>
    <row r="27046" spans="1:4" x14ac:dyDescent="0.2">
      <c r="B27046" t="s">
        <v>8</v>
      </c>
      <c r="C27046" t="s">
        <v>8924</v>
      </c>
      <c r="D27046" t="s">
        <v>1331</v>
      </c>
    </row>
    <row r="27048" spans="1:4" x14ac:dyDescent="0.2">
      <c r="A27048" t="s">
        <v>8925</v>
      </c>
      <c r="B27048" t="str">
        <f>HYPERLINK("https://lindat.mff.cuni.cz/services/teitok/pdtc10/index.php?action=vallex&amp;frame=v-w3657hsa_1611", "podvést (v-w3657hsa_1611)")</f>
        <v>podvést (v-w3657hsa_1611)</v>
      </c>
    </row>
    <row r="27049" spans="1:4" x14ac:dyDescent="0.2">
      <c r="B27049" t="s">
        <v>1</v>
      </c>
    </row>
    <row r="27050" spans="1:4" x14ac:dyDescent="0.2">
      <c r="B27050" t="s">
        <v>8</v>
      </c>
    </row>
    <row r="27051" spans="1:4" x14ac:dyDescent="0.2">
      <c r="B27051" t="s">
        <v>2328</v>
      </c>
    </row>
    <row r="27053" spans="1:4" x14ac:dyDescent="0.2">
      <c r="A27053" t="s">
        <v>8926</v>
      </c>
      <c r="B27053" t="str">
        <f>HYPERLINK("https://lindat.mff.cuni.cz/services/teitok/pdtc10/index.php?action=vallex&amp;frame=v-w3546f7", "podávat (v-w3546f7)")</f>
        <v>podávat (v-w3546f7)</v>
      </c>
    </row>
    <row r="27054" spans="1:4" x14ac:dyDescent="0.2">
      <c r="B27054" t="s">
        <v>1</v>
      </c>
      <c r="C27054" t="s">
        <v>83</v>
      </c>
      <c r="D27054" t="s">
        <v>370</v>
      </c>
    </row>
    <row r="27055" spans="1:4" x14ac:dyDescent="0.2">
      <c r="B27055" t="s">
        <v>273</v>
      </c>
      <c r="C27055" t="s">
        <v>969</v>
      </c>
      <c r="D27055" t="s">
        <v>338</v>
      </c>
    </row>
    <row r="27056" spans="1:4" x14ac:dyDescent="0.2">
      <c r="B27056" t="s">
        <v>35</v>
      </c>
      <c r="D27056" t="s">
        <v>23792</v>
      </c>
    </row>
    <row r="27058" spans="1:4" x14ac:dyDescent="0.2">
      <c r="A27058" t="s">
        <v>8927</v>
      </c>
      <c r="B27058" t="str">
        <f>HYPERLINK("https://lindat.mff.cuni.cz/services/teitok/pdtc10/index.php?action=vallex&amp;frame=v-w3546f18_ZU", "podávat (v-w3546f18_ZU)")</f>
        <v>podávat (v-w3546f18_ZU)</v>
      </c>
    </row>
    <row r="27059" spans="1:4" x14ac:dyDescent="0.2">
      <c r="B27059" t="s">
        <v>1</v>
      </c>
    </row>
    <row r="27060" spans="1:4" x14ac:dyDescent="0.2">
      <c r="B27060" t="s">
        <v>8</v>
      </c>
    </row>
    <row r="27061" spans="1:4" x14ac:dyDescent="0.2">
      <c r="B27061" t="s">
        <v>35</v>
      </c>
    </row>
    <row r="27063" spans="1:4" x14ac:dyDescent="0.2">
      <c r="A27063" t="s">
        <v>8927</v>
      </c>
      <c r="B27063" t="str">
        <f>HYPERLINK("https://lindat.mff.cuni.cz/services/teitok/pdtc10/index.php?action=vallex&amp;frame=v-w3546f2", "podávat (v-w3546f2) - substituted with v-w3546f18_ZU")</f>
        <v>podávat (v-w3546f2) - substituted with v-w3546f18_ZU</v>
      </c>
    </row>
    <row r="27064" spans="1:4" x14ac:dyDescent="0.2">
      <c r="B27064" t="s">
        <v>1</v>
      </c>
      <c r="C27064" t="s">
        <v>8928</v>
      </c>
      <c r="D27064" t="s">
        <v>7279</v>
      </c>
    </row>
    <row r="27065" spans="1:4" x14ac:dyDescent="0.2">
      <c r="B27065" t="s">
        <v>8</v>
      </c>
      <c r="C27065" t="s">
        <v>3086</v>
      </c>
      <c r="D27065" t="s">
        <v>23286</v>
      </c>
    </row>
    <row r="27066" spans="1:4" x14ac:dyDescent="0.2">
      <c r="B27066" t="s">
        <v>35</v>
      </c>
      <c r="D27066" t="s">
        <v>23287</v>
      </c>
    </row>
    <row r="27068" spans="1:4" x14ac:dyDescent="0.2">
      <c r="A27068" t="s">
        <v>8929</v>
      </c>
      <c r="B27068" t="str">
        <f>HYPERLINK("https://lindat.mff.cuni.cz/services/teitok/pdtc10/index.php?action=vallex&amp;frame=v-w3546f3", "podávat (v-w3546f3)")</f>
        <v>podávat (v-w3546f3)</v>
      </c>
    </row>
    <row r="27069" spans="1:4" x14ac:dyDescent="0.2">
      <c r="B27069" t="s">
        <v>1</v>
      </c>
      <c r="C27069" t="s">
        <v>3081</v>
      </c>
    </row>
    <row r="27070" spans="1:4" x14ac:dyDescent="0.2">
      <c r="B27070" t="s">
        <v>8</v>
      </c>
      <c r="C27070" t="s">
        <v>8709</v>
      </c>
    </row>
    <row r="27071" spans="1:4" x14ac:dyDescent="0.2">
      <c r="B27071" t="s">
        <v>35</v>
      </c>
    </row>
    <row r="27073" spans="1:3" x14ac:dyDescent="0.2">
      <c r="A27073" t="s">
        <v>8930</v>
      </c>
      <c r="B27073" t="str">
        <f>HYPERLINK("https://lindat.mff.cuni.cz/services/teitok/pdtc10/index.php?action=vallex&amp;frame=v-w3546f11", "podávat (v-w3546f11)")</f>
        <v>podávat (v-w3546f11)</v>
      </c>
    </row>
    <row r="27074" spans="1:3" x14ac:dyDescent="0.2">
      <c r="B27074" t="s">
        <v>1</v>
      </c>
      <c r="C27074" t="s">
        <v>3081</v>
      </c>
    </row>
    <row r="27075" spans="1:3" x14ac:dyDescent="0.2">
      <c r="B27075" t="s">
        <v>8</v>
      </c>
      <c r="C27075" t="s">
        <v>8709</v>
      </c>
    </row>
    <row r="27076" spans="1:3" x14ac:dyDescent="0.2">
      <c r="B27076" t="s">
        <v>5</v>
      </c>
    </row>
    <row r="27078" spans="1:3" x14ac:dyDescent="0.2">
      <c r="A27078" t="s">
        <v>8931</v>
      </c>
      <c r="B27078" t="str">
        <f>HYPERLINK("https://lindat.mff.cuni.cz/services/teitok/pdtc10/index.php?action=vallex&amp;frame=v-w3546f4", "podávat (v-w3546f4)")</f>
        <v>podávat (v-w3546f4)</v>
      </c>
    </row>
    <row r="27079" spans="1:3" x14ac:dyDescent="0.2">
      <c r="B27079" t="s">
        <v>1</v>
      </c>
    </row>
    <row r="27080" spans="1:3" x14ac:dyDescent="0.2">
      <c r="B27080" t="s">
        <v>8</v>
      </c>
    </row>
    <row r="27081" spans="1:3" x14ac:dyDescent="0.2">
      <c r="B27081" t="s">
        <v>90</v>
      </c>
    </row>
    <row r="27083" spans="1:3" x14ac:dyDescent="0.2">
      <c r="A27083" t="s">
        <v>8932</v>
      </c>
      <c r="B27083" t="str">
        <f>HYPERLINK("https://lindat.mff.cuni.cz/services/teitok/pdtc10/index.php?action=vallex&amp;frame=v-w3546f9", "podávat (v-w3546f9)")</f>
        <v>podávat (v-w3546f9)</v>
      </c>
    </row>
    <row r="27084" spans="1:3" x14ac:dyDescent="0.2">
      <c r="B27084" t="s">
        <v>1</v>
      </c>
    </row>
    <row r="27085" spans="1:3" x14ac:dyDescent="0.2">
      <c r="B27085" t="s">
        <v>8</v>
      </c>
    </row>
    <row r="27087" spans="1:3" x14ac:dyDescent="0.2">
      <c r="A27087" t="s">
        <v>8933</v>
      </c>
      <c r="B27087" t="str">
        <f>HYPERLINK("https://lindat.mff.cuni.cz/services/teitok/pdtc10/index.php?action=vallex&amp;frame=v-w3546f6", "podávat (v-w3546f6)")</f>
        <v>podávat (v-w3546f6)</v>
      </c>
    </row>
    <row r="27088" spans="1:3" x14ac:dyDescent="0.2">
      <c r="B27088" t="s">
        <v>1</v>
      </c>
    </row>
    <row r="27090" spans="1:4" x14ac:dyDescent="0.2">
      <c r="A27090" t="s">
        <v>8934</v>
      </c>
      <c r="B27090" t="str">
        <f>HYPERLINK("https://lindat.mff.cuni.cz/services/teitok/pdtc10/index.php?action=vallex&amp;frame=v-w3546f15_ZU", "podávat (v-w3546f15_ZU)")</f>
        <v>podávat (v-w3546f15_ZU)</v>
      </c>
    </row>
    <row r="27091" spans="1:4" x14ac:dyDescent="0.2">
      <c r="B27091" t="s">
        <v>1</v>
      </c>
      <c r="D27091" t="s">
        <v>23820</v>
      </c>
    </row>
    <row r="27092" spans="1:4" x14ac:dyDescent="0.2">
      <c r="B27092" t="s">
        <v>8935</v>
      </c>
      <c r="D27092" t="s">
        <v>23821</v>
      </c>
    </row>
    <row r="27093" spans="1:4" x14ac:dyDescent="0.2">
      <c r="B27093" t="s">
        <v>35</v>
      </c>
      <c r="D27093" t="s">
        <v>23822</v>
      </c>
    </row>
    <row r="27095" spans="1:4" x14ac:dyDescent="0.2">
      <c r="A27095" t="s">
        <v>8934</v>
      </c>
      <c r="B27095" t="str">
        <f>HYPERLINK("https://lindat.mff.cuni.cz/services/teitok/pdtc10/index.php?action=vallex&amp;frame=v-w3546f1", "podávat (v-w3546f1) - substituted with v-w3546f15_ZU")</f>
        <v>podávat (v-w3546f1) - substituted with v-w3546f15_ZU</v>
      </c>
    </row>
    <row r="27096" spans="1:4" x14ac:dyDescent="0.2">
      <c r="B27096" t="s">
        <v>1</v>
      </c>
      <c r="C27096" t="s">
        <v>8936</v>
      </c>
    </row>
    <row r="27097" spans="1:4" x14ac:dyDescent="0.2">
      <c r="B27097" t="s">
        <v>8935</v>
      </c>
      <c r="C27097" t="s">
        <v>8937</v>
      </c>
    </row>
    <row r="27098" spans="1:4" x14ac:dyDescent="0.2">
      <c r="B27098" t="s">
        <v>35</v>
      </c>
      <c r="C27098" t="s">
        <v>8938</v>
      </c>
    </row>
    <row r="27100" spans="1:4" x14ac:dyDescent="0.2">
      <c r="A27100" t="s">
        <v>8934</v>
      </c>
      <c r="B27100" t="str">
        <f>HYPERLINK("https://lindat.mff.cuni.cz/services/teitok/pdtc10/index.php?action=vallex&amp;frame=v-w3546f12_ZU", "podávat (v-w3546f12_ZU) - substituted with v-w3546f15_ZU")</f>
        <v>podávat (v-w3546f12_ZU) - substituted with v-w3546f15_ZU</v>
      </c>
    </row>
    <row r="27101" spans="1:4" x14ac:dyDescent="0.2">
      <c r="B27101" t="s">
        <v>1</v>
      </c>
    </row>
    <row r="27102" spans="1:4" x14ac:dyDescent="0.2">
      <c r="B27102" t="s">
        <v>8935</v>
      </c>
    </row>
    <row r="27103" spans="1:4" x14ac:dyDescent="0.2">
      <c r="B27103" t="s">
        <v>35</v>
      </c>
    </row>
    <row r="27105" spans="1:3" x14ac:dyDescent="0.2">
      <c r="A27105" t="s">
        <v>8934</v>
      </c>
      <c r="B27105" t="str">
        <f>HYPERLINK("https://lindat.mff.cuni.cz/services/teitok/pdtc10/index.php?action=vallex&amp;frame=v-w3546f13_ZU", "podávat (v-w3546f13_ZU) - substituted with v-w3546f15_ZU")</f>
        <v>podávat (v-w3546f13_ZU) - substituted with v-w3546f15_ZU</v>
      </c>
    </row>
    <row r="27106" spans="1:3" x14ac:dyDescent="0.2">
      <c r="B27106" t="s">
        <v>1</v>
      </c>
      <c r="C27106" t="s">
        <v>8939</v>
      </c>
    </row>
    <row r="27107" spans="1:3" x14ac:dyDescent="0.2">
      <c r="B27107" t="s">
        <v>8935</v>
      </c>
      <c r="C27107" t="s">
        <v>8940</v>
      </c>
    </row>
    <row r="27108" spans="1:3" x14ac:dyDescent="0.2">
      <c r="B27108" t="s">
        <v>35</v>
      </c>
      <c r="C27108" t="s">
        <v>8941</v>
      </c>
    </row>
    <row r="27110" spans="1:3" x14ac:dyDescent="0.2">
      <c r="A27110" t="s">
        <v>8934</v>
      </c>
      <c r="B27110" t="str">
        <f>HYPERLINK("https://lindat.mff.cuni.cz/services/teitok/pdtc10/index.php?action=vallex&amp;frame=v-w3546f14_ZU", "podávat (v-w3546f14_ZU) - substituted with v-w3546f15_ZU")</f>
        <v>podávat (v-w3546f14_ZU) - substituted with v-w3546f15_ZU</v>
      </c>
    </row>
    <row r="27111" spans="1:3" x14ac:dyDescent="0.2">
      <c r="B27111" t="s">
        <v>1</v>
      </c>
      <c r="C27111" t="s">
        <v>2566</v>
      </c>
    </row>
    <row r="27112" spans="1:3" x14ac:dyDescent="0.2">
      <c r="B27112" t="s">
        <v>8935</v>
      </c>
      <c r="C27112" t="s">
        <v>2567</v>
      </c>
    </row>
    <row r="27113" spans="1:3" x14ac:dyDescent="0.2">
      <c r="B27113" t="s">
        <v>35</v>
      </c>
      <c r="C27113" t="s">
        <v>2568</v>
      </c>
    </row>
    <row r="27115" spans="1:3" x14ac:dyDescent="0.2">
      <c r="A27115" t="s">
        <v>8942</v>
      </c>
      <c r="B27115" t="str">
        <f>HYPERLINK("https://lindat.mff.cuni.cz/services/teitok/pdtc10/index.php?action=vallex&amp;frame=v-w3546f10", "podávat (v-w3546f10)")</f>
        <v>podávat (v-w3546f10)</v>
      </c>
    </row>
    <row r="27116" spans="1:3" x14ac:dyDescent="0.2">
      <c r="B27116" t="s">
        <v>1</v>
      </c>
      <c r="C27116" t="s">
        <v>1294</v>
      </c>
    </row>
    <row r="27117" spans="1:3" x14ac:dyDescent="0.2">
      <c r="B27117" t="s">
        <v>8943</v>
      </c>
      <c r="C27117" t="s">
        <v>8944</v>
      </c>
    </row>
    <row r="27118" spans="1:3" x14ac:dyDescent="0.2">
      <c r="B27118" t="s">
        <v>5</v>
      </c>
    </row>
    <row r="27120" spans="1:3" x14ac:dyDescent="0.2">
      <c r="A27120" t="s">
        <v>8945</v>
      </c>
      <c r="B27120" t="str">
        <f>HYPERLINK("https://lindat.mff.cuni.cz/services/teitok/pdtc10/index.php?action=vallex&amp;frame=v-w3546f8", "podávat (v-w3546f8)")</f>
        <v>podávat (v-w3546f8)</v>
      </c>
    </row>
    <row r="27121" spans="1:3" x14ac:dyDescent="0.2">
      <c r="B27121" t="s">
        <v>1</v>
      </c>
      <c r="C27121" t="s">
        <v>8946</v>
      </c>
    </row>
    <row r="27122" spans="1:3" x14ac:dyDescent="0.2">
      <c r="B27122" t="s">
        <v>8947</v>
      </c>
      <c r="C27122" t="s">
        <v>8948</v>
      </c>
    </row>
    <row r="27123" spans="1:3" x14ac:dyDescent="0.2">
      <c r="B27123" t="s">
        <v>90</v>
      </c>
      <c r="C27123" t="s">
        <v>8949</v>
      </c>
    </row>
    <row r="27125" spans="1:3" x14ac:dyDescent="0.2">
      <c r="A27125" t="s">
        <v>8950</v>
      </c>
      <c r="B27125" t="str">
        <f>HYPERLINK("https://lindat.mff.cuni.cz/services/teitok/pdtc10/index.php?action=vallex&amp;frame=v-w3546f5", "podávat (v-w3546f5)")</f>
        <v>podávat (v-w3546f5)</v>
      </c>
    </row>
    <row r="27126" spans="1:3" x14ac:dyDescent="0.2">
      <c r="B27126" t="s">
        <v>1</v>
      </c>
      <c r="C27126" t="s">
        <v>4110</v>
      </c>
    </row>
    <row r="27127" spans="1:3" x14ac:dyDescent="0.2">
      <c r="B27127" t="s">
        <v>8736</v>
      </c>
    </row>
    <row r="27129" spans="1:3" x14ac:dyDescent="0.2">
      <c r="A27129" t="s">
        <v>8951</v>
      </c>
      <c r="B27129" t="str">
        <f>HYPERLINK("https://lindat.mff.cuni.cz/services/teitok/pdtc10/index.php?action=vallex&amp;frame=v-w3546f16_ZU", "podávat (v-w3546f16_ZU)")</f>
        <v>podávat (v-w3546f16_ZU)</v>
      </c>
    </row>
    <row r="27130" spans="1:3" x14ac:dyDescent="0.2">
      <c r="B27130" t="s">
        <v>1</v>
      </c>
    </row>
    <row r="27131" spans="1:3" x14ac:dyDescent="0.2">
      <c r="B27131" t="s">
        <v>2420</v>
      </c>
    </row>
    <row r="27132" spans="1:3" x14ac:dyDescent="0.2">
      <c r="B27132" t="s">
        <v>103</v>
      </c>
    </row>
    <row r="27134" spans="1:3" x14ac:dyDescent="0.2">
      <c r="A27134" t="s">
        <v>8951</v>
      </c>
      <c r="B27134" t="str">
        <f>HYPERLINK("https://lindat.mff.cuni.cz/services/teitok/pdtc10/index.php?action=vallex&amp;frame=v-w3546hsa_1498", "podávat (v-w3546hsa_1498) - substituted with v-w3546f16_ZU")</f>
        <v>podávat (v-w3546hsa_1498) - substituted with v-w3546f16_ZU</v>
      </c>
    </row>
    <row r="27135" spans="1:3" x14ac:dyDescent="0.2">
      <c r="B27135" t="s">
        <v>1</v>
      </c>
    </row>
    <row r="27136" spans="1:3" x14ac:dyDescent="0.2">
      <c r="B27136" t="s">
        <v>2420</v>
      </c>
    </row>
    <row r="27137" spans="1:4" x14ac:dyDescent="0.2">
      <c r="B27137" t="s">
        <v>103</v>
      </c>
    </row>
    <row r="27139" spans="1:4" x14ac:dyDescent="0.2">
      <c r="A27139" t="s">
        <v>8952</v>
      </c>
      <c r="B27139" t="str">
        <f>HYPERLINK("https://lindat.mff.cuni.cz/services/teitok/pdtc10/index.php?action=vallex&amp;frame=v-w3546f17_ZU", "podávat (v-w3546f17_ZU)")</f>
        <v>podávat (v-w3546f17_ZU)</v>
      </c>
    </row>
    <row r="27140" spans="1:4" x14ac:dyDescent="0.2">
      <c r="B27140" t="s">
        <v>1</v>
      </c>
    </row>
    <row r="27141" spans="1:4" x14ac:dyDescent="0.2">
      <c r="B27141" t="s">
        <v>2542</v>
      </c>
    </row>
    <row r="27142" spans="1:4" x14ac:dyDescent="0.2">
      <c r="B27142" t="s">
        <v>8</v>
      </c>
    </row>
    <row r="27144" spans="1:4" x14ac:dyDescent="0.2">
      <c r="A27144" t="s">
        <v>8953</v>
      </c>
      <c r="B27144" t="str">
        <f>HYPERLINK("https://lindat.mff.cuni.cz/services/teitok/pdtc10/index.php?action=vallex&amp;frame=v-w3569f1", "podílet se (v-w3569f1)")</f>
        <v>podílet se (v-w3569f1)</v>
      </c>
    </row>
    <row r="27145" spans="1:4" x14ac:dyDescent="0.2">
      <c r="B27145" t="s">
        <v>1</v>
      </c>
      <c r="C27145" t="s">
        <v>8954</v>
      </c>
      <c r="D27145" t="s">
        <v>23823</v>
      </c>
    </row>
    <row r="27146" spans="1:4" x14ac:dyDescent="0.2">
      <c r="B27146" t="s">
        <v>161</v>
      </c>
      <c r="C27146" t="s">
        <v>8955</v>
      </c>
      <c r="D27146" t="s">
        <v>23824</v>
      </c>
    </row>
    <row r="27148" spans="1:4" x14ac:dyDescent="0.2">
      <c r="A27148" t="s">
        <v>8956</v>
      </c>
      <c r="B27148" t="str">
        <f>HYPERLINK("https://lindat.mff.cuni.cz/services/teitok/pdtc10/index.php?action=vallex&amp;frame=v-w3571f1", "podít se (v-w3571f1)")</f>
        <v>podít se (v-w3571f1)</v>
      </c>
    </row>
    <row r="27149" spans="1:4" x14ac:dyDescent="0.2">
      <c r="B27149" t="s">
        <v>1</v>
      </c>
      <c r="C27149" t="s">
        <v>8957</v>
      </c>
    </row>
    <row r="27150" spans="1:4" x14ac:dyDescent="0.2">
      <c r="B27150" t="s">
        <v>90</v>
      </c>
      <c r="C27150" t="s">
        <v>3822</v>
      </c>
    </row>
    <row r="27152" spans="1:4" x14ac:dyDescent="0.2">
      <c r="A27152" t="s">
        <v>8958</v>
      </c>
      <c r="B27152" t="str">
        <f>HYPERLINK("https://lindat.mff.cuni.cz/services/teitok/pdtc10/index.php?action=vallex&amp;frame=v-w12024_ZUf1_ZU", "podívat (v-w12024_ZUf1_ZU)")</f>
        <v>podívat (v-w12024_ZUf1_ZU)</v>
      </c>
    </row>
    <row r="27153" spans="1:4" x14ac:dyDescent="0.2">
      <c r="B27153" t="s">
        <v>1</v>
      </c>
    </row>
    <row r="27154" spans="1:4" x14ac:dyDescent="0.2">
      <c r="B27154" t="s">
        <v>8</v>
      </c>
    </row>
    <row r="27156" spans="1:4" x14ac:dyDescent="0.2">
      <c r="A27156" t="s">
        <v>8959</v>
      </c>
      <c r="B27156" t="str">
        <f>HYPERLINK("https://lindat.mff.cuni.cz/services/teitok/pdtc10/index.php?action=vallex&amp;frame=v-w3574f2", "podívat se (v-w3574f2)")</f>
        <v>podívat se (v-w3574f2)</v>
      </c>
    </row>
    <row r="27157" spans="1:4" x14ac:dyDescent="0.2">
      <c r="B27157" t="s">
        <v>1</v>
      </c>
      <c r="C27157" t="s">
        <v>3255</v>
      </c>
      <c r="D27157" t="s">
        <v>8689</v>
      </c>
    </row>
    <row r="27158" spans="1:4" x14ac:dyDescent="0.2">
      <c r="B27158" t="s">
        <v>1178</v>
      </c>
      <c r="C27158" t="s">
        <v>2884</v>
      </c>
      <c r="D27158" t="s">
        <v>3233</v>
      </c>
    </row>
    <row r="27160" spans="1:4" x14ac:dyDescent="0.2">
      <c r="A27160" t="s">
        <v>8960</v>
      </c>
      <c r="B27160" t="str">
        <f>HYPERLINK("https://lindat.mff.cuni.cz/services/teitok/pdtc10/index.php?action=vallex&amp;frame=v-w3574f3", "podívat se (v-w3574f3)")</f>
        <v>podívat se (v-w3574f3)</v>
      </c>
    </row>
    <row r="27161" spans="1:4" x14ac:dyDescent="0.2">
      <c r="B27161" t="s">
        <v>1</v>
      </c>
      <c r="C27161" t="s">
        <v>2125</v>
      </c>
      <c r="D27161" t="s">
        <v>23008</v>
      </c>
    </row>
    <row r="27162" spans="1:4" x14ac:dyDescent="0.2">
      <c r="B27162" t="s">
        <v>28</v>
      </c>
      <c r="C27162" t="s">
        <v>8961</v>
      </c>
      <c r="D27162" t="s">
        <v>17729</v>
      </c>
    </row>
    <row r="27163" spans="1:4" x14ac:dyDescent="0.2">
      <c r="B27163" t="s">
        <v>2880</v>
      </c>
      <c r="D27163" t="s">
        <v>23308</v>
      </c>
    </row>
    <row r="27164" spans="1:4" x14ac:dyDescent="0.2">
      <c r="B27164" t="s">
        <v>346</v>
      </c>
      <c r="D27164" t="s">
        <v>23309</v>
      </c>
    </row>
    <row r="27165" spans="1:4" x14ac:dyDescent="0.2">
      <c r="B27165" t="s">
        <v>349</v>
      </c>
      <c r="D27165" t="s">
        <v>23310</v>
      </c>
    </row>
    <row r="27166" spans="1:4" x14ac:dyDescent="0.2">
      <c r="B27166" t="s">
        <v>350</v>
      </c>
      <c r="D27166" t="s">
        <v>23311</v>
      </c>
    </row>
    <row r="27167" spans="1:4" x14ac:dyDescent="0.2">
      <c r="B27167" t="s">
        <v>351</v>
      </c>
      <c r="D27167" t="s">
        <v>23312</v>
      </c>
    </row>
    <row r="27169" spans="1:4" x14ac:dyDescent="0.2">
      <c r="A27169" t="s">
        <v>8962</v>
      </c>
      <c r="B27169" t="str">
        <f>HYPERLINK("https://lindat.mff.cuni.cz/services/teitok/pdtc10/index.php?action=vallex&amp;frame=v-w3574f4", "podívat se (v-w3574f4)")</f>
        <v>podívat se (v-w3574f4)</v>
      </c>
    </row>
    <row r="27170" spans="1:4" x14ac:dyDescent="0.2">
      <c r="B27170" t="s">
        <v>1</v>
      </c>
      <c r="C27170" t="s">
        <v>4807</v>
      </c>
      <c r="D27170" t="s">
        <v>23125</v>
      </c>
    </row>
    <row r="27171" spans="1:4" x14ac:dyDescent="0.2">
      <c r="B27171" t="s">
        <v>1165</v>
      </c>
      <c r="C27171" t="s">
        <v>4494</v>
      </c>
      <c r="D27171" t="s">
        <v>23126</v>
      </c>
    </row>
    <row r="27173" spans="1:4" x14ac:dyDescent="0.2">
      <c r="A27173" t="s">
        <v>8963</v>
      </c>
      <c r="B27173" t="str">
        <f>HYPERLINK("https://lindat.mff.cuni.cz/services/teitok/pdtc10/index.php?action=vallex&amp;frame=v-w3574f1", "podívat se (v-w3574f1)")</f>
        <v>podívat se (v-w3574f1)</v>
      </c>
    </row>
    <row r="27174" spans="1:4" x14ac:dyDescent="0.2">
      <c r="B27174" t="s">
        <v>1</v>
      </c>
      <c r="C27174" t="s">
        <v>1349</v>
      </c>
      <c r="D27174" t="s">
        <v>317</v>
      </c>
    </row>
    <row r="27175" spans="1:4" x14ac:dyDescent="0.2">
      <c r="B27175" t="s">
        <v>90</v>
      </c>
      <c r="C27175" t="s">
        <v>8964</v>
      </c>
      <c r="D27175" t="s">
        <v>23313</v>
      </c>
    </row>
    <row r="27177" spans="1:4" x14ac:dyDescent="0.2">
      <c r="A27177" t="s">
        <v>8965</v>
      </c>
      <c r="B27177" t="str">
        <f>HYPERLINK("https://lindat.mff.cuni.cz/services/teitok/pdtc10/index.php?action=vallex&amp;frame=v-w3574f6_ZU", "podívat se (v-w3574f6_ZU)")</f>
        <v>podívat se (v-w3574f6_ZU)</v>
      </c>
    </row>
    <row r="27178" spans="1:4" x14ac:dyDescent="0.2">
      <c r="B27178" t="s">
        <v>1</v>
      </c>
    </row>
    <row r="27179" spans="1:4" x14ac:dyDescent="0.2">
      <c r="B27179" t="s">
        <v>28</v>
      </c>
    </row>
    <row r="27181" spans="1:4" x14ac:dyDescent="0.2">
      <c r="A27181" t="s">
        <v>8966</v>
      </c>
      <c r="B27181" t="str">
        <f>HYPERLINK("https://lindat.mff.cuni.cz/services/teitok/pdtc10/index.php?action=vallex&amp;frame=v-w3574f7_ZU", "podívat se (v-w3574f7_ZU)")</f>
        <v>podívat se (v-w3574f7_ZU)</v>
      </c>
    </row>
    <row r="27182" spans="1:4" x14ac:dyDescent="0.2">
      <c r="B27182" t="s">
        <v>1</v>
      </c>
    </row>
    <row r="27183" spans="1:4" x14ac:dyDescent="0.2">
      <c r="B27183" t="s">
        <v>889</v>
      </c>
    </row>
    <row r="27185" spans="1:2" x14ac:dyDescent="0.2">
      <c r="A27185" t="s">
        <v>8966</v>
      </c>
      <c r="B27185" t="str">
        <f>HYPERLINK("https://lindat.mff.cuni.cz/services/teitok/pdtc10/index.php?action=vallex&amp;frame=v-w3574f5_ZU", "podívat se (v-w3574f5_ZU) - substituted with v-w3574f7_ZU")</f>
        <v>podívat se (v-w3574f5_ZU) - substituted with v-w3574f7_ZU</v>
      </c>
    </row>
    <row r="27186" spans="1:2" x14ac:dyDescent="0.2">
      <c r="B27186" t="s">
        <v>1</v>
      </c>
    </row>
    <row r="27187" spans="1:2" x14ac:dyDescent="0.2">
      <c r="B27187" t="s">
        <v>889</v>
      </c>
    </row>
    <row r="27189" spans="1:2" x14ac:dyDescent="0.2">
      <c r="A27189" t="s">
        <v>8967</v>
      </c>
      <c r="B27189" t="str">
        <f>HYPERLINK("https://lindat.mff.cuni.cz/services/teitok/pdtc10/index.php?action=vallex&amp;frame=v-w3574hsa_1021", "podívat se (v-w3574hsa_1021)")</f>
        <v>podívat se (v-w3574hsa_1021)</v>
      </c>
    </row>
    <row r="27190" spans="1:2" x14ac:dyDescent="0.2">
      <c r="B27190" t="s">
        <v>1</v>
      </c>
    </row>
    <row r="27191" spans="1:2" x14ac:dyDescent="0.2">
      <c r="B27191" t="s">
        <v>8968</v>
      </c>
    </row>
    <row r="27193" spans="1:2" x14ac:dyDescent="0.2">
      <c r="A27193" t="s">
        <v>8969</v>
      </c>
      <c r="B27193" t="str">
        <f>HYPERLINK("https://lindat.mff.cuni.cz/services/teitok/pdtc10/index.php?action=vallex&amp;frame=v-w3574hsa_1022", "podívat se (v-w3574hsa_1022)")</f>
        <v>podívat se (v-w3574hsa_1022)</v>
      </c>
    </row>
    <row r="27194" spans="1:2" x14ac:dyDescent="0.2">
      <c r="B27194" t="s">
        <v>1</v>
      </c>
    </row>
    <row r="27195" spans="1:2" x14ac:dyDescent="0.2">
      <c r="B27195" t="s">
        <v>5</v>
      </c>
    </row>
    <row r="27197" spans="1:2" x14ac:dyDescent="0.2">
      <c r="A27197" t="s">
        <v>8970</v>
      </c>
      <c r="B27197" t="str">
        <f>HYPERLINK("https://lindat.mff.cuni.cz/services/teitok/pdtc10/index.php?action=vallex&amp;frame=v-whsa_1128f1_ZU", "podědit (v-whsa_1128f1_ZU)")</f>
        <v>podědit (v-whsa_1128f1_ZU)</v>
      </c>
    </row>
    <row r="27198" spans="1:2" x14ac:dyDescent="0.2">
      <c r="B27198" t="s">
        <v>1</v>
      </c>
    </row>
    <row r="27199" spans="1:2" x14ac:dyDescent="0.2">
      <c r="B27199" t="s">
        <v>8</v>
      </c>
    </row>
    <row r="27201" spans="1:4" x14ac:dyDescent="0.2">
      <c r="A27201" t="s">
        <v>8970</v>
      </c>
      <c r="B27201" t="str">
        <f>HYPERLINK("https://lindat.mff.cuni.cz/services/teitok/pdtc10/index.php?action=vallex&amp;frame=v-whsa_1128hsa_1129", "podědit (v-whsa_1128hsa_1129) - substituted with v-whsa_1128f1_ZU")</f>
        <v>podědit (v-whsa_1128hsa_1129) - substituted with v-whsa_1128f1_ZU</v>
      </c>
    </row>
    <row r="27202" spans="1:4" x14ac:dyDescent="0.2">
      <c r="B27202" t="s">
        <v>1</v>
      </c>
    </row>
    <row r="27203" spans="1:4" x14ac:dyDescent="0.2">
      <c r="B27203" t="s">
        <v>8</v>
      </c>
    </row>
    <row r="27205" spans="1:4" x14ac:dyDescent="0.2">
      <c r="A27205" t="s">
        <v>8971</v>
      </c>
      <c r="B27205" t="str">
        <f>HYPERLINK("https://lindat.mff.cuni.cz/services/teitok/pdtc10/index.php?action=vallex&amp;frame=v-w3551f2_ZU", "poděkovat (v-w3551f2_ZU)")</f>
        <v>poděkovat (v-w3551f2_ZU)</v>
      </c>
    </row>
    <row r="27206" spans="1:4" x14ac:dyDescent="0.2">
      <c r="B27206" t="s">
        <v>1</v>
      </c>
    </row>
    <row r="27207" spans="1:4" x14ac:dyDescent="0.2">
      <c r="B27207" t="s">
        <v>35</v>
      </c>
    </row>
    <row r="27208" spans="1:4" x14ac:dyDescent="0.2">
      <c r="B27208" t="s">
        <v>8972</v>
      </c>
    </row>
    <row r="27210" spans="1:4" x14ac:dyDescent="0.2">
      <c r="A27210" t="s">
        <v>8971</v>
      </c>
      <c r="B27210" t="str">
        <f>HYPERLINK("https://lindat.mff.cuni.cz/services/teitok/pdtc10/index.php?action=vallex&amp;frame=v-w3551f1", "poděkovat (v-w3551f1) - substituted with v-w3551f2_ZU")</f>
        <v>poděkovat (v-w3551f1) - substituted with v-w3551f2_ZU</v>
      </c>
    </row>
    <row r="27211" spans="1:4" x14ac:dyDescent="0.2">
      <c r="B27211" t="s">
        <v>1</v>
      </c>
      <c r="C27211" t="s">
        <v>133</v>
      </c>
      <c r="D27211" t="s">
        <v>133</v>
      </c>
    </row>
    <row r="27212" spans="1:4" x14ac:dyDescent="0.2">
      <c r="B27212" t="s">
        <v>35</v>
      </c>
      <c r="C27212" t="s">
        <v>2901</v>
      </c>
      <c r="D27212" t="s">
        <v>2901</v>
      </c>
    </row>
    <row r="27213" spans="1:4" x14ac:dyDescent="0.2">
      <c r="B27213" t="s">
        <v>8972</v>
      </c>
      <c r="C27213" t="s">
        <v>2902</v>
      </c>
      <c r="D27213" t="s">
        <v>2902</v>
      </c>
    </row>
    <row r="27215" spans="1:4" x14ac:dyDescent="0.2">
      <c r="A27215" t="s">
        <v>8973</v>
      </c>
      <c r="B27215" t="str">
        <f>HYPERLINK("https://lindat.mff.cuni.cz/services/teitok/pdtc10/index.php?action=vallex&amp;frame=v-w3552f1", "poděkovat se (v-w3552f1)")</f>
        <v>poděkovat se (v-w3552f1)</v>
      </c>
    </row>
    <row r="27216" spans="1:4" x14ac:dyDescent="0.2">
      <c r="B27216" t="s">
        <v>1</v>
      </c>
      <c r="D27216" t="s">
        <v>133</v>
      </c>
    </row>
    <row r="27217" spans="1:4" x14ac:dyDescent="0.2">
      <c r="B27217" t="s">
        <v>35</v>
      </c>
      <c r="D27217" t="s">
        <v>2901</v>
      </c>
    </row>
    <row r="27218" spans="1:4" x14ac:dyDescent="0.2">
      <c r="B27218" t="s">
        <v>1382</v>
      </c>
      <c r="D27218" t="s">
        <v>2902</v>
      </c>
    </row>
    <row r="27220" spans="1:4" x14ac:dyDescent="0.2">
      <c r="A27220" t="s">
        <v>8974</v>
      </c>
      <c r="B27220" t="str">
        <f>HYPERLINK("https://lindat.mff.cuni.cz/services/teitok/pdtc10/index.php?action=vallex&amp;frame=v-w11762_ZUf1_ZU", "podělit (v-w11762_ZUf1_ZU)")</f>
        <v>podělit (v-w11762_ZUf1_ZU)</v>
      </c>
    </row>
    <row r="27221" spans="1:4" x14ac:dyDescent="0.2">
      <c r="B27221" t="s">
        <v>1</v>
      </c>
    </row>
    <row r="27222" spans="1:4" x14ac:dyDescent="0.2">
      <c r="B27222" t="s">
        <v>8</v>
      </c>
    </row>
    <row r="27224" spans="1:4" x14ac:dyDescent="0.2">
      <c r="A27224" t="s">
        <v>8975</v>
      </c>
      <c r="B27224" t="str">
        <f>HYPERLINK("https://lindat.mff.cuni.cz/services/teitok/pdtc10/index.php?action=vallex&amp;frame=v-w11762_ZUf3_MM", "podělit (v-w11762_ZUf3_MM)")</f>
        <v>podělit (v-w11762_ZUf3_MM)</v>
      </c>
    </row>
    <row r="27225" spans="1:4" x14ac:dyDescent="0.2">
      <c r="B27225" t="s">
        <v>1</v>
      </c>
    </row>
    <row r="27226" spans="1:4" x14ac:dyDescent="0.2">
      <c r="B27226" t="s">
        <v>8</v>
      </c>
    </row>
    <row r="27227" spans="1:4" x14ac:dyDescent="0.2">
      <c r="B27227" t="s">
        <v>1193</v>
      </c>
    </row>
    <row r="27229" spans="1:4" x14ac:dyDescent="0.2">
      <c r="A27229" t="s">
        <v>8975</v>
      </c>
      <c r="B27229" t="str">
        <f>HYPERLINK("https://lindat.mff.cuni.cz/services/teitok/pdtc10/index.php?action=vallex&amp;frame=v-w11762_ZUf2_MM", "podělit (v-w11762_ZUf2_MM) - substituted with v-w11762_ZUf3_MM")</f>
        <v>podělit (v-w11762_ZUf2_MM) - substituted with v-w11762_ZUf3_MM</v>
      </c>
    </row>
    <row r="27230" spans="1:4" x14ac:dyDescent="0.2">
      <c r="B27230" t="s">
        <v>1</v>
      </c>
    </row>
    <row r="27231" spans="1:4" x14ac:dyDescent="0.2">
      <c r="B27231" t="s">
        <v>8</v>
      </c>
    </row>
    <row r="27232" spans="1:4" x14ac:dyDescent="0.2">
      <c r="B27232" t="s">
        <v>1193</v>
      </c>
    </row>
    <row r="27234" spans="1:4" x14ac:dyDescent="0.2">
      <c r="A27234" t="s">
        <v>8976</v>
      </c>
      <c r="B27234" t="str">
        <f>HYPERLINK("https://lindat.mff.cuni.cz/services/teitok/pdtc10/index.php?action=vallex&amp;frame=v-w3553f1", "podělit se (v-w3553f1)")</f>
        <v>podělit se (v-w3553f1)</v>
      </c>
    </row>
    <row r="27235" spans="1:4" x14ac:dyDescent="0.2">
      <c r="B27235" t="s">
        <v>1</v>
      </c>
      <c r="C27235" t="s">
        <v>8977</v>
      </c>
      <c r="D27235" t="s">
        <v>1106</v>
      </c>
    </row>
    <row r="27236" spans="1:4" x14ac:dyDescent="0.2">
      <c r="B27236" t="s">
        <v>467</v>
      </c>
      <c r="C27236" t="s">
        <v>8978</v>
      </c>
      <c r="D27236" t="s">
        <v>6116</v>
      </c>
    </row>
    <row r="27237" spans="1:4" x14ac:dyDescent="0.2">
      <c r="B27237" t="s">
        <v>153</v>
      </c>
      <c r="C27237" t="s">
        <v>8979</v>
      </c>
      <c r="D27237" t="s">
        <v>3041</v>
      </c>
    </row>
    <row r="27239" spans="1:4" x14ac:dyDescent="0.2">
      <c r="A27239" t="s">
        <v>8980</v>
      </c>
      <c r="B27239" t="str">
        <f>HYPERLINK("https://lindat.mff.cuni.cz/services/teitok/pdtc10/index.php?action=vallex&amp;frame=v-whsa_294hsa_295", "poděsit (v-whsa_294hsa_295)")</f>
        <v>poděsit (v-whsa_294hsa_295)</v>
      </c>
    </row>
    <row r="27240" spans="1:4" x14ac:dyDescent="0.2">
      <c r="B27240" t="s">
        <v>1</v>
      </c>
    </row>
    <row r="27241" spans="1:4" x14ac:dyDescent="0.2">
      <c r="B27241" t="s">
        <v>8</v>
      </c>
    </row>
    <row r="27243" spans="1:4" x14ac:dyDescent="0.2">
      <c r="A27243" t="s">
        <v>8981</v>
      </c>
      <c r="B27243" t="str">
        <f>HYPERLINK("https://lindat.mff.cuni.cz/services/teitok/pdtc10/index.php?action=vallex&amp;frame=v-w3635f1", "podřadit (v-w3635f1)")</f>
        <v>podřadit (v-w3635f1)</v>
      </c>
    </row>
    <row r="27244" spans="1:4" x14ac:dyDescent="0.2">
      <c r="B27244" t="s">
        <v>1</v>
      </c>
    </row>
    <row r="27245" spans="1:4" x14ac:dyDescent="0.2">
      <c r="B27245" t="s">
        <v>8</v>
      </c>
    </row>
    <row r="27246" spans="1:4" x14ac:dyDescent="0.2">
      <c r="B27246" t="s">
        <v>90</v>
      </c>
    </row>
    <row r="27248" spans="1:4" x14ac:dyDescent="0.2">
      <c r="A27248" t="s">
        <v>8982</v>
      </c>
      <c r="B27248" t="str">
        <f>HYPERLINK("https://lindat.mff.cuni.cz/services/teitok/pdtc10/index.php?action=vallex&amp;frame=v-whsa_184f2_ZU", "podřezat (v-whsa_184f2_ZU)")</f>
        <v>podřezat (v-whsa_184f2_ZU)</v>
      </c>
    </row>
    <row r="27249" spans="1:2" x14ac:dyDescent="0.2">
      <c r="B27249" t="s">
        <v>1</v>
      </c>
    </row>
    <row r="27250" spans="1:2" x14ac:dyDescent="0.2">
      <c r="B27250" t="s">
        <v>8</v>
      </c>
    </row>
    <row r="27252" spans="1:2" x14ac:dyDescent="0.2">
      <c r="A27252" t="s">
        <v>8983</v>
      </c>
      <c r="B27252" t="str">
        <f>HYPERLINK("https://lindat.mff.cuni.cz/services/teitok/pdtc10/index.php?action=vallex&amp;frame=v-whsa_184f3_ZU", "podřezat (v-whsa_184f3_ZU)")</f>
        <v>podřezat (v-whsa_184f3_ZU)</v>
      </c>
    </row>
    <row r="27253" spans="1:2" x14ac:dyDescent="0.2">
      <c r="B27253" t="s">
        <v>1</v>
      </c>
    </row>
    <row r="27254" spans="1:2" x14ac:dyDescent="0.2">
      <c r="B27254" t="s">
        <v>8984</v>
      </c>
    </row>
    <row r="27256" spans="1:2" x14ac:dyDescent="0.2">
      <c r="A27256" t="s">
        <v>8983</v>
      </c>
      <c r="B27256" t="str">
        <f>HYPERLINK("https://lindat.mff.cuni.cz/services/teitok/pdtc10/index.php?action=vallex&amp;frame=v-whsa_184f1_ZU", "podřezat (v-whsa_184f1_ZU) - substituted with v-whsa_184f3_ZU")</f>
        <v>podřezat (v-whsa_184f1_ZU) - substituted with v-whsa_184f3_ZU</v>
      </c>
    </row>
    <row r="27257" spans="1:2" x14ac:dyDescent="0.2">
      <c r="B27257" t="s">
        <v>1</v>
      </c>
    </row>
    <row r="27258" spans="1:2" x14ac:dyDescent="0.2">
      <c r="B27258" t="s">
        <v>8984</v>
      </c>
    </row>
    <row r="27260" spans="1:2" x14ac:dyDescent="0.2">
      <c r="A27260" t="s">
        <v>8983</v>
      </c>
      <c r="B27260" t="str">
        <f>HYPERLINK("https://lindat.mff.cuni.cz/services/teitok/pdtc10/index.php?action=vallex&amp;frame=v-whsa_184hsa_185", "podřezat (v-whsa_184hsa_185) - substituted with v-whsa_184f3_ZU")</f>
        <v>podřezat (v-whsa_184hsa_185) - substituted with v-whsa_184f3_ZU</v>
      </c>
    </row>
    <row r="27261" spans="1:2" x14ac:dyDescent="0.2">
      <c r="B27261" t="s">
        <v>1</v>
      </c>
    </row>
    <row r="27262" spans="1:2" x14ac:dyDescent="0.2">
      <c r="B27262" t="s">
        <v>8984</v>
      </c>
    </row>
    <row r="27264" spans="1:2" x14ac:dyDescent="0.2">
      <c r="A27264" t="s">
        <v>8985</v>
      </c>
      <c r="B27264" t="str">
        <f>HYPERLINK("https://lindat.mff.cuni.cz/services/teitok/pdtc10/index.php?action=vallex&amp;frame=v-w11664_ZUf1_ZU", "podřezávat (v-w11664_ZUf1_ZU)")</f>
        <v>podřezávat (v-w11664_ZUf1_ZU)</v>
      </c>
    </row>
    <row r="27265" spans="1:4" x14ac:dyDescent="0.2">
      <c r="B27265" t="s">
        <v>1</v>
      </c>
    </row>
    <row r="27266" spans="1:4" x14ac:dyDescent="0.2">
      <c r="B27266" t="s">
        <v>8984</v>
      </c>
      <c r="C27266" t="s">
        <v>397</v>
      </c>
    </row>
    <row r="27268" spans="1:4" x14ac:dyDescent="0.2">
      <c r="A27268" t="s">
        <v>8986</v>
      </c>
      <c r="B27268" t="str">
        <f>HYPERLINK("https://lindat.mff.cuni.cz/services/teitok/pdtc10/index.php?action=vallex&amp;frame=v-w3638f1", "podřimovat (v-w3638f1)")</f>
        <v>podřimovat (v-w3638f1)</v>
      </c>
    </row>
    <row r="27269" spans="1:4" x14ac:dyDescent="0.2">
      <c r="B27269" t="s">
        <v>1</v>
      </c>
    </row>
    <row r="27271" spans="1:4" x14ac:dyDescent="0.2">
      <c r="A27271" t="s">
        <v>8987</v>
      </c>
      <c r="B27271" t="str">
        <f>HYPERLINK("https://lindat.mff.cuni.cz/services/teitok/pdtc10/index.php?action=vallex&amp;frame=v-w3642f1", "podřizovat (v-w3642f1)")</f>
        <v>podřizovat (v-w3642f1)</v>
      </c>
    </row>
    <row r="27272" spans="1:4" x14ac:dyDescent="0.2">
      <c r="B27272" t="s">
        <v>1</v>
      </c>
      <c r="C27272" t="s">
        <v>154</v>
      </c>
      <c r="D27272" t="s">
        <v>140</v>
      </c>
    </row>
    <row r="27273" spans="1:4" x14ac:dyDescent="0.2">
      <c r="B27273" t="s">
        <v>8</v>
      </c>
      <c r="C27273" t="s">
        <v>8988</v>
      </c>
      <c r="D27273" t="s">
        <v>34</v>
      </c>
    </row>
    <row r="27274" spans="1:4" x14ac:dyDescent="0.2">
      <c r="B27274" t="s">
        <v>35</v>
      </c>
      <c r="C27274" t="s">
        <v>4440</v>
      </c>
      <c r="D27274" t="s">
        <v>4440</v>
      </c>
    </row>
    <row r="27276" spans="1:4" x14ac:dyDescent="0.2">
      <c r="A27276" t="s">
        <v>8989</v>
      </c>
      <c r="B27276" t="str">
        <f>HYPERLINK("https://lindat.mff.cuni.cz/services/teitok/pdtc10/index.php?action=vallex&amp;frame=v-whsa_1144f1_ZU", "podřizovat se (v-whsa_1144f1_ZU)")</f>
        <v>podřizovat se (v-whsa_1144f1_ZU)</v>
      </c>
    </row>
    <row r="27277" spans="1:4" x14ac:dyDescent="0.2">
      <c r="B27277" t="s">
        <v>1</v>
      </c>
      <c r="C27277" t="s">
        <v>249</v>
      </c>
      <c r="D27277" t="s">
        <v>9938</v>
      </c>
    </row>
    <row r="27278" spans="1:4" x14ac:dyDescent="0.2">
      <c r="B27278" t="s">
        <v>103</v>
      </c>
      <c r="C27278" t="s">
        <v>23</v>
      </c>
      <c r="D27278" t="s">
        <v>4088</v>
      </c>
    </row>
    <row r="27280" spans="1:4" x14ac:dyDescent="0.2">
      <c r="A27280" t="s">
        <v>8989</v>
      </c>
      <c r="B27280" t="str">
        <f>HYPERLINK("https://lindat.mff.cuni.cz/services/teitok/pdtc10/index.php?action=vallex&amp;frame=v-whsa_1144hsa_1145", "podřizovat se (v-whsa_1144hsa_1145) - substituted with v-whsa_1144f1_ZU")</f>
        <v>podřizovat se (v-whsa_1144hsa_1145) - substituted with v-whsa_1144f1_ZU</v>
      </c>
    </row>
    <row r="27281" spans="1:4" x14ac:dyDescent="0.2">
      <c r="B27281" t="s">
        <v>1</v>
      </c>
    </row>
    <row r="27282" spans="1:4" x14ac:dyDescent="0.2">
      <c r="B27282" t="s">
        <v>103</v>
      </c>
    </row>
    <row r="27284" spans="1:4" x14ac:dyDescent="0.2">
      <c r="A27284" t="s">
        <v>8990</v>
      </c>
      <c r="B27284" t="str">
        <f>HYPERLINK("https://lindat.mff.cuni.cz/services/teitok/pdtc10/index.php?action=vallex&amp;frame=v-w3636f1", "podřídit (v-w3636f1)")</f>
        <v>podřídit (v-w3636f1)</v>
      </c>
    </row>
    <row r="27285" spans="1:4" x14ac:dyDescent="0.2">
      <c r="B27285" t="s">
        <v>1</v>
      </c>
      <c r="C27285" t="s">
        <v>8991</v>
      </c>
      <c r="D27285" t="s">
        <v>140</v>
      </c>
    </row>
    <row r="27286" spans="1:4" x14ac:dyDescent="0.2">
      <c r="B27286" t="s">
        <v>8</v>
      </c>
      <c r="C27286" t="s">
        <v>8992</v>
      </c>
      <c r="D27286" t="s">
        <v>34</v>
      </c>
    </row>
    <row r="27287" spans="1:4" x14ac:dyDescent="0.2">
      <c r="B27287" t="s">
        <v>35</v>
      </c>
      <c r="C27287" t="s">
        <v>8993</v>
      </c>
      <c r="D27287" t="s">
        <v>4440</v>
      </c>
    </row>
    <row r="27289" spans="1:4" x14ac:dyDescent="0.2">
      <c r="A27289" t="s">
        <v>8994</v>
      </c>
      <c r="B27289" t="str">
        <f>HYPERLINK("https://lindat.mff.cuni.cz/services/teitok/pdtc10/index.php?action=vallex&amp;frame=v-w3637f1", "podřídit se (v-w3637f1)")</f>
        <v>podřídit se (v-w3637f1)</v>
      </c>
    </row>
    <row r="27290" spans="1:4" x14ac:dyDescent="0.2">
      <c r="B27290" t="s">
        <v>1</v>
      </c>
      <c r="C27290" t="s">
        <v>334</v>
      </c>
      <c r="D27290" t="s">
        <v>9938</v>
      </c>
    </row>
    <row r="27291" spans="1:4" x14ac:dyDescent="0.2">
      <c r="B27291" t="s">
        <v>103</v>
      </c>
      <c r="C27291" t="s">
        <v>359</v>
      </c>
      <c r="D27291" t="s">
        <v>4088</v>
      </c>
    </row>
    <row r="27293" spans="1:4" x14ac:dyDescent="0.2">
      <c r="A27293" t="s">
        <v>8995</v>
      </c>
      <c r="B27293" t="str">
        <f>HYPERLINK("https://lindat.mff.cuni.cz/services/teitok/pdtc10/index.php?action=vallex&amp;frame=v-w10550f2", "podříznout (v-w10550f2)")</f>
        <v>podříznout (v-w10550f2)</v>
      </c>
    </row>
    <row r="27294" spans="1:4" x14ac:dyDescent="0.2">
      <c r="B27294" t="s">
        <v>1</v>
      </c>
      <c r="D27294" t="s">
        <v>11295</v>
      </c>
    </row>
    <row r="27295" spans="1:4" x14ac:dyDescent="0.2">
      <c r="B27295" t="s">
        <v>8</v>
      </c>
      <c r="D27295" t="s">
        <v>13639</v>
      </c>
    </row>
    <row r="27297" spans="1:4" x14ac:dyDescent="0.2">
      <c r="A27297" t="s">
        <v>8996</v>
      </c>
      <c r="B27297" t="str">
        <f>HYPERLINK("https://lindat.mff.cuni.cz/services/teitok/pdtc10/index.php?action=vallex&amp;frame=v-whsa_145hsa_146", "poflakovat se (v-whsa_145hsa_146)")</f>
        <v>poflakovat se (v-whsa_145hsa_146)</v>
      </c>
    </row>
    <row r="27298" spans="1:4" x14ac:dyDescent="0.2">
      <c r="B27298" t="s">
        <v>1</v>
      </c>
    </row>
    <row r="27300" spans="1:4" x14ac:dyDescent="0.2">
      <c r="A27300" t="s">
        <v>8997</v>
      </c>
      <c r="B27300" t="str">
        <f>HYPERLINK("https://lindat.mff.cuni.cz/services/teitok/pdtc10/index.php?action=vallex&amp;frame=v-w11974_ZUf1_ZU", "pofoukat (v-w11974_ZUf1_ZU)")</f>
        <v>pofoukat (v-w11974_ZUf1_ZU)</v>
      </c>
    </row>
    <row r="27301" spans="1:4" x14ac:dyDescent="0.2">
      <c r="B27301" t="s">
        <v>1</v>
      </c>
    </row>
    <row r="27302" spans="1:4" x14ac:dyDescent="0.2">
      <c r="B27302" t="s">
        <v>8</v>
      </c>
    </row>
    <row r="27304" spans="1:4" x14ac:dyDescent="0.2">
      <c r="A27304" t="s">
        <v>8998</v>
      </c>
      <c r="B27304" t="str">
        <f>HYPERLINK("https://lindat.mff.cuni.cz/services/teitok/pdtc10/index.php?action=vallex&amp;frame=v-whsa_608hsa_609", "pogratulovat (v-whsa_608hsa_609)")</f>
        <v>pogratulovat (v-whsa_608hsa_609)</v>
      </c>
    </row>
    <row r="27305" spans="1:4" x14ac:dyDescent="0.2">
      <c r="B27305" t="s">
        <v>1</v>
      </c>
    </row>
    <row r="27306" spans="1:4" x14ac:dyDescent="0.2">
      <c r="B27306" t="s">
        <v>176</v>
      </c>
    </row>
    <row r="27307" spans="1:4" x14ac:dyDescent="0.2">
      <c r="B27307" t="s">
        <v>35</v>
      </c>
    </row>
    <row r="27309" spans="1:4" x14ac:dyDescent="0.2">
      <c r="A27309" t="s">
        <v>8999</v>
      </c>
      <c r="B27309" t="str">
        <f>HYPERLINK("https://lindat.mff.cuni.cz/services/teitok/pdtc10/index.php?action=vallex&amp;frame=v-w3666f1", "pohasnout (v-w3666f1)")</f>
        <v>pohasnout (v-w3666f1)</v>
      </c>
    </row>
    <row r="27310" spans="1:4" x14ac:dyDescent="0.2">
      <c r="B27310" t="s">
        <v>1</v>
      </c>
      <c r="D27310" t="s">
        <v>23825</v>
      </c>
    </row>
    <row r="27312" spans="1:4" x14ac:dyDescent="0.2">
      <c r="A27312" t="s">
        <v>9000</v>
      </c>
      <c r="B27312" t="str">
        <f>HYPERLINK("https://lindat.mff.cuni.cz/services/teitok/pdtc10/index.php?action=vallex&amp;frame=v-w3668f1", "pohladit (v-w3668f1)")</f>
        <v>pohladit (v-w3668f1)</v>
      </c>
    </row>
    <row r="27313" spans="1:4" x14ac:dyDescent="0.2">
      <c r="B27313" t="s">
        <v>1</v>
      </c>
    </row>
    <row r="27314" spans="1:4" x14ac:dyDescent="0.2">
      <c r="B27314" t="s">
        <v>8</v>
      </c>
    </row>
    <row r="27316" spans="1:4" x14ac:dyDescent="0.2">
      <c r="A27316" t="s">
        <v>9001</v>
      </c>
      <c r="B27316" t="str">
        <f>HYPERLINK("https://lindat.mff.cuni.cz/services/teitok/pdtc10/index.php?action=vallex&amp;frame=v-w3669f1", "pohladit si (v-w3669f1)")</f>
        <v>pohladit si (v-w3669f1)</v>
      </c>
    </row>
    <row r="27317" spans="1:4" x14ac:dyDescent="0.2">
      <c r="B27317" t="s">
        <v>1</v>
      </c>
    </row>
    <row r="27318" spans="1:4" x14ac:dyDescent="0.2">
      <c r="B27318" t="s">
        <v>8</v>
      </c>
    </row>
    <row r="27320" spans="1:4" x14ac:dyDescent="0.2">
      <c r="A27320" t="s">
        <v>9002</v>
      </c>
      <c r="B27320" t="str">
        <f>HYPERLINK("https://lindat.mff.cuni.cz/services/teitok/pdtc10/index.php?action=vallex&amp;frame=v-w3671f1", "pohlcovat (v-w3671f1)")</f>
        <v>pohlcovat (v-w3671f1)</v>
      </c>
    </row>
    <row r="27321" spans="1:4" x14ac:dyDescent="0.2">
      <c r="B27321" t="s">
        <v>1</v>
      </c>
      <c r="C27321" t="s">
        <v>990</v>
      </c>
      <c r="D27321" t="s">
        <v>967</v>
      </c>
    </row>
    <row r="27322" spans="1:4" x14ac:dyDescent="0.2">
      <c r="B27322" t="s">
        <v>8</v>
      </c>
      <c r="C27322" t="s">
        <v>125</v>
      </c>
      <c r="D27322" t="s">
        <v>5674</v>
      </c>
    </row>
    <row r="27324" spans="1:4" x14ac:dyDescent="0.2">
      <c r="A27324" t="s">
        <v>9003</v>
      </c>
      <c r="B27324" t="str">
        <f>HYPERLINK("https://lindat.mff.cuni.cz/services/teitok/pdtc10/index.php?action=vallex&amp;frame=v-w3673f1", "pohledávat (v-w3673f1)")</f>
        <v>pohledávat (v-w3673f1)</v>
      </c>
    </row>
    <row r="27325" spans="1:4" x14ac:dyDescent="0.2">
      <c r="B27325" t="s">
        <v>1</v>
      </c>
    </row>
    <row r="27326" spans="1:4" x14ac:dyDescent="0.2">
      <c r="B27326" t="s">
        <v>8</v>
      </c>
    </row>
    <row r="27328" spans="1:4" x14ac:dyDescent="0.2">
      <c r="A27328" t="s">
        <v>9004</v>
      </c>
      <c r="B27328" t="str">
        <f>HYPERLINK("https://lindat.mff.cuni.cz/services/teitok/pdtc10/index.php?action=vallex&amp;frame=v-w3678f1", "pohltit (v-w3678f1)")</f>
        <v>pohltit (v-w3678f1)</v>
      </c>
    </row>
    <row r="27329" spans="1:4" x14ac:dyDescent="0.2">
      <c r="B27329" t="s">
        <v>1</v>
      </c>
      <c r="C27329" t="s">
        <v>3292</v>
      </c>
      <c r="D27329" t="s">
        <v>16309</v>
      </c>
    </row>
    <row r="27330" spans="1:4" x14ac:dyDescent="0.2">
      <c r="B27330" t="s">
        <v>8</v>
      </c>
      <c r="C27330" t="s">
        <v>9005</v>
      </c>
      <c r="D27330" t="s">
        <v>23826</v>
      </c>
    </row>
    <row r="27332" spans="1:4" x14ac:dyDescent="0.2">
      <c r="A27332" t="s">
        <v>9006</v>
      </c>
      <c r="B27332" t="str">
        <f>HYPERLINK("https://lindat.mff.cuni.cz/services/teitok/pdtc10/index.php?action=vallex&amp;frame=v-w3675f2", "pohlédnout (v-w3675f2)")</f>
        <v>pohlédnout (v-w3675f2)</v>
      </c>
    </row>
    <row r="27333" spans="1:4" x14ac:dyDescent="0.2">
      <c r="B27333" t="s">
        <v>1</v>
      </c>
    </row>
    <row r="27334" spans="1:4" x14ac:dyDescent="0.2">
      <c r="B27334" t="s">
        <v>28</v>
      </c>
    </row>
    <row r="27335" spans="1:4" x14ac:dyDescent="0.2">
      <c r="B27335" t="s">
        <v>346</v>
      </c>
    </row>
    <row r="27336" spans="1:4" x14ac:dyDescent="0.2">
      <c r="B27336" t="s">
        <v>349</v>
      </c>
    </row>
    <row r="27337" spans="1:4" x14ac:dyDescent="0.2">
      <c r="B27337" t="s">
        <v>350</v>
      </c>
    </row>
    <row r="27338" spans="1:4" x14ac:dyDescent="0.2">
      <c r="B27338" t="s">
        <v>351</v>
      </c>
    </row>
    <row r="27340" spans="1:4" x14ac:dyDescent="0.2">
      <c r="A27340" t="s">
        <v>9007</v>
      </c>
      <c r="B27340" t="str">
        <f>HYPERLINK("https://lindat.mff.cuni.cz/services/teitok/pdtc10/index.php?action=vallex&amp;frame=v-w3675f1", "pohlédnout (v-w3675f1)")</f>
        <v>pohlédnout (v-w3675f1)</v>
      </c>
    </row>
    <row r="27341" spans="1:4" x14ac:dyDescent="0.2">
      <c r="B27341" t="s">
        <v>1</v>
      </c>
    </row>
    <row r="27342" spans="1:4" x14ac:dyDescent="0.2">
      <c r="B27342" t="s">
        <v>90</v>
      </c>
    </row>
    <row r="27344" spans="1:4" x14ac:dyDescent="0.2">
      <c r="A27344" t="s">
        <v>9008</v>
      </c>
      <c r="B27344" t="str">
        <f>HYPERLINK("https://lindat.mff.cuni.cz/services/teitok/pdtc10/index.php?action=vallex&amp;frame=v-w3676f1", "pohlídat (v-w3676f1)")</f>
        <v>pohlídat (v-w3676f1)</v>
      </c>
    </row>
    <row r="27345" spans="1:4" x14ac:dyDescent="0.2">
      <c r="B27345" t="s">
        <v>1</v>
      </c>
    </row>
    <row r="27346" spans="1:4" x14ac:dyDescent="0.2">
      <c r="B27346" t="s">
        <v>8</v>
      </c>
    </row>
    <row r="27348" spans="1:4" x14ac:dyDescent="0.2">
      <c r="A27348" t="s">
        <v>9009</v>
      </c>
      <c r="B27348" t="str">
        <f>HYPERLINK("https://lindat.mff.cuni.cz/services/teitok/pdtc10/index.php?action=vallex&amp;frame=v-w3677f2", "pohlížet (v-w3677f2)")</f>
        <v>pohlížet (v-w3677f2)</v>
      </c>
    </row>
    <row r="27349" spans="1:4" x14ac:dyDescent="0.2">
      <c r="B27349" t="s">
        <v>1</v>
      </c>
      <c r="C27349" t="s">
        <v>9010</v>
      </c>
      <c r="D27349" t="s">
        <v>23008</v>
      </c>
    </row>
    <row r="27350" spans="1:4" x14ac:dyDescent="0.2">
      <c r="B27350" t="s">
        <v>28</v>
      </c>
      <c r="C27350" t="s">
        <v>9011</v>
      </c>
      <c r="D27350" t="s">
        <v>17729</v>
      </c>
    </row>
    <row r="27351" spans="1:4" x14ac:dyDescent="0.2">
      <c r="B27351" t="s">
        <v>9012</v>
      </c>
      <c r="C27351" t="s">
        <v>9013</v>
      </c>
      <c r="D27351" t="s">
        <v>23009</v>
      </c>
    </row>
    <row r="27353" spans="1:4" x14ac:dyDescent="0.2">
      <c r="A27353" t="s">
        <v>9014</v>
      </c>
      <c r="B27353" t="str">
        <f>HYPERLINK("https://lindat.mff.cuni.cz/services/teitok/pdtc10/index.php?action=vallex&amp;frame=v-w3677f1", "pohlížet (v-w3677f1)")</f>
        <v>pohlížet (v-w3677f1)</v>
      </c>
    </row>
    <row r="27354" spans="1:4" x14ac:dyDescent="0.2">
      <c r="B27354" t="s">
        <v>1</v>
      </c>
      <c r="C27354" t="s">
        <v>9015</v>
      </c>
      <c r="D27354" t="s">
        <v>23008</v>
      </c>
    </row>
    <row r="27355" spans="1:4" x14ac:dyDescent="0.2">
      <c r="B27355" t="s">
        <v>28</v>
      </c>
      <c r="C27355" t="s">
        <v>9016</v>
      </c>
      <c r="D27355" t="s">
        <v>17729</v>
      </c>
    </row>
    <row r="27356" spans="1:4" x14ac:dyDescent="0.2">
      <c r="B27356" t="s">
        <v>346</v>
      </c>
      <c r="C27356" t="s">
        <v>9017</v>
      </c>
      <c r="D27356" t="s">
        <v>23309</v>
      </c>
    </row>
    <row r="27357" spans="1:4" x14ac:dyDescent="0.2">
      <c r="B27357" t="s">
        <v>349</v>
      </c>
      <c r="D27357" t="s">
        <v>23310</v>
      </c>
    </row>
    <row r="27358" spans="1:4" x14ac:dyDescent="0.2">
      <c r="B27358" t="s">
        <v>350</v>
      </c>
      <c r="D27358" t="s">
        <v>23311</v>
      </c>
    </row>
    <row r="27359" spans="1:4" x14ac:dyDescent="0.2">
      <c r="B27359" t="s">
        <v>351</v>
      </c>
      <c r="D27359" t="s">
        <v>23312</v>
      </c>
    </row>
    <row r="27361" spans="1:3" x14ac:dyDescent="0.2">
      <c r="A27361" t="s">
        <v>9018</v>
      </c>
      <c r="B27361" t="str">
        <f>HYPERLINK("https://lindat.mff.cuni.cz/services/teitok/pdtc10/index.php?action=vallex&amp;frame=v-w3677f3", "pohlížet (v-w3677f3)")</f>
        <v>pohlížet (v-w3677f3)</v>
      </c>
    </row>
    <row r="27362" spans="1:3" x14ac:dyDescent="0.2">
      <c r="B27362" t="s">
        <v>1</v>
      </c>
    </row>
    <row r="27363" spans="1:3" x14ac:dyDescent="0.2">
      <c r="B27363" t="s">
        <v>90</v>
      </c>
    </row>
    <row r="27365" spans="1:3" x14ac:dyDescent="0.2">
      <c r="A27365" t="s">
        <v>9019</v>
      </c>
      <c r="B27365" t="str">
        <f>HYPERLINK("https://lindat.mff.cuni.cz/services/teitok/pdtc10/index.php?action=vallex&amp;frame=v-w3679f1", "pohnat (v-w3679f1)")</f>
        <v>pohnat (v-w3679f1)</v>
      </c>
    </row>
    <row r="27366" spans="1:3" x14ac:dyDescent="0.2">
      <c r="B27366" t="s">
        <v>1</v>
      </c>
      <c r="C27366" t="s">
        <v>1805</v>
      </c>
    </row>
    <row r="27367" spans="1:3" x14ac:dyDescent="0.2">
      <c r="B27367" t="s">
        <v>8</v>
      </c>
      <c r="C27367" t="s">
        <v>5674</v>
      </c>
    </row>
    <row r="27368" spans="1:3" x14ac:dyDescent="0.2">
      <c r="B27368" t="s">
        <v>90</v>
      </c>
      <c r="C27368" t="s">
        <v>9020</v>
      </c>
    </row>
    <row r="27370" spans="1:3" x14ac:dyDescent="0.2">
      <c r="A27370" t="s">
        <v>9021</v>
      </c>
      <c r="B27370" t="str">
        <f>HYPERLINK("https://lindat.mff.cuni.cz/services/teitok/pdtc10/index.php?action=vallex&amp;frame=v-w3679f2_ZU", "pohnat (v-w3679f2_ZU)")</f>
        <v>pohnat (v-w3679f2_ZU)</v>
      </c>
    </row>
    <row r="27371" spans="1:3" x14ac:dyDescent="0.2">
      <c r="B27371" t="s">
        <v>1</v>
      </c>
    </row>
    <row r="27372" spans="1:3" x14ac:dyDescent="0.2">
      <c r="B27372" t="s">
        <v>8</v>
      </c>
    </row>
    <row r="27374" spans="1:3" x14ac:dyDescent="0.2">
      <c r="A27374" t="s">
        <v>9022</v>
      </c>
      <c r="B27374" t="str">
        <f>HYPERLINK("https://lindat.mff.cuni.cz/services/teitok/pdtc10/index.php?action=vallex&amp;frame=v-w3680f1", "pohnout (v-w3680f1)")</f>
        <v>pohnout (v-w3680f1)</v>
      </c>
    </row>
    <row r="27375" spans="1:3" x14ac:dyDescent="0.2">
      <c r="B27375" t="s">
        <v>1</v>
      </c>
      <c r="C27375" t="s">
        <v>9023</v>
      </c>
    </row>
    <row r="27376" spans="1:3" x14ac:dyDescent="0.2">
      <c r="B27376" t="s">
        <v>3215</v>
      </c>
      <c r="C27376" t="s">
        <v>9024</v>
      </c>
    </row>
    <row r="27378" spans="1:4" x14ac:dyDescent="0.2">
      <c r="A27378" t="s">
        <v>9025</v>
      </c>
      <c r="B27378" t="str">
        <f>HYPERLINK("https://lindat.mff.cuni.cz/services/teitok/pdtc10/index.php?action=vallex&amp;frame=v-w3681f1", "pohnout se (v-w3681f1)")</f>
        <v>pohnout se (v-w3681f1)</v>
      </c>
    </row>
    <row r="27379" spans="1:4" x14ac:dyDescent="0.2">
      <c r="B27379" t="s">
        <v>1</v>
      </c>
      <c r="C27379" t="s">
        <v>9026</v>
      </c>
      <c r="D27379" t="s">
        <v>23336</v>
      </c>
    </row>
    <row r="27381" spans="1:4" x14ac:dyDescent="0.2">
      <c r="A27381" t="s">
        <v>9027</v>
      </c>
      <c r="B27381" t="str">
        <f>HYPERLINK("https://lindat.mff.cuni.cz/services/teitok/pdtc10/index.php?action=vallex&amp;frame=v-w11547_ZUf1_ZU", "pohodit (v-w11547_ZUf1_ZU)")</f>
        <v>pohodit (v-w11547_ZUf1_ZU)</v>
      </c>
    </row>
    <row r="27382" spans="1:4" x14ac:dyDescent="0.2">
      <c r="B27382" t="s">
        <v>1</v>
      </c>
      <c r="C27382" t="s">
        <v>92</v>
      </c>
    </row>
    <row r="27383" spans="1:4" x14ac:dyDescent="0.2">
      <c r="B27383" t="s">
        <v>8</v>
      </c>
      <c r="C27383" t="s">
        <v>969</v>
      </c>
    </row>
    <row r="27385" spans="1:4" x14ac:dyDescent="0.2">
      <c r="A27385" t="s">
        <v>9028</v>
      </c>
      <c r="B27385" t="str">
        <f>HYPERLINK("https://lindat.mff.cuni.cz/services/teitok/pdtc10/index.php?action=vallex&amp;frame=v-whsa_1126f1_ZU", "pohodnout se (v-whsa_1126f1_ZU)")</f>
        <v>pohodnout se (v-whsa_1126f1_ZU)</v>
      </c>
    </row>
    <row r="27386" spans="1:4" x14ac:dyDescent="0.2">
      <c r="B27386" t="s">
        <v>1</v>
      </c>
    </row>
    <row r="27387" spans="1:4" x14ac:dyDescent="0.2">
      <c r="B27387" t="s">
        <v>411</v>
      </c>
    </row>
    <row r="27388" spans="1:4" x14ac:dyDescent="0.2">
      <c r="B27388" t="s">
        <v>511</v>
      </c>
    </row>
    <row r="27390" spans="1:4" x14ac:dyDescent="0.2">
      <c r="A27390" t="s">
        <v>9028</v>
      </c>
      <c r="B27390" t="str">
        <f>HYPERLINK("https://lindat.mff.cuni.cz/services/teitok/pdtc10/index.php?action=vallex&amp;frame=v-whsa_1126hsa_1127", "pohodnout se (v-whsa_1126hsa_1127) - substituted with v-whsa_1126f1_ZU")</f>
        <v>pohodnout se (v-whsa_1126hsa_1127) - substituted with v-whsa_1126f1_ZU</v>
      </c>
    </row>
    <row r="27391" spans="1:4" x14ac:dyDescent="0.2">
      <c r="B27391" t="s">
        <v>1</v>
      </c>
    </row>
    <row r="27392" spans="1:4" x14ac:dyDescent="0.2">
      <c r="B27392" t="s">
        <v>411</v>
      </c>
    </row>
    <row r="27393" spans="1:3" x14ac:dyDescent="0.2">
      <c r="B27393" t="s">
        <v>511</v>
      </c>
    </row>
    <row r="27395" spans="1:3" x14ac:dyDescent="0.2">
      <c r="A27395" t="s">
        <v>9029</v>
      </c>
      <c r="B27395" t="str">
        <f>HYPERLINK("https://lindat.mff.cuni.cz/services/teitok/pdtc10/index.php?action=vallex&amp;frame=v-w11253f1", "pohoršit (v-w11253f1)")</f>
        <v>pohoršit (v-w11253f1)</v>
      </c>
    </row>
    <row r="27396" spans="1:3" x14ac:dyDescent="0.2">
      <c r="B27396" t="s">
        <v>1</v>
      </c>
    </row>
    <row r="27397" spans="1:3" x14ac:dyDescent="0.2">
      <c r="B27397" t="s">
        <v>103</v>
      </c>
    </row>
    <row r="27399" spans="1:3" x14ac:dyDescent="0.2">
      <c r="A27399" t="s">
        <v>9030</v>
      </c>
      <c r="B27399" t="str">
        <f>HYPERLINK("https://lindat.mff.cuni.cz/services/teitok/pdtc10/index.php?action=vallex&amp;frame=v-w11253f2", "pohoršit (v-w11253f2)")</f>
        <v>pohoršit (v-w11253f2)</v>
      </c>
    </row>
    <row r="27400" spans="1:3" x14ac:dyDescent="0.2">
      <c r="B27400" t="s">
        <v>1</v>
      </c>
    </row>
    <row r="27401" spans="1:3" x14ac:dyDescent="0.2">
      <c r="B27401" t="s">
        <v>8</v>
      </c>
    </row>
    <row r="27403" spans="1:3" x14ac:dyDescent="0.2">
      <c r="A27403" t="s">
        <v>9031</v>
      </c>
      <c r="B27403" t="str">
        <f>HYPERLINK("https://lindat.mff.cuni.cz/services/teitok/pdtc10/index.php?action=vallex&amp;frame=v-w3684f1", "pohoršit si (v-w3684f1)")</f>
        <v>pohoršit si (v-w3684f1)</v>
      </c>
    </row>
    <row r="27404" spans="1:3" x14ac:dyDescent="0.2">
      <c r="B27404" t="s">
        <v>1</v>
      </c>
      <c r="C27404" t="s">
        <v>4344</v>
      </c>
    </row>
    <row r="27406" spans="1:3" x14ac:dyDescent="0.2">
      <c r="A27406" t="s">
        <v>9032</v>
      </c>
      <c r="B27406" t="str">
        <f>HYPERLINK("https://lindat.mff.cuni.cz/services/teitok/pdtc10/index.php?action=vallex&amp;frame=v-w3684hsa_120", "pohoršit si (v-w3684hsa_120)")</f>
        <v>pohoršit si (v-w3684hsa_120)</v>
      </c>
    </row>
    <row r="27407" spans="1:3" x14ac:dyDescent="0.2">
      <c r="B27407" t="s">
        <v>1</v>
      </c>
    </row>
    <row r="27408" spans="1:3" x14ac:dyDescent="0.2">
      <c r="B27408" t="s">
        <v>46</v>
      </c>
    </row>
    <row r="27409" spans="1:4" x14ac:dyDescent="0.2">
      <c r="B27409" t="s">
        <v>24</v>
      </c>
    </row>
    <row r="27411" spans="1:4" x14ac:dyDescent="0.2">
      <c r="A27411" t="s">
        <v>9033</v>
      </c>
      <c r="B27411" t="str">
        <f>HYPERLINK("https://lindat.mff.cuni.cz/services/teitok/pdtc10/index.php?action=vallex&amp;frame=v-w10699f2", "pohostit (v-w10699f2)")</f>
        <v>pohostit (v-w10699f2)</v>
      </c>
    </row>
    <row r="27412" spans="1:4" x14ac:dyDescent="0.2">
      <c r="B27412" t="s">
        <v>1</v>
      </c>
      <c r="C27412" t="s">
        <v>33</v>
      </c>
      <c r="D27412" t="s">
        <v>83</v>
      </c>
    </row>
    <row r="27413" spans="1:4" x14ac:dyDescent="0.2">
      <c r="B27413" t="s">
        <v>8</v>
      </c>
      <c r="C27413" t="s">
        <v>34</v>
      </c>
      <c r="D27413" t="s">
        <v>1044</v>
      </c>
    </row>
    <row r="27415" spans="1:4" x14ac:dyDescent="0.2">
      <c r="A27415" t="s">
        <v>9034</v>
      </c>
      <c r="B27415" t="str">
        <f>HYPERLINK("https://lindat.mff.cuni.cz/services/teitok/pdtc10/index.php?action=vallex&amp;frame=v-w3687f2", "pohovořit (v-w3687f2)")</f>
        <v>pohovořit (v-w3687f2)</v>
      </c>
    </row>
    <row r="27416" spans="1:4" x14ac:dyDescent="0.2">
      <c r="B27416" t="s">
        <v>1</v>
      </c>
    </row>
    <row r="27417" spans="1:4" x14ac:dyDescent="0.2">
      <c r="B27417" t="s">
        <v>183</v>
      </c>
    </row>
    <row r="27418" spans="1:4" x14ac:dyDescent="0.2">
      <c r="B27418" t="s">
        <v>9035</v>
      </c>
    </row>
    <row r="27420" spans="1:4" x14ac:dyDescent="0.2">
      <c r="A27420" t="s">
        <v>9036</v>
      </c>
      <c r="B27420" t="str">
        <f>HYPERLINK("https://lindat.mff.cuni.cz/services/teitok/pdtc10/index.php?action=vallex&amp;frame=v-w3687f1", "pohovořit (v-w3687f1)")</f>
        <v>pohovořit (v-w3687f1)</v>
      </c>
    </row>
    <row r="27421" spans="1:4" x14ac:dyDescent="0.2">
      <c r="B27421" t="s">
        <v>1</v>
      </c>
    </row>
    <row r="27422" spans="1:4" x14ac:dyDescent="0.2">
      <c r="B27422" t="s">
        <v>183</v>
      </c>
    </row>
    <row r="27423" spans="1:4" x14ac:dyDescent="0.2">
      <c r="B27423" t="s">
        <v>2328</v>
      </c>
    </row>
    <row r="27425" spans="1:4" x14ac:dyDescent="0.2">
      <c r="A27425" t="s">
        <v>9037</v>
      </c>
      <c r="B27425" t="str">
        <f>HYPERLINK("https://lindat.mff.cuni.cz/services/teitok/pdtc10/index.php?action=vallex&amp;frame=v-w3685f2", "pohořet (v-w3685f2)")</f>
        <v>pohořet (v-w3685f2)</v>
      </c>
    </row>
    <row r="27426" spans="1:4" x14ac:dyDescent="0.2">
      <c r="B27426" t="s">
        <v>1</v>
      </c>
    </row>
    <row r="27427" spans="1:4" x14ac:dyDescent="0.2">
      <c r="B27427" t="s">
        <v>411</v>
      </c>
    </row>
    <row r="27429" spans="1:4" x14ac:dyDescent="0.2">
      <c r="A27429" t="s">
        <v>9038</v>
      </c>
      <c r="B27429" t="str">
        <f>HYPERLINK("https://lindat.mff.cuni.cz/services/teitok/pdtc10/index.php?action=vallex&amp;frame=v-w3685f1", "pohořet (v-w3685f1)")</f>
        <v>pohořet (v-w3685f1)</v>
      </c>
    </row>
    <row r="27430" spans="1:4" x14ac:dyDescent="0.2">
      <c r="B27430" t="s">
        <v>1</v>
      </c>
    </row>
    <row r="27432" spans="1:4" x14ac:dyDescent="0.2">
      <c r="A27432" t="s">
        <v>9039</v>
      </c>
      <c r="B27432" t="str">
        <f>HYPERLINK("https://lindat.mff.cuni.cz/services/teitok/pdtc10/index.php?action=vallex&amp;frame=v-w12300_MMf1_MM", "pohrabovat (v-w12300_MMf1_MM)")</f>
        <v>pohrabovat (v-w12300_MMf1_MM)</v>
      </c>
    </row>
    <row r="27433" spans="1:4" x14ac:dyDescent="0.2">
      <c r="B27433" t="s">
        <v>1</v>
      </c>
    </row>
    <row r="27434" spans="1:4" x14ac:dyDescent="0.2">
      <c r="B27434" t="s">
        <v>8</v>
      </c>
    </row>
    <row r="27436" spans="1:4" x14ac:dyDescent="0.2">
      <c r="A27436" t="s">
        <v>9040</v>
      </c>
      <c r="B27436" t="str">
        <f>HYPERLINK("https://lindat.mff.cuni.cz/services/teitok/pdtc10/index.php?action=vallex&amp;frame=v-w3690f1", "pohrdat (v-w3690f1)")</f>
        <v>pohrdat (v-w3690f1)</v>
      </c>
    </row>
    <row r="27437" spans="1:4" x14ac:dyDescent="0.2">
      <c r="B27437" t="s">
        <v>1</v>
      </c>
      <c r="C27437" t="s">
        <v>133</v>
      </c>
      <c r="D27437" t="s">
        <v>373</v>
      </c>
    </row>
    <row r="27438" spans="1:4" x14ac:dyDescent="0.2">
      <c r="B27438" t="s">
        <v>158</v>
      </c>
      <c r="C27438" t="s">
        <v>84</v>
      </c>
      <c r="D27438" t="s">
        <v>1340</v>
      </c>
    </row>
    <row r="27440" spans="1:4" x14ac:dyDescent="0.2">
      <c r="A27440" t="s">
        <v>9041</v>
      </c>
      <c r="B27440" t="str">
        <f>HYPERLINK("https://lindat.mff.cuni.cz/services/teitok/pdtc10/index.php?action=vallex&amp;frame=v-w10935f2", "pohrdnout (v-w10935f2)")</f>
        <v>pohrdnout (v-w10935f2)</v>
      </c>
    </row>
    <row r="27441" spans="1:4" x14ac:dyDescent="0.2">
      <c r="B27441" t="s">
        <v>1</v>
      </c>
      <c r="D27441" t="s">
        <v>373</v>
      </c>
    </row>
    <row r="27442" spans="1:4" x14ac:dyDescent="0.2">
      <c r="B27442" t="s">
        <v>158</v>
      </c>
      <c r="D27442" t="s">
        <v>1340</v>
      </c>
    </row>
    <row r="27444" spans="1:4" x14ac:dyDescent="0.2">
      <c r="A27444" t="s">
        <v>9042</v>
      </c>
      <c r="B27444" t="str">
        <f>HYPERLINK("https://lindat.mff.cuni.cz/services/teitok/pdtc10/index.php?action=vallex&amp;frame=v-w3691f2", "pohroužit se (v-w3691f2)")</f>
        <v>pohroužit se (v-w3691f2)</v>
      </c>
    </row>
    <row r="27445" spans="1:4" x14ac:dyDescent="0.2">
      <c r="B27445" t="s">
        <v>1</v>
      </c>
    </row>
    <row r="27446" spans="1:4" x14ac:dyDescent="0.2">
      <c r="B27446" t="s">
        <v>9043</v>
      </c>
    </row>
    <row r="27448" spans="1:4" x14ac:dyDescent="0.2">
      <c r="A27448" t="s">
        <v>9042</v>
      </c>
      <c r="B27448" t="str">
        <f>HYPERLINK("https://lindat.mff.cuni.cz/services/teitok/pdtc10/index.php?action=vallex&amp;frame=v-w3691f1", "pohroužit se (v-w3691f1) - substituted with v-w3691f2")</f>
        <v>pohroužit se (v-w3691f1) - substituted with v-w3691f2</v>
      </c>
    </row>
    <row r="27449" spans="1:4" x14ac:dyDescent="0.2">
      <c r="B27449" t="s">
        <v>1</v>
      </c>
      <c r="C27449" t="s">
        <v>33</v>
      </c>
    </row>
    <row r="27450" spans="1:4" x14ac:dyDescent="0.2">
      <c r="B27450" t="s">
        <v>9043</v>
      </c>
    </row>
    <row r="27452" spans="1:4" x14ac:dyDescent="0.2">
      <c r="A27452" t="s">
        <v>9044</v>
      </c>
      <c r="B27452" t="str">
        <f>HYPERLINK("https://lindat.mff.cuni.cz/services/teitok/pdtc10/index.php?action=vallex&amp;frame=v-w3692f1", "pohrozit (v-w3692f1)")</f>
        <v>pohrozit (v-w3692f1)</v>
      </c>
    </row>
    <row r="27453" spans="1:4" x14ac:dyDescent="0.2">
      <c r="B27453" t="s">
        <v>1</v>
      </c>
      <c r="C27453" t="s">
        <v>2125</v>
      </c>
      <c r="D27453" t="s">
        <v>373</v>
      </c>
    </row>
    <row r="27454" spans="1:4" x14ac:dyDescent="0.2">
      <c r="B27454" t="s">
        <v>9045</v>
      </c>
      <c r="C27454" t="s">
        <v>9046</v>
      </c>
      <c r="D27454" t="s">
        <v>5853</v>
      </c>
    </row>
    <row r="27455" spans="1:4" x14ac:dyDescent="0.2">
      <c r="B27455" t="s">
        <v>35</v>
      </c>
      <c r="D27455" t="s">
        <v>1255</v>
      </c>
    </row>
    <row r="27457" spans="1:4" x14ac:dyDescent="0.2">
      <c r="A27457" t="s">
        <v>9047</v>
      </c>
      <c r="B27457" t="str">
        <f>HYPERLINK("https://lindat.mff.cuni.cz/services/teitok/pdtc10/index.php?action=vallex&amp;frame=v-whsb_661hsa_662", "pohrát si (v-whsb_661hsa_662)")</f>
        <v>pohrát si (v-whsb_661hsa_662)</v>
      </c>
    </row>
    <row r="27458" spans="1:4" x14ac:dyDescent="0.2">
      <c r="B27458" t="s">
        <v>1</v>
      </c>
    </row>
    <row r="27459" spans="1:4" x14ac:dyDescent="0.2">
      <c r="B27459" t="s">
        <v>411</v>
      </c>
    </row>
    <row r="27461" spans="1:4" x14ac:dyDescent="0.2">
      <c r="A27461" t="s">
        <v>9048</v>
      </c>
      <c r="B27461" t="str">
        <f>HYPERLINK("https://lindat.mff.cuni.cz/services/teitok/pdtc10/index.php?action=vallex&amp;frame=v-w3688f1", "pohrávat si (v-w3688f1)")</f>
        <v>pohrávat si (v-w3688f1)</v>
      </c>
    </row>
    <row r="27462" spans="1:4" x14ac:dyDescent="0.2">
      <c r="B27462" t="s">
        <v>1</v>
      </c>
      <c r="C27462" t="s">
        <v>133</v>
      </c>
      <c r="D27462" t="s">
        <v>22</v>
      </c>
    </row>
    <row r="27463" spans="1:4" x14ac:dyDescent="0.2">
      <c r="B27463" t="s">
        <v>411</v>
      </c>
      <c r="C27463" t="s">
        <v>34</v>
      </c>
      <c r="D27463" t="s">
        <v>23</v>
      </c>
    </row>
    <row r="27465" spans="1:4" x14ac:dyDescent="0.2">
      <c r="A27465" t="s">
        <v>9049</v>
      </c>
      <c r="B27465" t="str">
        <f>HYPERLINK("https://lindat.mff.cuni.cz/services/teitok/pdtc10/index.php?action=vallex&amp;frame=v-w3698f1", "pohupovat (v-w3698f1)")</f>
        <v>pohupovat (v-w3698f1)</v>
      </c>
    </row>
    <row r="27466" spans="1:4" x14ac:dyDescent="0.2">
      <c r="B27466" t="s">
        <v>1</v>
      </c>
    </row>
    <row r="27467" spans="1:4" x14ac:dyDescent="0.2">
      <c r="B27467" t="s">
        <v>158</v>
      </c>
    </row>
    <row r="27469" spans="1:4" x14ac:dyDescent="0.2">
      <c r="A27469" t="s">
        <v>9050</v>
      </c>
      <c r="B27469" t="str">
        <f>HYPERLINK("https://lindat.mff.cuni.cz/services/teitok/pdtc10/index.php?action=vallex&amp;frame=v-whsa_1415hsa_1416", "pohupovat se (v-whsa_1415hsa_1416)")</f>
        <v>pohupovat se (v-whsa_1415hsa_1416)</v>
      </c>
    </row>
    <row r="27470" spans="1:4" x14ac:dyDescent="0.2">
      <c r="B27470" t="s">
        <v>1</v>
      </c>
    </row>
    <row r="27472" spans="1:4" x14ac:dyDescent="0.2">
      <c r="A27472" t="s">
        <v>9051</v>
      </c>
      <c r="B27472" t="str">
        <f>HYPERLINK("https://lindat.mff.cuni.cz/services/teitok/pdtc10/index.php?action=vallex&amp;frame=v-w11548_ZUf2_ZU", "pohvizdovat si (v-w11548_ZUf2_ZU)")</f>
        <v>pohvizdovat si (v-w11548_ZUf2_ZU)</v>
      </c>
    </row>
    <row r="27473" spans="1:4" x14ac:dyDescent="0.2">
      <c r="B27473" t="s">
        <v>1</v>
      </c>
      <c r="D27473" t="s">
        <v>140</v>
      </c>
    </row>
    <row r="27474" spans="1:4" x14ac:dyDescent="0.2">
      <c r="B27474" t="s">
        <v>9052</v>
      </c>
      <c r="D27474" t="s">
        <v>991</v>
      </c>
    </row>
    <row r="27476" spans="1:4" x14ac:dyDescent="0.2">
      <c r="A27476" t="s">
        <v>9051</v>
      </c>
      <c r="B27476" t="str">
        <f>HYPERLINK("https://lindat.mff.cuni.cz/services/teitok/pdtc10/index.php?action=vallex&amp;frame=v-w11548_ZUf1_ZU", "pohvizdovat si (v-w11548_ZUf1_ZU) - substituted with v-w11548_ZUf2_ZU")</f>
        <v>pohvizdovat si (v-w11548_ZUf1_ZU) - substituted with v-w11548_ZUf2_ZU</v>
      </c>
    </row>
    <row r="27477" spans="1:4" x14ac:dyDescent="0.2">
      <c r="B27477" t="s">
        <v>1</v>
      </c>
    </row>
    <row r="27478" spans="1:4" x14ac:dyDescent="0.2">
      <c r="B27478" t="s">
        <v>9052</v>
      </c>
    </row>
    <row r="27480" spans="1:4" x14ac:dyDescent="0.2">
      <c r="A27480" t="s">
        <v>9053</v>
      </c>
      <c r="B27480" t="str">
        <f>HYPERLINK("https://lindat.mff.cuni.cz/services/teitok/pdtc10/index.php?action=vallex&amp;frame=v-w3700hsa_1880", "pohybovat (v-w3700hsa_1880)")</f>
        <v>pohybovat (v-w3700hsa_1880)</v>
      </c>
    </row>
    <row r="27481" spans="1:4" x14ac:dyDescent="0.2">
      <c r="B27481" t="s">
        <v>1</v>
      </c>
    </row>
    <row r="27482" spans="1:4" x14ac:dyDescent="0.2">
      <c r="B27482" t="s">
        <v>3215</v>
      </c>
    </row>
    <row r="27484" spans="1:4" x14ac:dyDescent="0.2">
      <c r="A27484" t="s">
        <v>9053</v>
      </c>
      <c r="B27484" t="str">
        <f>HYPERLINK("https://lindat.mff.cuni.cz/services/teitok/pdtc10/index.php?action=vallex&amp;frame=v-w3700f1", "pohybovat (v-w3700f1) - substituted with v-w3700hsa_1880")</f>
        <v>pohybovat (v-w3700f1) - substituted with v-w3700hsa_1880</v>
      </c>
    </row>
    <row r="27485" spans="1:4" x14ac:dyDescent="0.2">
      <c r="B27485" t="s">
        <v>1</v>
      </c>
    </row>
    <row r="27486" spans="1:4" x14ac:dyDescent="0.2">
      <c r="B27486" t="s">
        <v>3215</v>
      </c>
    </row>
    <row r="27488" spans="1:4" x14ac:dyDescent="0.2">
      <c r="A27488" t="s">
        <v>9054</v>
      </c>
      <c r="B27488" t="str">
        <f>HYPERLINK("https://lindat.mff.cuni.cz/services/teitok/pdtc10/index.php?action=vallex&amp;frame=v-w3701f1", "pohybovat se (v-w3701f1)")</f>
        <v>pohybovat se (v-w3701f1)</v>
      </c>
    </row>
    <row r="27489" spans="1:4" x14ac:dyDescent="0.2">
      <c r="B27489" t="s">
        <v>1</v>
      </c>
      <c r="C27489" t="s">
        <v>9055</v>
      </c>
      <c r="D27489" t="s">
        <v>22970</v>
      </c>
    </row>
    <row r="27490" spans="1:4" x14ac:dyDescent="0.2">
      <c r="B27490" t="s">
        <v>5</v>
      </c>
      <c r="C27490" t="s">
        <v>9056</v>
      </c>
      <c r="D27490" t="s">
        <v>23827</v>
      </c>
    </row>
    <row r="27492" spans="1:4" x14ac:dyDescent="0.2">
      <c r="A27492" t="s">
        <v>9057</v>
      </c>
      <c r="B27492" t="str">
        <f>HYPERLINK("https://lindat.mff.cuni.cz/services/teitok/pdtc10/index.php?action=vallex&amp;frame=v-w3701f2", "pohybovat se (v-w3701f2)")</f>
        <v>pohybovat se (v-w3701f2)</v>
      </c>
    </row>
    <row r="27493" spans="1:4" x14ac:dyDescent="0.2">
      <c r="B27493" t="s">
        <v>1</v>
      </c>
      <c r="C27493" t="s">
        <v>9058</v>
      </c>
      <c r="D27493" t="s">
        <v>23468</v>
      </c>
    </row>
    <row r="27494" spans="1:4" x14ac:dyDescent="0.2">
      <c r="B27494" t="s">
        <v>5</v>
      </c>
      <c r="C27494" t="s">
        <v>9059</v>
      </c>
      <c r="D27494" t="s">
        <v>23469</v>
      </c>
    </row>
    <row r="27496" spans="1:4" x14ac:dyDescent="0.2">
      <c r="A27496" t="s">
        <v>9060</v>
      </c>
      <c r="B27496" t="str">
        <f>HYPERLINK("https://lindat.mff.cuni.cz/services/teitok/pdtc10/index.php?action=vallex&amp;frame=v-w3701f4_ZU", "pohybovat se (v-w3701f4_ZU)")</f>
        <v>pohybovat se (v-w3701f4_ZU)</v>
      </c>
    </row>
    <row r="27497" spans="1:4" x14ac:dyDescent="0.2">
      <c r="B27497" t="s">
        <v>1</v>
      </c>
    </row>
    <row r="27499" spans="1:4" x14ac:dyDescent="0.2">
      <c r="A27499" t="s">
        <v>9060</v>
      </c>
      <c r="B27499" t="str">
        <f>HYPERLINK("https://lindat.mff.cuni.cz/services/teitok/pdtc10/index.php?action=vallex&amp;frame=v-w3701f3", "pohybovat se (v-w3701f3) - substituted with v-w3701f4_ZU")</f>
        <v>pohybovat se (v-w3701f3) - substituted with v-w3701f4_ZU</v>
      </c>
    </row>
    <row r="27500" spans="1:4" x14ac:dyDescent="0.2">
      <c r="B27500" t="s">
        <v>1</v>
      </c>
      <c r="C27500" t="s">
        <v>9061</v>
      </c>
    </row>
    <row r="27502" spans="1:4" x14ac:dyDescent="0.2">
      <c r="A27502" t="s">
        <v>9062</v>
      </c>
      <c r="B27502" t="str">
        <f>HYPERLINK("https://lindat.mff.cuni.cz/services/teitok/pdtc10/index.php?action=vallex&amp;frame=v-w3701hsa_532", "pohybovat se (v-w3701hsa_532)")</f>
        <v>pohybovat se (v-w3701hsa_532)</v>
      </c>
    </row>
    <row r="27503" spans="1:4" x14ac:dyDescent="0.2">
      <c r="B27503" t="s">
        <v>1</v>
      </c>
      <c r="C27503" t="s">
        <v>9063</v>
      </c>
      <c r="D27503" t="s">
        <v>23336</v>
      </c>
    </row>
    <row r="27504" spans="1:4" x14ac:dyDescent="0.2">
      <c r="B27504" t="s">
        <v>90</v>
      </c>
    </row>
    <row r="27506" spans="1:4" x14ac:dyDescent="0.2">
      <c r="A27506" t="s">
        <v>9064</v>
      </c>
      <c r="B27506" t="str">
        <f>HYPERLINK("https://lindat.mff.cuni.cz/services/teitok/pdtc10/index.php?action=vallex&amp;frame=v-w11403f1", "pohádat se (v-w11403f1)")</f>
        <v>pohádat se (v-w11403f1)</v>
      </c>
    </row>
    <row r="27507" spans="1:4" x14ac:dyDescent="0.2">
      <c r="B27507" t="s">
        <v>1</v>
      </c>
      <c r="C27507" t="s">
        <v>140</v>
      </c>
      <c r="D27507" t="s">
        <v>80</v>
      </c>
    </row>
    <row r="27508" spans="1:4" x14ac:dyDescent="0.2">
      <c r="B27508" t="s">
        <v>153</v>
      </c>
    </row>
    <row r="27509" spans="1:4" x14ac:dyDescent="0.2">
      <c r="B27509" t="s">
        <v>3205</v>
      </c>
      <c r="D27509" t="s">
        <v>6439</v>
      </c>
    </row>
    <row r="27511" spans="1:4" x14ac:dyDescent="0.2">
      <c r="A27511" t="s">
        <v>9065</v>
      </c>
      <c r="B27511" t="str">
        <f>HYPERLINK("https://lindat.mff.cuni.cz/services/teitok/pdtc10/index.php?action=vallex&amp;frame=v-w3665f1", "pohánět (v-w3665f1)")</f>
        <v>pohánět (v-w3665f1)</v>
      </c>
    </row>
    <row r="27512" spans="1:4" x14ac:dyDescent="0.2">
      <c r="B27512" t="s">
        <v>1</v>
      </c>
      <c r="C27512" t="s">
        <v>9066</v>
      </c>
      <c r="D27512" t="s">
        <v>23562</v>
      </c>
    </row>
    <row r="27513" spans="1:4" x14ac:dyDescent="0.2">
      <c r="B27513" t="s">
        <v>8</v>
      </c>
      <c r="C27513" t="s">
        <v>9067</v>
      </c>
      <c r="D27513" t="s">
        <v>8709</v>
      </c>
    </row>
    <row r="27515" spans="1:4" x14ac:dyDescent="0.2">
      <c r="A27515" t="s">
        <v>9068</v>
      </c>
      <c r="B27515" t="str">
        <f>HYPERLINK("https://lindat.mff.cuni.cz/services/teitok/pdtc10/index.php?action=vallex&amp;frame=v-w3665f2", "pohánět (v-w3665f2)")</f>
        <v>pohánět (v-w3665f2)</v>
      </c>
    </row>
    <row r="27516" spans="1:4" x14ac:dyDescent="0.2">
      <c r="B27516" t="s">
        <v>1</v>
      </c>
      <c r="C27516" t="s">
        <v>9069</v>
      </c>
      <c r="D27516" t="s">
        <v>2571</v>
      </c>
    </row>
    <row r="27517" spans="1:4" x14ac:dyDescent="0.2">
      <c r="B27517" t="s">
        <v>8</v>
      </c>
      <c r="C27517" t="s">
        <v>2305</v>
      </c>
      <c r="D27517" t="s">
        <v>23828</v>
      </c>
    </row>
    <row r="27519" spans="1:4" x14ac:dyDescent="0.2">
      <c r="A27519" t="s">
        <v>9070</v>
      </c>
      <c r="B27519" t="str">
        <f>HYPERLINK("https://lindat.mff.cuni.cz/services/teitok/pdtc10/index.php?action=vallex&amp;frame=v-w3694f1", "pohřbít (v-w3694f1)")</f>
        <v>pohřbít (v-w3694f1)</v>
      </c>
    </row>
    <row r="27520" spans="1:4" x14ac:dyDescent="0.2">
      <c r="B27520" t="s">
        <v>1</v>
      </c>
      <c r="C27520" t="s">
        <v>33</v>
      </c>
    </row>
    <row r="27521" spans="1:4" x14ac:dyDescent="0.2">
      <c r="B27521" t="s">
        <v>8</v>
      </c>
      <c r="C27521" t="s">
        <v>1044</v>
      </c>
    </row>
    <row r="27523" spans="1:4" x14ac:dyDescent="0.2">
      <c r="A27523" t="s">
        <v>9071</v>
      </c>
      <c r="B27523" t="str">
        <f>HYPERLINK("https://lindat.mff.cuni.cz/services/teitok/pdtc10/index.php?action=vallex&amp;frame=v-w3694f2", "pohřbít (v-w3694f2)")</f>
        <v>pohřbít (v-w3694f2)</v>
      </c>
    </row>
    <row r="27524" spans="1:4" x14ac:dyDescent="0.2">
      <c r="B27524" t="s">
        <v>1</v>
      </c>
      <c r="C27524" t="s">
        <v>3292</v>
      </c>
      <c r="D27524" t="s">
        <v>23088</v>
      </c>
    </row>
    <row r="27525" spans="1:4" x14ac:dyDescent="0.2">
      <c r="B27525" t="s">
        <v>8</v>
      </c>
      <c r="C27525" t="s">
        <v>155</v>
      </c>
      <c r="D27525" t="s">
        <v>986</v>
      </c>
    </row>
    <row r="27527" spans="1:4" x14ac:dyDescent="0.2">
      <c r="A27527" t="s">
        <v>9072</v>
      </c>
      <c r="B27527" t="str">
        <f>HYPERLINK("https://lindat.mff.cuni.cz/services/teitok/pdtc10/index.php?action=vallex&amp;frame=v-w3695f1", "pohřbívat (v-w3695f1)")</f>
        <v>pohřbívat (v-w3695f1)</v>
      </c>
    </row>
    <row r="27528" spans="1:4" x14ac:dyDescent="0.2">
      <c r="B27528" t="s">
        <v>1</v>
      </c>
    </row>
    <row r="27529" spans="1:4" x14ac:dyDescent="0.2">
      <c r="B27529" t="s">
        <v>8</v>
      </c>
    </row>
    <row r="27531" spans="1:4" x14ac:dyDescent="0.2">
      <c r="A27531" t="s">
        <v>9073</v>
      </c>
      <c r="B27531" t="str">
        <f>HYPERLINK("https://lindat.mff.cuni.cz/services/teitok/pdtc10/index.php?action=vallex&amp;frame=v-w3697f1", "pohřešovat (v-w3697f1)")</f>
        <v>pohřešovat (v-w3697f1)</v>
      </c>
    </row>
    <row r="27532" spans="1:4" x14ac:dyDescent="0.2">
      <c r="B27532" t="s">
        <v>1</v>
      </c>
    </row>
    <row r="27533" spans="1:4" x14ac:dyDescent="0.2">
      <c r="B27533" t="s">
        <v>8</v>
      </c>
      <c r="C27533" t="s">
        <v>23</v>
      </c>
      <c r="D27533" t="s">
        <v>23</v>
      </c>
    </row>
    <row r="27535" spans="1:4" x14ac:dyDescent="0.2">
      <c r="A27535" t="s">
        <v>9074</v>
      </c>
      <c r="B27535" t="str">
        <f>HYPERLINK("https://lindat.mff.cuni.cz/services/teitok/pdtc10/index.php?action=vallex&amp;frame=v-w3725f1", "pojednat (v-w3725f1)")</f>
        <v>pojednat (v-w3725f1)</v>
      </c>
    </row>
    <row r="27536" spans="1:4" x14ac:dyDescent="0.2">
      <c r="B27536" t="s">
        <v>1</v>
      </c>
    </row>
    <row r="27537" spans="1:2" x14ac:dyDescent="0.2">
      <c r="B27537" t="s">
        <v>8</v>
      </c>
    </row>
    <row r="27538" spans="1:2" x14ac:dyDescent="0.2">
      <c r="B27538" t="s">
        <v>1151</v>
      </c>
    </row>
    <row r="27540" spans="1:2" x14ac:dyDescent="0.2">
      <c r="A27540" t="s">
        <v>9075</v>
      </c>
      <c r="B27540" t="str">
        <f>HYPERLINK("https://lindat.mff.cuni.cz/services/teitok/pdtc10/index.php?action=vallex&amp;frame=v-w3725f4", "pojednat (v-w3725f4)")</f>
        <v>pojednat (v-w3725f4)</v>
      </c>
    </row>
    <row r="27541" spans="1:2" x14ac:dyDescent="0.2">
      <c r="B27541" t="s">
        <v>1</v>
      </c>
    </row>
    <row r="27542" spans="1:2" x14ac:dyDescent="0.2">
      <c r="B27542" t="s">
        <v>8</v>
      </c>
    </row>
    <row r="27544" spans="1:2" x14ac:dyDescent="0.2">
      <c r="A27544" t="s">
        <v>9076</v>
      </c>
      <c r="B27544" t="str">
        <f>HYPERLINK("https://lindat.mff.cuni.cz/services/teitok/pdtc10/index.php?action=vallex&amp;frame=v-w3725f2", "pojednat (v-w3725f2)")</f>
        <v>pojednat (v-w3725f2)</v>
      </c>
    </row>
    <row r="27545" spans="1:2" x14ac:dyDescent="0.2">
      <c r="B27545" t="s">
        <v>1</v>
      </c>
    </row>
    <row r="27546" spans="1:2" x14ac:dyDescent="0.2">
      <c r="B27546" t="s">
        <v>8</v>
      </c>
    </row>
    <row r="27547" spans="1:2" x14ac:dyDescent="0.2">
      <c r="B27547" t="s">
        <v>346</v>
      </c>
    </row>
    <row r="27548" spans="1:2" x14ac:dyDescent="0.2">
      <c r="B27548" t="s">
        <v>349</v>
      </c>
    </row>
    <row r="27549" spans="1:2" x14ac:dyDescent="0.2">
      <c r="B27549" t="s">
        <v>350</v>
      </c>
    </row>
    <row r="27550" spans="1:2" x14ac:dyDescent="0.2">
      <c r="B27550" t="s">
        <v>351</v>
      </c>
    </row>
    <row r="27552" spans="1:2" x14ac:dyDescent="0.2">
      <c r="A27552" t="s">
        <v>9077</v>
      </c>
      <c r="B27552" t="str">
        <f>HYPERLINK("https://lindat.mff.cuni.cz/services/teitok/pdtc10/index.php?action=vallex&amp;frame=v-w3725f3", "pojednat (v-w3725f3)")</f>
        <v>pojednat (v-w3725f3)</v>
      </c>
    </row>
    <row r="27553" spans="1:4" x14ac:dyDescent="0.2">
      <c r="B27553" t="s">
        <v>1</v>
      </c>
    </row>
    <row r="27554" spans="1:4" x14ac:dyDescent="0.2">
      <c r="B27554" t="s">
        <v>183</v>
      </c>
    </row>
    <row r="27556" spans="1:4" x14ac:dyDescent="0.2">
      <c r="A27556" t="s">
        <v>9078</v>
      </c>
      <c r="B27556" t="str">
        <f>HYPERLINK("https://lindat.mff.cuni.cz/services/teitok/pdtc10/index.php?action=vallex&amp;frame=v-w3728f1", "pojednávat (v-w3728f1)")</f>
        <v>pojednávat (v-w3728f1)</v>
      </c>
    </row>
    <row r="27557" spans="1:4" x14ac:dyDescent="0.2">
      <c r="B27557" t="s">
        <v>1</v>
      </c>
    </row>
    <row r="27558" spans="1:4" x14ac:dyDescent="0.2">
      <c r="B27558" t="s">
        <v>183</v>
      </c>
    </row>
    <row r="27560" spans="1:4" x14ac:dyDescent="0.2">
      <c r="A27560" t="s">
        <v>9079</v>
      </c>
      <c r="B27560" t="str">
        <f>HYPERLINK("https://lindat.mff.cuni.cz/services/teitok/pdtc10/index.php?action=vallex&amp;frame=v-w3734f1", "pojistit (v-w3734f1)")</f>
        <v>pojistit (v-w3734f1)</v>
      </c>
    </row>
    <row r="27561" spans="1:4" x14ac:dyDescent="0.2">
      <c r="B27561" t="s">
        <v>1</v>
      </c>
      <c r="C27561" t="s">
        <v>9080</v>
      </c>
      <c r="D27561" t="s">
        <v>3432</v>
      </c>
    </row>
    <row r="27562" spans="1:4" x14ac:dyDescent="0.2">
      <c r="B27562" t="s">
        <v>8</v>
      </c>
      <c r="C27562" t="s">
        <v>977</v>
      </c>
      <c r="D27562" t="s">
        <v>2213</v>
      </c>
    </row>
    <row r="27564" spans="1:4" x14ac:dyDescent="0.2">
      <c r="A27564" t="s">
        <v>9081</v>
      </c>
      <c r="B27564" t="str">
        <f>HYPERLINK("https://lindat.mff.cuni.cz/services/teitok/pdtc10/index.php?action=vallex&amp;frame=v-w3739f2", "pojit (v-w3739f2)")</f>
        <v>pojit (v-w3739f2)</v>
      </c>
    </row>
    <row r="27565" spans="1:4" x14ac:dyDescent="0.2">
      <c r="B27565" t="s">
        <v>1</v>
      </c>
    </row>
    <row r="27566" spans="1:4" x14ac:dyDescent="0.2">
      <c r="B27566" t="s">
        <v>8</v>
      </c>
    </row>
    <row r="27567" spans="1:4" x14ac:dyDescent="0.2">
      <c r="B27567" t="s">
        <v>3769</v>
      </c>
    </row>
    <row r="27569" spans="1:4" x14ac:dyDescent="0.2">
      <c r="A27569" t="s">
        <v>9082</v>
      </c>
      <c r="B27569" t="str">
        <f>HYPERLINK("https://lindat.mff.cuni.cz/services/teitok/pdtc10/index.php?action=vallex&amp;frame=v-w3739f1", "pojit (v-w3739f1)")</f>
        <v>pojit (v-w3739f1)</v>
      </c>
    </row>
    <row r="27570" spans="1:4" x14ac:dyDescent="0.2">
      <c r="B27570" t="s">
        <v>1</v>
      </c>
    </row>
    <row r="27571" spans="1:4" x14ac:dyDescent="0.2">
      <c r="B27571" t="s">
        <v>8</v>
      </c>
    </row>
    <row r="27572" spans="1:4" x14ac:dyDescent="0.2">
      <c r="B27572" t="s">
        <v>2604</v>
      </c>
    </row>
    <row r="27574" spans="1:4" x14ac:dyDescent="0.2">
      <c r="A27574" t="s">
        <v>9083</v>
      </c>
      <c r="B27574" t="str">
        <f>HYPERLINK("https://lindat.mff.cuni.cz/services/teitok/pdtc10/index.php?action=vallex&amp;frame=v-w3740f1", "pojit se (v-w3740f1)")</f>
        <v>pojit se (v-w3740f1)</v>
      </c>
    </row>
    <row r="27575" spans="1:4" x14ac:dyDescent="0.2">
      <c r="B27575" t="s">
        <v>1</v>
      </c>
      <c r="C27575" t="s">
        <v>147</v>
      </c>
      <c r="D27575" t="s">
        <v>23233</v>
      </c>
    </row>
    <row r="27576" spans="1:4" x14ac:dyDescent="0.2">
      <c r="B27576" t="s">
        <v>411</v>
      </c>
      <c r="C27576" t="s">
        <v>299</v>
      </c>
      <c r="D27576" t="s">
        <v>23234</v>
      </c>
    </row>
    <row r="27577" spans="1:4" x14ac:dyDescent="0.2">
      <c r="B27577" t="s">
        <v>2156</v>
      </c>
      <c r="D27577" t="s">
        <v>23829</v>
      </c>
    </row>
    <row r="27579" spans="1:4" x14ac:dyDescent="0.2">
      <c r="A27579" t="s">
        <v>9084</v>
      </c>
      <c r="B27579" t="str">
        <f>HYPERLINK("https://lindat.mff.cuni.cz/services/teitok/pdtc10/index.php?action=vallex&amp;frame=v-w3738f1", "pojišťovat (v-w3738f1)")</f>
        <v>pojišťovat (v-w3738f1)</v>
      </c>
    </row>
    <row r="27580" spans="1:4" x14ac:dyDescent="0.2">
      <c r="B27580" t="s">
        <v>1</v>
      </c>
      <c r="C27580" t="s">
        <v>3735</v>
      </c>
      <c r="D27580" t="s">
        <v>3432</v>
      </c>
    </row>
    <row r="27581" spans="1:4" x14ac:dyDescent="0.2">
      <c r="B27581" t="s">
        <v>8</v>
      </c>
      <c r="C27581" t="s">
        <v>2344</v>
      </c>
      <c r="D27581" t="s">
        <v>2213</v>
      </c>
    </row>
    <row r="27583" spans="1:4" x14ac:dyDescent="0.2">
      <c r="A27583" t="s">
        <v>9085</v>
      </c>
      <c r="B27583" t="str">
        <f>HYPERLINK("https://lindat.mff.cuni.cz/services/teitok/pdtc10/index.php?action=vallex&amp;frame=v-w3742hsa_1686", "pojmenovat (v-w3742hsa_1686)")</f>
        <v>pojmenovat (v-w3742hsa_1686)</v>
      </c>
    </row>
    <row r="27584" spans="1:4" x14ac:dyDescent="0.2">
      <c r="B27584" t="s">
        <v>1</v>
      </c>
    </row>
    <row r="27585" spans="1:4" x14ac:dyDescent="0.2">
      <c r="B27585" t="s">
        <v>8</v>
      </c>
    </row>
    <row r="27586" spans="1:4" x14ac:dyDescent="0.2">
      <c r="B27586" t="s">
        <v>9086</v>
      </c>
    </row>
    <row r="27588" spans="1:4" x14ac:dyDescent="0.2">
      <c r="A27588" t="s">
        <v>9085</v>
      </c>
      <c r="B27588" t="str">
        <f>HYPERLINK("https://lindat.mff.cuni.cz/services/teitok/pdtc10/index.php?action=vallex&amp;frame=v-w3742f1", "pojmenovat (v-w3742f1) - substituted with v-w3742hsa_1686")</f>
        <v>pojmenovat (v-w3742f1) - substituted with v-w3742hsa_1686</v>
      </c>
    </row>
    <row r="27589" spans="1:4" x14ac:dyDescent="0.2">
      <c r="B27589" t="s">
        <v>1</v>
      </c>
      <c r="C27589" t="s">
        <v>9087</v>
      </c>
      <c r="D27589" t="s">
        <v>7388</v>
      </c>
    </row>
    <row r="27590" spans="1:4" x14ac:dyDescent="0.2">
      <c r="B27590" t="s">
        <v>8</v>
      </c>
      <c r="C27590" t="s">
        <v>9088</v>
      </c>
      <c r="D27590" t="s">
        <v>23588</v>
      </c>
    </row>
    <row r="27591" spans="1:4" x14ac:dyDescent="0.2">
      <c r="B27591" t="s">
        <v>9086</v>
      </c>
      <c r="C27591" t="s">
        <v>9089</v>
      </c>
      <c r="D27591" t="s">
        <v>23589</v>
      </c>
    </row>
    <row r="27593" spans="1:4" x14ac:dyDescent="0.2">
      <c r="A27593" t="s">
        <v>9090</v>
      </c>
      <c r="B27593" t="str">
        <f>HYPERLINK("https://lindat.mff.cuni.cz/services/teitok/pdtc10/index.php?action=vallex&amp;frame=v-w3742f2", "pojmenovat (v-w3742f2)")</f>
        <v>pojmenovat (v-w3742f2)</v>
      </c>
    </row>
    <row r="27594" spans="1:4" x14ac:dyDescent="0.2">
      <c r="B27594" t="s">
        <v>1</v>
      </c>
      <c r="C27594" t="s">
        <v>80</v>
      </c>
      <c r="D27594" t="s">
        <v>7388</v>
      </c>
    </row>
    <row r="27595" spans="1:4" x14ac:dyDescent="0.2">
      <c r="B27595" t="s">
        <v>8</v>
      </c>
      <c r="C27595" t="s">
        <v>9091</v>
      </c>
      <c r="D27595" t="s">
        <v>23588</v>
      </c>
    </row>
    <row r="27596" spans="1:4" x14ac:dyDescent="0.2">
      <c r="B27596" t="s">
        <v>507</v>
      </c>
      <c r="D27596" t="s">
        <v>23590</v>
      </c>
    </row>
    <row r="27598" spans="1:4" x14ac:dyDescent="0.2">
      <c r="A27598" t="s">
        <v>9092</v>
      </c>
      <c r="B27598" t="str">
        <f>HYPERLINK("https://lindat.mff.cuni.cz/services/teitok/pdtc10/index.php?action=vallex&amp;frame=v-w3742f3", "pojmenovat (v-w3742f3)")</f>
        <v>pojmenovat (v-w3742f3)</v>
      </c>
    </row>
    <row r="27599" spans="1:4" x14ac:dyDescent="0.2">
      <c r="B27599" t="s">
        <v>1</v>
      </c>
    </row>
    <row r="27600" spans="1:4" x14ac:dyDescent="0.2">
      <c r="B27600" t="s">
        <v>172</v>
      </c>
    </row>
    <row r="27602" spans="1:4" x14ac:dyDescent="0.2">
      <c r="A27602" t="s">
        <v>9093</v>
      </c>
      <c r="B27602" t="str">
        <f>HYPERLINK("https://lindat.mff.cuni.cz/services/teitok/pdtc10/index.php?action=vallex&amp;frame=v-w3743f2", "pojmenovávat (v-w3743f2)")</f>
        <v>pojmenovávat (v-w3743f2)</v>
      </c>
    </row>
    <row r="27603" spans="1:4" x14ac:dyDescent="0.2">
      <c r="B27603" t="s">
        <v>1</v>
      </c>
      <c r="D27603" t="s">
        <v>7388</v>
      </c>
    </row>
    <row r="27604" spans="1:4" x14ac:dyDescent="0.2">
      <c r="B27604" t="s">
        <v>8</v>
      </c>
      <c r="D27604" t="s">
        <v>23588</v>
      </c>
    </row>
    <row r="27605" spans="1:4" x14ac:dyDescent="0.2">
      <c r="B27605" t="s">
        <v>6385</v>
      </c>
      <c r="D27605" t="s">
        <v>23589</v>
      </c>
    </row>
    <row r="27607" spans="1:4" x14ac:dyDescent="0.2">
      <c r="A27607" t="s">
        <v>9094</v>
      </c>
      <c r="B27607" t="str">
        <f>HYPERLINK("https://lindat.mff.cuni.cz/services/teitok/pdtc10/index.php?action=vallex&amp;frame=v-w3743f3", "pojmenovávat (v-w3743f3)")</f>
        <v>pojmenovávat (v-w3743f3)</v>
      </c>
    </row>
    <row r="27608" spans="1:4" x14ac:dyDescent="0.2">
      <c r="B27608" t="s">
        <v>1</v>
      </c>
    </row>
    <row r="27609" spans="1:4" x14ac:dyDescent="0.2">
      <c r="B27609" t="s">
        <v>8</v>
      </c>
    </row>
    <row r="27610" spans="1:4" x14ac:dyDescent="0.2">
      <c r="B27610" t="s">
        <v>507</v>
      </c>
    </row>
    <row r="27612" spans="1:4" x14ac:dyDescent="0.2">
      <c r="A27612" t="s">
        <v>9095</v>
      </c>
      <c r="B27612" t="str">
        <f>HYPERLINK("https://lindat.mff.cuni.cz/services/teitok/pdtc10/index.php?action=vallex&amp;frame=v-w3743f1", "pojmenovávat (v-w3743f1)")</f>
        <v>pojmenovávat (v-w3743f1)</v>
      </c>
    </row>
    <row r="27613" spans="1:4" x14ac:dyDescent="0.2">
      <c r="B27613" t="s">
        <v>1</v>
      </c>
    </row>
    <row r="27614" spans="1:4" x14ac:dyDescent="0.2">
      <c r="B27614" t="s">
        <v>8</v>
      </c>
    </row>
    <row r="27616" spans="1:4" x14ac:dyDescent="0.2">
      <c r="A27616" t="s">
        <v>9096</v>
      </c>
      <c r="B27616" t="str">
        <f>HYPERLINK("https://lindat.mff.cuni.cz/services/teitok/pdtc10/index.php?action=vallex&amp;frame=v-w3744f1", "pojmout (v-w3744f1)")</f>
        <v>pojmout (v-w3744f1)</v>
      </c>
    </row>
    <row r="27617" spans="1:4" x14ac:dyDescent="0.2">
      <c r="B27617" t="s">
        <v>1</v>
      </c>
      <c r="C27617" t="s">
        <v>140</v>
      </c>
      <c r="D27617" t="s">
        <v>23008</v>
      </c>
    </row>
    <row r="27618" spans="1:4" x14ac:dyDescent="0.2">
      <c r="B27618" t="s">
        <v>8</v>
      </c>
      <c r="C27618" t="s">
        <v>34</v>
      </c>
      <c r="D27618" t="s">
        <v>17729</v>
      </c>
    </row>
    <row r="27619" spans="1:4" x14ac:dyDescent="0.2">
      <c r="B27619" t="s">
        <v>1151</v>
      </c>
      <c r="C27619" t="s">
        <v>26</v>
      </c>
      <c r="D27619" t="s">
        <v>23009</v>
      </c>
    </row>
    <row r="27621" spans="1:4" x14ac:dyDescent="0.2">
      <c r="A27621" t="s">
        <v>9097</v>
      </c>
      <c r="B27621" t="str">
        <f>HYPERLINK("https://lindat.mff.cuni.cz/services/teitok/pdtc10/index.php?action=vallex&amp;frame=v-w3744f2", "pojmout (v-w3744f2)")</f>
        <v>pojmout (v-w3744f2)</v>
      </c>
    </row>
    <row r="27622" spans="1:4" x14ac:dyDescent="0.2">
      <c r="B27622" t="s">
        <v>1</v>
      </c>
      <c r="C27622" t="s">
        <v>9098</v>
      </c>
      <c r="D27622" t="s">
        <v>23628</v>
      </c>
    </row>
    <row r="27623" spans="1:4" x14ac:dyDescent="0.2">
      <c r="B27623" t="s">
        <v>8</v>
      </c>
      <c r="C27623" t="s">
        <v>1362</v>
      </c>
      <c r="D27623" t="s">
        <v>23629</v>
      </c>
    </row>
    <row r="27625" spans="1:4" x14ac:dyDescent="0.2">
      <c r="A27625" t="s">
        <v>9099</v>
      </c>
      <c r="B27625" t="str">
        <f>HYPERLINK("https://lindat.mff.cuni.cz/services/teitok/pdtc10/index.php?action=vallex&amp;frame=v-w3744f3", "pojmout (v-w3744f3)")</f>
        <v>pojmout (v-w3744f3)</v>
      </c>
    </row>
    <row r="27626" spans="1:4" x14ac:dyDescent="0.2">
      <c r="B27626" t="s">
        <v>1</v>
      </c>
      <c r="C27626" t="s">
        <v>133</v>
      </c>
    </row>
    <row r="27627" spans="1:4" x14ac:dyDescent="0.2">
      <c r="B27627" t="s">
        <v>8</v>
      </c>
      <c r="C27627" t="s">
        <v>23</v>
      </c>
    </row>
    <row r="27628" spans="1:4" x14ac:dyDescent="0.2">
      <c r="B27628" t="s">
        <v>415</v>
      </c>
    </row>
    <row r="27629" spans="1:4" x14ac:dyDescent="0.2">
      <c r="B27629" t="s">
        <v>4836</v>
      </c>
    </row>
    <row r="27630" spans="1:4" x14ac:dyDescent="0.2">
      <c r="B27630" t="s">
        <v>346</v>
      </c>
    </row>
    <row r="27631" spans="1:4" x14ac:dyDescent="0.2">
      <c r="B27631" t="s">
        <v>348</v>
      </c>
    </row>
    <row r="27632" spans="1:4" x14ac:dyDescent="0.2">
      <c r="B27632" t="s">
        <v>349</v>
      </c>
    </row>
    <row r="27633" spans="1:3" x14ac:dyDescent="0.2">
      <c r="B27633" t="s">
        <v>350</v>
      </c>
    </row>
    <row r="27634" spans="1:3" x14ac:dyDescent="0.2">
      <c r="B27634" t="s">
        <v>351</v>
      </c>
    </row>
    <row r="27636" spans="1:3" x14ac:dyDescent="0.2">
      <c r="A27636" t="s">
        <v>9100</v>
      </c>
      <c r="B27636" t="str">
        <f>HYPERLINK("https://lindat.mff.cuni.cz/services/teitok/pdtc10/index.php?action=vallex&amp;frame=v-w3744f4", "pojmout (v-w3744f4)")</f>
        <v>pojmout (v-w3744f4)</v>
      </c>
    </row>
    <row r="27637" spans="1:3" x14ac:dyDescent="0.2">
      <c r="B27637" t="s">
        <v>1</v>
      </c>
      <c r="C27637" t="s">
        <v>1895</v>
      </c>
    </row>
    <row r="27638" spans="1:3" x14ac:dyDescent="0.2">
      <c r="B27638" t="s">
        <v>5003</v>
      </c>
      <c r="C27638" t="s">
        <v>9101</v>
      </c>
    </row>
    <row r="27640" spans="1:3" x14ac:dyDescent="0.2">
      <c r="A27640" t="s">
        <v>9102</v>
      </c>
      <c r="B27640" t="str">
        <f>HYPERLINK("https://lindat.mff.cuni.cz/services/teitok/pdtc10/index.php?action=vallex&amp;frame=v-w3731f1", "pojídat (v-w3731f1)")</f>
        <v>pojídat (v-w3731f1)</v>
      </c>
    </row>
    <row r="27641" spans="1:3" x14ac:dyDescent="0.2">
      <c r="B27641" t="s">
        <v>1</v>
      </c>
    </row>
    <row r="27642" spans="1:3" x14ac:dyDescent="0.2">
      <c r="B27642" t="s">
        <v>8</v>
      </c>
    </row>
    <row r="27644" spans="1:3" x14ac:dyDescent="0.2">
      <c r="A27644" t="s">
        <v>9103</v>
      </c>
      <c r="B27644" t="str">
        <f>HYPERLINK("https://lindat.mff.cuni.cz/services/teitok/pdtc10/index.php?action=vallex&amp;frame=v-whsa_1174hsa_1175", "pojídat se (v-whsa_1174hsa_1175)")</f>
        <v>pojídat se (v-whsa_1174hsa_1175)</v>
      </c>
    </row>
    <row r="27645" spans="1:3" x14ac:dyDescent="0.2">
      <c r="B27645" t="s">
        <v>1</v>
      </c>
      <c r="C27645" t="s">
        <v>3765</v>
      </c>
    </row>
    <row r="27646" spans="1:3" x14ac:dyDescent="0.2">
      <c r="B27646" t="s">
        <v>411</v>
      </c>
      <c r="C27646" t="s">
        <v>1109</v>
      </c>
    </row>
    <row r="27648" spans="1:3" x14ac:dyDescent="0.2">
      <c r="A27648" t="s">
        <v>9104</v>
      </c>
      <c r="B27648" t="str">
        <f>HYPERLINK("https://lindat.mff.cuni.cz/services/teitok/pdtc10/index.php?action=vallex&amp;frame=v-w3733f1", "pojímat (v-w3733f1)")</f>
        <v>pojímat (v-w3733f1)</v>
      </c>
    </row>
    <row r="27649" spans="1:4" x14ac:dyDescent="0.2">
      <c r="B27649" t="s">
        <v>1</v>
      </c>
      <c r="D27649" t="s">
        <v>23008</v>
      </c>
    </row>
    <row r="27650" spans="1:4" x14ac:dyDescent="0.2">
      <c r="B27650" t="s">
        <v>8</v>
      </c>
      <c r="D27650" t="s">
        <v>17729</v>
      </c>
    </row>
    <row r="27651" spans="1:4" x14ac:dyDescent="0.2">
      <c r="B27651" t="s">
        <v>1151</v>
      </c>
      <c r="D27651" t="s">
        <v>23009</v>
      </c>
    </row>
    <row r="27653" spans="1:4" x14ac:dyDescent="0.2">
      <c r="A27653" t="s">
        <v>9105</v>
      </c>
      <c r="B27653" t="str">
        <f>HYPERLINK("https://lindat.mff.cuni.cz/services/teitok/pdtc10/index.php?action=vallex&amp;frame=v-w3733f2", "pojímat (v-w3733f2)")</f>
        <v>pojímat (v-w3733f2)</v>
      </c>
    </row>
    <row r="27654" spans="1:4" x14ac:dyDescent="0.2">
      <c r="B27654" t="s">
        <v>1</v>
      </c>
    </row>
    <row r="27655" spans="1:4" x14ac:dyDescent="0.2">
      <c r="B27655" t="s">
        <v>8</v>
      </c>
    </row>
    <row r="27656" spans="1:4" x14ac:dyDescent="0.2">
      <c r="B27656" t="s">
        <v>4836</v>
      </c>
    </row>
    <row r="27657" spans="1:4" x14ac:dyDescent="0.2">
      <c r="B27657" t="s">
        <v>346</v>
      </c>
    </row>
    <row r="27658" spans="1:4" x14ac:dyDescent="0.2">
      <c r="B27658" t="s">
        <v>349</v>
      </c>
    </row>
    <row r="27659" spans="1:4" x14ac:dyDescent="0.2">
      <c r="B27659" t="s">
        <v>350</v>
      </c>
    </row>
    <row r="27660" spans="1:4" x14ac:dyDescent="0.2">
      <c r="B27660" t="s">
        <v>351</v>
      </c>
    </row>
    <row r="27662" spans="1:4" x14ac:dyDescent="0.2">
      <c r="A27662" t="s">
        <v>9106</v>
      </c>
      <c r="B27662" t="str">
        <f>HYPERLINK("https://lindat.mff.cuni.cz/services/teitok/pdtc10/index.php?action=vallex&amp;frame=v-w3733f3_ZU", "pojímat (v-w3733f3_ZU)")</f>
        <v>pojímat (v-w3733f3_ZU)</v>
      </c>
    </row>
    <row r="27663" spans="1:4" x14ac:dyDescent="0.2">
      <c r="B27663" t="s">
        <v>1</v>
      </c>
    </row>
    <row r="27664" spans="1:4" x14ac:dyDescent="0.2">
      <c r="B27664" t="s">
        <v>8</v>
      </c>
    </row>
    <row r="27666" spans="1:4" x14ac:dyDescent="0.2">
      <c r="A27666" t="s">
        <v>9107</v>
      </c>
      <c r="B27666" t="str">
        <f>HYPERLINK("https://lindat.mff.cuni.cz/services/teitok/pdtc10/index.php?action=vallex&amp;frame=v-whsa_1186hsa_1187", "pojíst (v-whsa_1186hsa_1187)")</f>
        <v>pojíst (v-whsa_1186hsa_1187)</v>
      </c>
    </row>
    <row r="27667" spans="1:4" x14ac:dyDescent="0.2">
      <c r="B27667" t="s">
        <v>1</v>
      </c>
    </row>
    <row r="27668" spans="1:4" x14ac:dyDescent="0.2">
      <c r="B27668" t="s">
        <v>3766</v>
      </c>
    </row>
    <row r="27670" spans="1:4" x14ac:dyDescent="0.2">
      <c r="A27670" t="s">
        <v>9108</v>
      </c>
      <c r="B27670" t="str">
        <f>HYPERLINK("https://lindat.mff.cuni.cz/services/teitok/pdtc10/index.php?action=vallex&amp;frame=v-whsa_1461hsa_1462", "pojíst si (v-whsa_1461hsa_1462)")</f>
        <v>pojíst si (v-whsa_1461hsa_1462)</v>
      </c>
    </row>
    <row r="27671" spans="1:4" x14ac:dyDescent="0.2">
      <c r="B27671" t="s">
        <v>1</v>
      </c>
    </row>
    <row r="27673" spans="1:4" x14ac:dyDescent="0.2">
      <c r="A27673" t="s">
        <v>9109</v>
      </c>
      <c r="B27673" t="str">
        <f>HYPERLINK("https://lindat.mff.cuni.cz/services/teitok/pdtc10/index.php?action=vallex&amp;frame=v-whsa_1985hsa_1986", "pojít (v-whsa_1985hsa_1986)")</f>
        <v>pojít (v-whsa_1985hsa_1986)</v>
      </c>
    </row>
    <row r="27674" spans="1:4" x14ac:dyDescent="0.2">
      <c r="B27674" t="s">
        <v>1</v>
      </c>
    </row>
    <row r="27676" spans="1:4" x14ac:dyDescent="0.2">
      <c r="A27676" t="s">
        <v>9110</v>
      </c>
      <c r="B27676" t="str">
        <f>HYPERLINK("https://lindat.mff.cuni.cz/services/teitok/pdtc10/index.php?action=vallex&amp;frame=v-w3747f1", "pokazit (v-w3747f1)")</f>
        <v>pokazit (v-w3747f1)</v>
      </c>
    </row>
    <row r="27677" spans="1:4" x14ac:dyDescent="0.2">
      <c r="B27677" t="s">
        <v>1</v>
      </c>
      <c r="C27677" t="s">
        <v>249</v>
      </c>
      <c r="D27677" t="s">
        <v>23156</v>
      </c>
    </row>
    <row r="27678" spans="1:4" x14ac:dyDescent="0.2">
      <c r="B27678" t="s">
        <v>8</v>
      </c>
      <c r="C27678" t="s">
        <v>1044</v>
      </c>
      <c r="D27678" t="s">
        <v>23157</v>
      </c>
    </row>
    <row r="27680" spans="1:4" x14ac:dyDescent="0.2">
      <c r="A27680" t="s">
        <v>9111</v>
      </c>
      <c r="B27680" t="str">
        <f>HYPERLINK("https://lindat.mff.cuni.cz/services/teitok/pdtc10/index.php?action=vallex&amp;frame=v-w3748f1", "pokazit se (v-w3748f1)")</f>
        <v>pokazit se (v-w3748f1)</v>
      </c>
    </row>
    <row r="27681" spans="1:4" x14ac:dyDescent="0.2">
      <c r="B27681" t="s">
        <v>1</v>
      </c>
      <c r="C27681" t="s">
        <v>9112</v>
      </c>
    </row>
    <row r="27683" spans="1:4" x14ac:dyDescent="0.2">
      <c r="A27683" t="s">
        <v>9113</v>
      </c>
      <c r="B27683" t="str">
        <f>HYPERLINK("https://lindat.mff.cuni.cz/services/teitok/pdtc10/index.php?action=vallex&amp;frame=v-w3746f1", "pokašlávat (v-w3746f1)")</f>
        <v>pokašlávat (v-w3746f1)</v>
      </c>
    </row>
    <row r="27684" spans="1:4" x14ac:dyDescent="0.2">
      <c r="B27684" t="s">
        <v>1</v>
      </c>
    </row>
    <row r="27686" spans="1:4" x14ac:dyDescent="0.2">
      <c r="A27686" t="s">
        <v>9114</v>
      </c>
      <c r="B27686" t="str">
        <f>HYPERLINK("https://lindat.mff.cuni.cz/services/teitok/pdtc10/index.php?action=vallex&amp;frame=v-whsa_261hsa_262", "pokecat (v-whsa_261hsa_262)")</f>
        <v>pokecat (v-whsa_261hsa_262)</v>
      </c>
    </row>
    <row r="27687" spans="1:4" x14ac:dyDescent="0.2">
      <c r="B27687" t="s">
        <v>1</v>
      </c>
    </row>
    <row r="27688" spans="1:4" x14ac:dyDescent="0.2">
      <c r="B27688" t="s">
        <v>183</v>
      </c>
    </row>
    <row r="27689" spans="1:4" x14ac:dyDescent="0.2">
      <c r="B27689" t="s">
        <v>153</v>
      </c>
    </row>
    <row r="27691" spans="1:4" x14ac:dyDescent="0.2">
      <c r="A27691" t="s">
        <v>9115</v>
      </c>
      <c r="B27691" t="str">
        <f>HYPERLINK("https://lindat.mff.cuni.cz/services/teitok/pdtc10/index.php?action=vallex&amp;frame=v-w11811_ZUf1_ZU", "pokleknout (v-w11811_ZUf1_ZU)")</f>
        <v>pokleknout (v-w11811_ZUf1_ZU)</v>
      </c>
    </row>
    <row r="27692" spans="1:4" x14ac:dyDescent="0.2">
      <c r="B27692" t="s">
        <v>1</v>
      </c>
    </row>
    <row r="27694" spans="1:4" x14ac:dyDescent="0.2">
      <c r="A27694" t="s">
        <v>9116</v>
      </c>
      <c r="B27694" t="str">
        <f>HYPERLINK("https://lindat.mff.cuni.cz/services/teitok/pdtc10/index.php?action=vallex&amp;frame=v-w3752f1", "poklepat (v-w3752f1)")</f>
        <v>poklepat (v-w3752f1)</v>
      </c>
    </row>
    <row r="27695" spans="1:4" x14ac:dyDescent="0.2">
      <c r="B27695" t="s">
        <v>1</v>
      </c>
      <c r="D27695" t="s">
        <v>4110</v>
      </c>
    </row>
    <row r="27696" spans="1:4" x14ac:dyDescent="0.2">
      <c r="B27696" t="s">
        <v>90</v>
      </c>
      <c r="C27696" t="s">
        <v>1796</v>
      </c>
      <c r="D27696" t="s">
        <v>6174</v>
      </c>
    </row>
    <row r="27698" spans="1:4" x14ac:dyDescent="0.2">
      <c r="A27698" t="s">
        <v>9117</v>
      </c>
      <c r="B27698" t="str">
        <f>HYPERLINK("https://lindat.mff.cuni.cz/services/teitok/pdtc10/index.php?action=vallex&amp;frame=v-w3754f1", "poklesnout (v-w3754f1)")</f>
        <v>poklesnout (v-w3754f1)</v>
      </c>
    </row>
    <row r="27699" spans="1:4" x14ac:dyDescent="0.2">
      <c r="B27699" t="s">
        <v>1</v>
      </c>
      <c r="C27699" t="s">
        <v>9118</v>
      </c>
      <c r="D27699" t="s">
        <v>23736</v>
      </c>
    </row>
    <row r="27700" spans="1:4" x14ac:dyDescent="0.2">
      <c r="B27700" t="s">
        <v>46</v>
      </c>
      <c r="C27700" t="s">
        <v>9119</v>
      </c>
      <c r="D27700" t="s">
        <v>23737</v>
      </c>
    </row>
    <row r="27701" spans="1:4" x14ac:dyDescent="0.2">
      <c r="B27701" t="s">
        <v>24</v>
      </c>
      <c r="C27701" t="s">
        <v>9120</v>
      </c>
      <c r="D27701" t="s">
        <v>23738</v>
      </c>
    </row>
    <row r="27703" spans="1:4" x14ac:dyDescent="0.2">
      <c r="A27703" t="s">
        <v>9121</v>
      </c>
      <c r="B27703" t="str">
        <f>HYPERLINK("https://lindat.mff.cuni.cz/services/teitok/pdtc10/index.php?action=vallex&amp;frame=v-w3754hsa_196", "poklesnout (v-w3754hsa_196)")</f>
        <v>poklesnout (v-w3754hsa_196)</v>
      </c>
    </row>
    <row r="27704" spans="1:4" x14ac:dyDescent="0.2">
      <c r="B27704" t="s">
        <v>1</v>
      </c>
    </row>
    <row r="27705" spans="1:4" x14ac:dyDescent="0.2">
      <c r="B27705" t="s">
        <v>90</v>
      </c>
    </row>
    <row r="27707" spans="1:4" x14ac:dyDescent="0.2">
      <c r="A27707" t="s">
        <v>9122</v>
      </c>
      <c r="B27707" t="str">
        <f>HYPERLINK("https://lindat.mff.cuni.cz/services/teitok/pdtc10/index.php?action=vallex&amp;frame=v-whsa_1758hsa_1759", "poklidit (v-whsa_1758hsa_1759)")</f>
        <v>poklidit (v-whsa_1758hsa_1759)</v>
      </c>
    </row>
    <row r="27708" spans="1:4" x14ac:dyDescent="0.2">
      <c r="B27708" t="s">
        <v>1</v>
      </c>
    </row>
    <row r="27709" spans="1:4" x14ac:dyDescent="0.2">
      <c r="B27709" t="s">
        <v>8</v>
      </c>
    </row>
    <row r="27711" spans="1:4" x14ac:dyDescent="0.2">
      <c r="A27711" t="s">
        <v>9123</v>
      </c>
      <c r="B27711" t="str">
        <f>HYPERLINK("https://lindat.mff.cuni.cz/services/teitok/pdtc10/index.php?action=vallex&amp;frame=v-w3756f1", "poklonit se (v-w3756f1)")</f>
        <v>poklonit se (v-w3756f1)</v>
      </c>
    </row>
    <row r="27712" spans="1:4" x14ac:dyDescent="0.2">
      <c r="B27712" t="s">
        <v>1</v>
      </c>
    </row>
    <row r="27713" spans="1:4" x14ac:dyDescent="0.2">
      <c r="B27713" t="s">
        <v>103</v>
      </c>
    </row>
    <row r="27715" spans="1:4" x14ac:dyDescent="0.2">
      <c r="A27715" t="s">
        <v>9124</v>
      </c>
      <c r="B27715" t="str">
        <f>HYPERLINK("https://lindat.mff.cuni.cz/services/teitok/pdtc10/index.php?action=vallex&amp;frame=v-w3756f2", "poklonit se (v-w3756f2)")</f>
        <v>poklonit se (v-w3756f2)</v>
      </c>
    </row>
    <row r="27716" spans="1:4" x14ac:dyDescent="0.2">
      <c r="B27716" t="s">
        <v>1</v>
      </c>
    </row>
    <row r="27717" spans="1:4" x14ac:dyDescent="0.2">
      <c r="B27717" t="s">
        <v>86</v>
      </c>
    </row>
    <row r="27719" spans="1:4" x14ac:dyDescent="0.2">
      <c r="A27719" t="s">
        <v>9125</v>
      </c>
      <c r="B27719" t="str">
        <f>HYPERLINK("https://lindat.mff.cuni.cz/services/teitok/pdtc10/index.php?action=vallex&amp;frame=v-w3751f5", "pokládat (v-w3751f5)")</f>
        <v>pokládat (v-w3751f5)</v>
      </c>
    </row>
    <row r="27720" spans="1:4" x14ac:dyDescent="0.2">
      <c r="B27720" t="s">
        <v>1</v>
      </c>
      <c r="C27720" t="s">
        <v>2168</v>
      </c>
      <c r="D27720" t="s">
        <v>23213</v>
      </c>
    </row>
    <row r="27721" spans="1:4" x14ac:dyDescent="0.2">
      <c r="B27721" t="s">
        <v>8</v>
      </c>
      <c r="C27721" t="s">
        <v>2169</v>
      </c>
      <c r="D27721" t="s">
        <v>23214</v>
      </c>
    </row>
    <row r="27722" spans="1:4" x14ac:dyDescent="0.2">
      <c r="B27722" t="s">
        <v>35</v>
      </c>
      <c r="C27722" t="s">
        <v>2170</v>
      </c>
      <c r="D27722" t="s">
        <v>23215</v>
      </c>
    </row>
    <row r="27724" spans="1:4" x14ac:dyDescent="0.2">
      <c r="A27724" t="s">
        <v>9126</v>
      </c>
      <c r="B27724" t="str">
        <f>HYPERLINK("https://lindat.mff.cuni.cz/services/teitok/pdtc10/index.php?action=vallex&amp;frame=v-w3751f1", "pokládat (v-w3751f1)")</f>
        <v>pokládat (v-w3751f1)</v>
      </c>
    </row>
    <row r="27725" spans="1:4" x14ac:dyDescent="0.2">
      <c r="B27725" t="s">
        <v>1</v>
      </c>
      <c r="C27725" t="s">
        <v>9127</v>
      </c>
      <c r="D27725" t="s">
        <v>23008</v>
      </c>
    </row>
    <row r="27726" spans="1:4" x14ac:dyDescent="0.2">
      <c r="B27726" t="s">
        <v>9128</v>
      </c>
      <c r="C27726" t="s">
        <v>9129</v>
      </c>
      <c r="D27726" t="s">
        <v>17729</v>
      </c>
    </row>
    <row r="27727" spans="1:4" x14ac:dyDescent="0.2">
      <c r="B27727" t="s">
        <v>9130</v>
      </c>
      <c r="C27727" t="s">
        <v>9131</v>
      </c>
      <c r="D27727" t="s">
        <v>23009</v>
      </c>
    </row>
    <row r="27729" spans="1:4" x14ac:dyDescent="0.2">
      <c r="A27729" t="s">
        <v>9132</v>
      </c>
      <c r="B27729" t="str">
        <f>HYPERLINK("https://lindat.mff.cuni.cz/services/teitok/pdtc10/index.php?action=vallex&amp;frame=v-w3751f7_ZU", "pokládat (v-w3751f7_ZU)")</f>
        <v>pokládat (v-w3751f7_ZU)</v>
      </c>
    </row>
    <row r="27730" spans="1:4" x14ac:dyDescent="0.2">
      <c r="B27730" t="s">
        <v>1</v>
      </c>
    </row>
    <row r="27731" spans="1:4" x14ac:dyDescent="0.2">
      <c r="B27731" t="s">
        <v>8</v>
      </c>
    </row>
    <row r="27732" spans="1:4" x14ac:dyDescent="0.2">
      <c r="B27732" t="s">
        <v>90</v>
      </c>
    </row>
    <row r="27734" spans="1:4" x14ac:dyDescent="0.2">
      <c r="A27734" t="s">
        <v>9132</v>
      </c>
      <c r="B27734" t="str">
        <f>HYPERLINK("https://lindat.mff.cuni.cz/services/teitok/pdtc10/index.php?action=vallex&amp;frame=v-w3751f2", "pokládat (v-w3751f2) - substituted with v-w3751f7_ZU")</f>
        <v>pokládat (v-w3751f2) - substituted with v-w3751f7_ZU</v>
      </c>
    </row>
    <row r="27735" spans="1:4" x14ac:dyDescent="0.2">
      <c r="B27735" t="s">
        <v>1</v>
      </c>
      <c r="D27735" t="s">
        <v>23181</v>
      </c>
    </row>
    <row r="27736" spans="1:4" x14ac:dyDescent="0.2">
      <c r="B27736" t="s">
        <v>8</v>
      </c>
      <c r="D27736" t="s">
        <v>23182</v>
      </c>
    </row>
    <row r="27737" spans="1:4" x14ac:dyDescent="0.2">
      <c r="B27737" t="s">
        <v>90</v>
      </c>
      <c r="D27737" t="s">
        <v>11579</v>
      </c>
    </row>
    <row r="27739" spans="1:4" x14ac:dyDescent="0.2">
      <c r="A27739" t="s">
        <v>9133</v>
      </c>
      <c r="B27739" t="str">
        <f>HYPERLINK("https://lindat.mff.cuni.cz/services/teitok/pdtc10/index.php?action=vallex&amp;frame=v-w3751f4", "pokládat (v-w3751f4)")</f>
        <v>pokládat (v-w3751f4)</v>
      </c>
    </row>
    <row r="27740" spans="1:4" x14ac:dyDescent="0.2">
      <c r="B27740" t="s">
        <v>1</v>
      </c>
    </row>
    <row r="27741" spans="1:4" x14ac:dyDescent="0.2">
      <c r="B27741" t="s">
        <v>8</v>
      </c>
    </row>
    <row r="27743" spans="1:4" x14ac:dyDescent="0.2">
      <c r="A27743" t="s">
        <v>9134</v>
      </c>
      <c r="B27743" t="str">
        <f>HYPERLINK("https://lindat.mff.cuni.cz/services/teitok/pdtc10/index.php?action=vallex&amp;frame=v-w3751f3", "pokládat (v-w3751f3)")</f>
        <v>pokládat (v-w3751f3)</v>
      </c>
    </row>
    <row r="27744" spans="1:4" x14ac:dyDescent="0.2">
      <c r="B27744" t="s">
        <v>1</v>
      </c>
      <c r="C27744" t="s">
        <v>2168</v>
      </c>
      <c r="D27744" t="s">
        <v>23213</v>
      </c>
    </row>
    <row r="27745" spans="1:4" x14ac:dyDescent="0.2">
      <c r="B27745" t="s">
        <v>4028</v>
      </c>
      <c r="C27745" t="s">
        <v>2952</v>
      </c>
      <c r="D27745" t="s">
        <v>23399</v>
      </c>
    </row>
    <row r="27746" spans="1:4" x14ac:dyDescent="0.2">
      <c r="B27746" t="s">
        <v>35</v>
      </c>
      <c r="C27746" t="s">
        <v>2170</v>
      </c>
      <c r="D27746" t="s">
        <v>23215</v>
      </c>
    </row>
    <row r="27748" spans="1:4" x14ac:dyDescent="0.2">
      <c r="A27748" t="s">
        <v>9135</v>
      </c>
      <c r="B27748" t="str">
        <f>HYPERLINK("https://lindat.mff.cuni.cz/services/teitok/pdtc10/index.php?action=vallex&amp;frame=v-w3751f6", "pokládat (v-w3751f6)")</f>
        <v>pokládat (v-w3751f6)</v>
      </c>
    </row>
    <row r="27749" spans="1:4" x14ac:dyDescent="0.2">
      <c r="B27749" t="s">
        <v>1</v>
      </c>
    </row>
    <row r="27750" spans="1:4" x14ac:dyDescent="0.2">
      <c r="B27750" t="s">
        <v>2582</v>
      </c>
    </row>
    <row r="27752" spans="1:4" x14ac:dyDescent="0.2">
      <c r="A27752" t="s">
        <v>9136</v>
      </c>
      <c r="B27752" t="str">
        <f>HYPERLINK("https://lindat.mff.cuni.cz/services/teitok/pdtc10/index.php?action=vallex&amp;frame=v-w12110_ZUf1_ZU", "pokládat se (v-w12110_ZUf1_ZU)")</f>
        <v>pokládat se (v-w12110_ZUf1_ZU)</v>
      </c>
    </row>
    <row r="27753" spans="1:4" x14ac:dyDescent="0.2">
      <c r="B27753" t="s">
        <v>1</v>
      </c>
    </row>
    <row r="27755" spans="1:4" x14ac:dyDescent="0.2">
      <c r="A27755" t="s">
        <v>9137</v>
      </c>
      <c r="B27755" t="str">
        <f>HYPERLINK("https://lindat.mff.cuni.cz/services/teitok/pdtc10/index.php?action=vallex&amp;frame=v-w11925_ZUf1_ZU", "pokmínovat (v-w11925_ZUf1_ZU)")</f>
        <v>pokmínovat (v-w11925_ZUf1_ZU)</v>
      </c>
    </row>
    <row r="27756" spans="1:4" x14ac:dyDescent="0.2">
      <c r="B27756" t="s">
        <v>1</v>
      </c>
    </row>
    <row r="27757" spans="1:4" x14ac:dyDescent="0.2">
      <c r="B27757" t="s">
        <v>8</v>
      </c>
    </row>
    <row r="27759" spans="1:4" x14ac:dyDescent="0.2">
      <c r="A27759" t="s">
        <v>9138</v>
      </c>
      <c r="B27759" t="str">
        <f>HYPERLINK("https://lindat.mff.cuni.cz/services/teitok/pdtc10/index.php?action=vallex&amp;frame=v-whsa_2037hsa_2038", "pokoupit (v-whsa_2037hsa_2038)")</f>
        <v>pokoupit (v-whsa_2037hsa_2038)</v>
      </c>
    </row>
    <row r="27760" spans="1:4" x14ac:dyDescent="0.2">
      <c r="B27760" t="s">
        <v>1</v>
      </c>
    </row>
    <row r="27761" spans="1:3" x14ac:dyDescent="0.2">
      <c r="B27761" t="s">
        <v>8</v>
      </c>
    </row>
    <row r="27762" spans="1:3" x14ac:dyDescent="0.2">
      <c r="B27762" t="s">
        <v>1629</v>
      </c>
    </row>
    <row r="27763" spans="1:3" x14ac:dyDescent="0.2">
      <c r="B27763" t="s">
        <v>321</v>
      </c>
    </row>
    <row r="27765" spans="1:3" x14ac:dyDescent="0.2">
      <c r="A27765" t="s">
        <v>9139</v>
      </c>
      <c r="B27765" t="str">
        <f>HYPERLINK("https://lindat.mff.cuni.cz/services/teitok/pdtc10/index.php?action=vallex&amp;frame=v-w3759f1", "pokousat (v-w3759f1)")</f>
        <v>pokousat (v-w3759f1)</v>
      </c>
    </row>
    <row r="27766" spans="1:3" x14ac:dyDescent="0.2">
      <c r="B27766" t="s">
        <v>1</v>
      </c>
    </row>
    <row r="27767" spans="1:3" x14ac:dyDescent="0.2">
      <c r="B27767" t="s">
        <v>8</v>
      </c>
    </row>
    <row r="27769" spans="1:3" x14ac:dyDescent="0.2">
      <c r="A27769" t="s">
        <v>9140</v>
      </c>
      <c r="B27769" t="str">
        <f>HYPERLINK("https://lindat.mff.cuni.cz/services/teitok/pdtc10/index.php?action=vallex&amp;frame=v-w3761f1", "pokoušet (v-w3761f1)")</f>
        <v>pokoušet (v-w3761f1)</v>
      </c>
    </row>
    <row r="27770" spans="1:3" x14ac:dyDescent="0.2">
      <c r="B27770" t="s">
        <v>1</v>
      </c>
    </row>
    <row r="27771" spans="1:3" x14ac:dyDescent="0.2">
      <c r="B27771" t="s">
        <v>8</v>
      </c>
    </row>
    <row r="27773" spans="1:3" x14ac:dyDescent="0.2">
      <c r="A27773" t="s">
        <v>9141</v>
      </c>
      <c r="B27773" t="str">
        <f>HYPERLINK("https://lindat.mff.cuni.cz/services/teitok/pdtc10/index.php?action=vallex&amp;frame=v-w3761f2", "pokoušet (v-w3761f2)")</f>
        <v>pokoušet (v-w3761f2)</v>
      </c>
    </row>
    <row r="27774" spans="1:3" x14ac:dyDescent="0.2">
      <c r="B27774" t="s">
        <v>1</v>
      </c>
      <c r="C27774" t="s">
        <v>249</v>
      </c>
    </row>
    <row r="27775" spans="1:3" x14ac:dyDescent="0.2">
      <c r="B27775" t="s">
        <v>8</v>
      </c>
      <c r="C27775" t="s">
        <v>9142</v>
      </c>
    </row>
    <row r="27777" spans="1:4" x14ac:dyDescent="0.2">
      <c r="A27777" t="s">
        <v>9143</v>
      </c>
      <c r="B27777" t="str">
        <f>HYPERLINK("https://lindat.mff.cuni.cz/services/teitok/pdtc10/index.php?action=vallex&amp;frame=v-w3762f1", "pokoušet se (v-w3762f1)")</f>
        <v>pokoušet se (v-w3762f1)</v>
      </c>
    </row>
    <row r="27778" spans="1:4" x14ac:dyDescent="0.2">
      <c r="B27778" t="s">
        <v>1</v>
      </c>
      <c r="C27778" t="s">
        <v>9144</v>
      </c>
      <c r="D27778" t="s">
        <v>22995</v>
      </c>
    </row>
    <row r="27779" spans="1:4" x14ac:dyDescent="0.2">
      <c r="B27779" t="s">
        <v>9145</v>
      </c>
      <c r="C27779" t="s">
        <v>9146</v>
      </c>
      <c r="D27779" t="s">
        <v>22996</v>
      </c>
    </row>
    <row r="27781" spans="1:4" x14ac:dyDescent="0.2">
      <c r="A27781" t="s">
        <v>9147</v>
      </c>
      <c r="B27781" t="str">
        <f>HYPERLINK("https://lindat.mff.cuni.cz/services/teitok/pdtc10/index.php?action=vallex&amp;frame=v-w3757f1", "pokořit (v-w3757f1)")</f>
        <v>pokořit (v-w3757f1)</v>
      </c>
    </row>
    <row r="27782" spans="1:4" x14ac:dyDescent="0.2">
      <c r="B27782" t="s">
        <v>1</v>
      </c>
      <c r="C27782" t="s">
        <v>80</v>
      </c>
      <c r="D27782" t="s">
        <v>14822</v>
      </c>
    </row>
    <row r="27783" spans="1:4" x14ac:dyDescent="0.2">
      <c r="B27783" t="s">
        <v>8</v>
      </c>
      <c r="C27783" t="s">
        <v>116</v>
      </c>
      <c r="D27783" t="s">
        <v>23658</v>
      </c>
    </row>
    <row r="27785" spans="1:4" x14ac:dyDescent="0.2">
      <c r="A27785" t="s">
        <v>9148</v>
      </c>
      <c r="B27785" t="str">
        <f>HYPERLINK("https://lindat.mff.cuni.cz/services/teitok/pdtc10/index.php?action=vallex&amp;frame=v-w3757f2", "pokořit (v-w3757f2)")</f>
        <v>pokořit (v-w3757f2)</v>
      </c>
    </row>
    <row r="27786" spans="1:4" x14ac:dyDescent="0.2">
      <c r="B27786" t="s">
        <v>1</v>
      </c>
      <c r="D27786" t="s">
        <v>133</v>
      </c>
    </row>
    <row r="27787" spans="1:4" x14ac:dyDescent="0.2">
      <c r="B27787" t="s">
        <v>8</v>
      </c>
      <c r="C27787" t="s">
        <v>34</v>
      </c>
      <c r="D27787" t="s">
        <v>23099</v>
      </c>
    </row>
    <row r="27789" spans="1:4" x14ac:dyDescent="0.2">
      <c r="A27789" t="s">
        <v>9149</v>
      </c>
      <c r="B27789" t="str">
        <f>HYPERLINK("https://lindat.mff.cuni.cz/services/teitok/pdtc10/index.php?action=vallex&amp;frame=v-w3758f1", "pokořit se (v-w3758f1)")</f>
        <v>pokořit se (v-w3758f1)</v>
      </c>
    </row>
    <row r="27790" spans="1:4" x14ac:dyDescent="0.2">
      <c r="B27790" t="s">
        <v>1</v>
      </c>
      <c r="D27790" t="s">
        <v>23830</v>
      </c>
    </row>
    <row r="27791" spans="1:4" x14ac:dyDescent="0.2">
      <c r="B27791" t="s">
        <v>5328</v>
      </c>
    </row>
    <row r="27793" spans="1:4" x14ac:dyDescent="0.2">
      <c r="A27793" t="s">
        <v>9150</v>
      </c>
      <c r="B27793" t="str">
        <f>HYPERLINK("https://lindat.mff.cuni.cz/services/teitok/pdtc10/index.php?action=vallex&amp;frame=v-w3765f7_ZU", "pokračovat (v-w3765f7_ZU)")</f>
        <v>pokračovat (v-w3765f7_ZU)</v>
      </c>
    </row>
    <row r="27794" spans="1:4" x14ac:dyDescent="0.2">
      <c r="B27794" t="s">
        <v>1</v>
      </c>
    </row>
    <row r="27795" spans="1:4" x14ac:dyDescent="0.2">
      <c r="B27795" t="s">
        <v>9151</v>
      </c>
    </row>
    <row r="27797" spans="1:4" x14ac:dyDescent="0.2">
      <c r="A27797" t="s">
        <v>9150</v>
      </c>
      <c r="B27797" t="str">
        <f>HYPERLINK("https://lindat.mff.cuni.cz/services/teitok/pdtc10/index.php?action=vallex&amp;frame=v-w3765f2", "pokračovat (v-w3765f2) - substituted with v-w3765f7_ZU")</f>
        <v>pokračovat (v-w3765f2) - substituted with v-w3765f7_ZU</v>
      </c>
    </row>
    <row r="27798" spans="1:4" x14ac:dyDescent="0.2">
      <c r="B27798" t="s">
        <v>1</v>
      </c>
      <c r="C27798" t="s">
        <v>9152</v>
      </c>
    </row>
    <row r="27799" spans="1:4" x14ac:dyDescent="0.2">
      <c r="B27799" t="s">
        <v>9151</v>
      </c>
      <c r="C27799" t="s">
        <v>9153</v>
      </c>
    </row>
    <row r="27801" spans="1:4" x14ac:dyDescent="0.2">
      <c r="A27801" t="s">
        <v>9150</v>
      </c>
      <c r="B27801" t="str">
        <f>HYPERLINK("https://lindat.mff.cuni.cz/services/teitok/pdtc10/index.php?action=vallex&amp;frame=v-w3765f5_ZU", "pokračovat (v-w3765f5_ZU) - substituted with v-w3765f7_ZU")</f>
        <v>pokračovat (v-w3765f5_ZU) - substituted with v-w3765f7_ZU</v>
      </c>
    </row>
    <row r="27802" spans="1:4" x14ac:dyDescent="0.2">
      <c r="B27802" t="s">
        <v>1</v>
      </c>
      <c r="C27802" t="s">
        <v>109</v>
      </c>
      <c r="D27802" t="s">
        <v>23831</v>
      </c>
    </row>
    <row r="27803" spans="1:4" x14ac:dyDescent="0.2">
      <c r="B27803" t="s">
        <v>9151</v>
      </c>
      <c r="C27803" t="s">
        <v>2886</v>
      </c>
      <c r="D27803" t="s">
        <v>23832</v>
      </c>
    </row>
    <row r="27805" spans="1:4" x14ac:dyDescent="0.2">
      <c r="A27805" t="s">
        <v>9150</v>
      </c>
      <c r="B27805" t="str">
        <f>HYPERLINK("https://lindat.mff.cuni.cz/services/teitok/pdtc10/index.php?action=vallex&amp;frame=v-w3765f6_ZU", "pokračovat (v-w3765f6_ZU) - substituted with v-w3765f7_ZU")</f>
        <v>pokračovat (v-w3765f6_ZU) - substituted with v-w3765f7_ZU</v>
      </c>
    </row>
    <row r="27806" spans="1:4" x14ac:dyDescent="0.2">
      <c r="B27806" t="s">
        <v>1</v>
      </c>
    </row>
    <row r="27807" spans="1:4" x14ac:dyDescent="0.2">
      <c r="B27807" t="s">
        <v>9151</v>
      </c>
    </row>
    <row r="27809" spans="1:4" x14ac:dyDescent="0.2">
      <c r="A27809" t="s">
        <v>9150</v>
      </c>
      <c r="B27809" t="str">
        <f>HYPERLINK("https://lindat.mff.cuni.cz/services/teitok/pdtc10/index.php?action=vallex&amp;frame=v-w3765hsa_1442", "pokračovat (v-w3765hsa_1442) - substituted with v-w3765f7_ZU")</f>
        <v>pokračovat (v-w3765hsa_1442) - substituted with v-w3765f7_ZU</v>
      </c>
    </row>
    <row r="27810" spans="1:4" x14ac:dyDescent="0.2">
      <c r="B27810" t="s">
        <v>1</v>
      </c>
    </row>
    <row r="27811" spans="1:4" x14ac:dyDescent="0.2">
      <c r="B27811" t="s">
        <v>9151</v>
      </c>
    </row>
    <row r="27813" spans="1:4" x14ac:dyDescent="0.2">
      <c r="A27813" t="s">
        <v>9154</v>
      </c>
      <c r="B27813" t="str">
        <f>HYPERLINK("https://lindat.mff.cuni.cz/services/teitok/pdtc10/index.php?action=vallex&amp;frame=v-w3765f3", "pokračovat (v-w3765f3)")</f>
        <v>pokračovat (v-w3765f3)</v>
      </c>
    </row>
    <row r="27814" spans="1:4" x14ac:dyDescent="0.2">
      <c r="B27814" t="s">
        <v>1</v>
      </c>
      <c r="C27814" t="s">
        <v>9155</v>
      </c>
      <c r="D27814" t="s">
        <v>83</v>
      </c>
    </row>
    <row r="27815" spans="1:4" x14ac:dyDescent="0.2">
      <c r="B27815" t="s">
        <v>9156</v>
      </c>
      <c r="C27815" t="s">
        <v>9157</v>
      </c>
      <c r="D27815" t="s">
        <v>9157</v>
      </c>
    </row>
    <row r="27816" spans="1:4" x14ac:dyDescent="0.2">
      <c r="B27816" t="s">
        <v>269</v>
      </c>
      <c r="C27816" t="s">
        <v>991</v>
      </c>
    </row>
    <row r="27818" spans="1:4" x14ac:dyDescent="0.2">
      <c r="A27818" t="s">
        <v>9158</v>
      </c>
      <c r="B27818" t="str">
        <f>HYPERLINK("https://lindat.mff.cuni.cz/services/teitok/pdtc10/index.php?action=vallex&amp;frame=v-w3765f8_ZU", "pokračovat (v-w3765f8_ZU)")</f>
        <v>pokračovat (v-w3765f8_ZU)</v>
      </c>
    </row>
    <row r="27819" spans="1:4" x14ac:dyDescent="0.2">
      <c r="B27819" t="s">
        <v>1</v>
      </c>
    </row>
    <row r="27820" spans="1:4" x14ac:dyDescent="0.2">
      <c r="B27820" t="s">
        <v>90</v>
      </c>
    </row>
    <row r="27822" spans="1:4" x14ac:dyDescent="0.2">
      <c r="A27822" t="s">
        <v>9158</v>
      </c>
      <c r="B27822" t="str">
        <f>HYPERLINK("https://lindat.mff.cuni.cz/services/teitok/pdtc10/index.php?action=vallex&amp;frame=v-w3765f4", "pokračovat (v-w3765f4) - substituted with v-w3765f8_ZU")</f>
        <v>pokračovat (v-w3765f4) - substituted with v-w3765f8_ZU</v>
      </c>
    </row>
    <row r="27823" spans="1:4" x14ac:dyDescent="0.2">
      <c r="B27823" t="s">
        <v>1</v>
      </c>
      <c r="C27823" t="s">
        <v>3824</v>
      </c>
    </row>
    <row r="27824" spans="1:4" x14ac:dyDescent="0.2">
      <c r="B27824" t="s">
        <v>90</v>
      </c>
    </row>
    <row r="27826" spans="1:4" x14ac:dyDescent="0.2">
      <c r="A27826" t="s">
        <v>9159</v>
      </c>
      <c r="B27826" t="str">
        <f>HYPERLINK("https://lindat.mff.cuni.cz/services/teitok/pdtc10/index.php?action=vallex&amp;frame=v-w3765f1", "pokračovat (v-w3765f1)")</f>
        <v>pokračovat (v-w3765f1)</v>
      </c>
    </row>
    <row r="27827" spans="1:4" x14ac:dyDescent="0.2">
      <c r="B27827" t="s">
        <v>1</v>
      </c>
      <c r="C27827" t="s">
        <v>9160</v>
      </c>
      <c r="D27827" t="s">
        <v>23041</v>
      </c>
    </row>
    <row r="27829" spans="1:4" x14ac:dyDescent="0.2">
      <c r="A27829" t="s">
        <v>9161</v>
      </c>
      <c r="B27829" t="str">
        <f>HYPERLINK("https://lindat.mff.cuni.cz/services/teitok/pdtc10/index.php?action=vallex&amp;frame=v-whsa_381hsa_382", "pokropit (v-whsa_381hsa_382)")</f>
        <v>pokropit (v-whsa_381hsa_382)</v>
      </c>
    </row>
    <row r="27830" spans="1:4" x14ac:dyDescent="0.2">
      <c r="B27830" t="s">
        <v>1</v>
      </c>
      <c r="D27830" t="s">
        <v>20911</v>
      </c>
    </row>
    <row r="27831" spans="1:4" x14ac:dyDescent="0.2">
      <c r="B27831" t="s">
        <v>8</v>
      </c>
      <c r="D27831" t="s">
        <v>354</v>
      </c>
    </row>
    <row r="27833" spans="1:4" x14ac:dyDescent="0.2">
      <c r="A27833" t="s">
        <v>9162</v>
      </c>
      <c r="B27833" t="str">
        <f>HYPERLINK("https://lindat.mff.cuni.cz/services/teitok/pdtc10/index.php?action=vallex&amp;frame=v-w3769f2_ZU", "pokročit (v-w3769f2_ZU)")</f>
        <v>pokročit (v-w3769f2_ZU)</v>
      </c>
    </row>
    <row r="27834" spans="1:4" x14ac:dyDescent="0.2">
      <c r="B27834" t="s">
        <v>1</v>
      </c>
      <c r="C27834" t="s">
        <v>9112</v>
      </c>
    </row>
    <row r="27835" spans="1:4" x14ac:dyDescent="0.2">
      <c r="B27835" t="s">
        <v>46</v>
      </c>
      <c r="C27835" t="s">
        <v>9163</v>
      </c>
    </row>
    <row r="27836" spans="1:4" x14ac:dyDescent="0.2">
      <c r="B27836" t="s">
        <v>24</v>
      </c>
      <c r="C27836" t="s">
        <v>5399</v>
      </c>
    </row>
    <row r="27838" spans="1:4" x14ac:dyDescent="0.2">
      <c r="A27838" t="s">
        <v>9164</v>
      </c>
      <c r="B27838" t="str">
        <f>HYPERLINK("https://lindat.mff.cuni.cz/services/teitok/pdtc10/index.php?action=vallex&amp;frame=v-w3769f3_ZU", "pokročit (v-w3769f3_ZU)")</f>
        <v>pokročit (v-w3769f3_ZU)</v>
      </c>
    </row>
    <row r="27839" spans="1:4" x14ac:dyDescent="0.2">
      <c r="B27839" t="s">
        <v>1</v>
      </c>
      <c r="C27839" t="s">
        <v>109</v>
      </c>
    </row>
    <row r="27840" spans="1:4" x14ac:dyDescent="0.2">
      <c r="B27840" t="s">
        <v>2423</v>
      </c>
      <c r="C27840" t="s">
        <v>2886</v>
      </c>
    </row>
    <row r="27842" spans="1:4" x14ac:dyDescent="0.2">
      <c r="A27842" t="s">
        <v>9164</v>
      </c>
      <c r="B27842" t="str">
        <f>HYPERLINK("https://lindat.mff.cuni.cz/services/teitok/pdtc10/index.php?action=vallex&amp;frame=v-w3769f1", "pokročit (v-w3769f1) - substituted with v-w3769f3_ZU")</f>
        <v>pokročit (v-w3769f1) - substituted with v-w3769f3_ZU</v>
      </c>
    </row>
    <row r="27843" spans="1:4" x14ac:dyDescent="0.2">
      <c r="B27843" t="s">
        <v>1</v>
      </c>
      <c r="C27843" t="s">
        <v>9165</v>
      </c>
    </row>
    <row r="27844" spans="1:4" x14ac:dyDescent="0.2">
      <c r="B27844" t="s">
        <v>2423</v>
      </c>
    </row>
    <row r="27846" spans="1:4" x14ac:dyDescent="0.2">
      <c r="A27846" t="s">
        <v>9166</v>
      </c>
      <c r="B27846" t="str">
        <f>HYPERLINK("https://lindat.mff.cuni.cz/services/teitok/pdtc10/index.php?action=vallex&amp;frame=v-w3769hsa_150", "pokročit (v-w3769hsa_150)")</f>
        <v>pokročit (v-w3769hsa_150)</v>
      </c>
    </row>
    <row r="27847" spans="1:4" x14ac:dyDescent="0.2">
      <c r="B27847" t="s">
        <v>1</v>
      </c>
    </row>
    <row r="27848" spans="1:4" x14ac:dyDescent="0.2">
      <c r="B27848" t="s">
        <v>411</v>
      </c>
    </row>
    <row r="27850" spans="1:4" x14ac:dyDescent="0.2">
      <c r="A27850" t="s">
        <v>9167</v>
      </c>
      <c r="B27850" t="str">
        <f>HYPERLINK("https://lindat.mff.cuni.cz/services/teitok/pdtc10/index.php?action=vallex&amp;frame=v-w3771f1", "pokrýt (v-w3771f1)")</f>
        <v>pokrýt (v-w3771f1)</v>
      </c>
    </row>
    <row r="27851" spans="1:4" x14ac:dyDescent="0.2">
      <c r="B27851" t="s">
        <v>1</v>
      </c>
      <c r="C27851" t="s">
        <v>9168</v>
      </c>
      <c r="D27851" t="s">
        <v>20911</v>
      </c>
    </row>
    <row r="27852" spans="1:4" x14ac:dyDescent="0.2">
      <c r="B27852" t="s">
        <v>8</v>
      </c>
      <c r="C27852" t="s">
        <v>9169</v>
      </c>
      <c r="D27852" t="s">
        <v>354</v>
      </c>
    </row>
    <row r="27854" spans="1:4" x14ac:dyDescent="0.2">
      <c r="A27854" t="s">
        <v>9170</v>
      </c>
      <c r="B27854" t="str">
        <f>HYPERLINK("https://lindat.mff.cuni.cz/services/teitok/pdtc10/index.php?action=vallex&amp;frame=v-w3771f2", "pokrýt (v-w3771f2)")</f>
        <v>pokrýt (v-w3771f2)</v>
      </c>
    </row>
    <row r="27855" spans="1:4" x14ac:dyDescent="0.2">
      <c r="B27855" t="s">
        <v>1</v>
      </c>
      <c r="C27855" t="s">
        <v>9171</v>
      </c>
    </row>
    <row r="27856" spans="1:4" x14ac:dyDescent="0.2">
      <c r="B27856" t="s">
        <v>8</v>
      </c>
      <c r="C27856" t="s">
        <v>9172</v>
      </c>
    </row>
    <row r="27858" spans="1:4" x14ac:dyDescent="0.2">
      <c r="A27858" t="s">
        <v>9173</v>
      </c>
      <c r="B27858" t="str">
        <f>HYPERLINK("https://lindat.mff.cuni.cz/services/teitok/pdtc10/index.php?action=vallex&amp;frame=v-w3771f3", "pokrýt (v-w3771f3)")</f>
        <v>pokrýt (v-w3771f3)</v>
      </c>
    </row>
    <row r="27859" spans="1:4" x14ac:dyDescent="0.2">
      <c r="B27859" t="s">
        <v>1</v>
      </c>
      <c r="C27859" t="s">
        <v>9174</v>
      </c>
      <c r="D27859" t="s">
        <v>20911</v>
      </c>
    </row>
    <row r="27860" spans="1:4" x14ac:dyDescent="0.2">
      <c r="B27860" t="s">
        <v>8</v>
      </c>
      <c r="C27860" t="s">
        <v>1025</v>
      </c>
      <c r="D27860" t="s">
        <v>354</v>
      </c>
    </row>
    <row r="27862" spans="1:4" x14ac:dyDescent="0.2">
      <c r="A27862" t="s">
        <v>9175</v>
      </c>
      <c r="B27862" t="str">
        <f>HYPERLINK("https://lindat.mff.cuni.cz/services/teitok/pdtc10/index.php?action=vallex&amp;frame=v-w3771hsa_179", "pokrýt (v-w3771hsa_179)")</f>
        <v>pokrýt (v-w3771hsa_179)</v>
      </c>
    </row>
    <row r="27863" spans="1:4" x14ac:dyDescent="0.2">
      <c r="B27863" t="s">
        <v>1</v>
      </c>
      <c r="C27863" t="s">
        <v>4298</v>
      </c>
    </row>
    <row r="27864" spans="1:4" x14ac:dyDescent="0.2">
      <c r="B27864" t="s">
        <v>8</v>
      </c>
      <c r="C27864" t="s">
        <v>4301</v>
      </c>
    </row>
    <row r="27866" spans="1:4" x14ac:dyDescent="0.2">
      <c r="A27866" t="s">
        <v>9176</v>
      </c>
      <c r="B27866" t="str">
        <f>HYPERLINK("https://lindat.mff.cuni.cz/services/teitok/pdtc10/index.php?action=vallex&amp;frame=v-w3775f1", "pokrývat (v-w3775f1)")</f>
        <v>pokrývat (v-w3775f1)</v>
      </c>
    </row>
    <row r="27867" spans="1:4" x14ac:dyDescent="0.2">
      <c r="B27867" t="s">
        <v>1</v>
      </c>
      <c r="C27867" t="s">
        <v>9177</v>
      </c>
      <c r="D27867" t="s">
        <v>20911</v>
      </c>
    </row>
    <row r="27868" spans="1:4" x14ac:dyDescent="0.2">
      <c r="B27868" t="s">
        <v>8</v>
      </c>
      <c r="C27868" t="s">
        <v>9178</v>
      </c>
      <c r="D27868" t="s">
        <v>354</v>
      </c>
    </row>
    <row r="27870" spans="1:4" x14ac:dyDescent="0.2">
      <c r="A27870" t="s">
        <v>9179</v>
      </c>
      <c r="B27870" t="str">
        <f>HYPERLINK("https://lindat.mff.cuni.cz/services/teitok/pdtc10/index.php?action=vallex&amp;frame=v-w3775f3", "pokrývat (v-w3775f3)")</f>
        <v>pokrývat (v-w3775f3)</v>
      </c>
    </row>
    <row r="27871" spans="1:4" x14ac:dyDescent="0.2">
      <c r="B27871" t="s">
        <v>1</v>
      </c>
      <c r="C27871" t="s">
        <v>33</v>
      </c>
      <c r="D27871" t="s">
        <v>20911</v>
      </c>
    </row>
    <row r="27872" spans="1:4" x14ac:dyDescent="0.2">
      <c r="B27872" t="s">
        <v>8</v>
      </c>
      <c r="D27872" t="s">
        <v>354</v>
      </c>
    </row>
    <row r="27874" spans="1:4" x14ac:dyDescent="0.2">
      <c r="A27874" t="s">
        <v>9180</v>
      </c>
      <c r="B27874" t="str">
        <f>HYPERLINK("https://lindat.mff.cuni.cz/services/teitok/pdtc10/index.php?action=vallex&amp;frame=v-w3775f2", "pokrývat (v-w3775f2)")</f>
        <v>pokrývat (v-w3775f2)</v>
      </c>
    </row>
    <row r="27875" spans="1:4" x14ac:dyDescent="0.2">
      <c r="B27875" t="s">
        <v>1</v>
      </c>
      <c r="C27875" t="s">
        <v>9181</v>
      </c>
    </row>
    <row r="27876" spans="1:4" x14ac:dyDescent="0.2">
      <c r="B27876" t="s">
        <v>8</v>
      </c>
      <c r="C27876" t="s">
        <v>9182</v>
      </c>
    </row>
    <row r="27878" spans="1:4" x14ac:dyDescent="0.2">
      <c r="A27878" t="s">
        <v>9183</v>
      </c>
      <c r="B27878" t="str">
        <f>HYPERLINK("https://lindat.mff.cuni.cz/services/teitok/pdtc10/index.php?action=vallex&amp;frame=v-w3775f5_ZU", "pokrývat (v-w3775f5_ZU)")</f>
        <v>pokrývat (v-w3775f5_ZU)</v>
      </c>
    </row>
    <row r="27879" spans="1:4" x14ac:dyDescent="0.2">
      <c r="B27879" t="s">
        <v>1</v>
      </c>
      <c r="C27879" t="s">
        <v>1992</v>
      </c>
      <c r="D27879" t="s">
        <v>23628</v>
      </c>
    </row>
    <row r="27880" spans="1:4" x14ac:dyDescent="0.2">
      <c r="B27880" t="s">
        <v>8</v>
      </c>
      <c r="C27880" t="s">
        <v>68</v>
      </c>
      <c r="D27880" t="s">
        <v>23629</v>
      </c>
    </row>
    <row r="27882" spans="1:4" x14ac:dyDescent="0.2">
      <c r="A27882" t="s">
        <v>9183</v>
      </c>
      <c r="B27882" t="str">
        <f>HYPERLINK("https://lindat.mff.cuni.cz/services/teitok/pdtc10/index.php?action=vallex&amp;frame=v-w3775f4_ZU", "pokrývat (v-w3775f4_ZU) - substituted with v-w3775f5_ZU")</f>
        <v>pokrývat (v-w3775f4_ZU) - substituted with v-w3775f5_ZU</v>
      </c>
    </row>
    <row r="27883" spans="1:4" x14ac:dyDescent="0.2">
      <c r="B27883" t="s">
        <v>1</v>
      </c>
      <c r="C27883" t="s">
        <v>4298</v>
      </c>
    </row>
    <row r="27884" spans="1:4" x14ac:dyDescent="0.2">
      <c r="B27884" t="s">
        <v>8</v>
      </c>
      <c r="C27884" t="s">
        <v>4301</v>
      </c>
    </row>
    <row r="27886" spans="1:4" x14ac:dyDescent="0.2">
      <c r="A27886" t="s">
        <v>9184</v>
      </c>
      <c r="B27886" t="str">
        <f>HYPERLINK("https://lindat.mff.cuni.cz/services/teitok/pdtc10/index.php?action=vallex&amp;frame=v-w3768f2", "pokrčit (v-w3768f2)")</f>
        <v>pokrčit (v-w3768f2)</v>
      </c>
    </row>
    <row r="27887" spans="1:4" x14ac:dyDescent="0.2">
      <c r="B27887" t="s">
        <v>1</v>
      </c>
    </row>
    <row r="27888" spans="1:4" x14ac:dyDescent="0.2">
      <c r="B27888" t="s">
        <v>8</v>
      </c>
    </row>
    <row r="27890" spans="1:4" x14ac:dyDescent="0.2">
      <c r="A27890" t="s">
        <v>9185</v>
      </c>
      <c r="B27890" t="str">
        <f>HYPERLINK("https://lindat.mff.cuni.cz/services/teitok/pdtc10/index.php?action=vallex&amp;frame=v-w3768f1", "pokrčit (v-w3768f1)")</f>
        <v>pokrčit (v-w3768f1)</v>
      </c>
    </row>
    <row r="27891" spans="1:4" x14ac:dyDescent="0.2">
      <c r="B27891" t="s">
        <v>1</v>
      </c>
    </row>
    <row r="27892" spans="1:4" x14ac:dyDescent="0.2">
      <c r="B27892" t="s">
        <v>9186</v>
      </c>
    </row>
    <row r="27894" spans="1:4" x14ac:dyDescent="0.2">
      <c r="A27894" t="s">
        <v>9187</v>
      </c>
      <c r="B27894" t="str">
        <f>HYPERLINK("https://lindat.mff.cuni.cz/services/teitok/pdtc10/index.php?action=vallex&amp;frame=v-w3779f3_ZU", "pokulhávat (v-w3779f3_ZU)")</f>
        <v>pokulhávat (v-w3779f3_ZU)</v>
      </c>
    </row>
    <row r="27895" spans="1:4" x14ac:dyDescent="0.2">
      <c r="B27895" t="s">
        <v>1</v>
      </c>
      <c r="C27895" t="s">
        <v>140</v>
      </c>
      <c r="D27895" t="s">
        <v>2353</v>
      </c>
    </row>
    <row r="27896" spans="1:4" x14ac:dyDescent="0.2">
      <c r="B27896" t="s">
        <v>3368</v>
      </c>
      <c r="D27896" t="s">
        <v>3098</v>
      </c>
    </row>
    <row r="27898" spans="1:4" x14ac:dyDescent="0.2">
      <c r="A27898" t="s">
        <v>9188</v>
      </c>
      <c r="B27898" t="str">
        <f>HYPERLINK("https://lindat.mff.cuni.cz/services/teitok/pdtc10/index.php?action=vallex&amp;frame=v-w3779f1", "pokulhávat (v-w3779f1)")</f>
        <v>pokulhávat (v-w3779f1)</v>
      </c>
    </row>
    <row r="27899" spans="1:4" x14ac:dyDescent="0.2">
      <c r="B27899" t="s">
        <v>1</v>
      </c>
    </row>
    <row r="27901" spans="1:4" x14ac:dyDescent="0.2">
      <c r="A27901" t="s">
        <v>9189</v>
      </c>
      <c r="B27901" t="str">
        <f>HYPERLINK("https://lindat.mff.cuni.cz/services/teitok/pdtc10/index.php?action=vallex&amp;frame=v-w3779f2", "pokulhávat (v-w3779f2)")</f>
        <v>pokulhávat (v-w3779f2)</v>
      </c>
    </row>
    <row r="27902" spans="1:4" x14ac:dyDescent="0.2">
      <c r="B27902" t="s">
        <v>1</v>
      </c>
    </row>
    <row r="27904" spans="1:4" x14ac:dyDescent="0.2">
      <c r="A27904" t="s">
        <v>9190</v>
      </c>
      <c r="B27904" t="str">
        <f>HYPERLINK("https://lindat.mff.cuni.cz/services/teitok/pdtc10/index.php?action=vallex&amp;frame=v-w3781f1", "pokusit se (v-w3781f1)")</f>
        <v>pokusit se (v-w3781f1)</v>
      </c>
    </row>
    <row r="27905" spans="1:4" x14ac:dyDescent="0.2">
      <c r="B27905" t="s">
        <v>1</v>
      </c>
      <c r="C27905" t="s">
        <v>9191</v>
      </c>
      <c r="D27905" t="s">
        <v>22995</v>
      </c>
    </row>
    <row r="27906" spans="1:4" x14ac:dyDescent="0.2">
      <c r="B27906" t="s">
        <v>9145</v>
      </c>
      <c r="C27906" t="s">
        <v>9192</v>
      </c>
      <c r="D27906" t="s">
        <v>22996</v>
      </c>
    </row>
    <row r="27908" spans="1:4" x14ac:dyDescent="0.2">
      <c r="A27908" t="s">
        <v>9193</v>
      </c>
      <c r="B27908" t="str">
        <f>HYPERLINK("https://lindat.mff.cuni.cz/services/teitok/pdtc10/index.php?action=vallex&amp;frame=v-w3784f1", "pokutovat (v-w3784f1)")</f>
        <v>pokutovat (v-w3784f1)</v>
      </c>
    </row>
    <row r="27909" spans="1:4" x14ac:dyDescent="0.2">
      <c r="B27909" t="s">
        <v>1</v>
      </c>
      <c r="C27909" t="s">
        <v>249</v>
      </c>
      <c r="D27909" t="s">
        <v>249</v>
      </c>
    </row>
    <row r="27910" spans="1:4" x14ac:dyDescent="0.2">
      <c r="B27910" t="s">
        <v>8</v>
      </c>
      <c r="C27910" t="s">
        <v>6727</v>
      </c>
      <c r="D27910" t="s">
        <v>6727</v>
      </c>
    </row>
    <row r="27912" spans="1:4" x14ac:dyDescent="0.2">
      <c r="A27912" t="s">
        <v>9194</v>
      </c>
      <c r="B27912" t="str">
        <f>HYPERLINK("https://lindat.mff.cuni.cz/services/teitok/pdtc10/index.php?action=vallex&amp;frame=v-w10693f2", "pokvasit (v-w10693f2)")</f>
        <v>pokvasit (v-w10693f2)</v>
      </c>
    </row>
    <row r="27913" spans="1:4" x14ac:dyDescent="0.2">
      <c r="B27913" t="s">
        <v>1</v>
      </c>
    </row>
    <row r="27914" spans="1:4" x14ac:dyDescent="0.2">
      <c r="B27914" t="s">
        <v>8</v>
      </c>
    </row>
    <row r="27916" spans="1:4" x14ac:dyDescent="0.2">
      <c r="A27916" t="s">
        <v>9195</v>
      </c>
      <c r="B27916" t="str">
        <f>HYPERLINK("https://lindat.mff.cuni.cz/services/teitok/pdtc10/index.php?action=vallex&amp;frame=v-w3785f1", "pokydat (v-w3785f1)")</f>
        <v>pokydat (v-w3785f1)</v>
      </c>
    </row>
    <row r="27917" spans="1:4" x14ac:dyDescent="0.2">
      <c r="B27917" t="s">
        <v>1</v>
      </c>
    </row>
    <row r="27918" spans="1:4" x14ac:dyDescent="0.2">
      <c r="B27918" t="s">
        <v>8</v>
      </c>
    </row>
    <row r="27920" spans="1:4" x14ac:dyDescent="0.2">
      <c r="A27920" t="s">
        <v>9196</v>
      </c>
      <c r="B27920" t="str">
        <f>HYPERLINK("https://lindat.mff.cuni.cz/services/teitok/pdtc10/index.php?action=vallex&amp;frame=v-w3787f1", "pokynout (v-w3787f1)")</f>
        <v>pokynout (v-w3787f1)</v>
      </c>
    </row>
    <row r="27921" spans="1:4" x14ac:dyDescent="0.2">
      <c r="B27921" t="s">
        <v>1</v>
      </c>
    </row>
    <row r="27922" spans="1:4" x14ac:dyDescent="0.2">
      <c r="B27922" t="s">
        <v>3225</v>
      </c>
    </row>
    <row r="27923" spans="1:4" x14ac:dyDescent="0.2">
      <c r="B27923" t="s">
        <v>4768</v>
      </c>
    </row>
    <row r="27925" spans="1:4" x14ac:dyDescent="0.2">
      <c r="A27925" t="s">
        <v>9197</v>
      </c>
      <c r="B27925" t="str">
        <f>HYPERLINK("https://lindat.mff.cuni.cz/services/teitok/pdtc10/index.php?action=vallex&amp;frame=v-whsa_790hsa_791", "pokácet (v-whsa_790hsa_791)")</f>
        <v>pokácet (v-whsa_790hsa_791)</v>
      </c>
    </row>
    <row r="27926" spans="1:4" x14ac:dyDescent="0.2">
      <c r="B27926" t="s">
        <v>1</v>
      </c>
      <c r="C27926" t="s">
        <v>140</v>
      </c>
      <c r="D27926" t="s">
        <v>23088</v>
      </c>
    </row>
    <row r="27927" spans="1:4" x14ac:dyDescent="0.2">
      <c r="B27927" t="s">
        <v>8</v>
      </c>
      <c r="C27927" t="s">
        <v>113</v>
      </c>
      <c r="D27927" t="s">
        <v>986</v>
      </c>
    </row>
    <row r="27929" spans="1:4" x14ac:dyDescent="0.2">
      <c r="A27929" t="s">
        <v>9198</v>
      </c>
      <c r="B27929" t="str">
        <f>HYPERLINK("https://lindat.mff.cuni.cz/services/teitok/pdtc10/index.php?action=vallex&amp;frame=v-whsb_455hsa_456", "pokálet (v-whsb_455hsa_456)")</f>
        <v>pokálet (v-whsb_455hsa_456)</v>
      </c>
    </row>
    <row r="27930" spans="1:4" x14ac:dyDescent="0.2">
      <c r="B27930" t="s">
        <v>1</v>
      </c>
    </row>
    <row r="27931" spans="1:4" x14ac:dyDescent="0.2">
      <c r="B27931" t="s">
        <v>8</v>
      </c>
    </row>
    <row r="27933" spans="1:4" x14ac:dyDescent="0.2">
      <c r="A27933" t="s">
        <v>9199</v>
      </c>
      <c r="B27933" t="str">
        <f>HYPERLINK("https://lindat.mff.cuni.cz/services/teitok/pdtc10/index.php?action=vallex&amp;frame=v-w11171f2", "pokárat (v-w11171f2)")</f>
        <v>pokárat (v-w11171f2)</v>
      </c>
    </row>
    <row r="27934" spans="1:4" x14ac:dyDescent="0.2">
      <c r="B27934" t="s">
        <v>1</v>
      </c>
      <c r="C27934" t="s">
        <v>430</v>
      </c>
      <c r="D27934" t="s">
        <v>990</v>
      </c>
    </row>
    <row r="27935" spans="1:4" x14ac:dyDescent="0.2">
      <c r="B27935" t="s">
        <v>8</v>
      </c>
      <c r="C27935" t="s">
        <v>84</v>
      </c>
      <c r="D27935" t="s">
        <v>3773</v>
      </c>
    </row>
    <row r="27937" spans="1:4" x14ac:dyDescent="0.2">
      <c r="A27937" t="s">
        <v>9200</v>
      </c>
      <c r="B27937" t="str">
        <f>HYPERLINK("https://lindat.mff.cuni.cz/services/teitok/pdtc10/index.php?action=vallex&amp;frame=v-w3788f1", "pokývnout (v-w3788f1)")</f>
        <v>pokývnout (v-w3788f1)</v>
      </c>
    </row>
    <row r="27938" spans="1:4" x14ac:dyDescent="0.2">
      <c r="B27938" t="s">
        <v>1</v>
      </c>
    </row>
    <row r="27939" spans="1:4" x14ac:dyDescent="0.2">
      <c r="B27939" t="s">
        <v>3225</v>
      </c>
    </row>
    <row r="27941" spans="1:4" x14ac:dyDescent="0.2">
      <c r="A27941" t="s">
        <v>9201</v>
      </c>
      <c r="B27941" t="str">
        <f>HYPERLINK("https://lindat.mff.cuni.cz/services/teitok/pdtc10/index.php?action=vallex&amp;frame=v-w3777f1", "pokřikovat (v-w3777f1)")</f>
        <v>pokřikovat (v-w3777f1)</v>
      </c>
    </row>
    <row r="27942" spans="1:4" x14ac:dyDescent="0.2">
      <c r="B27942" t="s">
        <v>1</v>
      </c>
    </row>
    <row r="27943" spans="1:4" x14ac:dyDescent="0.2">
      <c r="B27943" t="s">
        <v>3727</v>
      </c>
    </row>
    <row r="27944" spans="1:4" x14ac:dyDescent="0.2">
      <c r="B27944" t="s">
        <v>3527</v>
      </c>
    </row>
    <row r="27946" spans="1:4" x14ac:dyDescent="0.2">
      <c r="A27946" t="s">
        <v>9202</v>
      </c>
      <c r="B27946" t="str">
        <f>HYPERLINK("https://lindat.mff.cuni.cz/services/teitok/pdtc10/index.php?action=vallex&amp;frame=v-w3778f1", "pokřtít (v-w3778f1)")</f>
        <v>pokřtít (v-w3778f1)</v>
      </c>
    </row>
    <row r="27947" spans="1:4" x14ac:dyDescent="0.2">
      <c r="B27947" t="s">
        <v>1</v>
      </c>
    </row>
    <row r="27948" spans="1:4" x14ac:dyDescent="0.2">
      <c r="B27948" t="s">
        <v>8</v>
      </c>
    </row>
    <row r="27949" spans="1:4" x14ac:dyDescent="0.2">
      <c r="B27949" t="s">
        <v>9203</v>
      </c>
    </row>
    <row r="27951" spans="1:4" x14ac:dyDescent="0.2">
      <c r="A27951" t="s">
        <v>9204</v>
      </c>
      <c r="B27951" t="str">
        <f>HYPERLINK("https://lindat.mff.cuni.cz/services/teitok/pdtc10/index.php?action=vallex&amp;frame=v-w3789f1", "polapit (v-w3789f1)")</f>
        <v>polapit (v-w3789f1)</v>
      </c>
    </row>
    <row r="27952" spans="1:4" x14ac:dyDescent="0.2">
      <c r="B27952" t="s">
        <v>1</v>
      </c>
      <c r="C27952" t="s">
        <v>133</v>
      </c>
      <c r="D27952" t="s">
        <v>294</v>
      </c>
    </row>
    <row r="27953" spans="1:4" x14ac:dyDescent="0.2">
      <c r="B27953" t="s">
        <v>8</v>
      </c>
      <c r="C27953" t="s">
        <v>1340</v>
      </c>
      <c r="D27953" t="s">
        <v>1351</v>
      </c>
    </row>
    <row r="27955" spans="1:4" x14ac:dyDescent="0.2">
      <c r="A27955" t="s">
        <v>9205</v>
      </c>
      <c r="B27955" t="str">
        <f>HYPERLINK("https://lindat.mff.cuni.cz/services/teitok/pdtc10/index.php?action=vallex&amp;frame=v-w3790f1", "polarizovat (v-w3790f1)")</f>
        <v>polarizovat (v-w3790f1)</v>
      </c>
    </row>
    <row r="27956" spans="1:4" x14ac:dyDescent="0.2">
      <c r="B27956" t="s">
        <v>1</v>
      </c>
    </row>
    <row r="27957" spans="1:4" x14ac:dyDescent="0.2">
      <c r="B27957" t="s">
        <v>8</v>
      </c>
    </row>
    <row r="27959" spans="1:4" x14ac:dyDescent="0.2">
      <c r="A27959" t="s">
        <v>9206</v>
      </c>
      <c r="B27959" t="str">
        <f>HYPERLINK("https://lindat.mff.cuni.cz/services/teitok/pdtc10/index.php?action=vallex&amp;frame=v-whsa_1253f1_ZU", "polechtat (v-whsa_1253f1_ZU)")</f>
        <v>polechtat (v-whsa_1253f1_ZU)</v>
      </c>
    </row>
    <row r="27960" spans="1:4" x14ac:dyDescent="0.2">
      <c r="B27960" t="s">
        <v>1</v>
      </c>
    </row>
    <row r="27961" spans="1:4" x14ac:dyDescent="0.2">
      <c r="B27961" t="s">
        <v>8</v>
      </c>
    </row>
    <row r="27963" spans="1:4" x14ac:dyDescent="0.2">
      <c r="A27963" t="s">
        <v>9206</v>
      </c>
      <c r="B27963" t="str">
        <f>HYPERLINK("https://lindat.mff.cuni.cz/services/teitok/pdtc10/index.php?action=vallex&amp;frame=v-whsb_1253hsa_1254", "polechtat (v-whsb_1253hsa_1254) - substituted with v-whsa_1253f1_ZU")</f>
        <v>polechtat (v-whsb_1253hsa_1254) - substituted with v-whsa_1253f1_ZU</v>
      </c>
    </row>
    <row r="27964" spans="1:4" x14ac:dyDescent="0.2">
      <c r="B27964" t="s">
        <v>1</v>
      </c>
    </row>
    <row r="27965" spans="1:4" x14ac:dyDescent="0.2">
      <c r="B27965" t="s">
        <v>8</v>
      </c>
    </row>
    <row r="27967" spans="1:4" x14ac:dyDescent="0.2">
      <c r="A27967" t="s">
        <v>9207</v>
      </c>
      <c r="B27967" t="str">
        <f>HYPERLINK("https://lindat.mff.cuni.cz/services/teitok/pdtc10/index.php?action=vallex&amp;frame=v-w3791f1", "polehávat (v-w3791f1)")</f>
        <v>polehávat (v-w3791f1)</v>
      </c>
    </row>
    <row r="27968" spans="1:4" x14ac:dyDescent="0.2">
      <c r="B27968" t="s">
        <v>1</v>
      </c>
    </row>
    <row r="27970" spans="1:4" x14ac:dyDescent="0.2">
      <c r="A27970" t="s">
        <v>9208</v>
      </c>
      <c r="B27970" t="str">
        <f>HYPERLINK("https://lindat.mff.cuni.cz/services/teitok/pdtc10/index.php?action=vallex&amp;frame=v-w3792f1", "polekat se (v-w3792f1)")</f>
        <v>polekat se (v-w3792f1)</v>
      </c>
    </row>
    <row r="27971" spans="1:4" x14ac:dyDescent="0.2">
      <c r="B27971" t="s">
        <v>1</v>
      </c>
      <c r="C27971" t="s">
        <v>9209</v>
      </c>
      <c r="D27971" t="s">
        <v>3043</v>
      </c>
    </row>
    <row r="27972" spans="1:4" x14ac:dyDescent="0.2">
      <c r="B27972" t="s">
        <v>4396</v>
      </c>
      <c r="C27972" t="s">
        <v>1128</v>
      </c>
      <c r="D27972" t="s">
        <v>23833</v>
      </c>
    </row>
    <row r="27974" spans="1:4" x14ac:dyDescent="0.2">
      <c r="A27974" t="s">
        <v>9210</v>
      </c>
      <c r="B27974" t="str">
        <f>HYPERLINK("https://lindat.mff.cuni.cz/services/teitok/pdtc10/index.php?action=vallex&amp;frame=v-w3794f1", "polemizovat (v-w3794f1)")</f>
        <v>polemizovat (v-w3794f1)</v>
      </c>
    </row>
    <row r="27975" spans="1:4" x14ac:dyDescent="0.2">
      <c r="B27975" t="s">
        <v>1</v>
      </c>
    </row>
    <row r="27976" spans="1:4" x14ac:dyDescent="0.2">
      <c r="B27976" t="s">
        <v>9211</v>
      </c>
    </row>
    <row r="27977" spans="1:4" x14ac:dyDescent="0.2">
      <c r="B27977" t="s">
        <v>153</v>
      </c>
    </row>
    <row r="27979" spans="1:4" x14ac:dyDescent="0.2">
      <c r="A27979" t="s">
        <v>9212</v>
      </c>
      <c r="B27979" t="str">
        <f>HYPERLINK("https://lindat.mff.cuni.cz/services/teitok/pdtc10/index.php?action=vallex&amp;frame=v-w3794f2", "polemizovat (v-w3794f2)")</f>
        <v>polemizovat (v-w3794f2)</v>
      </c>
    </row>
    <row r="27980" spans="1:4" x14ac:dyDescent="0.2">
      <c r="B27980" t="s">
        <v>1</v>
      </c>
      <c r="C27980" t="s">
        <v>3358</v>
      </c>
    </row>
    <row r="27981" spans="1:4" x14ac:dyDescent="0.2">
      <c r="B27981" t="s">
        <v>411</v>
      </c>
      <c r="C27981" t="s">
        <v>9213</v>
      </c>
    </row>
    <row r="27983" spans="1:4" x14ac:dyDescent="0.2">
      <c r="A27983" t="s">
        <v>9214</v>
      </c>
      <c r="B27983" t="str">
        <f>HYPERLINK("https://lindat.mff.cuni.cz/services/teitok/pdtc10/index.php?action=vallex&amp;frame=v-w3795f1", "polepit (v-w3795f1)")</f>
        <v>polepit (v-w3795f1)</v>
      </c>
    </row>
    <row r="27984" spans="1:4" x14ac:dyDescent="0.2">
      <c r="B27984" t="s">
        <v>1</v>
      </c>
    </row>
    <row r="27985" spans="1:4" x14ac:dyDescent="0.2">
      <c r="B27985" t="s">
        <v>8</v>
      </c>
    </row>
    <row r="27987" spans="1:4" x14ac:dyDescent="0.2">
      <c r="A27987" t="s">
        <v>9215</v>
      </c>
      <c r="B27987" t="str">
        <f>HYPERLINK("https://lindat.mff.cuni.cz/services/teitok/pdtc10/index.php?action=vallex&amp;frame=v-whsa_2023hsa_2024", "poleptat (v-whsa_2023hsa_2024)")</f>
        <v>poleptat (v-whsa_2023hsa_2024)</v>
      </c>
    </row>
    <row r="27988" spans="1:4" x14ac:dyDescent="0.2">
      <c r="B27988" t="s">
        <v>1</v>
      </c>
    </row>
    <row r="27989" spans="1:4" x14ac:dyDescent="0.2">
      <c r="B27989" t="s">
        <v>8</v>
      </c>
    </row>
    <row r="27991" spans="1:4" x14ac:dyDescent="0.2">
      <c r="A27991" t="s">
        <v>9216</v>
      </c>
      <c r="B27991" t="str">
        <f>HYPERLINK("https://lindat.mff.cuni.cz/services/teitok/pdtc10/index.php?action=vallex&amp;frame=v-w3797f1", "polepšit si (v-w3797f1)")</f>
        <v>polepšit si (v-w3797f1)</v>
      </c>
    </row>
    <row r="27992" spans="1:4" x14ac:dyDescent="0.2">
      <c r="B27992" t="s">
        <v>1</v>
      </c>
      <c r="C27992" t="s">
        <v>8035</v>
      </c>
      <c r="D27992" t="s">
        <v>1904</v>
      </c>
    </row>
    <row r="27994" spans="1:4" x14ac:dyDescent="0.2">
      <c r="A27994" t="s">
        <v>9217</v>
      </c>
      <c r="B27994" t="str">
        <f>HYPERLINK("https://lindat.mff.cuni.cz/services/teitok/pdtc10/index.php?action=vallex&amp;frame=v-w3798f1", "poletovat (v-w3798f1)")</f>
        <v>poletovat (v-w3798f1)</v>
      </c>
    </row>
    <row r="27995" spans="1:4" x14ac:dyDescent="0.2">
      <c r="B27995" t="s">
        <v>1</v>
      </c>
      <c r="C27995" t="s">
        <v>4529</v>
      </c>
    </row>
    <row r="27997" spans="1:4" x14ac:dyDescent="0.2">
      <c r="A27997" t="s">
        <v>9218</v>
      </c>
      <c r="B27997" t="str">
        <f>HYPERLINK("https://lindat.mff.cuni.cz/services/teitok/pdtc10/index.php?action=vallex&amp;frame=v-whsa_121hsa_122", "poletovat si (v-whsa_121hsa_122)")</f>
        <v>poletovat si (v-whsa_121hsa_122)</v>
      </c>
    </row>
    <row r="27998" spans="1:4" x14ac:dyDescent="0.2">
      <c r="B27998" t="s">
        <v>1</v>
      </c>
      <c r="C27998" t="s">
        <v>4529</v>
      </c>
    </row>
    <row r="28000" spans="1:4" x14ac:dyDescent="0.2">
      <c r="A28000" t="s">
        <v>9219</v>
      </c>
      <c r="B28000" t="str">
        <f>HYPERLINK("https://lindat.mff.cuni.cz/services/teitok/pdtc10/index.php?action=vallex&amp;frame=v-w3801f2", "polevit (v-w3801f2)")</f>
        <v>polevit (v-w3801f2)</v>
      </c>
    </row>
    <row r="28001" spans="1:4" x14ac:dyDescent="0.2">
      <c r="B28001" t="s">
        <v>1</v>
      </c>
      <c r="D28001" t="s">
        <v>23636</v>
      </c>
    </row>
    <row r="28002" spans="1:4" x14ac:dyDescent="0.2">
      <c r="B28002" t="s">
        <v>551</v>
      </c>
      <c r="C28002" t="s">
        <v>34</v>
      </c>
    </row>
    <row r="28004" spans="1:4" x14ac:dyDescent="0.2">
      <c r="A28004" t="s">
        <v>9220</v>
      </c>
      <c r="B28004" t="str">
        <f>HYPERLINK("https://lindat.mff.cuni.cz/services/teitok/pdtc10/index.php?action=vallex&amp;frame=v-w3801f1", "polevit (v-w3801f1)")</f>
        <v>polevit (v-w3801f1)</v>
      </c>
    </row>
    <row r="28005" spans="1:4" x14ac:dyDescent="0.2">
      <c r="B28005" t="s">
        <v>1</v>
      </c>
      <c r="C28005" t="s">
        <v>8035</v>
      </c>
      <c r="D28005" t="s">
        <v>23636</v>
      </c>
    </row>
    <row r="28007" spans="1:4" x14ac:dyDescent="0.2">
      <c r="A28007" t="s">
        <v>9221</v>
      </c>
      <c r="B28007" t="str">
        <f>HYPERLINK("https://lindat.mff.cuni.cz/services/teitok/pdtc10/index.php?action=vallex&amp;frame=v-w3801f3_ZU", "polevit (v-w3801f3_ZU)")</f>
        <v>polevit (v-w3801f3_ZU)</v>
      </c>
    </row>
    <row r="28008" spans="1:4" x14ac:dyDescent="0.2">
      <c r="B28008" t="s">
        <v>1</v>
      </c>
      <c r="C28008" t="s">
        <v>9222</v>
      </c>
      <c r="D28008" t="s">
        <v>23736</v>
      </c>
    </row>
    <row r="28009" spans="1:4" x14ac:dyDescent="0.2">
      <c r="B28009" t="s">
        <v>46</v>
      </c>
      <c r="C28009" t="s">
        <v>9223</v>
      </c>
      <c r="D28009" t="s">
        <v>23737</v>
      </c>
    </row>
    <row r="28010" spans="1:4" x14ac:dyDescent="0.2">
      <c r="B28010" t="s">
        <v>24</v>
      </c>
      <c r="D28010" t="s">
        <v>23738</v>
      </c>
    </row>
    <row r="28012" spans="1:4" x14ac:dyDescent="0.2">
      <c r="A28012" t="s">
        <v>9221</v>
      </c>
      <c r="B28012" t="str">
        <f>HYPERLINK("https://lindat.mff.cuni.cz/services/teitok/pdtc10/index.php?action=vallex&amp;frame=v-w3801hsa_1276", "polevit (v-w3801hsa_1276) - substituted with v-w3801f3_ZU")</f>
        <v>polevit (v-w3801hsa_1276) - substituted with v-w3801f3_ZU</v>
      </c>
    </row>
    <row r="28013" spans="1:4" x14ac:dyDescent="0.2">
      <c r="B28013" t="s">
        <v>1</v>
      </c>
    </row>
    <row r="28014" spans="1:4" x14ac:dyDescent="0.2">
      <c r="B28014" t="s">
        <v>46</v>
      </c>
    </row>
    <row r="28015" spans="1:4" x14ac:dyDescent="0.2">
      <c r="B28015" t="s">
        <v>24</v>
      </c>
    </row>
    <row r="28017" spans="1:4" x14ac:dyDescent="0.2">
      <c r="A28017" t="s">
        <v>9224</v>
      </c>
      <c r="B28017" t="str">
        <f>HYPERLINK("https://lindat.mff.cuni.cz/services/teitok/pdtc10/index.php?action=vallex&amp;frame=v-w3802f1", "polevovat (v-w3802f1)")</f>
        <v>polevovat (v-w3802f1)</v>
      </c>
    </row>
    <row r="28018" spans="1:4" x14ac:dyDescent="0.2">
      <c r="B28018" t="s">
        <v>1</v>
      </c>
      <c r="C28018" t="s">
        <v>9225</v>
      </c>
      <c r="D28018" t="s">
        <v>23636</v>
      </c>
    </row>
    <row r="28020" spans="1:4" x14ac:dyDescent="0.2">
      <c r="A28020" t="s">
        <v>9226</v>
      </c>
      <c r="B28020" t="str">
        <f>HYPERLINK("https://lindat.mff.cuni.cz/services/teitok/pdtc10/index.php?action=vallex&amp;frame=v-whsa_763f1_ZU", "polichotit (v-whsa_763f1_ZU)")</f>
        <v>polichotit (v-whsa_763f1_ZU)</v>
      </c>
    </row>
    <row r="28021" spans="1:4" x14ac:dyDescent="0.2">
      <c r="B28021" t="s">
        <v>1</v>
      </c>
    </row>
    <row r="28022" spans="1:4" x14ac:dyDescent="0.2">
      <c r="B28022" t="s">
        <v>103</v>
      </c>
    </row>
    <row r="28024" spans="1:4" x14ac:dyDescent="0.2">
      <c r="A28024" t="s">
        <v>9226</v>
      </c>
      <c r="B28024" t="str">
        <f>HYPERLINK("https://lindat.mff.cuni.cz/services/teitok/pdtc10/index.php?action=vallex&amp;frame=v-whsa_763hsa_764", "polichotit (v-whsa_763hsa_764) - substituted with v-whsa_763f1_ZU")</f>
        <v>polichotit (v-whsa_763hsa_764) - substituted with v-whsa_763f1_ZU</v>
      </c>
    </row>
    <row r="28025" spans="1:4" x14ac:dyDescent="0.2">
      <c r="B28025" t="s">
        <v>1</v>
      </c>
    </row>
    <row r="28026" spans="1:4" x14ac:dyDescent="0.2">
      <c r="B28026" t="s">
        <v>103</v>
      </c>
    </row>
    <row r="28028" spans="1:4" x14ac:dyDescent="0.2">
      <c r="A28028" t="s">
        <v>9227</v>
      </c>
      <c r="B28028" t="str">
        <f>HYPERLINK("https://lindat.mff.cuni.cz/services/teitok/pdtc10/index.php?action=vallex&amp;frame=v-w3809f1", "politizovat (v-w3809f1)")</f>
        <v>politizovat (v-w3809f1)</v>
      </c>
    </row>
    <row r="28029" spans="1:4" x14ac:dyDescent="0.2">
      <c r="B28029" t="s">
        <v>1</v>
      </c>
    </row>
    <row r="28030" spans="1:4" x14ac:dyDescent="0.2">
      <c r="B28030" t="s">
        <v>8</v>
      </c>
    </row>
    <row r="28032" spans="1:4" x14ac:dyDescent="0.2">
      <c r="A28032" t="s">
        <v>9228</v>
      </c>
      <c r="B28032" t="str">
        <f>HYPERLINK("https://lindat.mff.cuni.cz/services/teitok/pdtc10/index.php?action=vallex&amp;frame=v-whsa_821hsa_822", "politovat (v-whsa_821hsa_822)")</f>
        <v>politovat (v-whsa_821hsa_822)</v>
      </c>
    </row>
    <row r="28033" spans="1:4" x14ac:dyDescent="0.2">
      <c r="B28033" t="s">
        <v>1</v>
      </c>
    </row>
    <row r="28034" spans="1:4" x14ac:dyDescent="0.2">
      <c r="B28034" t="s">
        <v>8</v>
      </c>
    </row>
    <row r="28036" spans="1:4" x14ac:dyDescent="0.2">
      <c r="A28036" t="s">
        <v>9229</v>
      </c>
      <c r="B28036" t="str">
        <f>HYPERLINK("https://lindat.mff.cuni.cz/services/teitok/pdtc10/index.php?action=vallex&amp;frame=v-w3812f1", "pololhát (v-w3812f1)")</f>
        <v>pololhát (v-w3812f1)</v>
      </c>
    </row>
    <row r="28037" spans="1:4" x14ac:dyDescent="0.2">
      <c r="B28037" t="s">
        <v>1</v>
      </c>
    </row>
    <row r="28038" spans="1:4" x14ac:dyDescent="0.2">
      <c r="B28038" t="s">
        <v>4439</v>
      </c>
    </row>
    <row r="28039" spans="1:4" x14ac:dyDescent="0.2">
      <c r="B28039" t="s">
        <v>78</v>
      </c>
    </row>
    <row r="28041" spans="1:4" x14ac:dyDescent="0.2">
      <c r="A28041" t="s">
        <v>9230</v>
      </c>
      <c r="B28041" t="str">
        <f>HYPERLINK("https://lindat.mff.cuni.cz/services/teitok/pdtc10/index.php?action=vallex&amp;frame=v-w3816f9", "položit (v-w3816f9)")</f>
        <v>položit (v-w3816f9)</v>
      </c>
    </row>
    <row r="28042" spans="1:4" x14ac:dyDescent="0.2">
      <c r="B28042" t="s">
        <v>1</v>
      </c>
    </row>
    <row r="28043" spans="1:4" x14ac:dyDescent="0.2">
      <c r="B28043" t="s">
        <v>8</v>
      </c>
    </row>
    <row r="28044" spans="1:4" x14ac:dyDescent="0.2">
      <c r="B28044" t="s">
        <v>35</v>
      </c>
    </row>
    <row r="28046" spans="1:4" x14ac:dyDescent="0.2">
      <c r="A28046" t="s">
        <v>9231</v>
      </c>
      <c r="B28046" t="str">
        <f>HYPERLINK("https://lindat.mff.cuni.cz/services/teitok/pdtc10/index.php?action=vallex&amp;frame=v-w3816f8", "položit (v-w3816f8)")</f>
        <v>položit (v-w3816f8)</v>
      </c>
    </row>
    <row r="28047" spans="1:4" x14ac:dyDescent="0.2">
      <c r="B28047" t="s">
        <v>1</v>
      </c>
      <c r="D28047" t="s">
        <v>23181</v>
      </c>
    </row>
    <row r="28048" spans="1:4" x14ac:dyDescent="0.2">
      <c r="B28048" t="s">
        <v>8</v>
      </c>
      <c r="C28048" t="s">
        <v>17</v>
      </c>
      <c r="D28048" t="s">
        <v>23182</v>
      </c>
    </row>
    <row r="28049" spans="1:4" x14ac:dyDescent="0.2">
      <c r="B28049" t="s">
        <v>5</v>
      </c>
      <c r="C28049" t="s">
        <v>9232</v>
      </c>
      <c r="D28049" t="s">
        <v>15735</v>
      </c>
    </row>
    <row r="28051" spans="1:4" x14ac:dyDescent="0.2">
      <c r="A28051" t="s">
        <v>9233</v>
      </c>
      <c r="B28051" t="str">
        <f>HYPERLINK("https://lindat.mff.cuni.cz/services/teitok/pdtc10/index.php?action=vallex&amp;frame=v-w3816f2", "položit (v-w3816f2)")</f>
        <v>položit (v-w3816f2)</v>
      </c>
    </row>
    <row r="28052" spans="1:4" x14ac:dyDescent="0.2">
      <c r="B28052" t="s">
        <v>1</v>
      </c>
      <c r="C28052" t="s">
        <v>9234</v>
      </c>
      <c r="D28052" t="s">
        <v>23181</v>
      </c>
    </row>
    <row r="28053" spans="1:4" x14ac:dyDescent="0.2">
      <c r="B28053" t="s">
        <v>8</v>
      </c>
      <c r="C28053" t="s">
        <v>1437</v>
      </c>
      <c r="D28053" t="s">
        <v>23182</v>
      </c>
    </row>
    <row r="28054" spans="1:4" x14ac:dyDescent="0.2">
      <c r="B28054" t="s">
        <v>90</v>
      </c>
      <c r="C28054" t="s">
        <v>4020</v>
      </c>
      <c r="D28054" t="s">
        <v>11579</v>
      </c>
    </row>
    <row r="28056" spans="1:4" x14ac:dyDescent="0.2">
      <c r="A28056" t="s">
        <v>9235</v>
      </c>
      <c r="B28056" t="str">
        <f>HYPERLINK("https://lindat.mff.cuni.cz/services/teitok/pdtc10/index.php?action=vallex&amp;frame=v-w3816f3", "položit (v-w3816f3)")</f>
        <v>položit (v-w3816f3)</v>
      </c>
    </row>
    <row r="28057" spans="1:4" x14ac:dyDescent="0.2">
      <c r="B28057" t="s">
        <v>1</v>
      </c>
      <c r="C28057" t="s">
        <v>33</v>
      </c>
    </row>
    <row r="28058" spans="1:4" x14ac:dyDescent="0.2">
      <c r="B28058" t="s">
        <v>8</v>
      </c>
      <c r="C28058" t="s">
        <v>1044</v>
      </c>
    </row>
    <row r="28060" spans="1:4" x14ac:dyDescent="0.2">
      <c r="A28060" t="s">
        <v>9236</v>
      </c>
      <c r="B28060" t="str">
        <f>HYPERLINK("https://lindat.mff.cuni.cz/services/teitok/pdtc10/index.php?action=vallex&amp;frame=v-w3816f4", "položit (v-w3816f4)")</f>
        <v>položit (v-w3816f4)</v>
      </c>
    </row>
    <row r="28061" spans="1:4" x14ac:dyDescent="0.2">
      <c r="B28061" t="s">
        <v>1</v>
      </c>
    </row>
    <row r="28062" spans="1:4" x14ac:dyDescent="0.2">
      <c r="B28062" t="s">
        <v>8</v>
      </c>
    </row>
    <row r="28064" spans="1:4" x14ac:dyDescent="0.2">
      <c r="A28064" t="s">
        <v>9237</v>
      </c>
      <c r="B28064" t="str">
        <f>HYPERLINK("https://lindat.mff.cuni.cz/services/teitok/pdtc10/index.php?action=vallex&amp;frame=v-w3816f10_ZU", "položit (v-w3816f10_ZU)")</f>
        <v>položit (v-w3816f10_ZU)</v>
      </c>
    </row>
    <row r="28065" spans="1:4" x14ac:dyDescent="0.2">
      <c r="B28065" t="s">
        <v>1</v>
      </c>
      <c r="C28065" t="s">
        <v>249</v>
      </c>
      <c r="D28065" t="s">
        <v>23088</v>
      </c>
    </row>
    <row r="28066" spans="1:4" x14ac:dyDescent="0.2">
      <c r="B28066" t="s">
        <v>8</v>
      </c>
      <c r="C28066" t="s">
        <v>113</v>
      </c>
      <c r="D28066" t="s">
        <v>986</v>
      </c>
    </row>
    <row r="28068" spans="1:4" x14ac:dyDescent="0.2">
      <c r="A28068" t="s">
        <v>9238</v>
      </c>
      <c r="B28068" t="str">
        <f>HYPERLINK("https://lindat.mff.cuni.cz/services/teitok/pdtc10/index.php?action=vallex&amp;frame=v-w3816f1", "položit (v-w3816f1)")</f>
        <v>položit (v-w3816f1)</v>
      </c>
    </row>
    <row r="28069" spans="1:4" x14ac:dyDescent="0.2">
      <c r="B28069" t="s">
        <v>1</v>
      </c>
      <c r="C28069" t="s">
        <v>9239</v>
      </c>
      <c r="D28069" t="s">
        <v>23213</v>
      </c>
    </row>
    <row r="28070" spans="1:4" x14ac:dyDescent="0.2">
      <c r="B28070" t="s">
        <v>4028</v>
      </c>
      <c r="C28070" t="s">
        <v>9240</v>
      </c>
      <c r="D28070" t="s">
        <v>23399</v>
      </c>
    </row>
    <row r="28071" spans="1:4" x14ac:dyDescent="0.2">
      <c r="B28071" t="s">
        <v>78</v>
      </c>
      <c r="C28071" t="s">
        <v>2170</v>
      </c>
      <c r="D28071" t="s">
        <v>23215</v>
      </c>
    </row>
    <row r="28073" spans="1:4" x14ac:dyDescent="0.2">
      <c r="A28073" t="s">
        <v>9241</v>
      </c>
      <c r="B28073" t="str">
        <f>HYPERLINK("https://lindat.mff.cuni.cz/services/teitok/pdtc10/index.php?action=vallex&amp;frame=v-w3816f7", "položit (v-w3816f7)")</f>
        <v>položit (v-w3816f7)</v>
      </c>
    </row>
    <row r="28074" spans="1:4" x14ac:dyDescent="0.2">
      <c r="B28074" t="s">
        <v>1</v>
      </c>
    </row>
    <row r="28075" spans="1:4" x14ac:dyDescent="0.2">
      <c r="B28075" t="s">
        <v>9242</v>
      </c>
    </row>
    <row r="28077" spans="1:4" x14ac:dyDescent="0.2">
      <c r="A28077" t="s">
        <v>9243</v>
      </c>
      <c r="B28077" t="str">
        <f>HYPERLINK("https://lindat.mff.cuni.cz/services/teitok/pdtc10/index.php?action=vallex&amp;frame=v-w3816f5", "položit (v-w3816f5)")</f>
        <v>položit (v-w3816f5)</v>
      </c>
    </row>
    <row r="28078" spans="1:4" x14ac:dyDescent="0.2">
      <c r="B28078" t="s">
        <v>1</v>
      </c>
      <c r="C28078" t="s">
        <v>964</v>
      </c>
    </row>
    <row r="28079" spans="1:4" x14ac:dyDescent="0.2">
      <c r="B28079" t="s">
        <v>9244</v>
      </c>
      <c r="C28079" t="s">
        <v>9245</v>
      </c>
    </row>
    <row r="28080" spans="1:4" x14ac:dyDescent="0.2">
      <c r="B28080" t="s">
        <v>8</v>
      </c>
      <c r="C28080" t="s">
        <v>4060</v>
      </c>
    </row>
    <row r="28082" spans="1:2" x14ac:dyDescent="0.2">
      <c r="A28082" t="s">
        <v>9246</v>
      </c>
      <c r="B28082" t="str">
        <f>HYPERLINK("https://lindat.mff.cuni.cz/services/teitok/pdtc10/index.php?action=vallex&amp;frame=v-w3816f6", "položit (v-w3816f6)")</f>
        <v>položit (v-w3816f6)</v>
      </c>
    </row>
    <row r="28083" spans="1:2" x14ac:dyDescent="0.2">
      <c r="B28083" t="s">
        <v>1</v>
      </c>
    </row>
    <row r="28084" spans="1:2" x14ac:dyDescent="0.2">
      <c r="B28084" t="s">
        <v>9247</v>
      </c>
    </row>
    <row r="28085" spans="1:2" x14ac:dyDescent="0.2">
      <c r="B28085" t="s">
        <v>357</v>
      </c>
    </row>
    <row r="28087" spans="1:2" x14ac:dyDescent="0.2">
      <c r="A28087" t="s">
        <v>9248</v>
      </c>
      <c r="B28087" t="str">
        <f>HYPERLINK("https://lindat.mff.cuni.cz/services/teitok/pdtc10/index.php?action=vallex&amp;frame=v-w3816f11_ZU", "položit (v-w3816f11_ZU)")</f>
        <v>položit (v-w3816f11_ZU)</v>
      </c>
    </row>
    <row r="28088" spans="1:2" x14ac:dyDescent="0.2">
      <c r="B28088" t="s">
        <v>1</v>
      </c>
    </row>
    <row r="28089" spans="1:2" x14ac:dyDescent="0.2">
      <c r="B28089" t="s">
        <v>8</v>
      </c>
    </row>
    <row r="28091" spans="1:2" x14ac:dyDescent="0.2">
      <c r="A28091" t="s">
        <v>9248</v>
      </c>
      <c r="B28091" t="str">
        <f>HYPERLINK("https://lindat.mff.cuni.cz/services/teitok/pdtc10/index.php?action=vallex&amp;frame=v-w3816hsa_1088", "položit (v-w3816hsa_1088) - substituted with v-w3816f11_ZU")</f>
        <v>položit (v-w3816hsa_1088) - substituted with v-w3816f11_ZU</v>
      </c>
    </row>
    <row r="28092" spans="1:2" x14ac:dyDescent="0.2">
      <c r="B28092" t="s">
        <v>1</v>
      </c>
    </row>
    <row r="28093" spans="1:2" x14ac:dyDescent="0.2">
      <c r="B28093" t="s">
        <v>8</v>
      </c>
    </row>
    <row r="28095" spans="1:2" x14ac:dyDescent="0.2">
      <c r="A28095" t="s">
        <v>9249</v>
      </c>
      <c r="B28095" t="str">
        <f>HYPERLINK("https://lindat.mff.cuni.cz/services/teitok/pdtc10/index.php?action=vallex&amp;frame=v-w3816hsa_1087", "položit (v-w3816hsa_1087)")</f>
        <v>položit (v-w3816hsa_1087)</v>
      </c>
    </row>
    <row r="28096" spans="1:2" x14ac:dyDescent="0.2">
      <c r="B28096" t="s">
        <v>1</v>
      </c>
    </row>
    <row r="28097" spans="1:4" x14ac:dyDescent="0.2">
      <c r="B28097" t="s">
        <v>8</v>
      </c>
    </row>
    <row r="28099" spans="1:4" x14ac:dyDescent="0.2">
      <c r="A28099" t="s">
        <v>9250</v>
      </c>
      <c r="B28099" t="str">
        <f>HYPERLINK("https://lindat.mff.cuni.cz/services/teitok/pdtc10/index.php?action=vallex&amp;frame=v-w3817f1", "položit se (v-w3817f1)")</f>
        <v>položit se (v-w3817f1)</v>
      </c>
    </row>
    <row r="28100" spans="1:4" x14ac:dyDescent="0.2">
      <c r="B28100" t="s">
        <v>1</v>
      </c>
      <c r="C28100" t="s">
        <v>147</v>
      </c>
      <c r="D28100" t="s">
        <v>140</v>
      </c>
    </row>
    <row r="28101" spans="1:4" x14ac:dyDescent="0.2">
      <c r="B28101" t="s">
        <v>90</v>
      </c>
    </row>
    <row r="28103" spans="1:4" x14ac:dyDescent="0.2">
      <c r="A28103" t="s">
        <v>9251</v>
      </c>
      <c r="B28103" t="str">
        <f>HYPERLINK("https://lindat.mff.cuni.cz/services/teitok/pdtc10/index.php?action=vallex&amp;frame=v-w3817f2", "položit se (v-w3817f2)")</f>
        <v>položit se (v-w3817f2)</v>
      </c>
    </row>
    <row r="28104" spans="1:4" x14ac:dyDescent="0.2">
      <c r="B28104" t="s">
        <v>1</v>
      </c>
    </row>
    <row r="28106" spans="1:4" x14ac:dyDescent="0.2">
      <c r="A28106" t="s">
        <v>9252</v>
      </c>
      <c r="B28106" t="str">
        <f>HYPERLINK("https://lindat.mff.cuni.cz/services/teitok/pdtc10/index.php?action=vallex&amp;frame=v-whsa_618f1_ZU", "polykat (v-whsa_618f1_ZU)")</f>
        <v>polykat (v-whsa_618f1_ZU)</v>
      </c>
    </row>
    <row r="28107" spans="1:4" x14ac:dyDescent="0.2">
      <c r="B28107" t="s">
        <v>1</v>
      </c>
      <c r="C28107" t="s">
        <v>334</v>
      </c>
      <c r="D28107" t="s">
        <v>16309</v>
      </c>
    </row>
    <row r="28108" spans="1:4" x14ac:dyDescent="0.2">
      <c r="B28108" t="s">
        <v>8</v>
      </c>
      <c r="C28108" t="s">
        <v>1340</v>
      </c>
      <c r="D28108" t="s">
        <v>23826</v>
      </c>
    </row>
    <row r="28110" spans="1:4" x14ac:dyDescent="0.2">
      <c r="A28110" t="s">
        <v>9252</v>
      </c>
      <c r="B28110" t="str">
        <f>HYPERLINK("https://lindat.mff.cuni.cz/services/teitok/pdtc10/index.php?action=vallex&amp;frame=v-whsa_618hsa_619", "polykat (v-whsa_618hsa_619) - substituted with v-whsa_618f1_ZU")</f>
        <v>polykat (v-whsa_618hsa_619) - substituted with v-whsa_618f1_ZU</v>
      </c>
    </row>
    <row r="28111" spans="1:4" x14ac:dyDescent="0.2">
      <c r="B28111" t="s">
        <v>1</v>
      </c>
    </row>
    <row r="28112" spans="1:4" x14ac:dyDescent="0.2">
      <c r="B28112" t="s">
        <v>8</v>
      </c>
    </row>
    <row r="28114" spans="1:4" x14ac:dyDescent="0.2">
      <c r="A28114" t="s">
        <v>9253</v>
      </c>
      <c r="B28114" t="str">
        <f>HYPERLINK("https://lindat.mff.cuni.cz/services/teitok/pdtc10/index.php?action=vallex&amp;frame=v-whsa_618f2_ZU", "polykat (v-whsa_618f2_ZU)")</f>
        <v>polykat (v-whsa_618f2_ZU)</v>
      </c>
    </row>
    <row r="28115" spans="1:4" x14ac:dyDescent="0.2">
      <c r="B28115" t="s">
        <v>1</v>
      </c>
      <c r="C28115" t="s">
        <v>83</v>
      </c>
      <c r="D28115" t="s">
        <v>83</v>
      </c>
    </row>
    <row r="28116" spans="1:4" x14ac:dyDescent="0.2">
      <c r="B28116" t="s">
        <v>8</v>
      </c>
      <c r="C28116" t="s">
        <v>34</v>
      </c>
      <c r="D28116" t="s">
        <v>34</v>
      </c>
    </row>
    <row r="28118" spans="1:4" x14ac:dyDescent="0.2">
      <c r="A28118" t="s">
        <v>9254</v>
      </c>
      <c r="B28118" t="str">
        <f>HYPERLINK("https://lindat.mff.cuni.cz/services/teitok/pdtc10/index.php?action=vallex&amp;frame=v-whsb_1144hsa_1145", "polámat (v-whsb_1144hsa_1145)")</f>
        <v>polámat (v-whsb_1144hsa_1145)</v>
      </c>
    </row>
    <row r="28119" spans="1:4" x14ac:dyDescent="0.2">
      <c r="B28119" t="s">
        <v>1</v>
      </c>
    </row>
    <row r="28120" spans="1:4" x14ac:dyDescent="0.2">
      <c r="B28120" t="s">
        <v>8</v>
      </c>
    </row>
    <row r="28122" spans="1:4" x14ac:dyDescent="0.2">
      <c r="A28122" t="s">
        <v>9255</v>
      </c>
      <c r="B28122" t="str">
        <f>HYPERLINK("https://lindat.mff.cuni.cz/services/teitok/pdtc10/index.php?action=vallex&amp;frame=v-w3799f1", "polévat (v-w3799f1)")</f>
        <v>polévat (v-w3799f1)</v>
      </c>
    </row>
    <row r="28123" spans="1:4" x14ac:dyDescent="0.2">
      <c r="B28123" t="s">
        <v>1</v>
      </c>
    </row>
    <row r="28124" spans="1:4" x14ac:dyDescent="0.2">
      <c r="B28124" t="s">
        <v>8</v>
      </c>
    </row>
    <row r="28126" spans="1:4" x14ac:dyDescent="0.2">
      <c r="A28126" t="s">
        <v>9256</v>
      </c>
      <c r="B28126" t="str">
        <f>HYPERLINK("https://lindat.mff.cuni.cz/services/teitok/pdtc10/index.php?action=vallex&amp;frame=v-w3799f2", "polévat (v-w3799f2)")</f>
        <v>polévat (v-w3799f2)</v>
      </c>
    </row>
    <row r="28127" spans="1:4" x14ac:dyDescent="0.2">
      <c r="B28127" t="s">
        <v>1</v>
      </c>
    </row>
    <row r="28128" spans="1:4" x14ac:dyDescent="0.2">
      <c r="B28128" t="s">
        <v>8</v>
      </c>
    </row>
    <row r="28130" spans="1:3" x14ac:dyDescent="0.2">
      <c r="A28130" t="s">
        <v>9257</v>
      </c>
      <c r="B28130" t="str">
        <f>HYPERLINK("https://lindat.mff.cuni.cz/services/teitok/pdtc10/index.php?action=vallex&amp;frame=v-w3804f1", "políbit (v-w3804f1)")</f>
        <v>políbit (v-w3804f1)</v>
      </c>
    </row>
    <row r="28131" spans="1:3" x14ac:dyDescent="0.2">
      <c r="B28131" t="s">
        <v>1</v>
      </c>
    </row>
    <row r="28132" spans="1:3" x14ac:dyDescent="0.2">
      <c r="B28132" t="s">
        <v>8</v>
      </c>
      <c r="C28132" t="s">
        <v>34</v>
      </c>
    </row>
    <row r="28134" spans="1:3" x14ac:dyDescent="0.2">
      <c r="A28134" t="s">
        <v>9258</v>
      </c>
      <c r="B28134" t="str">
        <f>HYPERLINK("https://lindat.mff.cuni.cz/services/teitok/pdtc10/index.php?action=vallex&amp;frame=v-whsa_308f1_ZU", "polít (v-whsa_308f1_ZU)")</f>
        <v>polít (v-whsa_308f1_ZU)</v>
      </c>
    </row>
    <row r="28135" spans="1:3" x14ac:dyDescent="0.2">
      <c r="B28135" t="s">
        <v>1</v>
      </c>
      <c r="C28135" t="s">
        <v>33</v>
      </c>
    </row>
    <row r="28136" spans="1:3" x14ac:dyDescent="0.2">
      <c r="B28136" t="s">
        <v>8</v>
      </c>
      <c r="C28136" t="s">
        <v>54</v>
      </c>
    </row>
    <row r="28138" spans="1:3" x14ac:dyDescent="0.2">
      <c r="A28138" t="s">
        <v>9258</v>
      </c>
      <c r="B28138" t="str">
        <f>HYPERLINK("https://lindat.mff.cuni.cz/services/teitok/pdtc10/index.php?action=vallex&amp;frame=v-whsa_308hsa_309", "polít (v-whsa_308hsa_309) - substituted with v-whsa_308f1_ZU")</f>
        <v>polít (v-whsa_308hsa_309) - substituted with v-whsa_308f1_ZU</v>
      </c>
    </row>
    <row r="28139" spans="1:3" x14ac:dyDescent="0.2">
      <c r="B28139" t="s">
        <v>1</v>
      </c>
    </row>
    <row r="28140" spans="1:3" x14ac:dyDescent="0.2">
      <c r="B28140" t="s">
        <v>8</v>
      </c>
    </row>
    <row r="28142" spans="1:3" x14ac:dyDescent="0.2">
      <c r="A28142" t="s">
        <v>9259</v>
      </c>
      <c r="B28142" t="str">
        <f>HYPERLINK("https://lindat.mff.cuni.cz/services/teitok/pdtc10/index.php?action=vallex&amp;frame=v-whsa_181hsa_182", "políčit (v-whsa_181hsa_182)")</f>
        <v>políčit (v-whsa_181hsa_182)</v>
      </c>
    </row>
    <row r="28143" spans="1:3" x14ac:dyDescent="0.2">
      <c r="B28143" t="s">
        <v>1</v>
      </c>
    </row>
    <row r="28144" spans="1:3" x14ac:dyDescent="0.2">
      <c r="B28144" t="s">
        <v>8</v>
      </c>
    </row>
    <row r="28146" spans="1:4" x14ac:dyDescent="0.2">
      <c r="A28146" t="s">
        <v>9260</v>
      </c>
      <c r="B28146" t="str">
        <f>HYPERLINK("https://lindat.mff.cuni.cz/services/teitok/pdtc10/index.php?action=vallex&amp;frame=v-w3819f1", "pomalovat (v-w3819f1)")</f>
        <v>pomalovat (v-w3819f1)</v>
      </c>
    </row>
    <row r="28147" spans="1:4" x14ac:dyDescent="0.2">
      <c r="B28147" t="s">
        <v>1</v>
      </c>
      <c r="D28147" t="s">
        <v>33</v>
      </c>
    </row>
    <row r="28148" spans="1:4" x14ac:dyDescent="0.2">
      <c r="B28148" t="s">
        <v>8</v>
      </c>
      <c r="D28148" t="s">
        <v>8366</v>
      </c>
    </row>
    <row r="28150" spans="1:4" x14ac:dyDescent="0.2">
      <c r="A28150" t="s">
        <v>9261</v>
      </c>
      <c r="B28150" t="str">
        <f>HYPERLINK("https://lindat.mff.cuni.cz/services/teitok/pdtc10/index.php?action=vallex&amp;frame=v-w12178_ZUf1_ZU", "pomazlit (v-w12178_ZUf1_ZU)")</f>
        <v>pomazlit (v-w12178_ZUf1_ZU)</v>
      </c>
    </row>
    <row r="28151" spans="1:4" x14ac:dyDescent="0.2">
      <c r="B28151" t="s">
        <v>1</v>
      </c>
    </row>
    <row r="28152" spans="1:4" x14ac:dyDescent="0.2">
      <c r="B28152" t="s">
        <v>8</v>
      </c>
    </row>
    <row r="28154" spans="1:4" x14ac:dyDescent="0.2">
      <c r="A28154" t="s">
        <v>9262</v>
      </c>
      <c r="B28154" t="str">
        <f>HYPERLINK("https://lindat.mff.cuni.cz/services/teitok/pdtc10/index.php?action=vallex&amp;frame=v-w11063f2", "pomazávat (v-w11063f2)")</f>
        <v>pomazávat (v-w11063f2)</v>
      </c>
    </row>
    <row r="28155" spans="1:4" x14ac:dyDescent="0.2">
      <c r="B28155" t="s">
        <v>1</v>
      </c>
      <c r="D28155" t="s">
        <v>33</v>
      </c>
    </row>
    <row r="28156" spans="1:4" x14ac:dyDescent="0.2">
      <c r="B28156" t="s">
        <v>8</v>
      </c>
      <c r="C28156" t="s">
        <v>113</v>
      </c>
      <c r="D28156" t="s">
        <v>8366</v>
      </c>
    </row>
    <row r="28158" spans="1:4" x14ac:dyDescent="0.2">
      <c r="A28158" t="s">
        <v>9263</v>
      </c>
      <c r="B28158" t="str">
        <f>HYPERLINK("https://lindat.mff.cuni.cz/services/teitok/pdtc10/index.php?action=vallex&amp;frame=v-w10250f2", "pomačkat (v-w10250f2)")</f>
        <v>pomačkat (v-w10250f2)</v>
      </c>
    </row>
    <row r="28159" spans="1:4" x14ac:dyDescent="0.2">
      <c r="B28159" t="s">
        <v>1</v>
      </c>
    </row>
    <row r="28160" spans="1:4" x14ac:dyDescent="0.2">
      <c r="B28160" t="s">
        <v>8</v>
      </c>
    </row>
    <row r="28162" spans="1:4" x14ac:dyDescent="0.2">
      <c r="A28162" t="s">
        <v>9264</v>
      </c>
      <c r="B28162" t="str">
        <f>HYPERLINK("https://lindat.mff.cuni.cz/services/teitok/pdtc10/index.php?action=vallex&amp;frame=v-whsa_63hsa_64", "pomilovat se (v-whsa_63hsa_64)")</f>
        <v>pomilovat se (v-whsa_63hsa_64)</v>
      </c>
    </row>
    <row r="28163" spans="1:4" x14ac:dyDescent="0.2">
      <c r="B28163" t="s">
        <v>1</v>
      </c>
    </row>
    <row r="28164" spans="1:4" x14ac:dyDescent="0.2">
      <c r="B28164" t="s">
        <v>411</v>
      </c>
    </row>
    <row r="28166" spans="1:4" x14ac:dyDescent="0.2">
      <c r="A28166" t="s">
        <v>9265</v>
      </c>
      <c r="B28166" t="str">
        <f>HYPERLINK("https://lindat.mff.cuni.cz/services/teitok/pdtc10/index.php?action=vallex&amp;frame=v-w3824f2", "pominout (v-w3824f2)")</f>
        <v>pominout (v-w3824f2)</v>
      </c>
    </row>
    <row r="28167" spans="1:4" x14ac:dyDescent="0.2">
      <c r="B28167" t="s">
        <v>1</v>
      </c>
      <c r="C28167" t="s">
        <v>9266</v>
      </c>
      <c r="D28167" t="s">
        <v>306</v>
      </c>
    </row>
    <row r="28168" spans="1:4" x14ac:dyDescent="0.2">
      <c r="B28168" t="s">
        <v>124</v>
      </c>
      <c r="C28168" t="s">
        <v>93</v>
      </c>
      <c r="D28168" t="s">
        <v>7127</v>
      </c>
    </row>
    <row r="28170" spans="1:4" x14ac:dyDescent="0.2">
      <c r="A28170" t="s">
        <v>9267</v>
      </c>
      <c r="B28170" t="str">
        <f>HYPERLINK("https://lindat.mff.cuni.cz/services/teitok/pdtc10/index.php?action=vallex&amp;frame=v-w3824f1", "pominout (v-w3824f1)")</f>
        <v>pominout (v-w3824f1)</v>
      </c>
    </row>
    <row r="28171" spans="1:4" x14ac:dyDescent="0.2">
      <c r="B28171" t="s">
        <v>1</v>
      </c>
      <c r="C28171" t="s">
        <v>147</v>
      </c>
      <c r="D28171" t="s">
        <v>2172</v>
      </c>
    </row>
    <row r="28173" spans="1:4" x14ac:dyDescent="0.2">
      <c r="A28173" t="s">
        <v>9268</v>
      </c>
      <c r="B28173" t="str">
        <f>HYPERLINK("https://lindat.mff.cuni.cz/services/teitok/pdtc10/index.php?action=vallex&amp;frame=v-w3825f1", "pomlouvat (v-w3825f1)")</f>
        <v>pomlouvat (v-w3825f1)</v>
      </c>
    </row>
    <row r="28174" spans="1:4" x14ac:dyDescent="0.2">
      <c r="B28174" t="s">
        <v>1</v>
      </c>
      <c r="D28174" t="s">
        <v>9612</v>
      </c>
    </row>
    <row r="28175" spans="1:4" x14ac:dyDescent="0.2">
      <c r="B28175" t="s">
        <v>8</v>
      </c>
      <c r="D28175" t="s">
        <v>1362</v>
      </c>
    </row>
    <row r="28177" spans="1:4" x14ac:dyDescent="0.2">
      <c r="A28177" t="s">
        <v>9269</v>
      </c>
      <c r="B28177" t="str">
        <f>HYPERLINK("https://lindat.mff.cuni.cz/services/teitok/pdtc10/index.php?action=vallex&amp;frame=v-w10424f2", "pomluvit (v-w10424f2)")</f>
        <v>pomluvit (v-w10424f2)</v>
      </c>
    </row>
    <row r="28178" spans="1:4" x14ac:dyDescent="0.2">
      <c r="B28178" t="s">
        <v>1</v>
      </c>
      <c r="D28178" t="s">
        <v>9612</v>
      </c>
    </row>
    <row r="28179" spans="1:4" x14ac:dyDescent="0.2">
      <c r="B28179" t="s">
        <v>8</v>
      </c>
      <c r="D28179" t="s">
        <v>1362</v>
      </c>
    </row>
    <row r="28181" spans="1:4" x14ac:dyDescent="0.2">
      <c r="A28181" t="s">
        <v>9270</v>
      </c>
      <c r="B28181" t="str">
        <f>HYPERLINK("https://lindat.mff.cuni.cz/services/teitok/pdtc10/index.php?action=vallex&amp;frame=v-w3830f3", "pomoci (v-w3830f3)")</f>
        <v>pomoci (v-w3830f3)</v>
      </c>
    </row>
    <row r="28182" spans="1:4" x14ac:dyDescent="0.2">
      <c r="B28182" t="s">
        <v>1</v>
      </c>
    </row>
    <row r="28183" spans="1:4" x14ac:dyDescent="0.2">
      <c r="B28183" t="s">
        <v>28</v>
      </c>
    </row>
    <row r="28184" spans="1:4" x14ac:dyDescent="0.2">
      <c r="B28184" t="s">
        <v>35</v>
      </c>
    </row>
    <row r="28186" spans="1:4" x14ac:dyDescent="0.2">
      <c r="A28186" t="s">
        <v>9271</v>
      </c>
      <c r="B28186" t="str">
        <f>HYPERLINK("https://lindat.mff.cuni.cz/services/teitok/pdtc10/index.php?action=vallex&amp;frame=v-w3830f9_ZU", "pomoci (v-w3830f9_ZU)")</f>
        <v>pomoci (v-w3830f9_ZU)</v>
      </c>
    </row>
    <row r="28187" spans="1:4" x14ac:dyDescent="0.2">
      <c r="B28187" t="s">
        <v>1</v>
      </c>
    </row>
    <row r="28188" spans="1:4" x14ac:dyDescent="0.2">
      <c r="B28188" t="s">
        <v>35</v>
      </c>
    </row>
    <row r="28189" spans="1:4" x14ac:dyDescent="0.2">
      <c r="B28189" t="s">
        <v>9272</v>
      </c>
    </row>
    <row r="28191" spans="1:4" x14ac:dyDescent="0.2">
      <c r="A28191" t="s">
        <v>9271</v>
      </c>
      <c r="B28191" t="str">
        <f>HYPERLINK("https://lindat.mff.cuni.cz/services/teitok/pdtc10/index.php?action=vallex&amp;frame=v-w3830f1", "pomoci (v-w3830f1) - substituted with v-w3830f9_ZU")</f>
        <v>pomoci (v-w3830f1) - substituted with v-w3830f9_ZU</v>
      </c>
    </row>
    <row r="28192" spans="1:4" x14ac:dyDescent="0.2">
      <c r="B28192" t="s">
        <v>1</v>
      </c>
      <c r="C28192" t="s">
        <v>9273</v>
      </c>
      <c r="D28192" t="s">
        <v>23554</v>
      </c>
    </row>
    <row r="28193" spans="1:4" x14ac:dyDescent="0.2">
      <c r="B28193" t="s">
        <v>35</v>
      </c>
      <c r="C28193" t="s">
        <v>9274</v>
      </c>
      <c r="D28193" t="s">
        <v>23555</v>
      </c>
    </row>
    <row r="28194" spans="1:4" x14ac:dyDescent="0.2">
      <c r="B28194" t="s">
        <v>9272</v>
      </c>
      <c r="C28194" t="s">
        <v>9275</v>
      </c>
      <c r="D28194" t="s">
        <v>23556</v>
      </c>
    </row>
    <row r="28196" spans="1:4" x14ac:dyDescent="0.2">
      <c r="A28196" t="s">
        <v>9276</v>
      </c>
      <c r="B28196" t="str">
        <f>HYPERLINK("https://lindat.mff.cuni.cz/services/teitok/pdtc10/index.php?action=vallex&amp;frame=v-w3830f8_ZU", "pomoci (v-w3830f8_ZU)")</f>
        <v>pomoci (v-w3830f8_ZU)</v>
      </c>
    </row>
    <row r="28197" spans="1:4" x14ac:dyDescent="0.2">
      <c r="B28197" t="s">
        <v>9277</v>
      </c>
    </row>
    <row r="28198" spans="1:4" x14ac:dyDescent="0.2">
      <c r="B28198" t="s">
        <v>35</v>
      </c>
    </row>
    <row r="28199" spans="1:4" x14ac:dyDescent="0.2">
      <c r="B28199" t="s">
        <v>9278</v>
      </c>
    </row>
    <row r="28201" spans="1:4" x14ac:dyDescent="0.2">
      <c r="A28201" t="s">
        <v>9276</v>
      </c>
      <c r="B28201" t="str">
        <f>HYPERLINK("https://lindat.mff.cuni.cz/services/teitok/pdtc10/index.php?action=vallex&amp;frame=v-w3830f2", "pomoci (v-w3830f2) - substituted with v-w3830f8_ZU")</f>
        <v>pomoci (v-w3830f2) - substituted with v-w3830f8_ZU</v>
      </c>
    </row>
    <row r="28202" spans="1:4" x14ac:dyDescent="0.2">
      <c r="B28202" t="s">
        <v>9277</v>
      </c>
      <c r="C28202" t="s">
        <v>5933</v>
      </c>
    </row>
    <row r="28203" spans="1:4" x14ac:dyDescent="0.2">
      <c r="B28203" t="s">
        <v>35</v>
      </c>
      <c r="C28203" t="s">
        <v>5934</v>
      </c>
    </row>
    <row r="28204" spans="1:4" x14ac:dyDescent="0.2">
      <c r="B28204" t="s">
        <v>9278</v>
      </c>
      <c r="C28204" t="s">
        <v>5931</v>
      </c>
    </row>
    <row r="28206" spans="1:4" x14ac:dyDescent="0.2">
      <c r="A28206" t="s">
        <v>9276</v>
      </c>
      <c r="B28206" t="str">
        <f>HYPERLINK("https://lindat.mff.cuni.cz/services/teitok/pdtc10/index.php?action=vallex&amp;frame=v-w3830f5_ZU", "pomoci (v-w3830f5_ZU) - substituted with v-w3830f8_ZU")</f>
        <v>pomoci (v-w3830f5_ZU) - substituted with v-w3830f8_ZU</v>
      </c>
    </row>
    <row r="28207" spans="1:4" x14ac:dyDescent="0.2">
      <c r="B28207" t="s">
        <v>9277</v>
      </c>
      <c r="C28207" t="s">
        <v>5933</v>
      </c>
    </row>
    <row r="28208" spans="1:4" x14ac:dyDescent="0.2">
      <c r="B28208" t="s">
        <v>35</v>
      </c>
      <c r="C28208" t="s">
        <v>5929</v>
      </c>
    </row>
    <row r="28209" spans="1:4" x14ac:dyDescent="0.2">
      <c r="B28209" t="s">
        <v>9278</v>
      </c>
      <c r="C28209" t="s">
        <v>9279</v>
      </c>
    </row>
    <row r="28211" spans="1:4" x14ac:dyDescent="0.2">
      <c r="A28211" t="s">
        <v>9276</v>
      </c>
      <c r="B28211" t="str">
        <f>HYPERLINK("https://lindat.mff.cuni.cz/services/teitok/pdtc10/index.php?action=vallex&amp;frame=v-w3830f6_ZU", "pomoci (v-w3830f6_ZU) - substituted with v-w3830f8_ZU")</f>
        <v>pomoci (v-w3830f6_ZU) - substituted with v-w3830f8_ZU</v>
      </c>
    </row>
    <row r="28212" spans="1:4" x14ac:dyDescent="0.2">
      <c r="B28212" t="s">
        <v>9277</v>
      </c>
      <c r="C28212" t="s">
        <v>5928</v>
      </c>
    </row>
    <row r="28213" spans="1:4" x14ac:dyDescent="0.2">
      <c r="B28213" t="s">
        <v>35</v>
      </c>
      <c r="C28213" t="s">
        <v>5929</v>
      </c>
    </row>
    <row r="28214" spans="1:4" x14ac:dyDescent="0.2">
      <c r="B28214" t="s">
        <v>9278</v>
      </c>
      <c r="C28214" t="s">
        <v>5931</v>
      </c>
    </row>
    <row r="28216" spans="1:4" x14ac:dyDescent="0.2">
      <c r="A28216" t="s">
        <v>9276</v>
      </c>
      <c r="B28216" t="str">
        <f>HYPERLINK("https://lindat.mff.cuni.cz/services/teitok/pdtc10/index.php?action=vallex&amp;frame=v-w3830f7_ZU", "pomoci (v-w3830f7_ZU) - substituted with v-w3830f8_ZU")</f>
        <v>pomoci (v-w3830f7_ZU) - substituted with v-w3830f8_ZU</v>
      </c>
    </row>
    <row r="28217" spans="1:4" x14ac:dyDescent="0.2">
      <c r="B28217" t="s">
        <v>9277</v>
      </c>
      <c r="D28217" t="s">
        <v>23554</v>
      </c>
    </row>
    <row r="28218" spans="1:4" x14ac:dyDescent="0.2">
      <c r="B28218" t="s">
        <v>35</v>
      </c>
      <c r="D28218" t="s">
        <v>23555</v>
      </c>
    </row>
    <row r="28219" spans="1:4" x14ac:dyDescent="0.2">
      <c r="B28219" t="s">
        <v>9278</v>
      </c>
      <c r="D28219" t="s">
        <v>23556</v>
      </c>
    </row>
    <row r="28221" spans="1:4" x14ac:dyDescent="0.2">
      <c r="A28221" t="s">
        <v>9280</v>
      </c>
      <c r="B28221" t="str">
        <f>HYPERLINK("https://lindat.mff.cuni.cz/services/teitok/pdtc10/index.php?action=vallex&amp;frame=v-w3830f4", "pomoci (v-w3830f4)")</f>
        <v>pomoci (v-w3830f4)</v>
      </c>
    </row>
    <row r="28222" spans="1:4" x14ac:dyDescent="0.2">
      <c r="B28222" t="s">
        <v>1</v>
      </c>
    </row>
    <row r="28223" spans="1:4" x14ac:dyDescent="0.2">
      <c r="B28223" t="s">
        <v>9281</v>
      </c>
    </row>
    <row r="28224" spans="1:4" x14ac:dyDescent="0.2">
      <c r="B28224" t="s">
        <v>103</v>
      </c>
    </row>
    <row r="28226" spans="1:4" x14ac:dyDescent="0.2">
      <c r="A28226" t="s">
        <v>9282</v>
      </c>
      <c r="B28226" t="str">
        <f>HYPERLINK("https://lindat.mff.cuni.cz/services/teitok/pdtc10/index.php?action=vallex&amp;frame=v-w3830hsa_1262", "pomoci (v-w3830hsa_1262)")</f>
        <v>pomoci (v-w3830hsa_1262)</v>
      </c>
    </row>
    <row r="28227" spans="1:4" x14ac:dyDescent="0.2">
      <c r="B28227" t="s">
        <v>1</v>
      </c>
      <c r="C28227" t="s">
        <v>5928</v>
      </c>
    </row>
    <row r="28228" spans="1:4" x14ac:dyDescent="0.2">
      <c r="B28228" t="s">
        <v>103</v>
      </c>
      <c r="C28228" t="s">
        <v>9283</v>
      </c>
    </row>
    <row r="28230" spans="1:4" x14ac:dyDescent="0.2">
      <c r="A28230" t="s">
        <v>9284</v>
      </c>
      <c r="B28230" t="str">
        <f>HYPERLINK("https://lindat.mff.cuni.cz/services/teitok/pdtc10/index.php?action=vallex&amp;frame=v-w3832f1", "pomoci si (v-w3832f1)")</f>
        <v>pomoci si (v-w3832f1)</v>
      </c>
    </row>
    <row r="28231" spans="1:4" x14ac:dyDescent="0.2">
      <c r="B28231" t="s">
        <v>1</v>
      </c>
    </row>
    <row r="28233" spans="1:4" x14ac:dyDescent="0.2">
      <c r="A28233" t="s">
        <v>9285</v>
      </c>
      <c r="B28233" t="str">
        <f>HYPERLINK("https://lindat.mff.cuni.cz/services/teitok/pdtc10/index.php?action=vallex&amp;frame=v-w3834f1", "pomodlit se (v-w3834f1)")</f>
        <v>pomodlit se (v-w3834f1)</v>
      </c>
    </row>
    <row r="28234" spans="1:4" x14ac:dyDescent="0.2">
      <c r="B28234" t="s">
        <v>1</v>
      </c>
      <c r="D28234" t="s">
        <v>23483</v>
      </c>
    </row>
    <row r="28235" spans="1:4" x14ac:dyDescent="0.2">
      <c r="B28235" t="s">
        <v>220</v>
      </c>
      <c r="D28235" t="s">
        <v>23484</v>
      </c>
    </row>
    <row r="28237" spans="1:4" x14ac:dyDescent="0.2">
      <c r="A28237" t="s">
        <v>9286</v>
      </c>
      <c r="B28237" t="str">
        <f>HYPERLINK("https://lindat.mff.cuni.cz/services/teitok/pdtc10/index.php?action=vallex&amp;frame=v-w3833f1", "pomočit se (v-w3833f1)")</f>
        <v>pomočit se (v-w3833f1)</v>
      </c>
    </row>
    <row r="28238" spans="1:4" x14ac:dyDescent="0.2">
      <c r="B28238" t="s">
        <v>1</v>
      </c>
    </row>
    <row r="28240" spans="1:4" x14ac:dyDescent="0.2">
      <c r="A28240" t="s">
        <v>9287</v>
      </c>
      <c r="B28240" t="str">
        <f>HYPERLINK("https://lindat.mff.cuni.cz/services/teitok/pdtc10/index.php?action=vallex&amp;frame=v-w3835f1", "pomrznout (v-w3835f1)")</f>
        <v>pomrznout (v-w3835f1)</v>
      </c>
    </row>
    <row r="28241" spans="1:4" x14ac:dyDescent="0.2">
      <c r="B28241" t="s">
        <v>1</v>
      </c>
    </row>
    <row r="28243" spans="1:4" x14ac:dyDescent="0.2">
      <c r="A28243" t="s">
        <v>9288</v>
      </c>
      <c r="B28243" t="str">
        <f>HYPERLINK("https://lindat.mff.cuni.cz/services/teitok/pdtc10/index.php?action=vallex&amp;frame=v-w3836f1", "pomstít (v-w3836f1)")</f>
        <v>pomstít (v-w3836f1)</v>
      </c>
    </row>
    <row r="28244" spans="1:4" x14ac:dyDescent="0.2">
      <c r="B28244" t="s">
        <v>1</v>
      </c>
    </row>
    <row r="28245" spans="1:4" x14ac:dyDescent="0.2">
      <c r="B28245" t="s">
        <v>8</v>
      </c>
    </row>
    <row r="28247" spans="1:4" x14ac:dyDescent="0.2">
      <c r="A28247" t="s">
        <v>9289</v>
      </c>
      <c r="B28247" t="str">
        <f>HYPERLINK("https://lindat.mff.cuni.cz/services/teitok/pdtc10/index.php?action=vallex&amp;frame=v-w3837f1", "pomstít se (v-w3837f1)")</f>
        <v>pomstít se (v-w3837f1)</v>
      </c>
    </row>
    <row r="28248" spans="1:4" x14ac:dyDescent="0.2">
      <c r="B28248" t="s">
        <v>1</v>
      </c>
    </row>
    <row r="28249" spans="1:4" x14ac:dyDescent="0.2">
      <c r="B28249" t="s">
        <v>103</v>
      </c>
    </row>
    <row r="28251" spans="1:4" x14ac:dyDescent="0.2">
      <c r="A28251" t="s">
        <v>9290</v>
      </c>
      <c r="B28251" t="str">
        <f>HYPERLINK("https://lindat.mff.cuni.cz/services/teitok/pdtc10/index.php?action=vallex&amp;frame=v-w3838f1", "pomuchlat (v-w3838f1)")</f>
        <v>pomuchlat (v-w3838f1)</v>
      </c>
    </row>
    <row r="28252" spans="1:4" x14ac:dyDescent="0.2">
      <c r="B28252" t="s">
        <v>1</v>
      </c>
    </row>
    <row r="28253" spans="1:4" x14ac:dyDescent="0.2">
      <c r="B28253" t="s">
        <v>8</v>
      </c>
    </row>
    <row r="28255" spans="1:4" x14ac:dyDescent="0.2">
      <c r="A28255" t="s">
        <v>9291</v>
      </c>
      <c r="B28255" t="str">
        <f>HYPERLINK("https://lindat.mff.cuni.cz/services/teitok/pdtc10/index.php?action=vallex&amp;frame=v-w3839f1", "pomyslet (v-w3839f1)")</f>
        <v>pomyslet (v-w3839f1)</v>
      </c>
    </row>
    <row r="28256" spans="1:4" x14ac:dyDescent="0.2">
      <c r="B28256" t="s">
        <v>1</v>
      </c>
      <c r="C28256" t="s">
        <v>1106</v>
      </c>
      <c r="D28256" t="s">
        <v>23014</v>
      </c>
    </row>
    <row r="28257" spans="1:4" x14ac:dyDescent="0.2">
      <c r="B28257" t="s">
        <v>28</v>
      </c>
      <c r="C28257" t="s">
        <v>9292</v>
      </c>
      <c r="D28257" t="s">
        <v>23015</v>
      </c>
    </row>
    <row r="28259" spans="1:4" x14ac:dyDescent="0.2">
      <c r="A28259" t="s">
        <v>9293</v>
      </c>
      <c r="B28259" t="str">
        <f>HYPERLINK("https://lindat.mff.cuni.cz/services/teitok/pdtc10/index.php?action=vallex&amp;frame=v-w3839f2", "pomyslet (v-w3839f2)")</f>
        <v>pomyslet (v-w3839f2)</v>
      </c>
    </row>
    <row r="28260" spans="1:4" x14ac:dyDescent="0.2">
      <c r="B28260" t="s">
        <v>1</v>
      </c>
    </row>
    <row r="28261" spans="1:4" x14ac:dyDescent="0.2">
      <c r="B28261" t="s">
        <v>9294</v>
      </c>
    </row>
    <row r="28262" spans="1:4" x14ac:dyDescent="0.2">
      <c r="B28262" t="s">
        <v>269</v>
      </c>
    </row>
    <row r="28264" spans="1:4" x14ac:dyDescent="0.2">
      <c r="A28264" t="s">
        <v>9295</v>
      </c>
      <c r="B28264" t="str">
        <f>HYPERLINK("https://lindat.mff.cuni.cz/services/teitok/pdtc10/index.php?action=vallex&amp;frame=v-w3840f1", "pomyslet si (v-w3840f1)")</f>
        <v>pomyslet si (v-w3840f1)</v>
      </c>
    </row>
    <row r="28265" spans="1:4" x14ac:dyDescent="0.2">
      <c r="B28265" t="s">
        <v>1</v>
      </c>
      <c r="C28265" t="s">
        <v>4738</v>
      </c>
      <c r="D28265" t="s">
        <v>23149</v>
      </c>
    </row>
    <row r="28266" spans="1:4" x14ac:dyDescent="0.2">
      <c r="B28266" t="s">
        <v>4742</v>
      </c>
      <c r="C28266" t="s">
        <v>9296</v>
      </c>
      <c r="D28266" t="s">
        <v>23150</v>
      </c>
    </row>
    <row r="28267" spans="1:4" x14ac:dyDescent="0.2">
      <c r="B28267" t="s">
        <v>269</v>
      </c>
      <c r="C28267" t="s">
        <v>1690</v>
      </c>
      <c r="D28267" t="s">
        <v>23151</v>
      </c>
    </row>
    <row r="28269" spans="1:4" x14ac:dyDescent="0.2">
      <c r="A28269" t="s">
        <v>9297</v>
      </c>
      <c r="B28269" t="str">
        <f>HYPERLINK("https://lindat.mff.cuni.cz/services/teitok/pdtc10/index.php?action=vallex&amp;frame=v-w11342f1", "pomyslit (v-w11342f1)")</f>
        <v>pomyslit (v-w11342f1)</v>
      </c>
    </row>
    <row r="28270" spans="1:4" x14ac:dyDescent="0.2">
      <c r="B28270" t="s">
        <v>1</v>
      </c>
      <c r="C28270" t="s">
        <v>1805</v>
      </c>
      <c r="D28270" t="s">
        <v>23014</v>
      </c>
    </row>
    <row r="28271" spans="1:4" x14ac:dyDescent="0.2">
      <c r="B28271" t="s">
        <v>28</v>
      </c>
      <c r="C28271" t="s">
        <v>9298</v>
      </c>
      <c r="D28271" t="s">
        <v>23015</v>
      </c>
    </row>
    <row r="28273" spans="1:4" x14ac:dyDescent="0.2">
      <c r="A28273" t="s">
        <v>9299</v>
      </c>
      <c r="B28273" t="str">
        <f>HYPERLINK("https://lindat.mff.cuni.cz/services/teitok/pdtc10/index.php?action=vallex&amp;frame=v-w3841f1", "pomyslit si (v-w3841f1)")</f>
        <v>pomyslit si (v-w3841f1)</v>
      </c>
    </row>
    <row r="28274" spans="1:4" x14ac:dyDescent="0.2">
      <c r="B28274" t="s">
        <v>1</v>
      </c>
    </row>
    <row r="28275" spans="1:4" x14ac:dyDescent="0.2">
      <c r="B28275" t="s">
        <v>4742</v>
      </c>
    </row>
    <row r="28276" spans="1:4" x14ac:dyDescent="0.2">
      <c r="B28276" t="s">
        <v>269</v>
      </c>
    </row>
    <row r="28278" spans="1:4" x14ac:dyDescent="0.2">
      <c r="A28278" t="s">
        <v>9300</v>
      </c>
      <c r="B28278" t="str">
        <f>HYPERLINK("https://lindat.mff.cuni.cz/services/teitok/pdtc10/index.php?action=vallex&amp;frame=v-w3818f2", "pomáhat (v-w3818f2)")</f>
        <v>pomáhat (v-w3818f2)</v>
      </c>
    </row>
    <row r="28279" spans="1:4" x14ac:dyDescent="0.2">
      <c r="B28279" t="s">
        <v>1</v>
      </c>
    </row>
    <row r="28280" spans="1:4" x14ac:dyDescent="0.2">
      <c r="B28280" t="s">
        <v>8012</v>
      </c>
    </row>
    <row r="28281" spans="1:4" x14ac:dyDescent="0.2">
      <c r="B28281" t="s">
        <v>35</v>
      </c>
    </row>
    <row r="28283" spans="1:4" x14ac:dyDescent="0.2">
      <c r="A28283" t="s">
        <v>9301</v>
      </c>
      <c r="B28283" t="str">
        <f>HYPERLINK("https://lindat.mff.cuni.cz/services/teitok/pdtc10/index.php?action=vallex&amp;frame=v-w3818hsa_65", "pomáhat (v-w3818hsa_65)")</f>
        <v>pomáhat (v-w3818hsa_65)</v>
      </c>
    </row>
    <row r="28284" spans="1:4" x14ac:dyDescent="0.2">
      <c r="B28284" t="s">
        <v>5942</v>
      </c>
      <c r="C28284" t="s">
        <v>5928</v>
      </c>
      <c r="D28284" t="s">
        <v>23554</v>
      </c>
    </row>
    <row r="28285" spans="1:4" x14ac:dyDescent="0.2">
      <c r="B28285" t="s">
        <v>35</v>
      </c>
      <c r="C28285" t="s">
        <v>5929</v>
      </c>
      <c r="D28285" t="s">
        <v>23555</v>
      </c>
    </row>
    <row r="28286" spans="1:4" x14ac:dyDescent="0.2">
      <c r="B28286" t="s">
        <v>9302</v>
      </c>
      <c r="C28286" t="s">
        <v>5931</v>
      </c>
      <c r="D28286" t="s">
        <v>23556</v>
      </c>
    </row>
    <row r="28288" spans="1:4" x14ac:dyDescent="0.2">
      <c r="A28288" t="s">
        <v>9301</v>
      </c>
      <c r="B28288" t="str">
        <f>HYPERLINK("https://lindat.mff.cuni.cz/services/teitok/pdtc10/index.php?action=vallex&amp;frame=v-w3818f3", "pomáhat (v-w3818f3) - substituted with v-w3818hsa_65")</f>
        <v>pomáhat (v-w3818f3) - substituted with v-w3818hsa_65</v>
      </c>
    </row>
    <row r="28289" spans="1:4" x14ac:dyDescent="0.2">
      <c r="B28289" t="s">
        <v>5942</v>
      </c>
      <c r="C28289" t="s">
        <v>9303</v>
      </c>
    </row>
    <row r="28290" spans="1:4" x14ac:dyDescent="0.2">
      <c r="B28290" t="s">
        <v>35</v>
      </c>
      <c r="C28290" t="s">
        <v>5929</v>
      </c>
    </row>
    <row r="28291" spans="1:4" x14ac:dyDescent="0.2">
      <c r="B28291" t="s">
        <v>9302</v>
      </c>
      <c r="C28291" t="s">
        <v>5931</v>
      </c>
    </row>
    <row r="28293" spans="1:4" x14ac:dyDescent="0.2">
      <c r="A28293" t="s">
        <v>9304</v>
      </c>
      <c r="B28293" t="str">
        <f>HYPERLINK("https://lindat.mff.cuni.cz/services/teitok/pdtc10/index.php?action=vallex&amp;frame=v-w3818f1", "pomáhat (v-w3818f1)")</f>
        <v>pomáhat (v-w3818f1)</v>
      </c>
    </row>
    <row r="28294" spans="1:4" x14ac:dyDescent="0.2">
      <c r="B28294" t="s">
        <v>1</v>
      </c>
      <c r="C28294" t="s">
        <v>9305</v>
      </c>
      <c r="D28294" t="s">
        <v>23554</v>
      </c>
    </row>
    <row r="28295" spans="1:4" x14ac:dyDescent="0.2">
      <c r="B28295" t="s">
        <v>35</v>
      </c>
      <c r="C28295" t="s">
        <v>9306</v>
      </c>
      <c r="D28295" t="s">
        <v>23555</v>
      </c>
    </row>
    <row r="28296" spans="1:4" x14ac:dyDescent="0.2">
      <c r="B28296" t="s">
        <v>9307</v>
      </c>
      <c r="C28296" t="s">
        <v>9308</v>
      </c>
      <c r="D28296" t="s">
        <v>23556</v>
      </c>
    </row>
    <row r="28298" spans="1:4" x14ac:dyDescent="0.2">
      <c r="A28298" t="s">
        <v>9309</v>
      </c>
      <c r="B28298" t="str">
        <f>HYPERLINK("https://lindat.mff.cuni.cz/services/teitok/pdtc10/index.php?action=vallex&amp;frame=v-whsa_356hsa_357", "pomáhat si (v-whsa_356hsa_357)")</f>
        <v>pomáhat si (v-whsa_356hsa_357)</v>
      </c>
    </row>
    <row r="28299" spans="1:4" x14ac:dyDescent="0.2">
      <c r="B28299" t="s">
        <v>1</v>
      </c>
    </row>
    <row r="28300" spans="1:4" x14ac:dyDescent="0.2">
      <c r="B28300" t="s">
        <v>153</v>
      </c>
    </row>
    <row r="28301" spans="1:4" x14ac:dyDescent="0.2">
      <c r="B28301" t="s">
        <v>9310</v>
      </c>
    </row>
    <row r="28303" spans="1:4" x14ac:dyDescent="0.2">
      <c r="A28303" t="s">
        <v>9311</v>
      </c>
      <c r="B28303" t="str">
        <f>HYPERLINK("https://lindat.mff.cuni.cz/services/teitok/pdtc10/index.php?action=vallex&amp;frame=v-w3823f1", "pomíjet (v-w3823f1)")</f>
        <v>pomíjet (v-w3823f1)</v>
      </c>
    </row>
    <row r="28304" spans="1:4" x14ac:dyDescent="0.2">
      <c r="B28304" t="s">
        <v>1</v>
      </c>
      <c r="D28304" t="s">
        <v>306</v>
      </c>
    </row>
    <row r="28305" spans="1:4" x14ac:dyDescent="0.2">
      <c r="B28305" t="s">
        <v>124</v>
      </c>
      <c r="D28305" t="s">
        <v>7127</v>
      </c>
    </row>
    <row r="28307" spans="1:4" x14ac:dyDescent="0.2">
      <c r="A28307" t="s">
        <v>9312</v>
      </c>
      <c r="B28307" t="str">
        <f>HYPERLINK("https://lindat.mff.cuni.cz/services/teitok/pdtc10/index.php?action=vallex&amp;frame=v-w3823f2", "pomíjet (v-w3823f2)")</f>
        <v>pomíjet (v-w3823f2)</v>
      </c>
    </row>
    <row r="28308" spans="1:4" x14ac:dyDescent="0.2">
      <c r="B28308" t="s">
        <v>1</v>
      </c>
      <c r="C28308" t="s">
        <v>186</v>
      </c>
      <c r="D28308" t="s">
        <v>2172</v>
      </c>
    </row>
    <row r="28310" spans="1:4" x14ac:dyDescent="0.2">
      <c r="A28310" t="s">
        <v>9313</v>
      </c>
      <c r="B28310" t="str">
        <f>HYPERLINK("https://lindat.mff.cuni.cz/services/teitok/pdtc10/index.php?action=vallex&amp;frame=v-w3844f1", "pomýšlet (v-w3844f1)")</f>
        <v>pomýšlet (v-w3844f1)</v>
      </c>
    </row>
    <row r="28311" spans="1:4" x14ac:dyDescent="0.2">
      <c r="B28311" t="s">
        <v>1</v>
      </c>
      <c r="C28311" t="s">
        <v>9314</v>
      </c>
      <c r="D28311" t="s">
        <v>23014</v>
      </c>
    </row>
    <row r="28312" spans="1:4" x14ac:dyDescent="0.2">
      <c r="B28312" t="s">
        <v>28</v>
      </c>
      <c r="C28312" t="s">
        <v>9315</v>
      </c>
      <c r="D28312" t="s">
        <v>23015</v>
      </c>
    </row>
    <row r="28314" spans="1:4" x14ac:dyDescent="0.2">
      <c r="A28314" t="s">
        <v>9316</v>
      </c>
      <c r="B28314" t="str">
        <f>HYPERLINK("https://lindat.mff.cuni.cz/services/teitok/pdtc10/index.php?action=vallex&amp;frame=v-whsa_1105f1_ZU", "poměřit (v-whsa_1105f1_ZU)")</f>
        <v>poměřit (v-whsa_1105f1_ZU)</v>
      </c>
    </row>
    <row r="28315" spans="1:4" x14ac:dyDescent="0.2">
      <c r="B28315" t="s">
        <v>1</v>
      </c>
      <c r="C28315" t="s">
        <v>140</v>
      </c>
    </row>
    <row r="28316" spans="1:4" x14ac:dyDescent="0.2">
      <c r="B28316" t="s">
        <v>8</v>
      </c>
      <c r="C28316" t="s">
        <v>1340</v>
      </c>
    </row>
    <row r="28317" spans="1:4" x14ac:dyDescent="0.2">
      <c r="B28317" t="s">
        <v>2604</v>
      </c>
    </row>
    <row r="28319" spans="1:4" x14ac:dyDescent="0.2">
      <c r="A28319" t="s">
        <v>9316</v>
      </c>
      <c r="B28319" t="str">
        <f>HYPERLINK("https://lindat.mff.cuni.cz/services/teitok/pdtc10/index.php?action=vallex&amp;frame=v-whsa_1105hsa_1106", "poměřit (v-whsa_1105hsa_1106) - substituted with v-whsa_1105f1_ZU")</f>
        <v>poměřit (v-whsa_1105hsa_1106) - substituted with v-whsa_1105f1_ZU</v>
      </c>
    </row>
    <row r="28320" spans="1:4" x14ac:dyDescent="0.2">
      <c r="B28320" t="s">
        <v>1</v>
      </c>
    </row>
    <row r="28321" spans="1:4" x14ac:dyDescent="0.2">
      <c r="B28321" t="s">
        <v>8</v>
      </c>
    </row>
    <row r="28322" spans="1:4" x14ac:dyDescent="0.2">
      <c r="B28322" t="s">
        <v>2604</v>
      </c>
    </row>
    <row r="28324" spans="1:4" x14ac:dyDescent="0.2">
      <c r="A28324" t="s">
        <v>9317</v>
      </c>
      <c r="B28324" t="str">
        <f>HYPERLINK("https://lindat.mff.cuni.cz/services/teitok/pdtc10/index.php?action=vallex&amp;frame=v-whsa_1105f2_ZU", "poměřit (v-whsa_1105f2_ZU)")</f>
        <v>poměřit (v-whsa_1105f2_ZU)</v>
      </c>
    </row>
    <row r="28325" spans="1:4" x14ac:dyDescent="0.2">
      <c r="B28325" t="s">
        <v>1</v>
      </c>
    </row>
    <row r="28326" spans="1:4" x14ac:dyDescent="0.2">
      <c r="B28326" t="s">
        <v>8</v>
      </c>
    </row>
    <row r="28328" spans="1:4" x14ac:dyDescent="0.2">
      <c r="A28328" t="s">
        <v>9318</v>
      </c>
      <c r="B28328" t="str">
        <f>HYPERLINK("https://lindat.mff.cuni.cz/services/teitok/pdtc10/index.php?action=vallex&amp;frame=v-w3822f2", "poměřovat (v-w3822f2)")</f>
        <v>poměřovat (v-w3822f2)</v>
      </c>
    </row>
    <row r="28329" spans="1:4" x14ac:dyDescent="0.2">
      <c r="B28329" t="s">
        <v>1</v>
      </c>
      <c r="C28329" t="s">
        <v>9319</v>
      </c>
    </row>
    <row r="28330" spans="1:4" x14ac:dyDescent="0.2">
      <c r="B28330" t="s">
        <v>8</v>
      </c>
      <c r="C28330" t="s">
        <v>1798</v>
      </c>
    </row>
    <row r="28331" spans="1:4" x14ac:dyDescent="0.2">
      <c r="B28331" t="s">
        <v>2604</v>
      </c>
      <c r="C28331" t="s">
        <v>131</v>
      </c>
    </row>
    <row r="28333" spans="1:4" x14ac:dyDescent="0.2">
      <c r="A28333" t="s">
        <v>9320</v>
      </c>
      <c r="B28333" t="str">
        <f>HYPERLINK("https://lindat.mff.cuni.cz/services/teitok/pdtc10/index.php?action=vallex&amp;frame=v-w3822f1", "poměřovat (v-w3822f1)")</f>
        <v>poměřovat (v-w3822f1)</v>
      </c>
    </row>
    <row r="28334" spans="1:4" x14ac:dyDescent="0.2">
      <c r="B28334" t="s">
        <v>1</v>
      </c>
      <c r="C28334" t="s">
        <v>9319</v>
      </c>
      <c r="D28334" t="s">
        <v>5414</v>
      </c>
    </row>
    <row r="28335" spans="1:4" x14ac:dyDescent="0.2">
      <c r="B28335" t="s">
        <v>8</v>
      </c>
      <c r="C28335" t="s">
        <v>1798</v>
      </c>
      <c r="D28335" t="s">
        <v>977</v>
      </c>
    </row>
    <row r="28337" spans="1:4" x14ac:dyDescent="0.2">
      <c r="A28337" t="s">
        <v>9321</v>
      </c>
      <c r="B28337" t="str">
        <f>HYPERLINK("https://lindat.mff.cuni.cz/services/teitok/pdtc10/index.php?action=vallex&amp;frame=v-w3846f1", "ponaučit (v-w3846f1)")</f>
        <v>ponaučit (v-w3846f1)</v>
      </c>
    </row>
    <row r="28338" spans="1:4" x14ac:dyDescent="0.2">
      <c r="B28338" t="s">
        <v>1</v>
      </c>
    </row>
    <row r="28339" spans="1:4" x14ac:dyDescent="0.2">
      <c r="B28339" t="s">
        <v>9322</v>
      </c>
    </row>
    <row r="28340" spans="1:4" x14ac:dyDescent="0.2">
      <c r="B28340" t="s">
        <v>58</v>
      </c>
    </row>
    <row r="28342" spans="1:4" x14ac:dyDescent="0.2">
      <c r="A28342" t="s">
        <v>9323</v>
      </c>
      <c r="B28342" t="str">
        <f>HYPERLINK("https://lindat.mff.cuni.cz/services/teitok/pdtc10/index.php?action=vallex&amp;frame=v-w3848f4", "ponechat (v-w3848f4)")</f>
        <v>ponechat (v-w3848f4)</v>
      </c>
    </row>
    <row r="28343" spans="1:4" x14ac:dyDescent="0.2">
      <c r="B28343" t="s">
        <v>1</v>
      </c>
      <c r="C28343" t="s">
        <v>22</v>
      </c>
    </row>
    <row r="28344" spans="1:4" x14ac:dyDescent="0.2">
      <c r="B28344" t="s">
        <v>9324</v>
      </c>
      <c r="C28344" t="s">
        <v>31</v>
      </c>
    </row>
    <row r="28345" spans="1:4" x14ac:dyDescent="0.2">
      <c r="B28345" t="s">
        <v>6454</v>
      </c>
      <c r="C28345" t="s">
        <v>9325</v>
      </c>
    </row>
    <row r="28347" spans="1:4" x14ac:dyDescent="0.2">
      <c r="A28347" t="s">
        <v>9326</v>
      </c>
      <c r="B28347" t="str">
        <f>HYPERLINK("https://lindat.mff.cuni.cz/services/teitok/pdtc10/index.php?action=vallex&amp;frame=v-w3848f1", "ponechat (v-w3848f1)")</f>
        <v>ponechat (v-w3848f1)</v>
      </c>
    </row>
    <row r="28348" spans="1:4" x14ac:dyDescent="0.2">
      <c r="B28348" t="s">
        <v>1</v>
      </c>
      <c r="C28348" t="s">
        <v>9327</v>
      </c>
      <c r="D28348" t="s">
        <v>19885</v>
      </c>
    </row>
    <row r="28349" spans="1:4" x14ac:dyDescent="0.2">
      <c r="B28349" t="s">
        <v>8</v>
      </c>
      <c r="C28349" t="s">
        <v>9328</v>
      </c>
      <c r="D28349" t="s">
        <v>21717</v>
      </c>
    </row>
    <row r="28350" spans="1:4" x14ac:dyDescent="0.2">
      <c r="B28350" t="s">
        <v>35</v>
      </c>
      <c r="C28350" t="s">
        <v>9329</v>
      </c>
      <c r="D28350" t="s">
        <v>23834</v>
      </c>
    </row>
    <row r="28352" spans="1:4" x14ac:dyDescent="0.2">
      <c r="A28352" t="s">
        <v>9330</v>
      </c>
      <c r="B28352" t="str">
        <f>HYPERLINK("https://lindat.mff.cuni.cz/services/teitok/pdtc10/index.php?action=vallex&amp;frame=v-w3848f7", "ponechat (v-w3848f7)")</f>
        <v>ponechat (v-w3848f7)</v>
      </c>
    </row>
    <row r="28353" spans="1:4" x14ac:dyDescent="0.2">
      <c r="B28353" t="s">
        <v>1</v>
      </c>
    </row>
    <row r="28354" spans="1:4" x14ac:dyDescent="0.2">
      <c r="B28354" t="s">
        <v>8</v>
      </c>
    </row>
    <row r="28355" spans="1:4" x14ac:dyDescent="0.2">
      <c r="B28355" t="s">
        <v>35</v>
      </c>
    </row>
    <row r="28357" spans="1:4" x14ac:dyDescent="0.2">
      <c r="A28357" t="s">
        <v>9331</v>
      </c>
      <c r="B28357" t="str">
        <f>HYPERLINK("https://lindat.mff.cuni.cz/services/teitok/pdtc10/index.php?action=vallex&amp;frame=v-w3848f10_ZU", "ponechat (v-w3848f10_ZU)")</f>
        <v>ponechat (v-w3848f10_ZU)</v>
      </c>
    </row>
    <row r="28358" spans="1:4" x14ac:dyDescent="0.2">
      <c r="B28358" t="s">
        <v>1</v>
      </c>
      <c r="C28358" t="s">
        <v>9332</v>
      </c>
      <c r="D28358" t="s">
        <v>23225</v>
      </c>
    </row>
    <row r="28359" spans="1:4" x14ac:dyDescent="0.2">
      <c r="B28359" t="s">
        <v>8</v>
      </c>
      <c r="C28359" t="s">
        <v>9333</v>
      </c>
      <c r="D28359" t="s">
        <v>23596</v>
      </c>
    </row>
    <row r="28360" spans="1:4" x14ac:dyDescent="0.2">
      <c r="B28360" t="s">
        <v>6465</v>
      </c>
      <c r="C28360" t="s">
        <v>9334</v>
      </c>
      <c r="D28360" t="s">
        <v>23597</v>
      </c>
    </row>
    <row r="28362" spans="1:4" x14ac:dyDescent="0.2">
      <c r="A28362" t="s">
        <v>9331</v>
      </c>
      <c r="B28362" t="str">
        <f>HYPERLINK("https://lindat.mff.cuni.cz/services/teitok/pdtc10/index.php?action=vallex&amp;frame=v-w3848f8", "ponechat (v-w3848f8) - substituted with v-w3848f10_ZU")</f>
        <v>ponechat (v-w3848f8) - substituted with v-w3848f10_ZU</v>
      </c>
    </row>
    <row r="28363" spans="1:4" x14ac:dyDescent="0.2">
      <c r="B28363" t="s">
        <v>1</v>
      </c>
      <c r="C28363" t="s">
        <v>9335</v>
      </c>
    </row>
    <row r="28364" spans="1:4" x14ac:dyDescent="0.2">
      <c r="B28364" t="s">
        <v>8</v>
      </c>
      <c r="C28364" t="s">
        <v>9336</v>
      </c>
    </row>
    <row r="28365" spans="1:4" x14ac:dyDescent="0.2">
      <c r="B28365" t="s">
        <v>6465</v>
      </c>
      <c r="C28365" t="s">
        <v>9337</v>
      </c>
    </row>
    <row r="28367" spans="1:4" x14ac:dyDescent="0.2">
      <c r="A28367" t="s">
        <v>9331</v>
      </c>
      <c r="B28367" t="str">
        <f>HYPERLINK("https://lindat.mff.cuni.cz/services/teitok/pdtc10/index.php?action=vallex&amp;frame=v-w3848f9_ZU", "ponechat (v-w3848f9_ZU) - substituted with v-w3848f10_ZU")</f>
        <v>ponechat (v-w3848f9_ZU) - substituted with v-w3848f10_ZU</v>
      </c>
    </row>
    <row r="28368" spans="1:4" x14ac:dyDescent="0.2">
      <c r="B28368" t="s">
        <v>1</v>
      </c>
      <c r="C28368" t="s">
        <v>9338</v>
      </c>
    </row>
    <row r="28369" spans="1:3" x14ac:dyDescent="0.2">
      <c r="B28369" t="s">
        <v>8</v>
      </c>
      <c r="C28369" t="s">
        <v>9339</v>
      </c>
    </row>
    <row r="28370" spans="1:3" x14ac:dyDescent="0.2">
      <c r="B28370" t="s">
        <v>6465</v>
      </c>
      <c r="C28370" t="s">
        <v>6521</v>
      </c>
    </row>
    <row r="28372" spans="1:3" x14ac:dyDescent="0.2">
      <c r="A28372" t="s">
        <v>9340</v>
      </c>
      <c r="B28372" t="str">
        <f>HYPERLINK("https://lindat.mff.cuni.cz/services/teitok/pdtc10/index.php?action=vallex&amp;frame=v-w3848f3", "ponechat (v-w3848f3)")</f>
        <v>ponechat (v-w3848f3)</v>
      </c>
    </row>
    <row r="28373" spans="1:3" x14ac:dyDescent="0.2">
      <c r="B28373" t="s">
        <v>1</v>
      </c>
      <c r="C28373" t="s">
        <v>9341</v>
      </c>
    </row>
    <row r="28374" spans="1:3" x14ac:dyDescent="0.2">
      <c r="B28374" t="s">
        <v>9342</v>
      </c>
      <c r="C28374" t="s">
        <v>9343</v>
      </c>
    </row>
    <row r="28375" spans="1:3" x14ac:dyDescent="0.2">
      <c r="B28375" t="s">
        <v>2360</v>
      </c>
      <c r="C28375" t="s">
        <v>9344</v>
      </c>
    </row>
    <row r="28377" spans="1:3" x14ac:dyDescent="0.2">
      <c r="A28377" t="s">
        <v>9345</v>
      </c>
      <c r="B28377" t="str">
        <f>HYPERLINK("https://lindat.mff.cuni.cz/services/teitok/pdtc10/index.php?action=vallex&amp;frame=v-w3848f2", "ponechat (v-w3848f2)")</f>
        <v>ponechat (v-w3848f2)</v>
      </c>
    </row>
    <row r="28378" spans="1:3" x14ac:dyDescent="0.2">
      <c r="B28378" t="s">
        <v>1</v>
      </c>
      <c r="C28378" t="s">
        <v>9346</v>
      </c>
    </row>
    <row r="28379" spans="1:3" x14ac:dyDescent="0.2">
      <c r="B28379" t="s">
        <v>8</v>
      </c>
      <c r="C28379" t="s">
        <v>5971</v>
      </c>
    </row>
    <row r="28380" spans="1:3" x14ac:dyDescent="0.2">
      <c r="B28380" t="s">
        <v>5</v>
      </c>
      <c r="C28380" t="s">
        <v>6530</v>
      </c>
    </row>
    <row r="28382" spans="1:3" x14ac:dyDescent="0.2">
      <c r="A28382" t="s">
        <v>9347</v>
      </c>
      <c r="B28382" t="str">
        <f>HYPERLINK("https://lindat.mff.cuni.cz/services/teitok/pdtc10/index.php?action=vallex&amp;frame=v-w3848f5", "ponechat (v-w3848f5)")</f>
        <v>ponechat (v-w3848f5)</v>
      </c>
    </row>
    <row r="28383" spans="1:3" x14ac:dyDescent="0.2">
      <c r="B28383" t="s">
        <v>1</v>
      </c>
    </row>
    <row r="28384" spans="1:3" x14ac:dyDescent="0.2">
      <c r="B28384" t="s">
        <v>8</v>
      </c>
    </row>
    <row r="28385" spans="1:3" x14ac:dyDescent="0.2">
      <c r="B28385" t="s">
        <v>6986</v>
      </c>
    </row>
    <row r="28387" spans="1:3" x14ac:dyDescent="0.2">
      <c r="A28387" t="s">
        <v>9348</v>
      </c>
      <c r="B28387" t="str">
        <f>HYPERLINK("https://lindat.mff.cuni.cz/services/teitok/pdtc10/index.php?action=vallex&amp;frame=v-w3848f6", "ponechat (v-w3848f6)")</f>
        <v>ponechat (v-w3848f6)</v>
      </c>
    </row>
    <row r="28388" spans="1:3" x14ac:dyDescent="0.2">
      <c r="B28388" t="s">
        <v>1</v>
      </c>
    </row>
    <row r="28389" spans="1:3" x14ac:dyDescent="0.2">
      <c r="B28389" t="s">
        <v>9349</v>
      </c>
    </row>
    <row r="28390" spans="1:3" x14ac:dyDescent="0.2">
      <c r="B28390" t="s">
        <v>8</v>
      </c>
    </row>
    <row r="28391" spans="1:3" x14ac:dyDescent="0.2">
      <c r="B28391" t="s">
        <v>35</v>
      </c>
    </row>
    <row r="28393" spans="1:3" x14ac:dyDescent="0.2">
      <c r="A28393" t="s">
        <v>9350</v>
      </c>
      <c r="B28393" t="str">
        <f>HYPERLINK("https://lindat.mff.cuni.cz/services/teitok/pdtc10/index.php?action=vallex&amp;frame=v-w3848f11_ZU", "ponechat (v-w3848f11_ZU)")</f>
        <v>ponechat (v-w3848f11_ZU)</v>
      </c>
    </row>
    <row r="28394" spans="1:3" x14ac:dyDescent="0.2">
      <c r="B28394" t="s">
        <v>1</v>
      </c>
      <c r="C28394" t="s">
        <v>2303</v>
      </c>
    </row>
    <row r="28395" spans="1:3" x14ac:dyDescent="0.2">
      <c r="B28395" t="s">
        <v>8</v>
      </c>
      <c r="C28395" t="s">
        <v>6494</v>
      </c>
    </row>
    <row r="28396" spans="1:3" x14ac:dyDescent="0.2">
      <c r="B28396" t="s">
        <v>9351</v>
      </c>
    </row>
    <row r="28398" spans="1:3" x14ac:dyDescent="0.2">
      <c r="A28398" t="s">
        <v>9352</v>
      </c>
      <c r="B28398" t="str">
        <f>HYPERLINK("https://lindat.mff.cuni.cz/services/teitok/pdtc10/index.php?action=vallex&amp;frame=v-w3849f3", "ponechávat (v-w3849f3)")</f>
        <v>ponechávat (v-w3849f3)</v>
      </c>
    </row>
    <row r="28399" spans="1:3" x14ac:dyDescent="0.2">
      <c r="B28399" t="s">
        <v>1</v>
      </c>
      <c r="C28399" t="s">
        <v>22</v>
      </c>
    </row>
    <row r="28400" spans="1:3" x14ac:dyDescent="0.2">
      <c r="B28400" t="s">
        <v>9353</v>
      </c>
      <c r="C28400" t="s">
        <v>1190</v>
      </c>
    </row>
    <row r="28401" spans="1:4" x14ac:dyDescent="0.2">
      <c r="B28401" t="s">
        <v>6454</v>
      </c>
      <c r="C28401" t="s">
        <v>6457</v>
      </c>
    </row>
    <row r="28403" spans="1:4" x14ac:dyDescent="0.2">
      <c r="A28403" t="s">
        <v>9354</v>
      </c>
      <c r="B28403" t="str">
        <f>HYPERLINK("https://lindat.mff.cuni.cz/services/teitok/pdtc10/index.php?action=vallex&amp;frame=v-w3849f1", "ponechávat (v-w3849f1)")</f>
        <v>ponechávat (v-w3849f1)</v>
      </c>
    </row>
    <row r="28404" spans="1:4" x14ac:dyDescent="0.2">
      <c r="B28404" t="s">
        <v>1</v>
      </c>
      <c r="C28404" t="s">
        <v>2533</v>
      </c>
      <c r="D28404" t="s">
        <v>19885</v>
      </c>
    </row>
    <row r="28405" spans="1:4" x14ac:dyDescent="0.2">
      <c r="B28405" t="s">
        <v>8</v>
      </c>
      <c r="C28405" t="s">
        <v>5868</v>
      </c>
      <c r="D28405" t="s">
        <v>21717</v>
      </c>
    </row>
    <row r="28406" spans="1:4" x14ac:dyDescent="0.2">
      <c r="B28406" t="s">
        <v>35</v>
      </c>
      <c r="C28406" t="s">
        <v>9355</v>
      </c>
      <c r="D28406" t="s">
        <v>23834</v>
      </c>
    </row>
    <row r="28408" spans="1:4" x14ac:dyDescent="0.2">
      <c r="A28408" t="s">
        <v>9356</v>
      </c>
      <c r="B28408" t="str">
        <f>HYPERLINK("https://lindat.mff.cuni.cz/services/teitok/pdtc10/index.php?action=vallex&amp;frame=v-w3849f4", "ponechávat (v-w3849f4)")</f>
        <v>ponechávat (v-w3849f4)</v>
      </c>
    </row>
    <row r="28409" spans="1:4" x14ac:dyDescent="0.2">
      <c r="B28409" t="s">
        <v>1</v>
      </c>
      <c r="C28409" t="s">
        <v>1366</v>
      </c>
    </row>
    <row r="28410" spans="1:4" x14ac:dyDescent="0.2">
      <c r="B28410" t="s">
        <v>8</v>
      </c>
      <c r="C28410" t="s">
        <v>6505</v>
      </c>
    </row>
    <row r="28411" spans="1:4" x14ac:dyDescent="0.2">
      <c r="B28411" t="s">
        <v>9357</v>
      </c>
      <c r="C28411" t="s">
        <v>6521</v>
      </c>
    </row>
    <row r="28413" spans="1:4" x14ac:dyDescent="0.2">
      <c r="A28413" t="s">
        <v>9358</v>
      </c>
      <c r="B28413" t="str">
        <f>HYPERLINK("https://lindat.mff.cuni.cz/services/teitok/pdtc10/index.php?action=vallex&amp;frame=v-w3849f2", "ponechávat (v-w3849f2)")</f>
        <v>ponechávat (v-w3849f2)</v>
      </c>
    </row>
    <row r="28414" spans="1:4" x14ac:dyDescent="0.2">
      <c r="B28414" t="s">
        <v>1</v>
      </c>
      <c r="C28414" t="s">
        <v>92</v>
      </c>
    </row>
    <row r="28415" spans="1:4" x14ac:dyDescent="0.2">
      <c r="B28415" t="s">
        <v>8</v>
      </c>
      <c r="C28415" t="s">
        <v>969</v>
      </c>
    </row>
    <row r="28416" spans="1:4" x14ac:dyDescent="0.2">
      <c r="B28416" t="s">
        <v>5</v>
      </c>
      <c r="C28416" t="s">
        <v>9359</v>
      </c>
    </row>
    <row r="28418" spans="1:4" x14ac:dyDescent="0.2">
      <c r="A28418" t="s">
        <v>9360</v>
      </c>
      <c r="B28418" t="str">
        <f>HYPERLINK("https://lindat.mff.cuni.cz/services/teitok/pdtc10/index.php?action=vallex&amp;frame=v-w3849f5_ZU", "ponechávat (v-w3849f5_ZU)")</f>
        <v>ponechávat (v-w3849f5_ZU)</v>
      </c>
    </row>
    <row r="28419" spans="1:4" x14ac:dyDescent="0.2">
      <c r="B28419" t="s">
        <v>1</v>
      </c>
      <c r="C28419" t="s">
        <v>1366</v>
      </c>
    </row>
    <row r="28420" spans="1:4" x14ac:dyDescent="0.2">
      <c r="B28420" t="s">
        <v>8</v>
      </c>
      <c r="C28420" t="s">
        <v>6505</v>
      </c>
    </row>
    <row r="28421" spans="1:4" x14ac:dyDescent="0.2">
      <c r="B28421" t="s">
        <v>9361</v>
      </c>
      <c r="C28421" t="s">
        <v>9362</v>
      </c>
    </row>
    <row r="28423" spans="1:4" x14ac:dyDescent="0.2">
      <c r="A28423" t="s">
        <v>9360</v>
      </c>
      <c r="B28423" t="str">
        <f>HYPERLINK("https://lindat.mff.cuni.cz/services/teitok/pdtc10/index.php?action=vallex&amp;frame=v-w3849hsa_1239", "ponechávat (v-w3849hsa_1239) - substituted with v-w3849f5_ZU")</f>
        <v>ponechávat (v-w3849hsa_1239) - substituted with v-w3849f5_ZU</v>
      </c>
    </row>
    <row r="28424" spans="1:4" x14ac:dyDescent="0.2">
      <c r="B28424" t="s">
        <v>1</v>
      </c>
    </row>
    <row r="28425" spans="1:4" x14ac:dyDescent="0.2">
      <c r="B28425" t="s">
        <v>8</v>
      </c>
    </row>
    <row r="28426" spans="1:4" x14ac:dyDescent="0.2">
      <c r="B28426" t="s">
        <v>9361</v>
      </c>
    </row>
    <row r="28428" spans="1:4" x14ac:dyDescent="0.2">
      <c r="A28428" t="s">
        <v>9363</v>
      </c>
      <c r="B28428" t="str">
        <f>HYPERLINK("https://lindat.mff.cuni.cz/services/teitok/pdtc10/index.php?action=vallex&amp;frame=v-w3852f1", "poničit (v-w3852f1)")</f>
        <v>poničit (v-w3852f1)</v>
      </c>
    </row>
    <row r="28429" spans="1:4" x14ac:dyDescent="0.2">
      <c r="B28429" t="s">
        <v>1</v>
      </c>
      <c r="C28429" t="s">
        <v>9364</v>
      </c>
      <c r="D28429" t="s">
        <v>23835</v>
      </c>
    </row>
    <row r="28430" spans="1:4" x14ac:dyDescent="0.2">
      <c r="B28430" t="s">
        <v>8</v>
      </c>
      <c r="C28430" t="s">
        <v>34</v>
      </c>
      <c r="D28430" t="s">
        <v>23836</v>
      </c>
    </row>
    <row r="28432" spans="1:4" x14ac:dyDescent="0.2">
      <c r="A28432" t="s">
        <v>9365</v>
      </c>
      <c r="B28432" t="str">
        <f>HYPERLINK("https://lindat.mff.cuni.cz/services/teitok/pdtc10/index.php?action=vallex&amp;frame=v-whsb_233hsa_234", "ponižovat (v-whsb_233hsa_234)")</f>
        <v>ponižovat (v-whsb_233hsa_234)</v>
      </c>
    </row>
    <row r="28433" spans="1:4" x14ac:dyDescent="0.2">
      <c r="B28433" t="s">
        <v>1</v>
      </c>
    </row>
    <row r="28434" spans="1:4" x14ac:dyDescent="0.2">
      <c r="B28434" t="s">
        <v>8</v>
      </c>
    </row>
    <row r="28436" spans="1:4" x14ac:dyDescent="0.2">
      <c r="A28436" t="s">
        <v>9366</v>
      </c>
      <c r="B28436" t="str">
        <f>HYPERLINK("https://lindat.mff.cuni.cz/services/teitok/pdtc10/index.php?action=vallex&amp;frame=v-w11486f1", "ponižovat se (v-w11486f1)")</f>
        <v>ponižovat se (v-w11486f1)</v>
      </c>
    </row>
    <row r="28437" spans="1:4" x14ac:dyDescent="0.2">
      <c r="B28437" t="s">
        <v>1</v>
      </c>
      <c r="D28437" t="s">
        <v>23830</v>
      </c>
    </row>
    <row r="28438" spans="1:4" x14ac:dyDescent="0.2">
      <c r="B28438" t="s">
        <v>1186</v>
      </c>
    </row>
    <row r="28440" spans="1:4" x14ac:dyDescent="0.2">
      <c r="A28440" t="s">
        <v>9367</v>
      </c>
      <c r="B28440" t="str">
        <f>HYPERLINK("https://lindat.mff.cuni.cz/services/teitok/pdtc10/index.php?action=vallex&amp;frame=v-w11549_ZUf1_ZU", "ponořit (v-w11549_ZUf1_ZU)")</f>
        <v>ponořit (v-w11549_ZUf1_ZU)</v>
      </c>
    </row>
    <row r="28441" spans="1:4" x14ac:dyDescent="0.2">
      <c r="B28441" t="s">
        <v>1</v>
      </c>
    </row>
    <row r="28442" spans="1:4" x14ac:dyDescent="0.2">
      <c r="B28442" t="s">
        <v>8</v>
      </c>
    </row>
    <row r="28443" spans="1:4" x14ac:dyDescent="0.2">
      <c r="B28443" t="s">
        <v>252</v>
      </c>
    </row>
    <row r="28445" spans="1:4" x14ac:dyDescent="0.2">
      <c r="A28445" t="s">
        <v>9368</v>
      </c>
      <c r="B28445" t="str">
        <f>HYPERLINK("https://lindat.mff.cuni.cz/services/teitok/pdtc10/index.php?action=vallex&amp;frame=v-w11550_ZUf1_ZU", "ponořit se (v-w11550_ZUf1_ZU)")</f>
        <v>ponořit se (v-w11550_ZUf1_ZU)</v>
      </c>
    </row>
    <row r="28446" spans="1:4" x14ac:dyDescent="0.2">
      <c r="B28446" t="s">
        <v>1</v>
      </c>
      <c r="C28446" t="s">
        <v>579</v>
      </c>
      <c r="D28446" t="s">
        <v>23736</v>
      </c>
    </row>
    <row r="28447" spans="1:4" x14ac:dyDescent="0.2">
      <c r="B28447" t="s">
        <v>46</v>
      </c>
      <c r="C28447" t="s">
        <v>9369</v>
      </c>
      <c r="D28447" t="s">
        <v>23737</v>
      </c>
    </row>
    <row r="28448" spans="1:4" x14ac:dyDescent="0.2">
      <c r="B28448" t="s">
        <v>24</v>
      </c>
      <c r="C28448" t="s">
        <v>5408</v>
      </c>
      <c r="D28448" t="s">
        <v>23738</v>
      </c>
    </row>
    <row r="28450" spans="1:4" x14ac:dyDescent="0.2">
      <c r="A28450" t="s">
        <v>9370</v>
      </c>
      <c r="B28450" t="str">
        <f>HYPERLINK("https://lindat.mff.cuni.cz/services/teitok/pdtc10/index.php?action=vallex&amp;frame=v-w11550_ZUf2_ZU", "ponořit se (v-w11550_ZUf2_ZU)")</f>
        <v>ponořit se (v-w11550_ZUf2_ZU)</v>
      </c>
    </row>
    <row r="28451" spans="1:4" x14ac:dyDescent="0.2">
      <c r="B28451" t="s">
        <v>1</v>
      </c>
      <c r="C28451" t="s">
        <v>7838</v>
      </c>
      <c r="D28451" t="s">
        <v>22952</v>
      </c>
    </row>
    <row r="28452" spans="1:4" x14ac:dyDescent="0.2">
      <c r="B28452" t="s">
        <v>817</v>
      </c>
      <c r="C28452" t="s">
        <v>9371</v>
      </c>
      <c r="D28452" t="s">
        <v>22953</v>
      </c>
    </row>
    <row r="28454" spans="1:4" x14ac:dyDescent="0.2">
      <c r="A28454" t="s">
        <v>9372</v>
      </c>
      <c r="B28454" t="str">
        <f>HYPERLINK("https://lindat.mff.cuni.cz/services/teitok/pdtc10/index.php?action=vallex&amp;frame=v-w3854f1", "ponížit (v-w3854f1)")</f>
        <v>ponížit (v-w3854f1)</v>
      </c>
    </row>
    <row r="28455" spans="1:4" x14ac:dyDescent="0.2">
      <c r="B28455" t="s">
        <v>1</v>
      </c>
      <c r="D28455" t="s">
        <v>133</v>
      </c>
    </row>
    <row r="28456" spans="1:4" x14ac:dyDescent="0.2">
      <c r="B28456" t="s">
        <v>8</v>
      </c>
      <c r="C28456" t="s">
        <v>113</v>
      </c>
      <c r="D28456" t="s">
        <v>23099</v>
      </c>
    </row>
    <row r="28458" spans="1:4" x14ac:dyDescent="0.2">
      <c r="A28458" t="s">
        <v>9373</v>
      </c>
      <c r="B28458" t="str">
        <f>HYPERLINK("https://lindat.mff.cuni.cz/services/teitok/pdtc10/index.php?action=vallex&amp;frame=v-w3854f2_ZU", "ponížit (v-w3854f2_ZU)")</f>
        <v>ponížit (v-w3854f2_ZU)</v>
      </c>
    </row>
    <row r="28459" spans="1:4" x14ac:dyDescent="0.2">
      <c r="B28459" t="s">
        <v>1</v>
      </c>
    </row>
    <row r="28460" spans="1:4" x14ac:dyDescent="0.2">
      <c r="B28460" t="s">
        <v>8</v>
      </c>
    </row>
    <row r="28461" spans="1:4" x14ac:dyDescent="0.2">
      <c r="B28461" t="s">
        <v>61</v>
      </c>
    </row>
    <row r="28463" spans="1:4" x14ac:dyDescent="0.2">
      <c r="A28463" t="s">
        <v>9374</v>
      </c>
      <c r="B28463" t="str">
        <f>HYPERLINK("https://lindat.mff.cuni.cz/services/teitok/pdtc10/index.php?action=vallex&amp;frame=v-w3850f1", "poněmčovat (v-w3850f1)")</f>
        <v>poněmčovat (v-w3850f1)</v>
      </c>
    </row>
    <row r="28464" spans="1:4" x14ac:dyDescent="0.2">
      <c r="B28464" t="s">
        <v>1</v>
      </c>
    </row>
    <row r="28465" spans="1:3" x14ac:dyDescent="0.2">
      <c r="B28465" t="s">
        <v>8</v>
      </c>
    </row>
    <row r="28467" spans="1:3" x14ac:dyDescent="0.2">
      <c r="A28467" t="s">
        <v>9375</v>
      </c>
      <c r="B28467" t="str">
        <f>HYPERLINK("https://lindat.mff.cuni.cz/services/teitok/pdtc10/index.php?action=vallex&amp;frame=v-whsa_606f1_ZU", "poobědvat (v-whsa_606f1_ZU)")</f>
        <v>poobědvat (v-whsa_606f1_ZU)</v>
      </c>
    </row>
    <row r="28468" spans="1:3" x14ac:dyDescent="0.2">
      <c r="B28468" t="s">
        <v>1</v>
      </c>
    </row>
    <row r="28469" spans="1:3" x14ac:dyDescent="0.2">
      <c r="B28469" t="s">
        <v>220</v>
      </c>
    </row>
    <row r="28471" spans="1:3" x14ac:dyDescent="0.2">
      <c r="A28471" t="s">
        <v>9375</v>
      </c>
      <c r="B28471" t="str">
        <f>HYPERLINK("https://lindat.mff.cuni.cz/services/teitok/pdtc10/index.php?action=vallex&amp;frame=v-whsa_606hsa_607", "poobědvat (v-whsa_606hsa_607) - substituted with v-whsa_606f1_ZU")</f>
        <v>poobědvat (v-whsa_606hsa_607) - substituted with v-whsa_606f1_ZU</v>
      </c>
    </row>
    <row r="28472" spans="1:3" x14ac:dyDescent="0.2">
      <c r="B28472" t="s">
        <v>1</v>
      </c>
    </row>
    <row r="28473" spans="1:3" x14ac:dyDescent="0.2">
      <c r="B28473" t="s">
        <v>220</v>
      </c>
    </row>
    <row r="28475" spans="1:3" x14ac:dyDescent="0.2">
      <c r="A28475" t="s">
        <v>9376</v>
      </c>
      <c r="B28475" t="str">
        <f>HYPERLINK("https://lindat.mff.cuni.cz/services/teitok/pdtc10/index.php?action=vallex&amp;frame=v-w3857f1", "poodhalit (v-w3857f1)")</f>
        <v>poodhalit (v-w3857f1)</v>
      </c>
    </row>
    <row r="28476" spans="1:3" x14ac:dyDescent="0.2">
      <c r="B28476" t="s">
        <v>1</v>
      </c>
    </row>
    <row r="28477" spans="1:3" x14ac:dyDescent="0.2">
      <c r="B28477" t="s">
        <v>124</v>
      </c>
    </row>
    <row r="28479" spans="1:3" x14ac:dyDescent="0.2">
      <c r="A28479" t="s">
        <v>9377</v>
      </c>
      <c r="B28479" t="str">
        <f>HYPERLINK("https://lindat.mff.cuni.cz/services/teitok/pdtc10/index.php?action=vallex&amp;frame=v-whsa_653hsa_654", "poodhalovat (v-whsa_653hsa_654)")</f>
        <v>poodhalovat (v-whsa_653hsa_654)</v>
      </c>
    </row>
    <row r="28480" spans="1:3" x14ac:dyDescent="0.2">
      <c r="B28480" t="s">
        <v>1</v>
      </c>
      <c r="C28480" t="s">
        <v>109</v>
      </c>
    </row>
    <row r="28481" spans="1:4" x14ac:dyDescent="0.2">
      <c r="B28481" t="s">
        <v>8</v>
      </c>
      <c r="C28481" t="s">
        <v>9378</v>
      </c>
    </row>
    <row r="28483" spans="1:4" x14ac:dyDescent="0.2">
      <c r="A28483" t="s">
        <v>9379</v>
      </c>
      <c r="B28483" t="str">
        <f>HYPERLINK("https://lindat.mff.cuni.cz/services/teitok/pdtc10/index.php?action=vallex&amp;frame=v-w11503f1", "poohlédnout se (v-w11503f1)")</f>
        <v>poohlédnout se (v-w11503f1)</v>
      </c>
    </row>
    <row r="28484" spans="1:4" x14ac:dyDescent="0.2">
      <c r="B28484" t="s">
        <v>1</v>
      </c>
      <c r="C28484" t="s">
        <v>2031</v>
      </c>
      <c r="D28484" t="s">
        <v>23125</v>
      </c>
    </row>
    <row r="28485" spans="1:4" x14ac:dyDescent="0.2">
      <c r="B28485" t="s">
        <v>1165</v>
      </c>
      <c r="C28485" t="s">
        <v>9380</v>
      </c>
      <c r="D28485" t="s">
        <v>23126</v>
      </c>
    </row>
    <row r="28487" spans="1:4" x14ac:dyDescent="0.2">
      <c r="A28487" t="s">
        <v>9381</v>
      </c>
      <c r="B28487" t="str">
        <f>HYPERLINK("https://lindat.mff.cuni.cz/services/teitok/pdtc10/index.php?action=vallex&amp;frame=v-w11485f1", "poohlížet se (v-w11485f1)")</f>
        <v>poohlížet se (v-w11485f1)</v>
      </c>
    </row>
    <row r="28488" spans="1:4" x14ac:dyDescent="0.2">
      <c r="B28488" t="s">
        <v>1</v>
      </c>
      <c r="C28488" t="s">
        <v>1065</v>
      </c>
      <c r="D28488" t="s">
        <v>23125</v>
      </c>
    </row>
    <row r="28489" spans="1:4" x14ac:dyDescent="0.2">
      <c r="B28489" t="s">
        <v>1165</v>
      </c>
      <c r="C28489" t="s">
        <v>2886</v>
      </c>
      <c r="D28489" t="s">
        <v>23126</v>
      </c>
    </row>
    <row r="28491" spans="1:4" x14ac:dyDescent="0.2">
      <c r="A28491" t="s">
        <v>9382</v>
      </c>
      <c r="B28491" t="str">
        <f>HYPERLINK("https://lindat.mff.cuni.cz/services/teitok/pdtc10/index.php?action=vallex&amp;frame=v-w3858f1", "pookřát (v-w3858f1)")</f>
        <v>pookřát (v-w3858f1)</v>
      </c>
    </row>
    <row r="28492" spans="1:4" x14ac:dyDescent="0.2">
      <c r="B28492" t="s">
        <v>1</v>
      </c>
    </row>
    <row r="28494" spans="1:4" x14ac:dyDescent="0.2">
      <c r="A28494" t="s">
        <v>9383</v>
      </c>
      <c r="B28494" t="str">
        <f>HYPERLINK("https://lindat.mff.cuni.cz/services/teitok/pdtc10/index.php?action=vallex&amp;frame=v-w3859f1", "poopravit (v-w3859f1)")</f>
        <v>poopravit (v-w3859f1)</v>
      </c>
    </row>
    <row r="28495" spans="1:4" x14ac:dyDescent="0.2">
      <c r="B28495" t="s">
        <v>1</v>
      </c>
    </row>
    <row r="28496" spans="1:4" x14ac:dyDescent="0.2">
      <c r="B28496" t="s">
        <v>8</v>
      </c>
    </row>
    <row r="28498" spans="1:4" x14ac:dyDescent="0.2">
      <c r="A28498" t="s">
        <v>9384</v>
      </c>
      <c r="B28498" t="str">
        <f>HYPERLINK("https://lindat.mff.cuni.cz/services/teitok/pdtc10/index.php?action=vallex&amp;frame=v-whsb_286hsa_287", "pootevřít (v-whsb_286hsa_287)")</f>
        <v>pootevřít (v-whsb_286hsa_287)</v>
      </c>
    </row>
    <row r="28499" spans="1:4" x14ac:dyDescent="0.2">
      <c r="B28499" t="s">
        <v>1</v>
      </c>
    </row>
    <row r="28500" spans="1:4" x14ac:dyDescent="0.2">
      <c r="B28500" t="s">
        <v>8</v>
      </c>
    </row>
    <row r="28502" spans="1:4" x14ac:dyDescent="0.2">
      <c r="A28502" t="s">
        <v>9385</v>
      </c>
      <c r="B28502" t="str">
        <f>HYPERLINK("https://lindat.mff.cuni.cz/services/teitok/pdtc10/index.php?action=vallex&amp;frame=v-whsa_1452hsa_1453", "pootočit (v-whsa_1452hsa_1453)")</f>
        <v>pootočit (v-whsa_1452hsa_1453)</v>
      </c>
    </row>
    <row r="28503" spans="1:4" x14ac:dyDescent="0.2">
      <c r="B28503" t="s">
        <v>1</v>
      </c>
    </row>
    <row r="28504" spans="1:4" x14ac:dyDescent="0.2">
      <c r="B28504" t="s">
        <v>8</v>
      </c>
    </row>
    <row r="28506" spans="1:4" x14ac:dyDescent="0.2">
      <c r="A28506" t="s">
        <v>9386</v>
      </c>
      <c r="B28506" t="str">
        <f>HYPERLINK("https://lindat.mff.cuni.cz/services/teitok/pdtc10/index.php?action=vallex&amp;frame=v-w3860f1", "pootáčet (v-w3860f1)")</f>
        <v>pootáčet (v-w3860f1)</v>
      </c>
    </row>
    <row r="28507" spans="1:4" x14ac:dyDescent="0.2">
      <c r="B28507" t="s">
        <v>1</v>
      </c>
      <c r="D28507" t="s">
        <v>140</v>
      </c>
    </row>
    <row r="28508" spans="1:4" x14ac:dyDescent="0.2">
      <c r="B28508" t="s">
        <v>1532</v>
      </c>
      <c r="D28508" t="s">
        <v>113</v>
      </c>
    </row>
    <row r="28510" spans="1:4" x14ac:dyDescent="0.2">
      <c r="A28510" t="s">
        <v>9387</v>
      </c>
      <c r="B28510" t="str">
        <f>HYPERLINK("https://lindat.mff.cuni.cz/services/teitok/pdtc10/index.php?action=vallex&amp;frame=v-whsa_163hsa_164", "poočišťovat (v-whsa_163hsa_164)")</f>
        <v>poočišťovat (v-whsa_163hsa_164)</v>
      </c>
    </row>
    <row r="28511" spans="1:4" x14ac:dyDescent="0.2">
      <c r="B28511" t="s">
        <v>1</v>
      </c>
    </row>
    <row r="28512" spans="1:4" x14ac:dyDescent="0.2">
      <c r="B28512" t="s">
        <v>8</v>
      </c>
    </row>
    <row r="28514" spans="1:4" x14ac:dyDescent="0.2">
      <c r="A28514" t="s">
        <v>9388</v>
      </c>
      <c r="B28514" t="str">
        <f>HYPERLINK("https://lindat.mff.cuni.cz/services/teitok/pdtc10/index.php?action=vallex&amp;frame=v-w3861f1", "popadat (v-w3861f1)")</f>
        <v>popadat (v-w3861f1)</v>
      </c>
    </row>
    <row r="28515" spans="1:4" x14ac:dyDescent="0.2">
      <c r="B28515" t="s">
        <v>1</v>
      </c>
      <c r="D28515" t="s">
        <v>230</v>
      </c>
    </row>
    <row r="28516" spans="1:4" x14ac:dyDescent="0.2">
      <c r="B28516" t="s">
        <v>8</v>
      </c>
      <c r="D28516" t="s">
        <v>9714</v>
      </c>
    </row>
    <row r="28518" spans="1:4" x14ac:dyDescent="0.2">
      <c r="A28518" t="s">
        <v>9389</v>
      </c>
      <c r="B28518" t="str">
        <f>HYPERLINK("https://lindat.mff.cuni.cz/services/teitok/pdtc10/index.php?action=vallex&amp;frame=v-w3861f3_ZU", "popadat (v-w3861f3_ZU)")</f>
        <v>popadat (v-w3861f3_ZU)</v>
      </c>
    </row>
    <row r="28519" spans="1:4" x14ac:dyDescent="0.2">
      <c r="B28519" t="s">
        <v>1</v>
      </c>
    </row>
    <row r="28521" spans="1:4" x14ac:dyDescent="0.2">
      <c r="A28521" t="s">
        <v>9389</v>
      </c>
      <c r="B28521" t="str">
        <f>HYPERLINK("https://lindat.mff.cuni.cz/services/teitok/pdtc10/index.php?action=vallex&amp;frame=v-w3861f2_ZU", "popadat (v-w3861f2_ZU) - substituted with v-w3861f3_ZU")</f>
        <v>popadat (v-w3861f2_ZU) - substituted with v-w3861f3_ZU</v>
      </c>
    </row>
    <row r="28522" spans="1:4" x14ac:dyDescent="0.2">
      <c r="B28522" t="s">
        <v>1</v>
      </c>
    </row>
    <row r="28524" spans="1:4" x14ac:dyDescent="0.2">
      <c r="A28524" t="s">
        <v>9390</v>
      </c>
      <c r="B28524" t="str">
        <f>HYPERLINK("https://lindat.mff.cuni.cz/services/teitok/pdtc10/index.php?action=vallex&amp;frame=v-w3862f1", "popadnout (v-w3862f1)")</f>
        <v>popadnout (v-w3862f1)</v>
      </c>
    </row>
    <row r="28525" spans="1:4" x14ac:dyDescent="0.2">
      <c r="B28525" t="s">
        <v>1</v>
      </c>
      <c r="C28525" t="s">
        <v>3583</v>
      </c>
      <c r="D28525" t="s">
        <v>230</v>
      </c>
    </row>
    <row r="28526" spans="1:4" x14ac:dyDescent="0.2">
      <c r="B28526" t="s">
        <v>8</v>
      </c>
      <c r="C28526" t="s">
        <v>2344</v>
      </c>
      <c r="D28526" t="s">
        <v>9714</v>
      </c>
    </row>
    <row r="28528" spans="1:4" x14ac:dyDescent="0.2">
      <c r="A28528" t="s">
        <v>9391</v>
      </c>
      <c r="B28528" t="str">
        <f>HYPERLINK("https://lindat.mff.cuni.cz/services/teitok/pdtc10/index.php?action=vallex&amp;frame=v-w3862f2", "popadnout (v-w3862f2)")</f>
        <v>popadnout (v-w3862f2)</v>
      </c>
    </row>
    <row r="28529" spans="1:4" x14ac:dyDescent="0.2">
      <c r="B28529" t="s">
        <v>9392</v>
      </c>
    </row>
    <row r="28530" spans="1:4" x14ac:dyDescent="0.2">
      <c r="B28530" t="s">
        <v>8</v>
      </c>
    </row>
    <row r="28532" spans="1:4" x14ac:dyDescent="0.2">
      <c r="A28532" t="s">
        <v>9393</v>
      </c>
      <c r="B28532" t="str">
        <f>HYPERLINK("https://lindat.mff.cuni.cz/services/teitok/pdtc10/index.php?action=vallex&amp;frame=v-w3862f3_ZU", "popadnout (v-w3862f3_ZU)")</f>
        <v>popadnout (v-w3862f3_ZU)</v>
      </c>
    </row>
    <row r="28533" spans="1:4" x14ac:dyDescent="0.2">
      <c r="B28533" t="s">
        <v>1</v>
      </c>
      <c r="C28533" t="s">
        <v>249</v>
      </c>
      <c r="D28533" t="s">
        <v>23062</v>
      </c>
    </row>
    <row r="28534" spans="1:4" x14ac:dyDescent="0.2">
      <c r="B28534" t="s">
        <v>9394</v>
      </c>
      <c r="C28534" t="s">
        <v>1114</v>
      </c>
    </row>
    <row r="28536" spans="1:4" x14ac:dyDescent="0.2">
      <c r="A28536" t="s">
        <v>9393</v>
      </c>
      <c r="B28536" t="str">
        <f>HYPERLINK("https://lindat.mff.cuni.cz/services/teitok/pdtc10/index.php?action=vallex&amp;frame=v-w3862hsa_1034", "popadnout (v-w3862hsa_1034) - substituted with v-w3862f3_ZU")</f>
        <v>popadnout (v-w3862hsa_1034) - substituted with v-w3862f3_ZU</v>
      </c>
    </row>
    <row r="28537" spans="1:4" x14ac:dyDescent="0.2">
      <c r="B28537" t="s">
        <v>1</v>
      </c>
    </row>
    <row r="28538" spans="1:4" x14ac:dyDescent="0.2">
      <c r="B28538" t="s">
        <v>9394</v>
      </c>
    </row>
    <row r="28540" spans="1:4" x14ac:dyDescent="0.2">
      <c r="A28540" t="s">
        <v>9395</v>
      </c>
      <c r="B28540" t="str">
        <f>HYPERLINK("https://lindat.mff.cuni.cz/services/teitok/pdtc10/index.php?action=vallex&amp;frame=v-w10142f2", "popichovat (v-w10142f2)")</f>
        <v>popichovat (v-w10142f2)</v>
      </c>
    </row>
    <row r="28541" spans="1:4" x14ac:dyDescent="0.2">
      <c r="B28541" t="s">
        <v>1</v>
      </c>
    </row>
    <row r="28542" spans="1:4" x14ac:dyDescent="0.2">
      <c r="B28542" t="s">
        <v>8</v>
      </c>
    </row>
    <row r="28544" spans="1:4" x14ac:dyDescent="0.2">
      <c r="A28544" t="s">
        <v>9396</v>
      </c>
      <c r="B28544" t="str">
        <f>HYPERLINK("https://lindat.mff.cuni.cz/services/teitok/pdtc10/index.php?action=vallex&amp;frame=v-w3869f2_ZU", "popisovat (v-w3869f2_ZU)")</f>
        <v>popisovat (v-w3869f2_ZU)</v>
      </c>
    </row>
    <row r="28545" spans="1:4" x14ac:dyDescent="0.2">
      <c r="B28545" t="s">
        <v>1</v>
      </c>
      <c r="C28545" t="s">
        <v>1077</v>
      </c>
      <c r="D28545" t="s">
        <v>102</v>
      </c>
    </row>
    <row r="28546" spans="1:4" x14ac:dyDescent="0.2">
      <c r="B28546" t="s">
        <v>4574</v>
      </c>
      <c r="C28546" t="s">
        <v>338</v>
      </c>
      <c r="D28546" t="s">
        <v>23046</v>
      </c>
    </row>
    <row r="28547" spans="1:4" x14ac:dyDescent="0.2">
      <c r="B28547" t="s">
        <v>78</v>
      </c>
    </row>
    <row r="28549" spans="1:4" x14ac:dyDescent="0.2">
      <c r="A28549" t="s">
        <v>9396</v>
      </c>
      <c r="B28549" t="str">
        <f>HYPERLINK("https://lindat.mff.cuni.cz/services/teitok/pdtc10/index.php?action=vallex&amp;frame=v-w3869f1", "popisovat (v-w3869f1) - substituted with v-w3869f2_ZU")</f>
        <v>popisovat (v-w3869f1) - substituted with v-w3869f2_ZU</v>
      </c>
    </row>
    <row r="28550" spans="1:4" x14ac:dyDescent="0.2">
      <c r="B28550" t="s">
        <v>1</v>
      </c>
      <c r="C28550" t="s">
        <v>8467</v>
      </c>
    </row>
    <row r="28551" spans="1:4" x14ac:dyDescent="0.2">
      <c r="B28551" t="s">
        <v>4574</v>
      </c>
      <c r="C28551" t="s">
        <v>9397</v>
      </c>
    </row>
    <row r="28552" spans="1:4" x14ac:dyDescent="0.2">
      <c r="B28552" t="s">
        <v>78</v>
      </c>
    </row>
    <row r="28554" spans="1:4" x14ac:dyDescent="0.2">
      <c r="A28554" t="s">
        <v>9396</v>
      </c>
      <c r="B28554" t="str">
        <f>HYPERLINK("https://lindat.mff.cuni.cz/services/teitok/pdtc10/index.php?action=vallex&amp;frame=v-w3869hsa_223", "popisovat (v-w3869hsa_223) - substituted with v-w3869f2_ZU")</f>
        <v>popisovat (v-w3869hsa_223) - substituted with v-w3869f2_ZU</v>
      </c>
    </row>
    <row r="28555" spans="1:4" x14ac:dyDescent="0.2">
      <c r="B28555" t="s">
        <v>1</v>
      </c>
    </row>
    <row r="28556" spans="1:4" x14ac:dyDescent="0.2">
      <c r="B28556" t="s">
        <v>4574</v>
      </c>
    </row>
    <row r="28557" spans="1:4" x14ac:dyDescent="0.2">
      <c r="B28557" t="s">
        <v>78</v>
      </c>
    </row>
    <row r="28559" spans="1:4" x14ac:dyDescent="0.2">
      <c r="A28559" t="s">
        <v>9398</v>
      </c>
      <c r="B28559" t="str">
        <f>HYPERLINK("https://lindat.mff.cuni.cz/services/teitok/pdtc10/index.php?action=vallex&amp;frame=v-w11478f1", "poplakat si (v-w11478f1)")</f>
        <v>poplakat si (v-w11478f1)</v>
      </c>
    </row>
    <row r="28560" spans="1:4" x14ac:dyDescent="0.2">
      <c r="B28560" t="s">
        <v>1</v>
      </c>
      <c r="C28560" t="s">
        <v>140</v>
      </c>
      <c r="D28560" t="s">
        <v>430</v>
      </c>
    </row>
    <row r="28562" spans="1:4" x14ac:dyDescent="0.2">
      <c r="A28562" t="s">
        <v>9399</v>
      </c>
      <c r="B28562" t="str">
        <f>HYPERLINK("https://lindat.mff.cuni.cz/services/teitok/pdtc10/index.php?action=vallex&amp;frame=v-w11981_ZUf1_ZU", "poplatit (v-w11981_ZUf1_ZU)")</f>
        <v>poplatit (v-w11981_ZUf1_ZU)</v>
      </c>
    </row>
    <row r="28563" spans="1:4" x14ac:dyDescent="0.2">
      <c r="B28563" t="s">
        <v>1</v>
      </c>
    </row>
    <row r="28564" spans="1:4" x14ac:dyDescent="0.2">
      <c r="B28564" t="s">
        <v>8</v>
      </c>
    </row>
    <row r="28566" spans="1:4" x14ac:dyDescent="0.2">
      <c r="A28566" t="s">
        <v>9400</v>
      </c>
      <c r="B28566" t="str">
        <f>HYPERLINK("https://lindat.mff.cuni.cz/services/teitok/pdtc10/index.php?action=vallex&amp;frame=v-w3874f1", "popleskat (v-w3874f1)")</f>
        <v>popleskat (v-w3874f1)</v>
      </c>
    </row>
    <row r="28567" spans="1:4" x14ac:dyDescent="0.2">
      <c r="B28567" t="s">
        <v>1</v>
      </c>
      <c r="D28567" t="s">
        <v>133</v>
      </c>
    </row>
    <row r="28568" spans="1:4" x14ac:dyDescent="0.2">
      <c r="B28568" t="s">
        <v>8</v>
      </c>
      <c r="D28568" t="s">
        <v>23</v>
      </c>
    </row>
    <row r="28570" spans="1:4" x14ac:dyDescent="0.2">
      <c r="A28570" t="s">
        <v>9401</v>
      </c>
      <c r="B28570" t="str">
        <f>HYPERLINK("https://lindat.mff.cuni.cz/services/teitok/pdtc10/index.php?action=vallex&amp;frame=v-w3879f1", "poplivat (v-w3879f1)")</f>
        <v>poplivat (v-w3879f1)</v>
      </c>
    </row>
    <row r="28571" spans="1:4" x14ac:dyDescent="0.2">
      <c r="B28571" t="s">
        <v>1</v>
      </c>
      <c r="D28571" t="s">
        <v>22964</v>
      </c>
    </row>
    <row r="28572" spans="1:4" x14ac:dyDescent="0.2">
      <c r="B28572" t="s">
        <v>8</v>
      </c>
      <c r="C28572" t="s">
        <v>34</v>
      </c>
      <c r="D28572" t="s">
        <v>1798</v>
      </c>
    </row>
    <row r="28574" spans="1:4" x14ac:dyDescent="0.2">
      <c r="A28574" t="s">
        <v>9402</v>
      </c>
      <c r="B28574" t="str">
        <f>HYPERLINK("https://lindat.mff.cuni.cz/services/teitok/pdtc10/index.php?action=vallex&amp;frame=v-whsa_18hsa_19", "poplácávat (v-whsa_18hsa_19)")</f>
        <v>poplácávat (v-whsa_18hsa_19)</v>
      </c>
    </row>
    <row r="28575" spans="1:4" x14ac:dyDescent="0.2">
      <c r="B28575" t="s">
        <v>1</v>
      </c>
      <c r="C28575" t="s">
        <v>133</v>
      </c>
      <c r="D28575" t="s">
        <v>133</v>
      </c>
    </row>
    <row r="28576" spans="1:4" x14ac:dyDescent="0.2">
      <c r="B28576" t="s">
        <v>8</v>
      </c>
      <c r="C28576" t="s">
        <v>1128</v>
      </c>
      <c r="D28576" t="s">
        <v>23</v>
      </c>
    </row>
    <row r="28578" spans="1:3" x14ac:dyDescent="0.2">
      <c r="A28578" t="s">
        <v>9403</v>
      </c>
      <c r="B28578" t="str">
        <f>HYPERLINK("https://lindat.mff.cuni.cz/services/teitok/pdtc10/index.php?action=vallex&amp;frame=v-w3875f1", "poplést (v-w3875f1)")</f>
        <v>poplést (v-w3875f1)</v>
      </c>
    </row>
    <row r="28579" spans="1:3" x14ac:dyDescent="0.2">
      <c r="B28579" t="s">
        <v>1</v>
      </c>
    </row>
    <row r="28580" spans="1:3" x14ac:dyDescent="0.2">
      <c r="B28580" t="s">
        <v>8</v>
      </c>
    </row>
    <row r="28582" spans="1:3" x14ac:dyDescent="0.2">
      <c r="A28582" t="s">
        <v>9404</v>
      </c>
      <c r="B28582" t="str">
        <f>HYPERLINK("https://lindat.mff.cuni.cz/services/teitok/pdtc10/index.php?action=vallex&amp;frame=v-w3876f1", "poplést se (v-w3876f1)")</f>
        <v>poplést se (v-w3876f1)</v>
      </c>
    </row>
    <row r="28583" spans="1:3" x14ac:dyDescent="0.2">
      <c r="B28583" t="s">
        <v>1</v>
      </c>
    </row>
    <row r="28585" spans="1:3" x14ac:dyDescent="0.2">
      <c r="A28585" t="s">
        <v>9405</v>
      </c>
      <c r="B28585" t="str">
        <f>HYPERLINK("https://lindat.mff.cuni.cz/services/teitok/pdtc10/index.php?action=vallex&amp;frame=v-w3876hsa_1180", "poplést se (v-w3876hsa_1180)")</f>
        <v>poplést se (v-w3876hsa_1180)</v>
      </c>
    </row>
    <row r="28586" spans="1:3" x14ac:dyDescent="0.2">
      <c r="B28586" t="s">
        <v>1</v>
      </c>
      <c r="C28586" t="s">
        <v>9406</v>
      </c>
    </row>
    <row r="28587" spans="1:3" x14ac:dyDescent="0.2">
      <c r="B28587" t="s">
        <v>103</v>
      </c>
      <c r="C28587" t="s">
        <v>9407</v>
      </c>
    </row>
    <row r="28589" spans="1:3" x14ac:dyDescent="0.2">
      <c r="A28589" t="s">
        <v>9408</v>
      </c>
      <c r="B28589" t="str">
        <f>HYPERLINK("https://lindat.mff.cuni.cz/services/teitok/pdtc10/index.php?action=vallex&amp;frame=v-w3877f1", "poplést si (v-w3877f1)")</f>
        <v>poplést si (v-w3877f1)</v>
      </c>
    </row>
    <row r="28590" spans="1:3" x14ac:dyDescent="0.2">
      <c r="B28590" t="s">
        <v>1</v>
      </c>
    </row>
    <row r="28591" spans="1:3" x14ac:dyDescent="0.2">
      <c r="B28591" t="s">
        <v>8</v>
      </c>
    </row>
    <row r="28592" spans="1:3" x14ac:dyDescent="0.2">
      <c r="B28592" t="s">
        <v>9409</v>
      </c>
    </row>
    <row r="28594" spans="1:4" x14ac:dyDescent="0.2">
      <c r="A28594" t="s">
        <v>9410</v>
      </c>
      <c r="B28594" t="str">
        <f>HYPERLINK("https://lindat.mff.cuni.cz/services/teitok/pdtc10/index.php?action=vallex&amp;frame=v-w11015f2", "popobíhat (v-w11015f2)")</f>
        <v>popobíhat (v-w11015f2)</v>
      </c>
    </row>
    <row r="28595" spans="1:4" x14ac:dyDescent="0.2">
      <c r="B28595" t="s">
        <v>1</v>
      </c>
      <c r="C28595" t="s">
        <v>140</v>
      </c>
      <c r="D28595" t="s">
        <v>7065</v>
      </c>
    </row>
    <row r="28597" spans="1:4" x14ac:dyDescent="0.2">
      <c r="A28597" t="s">
        <v>9411</v>
      </c>
      <c r="B28597" t="str">
        <f>HYPERLINK("https://lindat.mff.cuni.cz/services/teitok/pdtc10/index.php?action=vallex&amp;frame=v-w10829f2", "popohnat (v-w10829f2)")</f>
        <v>popohnat (v-w10829f2)</v>
      </c>
    </row>
    <row r="28598" spans="1:4" x14ac:dyDescent="0.2">
      <c r="B28598" t="s">
        <v>1</v>
      </c>
      <c r="C28598" t="s">
        <v>9412</v>
      </c>
      <c r="D28598" t="s">
        <v>23837</v>
      </c>
    </row>
    <row r="28599" spans="1:4" x14ac:dyDescent="0.2">
      <c r="B28599" t="s">
        <v>8</v>
      </c>
      <c r="C28599" t="s">
        <v>307</v>
      </c>
      <c r="D28599" t="s">
        <v>7118</v>
      </c>
    </row>
    <row r="28601" spans="1:4" x14ac:dyDescent="0.2">
      <c r="A28601" t="s">
        <v>9413</v>
      </c>
      <c r="B28601" t="str">
        <f>HYPERLINK("https://lindat.mff.cuni.cz/services/teitok/pdtc10/index.php?action=vallex&amp;frame=v-w12172_ZUf1_ZU", "popohánět (v-w12172_ZUf1_ZU)")</f>
        <v>popohánět (v-w12172_ZUf1_ZU)</v>
      </c>
    </row>
    <row r="28602" spans="1:4" x14ac:dyDescent="0.2">
      <c r="B28602" t="s">
        <v>1</v>
      </c>
    </row>
    <row r="28603" spans="1:4" x14ac:dyDescent="0.2">
      <c r="B28603" t="s">
        <v>8</v>
      </c>
    </row>
    <row r="28605" spans="1:4" x14ac:dyDescent="0.2">
      <c r="A28605" t="s">
        <v>9414</v>
      </c>
      <c r="B28605" t="str">
        <f>HYPERLINK("https://lindat.mff.cuni.cz/services/teitok/pdtc10/index.php?action=vallex&amp;frame=v-whsa_1705hsa_1706", "popojet (v-whsa_1705hsa_1706)")</f>
        <v>popojet (v-whsa_1705hsa_1706)</v>
      </c>
    </row>
    <row r="28606" spans="1:4" x14ac:dyDescent="0.2">
      <c r="B28606" t="s">
        <v>1</v>
      </c>
    </row>
    <row r="28608" spans="1:4" x14ac:dyDescent="0.2">
      <c r="A28608" t="s">
        <v>9415</v>
      </c>
      <c r="B28608" t="str">
        <f>HYPERLINK("https://lindat.mff.cuni.cz/services/teitok/pdtc10/index.php?action=vallex&amp;frame=v-whsa_1705hsa_1707", "popojet (v-whsa_1705hsa_1707)")</f>
        <v>popojet (v-whsa_1705hsa_1707)</v>
      </c>
    </row>
    <row r="28609" spans="1:4" x14ac:dyDescent="0.2">
      <c r="B28609" t="s">
        <v>1</v>
      </c>
    </row>
    <row r="28610" spans="1:4" x14ac:dyDescent="0.2">
      <c r="B28610" t="s">
        <v>90</v>
      </c>
    </row>
    <row r="28612" spans="1:4" x14ac:dyDescent="0.2">
      <c r="A28612" t="s">
        <v>9416</v>
      </c>
      <c r="B28612" t="str">
        <f>HYPERLINK("https://lindat.mff.cuni.cz/services/teitok/pdtc10/index.php?action=vallex&amp;frame=v-w10300f3", "popojít (v-w10300f3)")</f>
        <v>popojít (v-w10300f3)</v>
      </c>
    </row>
    <row r="28613" spans="1:4" x14ac:dyDescent="0.2">
      <c r="B28613" t="s">
        <v>1</v>
      </c>
      <c r="C28613" t="s">
        <v>990</v>
      </c>
      <c r="D28613" t="s">
        <v>92</v>
      </c>
    </row>
    <row r="28615" spans="1:4" x14ac:dyDescent="0.2">
      <c r="A28615" t="s">
        <v>9417</v>
      </c>
      <c r="B28615" t="str">
        <f>HYPERLINK("https://lindat.mff.cuni.cz/services/teitok/pdtc10/index.php?action=vallex&amp;frame=v-w3880f1", "popojíždět (v-w3880f1)")</f>
        <v>popojíždět (v-w3880f1)</v>
      </c>
    </row>
    <row r="28616" spans="1:4" x14ac:dyDescent="0.2">
      <c r="B28616" t="s">
        <v>1</v>
      </c>
    </row>
    <row r="28618" spans="1:4" x14ac:dyDescent="0.2">
      <c r="A28618" t="s">
        <v>9418</v>
      </c>
      <c r="B28618" t="str">
        <f>HYPERLINK("https://lindat.mff.cuni.cz/services/teitok/pdtc10/index.php?action=vallex&amp;frame=v-whsa_669hsa_670", "poponést (v-whsa_669hsa_670)")</f>
        <v>poponést (v-whsa_669hsa_670)</v>
      </c>
    </row>
    <row r="28619" spans="1:4" x14ac:dyDescent="0.2">
      <c r="B28619" t="s">
        <v>1</v>
      </c>
    </row>
    <row r="28620" spans="1:4" x14ac:dyDescent="0.2">
      <c r="B28620" t="s">
        <v>8</v>
      </c>
    </row>
    <row r="28622" spans="1:4" x14ac:dyDescent="0.2">
      <c r="A28622" t="s">
        <v>9419</v>
      </c>
      <c r="B28622" t="str">
        <f>HYPERLINK("https://lindat.mff.cuni.cz/services/teitok/pdtc10/index.php?action=vallex&amp;frame=v-w10417f2", "poporůst (v-w10417f2)")</f>
        <v>poporůst (v-w10417f2)</v>
      </c>
    </row>
    <row r="28623" spans="1:4" x14ac:dyDescent="0.2">
      <c r="B28623" t="s">
        <v>1</v>
      </c>
      <c r="D28623" t="s">
        <v>23392</v>
      </c>
    </row>
    <row r="28624" spans="1:4" x14ac:dyDescent="0.2">
      <c r="B28624" t="s">
        <v>46</v>
      </c>
      <c r="D28624" t="s">
        <v>23393</v>
      </c>
    </row>
    <row r="28625" spans="1:4" x14ac:dyDescent="0.2">
      <c r="B28625" t="s">
        <v>24</v>
      </c>
      <c r="D28625" t="s">
        <v>23394</v>
      </c>
    </row>
    <row r="28627" spans="1:4" x14ac:dyDescent="0.2">
      <c r="A28627" t="s">
        <v>9420</v>
      </c>
      <c r="B28627" t="str">
        <f>HYPERLINK("https://lindat.mff.cuni.cz/services/teitok/pdtc10/index.php?action=vallex&amp;frame=v-whsa_224hsa_225", "popouzet (v-whsa_224hsa_225)")</f>
        <v>popouzet (v-whsa_224hsa_225)</v>
      </c>
    </row>
    <row r="28628" spans="1:4" x14ac:dyDescent="0.2">
      <c r="B28628" t="s">
        <v>1</v>
      </c>
      <c r="C28628" t="s">
        <v>33</v>
      </c>
      <c r="D28628" t="s">
        <v>337</v>
      </c>
    </row>
    <row r="28629" spans="1:4" x14ac:dyDescent="0.2">
      <c r="B28629" t="s">
        <v>8</v>
      </c>
      <c r="C28629" t="s">
        <v>34</v>
      </c>
      <c r="D28629" t="s">
        <v>3433</v>
      </c>
    </row>
    <row r="28631" spans="1:4" x14ac:dyDescent="0.2">
      <c r="A28631" t="s">
        <v>9421</v>
      </c>
      <c r="B28631" t="str">
        <f>HYPERLINK("https://lindat.mff.cuni.cz/services/teitok/pdtc10/index.php?action=vallex&amp;frame=v-whsa_189hsa_190", "popovézt (v-whsa_189hsa_190)")</f>
        <v>popovézt (v-whsa_189hsa_190)</v>
      </c>
    </row>
    <row r="28632" spans="1:4" x14ac:dyDescent="0.2">
      <c r="B28632" t="s">
        <v>1</v>
      </c>
    </row>
    <row r="28633" spans="1:4" x14ac:dyDescent="0.2">
      <c r="B28633" t="s">
        <v>8</v>
      </c>
    </row>
    <row r="28635" spans="1:4" x14ac:dyDescent="0.2">
      <c r="A28635" t="s">
        <v>9422</v>
      </c>
      <c r="B28635" t="str">
        <f>HYPERLINK("https://lindat.mff.cuni.cz/services/teitok/pdtc10/index.php?action=vallex&amp;frame=v-whsa_1734f1_MM", "popovídat (v-whsa_1734f1_MM)")</f>
        <v>popovídat (v-whsa_1734f1_MM)</v>
      </c>
    </row>
    <row r="28636" spans="1:4" x14ac:dyDescent="0.2">
      <c r="B28636" t="s">
        <v>1</v>
      </c>
    </row>
    <row r="28637" spans="1:4" x14ac:dyDescent="0.2">
      <c r="B28637" t="s">
        <v>35</v>
      </c>
    </row>
    <row r="28638" spans="1:4" x14ac:dyDescent="0.2">
      <c r="B28638" t="s">
        <v>4749</v>
      </c>
    </row>
    <row r="28639" spans="1:4" x14ac:dyDescent="0.2">
      <c r="B28639" t="s">
        <v>269</v>
      </c>
    </row>
    <row r="28641" spans="1:4" x14ac:dyDescent="0.2">
      <c r="A28641" t="s">
        <v>9423</v>
      </c>
      <c r="B28641" t="str">
        <f>HYPERLINK("https://lindat.mff.cuni.cz/services/teitok/pdtc10/index.php?action=vallex&amp;frame=v-whsa_1734hsa_1735", "popovídat (v-whsa_1734hsa_1735)")</f>
        <v>popovídat (v-whsa_1734hsa_1735)</v>
      </c>
    </row>
    <row r="28642" spans="1:4" x14ac:dyDescent="0.2">
      <c r="B28642" t="s">
        <v>1</v>
      </c>
    </row>
    <row r="28643" spans="1:4" x14ac:dyDescent="0.2">
      <c r="B28643" t="s">
        <v>183</v>
      </c>
    </row>
    <row r="28644" spans="1:4" x14ac:dyDescent="0.2">
      <c r="B28644" t="s">
        <v>153</v>
      </c>
    </row>
    <row r="28646" spans="1:4" x14ac:dyDescent="0.2">
      <c r="A28646" t="s">
        <v>9424</v>
      </c>
      <c r="B28646" t="str">
        <f>HYPERLINK("https://lindat.mff.cuni.cz/services/teitok/pdtc10/index.php?action=vallex&amp;frame=v-w3881f1", "popovídat si (v-w3881f1)")</f>
        <v>popovídat si (v-w3881f1)</v>
      </c>
    </row>
    <row r="28647" spans="1:4" x14ac:dyDescent="0.2">
      <c r="B28647" t="s">
        <v>1</v>
      </c>
      <c r="C28647" t="s">
        <v>1232</v>
      </c>
      <c r="D28647" t="s">
        <v>22973</v>
      </c>
    </row>
    <row r="28648" spans="1:4" x14ac:dyDescent="0.2">
      <c r="B28648" t="s">
        <v>183</v>
      </c>
      <c r="C28648" t="s">
        <v>1681</v>
      </c>
      <c r="D28648" t="s">
        <v>22974</v>
      </c>
    </row>
    <row r="28649" spans="1:4" x14ac:dyDescent="0.2">
      <c r="B28649" t="s">
        <v>153</v>
      </c>
      <c r="C28649" t="s">
        <v>156</v>
      </c>
      <c r="D28649" t="s">
        <v>22975</v>
      </c>
    </row>
    <row r="28651" spans="1:4" x14ac:dyDescent="0.2">
      <c r="A28651" t="s">
        <v>9425</v>
      </c>
      <c r="B28651" t="str">
        <f>HYPERLINK("https://lindat.mff.cuni.cz/services/teitok/pdtc10/index.php?action=vallex&amp;frame=v-w3881f2", "popovídat si (v-w3881f2)")</f>
        <v>popovídat si (v-w3881f2)</v>
      </c>
    </row>
    <row r="28652" spans="1:4" x14ac:dyDescent="0.2">
      <c r="B28652" t="s">
        <v>1</v>
      </c>
    </row>
    <row r="28653" spans="1:4" x14ac:dyDescent="0.2">
      <c r="B28653" t="s">
        <v>153</v>
      </c>
    </row>
    <row r="28654" spans="1:4" x14ac:dyDescent="0.2">
      <c r="B28654" t="s">
        <v>4742</v>
      </c>
    </row>
    <row r="28655" spans="1:4" x14ac:dyDescent="0.2">
      <c r="B28655" t="s">
        <v>269</v>
      </c>
    </row>
    <row r="28657" spans="1:4" x14ac:dyDescent="0.2">
      <c r="A28657" t="s">
        <v>9426</v>
      </c>
      <c r="B28657" t="str">
        <f>HYPERLINK("https://lindat.mff.cuni.cz/services/teitok/pdtc10/index.php?action=vallex&amp;frame=v-w10697f2", "popraskat (v-w10697f2)")</f>
        <v>popraskat (v-w10697f2)</v>
      </c>
    </row>
    <row r="28658" spans="1:4" x14ac:dyDescent="0.2">
      <c r="B28658" t="s">
        <v>1</v>
      </c>
    </row>
    <row r="28659" spans="1:4" x14ac:dyDescent="0.2">
      <c r="B28659" t="s">
        <v>8</v>
      </c>
    </row>
    <row r="28661" spans="1:4" x14ac:dyDescent="0.2">
      <c r="A28661" t="s">
        <v>9427</v>
      </c>
      <c r="B28661" t="str">
        <f>HYPERLINK("https://lindat.mff.cuni.cz/services/teitok/pdtc10/index.php?action=vallex&amp;frame=v-w10697hsa_313", "popraskat (v-w10697hsa_313)")</f>
        <v>popraskat (v-w10697hsa_313)</v>
      </c>
    </row>
    <row r="28662" spans="1:4" x14ac:dyDescent="0.2">
      <c r="B28662" t="s">
        <v>1</v>
      </c>
      <c r="C28662" t="s">
        <v>1168</v>
      </c>
      <c r="D28662" t="s">
        <v>9773</v>
      </c>
    </row>
    <row r="28664" spans="1:4" x14ac:dyDescent="0.2">
      <c r="A28664" t="s">
        <v>9428</v>
      </c>
      <c r="B28664" t="str">
        <f>HYPERLINK("https://lindat.mff.cuni.cz/services/teitok/pdtc10/index.php?action=vallex&amp;frame=v-w3882f1", "poprat se (v-w3882f1)")</f>
        <v>poprat se (v-w3882f1)</v>
      </c>
    </row>
    <row r="28665" spans="1:4" x14ac:dyDescent="0.2">
      <c r="B28665" t="s">
        <v>1</v>
      </c>
    </row>
    <row r="28666" spans="1:4" x14ac:dyDescent="0.2">
      <c r="B28666" t="s">
        <v>153</v>
      </c>
    </row>
    <row r="28667" spans="1:4" x14ac:dyDescent="0.2">
      <c r="B28667" t="s">
        <v>2287</v>
      </c>
    </row>
    <row r="28669" spans="1:4" x14ac:dyDescent="0.2">
      <c r="A28669" t="s">
        <v>9429</v>
      </c>
      <c r="B28669" t="str">
        <f>HYPERLINK("https://lindat.mff.cuni.cz/services/teitok/pdtc10/index.php?action=vallex&amp;frame=v-w3884f1", "popravit (v-w3884f1)")</f>
        <v>popravit (v-w3884f1)</v>
      </c>
    </row>
    <row r="28670" spans="1:4" x14ac:dyDescent="0.2">
      <c r="B28670" t="s">
        <v>1</v>
      </c>
      <c r="D28670" t="s">
        <v>11295</v>
      </c>
    </row>
    <row r="28671" spans="1:4" x14ac:dyDescent="0.2">
      <c r="B28671" t="s">
        <v>8</v>
      </c>
      <c r="C28671" t="s">
        <v>34</v>
      </c>
      <c r="D28671" t="s">
        <v>13639</v>
      </c>
    </row>
    <row r="28673" spans="1:4" x14ac:dyDescent="0.2">
      <c r="A28673" t="s">
        <v>9430</v>
      </c>
      <c r="B28673" t="str">
        <f>HYPERLINK("https://lindat.mff.cuni.cz/services/teitok/pdtc10/index.php?action=vallex&amp;frame=v-w3885f1", "poprosit (v-w3885f1)")</f>
        <v>poprosit (v-w3885f1)</v>
      </c>
    </row>
    <row r="28674" spans="1:4" x14ac:dyDescent="0.2">
      <c r="B28674" t="s">
        <v>1</v>
      </c>
      <c r="D28674" t="s">
        <v>23483</v>
      </c>
    </row>
    <row r="28675" spans="1:4" x14ac:dyDescent="0.2">
      <c r="B28675" t="s">
        <v>9431</v>
      </c>
      <c r="D28675" t="s">
        <v>23484</v>
      </c>
    </row>
    <row r="28676" spans="1:4" x14ac:dyDescent="0.2">
      <c r="B28676" t="s">
        <v>58</v>
      </c>
      <c r="D28676" t="s">
        <v>23838</v>
      </c>
    </row>
    <row r="28678" spans="1:4" x14ac:dyDescent="0.2">
      <c r="A28678" t="s">
        <v>9432</v>
      </c>
      <c r="B28678" t="str">
        <f>HYPERLINK("https://lindat.mff.cuni.cz/services/teitok/pdtc10/index.php?action=vallex&amp;frame=v-w3891f2", "popsat (v-w3891f2)")</f>
        <v>popsat (v-w3891f2)</v>
      </c>
    </row>
    <row r="28679" spans="1:4" x14ac:dyDescent="0.2">
      <c r="B28679" t="s">
        <v>1</v>
      </c>
      <c r="C28679" t="s">
        <v>3637</v>
      </c>
      <c r="D28679" t="s">
        <v>23465</v>
      </c>
    </row>
    <row r="28680" spans="1:4" x14ac:dyDescent="0.2">
      <c r="B28680" t="s">
        <v>124</v>
      </c>
      <c r="C28680" t="s">
        <v>2253</v>
      </c>
      <c r="D28680" t="s">
        <v>23466</v>
      </c>
    </row>
    <row r="28681" spans="1:4" x14ac:dyDescent="0.2">
      <c r="B28681" t="s">
        <v>78</v>
      </c>
      <c r="D28681" t="s">
        <v>18432</v>
      </c>
    </row>
    <row r="28683" spans="1:4" x14ac:dyDescent="0.2">
      <c r="A28683" t="s">
        <v>9433</v>
      </c>
      <c r="B28683" t="str">
        <f>HYPERLINK("https://lindat.mff.cuni.cz/services/teitok/pdtc10/index.php?action=vallex&amp;frame=v-w3891f1", "popsat (v-w3891f1)")</f>
        <v>popsat (v-w3891f1)</v>
      </c>
    </row>
    <row r="28684" spans="1:4" x14ac:dyDescent="0.2">
      <c r="B28684" t="s">
        <v>1</v>
      </c>
      <c r="C28684" t="s">
        <v>2353</v>
      </c>
      <c r="D28684" t="s">
        <v>102</v>
      </c>
    </row>
    <row r="28685" spans="1:4" x14ac:dyDescent="0.2">
      <c r="B28685" t="s">
        <v>8</v>
      </c>
      <c r="C28685" t="s">
        <v>2747</v>
      </c>
      <c r="D28685" t="s">
        <v>23046</v>
      </c>
    </row>
    <row r="28687" spans="1:4" x14ac:dyDescent="0.2">
      <c r="A28687" t="s">
        <v>9434</v>
      </c>
      <c r="B28687" t="str">
        <f>HYPERLINK("https://lindat.mff.cuni.cz/services/teitok/pdtc10/index.php?action=vallex&amp;frame=v-w3891f3", "popsat (v-w3891f3)")</f>
        <v>popsat (v-w3891f3)</v>
      </c>
    </row>
    <row r="28688" spans="1:4" x14ac:dyDescent="0.2">
      <c r="B28688" t="s">
        <v>1</v>
      </c>
      <c r="D28688" t="s">
        <v>33</v>
      </c>
    </row>
    <row r="28689" spans="1:4" x14ac:dyDescent="0.2">
      <c r="B28689" t="s">
        <v>8</v>
      </c>
      <c r="D28689" t="s">
        <v>8366</v>
      </c>
    </row>
    <row r="28691" spans="1:4" x14ac:dyDescent="0.2">
      <c r="A28691" t="s">
        <v>9435</v>
      </c>
      <c r="B28691" t="str">
        <f>HYPERLINK("https://lindat.mff.cuni.cz/services/teitok/pdtc10/index.php?action=vallex&amp;frame=v-w11007f2", "poptávat (v-w11007f2)")</f>
        <v>poptávat (v-w11007f2)</v>
      </c>
    </row>
    <row r="28692" spans="1:4" x14ac:dyDescent="0.2">
      <c r="B28692" t="s">
        <v>1</v>
      </c>
      <c r="C28692" t="s">
        <v>4667</v>
      </c>
      <c r="D28692" t="s">
        <v>23839</v>
      </c>
    </row>
    <row r="28693" spans="1:4" x14ac:dyDescent="0.2">
      <c r="B28693" t="s">
        <v>8</v>
      </c>
      <c r="C28693" t="s">
        <v>4668</v>
      </c>
      <c r="D28693" t="s">
        <v>23840</v>
      </c>
    </row>
    <row r="28695" spans="1:4" x14ac:dyDescent="0.2">
      <c r="A28695" t="s">
        <v>9436</v>
      </c>
      <c r="B28695" t="str">
        <f>HYPERLINK("https://lindat.mff.cuni.cz/services/teitok/pdtc10/index.php?action=vallex&amp;frame=v-w3894f2", "popudit (v-w3894f2)")</f>
        <v>popudit (v-w3894f2)</v>
      </c>
    </row>
    <row r="28696" spans="1:4" x14ac:dyDescent="0.2">
      <c r="B28696" t="s">
        <v>1</v>
      </c>
    </row>
    <row r="28697" spans="1:4" x14ac:dyDescent="0.2">
      <c r="B28697" t="s">
        <v>8840</v>
      </c>
    </row>
    <row r="28698" spans="1:4" x14ac:dyDescent="0.2">
      <c r="B28698" t="s">
        <v>58</v>
      </c>
    </row>
    <row r="28700" spans="1:4" x14ac:dyDescent="0.2">
      <c r="A28700" t="s">
        <v>9437</v>
      </c>
      <c r="B28700" t="str">
        <f>HYPERLINK("https://lindat.mff.cuni.cz/services/teitok/pdtc10/index.php?action=vallex&amp;frame=v-w3894f1", "popudit (v-w3894f1)")</f>
        <v>popudit (v-w3894f1)</v>
      </c>
    </row>
    <row r="28701" spans="1:4" x14ac:dyDescent="0.2">
      <c r="B28701" t="s">
        <v>1</v>
      </c>
      <c r="C28701" t="s">
        <v>2239</v>
      </c>
      <c r="D28701" t="s">
        <v>140</v>
      </c>
    </row>
    <row r="28702" spans="1:4" x14ac:dyDescent="0.2">
      <c r="B28702" t="s">
        <v>3788</v>
      </c>
      <c r="D28702" t="s">
        <v>1301</v>
      </c>
    </row>
    <row r="28703" spans="1:4" x14ac:dyDescent="0.2">
      <c r="B28703" t="s">
        <v>58</v>
      </c>
      <c r="C28703" t="s">
        <v>6971</v>
      </c>
      <c r="D28703" t="s">
        <v>2810</v>
      </c>
    </row>
    <row r="28705" spans="1:4" x14ac:dyDescent="0.2">
      <c r="A28705" t="s">
        <v>9438</v>
      </c>
      <c r="B28705" t="str">
        <f>HYPERLINK("https://lindat.mff.cuni.cz/services/teitok/pdtc10/index.php?action=vallex&amp;frame=v-w3894f3", "popudit (v-w3894f3)")</f>
        <v>popudit (v-w3894f3)</v>
      </c>
    </row>
    <row r="28706" spans="1:4" x14ac:dyDescent="0.2">
      <c r="B28706" t="s">
        <v>1</v>
      </c>
      <c r="C28706" t="s">
        <v>83</v>
      </c>
      <c r="D28706" t="s">
        <v>337</v>
      </c>
    </row>
    <row r="28707" spans="1:4" x14ac:dyDescent="0.2">
      <c r="B28707" t="s">
        <v>8</v>
      </c>
      <c r="C28707" t="s">
        <v>34</v>
      </c>
      <c r="D28707" t="s">
        <v>3433</v>
      </c>
    </row>
    <row r="28709" spans="1:4" x14ac:dyDescent="0.2">
      <c r="A28709" t="s">
        <v>9439</v>
      </c>
      <c r="B28709" t="str">
        <f>HYPERLINK("https://lindat.mff.cuni.cz/services/teitok/pdtc10/index.php?action=vallex&amp;frame=v-w3896f1", "popularizovat (v-w3896f1)")</f>
        <v>popularizovat (v-w3896f1)</v>
      </c>
    </row>
    <row r="28710" spans="1:4" x14ac:dyDescent="0.2">
      <c r="B28710" t="s">
        <v>1</v>
      </c>
      <c r="C28710" t="s">
        <v>140</v>
      </c>
      <c r="D28710" t="s">
        <v>115</v>
      </c>
    </row>
    <row r="28711" spans="1:4" x14ac:dyDescent="0.2">
      <c r="B28711" t="s">
        <v>8</v>
      </c>
      <c r="C28711" t="s">
        <v>113</v>
      </c>
      <c r="D28711" t="s">
        <v>2402</v>
      </c>
    </row>
    <row r="28713" spans="1:4" x14ac:dyDescent="0.2">
      <c r="A28713" t="s">
        <v>9440</v>
      </c>
      <c r="B28713" t="str">
        <f>HYPERLINK("https://lindat.mff.cuni.cz/services/teitok/pdtc10/index.php?action=vallex&amp;frame=v-w3898f1", "poputovat (v-w3898f1)")</f>
        <v>poputovat (v-w3898f1)</v>
      </c>
    </row>
    <row r="28714" spans="1:4" x14ac:dyDescent="0.2">
      <c r="B28714" t="s">
        <v>1</v>
      </c>
    </row>
    <row r="28716" spans="1:4" x14ac:dyDescent="0.2">
      <c r="A28716" t="s">
        <v>9441</v>
      </c>
      <c r="B28716" t="str">
        <f>HYPERLINK("https://lindat.mff.cuni.cz/services/teitok/pdtc10/index.php?action=vallex&amp;frame=v-whsa_648hsa_649", "popuzovat (v-whsa_648hsa_649)")</f>
        <v>popuzovat (v-whsa_648hsa_649)</v>
      </c>
    </row>
    <row r="28717" spans="1:4" x14ac:dyDescent="0.2">
      <c r="B28717" t="s">
        <v>1</v>
      </c>
      <c r="C28717" t="s">
        <v>140</v>
      </c>
      <c r="D28717" t="s">
        <v>337</v>
      </c>
    </row>
    <row r="28718" spans="1:4" x14ac:dyDescent="0.2">
      <c r="B28718" t="s">
        <v>8</v>
      </c>
      <c r="C28718" t="s">
        <v>34</v>
      </c>
      <c r="D28718" t="s">
        <v>3433</v>
      </c>
    </row>
    <row r="28720" spans="1:4" x14ac:dyDescent="0.2">
      <c r="A28720" t="s">
        <v>9442</v>
      </c>
      <c r="B28720" t="str">
        <f>HYPERLINK("https://lindat.mff.cuni.cz/services/teitok/pdtc10/index.php?action=vallex&amp;frame=v-whsa_1624hsa_1625", "popálit (v-whsa_1624hsa_1625)")</f>
        <v>popálit (v-whsa_1624hsa_1625)</v>
      </c>
    </row>
    <row r="28721" spans="1:4" x14ac:dyDescent="0.2">
      <c r="B28721" t="s">
        <v>1</v>
      </c>
    </row>
    <row r="28722" spans="1:4" x14ac:dyDescent="0.2">
      <c r="B28722" t="s">
        <v>8</v>
      </c>
    </row>
    <row r="28724" spans="1:4" x14ac:dyDescent="0.2">
      <c r="A28724" t="s">
        <v>9443</v>
      </c>
      <c r="B28724" t="str">
        <f>HYPERLINK("https://lindat.mff.cuni.cz/services/teitok/pdtc10/index.php?action=vallex&amp;frame=v-w3864f1", "popásat (v-w3864f1)")</f>
        <v>popásat (v-w3864f1)</v>
      </c>
    </row>
    <row r="28725" spans="1:4" x14ac:dyDescent="0.2">
      <c r="B28725" t="s">
        <v>1</v>
      </c>
    </row>
    <row r="28727" spans="1:4" x14ac:dyDescent="0.2">
      <c r="A28727" t="s">
        <v>9444</v>
      </c>
      <c r="B28727" t="str">
        <f>HYPERLINK("https://lindat.mff.cuni.cz/services/teitok/pdtc10/index.php?action=vallex&amp;frame=v-w10889f2", "popíchnout (v-w10889f2)")</f>
        <v>popíchnout (v-w10889f2)</v>
      </c>
    </row>
    <row r="28728" spans="1:4" x14ac:dyDescent="0.2">
      <c r="B28728" t="s">
        <v>1</v>
      </c>
    </row>
    <row r="28729" spans="1:4" x14ac:dyDescent="0.2">
      <c r="B28729" t="s">
        <v>8</v>
      </c>
    </row>
    <row r="28731" spans="1:4" x14ac:dyDescent="0.2">
      <c r="A28731" t="s">
        <v>9445</v>
      </c>
      <c r="B28731" t="str">
        <f>HYPERLINK("https://lindat.mff.cuni.cz/services/teitok/pdtc10/index.php?action=vallex&amp;frame=v-w3866f1", "popíjet (v-w3866f1)")</f>
        <v>popíjet (v-w3866f1)</v>
      </c>
    </row>
    <row r="28732" spans="1:4" x14ac:dyDescent="0.2">
      <c r="B28732" t="s">
        <v>1</v>
      </c>
      <c r="C28732" t="s">
        <v>2239</v>
      </c>
      <c r="D28732" t="s">
        <v>373</v>
      </c>
    </row>
    <row r="28733" spans="1:4" x14ac:dyDescent="0.2">
      <c r="B28733" t="s">
        <v>8</v>
      </c>
      <c r="C28733" t="s">
        <v>1044</v>
      </c>
      <c r="D28733" t="s">
        <v>54</v>
      </c>
    </row>
    <row r="28735" spans="1:4" x14ac:dyDescent="0.2">
      <c r="A28735" t="s">
        <v>9446</v>
      </c>
      <c r="B28735" t="str">
        <f>HYPERLINK("https://lindat.mff.cuni.cz/services/teitok/pdtc10/index.php?action=vallex&amp;frame=v-w3867f1", "popírat (v-w3867f1)")</f>
        <v>popírat (v-w3867f1)</v>
      </c>
    </row>
    <row r="28736" spans="1:4" x14ac:dyDescent="0.2">
      <c r="B28736" t="s">
        <v>1</v>
      </c>
      <c r="C28736" t="s">
        <v>9447</v>
      </c>
      <c r="D28736" t="s">
        <v>22989</v>
      </c>
    </row>
    <row r="28737" spans="1:4" x14ac:dyDescent="0.2">
      <c r="B28737" t="s">
        <v>124</v>
      </c>
      <c r="C28737" t="s">
        <v>9448</v>
      </c>
      <c r="D28737" t="s">
        <v>22990</v>
      </c>
    </row>
    <row r="28739" spans="1:4" x14ac:dyDescent="0.2">
      <c r="A28739" t="s">
        <v>9449</v>
      </c>
      <c r="B28739" t="str">
        <f>HYPERLINK("https://lindat.mff.cuni.cz/services/teitok/pdtc10/index.php?action=vallex&amp;frame=v-w12330_MMf1_MM", "popít (v-w12330_MMf1_MM)")</f>
        <v>popít (v-w12330_MMf1_MM)</v>
      </c>
    </row>
    <row r="28740" spans="1:4" x14ac:dyDescent="0.2">
      <c r="B28740" t="s">
        <v>1</v>
      </c>
    </row>
    <row r="28741" spans="1:4" x14ac:dyDescent="0.2">
      <c r="B28741" t="s">
        <v>8</v>
      </c>
    </row>
    <row r="28743" spans="1:4" x14ac:dyDescent="0.2">
      <c r="A28743" t="s">
        <v>9450</v>
      </c>
      <c r="B28743" t="str">
        <f>HYPERLINK("https://lindat.mff.cuni.cz/services/teitok/pdtc10/index.php?action=vallex&amp;frame=v-whsa_1560hsa_1561", "popít si (v-whsa_1560hsa_1561)")</f>
        <v>popít si (v-whsa_1560hsa_1561)</v>
      </c>
    </row>
    <row r="28744" spans="1:4" x14ac:dyDescent="0.2">
      <c r="B28744" t="s">
        <v>1</v>
      </c>
    </row>
    <row r="28745" spans="1:4" x14ac:dyDescent="0.2">
      <c r="B28745" t="s">
        <v>220</v>
      </c>
    </row>
    <row r="28747" spans="1:4" x14ac:dyDescent="0.2">
      <c r="A28747" t="s">
        <v>9451</v>
      </c>
      <c r="B28747" t="str">
        <f>HYPERLINK("https://lindat.mff.cuni.cz/services/teitok/pdtc10/index.php?action=vallex&amp;frame=v-w3888f1", "popřemýšlet (v-w3888f1)")</f>
        <v>popřemýšlet (v-w3888f1)</v>
      </c>
    </row>
    <row r="28748" spans="1:4" x14ac:dyDescent="0.2">
      <c r="B28748" t="s">
        <v>1</v>
      </c>
    </row>
    <row r="28749" spans="1:4" x14ac:dyDescent="0.2">
      <c r="B28749" t="s">
        <v>2469</v>
      </c>
    </row>
    <row r="28751" spans="1:4" x14ac:dyDescent="0.2">
      <c r="A28751" t="s">
        <v>9452</v>
      </c>
      <c r="B28751" t="str">
        <f>HYPERLINK("https://lindat.mff.cuni.cz/services/teitok/pdtc10/index.php?action=vallex&amp;frame=v-w3886f1", "popřát (v-w3886f1)")</f>
        <v>popřát (v-w3886f1)</v>
      </c>
    </row>
    <row r="28752" spans="1:4" x14ac:dyDescent="0.2">
      <c r="B28752" t="s">
        <v>1</v>
      </c>
    </row>
    <row r="28753" spans="1:4" x14ac:dyDescent="0.2">
      <c r="B28753" t="s">
        <v>9453</v>
      </c>
    </row>
    <row r="28754" spans="1:4" x14ac:dyDescent="0.2">
      <c r="B28754" t="s">
        <v>35</v>
      </c>
    </row>
    <row r="28756" spans="1:4" x14ac:dyDescent="0.2">
      <c r="A28756" t="s">
        <v>9454</v>
      </c>
      <c r="B28756" t="str">
        <f>HYPERLINK("https://lindat.mff.cuni.cz/services/teitok/pdtc10/index.php?action=vallex&amp;frame=v-w3887f1", "popřávat (v-w3887f1)")</f>
        <v>popřávat (v-w3887f1)</v>
      </c>
    </row>
    <row r="28757" spans="1:4" x14ac:dyDescent="0.2">
      <c r="B28757" t="s">
        <v>1</v>
      </c>
    </row>
    <row r="28758" spans="1:4" x14ac:dyDescent="0.2">
      <c r="B28758" t="s">
        <v>9455</v>
      </c>
    </row>
    <row r="28759" spans="1:4" x14ac:dyDescent="0.2">
      <c r="B28759" t="s">
        <v>103</v>
      </c>
    </row>
    <row r="28761" spans="1:4" x14ac:dyDescent="0.2">
      <c r="A28761" t="s">
        <v>9456</v>
      </c>
      <c r="B28761" t="str">
        <f>HYPERLINK("https://lindat.mff.cuni.cz/services/teitok/pdtc10/index.php?action=vallex&amp;frame=v-w3890f1", "popřít (v-w3890f1)")</f>
        <v>popřít (v-w3890f1)</v>
      </c>
    </row>
    <row r="28762" spans="1:4" x14ac:dyDescent="0.2">
      <c r="B28762" t="s">
        <v>1</v>
      </c>
      <c r="C28762" t="s">
        <v>9457</v>
      </c>
      <c r="D28762" t="s">
        <v>22989</v>
      </c>
    </row>
    <row r="28763" spans="1:4" x14ac:dyDescent="0.2">
      <c r="B28763" t="s">
        <v>124</v>
      </c>
      <c r="C28763" t="s">
        <v>9458</v>
      </c>
      <c r="D28763" t="s">
        <v>22990</v>
      </c>
    </row>
    <row r="28765" spans="1:4" x14ac:dyDescent="0.2">
      <c r="A28765" t="s">
        <v>9459</v>
      </c>
      <c r="B28765" t="str">
        <f>HYPERLINK("https://lindat.mff.cuni.cz/services/teitok/pdtc10/index.php?action=vallex&amp;frame=v-w3902f1", "poradit (v-w3902f1)")</f>
        <v>poradit (v-w3902f1)</v>
      </c>
    </row>
    <row r="28766" spans="1:4" x14ac:dyDescent="0.2">
      <c r="B28766" t="s">
        <v>1</v>
      </c>
      <c r="C28766" t="s">
        <v>9460</v>
      </c>
      <c r="D28766" t="s">
        <v>4958</v>
      </c>
    </row>
    <row r="28767" spans="1:4" x14ac:dyDescent="0.2">
      <c r="B28767" t="s">
        <v>9461</v>
      </c>
      <c r="C28767" t="s">
        <v>9462</v>
      </c>
      <c r="D28767" t="s">
        <v>23172</v>
      </c>
    </row>
    <row r="28768" spans="1:4" x14ac:dyDescent="0.2">
      <c r="B28768" t="s">
        <v>35</v>
      </c>
      <c r="C28768" t="s">
        <v>9463</v>
      </c>
      <c r="D28768" t="s">
        <v>23173</v>
      </c>
    </row>
    <row r="28770" spans="1:4" x14ac:dyDescent="0.2">
      <c r="A28770" t="s">
        <v>9464</v>
      </c>
      <c r="B28770" t="str">
        <f>HYPERLINK("https://lindat.mff.cuni.cz/services/teitok/pdtc10/index.php?action=vallex&amp;frame=v-w3903f1", "poradit se (v-w3903f1)")</f>
        <v>poradit se (v-w3903f1)</v>
      </c>
    </row>
    <row r="28771" spans="1:4" x14ac:dyDescent="0.2">
      <c r="B28771" t="s">
        <v>1</v>
      </c>
      <c r="C28771" t="s">
        <v>1504</v>
      </c>
      <c r="D28771" t="s">
        <v>22973</v>
      </c>
    </row>
    <row r="28772" spans="1:4" x14ac:dyDescent="0.2">
      <c r="B28772" t="s">
        <v>153</v>
      </c>
      <c r="D28772" t="s">
        <v>22975</v>
      </c>
    </row>
    <row r="28773" spans="1:4" x14ac:dyDescent="0.2">
      <c r="B28773" t="s">
        <v>269</v>
      </c>
      <c r="C28773" t="s">
        <v>44</v>
      </c>
      <c r="D28773" t="s">
        <v>22974</v>
      </c>
    </row>
    <row r="28775" spans="1:4" x14ac:dyDescent="0.2">
      <c r="A28775" t="s">
        <v>9465</v>
      </c>
      <c r="B28775" t="str">
        <f>HYPERLINK("https://lindat.mff.cuni.cz/services/teitok/pdtc10/index.php?action=vallex&amp;frame=v-w3904f2_ZU", "poradit si (v-w3904f2_ZU)")</f>
        <v>poradit si (v-w3904f2_ZU)</v>
      </c>
    </row>
    <row r="28776" spans="1:4" x14ac:dyDescent="0.2">
      <c r="B28776" t="s">
        <v>1</v>
      </c>
    </row>
    <row r="28777" spans="1:4" x14ac:dyDescent="0.2">
      <c r="B28777" t="s">
        <v>9466</v>
      </c>
    </row>
    <row r="28779" spans="1:4" x14ac:dyDescent="0.2">
      <c r="A28779" t="s">
        <v>9465</v>
      </c>
      <c r="B28779" t="str">
        <f>HYPERLINK("https://lindat.mff.cuni.cz/services/teitok/pdtc10/index.php?action=vallex&amp;frame=v-w3904f1", "poradit si (v-w3904f1) - substituted with v-w3904f2_ZU")</f>
        <v>poradit si (v-w3904f1) - substituted with v-w3904f2_ZU</v>
      </c>
    </row>
    <row r="28780" spans="1:4" x14ac:dyDescent="0.2">
      <c r="B28780" t="s">
        <v>1</v>
      </c>
      <c r="C28780" t="s">
        <v>5659</v>
      </c>
      <c r="D28780" t="s">
        <v>430</v>
      </c>
    </row>
    <row r="28781" spans="1:4" x14ac:dyDescent="0.2">
      <c r="B28781" t="s">
        <v>9466</v>
      </c>
      <c r="C28781" t="s">
        <v>9467</v>
      </c>
      <c r="D28781" t="s">
        <v>1128</v>
      </c>
    </row>
    <row r="28783" spans="1:4" x14ac:dyDescent="0.2">
      <c r="A28783" t="s">
        <v>9468</v>
      </c>
      <c r="B28783" t="str">
        <f>HYPERLINK("https://lindat.mff.cuni.cz/services/teitok/pdtc10/index.php?action=vallex&amp;frame=v-w3907f2_ZU", "poranit (v-w3907f2_ZU)")</f>
        <v>poranit (v-w3907f2_ZU)</v>
      </c>
    </row>
    <row r="28784" spans="1:4" x14ac:dyDescent="0.2">
      <c r="B28784" t="s">
        <v>1</v>
      </c>
    </row>
    <row r="28785" spans="1:4" x14ac:dyDescent="0.2">
      <c r="B28785" t="s">
        <v>8</v>
      </c>
    </row>
    <row r="28787" spans="1:4" x14ac:dyDescent="0.2">
      <c r="A28787" t="s">
        <v>9468</v>
      </c>
      <c r="B28787" t="str">
        <f>HYPERLINK("https://lindat.mff.cuni.cz/services/teitok/pdtc10/index.php?action=vallex&amp;frame=v-w3907f1", "poranit (v-w3907f1) - substituted with v-w3907f2_ZU")</f>
        <v>poranit (v-w3907f1) - substituted with v-w3907f2_ZU</v>
      </c>
    </row>
    <row r="28788" spans="1:4" x14ac:dyDescent="0.2">
      <c r="B28788" t="s">
        <v>1</v>
      </c>
    </row>
    <row r="28789" spans="1:4" x14ac:dyDescent="0.2">
      <c r="B28789" t="s">
        <v>8</v>
      </c>
    </row>
    <row r="28791" spans="1:4" x14ac:dyDescent="0.2">
      <c r="A28791" t="s">
        <v>9469</v>
      </c>
      <c r="B28791" t="str">
        <f>HYPERLINK("https://lindat.mff.cuni.cz/services/teitok/pdtc10/index.php?action=vallex&amp;frame=v-w3908f1", "poranit se (v-w3908f1)")</f>
        <v>poranit se (v-w3908f1)</v>
      </c>
    </row>
    <row r="28792" spans="1:4" x14ac:dyDescent="0.2">
      <c r="B28792" t="s">
        <v>1</v>
      </c>
      <c r="C28792" t="s">
        <v>83</v>
      </c>
    </row>
    <row r="28794" spans="1:4" x14ac:dyDescent="0.2">
      <c r="A28794" t="s">
        <v>9470</v>
      </c>
      <c r="B28794" t="str">
        <f>HYPERLINK("https://lindat.mff.cuni.cz/services/teitok/pdtc10/index.php?action=vallex&amp;frame=v-w3909f1", "porazit (v-w3909f1)")</f>
        <v>porazit (v-w3909f1)</v>
      </c>
    </row>
    <row r="28795" spans="1:4" x14ac:dyDescent="0.2">
      <c r="B28795" t="s">
        <v>1</v>
      </c>
      <c r="C28795" t="s">
        <v>3081</v>
      </c>
      <c r="D28795" t="s">
        <v>14822</v>
      </c>
    </row>
    <row r="28796" spans="1:4" x14ac:dyDescent="0.2">
      <c r="B28796" t="s">
        <v>8</v>
      </c>
      <c r="C28796" t="s">
        <v>4631</v>
      </c>
      <c r="D28796" t="s">
        <v>23658</v>
      </c>
    </row>
    <row r="28798" spans="1:4" x14ac:dyDescent="0.2">
      <c r="A28798" t="s">
        <v>9471</v>
      </c>
      <c r="B28798" t="str">
        <f>HYPERLINK("https://lindat.mff.cuni.cz/services/teitok/pdtc10/index.php?action=vallex&amp;frame=v-w3909f2", "porazit (v-w3909f2)")</f>
        <v>porazit (v-w3909f2)</v>
      </c>
    </row>
    <row r="28799" spans="1:4" x14ac:dyDescent="0.2">
      <c r="B28799" t="s">
        <v>1</v>
      </c>
    </row>
    <row r="28800" spans="1:4" x14ac:dyDescent="0.2">
      <c r="B28800" t="s">
        <v>8</v>
      </c>
    </row>
    <row r="28802" spans="1:4" x14ac:dyDescent="0.2">
      <c r="A28802" t="s">
        <v>9472</v>
      </c>
      <c r="B28802" t="str">
        <f>HYPERLINK("https://lindat.mff.cuni.cz/services/teitok/pdtc10/index.php?action=vallex&amp;frame=v-w3909f3", "porazit (v-w3909f3)")</f>
        <v>porazit (v-w3909f3)</v>
      </c>
    </row>
    <row r="28803" spans="1:4" x14ac:dyDescent="0.2">
      <c r="B28803" t="s">
        <v>1</v>
      </c>
      <c r="D28803" t="s">
        <v>11295</v>
      </c>
    </row>
    <row r="28804" spans="1:4" x14ac:dyDescent="0.2">
      <c r="B28804" t="s">
        <v>8</v>
      </c>
      <c r="D28804" t="s">
        <v>13639</v>
      </c>
    </row>
    <row r="28806" spans="1:4" x14ac:dyDescent="0.2">
      <c r="A28806" t="s">
        <v>9473</v>
      </c>
      <c r="B28806" t="str">
        <f>HYPERLINK("https://lindat.mff.cuni.cz/services/teitok/pdtc10/index.php?action=vallex&amp;frame=v-whsa_314f1_ZU", "porcovat (v-whsa_314f1_ZU)")</f>
        <v>porcovat (v-whsa_314f1_ZU)</v>
      </c>
    </row>
    <row r="28807" spans="1:4" x14ac:dyDescent="0.2">
      <c r="B28807" t="s">
        <v>1</v>
      </c>
    </row>
    <row r="28808" spans="1:4" x14ac:dyDescent="0.2">
      <c r="B28808" t="s">
        <v>9474</v>
      </c>
    </row>
    <row r="28810" spans="1:4" x14ac:dyDescent="0.2">
      <c r="A28810" t="s">
        <v>9473</v>
      </c>
      <c r="B28810" t="str">
        <f>HYPERLINK("https://lindat.mff.cuni.cz/services/teitok/pdtc10/index.php?action=vallex&amp;frame=v-whsa_314hsa_315", "porcovat (v-whsa_314hsa_315) - substituted with v-whsa_314f1_ZU")</f>
        <v>porcovat (v-whsa_314hsa_315) - substituted with v-whsa_314f1_ZU</v>
      </c>
    </row>
    <row r="28811" spans="1:4" x14ac:dyDescent="0.2">
      <c r="B28811" t="s">
        <v>1</v>
      </c>
    </row>
    <row r="28812" spans="1:4" x14ac:dyDescent="0.2">
      <c r="B28812" t="s">
        <v>9474</v>
      </c>
    </row>
    <row r="28814" spans="1:4" x14ac:dyDescent="0.2">
      <c r="A28814" t="s">
        <v>9475</v>
      </c>
      <c r="B28814" t="str">
        <f>HYPERLINK("https://lindat.mff.cuni.cz/services/teitok/pdtc10/index.php?action=vallex&amp;frame=v-whsa_314f2_ZU", "porcovat (v-whsa_314f2_ZU)")</f>
        <v>porcovat (v-whsa_314f2_ZU)</v>
      </c>
    </row>
    <row r="28815" spans="1:4" x14ac:dyDescent="0.2">
      <c r="B28815" t="s">
        <v>1</v>
      </c>
    </row>
    <row r="28816" spans="1:4" x14ac:dyDescent="0.2">
      <c r="B28816" t="s">
        <v>8</v>
      </c>
    </row>
    <row r="28817" spans="1:4" x14ac:dyDescent="0.2">
      <c r="B28817" t="s">
        <v>25</v>
      </c>
    </row>
    <row r="28819" spans="1:4" x14ac:dyDescent="0.2">
      <c r="A28819" t="s">
        <v>9476</v>
      </c>
      <c r="B28819" t="str">
        <f>HYPERLINK("https://lindat.mff.cuni.cz/services/teitok/pdtc10/index.php?action=vallex&amp;frame=v-w3913f1", "porodit (v-w3913f1)")</f>
        <v>porodit (v-w3913f1)</v>
      </c>
    </row>
    <row r="28820" spans="1:4" x14ac:dyDescent="0.2">
      <c r="B28820" t="s">
        <v>1</v>
      </c>
      <c r="C28820" t="s">
        <v>1086</v>
      </c>
    </row>
    <row r="28821" spans="1:4" x14ac:dyDescent="0.2">
      <c r="B28821" t="s">
        <v>8</v>
      </c>
      <c r="C28821" t="s">
        <v>1087</v>
      </c>
    </row>
    <row r="28823" spans="1:4" x14ac:dyDescent="0.2">
      <c r="A28823" t="s">
        <v>9477</v>
      </c>
      <c r="B28823" t="str">
        <f>HYPERLINK("https://lindat.mff.cuni.cz/services/teitok/pdtc10/index.php?action=vallex&amp;frame=v-w12021_ZUf1_ZU", "porouchat se (v-w12021_ZUf1_ZU)")</f>
        <v>porouchat se (v-w12021_ZUf1_ZU)</v>
      </c>
    </row>
    <row r="28824" spans="1:4" x14ac:dyDescent="0.2">
      <c r="B28824" t="s">
        <v>1</v>
      </c>
    </row>
    <row r="28826" spans="1:4" x14ac:dyDescent="0.2">
      <c r="A28826" t="s">
        <v>9478</v>
      </c>
      <c r="B28826" t="str">
        <f>HYPERLINK("https://lindat.mff.cuni.cz/services/teitok/pdtc10/index.php?action=vallex&amp;frame=v-w3916f1", "poroučet (v-w3916f1)")</f>
        <v>poroučet (v-w3916f1)</v>
      </c>
    </row>
    <row r="28827" spans="1:4" x14ac:dyDescent="0.2">
      <c r="B28827" t="s">
        <v>1</v>
      </c>
      <c r="D28827" t="s">
        <v>1992</v>
      </c>
    </row>
    <row r="28828" spans="1:4" x14ac:dyDescent="0.2">
      <c r="B28828" t="s">
        <v>1770</v>
      </c>
      <c r="D28828" t="s">
        <v>23096</v>
      </c>
    </row>
    <row r="28829" spans="1:4" x14ac:dyDescent="0.2">
      <c r="B28829" t="s">
        <v>35</v>
      </c>
      <c r="D28829" t="s">
        <v>23097</v>
      </c>
    </row>
    <row r="28831" spans="1:4" x14ac:dyDescent="0.2">
      <c r="A28831" t="s">
        <v>9479</v>
      </c>
      <c r="B28831" t="str">
        <f>HYPERLINK("https://lindat.mff.cuni.cz/services/teitok/pdtc10/index.php?action=vallex&amp;frame=v-w3918f2_ZU", "porovnat (v-w3918f2_ZU)")</f>
        <v>porovnat (v-w3918f2_ZU)</v>
      </c>
    </row>
    <row r="28832" spans="1:4" x14ac:dyDescent="0.2">
      <c r="B28832" t="s">
        <v>1</v>
      </c>
    </row>
    <row r="28833" spans="1:4" x14ac:dyDescent="0.2">
      <c r="B28833" t="s">
        <v>172</v>
      </c>
    </row>
    <row r="28834" spans="1:4" x14ac:dyDescent="0.2">
      <c r="B28834" t="s">
        <v>2604</v>
      </c>
    </row>
    <row r="28836" spans="1:4" x14ac:dyDescent="0.2">
      <c r="A28836" t="s">
        <v>9479</v>
      </c>
      <c r="B28836" t="str">
        <f>HYPERLINK("https://lindat.mff.cuni.cz/services/teitok/pdtc10/index.php?action=vallex&amp;frame=v-w3918f1", "porovnat (v-w3918f1) - substituted with v-w3918f2_ZU")</f>
        <v>porovnat (v-w3918f1) - substituted with v-w3918f2_ZU</v>
      </c>
    </row>
    <row r="28837" spans="1:4" x14ac:dyDescent="0.2">
      <c r="B28837" t="s">
        <v>1</v>
      </c>
      <c r="C28837" t="s">
        <v>2264</v>
      </c>
      <c r="D28837" t="s">
        <v>337</v>
      </c>
    </row>
    <row r="28838" spans="1:4" x14ac:dyDescent="0.2">
      <c r="B28838" t="s">
        <v>172</v>
      </c>
      <c r="C28838" t="s">
        <v>4631</v>
      </c>
      <c r="D28838" t="s">
        <v>6566</v>
      </c>
    </row>
    <row r="28839" spans="1:4" x14ac:dyDescent="0.2">
      <c r="B28839" t="s">
        <v>2604</v>
      </c>
      <c r="C28839" t="s">
        <v>9480</v>
      </c>
      <c r="D28839" t="s">
        <v>14769</v>
      </c>
    </row>
    <row r="28841" spans="1:4" x14ac:dyDescent="0.2">
      <c r="A28841" t="s">
        <v>9481</v>
      </c>
      <c r="B28841" t="str">
        <f>HYPERLINK("https://lindat.mff.cuni.cz/services/teitok/pdtc10/index.php?action=vallex&amp;frame=v-w3921f1", "porovnávat (v-w3921f1)")</f>
        <v>porovnávat (v-w3921f1)</v>
      </c>
    </row>
    <row r="28842" spans="1:4" x14ac:dyDescent="0.2">
      <c r="B28842" t="s">
        <v>1</v>
      </c>
      <c r="C28842" t="s">
        <v>337</v>
      </c>
      <c r="D28842" t="s">
        <v>337</v>
      </c>
    </row>
    <row r="28843" spans="1:4" x14ac:dyDescent="0.2">
      <c r="B28843" t="s">
        <v>8</v>
      </c>
      <c r="C28843" t="s">
        <v>3270</v>
      </c>
      <c r="D28843" t="s">
        <v>6566</v>
      </c>
    </row>
    <row r="28844" spans="1:4" x14ac:dyDescent="0.2">
      <c r="B28844" t="s">
        <v>2604</v>
      </c>
      <c r="C28844" t="s">
        <v>9482</v>
      </c>
      <c r="D28844" t="s">
        <v>14769</v>
      </c>
    </row>
    <row r="28846" spans="1:4" x14ac:dyDescent="0.2">
      <c r="A28846" t="s">
        <v>9483</v>
      </c>
      <c r="B28846" t="str">
        <f>HYPERLINK("https://lindat.mff.cuni.cz/services/teitok/pdtc10/index.php?action=vallex&amp;frame=v-w3921f2_ZU", "porovnávat (v-w3921f2_ZU)")</f>
        <v>porovnávat (v-w3921f2_ZU)</v>
      </c>
    </row>
    <row r="28847" spans="1:4" x14ac:dyDescent="0.2">
      <c r="B28847" t="s">
        <v>1</v>
      </c>
    </row>
    <row r="28848" spans="1:4" x14ac:dyDescent="0.2">
      <c r="B28848" t="s">
        <v>6464</v>
      </c>
    </row>
    <row r="28850" spans="1:4" x14ac:dyDescent="0.2">
      <c r="A28850" t="s">
        <v>9483</v>
      </c>
      <c r="B28850" t="str">
        <f>HYPERLINK("https://lindat.mff.cuni.cz/services/teitok/pdtc10/index.php?action=vallex&amp;frame=v-w3921hsa_1516", "porovnávat (v-w3921hsa_1516) - substituted with v-w3921f2_ZU")</f>
        <v>porovnávat (v-w3921hsa_1516) - substituted with v-w3921f2_ZU</v>
      </c>
    </row>
    <row r="28851" spans="1:4" x14ac:dyDescent="0.2">
      <c r="B28851" t="s">
        <v>1</v>
      </c>
    </row>
    <row r="28852" spans="1:4" x14ac:dyDescent="0.2">
      <c r="B28852" t="s">
        <v>6464</v>
      </c>
    </row>
    <row r="28854" spans="1:4" x14ac:dyDescent="0.2">
      <c r="A28854" t="s">
        <v>9484</v>
      </c>
      <c r="B28854" t="str">
        <f>HYPERLINK("https://lindat.mff.cuni.cz/services/teitok/pdtc10/index.php?action=vallex&amp;frame=v-whsa_888hsa_889", "porozhlédnout se (v-whsa_888hsa_889)")</f>
        <v>porozhlédnout se (v-whsa_888hsa_889)</v>
      </c>
    </row>
    <row r="28855" spans="1:4" x14ac:dyDescent="0.2">
      <c r="B28855" t="s">
        <v>1</v>
      </c>
      <c r="C28855" t="s">
        <v>140</v>
      </c>
      <c r="D28855" t="s">
        <v>140</v>
      </c>
    </row>
    <row r="28857" spans="1:4" x14ac:dyDescent="0.2">
      <c r="A28857" t="s">
        <v>9485</v>
      </c>
      <c r="B28857" t="str">
        <f>HYPERLINK("https://lindat.mff.cuni.cz/services/teitok/pdtc10/index.php?action=vallex&amp;frame=v-whsa_888f1_ZU", "porozhlédnout se (v-whsa_888f1_ZU)")</f>
        <v>porozhlédnout se (v-whsa_888f1_ZU)</v>
      </c>
    </row>
    <row r="28858" spans="1:4" x14ac:dyDescent="0.2">
      <c r="B28858" t="s">
        <v>1</v>
      </c>
      <c r="C28858" t="s">
        <v>2148</v>
      </c>
    </row>
    <row r="28859" spans="1:4" x14ac:dyDescent="0.2">
      <c r="B28859" t="s">
        <v>1165</v>
      </c>
    </row>
    <row r="28861" spans="1:4" x14ac:dyDescent="0.2">
      <c r="A28861" t="s">
        <v>9486</v>
      </c>
      <c r="B28861" t="str">
        <f>HYPERLINK("https://lindat.mff.cuni.cz/services/teitok/pdtc10/index.php?action=vallex&amp;frame=v-whsa_886hsa_887", "porozhlédnout se (v-whsa_886hsa_887)")</f>
        <v>porozhlédnout se (v-whsa_886hsa_887)</v>
      </c>
    </row>
    <row r="28862" spans="1:4" x14ac:dyDescent="0.2">
      <c r="B28862" t="s">
        <v>1</v>
      </c>
    </row>
    <row r="28863" spans="1:4" x14ac:dyDescent="0.2">
      <c r="B28863" t="s">
        <v>1165</v>
      </c>
    </row>
    <row r="28865" spans="1:4" x14ac:dyDescent="0.2">
      <c r="A28865" t="s">
        <v>9487</v>
      </c>
      <c r="B28865" t="str">
        <f>HYPERLINK("https://lindat.mff.cuni.cz/services/teitok/pdtc10/index.php?action=vallex&amp;frame=v-w11333f1", "porozhlížet se (v-w11333f1)")</f>
        <v>porozhlížet se (v-w11333f1)</v>
      </c>
    </row>
    <row r="28866" spans="1:4" x14ac:dyDescent="0.2">
      <c r="B28866" t="s">
        <v>1</v>
      </c>
      <c r="C28866" t="s">
        <v>373</v>
      </c>
      <c r="D28866" t="s">
        <v>23125</v>
      </c>
    </row>
    <row r="28867" spans="1:4" x14ac:dyDescent="0.2">
      <c r="B28867" t="s">
        <v>1165</v>
      </c>
      <c r="D28867" t="s">
        <v>23126</v>
      </c>
    </row>
    <row r="28869" spans="1:4" x14ac:dyDescent="0.2">
      <c r="A28869" t="s">
        <v>9488</v>
      </c>
      <c r="B28869" t="str">
        <f>HYPERLINK("https://lindat.mff.cuni.cz/services/teitok/pdtc10/index.php?action=vallex&amp;frame=v-w10210f2", "porozmýšlet (v-w10210f2)")</f>
        <v>porozmýšlet (v-w10210f2)</v>
      </c>
    </row>
    <row r="28870" spans="1:4" x14ac:dyDescent="0.2">
      <c r="B28870" t="s">
        <v>1</v>
      </c>
    </row>
    <row r="28871" spans="1:4" x14ac:dyDescent="0.2">
      <c r="B28871" t="s">
        <v>2469</v>
      </c>
    </row>
    <row r="28873" spans="1:4" x14ac:dyDescent="0.2">
      <c r="A28873" t="s">
        <v>9489</v>
      </c>
      <c r="B28873" t="str">
        <f>HYPERLINK("https://lindat.mff.cuni.cz/services/teitok/pdtc10/index.php?action=vallex&amp;frame=v-w3923f3", "porozumět (v-w3923f3)")</f>
        <v>porozumět (v-w3923f3)</v>
      </c>
    </row>
    <row r="28874" spans="1:4" x14ac:dyDescent="0.2">
      <c r="B28874" t="s">
        <v>1</v>
      </c>
    </row>
    <row r="28875" spans="1:4" x14ac:dyDescent="0.2">
      <c r="B28875" t="s">
        <v>1636</v>
      </c>
    </row>
    <row r="28876" spans="1:4" x14ac:dyDescent="0.2">
      <c r="B28876" t="s">
        <v>35</v>
      </c>
    </row>
    <row r="28878" spans="1:4" x14ac:dyDescent="0.2">
      <c r="A28878" t="s">
        <v>9490</v>
      </c>
      <c r="B28878" t="str">
        <f>HYPERLINK("https://lindat.mff.cuni.cz/services/teitok/pdtc10/index.php?action=vallex&amp;frame=v-w3923f2", "porozumět (v-w3923f2)")</f>
        <v>porozumět (v-w3923f2)</v>
      </c>
    </row>
    <row r="28879" spans="1:4" x14ac:dyDescent="0.2">
      <c r="B28879" t="s">
        <v>1</v>
      </c>
      <c r="D28879" t="s">
        <v>3255</v>
      </c>
    </row>
    <row r="28880" spans="1:4" x14ac:dyDescent="0.2">
      <c r="B28880" t="s">
        <v>9491</v>
      </c>
      <c r="D28880" t="s">
        <v>2402</v>
      </c>
    </row>
    <row r="28882" spans="1:4" x14ac:dyDescent="0.2">
      <c r="A28882" t="s">
        <v>9492</v>
      </c>
      <c r="B28882" t="str">
        <f>HYPERLINK("https://lindat.mff.cuni.cz/services/teitok/pdtc10/index.php?action=vallex&amp;frame=v-w3923f1", "porozumět (v-w3923f1)")</f>
        <v>porozumět (v-w3923f1)</v>
      </c>
    </row>
    <row r="28883" spans="1:4" x14ac:dyDescent="0.2">
      <c r="B28883" t="s">
        <v>1</v>
      </c>
      <c r="C28883" t="s">
        <v>9493</v>
      </c>
      <c r="D28883" t="s">
        <v>3081</v>
      </c>
    </row>
    <row r="28884" spans="1:4" x14ac:dyDescent="0.2">
      <c r="B28884" t="s">
        <v>9494</v>
      </c>
      <c r="C28884" t="s">
        <v>9495</v>
      </c>
      <c r="D28884" t="s">
        <v>7127</v>
      </c>
    </row>
    <row r="28886" spans="1:4" x14ac:dyDescent="0.2">
      <c r="A28886" t="s">
        <v>9496</v>
      </c>
      <c r="B28886" t="str">
        <f>HYPERLINK("https://lindat.mff.cuni.cz/services/teitok/pdtc10/index.php?action=vallex&amp;frame=v-w3925f1", "portrétovat (v-w3925f1)")</f>
        <v>portrétovat (v-w3925f1)</v>
      </c>
    </row>
    <row r="28887" spans="1:4" x14ac:dyDescent="0.2">
      <c r="B28887" t="s">
        <v>1</v>
      </c>
    </row>
    <row r="28888" spans="1:4" x14ac:dyDescent="0.2">
      <c r="B28888" t="s">
        <v>8</v>
      </c>
    </row>
    <row r="28890" spans="1:4" x14ac:dyDescent="0.2">
      <c r="A28890" t="s">
        <v>9497</v>
      </c>
      <c r="B28890" t="str">
        <f>HYPERLINK("https://lindat.mff.cuni.cz/services/teitok/pdtc10/index.php?action=vallex&amp;frame=v-w3926f2", "poručit (v-w3926f2)")</f>
        <v>poručit (v-w3926f2)</v>
      </c>
    </row>
    <row r="28891" spans="1:4" x14ac:dyDescent="0.2">
      <c r="B28891" t="s">
        <v>1</v>
      </c>
    </row>
    <row r="28892" spans="1:4" x14ac:dyDescent="0.2">
      <c r="B28892" t="s">
        <v>1770</v>
      </c>
    </row>
    <row r="28893" spans="1:4" x14ac:dyDescent="0.2">
      <c r="B28893" t="s">
        <v>35</v>
      </c>
    </row>
    <row r="28895" spans="1:4" x14ac:dyDescent="0.2">
      <c r="A28895" t="s">
        <v>9498</v>
      </c>
      <c r="B28895" t="str">
        <f>HYPERLINK("https://lindat.mff.cuni.cz/services/teitok/pdtc10/index.php?action=vallex&amp;frame=v-w3926f1", "poručit (v-w3926f1)")</f>
        <v>poručit (v-w3926f1)</v>
      </c>
    </row>
    <row r="28896" spans="1:4" x14ac:dyDescent="0.2">
      <c r="B28896" t="s">
        <v>1</v>
      </c>
      <c r="C28896" t="s">
        <v>33</v>
      </c>
    </row>
    <row r="28897" spans="1:4" x14ac:dyDescent="0.2">
      <c r="B28897" t="s">
        <v>8</v>
      </c>
      <c r="C28897" t="s">
        <v>1128</v>
      </c>
    </row>
    <row r="28898" spans="1:4" x14ac:dyDescent="0.2">
      <c r="B28898" t="s">
        <v>9499</v>
      </c>
    </row>
    <row r="28900" spans="1:4" x14ac:dyDescent="0.2">
      <c r="A28900" t="s">
        <v>9500</v>
      </c>
      <c r="B28900" t="str">
        <f>HYPERLINK("https://lindat.mff.cuni.cz/services/teitok/pdtc10/index.php?action=vallex&amp;frame=v-w3929f1", "porušit (v-w3929f1)")</f>
        <v>porušit (v-w3929f1)</v>
      </c>
    </row>
    <row r="28901" spans="1:4" x14ac:dyDescent="0.2">
      <c r="B28901" t="s">
        <v>1</v>
      </c>
      <c r="C28901" t="s">
        <v>9501</v>
      </c>
      <c r="D28901" t="s">
        <v>1294</v>
      </c>
    </row>
    <row r="28902" spans="1:4" x14ac:dyDescent="0.2">
      <c r="B28902" t="s">
        <v>8</v>
      </c>
      <c r="C28902" t="s">
        <v>9502</v>
      </c>
      <c r="D28902" t="s">
        <v>732</v>
      </c>
    </row>
    <row r="28904" spans="1:4" x14ac:dyDescent="0.2">
      <c r="A28904" t="s">
        <v>9503</v>
      </c>
      <c r="B28904" t="str">
        <f>HYPERLINK("https://lindat.mff.cuni.cz/services/teitok/pdtc10/index.php?action=vallex&amp;frame=v-w3929f2", "porušit (v-w3929f2)")</f>
        <v>porušit (v-w3929f2)</v>
      </c>
    </row>
    <row r="28905" spans="1:4" x14ac:dyDescent="0.2">
      <c r="B28905" t="s">
        <v>1</v>
      </c>
      <c r="C28905" t="s">
        <v>976</v>
      </c>
    </row>
    <row r="28906" spans="1:4" x14ac:dyDescent="0.2">
      <c r="B28906" t="s">
        <v>8</v>
      </c>
      <c r="C28906" t="s">
        <v>7725</v>
      </c>
    </row>
    <row r="28908" spans="1:4" x14ac:dyDescent="0.2">
      <c r="A28908" t="s">
        <v>9504</v>
      </c>
      <c r="B28908" t="str">
        <f>HYPERLINK("https://lindat.mff.cuni.cz/services/teitok/pdtc10/index.php?action=vallex&amp;frame=v-w3931f1", "porušovat (v-w3931f1)")</f>
        <v>porušovat (v-w3931f1)</v>
      </c>
    </row>
    <row r="28909" spans="1:4" x14ac:dyDescent="0.2">
      <c r="B28909" t="s">
        <v>1</v>
      </c>
      <c r="C28909" t="s">
        <v>1349</v>
      </c>
      <c r="D28909" t="s">
        <v>1294</v>
      </c>
    </row>
    <row r="28910" spans="1:4" x14ac:dyDescent="0.2">
      <c r="B28910" t="s">
        <v>8</v>
      </c>
      <c r="C28910" t="s">
        <v>68</v>
      </c>
      <c r="D28910" t="s">
        <v>732</v>
      </c>
    </row>
    <row r="28912" spans="1:4" x14ac:dyDescent="0.2">
      <c r="A28912" t="s">
        <v>9505</v>
      </c>
      <c r="B28912" t="str">
        <f>HYPERLINK("https://lindat.mff.cuni.cz/services/teitok/pdtc10/index.php?action=vallex&amp;frame=v-w3931f2", "porušovat (v-w3931f2)")</f>
        <v>porušovat (v-w3931f2)</v>
      </c>
    </row>
    <row r="28913" spans="1:4" x14ac:dyDescent="0.2">
      <c r="B28913" t="s">
        <v>1</v>
      </c>
      <c r="D28913" t="s">
        <v>23156</v>
      </c>
    </row>
    <row r="28914" spans="1:4" x14ac:dyDescent="0.2">
      <c r="B28914" t="s">
        <v>8</v>
      </c>
      <c r="D28914" t="s">
        <v>23157</v>
      </c>
    </row>
    <row r="28916" spans="1:4" x14ac:dyDescent="0.2">
      <c r="A28916" t="s">
        <v>9506</v>
      </c>
      <c r="B28916" t="str">
        <f>HYPERLINK("https://lindat.mff.cuni.cz/services/teitok/pdtc10/index.php?action=vallex&amp;frame=v-w3932f1", "porvat se (v-w3932f1)")</f>
        <v>porvat se (v-w3932f1)</v>
      </c>
    </row>
    <row r="28917" spans="1:4" x14ac:dyDescent="0.2">
      <c r="B28917" t="s">
        <v>1</v>
      </c>
    </row>
    <row r="28918" spans="1:4" x14ac:dyDescent="0.2">
      <c r="B28918" t="s">
        <v>411</v>
      </c>
    </row>
    <row r="28920" spans="1:4" x14ac:dyDescent="0.2">
      <c r="A28920" t="s">
        <v>9507</v>
      </c>
      <c r="B28920" t="str">
        <f>HYPERLINK("https://lindat.mff.cuni.cz/services/teitok/pdtc10/index.php?action=vallex&amp;frame=v-w3911f1", "porážet (v-w3911f1)")</f>
        <v>porážet (v-w3911f1)</v>
      </c>
    </row>
    <row r="28921" spans="1:4" x14ac:dyDescent="0.2">
      <c r="B28921" t="s">
        <v>1</v>
      </c>
      <c r="C28921" t="s">
        <v>373</v>
      </c>
      <c r="D28921" t="s">
        <v>14822</v>
      </c>
    </row>
    <row r="28922" spans="1:4" x14ac:dyDescent="0.2">
      <c r="B28922" t="s">
        <v>8</v>
      </c>
      <c r="C28922" t="s">
        <v>125</v>
      </c>
      <c r="D28922" t="s">
        <v>23658</v>
      </c>
    </row>
    <row r="28924" spans="1:4" x14ac:dyDescent="0.2">
      <c r="A28924" t="s">
        <v>9508</v>
      </c>
      <c r="B28924" t="str">
        <f>HYPERLINK("https://lindat.mff.cuni.cz/services/teitok/pdtc10/index.php?action=vallex&amp;frame=v-w3911f2", "porážet (v-w3911f2)")</f>
        <v>porážet (v-w3911f2)</v>
      </c>
    </row>
    <row r="28925" spans="1:4" x14ac:dyDescent="0.2">
      <c r="B28925" t="s">
        <v>1</v>
      </c>
      <c r="D28925" t="s">
        <v>11295</v>
      </c>
    </row>
    <row r="28926" spans="1:4" x14ac:dyDescent="0.2">
      <c r="B28926" t="s">
        <v>8</v>
      </c>
      <c r="D28926" t="s">
        <v>13639</v>
      </c>
    </row>
    <row r="28928" spans="1:4" x14ac:dyDescent="0.2">
      <c r="A28928" t="s">
        <v>9509</v>
      </c>
      <c r="B28928" t="str">
        <f>HYPERLINK("https://lindat.mff.cuni.cz/services/teitok/pdtc10/index.php?action=vallex&amp;frame=v-w3911f3", "porážet (v-w3911f3)")</f>
        <v>porážet (v-w3911f3)</v>
      </c>
    </row>
    <row r="28929" spans="1:4" x14ac:dyDescent="0.2">
      <c r="B28929" t="s">
        <v>1</v>
      </c>
    </row>
    <row r="28930" spans="1:4" x14ac:dyDescent="0.2">
      <c r="B28930" t="s">
        <v>8</v>
      </c>
    </row>
    <row r="28932" spans="1:4" x14ac:dyDescent="0.2">
      <c r="A28932" t="s">
        <v>9510</v>
      </c>
      <c r="B28932" t="str">
        <f>HYPERLINK("https://lindat.mff.cuni.cz/services/teitok/pdtc10/index.php?action=vallex&amp;frame=v-w3948f2", "posadit (v-w3948f2)")</f>
        <v>posadit (v-w3948f2)</v>
      </c>
    </row>
    <row r="28933" spans="1:4" x14ac:dyDescent="0.2">
      <c r="B28933" t="s">
        <v>1</v>
      </c>
    </row>
    <row r="28934" spans="1:4" x14ac:dyDescent="0.2">
      <c r="B28934" t="s">
        <v>8</v>
      </c>
    </row>
    <row r="28935" spans="1:4" x14ac:dyDescent="0.2">
      <c r="B28935" t="s">
        <v>2360</v>
      </c>
    </row>
    <row r="28937" spans="1:4" x14ac:dyDescent="0.2">
      <c r="A28937" t="s">
        <v>9511</v>
      </c>
      <c r="B28937" t="str">
        <f>HYPERLINK("https://lindat.mff.cuni.cz/services/teitok/pdtc10/index.php?action=vallex&amp;frame=v-w3948f1", "posadit (v-w3948f1)")</f>
        <v>posadit (v-w3948f1)</v>
      </c>
    </row>
    <row r="28938" spans="1:4" x14ac:dyDescent="0.2">
      <c r="B28938" t="s">
        <v>1</v>
      </c>
      <c r="C28938" t="s">
        <v>2749</v>
      </c>
      <c r="D28938" t="s">
        <v>23181</v>
      </c>
    </row>
    <row r="28939" spans="1:4" x14ac:dyDescent="0.2">
      <c r="B28939" t="s">
        <v>8</v>
      </c>
      <c r="C28939" t="s">
        <v>2750</v>
      </c>
      <c r="D28939" t="s">
        <v>23182</v>
      </c>
    </row>
    <row r="28940" spans="1:4" x14ac:dyDescent="0.2">
      <c r="B28940" t="s">
        <v>90</v>
      </c>
      <c r="D28940" t="s">
        <v>11579</v>
      </c>
    </row>
    <row r="28942" spans="1:4" x14ac:dyDescent="0.2">
      <c r="A28942" t="s">
        <v>9512</v>
      </c>
      <c r="B28942" t="str">
        <f>HYPERLINK("https://lindat.mff.cuni.cz/services/teitok/pdtc10/index.php?action=vallex&amp;frame=v-w3949f1", "posadit se (v-w3949f1)")</f>
        <v>posadit se (v-w3949f1)</v>
      </c>
    </row>
    <row r="28943" spans="1:4" x14ac:dyDescent="0.2">
      <c r="B28943" t="s">
        <v>1</v>
      </c>
      <c r="C28943" t="s">
        <v>9513</v>
      </c>
      <c r="D28943" t="s">
        <v>127</v>
      </c>
    </row>
    <row r="28944" spans="1:4" x14ac:dyDescent="0.2">
      <c r="B28944" t="s">
        <v>90</v>
      </c>
    </row>
    <row r="28946" spans="1:4" x14ac:dyDescent="0.2">
      <c r="A28946" t="s">
        <v>9514</v>
      </c>
      <c r="B28946" t="str">
        <f>HYPERLINK("https://lindat.mff.cuni.cz/services/teitok/pdtc10/index.php?action=vallex&amp;frame=v-w3951f3_ZU", "posbírat (v-w3951f3_ZU)")</f>
        <v>posbírat (v-w3951f3_ZU)</v>
      </c>
    </row>
    <row r="28947" spans="1:4" x14ac:dyDescent="0.2">
      <c r="B28947" t="s">
        <v>1</v>
      </c>
    </row>
    <row r="28948" spans="1:4" x14ac:dyDescent="0.2">
      <c r="B28948" t="s">
        <v>172</v>
      </c>
    </row>
    <row r="28950" spans="1:4" x14ac:dyDescent="0.2">
      <c r="A28950" t="s">
        <v>9514</v>
      </c>
      <c r="B28950" t="str">
        <f>HYPERLINK("https://lindat.mff.cuni.cz/services/teitok/pdtc10/index.php?action=vallex&amp;frame=v-w3951f2", "posbírat (v-w3951f2) - substituted with v-w3951f3_ZU")</f>
        <v>posbírat (v-w3951f2) - substituted with v-w3951f3_ZU</v>
      </c>
    </row>
    <row r="28951" spans="1:4" x14ac:dyDescent="0.2">
      <c r="B28951" t="s">
        <v>1</v>
      </c>
      <c r="C28951" t="s">
        <v>115</v>
      </c>
      <c r="D28951" t="s">
        <v>16226</v>
      </c>
    </row>
    <row r="28952" spans="1:4" x14ac:dyDescent="0.2">
      <c r="B28952" t="s">
        <v>172</v>
      </c>
      <c r="C28952" t="s">
        <v>338</v>
      </c>
      <c r="D28952" t="s">
        <v>3270</v>
      </c>
    </row>
    <row r="28954" spans="1:4" x14ac:dyDescent="0.2">
      <c r="A28954" t="s">
        <v>9515</v>
      </c>
      <c r="B28954" t="str">
        <f>HYPERLINK("https://lindat.mff.cuni.cz/services/teitok/pdtc10/index.php?action=vallex&amp;frame=v-w3951f1", "posbírat (v-w3951f1)")</f>
        <v>posbírat (v-w3951f1)</v>
      </c>
    </row>
    <row r="28955" spans="1:4" x14ac:dyDescent="0.2">
      <c r="B28955" t="s">
        <v>1</v>
      </c>
    </row>
    <row r="28956" spans="1:4" x14ac:dyDescent="0.2">
      <c r="B28956" t="s">
        <v>9516</v>
      </c>
    </row>
    <row r="28958" spans="1:4" x14ac:dyDescent="0.2">
      <c r="A28958" t="s">
        <v>9517</v>
      </c>
      <c r="B28958" t="str">
        <f>HYPERLINK("https://lindat.mff.cuni.cz/services/teitok/pdtc10/index.php?action=vallex&amp;frame=v-w12301_MMf1_MM", "poschovávat (v-w12301_MMf1_MM)")</f>
        <v>poschovávat (v-w12301_MMf1_MM)</v>
      </c>
    </row>
    <row r="28959" spans="1:4" x14ac:dyDescent="0.2">
      <c r="B28959" t="s">
        <v>1</v>
      </c>
    </row>
    <row r="28960" spans="1:4" x14ac:dyDescent="0.2">
      <c r="B28960" t="s">
        <v>8</v>
      </c>
    </row>
    <row r="28961" spans="1:4" x14ac:dyDescent="0.2">
      <c r="B28961" t="s">
        <v>3200</v>
      </c>
    </row>
    <row r="28963" spans="1:4" x14ac:dyDescent="0.2">
      <c r="A28963" t="s">
        <v>9518</v>
      </c>
      <c r="B28963" t="str">
        <f>HYPERLINK("https://lindat.mff.cuni.cz/services/teitok/pdtc10/index.php?action=vallex&amp;frame=v-w3953f1", "posedávat (v-w3953f1)")</f>
        <v>posedávat (v-w3953f1)</v>
      </c>
    </row>
    <row r="28964" spans="1:4" x14ac:dyDescent="0.2">
      <c r="B28964" t="s">
        <v>1</v>
      </c>
      <c r="D28964" t="s">
        <v>13801</v>
      </c>
    </row>
    <row r="28966" spans="1:4" x14ac:dyDescent="0.2">
      <c r="A28966" t="s">
        <v>9519</v>
      </c>
      <c r="B28966" t="str">
        <f>HYPERLINK("https://lindat.mff.cuni.cz/services/teitok/pdtc10/index.php?action=vallex&amp;frame=v-w3954f1", "posedět (v-w3954f1)")</f>
        <v>posedět (v-w3954f1)</v>
      </c>
    </row>
    <row r="28967" spans="1:4" x14ac:dyDescent="0.2">
      <c r="B28967" t="s">
        <v>1</v>
      </c>
    </row>
    <row r="28969" spans="1:4" x14ac:dyDescent="0.2">
      <c r="A28969" t="s">
        <v>9520</v>
      </c>
      <c r="B28969" t="str">
        <f>HYPERLINK("https://lindat.mff.cuni.cz/services/teitok/pdtc10/index.php?action=vallex&amp;frame=v-whsa_1863hsa_1864", "posedět si (v-whsa_1863hsa_1864)")</f>
        <v>posedět si (v-whsa_1863hsa_1864)</v>
      </c>
    </row>
    <row r="28970" spans="1:4" x14ac:dyDescent="0.2">
      <c r="B28970" t="s">
        <v>1</v>
      </c>
    </row>
    <row r="28972" spans="1:4" x14ac:dyDescent="0.2">
      <c r="A28972" t="s">
        <v>9521</v>
      </c>
      <c r="B28972" t="str">
        <f>HYPERLINK("https://lindat.mff.cuni.cz/services/teitok/pdtc10/index.php?action=vallex&amp;frame=v-whsa_265hsa_266", "posekat (v-whsa_265hsa_266)")</f>
        <v>posekat (v-whsa_265hsa_266)</v>
      </c>
    </row>
    <row r="28973" spans="1:4" x14ac:dyDescent="0.2">
      <c r="B28973" t="s">
        <v>1</v>
      </c>
    </row>
    <row r="28974" spans="1:4" x14ac:dyDescent="0.2">
      <c r="B28974" t="s">
        <v>8</v>
      </c>
    </row>
    <row r="28976" spans="1:4" x14ac:dyDescent="0.2">
      <c r="A28976" t="s">
        <v>9522</v>
      </c>
      <c r="B28976" t="str">
        <f>HYPERLINK("https://lindat.mff.cuni.cz/services/teitok/pdtc10/index.php?action=vallex&amp;frame=v-w12161_ZUf1_ZU", "posestřit se (v-w12161_ZUf1_ZU)")</f>
        <v>posestřit se (v-w12161_ZUf1_ZU)</v>
      </c>
    </row>
    <row r="28977" spans="1:3" x14ac:dyDescent="0.2">
      <c r="B28977" t="s">
        <v>1</v>
      </c>
    </row>
    <row r="28979" spans="1:3" x14ac:dyDescent="0.2">
      <c r="A28979" t="s">
        <v>9523</v>
      </c>
      <c r="B28979" t="str">
        <f>HYPERLINK("https://lindat.mff.cuni.cz/services/teitok/pdtc10/index.php?action=vallex&amp;frame=v-w3952f1", "posečkat (v-w3952f1)")</f>
        <v>posečkat (v-w3952f1)</v>
      </c>
    </row>
    <row r="28980" spans="1:3" x14ac:dyDescent="0.2">
      <c r="B28980" t="s">
        <v>1</v>
      </c>
    </row>
    <row r="28981" spans="1:3" x14ac:dyDescent="0.2">
      <c r="B28981" t="s">
        <v>411</v>
      </c>
    </row>
    <row r="28983" spans="1:3" x14ac:dyDescent="0.2">
      <c r="A28983" t="s">
        <v>9524</v>
      </c>
      <c r="B28983" t="str">
        <f>HYPERLINK("https://lindat.mff.cuni.cz/services/teitok/pdtc10/index.php?action=vallex&amp;frame=v-w3966f1", "posilnit (v-w3966f1)")</f>
        <v>posilnit (v-w3966f1)</v>
      </c>
    </row>
    <row r="28984" spans="1:3" x14ac:dyDescent="0.2">
      <c r="B28984" t="s">
        <v>1</v>
      </c>
    </row>
    <row r="28985" spans="1:3" x14ac:dyDescent="0.2">
      <c r="B28985" t="s">
        <v>8</v>
      </c>
    </row>
    <row r="28987" spans="1:3" x14ac:dyDescent="0.2">
      <c r="A28987" t="s">
        <v>9525</v>
      </c>
      <c r="B28987" t="str">
        <f>HYPERLINK("https://lindat.mff.cuni.cz/services/teitok/pdtc10/index.php?action=vallex&amp;frame=v-w3969f1", "posilovat (v-w3969f1)")</f>
        <v>posilovat (v-w3969f1)</v>
      </c>
    </row>
    <row r="28988" spans="1:3" x14ac:dyDescent="0.2">
      <c r="B28988" t="s">
        <v>1</v>
      </c>
      <c r="C28988" t="s">
        <v>9526</v>
      </c>
    </row>
    <row r="28989" spans="1:3" x14ac:dyDescent="0.2">
      <c r="B28989" t="s">
        <v>8</v>
      </c>
      <c r="C28989" t="s">
        <v>6307</v>
      </c>
    </row>
    <row r="28990" spans="1:3" x14ac:dyDescent="0.2">
      <c r="B28990" t="s">
        <v>24</v>
      </c>
      <c r="C28990" t="s">
        <v>1289</v>
      </c>
    </row>
    <row r="28991" spans="1:3" x14ac:dyDescent="0.2">
      <c r="B28991" t="s">
        <v>61</v>
      </c>
    </row>
    <row r="28993" spans="1:4" x14ac:dyDescent="0.2">
      <c r="A28993" t="s">
        <v>9527</v>
      </c>
      <c r="B28993" t="str">
        <f>HYPERLINK("https://lindat.mff.cuni.cz/services/teitok/pdtc10/index.php?action=vallex&amp;frame=v-w3969f4_ZU", "posilovat (v-w3969f4_ZU)")</f>
        <v>posilovat (v-w3969f4_ZU)</v>
      </c>
    </row>
    <row r="28994" spans="1:4" x14ac:dyDescent="0.2">
      <c r="B28994" t="s">
        <v>1</v>
      </c>
      <c r="C28994" t="s">
        <v>9528</v>
      </c>
      <c r="D28994" t="s">
        <v>23510</v>
      </c>
    </row>
    <row r="28995" spans="1:4" x14ac:dyDescent="0.2">
      <c r="B28995" t="s">
        <v>46</v>
      </c>
      <c r="C28995" t="s">
        <v>9529</v>
      </c>
      <c r="D28995" t="s">
        <v>23393</v>
      </c>
    </row>
    <row r="28996" spans="1:4" x14ac:dyDescent="0.2">
      <c r="B28996" t="s">
        <v>24</v>
      </c>
      <c r="C28996" t="s">
        <v>9530</v>
      </c>
      <c r="D28996" t="s">
        <v>23394</v>
      </c>
    </row>
    <row r="28998" spans="1:4" x14ac:dyDescent="0.2">
      <c r="A28998" t="s">
        <v>9527</v>
      </c>
      <c r="B28998" t="str">
        <f>HYPERLINK("https://lindat.mff.cuni.cz/services/teitok/pdtc10/index.php?action=vallex&amp;frame=v-w3969f3_ZU", "posilovat (v-w3969f3_ZU) - substituted with v-w3969f4_ZU")</f>
        <v>posilovat (v-w3969f3_ZU) - substituted with v-w3969f4_ZU</v>
      </c>
    </row>
    <row r="28999" spans="1:4" x14ac:dyDescent="0.2">
      <c r="B28999" t="s">
        <v>1</v>
      </c>
    </row>
    <row r="29000" spans="1:4" x14ac:dyDescent="0.2">
      <c r="B29000" t="s">
        <v>46</v>
      </c>
    </row>
    <row r="29001" spans="1:4" x14ac:dyDescent="0.2">
      <c r="B29001" t="s">
        <v>24</v>
      </c>
    </row>
    <row r="29003" spans="1:4" x14ac:dyDescent="0.2">
      <c r="A29003" t="s">
        <v>9531</v>
      </c>
      <c r="B29003" t="str">
        <f>HYPERLINK("https://lindat.mff.cuni.cz/services/teitok/pdtc10/index.php?action=vallex&amp;frame=v-w3969f2", "posilovat (v-w3969f2)")</f>
        <v>posilovat (v-w3969f2)</v>
      </c>
    </row>
    <row r="29004" spans="1:4" x14ac:dyDescent="0.2">
      <c r="B29004" t="s">
        <v>1</v>
      </c>
    </row>
    <row r="29005" spans="1:4" x14ac:dyDescent="0.2">
      <c r="B29005" t="s">
        <v>8</v>
      </c>
    </row>
    <row r="29007" spans="1:4" x14ac:dyDescent="0.2">
      <c r="A29007" t="s">
        <v>9532</v>
      </c>
      <c r="B29007" t="str">
        <f>HYPERLINK("https://lindat.mff.cuni.cz/services/teitok/pdtc10/index.php?action=vallex&amp;frame=v-w3969f5_ZU", "posilovat (v-w3969f5_ZU)")</f>
        <v>posilovat (v-w3969f5_ZU)</v>
      </c>
    </row>
    <row r="29008" spans="1:4" x14ac:dyDescent="0.2">
      <c r="B29008" t="s">
        <v>1</v>
      </c>
      <c r="C29008" t="s">
        <v>9533</v>
      </c>
      <c r="D29008" t="s">
        <v>23841</v>
      </c>
    </row>
    <row r="29009" spans="1:4" x14ac:dyDescent="0.2">
      <c r="B29009" t="s">
        <v>8</v>
      </c>
      <c r="C29009" t="s">
        <v>5674</v>
      </c>
      <c r="D29009" t="s">
        <v>16005</v>
      </c>
    </row>
    <row r="29011" spans="1:4" x14ac:dyDescent="0.2">
      <c r="A29011" t="s">
        <v>9532</v>
      </c>
      <c r="B29011" t="str">
        <f>HYPERLINK("https://lindat.mff.cuni.cz/services/teitok/pdtc10/index.php?action=vallex&amp;frame=v-w3969hsa_1187", "posilovat (v-w3969hsa_1187) - substituted with v-w3969f5_ZU")</f>
        <v>posilovat (v-w3969hsa_1187) - substituted with v-w3969f5_ZU</v>
      </c>
    </row>
    <row r="29012" spans="1:4" x14ac:dyDescent="0.2">
      <c r="B29012" t="s">
        <v>1</v>
      </c>
    </row>
    <row r="29013" spans="1:4" x14ac:dyDescent="0.2">
      <c r="B29013" t="s">
        <v>8</v>
      </c>
    </row>
    <row r="29015" spans="1:4" x14ac:dyDescent="0.2">
      <c r="A29015" t="s">
        <v>9534</v>
      </c>
      <c r="B29015" t="str">
        <f>HYPERLINK("https://lindat.mff.cuni.cz/services/teitok/pdtc10/index.php?action=vallex&amp;frame=v-whsa_715hsa_716", "posilovat se (v-whsa_715hsa_716)")</f>
        <v>posilovat se (v-whsa_715hsa_716)</v>
      </c>
    </row>
    <row r="29016" spans="1:4" x14ac:dyDescent="0.2">
      <c r="B29016" t="s">
        <v>1</v>
      </c>
    </row>
    <row r="29018" spans="1:4" x14ac:dyDescent="0.2">
      <c r="A29018" t="s">
        <v>9535</v>
      </c>
      <c r="B29018" t="str">
        <f>HYPERLINK("https://lindat.mff.cuni.cz/services/teitok/pdtc10/index.php?action=vallex&amp;frame=v-w3971f1", "poskakovat (v-w3971f1)")</f>
        <v>poskakovat (v-w3971f1)</v>
      </c>
    </row>
    <row r="29019" spans="1:4" x14ac:dyDescent="0.2">
      <c r="B29019" t="s">
        <v>1</v>
      </c>
      <c r="C29019" t="s">
        <v>140</v>
      </c>
      <c r="D29019" t="s">
        <v>83</v>
      </c>
    </row>
    <row r="29021" spans="1:4" x14ac:dyDescent="0.2">
      <c r="A29021" t="s">
        <v>9536</v>
      </c>
      <c r="B29021" t="str">
        <f>HYPERLINK("https://lindat.mff.cuni.cz/services/teitok/pdtc10/index.php?action=vallex&amp;frame=v-w3971f2_ZU", "poskakovat (v-w3971f2_ZU)")</f>
        <v>poskakovat (v-w3971f2_ZU)</v>
      </c>
    </row>
    <row r="29022" spans="1:4" x14ac:dyDescent="0.2">
      <c r="B29022" t="s">
        <v>1</v>
      </c>
    </row>
    <row r="29023" spans="1:4" x14ac:dyDescent="0.2">
      <c r="B29023" t="s">
        <v>9537</v>
      </c>
    </row>
    <row r="29025" spans="1:4" x14ac:dyDescent="0.2">
      <c r="A29025" t="s">
        <v>9538</v>
      </c>
      <c r="B29025" t="str">
        <f>HYPERLINK("https://lindat.mff.cuni.cz/services/teitok/pdtc10/index.php?action=vallex&amp;frame=v-w3972f2_ZU", "poskládat (v-w3972f2_ZU)")</f>
        <v>poskládat (v-w3972f2_ZU)</v>
      </c>
    </row>
    <row r="29026" spans="1:4" x14ac:dyDescent="0.2">
      <c r="B29026" t="s">
        <v>1</v>
      </c>
      <c r="C29026" t="s">
        <v>140</v>
      </c>
      <c r="D29026" t="s">
        <v>23842</v>
      </c>
    </row>
    <row r="29027" spans="1:4" x14ac:dyDescent="0.2">
      <c r="B29027" t="s">
        <v>8</v>
      </c>
      <c r="C29027" t="s">
        <v>1128</v>
      </c>
      <c r="D29027" t="s">
        <v>23843</v>
      </c>
    </row>
    <row r="29028" spans="1:4" x14ac:dyDescent="0.2">
      <c r="B29028" t="s">
        <v>24</v>
      </c>
      <c r="D29028" t="s">
        <v>10345</v>
      </c>
    </row>
    <row r="29029" spans="1:4" x14ac:dyDescent="0.2">
      <c r="B29029" t="s">
        <v>9539</v>
      </c>
    </row>
    <row r="29031" spans="1:4" x14ac:dyDescent="0.2">
      <c r="A29031" t="s">
        <v>9538</v>
      </c>
      <c r="B29031" t="str">
        <f>HYPERLINK("https://lindat.mff.cuni.cz/services/teitok/pdtc10/index.php?action=vallex&amp;frame=v-w3972f1", "poskládat (v-w3972f1) - substituted with v-w3972f2_ZU")</f>
        <v>poskládat (v-w3972f1) - substituted with v-w3972f2_ZU</v>
      </c>
    </row>
    <row r="29032" spans="1:4" x14ac:dyDescent="0.2">
      <c r="B29032" t="s">
        <v>1</v>
      </c>
    </row>
    <row r="29033" spans="1:4" x14ac:dyDescent="0.2">
      <c r="B29033" t="s">
        <v>8</v>
      </c>
      <c r="C29033" t="s">
        <v>34</v>
      </c>
    </row>
    <row r="29034" spans="1:4" x14ac:dyDescent="0.2">
      <c r="B29034" t="s">
        <v>24</v>
      </c>
    </row>
    <row r="29035" spans="1:4" x14ac:dyDescent="0.2">
      <c r="B29035" t="s">
        <v>9539</v>
      </c>
    </row>
    <row r="29037" spans="1:4" x14ac:dyDescent="0.2">
      <c r="A29037" t="s">
        <v>9540</v>
      </c>
      <c r="B29037" t="str">
        <f>HYPERLINK("https://lindat.mff.cuni.cz/services/teitok/pdtc10/index.php?action=vallex&amp;frame=v-w3972hsa_2036", "poskládat (v-w3972hsa_2036)")</f>
        <v>poskládat (v-w3972hsa_2036)</v>
      </c>
    </row>
    <row r="29038" spans="1:4" x14ac:dyDescent="0.2">
      <c r="B29038" t="s">
        <v>1</v>
      </c>
    </row>
    <row r="29039" spans="1:4" x14ac:dyDescent="0.2">
      <c r="B29039" t="s">
        <v>8</v>
      </c>
    </row>
    <row r="29040" spans="1:4" x14ac:dyDescent="0.2">
      <c r="B29040" t="s">
        <v>90</v>
      </c>
    </row>
    <row r="29042" spans="1:4" x14ac:dyDescent="0.2">
      <c r="A29042" t="s">
        <v>9541</v>
      </c>
      <c r="B29042" t="str">
        <f>HYPERLINK("https://lindat.mff.cuni.cz/services/teitok/pdtc10/index.php?action=vallex&amp;frame=v-w10833f3", "poskočit (v-w10833f3)")</f>
        <v>poskočit (v-w10833f3)</v>
      </c>
    </row>
    <row r="29043" spans="1:4" x14ac:dyDescent="0.2">
      <c r="B29043" t="s">
        <v>1</v>
      </c>
      <c r="C29043" t="s">
        <v>9542</v>
      </c>
      <c r="D29043" t="s">
        <v>23510</v>
      </c>
    </row>
    <row r="29044" spans="1:4" x14ac:dyDescent="0.2">
      <c r="B29044" t="s">
        <v>46</v>
      </c>
      <c r="C29044" t="s">
        <v>9543</v>
      </c>
      <c r="D29044" t="s">
        <v>23393</v>
      </c>
    </row>
    <row r="29045" spans="1:4" x14ac:dyDescent="0.2">
      <c r="B29045" t="s">
        <v>24</v>
      </c>
      <c r="C29045" t="s">
        <v>9544</v>
      </c>
      <c r="D29045" t="s">
        <v>23394</v>
      </c>
    </row>
    <row r="29047" spans="1:4" x14ac:dyDescent="0.2">
      <c r="A29047" t="s">
        <v>9545</v>
      </c>
      <c r="B29047" t="str">
        <f>HYPERLINK("https://lindat.mff.cuni.cz/services/teitok/pdtc10/index.php?action=vallex&amp;frame=v-w11211f2", "poskvrnit (v-w11211f2)")</f>
        <v>poskvrnit (v-w11211f2)</v>
      </c>
    </row>
    <row r="29048" spans="1:4" x14ac:dyDescent="0.2">
      <c r="B29048" t="s">
        <v>1</v>
      </c>
      <c r="D29048" t="s">
        <v>23440</v>
      </c>
    </row>
    <row r="29049" spans="1:4" x14ac:dyDescent="0.2">
      <c r="B29049" t="s">
        <v>8</v>
      </c>
      <c r="D29049" t="s">
        <v>1066</v>
      </c>
    </row>
    <row r="29051" spans="1:4" x14ac:dyDescent="0.2">
      <c r="A29051" t="s">
        <v>9546</v>
      </c>
      <c r="B29051" t="str">
        <f>HYPERLINK("https://lindat.mff.cuni.cz/services/teitok/pdtc10/index.php?action=vallex&amp;frame=v-w3973f8_ZU", "poskytnout (v-w3973f8_ZU)")</f>
        <v>poskytnout (v-w3973f8_ZU)</v>
      </c>
    </row>
    <row r="29052" spans="1:4" x14ac:dyDescent="0.2">
      <c r="B29052" t="s">
        <v>1</v>
      </c>
      <c r="C29052" t="s">
        <v>9547</v>
      </c>
      <c r="D29052" t="s">
        <v>23844</v>
      </c>
    </row>
    <row r="29053" spans="1:4" x14ac:dyDescent="0.2">
      <c r="B29053" t="s">
        <v>8</v>
      </c>
      <c r="C29053" t="s">
        <v>9548</v>
      </c>
      <c r="D29053" t="s">
        <v>23845</v>
      </c>
    </row>
    <row r="29054" spans="1:4" x14ac:dyDescent="0.2">
      <c r="B29054" t="s">
        <v>35</v>
      </c>
      <c r="C29054" t="s">
        <v>9549</v>
      </c>
      <c r="D29054" t="s">
        <v>23846</v>
      </c>
    </row>
    <row r="29056" spans="1:4" x14ac:dyDescent="0.2">
      <c r="A29056" t="s">
        <v>9546</v>
      </c>
      <c r="B29056" t="str">
        <f>HYPERLINK("https://lindat.mff.cuni.cz/services/teitok/pdtc10/index.php?action=vallex&amp;frame=v-w3973f1", "poskytnout (v-w3973f1) - substituted with v-w3973f8_ZU")</f>
        <v>poskytnout (v-w3973f1) - substituted with v-w3973f8_ZU</v>
      </c>
    </row>
    <row r="29057" spans="1:4" x14ac:dyDescent="0.2">
      <c r="B29057" t="s">
        <v>1</v>
      </c>
      <c r="C29057" t="s">
        <v>9550</v>
      </c>
    </row>
    <row r="29058" spans="1:4" x14ac:dyDescent="0.2">
      <c r="B29058" t="s">
        <v>8</v>
      </c>
      <c r="C29058" t="s">
        <v>9551</v>
      </c>
    </row>
    <row r="29059" spans="1:4" x14ac:dyDescent="0.2">
      <c r="B29059" t="s">
        <v>35</v>
      </c>
      <c r="C29059" t="s">
        <v>9552</v>
      </c>
    </row>
    <row r="29061" spans="1:4" x14ac:dyDescent="0.2">
      <c r="A29061" t="s">
        <v>9553</v>
      </c>
      <c r="B29061" t="str">
        <f>HYPERLINK("https://lindat.mff.cuni.cz/services/teitok/pdtc10/index.php?action=vallex&amp;frame=v-w3973f11_ZU", "poskytnout (v-w3973f11_ZU)")</f>
        <v>poskytnout (v-w3973f11_ZU)</v>
      </c>
    </row>
    <row r="29062" spans="1:4" x14ac:dyDescent="0.2">
      <c r="B29062" t="s">
        <v>1</v>
      </c>
      <c r="D29062" t="s">
        <v>23847</v>
      </c>
    </row>
    <row r="29063" spans="1:4" x14ac:dyDescent="0.2">
      <c r="B29063" t="s">
        <v>9554</v>
      </c>
      <c r="C29063" t="s">
        <v>9555</v>
      </c>
      <c r="D29063" t="s">
        <v>23848</v>
      </c>
    </row>
    <row r="29064" spans="1:4" x14ac:dyDescent="0.2">
      <c r="B29064" t="s">
        <v>2542</v>
      </c>
      <c r="D29064" t="s">
        <v>23849</v>
      </c>
    </row>
    <row r="29066" spans="1:4" x14ac:dyDescent="0.2">
      <c r="A29066" t="s">
        <v>9553</v>
      </c>
      <c r="B29066" t="str">
        <f>HYPERLINK("https://lindat.mff.cuni.cz/services/teitok/pdtc10/index.php?action=vallex&amp;frame=v-w3973f10_ZU", "poskytnout (v-w3973f10_ZU) - substituted with v-w3973f11_ZU")</f>
        <v>poskytnout (v-w3973f10_ZU) - substituted with v-w3973f11_ZU</v>
      </c>
    </row>
    <row r="29067" spans="1:4" x14ac:dyDescent="0.2">
      <c r="B29067" t="s">
        <v>1</v>
      </c>
      <c r="C29067" t="s">
        <v>9556</v>
      </c>
    </row>
    <row r="29068" spans="1:4" x14ac:dyDescent="0.2">
      <c r="B29068" t="s">
        <v>9554</v>
      </c>
      <c r="C29068" t="s">
        <v>9557</v>
      </c>
    </row>
    <row r="29069" spans="1:4" x14ac:dyDescent="0.2">
      <c r="B29069" t="s">
        <v>2542</v>
      </c>
      <c r="C29069" t="s">
        <v>9558</v>
      </c>
    </row>
    <row r="29071" spans="1:4" x14ac:dyDescent="0.2">
      <c r="A29071" t="s">
        <v>9553</v>
      </c>
      <c r="B29071" t="str">
        <f>HYPERLINK("https://lindat.mff.cuni.cz/services/teitok/pdtc10/index.php?action=vallex&amp;frame=v-w3973f2", "poskytnout (v-w3973f2) - substituted with v-w3973f11_ZU")</f>
        <v>poskytnout (v-w3973f2) - substituted with v-w3973f11_ZU</v>
      </c>
    </row>
    <row r="29072" spans="1:4" x14ac:dyDescent="0.2">
      <c r="B29072" t="s">
        <v>1</v>
      </c>
      <c r="C29072" t="s">
        <v>9559</v>
      </c>
    </row>
    <row r="29073" spans="1:3" x14ac:dyDescent="0.2">
      <c r="B29073" t="s">
        <v>9554</v>
      </c>
      <c r="C29073" t="s">
        <v>9560</v>
      </c>
    </row>
    <row r="29074" spans="1:3" x14ac:dyDescent="0.2">
      <c r="B29074" t="s">
        <v>2542</v>
      </c>
      <c r="C29074" t="s">
        <v>9561</v>
      </c>
    </row>
    <row r="29076" spans="1:3" x14ac:dyDescent="0.2">
      <c r="A29076" t="s">
        <v>9553</v>
      </c>
      <c r="B29076" t="str">
        <f>HYPERLINK("https://lindat.mff.cuni.cz/services/teitok/pdtc10/index.php?action=vallex&amp;frame=v-w3973f3_ZU", "poskytnout (v-w3973f3_ZU) - substituted with v-w3973f11_ZU")</f>
        <v>poskytnout (v-w3973f3_ZU) - substituted with v-w3973f11_ZU</v>
      </c>
    </row>
    <row r="29077" spans="1:3" x14ac:dyDescent="0.2">
      <c r="B29077" t="s">
        <v>1</v>
      </c>
      <c r="C29077" t="s">
        <v>2486</v>
      </c>
    </row>
    <row r="29078" spans="1:3" x14ac:dyDescent="0.2">
      <c r="B29078" t="s">
        <v>9554</v>
      </c>
      <c r="C29078" t="s">
        <v>2539</v>
      </c>
    </row>
    <row r="29079" spans="1:3" x14ac:dyDescent="0.2">
      <c r="B29079" t="s">
        <v>2542</v>
      </c>
      <c r="C29079" t="s">
        <v>2488</v>
      </c>
    </row>
    <row r="29081" spans="1:3" x14ac:dyDescent="0.2">
      <c r="A29081" t="s">
        <v>9553</v>
      </c>
      <c r="B29081" t="str">
        <f>HYPERLINK("https://lindat.mff.cuni.cz/services/teitok/pdtc10/index.php?action=vallex&amp;frame=v-w3973f4_ZU", "poskytnout (v-w3973f4_ZU) - substituted with v-w3973f11_ZU")</f>
        <v>poskytnout (v-w3973f4_ZU) - substituted with v-w3973f11_ZU</v>
      </c>
    </row>
    <row r="29082" spans="1:3" x14ac:dyDescent="0.2">
      <c r="B29082" t="s">
        <v>1</v>
      </c>
    </row>
    <row r="29083" spans="1:3" x14ac:dyDescent="0.2">
      <c r="B29083" t="s">
        <v>9554</v>
      </c>
    </row>
    <row r="29084" spans="1:3" x14ac:dyDescent="0.2">
      <c r="B29084" t="s">
        <v>2542</v>
      </c>
    </row>
    <row r="29086" spans="1:3" x14ac:dyDescent="0.2">
      <c r="A29086" t="s">
        <v>9553</v>
      </c>
      <c r="B29086" t="str">
        <f>HYPERLINK("https://lindat.mff.cuni.cz/services/teitok/pdtc10/index.php?action=vallex&amp;frame=v-w3973f5_ZU", "poskytnout (v-w3973f5_ZU) - substituted with v-w3973f11_ZU")</f>
        <v>poskytnout (v-w3973f5_ZU) - substituted with v-w3973f11_ZU</v>
      </c>
    </row>
    <row r="29087" spans="1:3" x14ac:dyDescent="0.2">
      <c r="B29087" t="s">
        <v>1</v>
      </c>
      <c r="C29087" t="s">
        <v>9562</v>
      </c>
    </row>
    <row r="29088" spans="1:3" x14ac:dyDescent="0.2">
      <c r="B29088" t="s">
        <v>9554</v>
      </c>
      <c r="C29088" t="s">
        <v>9563</v>
      </c>
    </row>
    <row r="29089" spans="1:3" x14ac:dyDescent="0.2">
      <c r="B29089" t="s">
        <v>2542</v>
      </c>
      <c r="C29089" t="s">
        <v>9564</v>
      </c>
    </row>
    <row r="29091" spans="1:3" x14ac:dyDescent="0.2">
      <c r="A29091" t="s">
        <v>9553</v>
      </c>
      <c r="B29091" t="str">
        <f>HYPERLINK("https://lindat.mff.cuni.cz/services/teitok/pdtc10/index.php?action=vallex&amp;frame=v-w3973f6_ZU", "poskytnout (v-w3973f6_ZU) - substituted with v-w3973f11_ZU")</f>
        <v>poskytnout (v-w3973f6_ZU) - substituted with v-w3973f11_ZU</v>
      </c>
    </row>
    <row r="29092" spans="1:3" x14ac:dyDescent="0.2">
      <c r="B29092" t="s">
        <v>1</v>
      </c>
      <c r="C29092" t="s">
        <v>5974</v>
      </c>
    </row>
    <row r="29093" spans="1:3" x14ac:dyDescent="0.2">
      <c r="B29093" t="s">
        <v>9554</v>
      </c>
      <c r="C29093" t="s">
        <v>9565</v>
      </c>
    </row>
    <row r="29094" spans="1:3" x14ac:dyDescent="0.2">
      <c r="B29094" t="s">
        <v>2542</v>
      </c>
      <c r="C29094" t="s">
        <v>2546</v>
      </c>
    </row>
    <row r="29096" spans="1:3" x14ac:dyDescent="0.2">
      <c r="A29096" t="s">
        <v>9553</v>
      </c>
      <c r="B29096" t="str">
        <f>HYPERLINK("https://lindat.mff.cuni.cz/services/teitok/pdtc10/index.php?action=vallex&amp;frame=v-w3973f7_ZU", "poskytnout (v-w3973f7_ZU) - substituted with v-w3973f11_ZU")</f>
        <v>poskytnout (v-w3973f7_ZU) - substituted with v-w3973f11_ZU</v>
      </c>
    </row>
    <row r="29097" spans="1:3" x14ac:dyDescent="0.2">
      <c r="B29097" t="s">
        <v>1</v>
      </c>
      <c r="C29097" t="s">
        <v>9566</v>
      </c>
    </row>
    <row r="29098" spans="1:3" x14ac:dyDescent="0.2">
      <c r="B29098" t="s">
        <v>9554</v>
      </c>
      <c r="C29098" t="s">
        <v>9567</v>
      </c>
    </row>
    <row r="29099" spans="1:3" x14ac:dyDescent="0.2">
      <c r="B29099" t="s">
        <v>2542</v>
      </c>
      <c r="C29099" t="s">
        <v>9568</v>
      </c>
    </row>
    <row r="29101" spans="1:3" x14ac:dyDescent="0.2">
      <c r="A29101" t="s">
        <v>9553</v>
      </c>
      <c r="B29101" t="str">
        <f>HYPERLINK("https://lindat.mff.cuni.cz/services/teitok/pdtc10/index.php?action=vallex&amp;frame=v-w3973f9_ZU", "poskytnout (v-w3973f9_ZU) - substituted with v-w3973f11_ZU")</f>
        <v>poskytnout (v-w3973f9_ZU) - substituted with v-w3973f11_ZU</v>
      </c>
    </row>
    <row r="29102" spans="1:3" x14ac:dyDescent="0.2">
      <c r="B29102" t="s">
        <v>1</v>
      </c>
      <c r="C29102" t="s">
        <v>9569</v>
      </c>
    </row>
    <row r="29103" spans="1:3" x14ac:dyDescent="0.2">
      <c r="B29103" t="s">
        <v>9554</v>
      </c>
      <c r="C29103" t="s">
        <v>9570</v>
      </c>
    </row>
    <row r="29104" spans="1:3" x14ac:dyDescent="0.2">
      <c r="B29104" t="s">
        <v>2542</v>
      </c>
      <c r="C29104" t="s">
        <v>9571</v>
      </c>
    </row>
    <row r="29106" spans="1:4" x14ac:dyDescent="0.2">
      <c r="A29106" t="s">
        <v>9553</v>
      </c>
      <c r="B29106" t="str">
        <f>HYPERLINK("https://lindat.mff.cuni.cz/services/teitok/pdtc10/index.php?action=vallex&amp;frame=v-w3973hsa_270", "poskytnout (v-w3973hsa_270) - substituted with v-w3973f11_ZU")</f>
        <v>poskytnout (v-w3973hsa_270) - substituted with v-w3973f11_ZU</v>
      </c>
    </row>
    <row r="29107" spans="1:4" x14ac:dyDescent="0.2">
      <c r="B29107" t="s">
        <v>1</v>
      </c>
      <c r="C29107" t="s">
        <v>9572</v>
      </c>
    </row>
    <row r="29108" spans="1:4" x14ac:dyDescent="0.2">
      <c r="B29108" t="s">
        <v>9554</v>
      </c>
      <c r="C29108" t="s">
        <v>9573</v>
      </c>
    </row>
    <row r="29109" spans="1:4" x14ac:dyDescent="0.2">
      <c r="B29109" t="s">
        <v>2542</v>
      </c>
      <c r="C29109" t="s">
        <v>9574</v>
      </c>
    </row>
    <row r="29111" spans="1:4" x14ac:dyDescent="0.2">
      <c r="A29111" t="s">
        <v>9575</v>
      </c>
      <c r="B29111" t="str">
        <f>HYPERLINK("https://lindat.mff.cuni.cz/services/teitok/pdtc10/index.php?action=vallex&amp;frame=v-w3978f1", "poskytovat (v-w3978f1)")</f>
        <v>poskytovat (v-w3978f1)</v>
      </c>
    </row>
    <row r="29112" spans="1:4" x14ac:dyDescent="0.2">
      <c r="B29112" t="s">
        <v>1</v>
      </c>
      <c r="C29112" t="s">
        <v>9576</v>
      </c>
      <c r="D29112" t="s">
        <v>23844</v>
      </c>
    </row>
    <row r="29113" spans="1:4" x14ac:dyDescent="0.2">
      <c r="B29113" t="s">
        <v>8</v>
      </c>
      <c r="C29113" t="s">
        <v>9577</v>
      </c>
      <c r="D29113" t="s">
        <v>23845</v>
      </c>
    </row>
    <row r="29114" spans="1:4" x14ac:dyDescent="0.2">
      <c r="B29114" t="s">
        <v>2542</v>
      </c>
      <c r="C29114" t="s">
        <v>9578</v>
      </c>
      <c r="D29114" t="s">
        <v>23846</v>
      </c>
    </row>
    <row r="29116" spans="1:4" x14ac:dyDescent="0.2">
      <c r="A29116" t="s">
        <v>9579</v>
      </c>
      <c r="B29116" t="str">
        <f>HYPERLINK("https://lindat.mff.cuni.cz/services/teitok/pdtc10/index.php?action=vallex&amp;frame=v-w3978f16_ZU", "poskytovat (v-w3978f16_ZU)")</f>
        <v>poskytovat (v-w3978f16_ZU)</v>
      </c>
    </row>
    <row r="29117" spans="1:4" x14ac:dyDescent="0.2">
      <c r="B29117" t="s">
        <v>1</v>
      </c>
    </row>
    <row r="29118" spans="1:4" x14ac:dyDescent="0.2">
      <c r="B29118" t="s">
        <v>9580</v>
      </c>
    </row>
    <row r="29119" spans="1:4" x14ac:dyDescent="0.2">
      <c r="B29119" t="s">
        <v>2542</v>
      </c>
    </row>
    <row r="29121" spans="1:3" x14ac:dyDescent="0.2">
      <c r="A29121" t="s">
        <v>9579</v>
      </c>
      <c r="B29121" t="str">
        <f>HYPERLINK("https://lindat.mff.cuni.cz/services/teitok/pdtc10/index.php?action=vallex&amp;frame=v-w3978f10_ZU", "poskytovat (v-w3978f10_ZU) - substituted with v-w3978f16_ZU")</f>
        <v>poskytovat (v-w3978f10_ZU) - substituted with v-w3978f16_ZU</v>
      </c>
    </row>
    <row r="29122" spans="1:3" x14ac:dyDescent="0.2">
      <c r="B29122" t="s">
        <v>1</v>
      </c>
      <c r="C29122" t="s">
        <v>9581</v>
      </c>
    </row>
    <row r="29123" spans="1:3" x14ac:dyDescent="0.2">
      <c r="B29123" t="s">
        <v>9580</v>
      </c>
      <c r="C29123" t="s">
        <v>9555</v>
      </c>
    </row>
    <row r="29124" spans="1:3" x14ac:dyDescent="0.2">
      <c r="B29124" t="s">
        <v>2542</v>
      </c>
    </row>
    <row r="29126" spans="1:3" x14ac:dyDescent="0.2">
      <c r="A29126" t="s">
        <v>9579</v>
      </c>
      <c r="B29126" t="str">
        <f>HYPERLINK("https://lindat.mff.cuni.cz/services/teitok/pdtc10/index.php?action=vallex&amp;frame=v-w3978f11_ZU", "poskytovat (v-w3978f11_ZU) - substituted with v-w3978f16_ZU")</f>
        <v>poskytovat (v-w3978f11_ZU) - substituted with v-w3978f16_ZU</v>
      </c>
    </row>
    <row r="29127" spans="1:3" x14ac:dyDescent="0.2">
      <c r="B29127" t="s">
        <v>1</v>
      </c>
      <c r="C29127" t="s">
        <v>9582</v>
      </c>
    </row>
    <row r="29128" spans="1:3" x14ac:dyDescent="0.2">
      <c r="B29128" t="s">
        <v>9580</v>
      </c>
      <c r="C29128" t="s">
        <v>9583</v>
      </c>
    </row>
    <row r="29129" spans="1:3" x14ac:dyDescent="0.2">
      <c r="B29129" t="s">
        <v>2542</v>
      </c>
      <c r="C29129" t="s">
        <v>9584</v>
      </c>
    </row>
    <row r="29131" spans="1:3" x14ac:dyDescent="0.2">
      <c r="A29131" t="s">
        <v>9579</v>
      </c>
      <c r="B29131" t="str">
        <f>HYPERLINK("https://lindat.mff.cuni.cz/services/teitok/pdtc10/index.php?action=vallex&amp;frame=v-w3978f12_ZU", "poskytovat (v-w3978f12_ZU) - substituted with v-w3978f16_ZU")</f>
        <v>poskytovat (v-w3978f12_ZU) - substituted with v-w3978f16_ZU</v>
      </c>
    </row>
    <row r="29132" spans="1:3" x14ac:dyDescent="0.2">
      <c r="B29132" t="s">
        <v>1</v>
      </c>
      <c r="C29132" t="s">
        <v>9585</v>
      </c>
    </row>
    <row r="29133" spans="1:3" x14ac:dyDescent="0.2">
      <c r="B29133" t="s">
        <v>9580</v>
      </c>
      <c r="C29133" t="s">
        <v>9586</v>
      </c>
    </row>
    <row r="29134" spans="1:3" x14ac:dyDescent="0.2">
      <c r="B29134" t="s">
        <v>2542</v>
      </c>
      <c r="C29134" t="s">
        <v>9587</v>
      </c>
    </row>
    <row r="29136" spans="1:3" x14ac:dyDescent="0.2">
      <c r="A29136" t="s">
        <v>9579</v>
      </c>
      <c r="B29136" t="str">
        <f>HYPERLINK("https://lindat.mff.cuni.cz/services/teitok/pdtc10/index.php?action=vallex&amp;frame=v-w3978f13_ZU", "poskytovat (v-w3978f13_ZU) - substituted with v-w3978f16_ZU")</f>
        <v>poskytovat (v-w3978f13_ZU) - substituted with v-w3978f16_ZU</v>
      </c>
    </row>
    <row r="29137" spans="1:4" x14ac:dyDescent="0.2">
      <c r="B29137" t="s">
        <v>1</v>
      </c>
      <c r="C29137" t="s">
        <v>2530</v>
      </c>
    </row>
    <row r="29138" spans="1:4" x14ac:dyDescent="0.2">
      <c r="B29138" t="s">
        <v>9580</v>
      </c>
      <c r="C29138" t="s">
        <v>2545</v>
      </c>
    </row>
    <row r="29139" spans="1:4" x14ac:dyDescent="0.2">
      <c r="B29139" t="s">
        <v>2542</v>
      </c>
      <c r="C29139" t="s">
        <v>2546</v>
      </c>
    </row>
    <row r="29141" spans="1:4" x14ac:dyDescent="0.2">
      <c r="A29141" t="s">
        <v>9579</v>
      </c>
      <c r="B29141" t="str">
        <f>HYPERLINK("https://lindat.mff.cuni.cz/services/teitok/pdtc10/index.php?action=vallex&amp;frame=v-w3978f14_ZU", "poskytovat (v-w3978f14_ZU) - substituted with v-w3978f16_ZU")</f>
        <v>poskytovat (v-w3978f14_ZU) - substituted with v-w3978f16_ZU</v>
      </c>
    </row>
    <row r="29142" spans="1:4" x14ac:dyDescent="0.2">
      <c r="B29142" t="s">
        <v>1</v>
      </c>
      <c r="C29142" t="s">
        <v>9581</v>
      </c>
    </row>
    <row r="29143" spans="1:4" x14ac:dyDescent="0.2">
      <c r="B29143" t="s">
        <v>9580</v>
      </c>
      <c r="C29143" t="s">
        <v>9555</v>
      </c>
    </row>
    <row r="29144" spans="1:4" x14ac:dyDescent="0.2">
      <c r="B29144" t="s">
        <v>2542</v>
      </c>
      <c r="C29144" t="s">
        <v>9549</v>
      </c>
    </row>
    <row r="29146" spans="1:4" x14ac:dyDescent="0.2">
      <c r="A29146" t="s">
        <v>9579</v>
      </c>
      <c r="B29146" t="str">
        <f>HYPERLINK("https://lindat.mff.cuni.cz/services/teitok/pdtc10/index.php?action=vallex&amp;frame=v-w3978f15_ZU", "poskytovat (v-w3978f15_ZU) - substituted with v-w3978f16_ZU")</f>
        <v>poskytovat (v-w3978f15_ZU) - substituted with v-w3978f16_ZU</v>
      </c>
    </row>
    <row r="29147" spans="1:4" x14ac:dyDescent="0.2">
      <c r="B29147" t="s">
        <v>1</v>
      </c>
      <c r="C29147" t="s">
        <v>9581</v>
      </c>
      <c r="D29147" t="s">
        <v>23850</v>
      </c>
    </row>
    <row r="29148" spans="1:4" x14ac:dyDescent="0.2">
      <c r="B29148" t="s">
        <v>9580</v>
      </c>
      <c r="C29148" t="s">
        <v>9555</v>
      </c>
      <c r="D29148" t="s">
        <v>23851</v>
      </c>
    </row>
    <row r="29149" spans="1:4" x14ac:dyDescent="0.2">
      <c r="B29149" t="s">
        <v>2542</v>
      </c>
      <c r="C29149" t="s">
        <v>9549</v>
      </c>
      <c r="D29149" t="s">
        <v>23852</v>
      </c>
    </row>
    <row r="29151" spans="1:4" x14ac:dyDescent="0.2">
      <c r="A29151" t="s">
        <v>9579</v>
      </c>
      <c r="B29151" t="str">
        <f>HYPERLINK("https://lindat.mff.cuni.cz/services/teitok/pdtc10/index.php?action=vallex&amp;frame=v-w3978f2", "poskytovat (v-w3978f2) - substituted with v-w3978f16_ZU")</f>
        <v>poskytovat (v-w3978f2) - substituted with v-w3978f16_ZU</v>
      </c>
    </row>
    <row r="29152" spans="1:4" x14ac:dyDescent="0.2">
      <c r="B29152" t="s">
        <v>1</v>
      </c>
      <c r="C29152" t="s">
        <v>9588</v>
      </c>
    </row>
    <row r="29153" spans="1:3" x14ac:dyDescent="0.2">
      <c r="B29153" t="s">
        <v>9580</v>
      </c>
      <c r="C29153" t="s">
        <v>9589</v>
      </c>
    </row>
    <row r="29154" spans="1:3" x14ac:dyDescent="0.2">
      <c r="B29154" t="s">
        <v>2542</v>
      </c>
      <c r="C29154" t="s">
        <v>9549</v>
      </c>
    </row>
    <row r="29156" spans="1:3" x14ac:dyDescent="0.2">
      <c r="A29156" t="s">
        <v>9579</v>
      </c>
      <c r="B29156" t="str">
        <f>HYPERLINK("https://lindat.mff.cuni.cz/services/teitok/pdtc10/index.php?action=vallex&amp;frame=v-w3978f3", "poskytovat (v-w3978f3) - substituted with v-w3978f16_ZU")</f>
        <v>poskytovat (v-w3978f3) - substituted with v-w3978f16_ZU</v>
      </c>
    </row>
    <row r="29157" spans="1:3" x14ac:dyDescent="0.2">
      <c r="B29157" t="s">
        <v>1</v>
      </c>
      <c r="C29157" t="s">
        <v>9590</v>
      </c>
    </row>
    <row r="29158" spans="1:3" x14ac:dyDescent="0.2">
      <c r="B29158" t="s">
        <v>9580</v>
      </c>
      <c r="C29158" t="s">
        <v>9591</v>
      </c>
    </row>
    <row r="29159" spans="1:3" x14ac:dyDescent="0.2">
      <c r="B29159" t="s">
        <v>2542</v>
      </c>
      <c r="C29159" t="s">
        <v>9592</v>
      </c>
    </row>
    <row r="29161" spans="1:3" x14ac:dyDescent="0.2">
      <c r="A29161" t="s">
        <v>9579</v>
      </c>
      <c r="B29161" t="str">
        <f>HYPERLINK("https://lindat.mff.cuni.cz/services/teitok/pdtc10/index.php?action=vallex&amp;frame=v-w3978f4_ZU", "poskytovat (v-w3978f4_ZU) - substituted with v-w3978f16_ZU")</f>
        <v>poskytovat (v-w3978f4_ZU) - substituted with v-w3978f16_ZU</v>
      </c>
    </row>
    <row r="29162" spans="1:3" x14ac:dyDescent="0.2">
      <c r="B29162" t="s">
        <v>1</v>
      </c>
    </row>
    <row r="29163" spans="1:3" x14ac:dyDescent="0.2">
      <c r="B29163" t="s">
        <v>9580</v>
      </c>
    </row>
    <row r="29164" spans="1:3" x14ac:dyDescent="0.2">
      <c r="B29164" t="s">
        <v>2542</v>
      </c>
    </row>
    <row r="29166" spans="1:3" x14ac:dyDescent="0.2">
      <c r="A29166" t="s">
        <v>9579</v>
      </c>
      <c r="B29166" t="str">
        <f>HYPERLINK("https://lindat.mff.cuni.cz/services/teitok/pdtc10/index.php?action=vallex&amp;frame=v-w3978f5_ZU", "poskytovat (v-w3978f5_ZU) - substituted with v-w3978f16_ZU")</f>
        <v>poskytovat (v-w3978f5_ZU) - substituted with v-w3978f16_ZU</v>
      </c>
    </row>
    <row r="29167" spans="1:3" x14ac:dyDescent="0.2">
      <c r="B29167" t="s">
        <v>1</v>
      </c>
      <c r="C29167" t="s">
        <v>9581</v>
      </c>
    </row>
    <row r="29168" spans="1:3" x14ac:dyDescent="0.2">
      <c r="B29168" t="s">
        <v>9580</v>
      </c>
      <c r="C29168" t="s">
        <v>9555</v>
      </c>
    </row>
    <row r="29169" spans="1:3" x14ac:dyDescent="0.2">
      <c r="B29169" t="s">
        <v>2542</v>
      </c>
      <c r="C29169" t="s">
        <v>9549</v>
      </c>
    </row>
    <row r="29171" spans="1:3" x14ac:dyDescent="0.2">
      <c r="A29171" t="s">
        <v>9579</v>
      </c>
      <c r="B29171" t="str">
        <f>HYPERLINK("https://lindat.mff.cuni.cz/services/teitok/pdtc10/index.php?action=vallex&amp;frame=v-w3978f6_ZU", "poskytovat (v-w3978f6_ZU) - substituted with v-w3978f16_ZU")</f>
        <v>poskytovat (v-w3978f6_ZU) - substituted with v-w3978f16_ZU</v>
      </c>
    </row>
    <row r="29172" spans="1:3" x14ac:dyDescent="0.2">
      <c r="B29172" t="s">
        <v>1</v>
      </c>
      <c r="C29172" t="s">
        <v>133</v>
      </c>
    </row>
    <row r="29173" spans="1:3" x14ac:dyDescent="0.2">
      <c r="B29173" t="s">
        <v>9580</v>
      </c>
      <c r="C29173" t="s">
        <v>4896</v>
      </c>
    </row>
    <row r="29174" spans="1:3" x14ac:dyDescent="0.2">
      <c r="B29174" t="s">
        <v>2542</v>
      </c>
      <c r="C29174" t="s">
        <v>8768</v>
      </c>
    </row>
    <row r="29176" spans="1:3" x14ac:dyDescent="0.2">
      <c r="A29176" t="s">
        <v>9579</v>
      </c>
      <c r="B29176" t="str">
        <f>HYPERLINK("https://lindat.mff.cuni.cz/services/teitok/pdtc10/index.php?action=vallex&amp;frame=v-w3978f7_ZU", "poskytovat (v-w3978f7_ZU) - substituted with v-w3978f16_ZU")</f>
        <v>poskytovat (v-w3978f7_ZU) - substituted with v-w3978f16_ZU</v>
      </c>
    </row>
    <row r="29177" spans="1:3" x14ac:dyDescent="0.2">
      <c r="B29177" t="s">
        <v>1</v>
      </c>
      <c r="C29177" t="s">
        <v>2031</v>
      </c>
    </row>
    <row r="29178" spans="1:3" x14ac:dyDescent="0.2">
      <c r="B29178" t="s">
        <v>9580</v>
      </c>
      <c r="C29178" t="s">
        <v>2952</v>
      </c>
    </row>
    <row r="29179" spans="1:3" x14ac:dyDescent="0.2">
      <c r="B29179" t="s">
        <v>2542</v>
      </c>
    </row>
    <row r="29181" spans="1:3" x14ac:dyDescent="0.2">
      <c r="A29181" t="s">
        <v>9579</v>
      </c>
      <c r="B29181" t="str">
        <f>HYPERLINK("https://lindat.mff.cuni.cz/services/teitok/pdtc10/index.php?action=vallex&amp;frame=v-w3978f8_ZU", "poskytovat (v-w3978f8_ZU) - substituted with v-w3978f16_ZU")</f>
        <v>poskytovat (v-w3978f8_ZU) - substituted with v-w3978f16_ZU</v>
      </c>
    </row>
    <row r="29182" spans="1:3" x14ac:dyDescent="0.2">
      <c r="B29182" t="s">
        <v>1</v>
      </c>
      <c r="C29182" t="s">
        <v>9581</v>
      </c>
    </row>
    <row r="29183" spans="1:3" x14ac:dyDescent="0.2">
      <c r="B29183" t="s">
        <v>9580</v>
      </c>
      <c r="C29183" t="s">
        <v>9555</v>
      </c>
    </row>
    <row r="29184" spans="1:3" x14ac:dyDescent="0.2">
      <c r="B29184" t="s">
        <v>2542</v>
      </c>
      <c r="C29184" t="s">
        <v>9549</v>
      </c>
    </row>
    <row r="29186" spans="1:3" x14ac:dyDescent="0.2">
      <c r="A29186" t="s">
        <v>9579</v>
      </c>
      <c r="B29186" t="str">
        <f>HYPERLINK("https://lindat.mff.cuni.cz/services/teitok/pdtc10/index.php?action=vallex&amp;frame=v-w3978f9_ZU", "poskytovat (v-w3978f9_ZU) - substituted with v-w3978f16_ZU")</f>
        <v>poskytovat (v-w3978f9_ZU) - substituted with v-w3978f16_ZU</v>
      </c>
    </row>
    <row r="29187" spans="1:3" x14ac:dyDescent="0.2">
      <c r="B29187" t="s">
        <v>1</v>
      </c>
    </row>
    <row r="29188" spans="1:3" x14ac:dyDescent="0.2">
      <c r="B29188" t="s">
        <v>9580</v>
      </c>
    </row>
    <row r="29189" spans="1:3" x14ac:dyDescent="0.2">
      <c r="B29189" t="s">
        <v>2542</v>
      </c>
    </row>
    <row r="29191" spans="1:3" x14ac:dyDescent="0.2">
      <c r="A29191" t="s">
        <v>9579</v>
      </c>
      <c r="B29191" t="str">
        <f>HYPERLINK("https://lindat.mff.cuni.cz/services/teitok/pdtc10/index.php?action=vallex&amp;frame=v-w3978hsa_612", "poskytovat (v-w3978hsa_612) - substituted with v-w3978f16_ZU")</f>
        <v>poskytovat (v-w3978hsa_612) - substituted with v-w3978f16_ZU</v>
      </c>
    </row>
    <row r="29192" spans="1:3" x14ac:dyDescent="0.2">
      <c r="B29192" t="s">
        <v>1</v>
      </c>
      <c r="C29192" t="s">
        <v>2521</v>
      </c>
    </row>
    <row r="29193" spans="1:3" x14ac:dyDescent="0.2">
      <c r="B29193" t="s">
        <v>9580</v>
      </c>
      <c r="C29193" t="s">
        <v>2565</v>
      </c>
    </row>
    <row r="29194" spans="1:3" x14ac:dyDescent="0.2">
      <c r="B29194" t="s">
        <v>2542</v>
      </c>
      <c r="C29194" t="s">
        <v>2563</v>
      </c>
    </row>
    <row r="29196" spans="1:3" x14ac:dyDescent="0.2">
      <c r="A29196" t="s">
        <v>9593</v>
      </c>
      <c r="B29196" t="str">
        <f>HYPERLINK("https://lindat.mff.cuni.cz/services/teitok/pdtc10/index.php?action=vallex&amp;frame=v-w3984f5_ZU", "poslat (v-w3984f5_ZU)")</f>
        <v>poslat (v-w3984f5_ZU)</v>
      </c>
    </row>
    <row r="29197" spans="1:3" x14ac:dyDescent="0.2">
      <c r="B29197" t="s">
        <v>1</v>
      </c>
    </row>
    <row r="29198" spans="1:3" x14ac:dyDescent="0.2">
      <c r="B29198" t="s">
        <v>41</v>
      </c>
    </row>
    <row r="29199" spans="1:3" x14ac:dyDescent="0.2">
      <c r="B29199" t="s">
        <v>35</v>
      </c>
    </row>
    <row r="29201" spans="1:4" x14ac:dyDescent="0.2">
      <c r="A29201" t="s">
        <v>9593</v>
      </c>
      <c r="B29201" t="str">
        <f>HYPERLINK("https://lindat.mff.cuni.cz/services/teitok/pdtc10/index.php?action=vallex&amp;frame=v-w3984f2", "poslat (v-w3984f2) - substituted with v-w3984f5_ZU")</f>
        <v>poslat (v-w3984f2) - substituted with v-w3984f5_ZU</v>
      </c>
    </row>
    <row r="29202" spans="1:4" x14ac:dyDescent="0.2">
      <c r="B29202" t="s">
        <v>1</v>
      </c>
      <c r="C29202" t="s">
        <v>9594</v>
      </c>
      <c r="D29202" t="s">
        <v>8003</v>
      </c>
    </row>
    <row r="29203" spans="1:4" x14ac:dyDescent="0.2">
      <c r="B29203" t="s">
        <v>41</v>
      </c>
      <c r="C29203" t="s">
        <v>9595</v>
      </c>
      <c r="D29203" t="s">
        <v>23102</v>
      </c>
    </row>
    <row r="29204" spans="1:4" x14ac:dyDescent="0.2">
      <c r="B29204" t="s">
        <v>35</v>
      </c>
      <c r="C29204" t="s">
        <v>9596</v>
      </c>
      <c r="D29204" t="s">
        <v>23103</v>
      </c>
    </row>
    <row r="29206" spans="1:4" x14ac:dyDescent="0.2">
      <c r="A29206" t="s">
        <v>9597</v>
      </c>
      <c r="B29206" t="str">
        <f>HYPERLINK("https://lindat.mff.cuni.cz/services/teitok/pdtc10/index.php?action=vallex&amp;frame=v-w3984f4", "poslat (v-w3984f4)")</f>
        <v>poslat (v-w3984f4)</v>
      </c>
    </row>
    <row r="29207" spans="1:4" x14ac:dyDescent="0.2">
      <c r="B29207" t="s">
        <v>1</v>
      </c>
      <c r="C29207" t="s">
        <v>2303</v>
      </c>
    </row>
    <row r="29208" spans="1:4" x14ac:dyDescent="0.2">
      <c r="B29208" t="s">
        <v>8</v>
      </c>
      <c r="C29208" t="s">
        <v>1025</v>
      </c>
    </row>
    <row r="29209" spans="1:4" x14ac:dyDescent="0.2">
      <c r="B29209" t="s">
        <v>205</v>
      </c>
      <c r="C29209" t="s">
        <v>7123</v>
      </c>
    </row>
    <row r="29211" spans="1:4" x14ac:dyDescent="0.2">
      <c r="A29211" t="s">
        <v>9598</v>
      </c>
      <c r="B29211" t="str">
        <f>HYPERLINK("https://lindat.mff.cuni.cz/services/teitok/pdtc10/index.php?action=vallex&amp;frame=v-w3984f1", "poslat (v-w3984f1)")</f>
        <v>poslat (v-w3984f1)</v>
      </c>
    </row>
    <row r="29212" spans="1:4" x14ac:dyDescent="0.2">
      <c r="B29212" t="s">
        <v>1</v>
      </c>
      <c r="C29212" t="s">
        <v>9599</v>
      </c>
      <c r="D29212" t="s">
        <v>8003</v>
      </c>
    </row>
    <row r="29213" spans="1:4" x14ac:dyDescent="0.2">
      <c r="B29213" t="s">
        <v>8</v>
      </c>
      <c r="C29213" t="s">
        <v>9600</v>
      </c>
      <c r="D29213" t="s">
        <v>23102</v>
      </c>
    </row>
    <row r="29214" spans="1:4" x14ac:dyDescent="0.2">
      <c r="B29214" t="s">
        <v>90</v>
      </c>
      <c r="C29214" t="s">
        <v>9601</v>
      </c>
      <c r="D29214" t="s">
        <v>23177</v>
      </c>
    </row>
    <row r="29216" spans="1:4" x14ac:dyDescent="0.2">
      <c r="A29216" t="s">
        <v>9602</v>
      </c>
      <c r="B29216" t="str">
        <f>HYPERLINK("https://lindat.mff.cuni.cz/services/teitok/pdtc10/index.php?action=vallex&amp;frame=v-w3984f3", "poslat (v-w3984f3)")</f>
        <v>poslat (v-w3984f3)</v>
      </c>
    </row>
    <row r="29217" spans="1:4" x14ac:dyDescent="0.2">
      <c r="B29217" t="s">
        <v>1</v>
      </c>
      <c r="C29217" t="s">
        <v>9603</v>
      </c>
      <c r="D29217" t="s">
        <v>3580</v>
      </c>
    </row>
    <row r="29218" spans="1:4" x14ac:dyDescent="0.2">
      <c r="B29218" t="s">
        <v>8</v>
      </c>
      <c r="C29218" t="s">
        <v>9604</v>
      </c>
      <c r="D29218" t="s">
        <v>23652</v>
      </c>
    </row>
    <row r="29219" spans="1:4" x14ac:dyDescent="0.2">
      <c r="B29219" t="s">
        <v>90</v>
      </c>
      <c r="C29219" t="s">
        <v>9605</v>
      </c>
      <c r="D29219" t="s">
        <v>23853</v>
      </c>
    </row>
    <row r="29221" spans="1:4" x14ac:dyDescent="0.2">
      <c r="A29221" t="s">
        <v>9606</v>
      </c>
      <c r="B29221" t="str">
        <f>HYPERLINK("https://lindat.mff.cuni.cz/services/teitok/pdtc10/index.php?action=vallex&amp;frame=v-w3984hsa_835", "poslat (v-w3984hsa_835)")</f>
        <v>poslat (v-w3984hsa_835)</v>
      </c>
    </row>
    <row r="29222" spans="1:4" x14ac:dyDescent="0.2">
      <c r="B29222" t="s">
        <v>1</v>
      </c>
      <c r="C29222" t="s">
        <v>2303</v>
      </c>
    </row>
    <row r="29223" spans="1:4" x14ac:dyDescent="0.2">
      <c r="B29223" t="s">
        <v>8</v>
      </c>
      <c r="C29223" t="s">
        <v>1025</v>
      </c>
    </row>
    <row r="29224" spans="1:4" x14ac:dyDescent="0.2">
      <c r="B29224" t="s">
        <v>24</v>
      </c>
    </row>
    <row r="29225" spans="1:4" x14ac:dyDescent="0.2">
      <c r="B29225" t="s">
        <v>61</v>
      </c>
    </row>
    <row r="29227" spans="1:4" x14ac:dyDescent="0.2">
      <c r="A29227" t="s">
        <v>9607</v>
      </c>
      <c r="B29227" t="str">
        <f>HYPERLINK("https://lindat.mff.cuni.cz/services/teitok/pdtc10/index.php?action=vallex&amp;frame=v-whsa_577hsa_578", "poslat si (v-whsa_577hsa_578)")</f>
        <v>poslat si (v-whsa_577hsa_578)</v>
      </c>
    </row>
    <row r="29228" spans="1:4" x14ac:dyDescent="0.2">
      <c r="B29228" t="s">
        <v>1</v>
      </c>
    </row>
    <row r="29229" spans="1:4" x14ac:dyDescent="0.2">
      <c r="B29229" t="s">
        <v>8</v>
      </c>
    </row>
    <row r="29230" spans="1:4" x14ac:dyDescent="0.2">
      <c r="B29230" t="s">
        <v>153</v>
      </c>
    </row>
    <row r="29232" spans="1:4" x14ac:dyDescent="0.2">
      <c r="A29232" t="s">
        <v>9608</v>
      </c>
      <c r="B29232" t="str">
        <f>HYPERLINK("https://lindat.mff.cuni.cz/services/teitok/pdtc10/index.php?action=vallex&amp;frame=v-w3986f1", "poslechnout (v-w3986f1)")</f>
        <v>poslechnout (v-w3986f1)</v>
      </c>
    </row>
    <row r="29233" spans="1:4" x14ac:dyDescent="0.2">
      <c r="B29233" t="s">
        <v>1</v>
      </c>
      <c r="C29233" t="s">
        <v>92</v>
      </c>
      <c r="D29233" t="s">
        <v>23082</v>
      </c>
    </row>
    <row r="29234" spans="1:4" x14ac:dyDescent="0.2">
      <c r="B29234" t="s">
        <v>3766</v>
      </c>
      <c r="C29234" t="s">
        <v>359</v>
      </c>
      <c r="D29234" t="s">
        <v>1478</v>
      </c>
    </row>
    <row r="29236" spans="1:4" x14ac:dyDescent="0.2">
      <c r="A29236" t="s">
        <v>9609</v>
      </c>
      <c r="B29236" t="str">
        <f>HYPERLINK("https://lindat.mff.cuni.cz/services/teitok/pdtc10/index.php?action=vallex&amp;frame=v-w3987f1", "poslechnout si (v-w3987f1)")</f>
        <v>poslechnout si (v-w3987f1)</v>
      </c>
    </row>
    <row r="29237" spans="1:4" x14ac:dyDescent="0.2">
      <c r="B29237" t="s">
        <v>1</v>
      </c>
      <c r="C29237" t="s">
        <v>92</v>
      </c>
      <c r="D29237" t="s">
        <v>92</v>
      </c>
    </row>
    <row r="29238" spans="1:4" x14ac:dyDescent="0.2">
      <c r="B29238" t="s">
        <v>1284</v>
      </c>
      <c r="C29238" t="s">
        <v>359</v>
      </c>
      <c r="D29238" t="s">
        <v>359</v>
      </c>
    </row>
    <row r="29240" spans="1:4" x14ac:dyDescent="0.2">
      <c r="A29240" t="s">
        <v>9610</v>
      </c>
      <c r="B29240" t="str">
        <f>HYPERLINK("https://lindat.mff.cuni.cz/services/teitok/pdtc10/index.php?action=vallex&amp;frame=v-w3988f3_ZU", "poslouchat (v-w3988f3_ZU)")</f>
        <v>poslouchat (v-w3988f3_ZU)</v>
      </c>
    </row>
    <row r="29241" spans="1:4" x14ac:dyDescent="0.2">
      <c r="B29241" t="s">
        <v>1</v>
      </c>
    </row>
    <row r="29242" spans="1:4" x14ac:dyDescent="0.2">
      <c r="B29242" t="s">
        <v>9611</v>
      </c>
    </row>
    <row r="29244" spans="1:4" x14ac:dyDescent="0.2">
      <c r="A29244" t="s">
        <v>9610</v>
      </c>
      <c r="B29244" t="str">
        <f>HYPERLINK("https://lindat.mff.cuni.cz/services/teitok/pdtc10/index.php?action=vallex&amp;frame=v-w3988f1", "poslouchat (v-w3988f1) - substituted with v-w3988f3_ZU")</f>
        <v>poslouchat (v-w3988f1) - substituted with v-w3988f3_ZU</v>
      </c>
    </row>
    <row r="29245" spans="1:4" x14ac:dyDescent="0.2">
      <c r="B29245" t="s">
        <v>1</v>
      </c>
      <c r="C29245" t="s">
        <v>9612</v>
      </c>
      <c r="D29245" t="s">
        <v>92</v>
      </c>
    </row>
    <row r="29246" spans="1:4" x14ac:dyDescent="0.2">
      <c r="B29246" t="s">
        <v>9611</v>
      </c>
      <c r="C29246" t="s">
        <v>9613</v>
      </c>
      <c r="D29246" t="s">
        <v>359</v>
      </c>
    </row>
    <row r="29248" spans="1:4" x14ac:dyDescent="0.2">
      <c r="A29248" t="s">
        <v>9614</v>
      </c>
      <c r="B29248" t="str">
        <f>HYPERLINK("https://lindat.mff.cuni.cz/services/teitok/pdtc10/index.php?action=vallex&amp;frame=v-w3988f2", "poslouchat (v-w3988f2)")</f>
        <v>poslouchat (v-w3988f2)</v>
      </c>
    </row>
    <row r="29249" spans="1:4" x14ac:dyDescent="0.2">
      <c r="B29249" t="s">
        <v>1</v>
      </c>
      <c r="C29249" t="s">
        <v>92</v>
      </c>
    </row>
    <row r="29250" spans="1:4" x14ac:dyDescent="0.2">
      <c r="B29250" t="s">
        <v>8</v>
      </c>
      <c r="C29250" t="s">
        <v>359</v>
      </c>
    </row>
    <row r="29252" spans="1:4" x14ac:dyDescent="0.2">
      <c r="A29252" t="s">
        <v>9615</v>
      </c>
      <c r="B29252" t="str">
        <f>HYPERLINK("https://lindat.mff.cuni.cz/services/teitok/pdtc10/index.php?action=vallex&amp;frame=v-w3988hsa_55", "poslouchat (v-w3988hsa_55)")</f>
        <v>poslouchat (v-w3988hsa_55)</v>
      </c>
    </row>
    <row r="29253" spans="1:4" x14ac:dyDescent="0.2">
      <c r="B29253" t="s">
        <v>1</v>
      </c>
      <c r="C29253" t="s">
        <v>967</v>
      </c>
      <c r="D29253" t="s">
        <v>9239</v>
      </c>
    </row>
    <row r="29254" spans="1:4" x14ac:dyDescent="0.2">
      <c r="B29254" t="s">
        <v>2185</v>
      </c>
      <c r="D29254" t="s">
        <v>23854</v>
      </c>
    </row>
    <row r="29255" spans="1:4" x14ac:dyDescent="0.2">
      <c r="B29255" t="s">
        <v>269</v>
      </c>
      <c r="C29255" t="s">
        <v>81</v>
      </c>
      <c r="D29255" t="s">
        <v>4452</v>
      </c>
    </row>
    <row r="29256" spans="1:4" x14ac:dyDescent="0.2">
      <c r="B29256" t="s">
        <v>321</v>
      </c>
      <c r="C29256" t="s">
        <v>1887</v>
      </c>
      <c r="D29256" t="s">
        <v>23855</v>
      </c>
    </row>
    <row r="29258" spans="1:4" x14ac:dyDescent="0.2">
      <c r="A29258" t="s">
        <v>9616</v>
      </c>
      <c r="B29258" t="str">
        <f>HYPERLINK("https://lindat.mff.cuni.cz/services/teitok/pdtc10/index.php?action=vallex&amp;frame=v-w3989f1", "posloužit (v-w3989f1)")</f>
        <v>posloužit (v-w3989f1)</v>
      </c>
    </row>
    <row r="29259" spans="1:4" x14ac:dyDescent="0.2">
      <c r="B29259" t="s">
        <v>607</v>
      </c>
      <c r="C29259" t="s">
        <v>9617</v>
      </c>
      <c r="D29259" t="s">
        <v>3583</v>
      </c>
    </row>
    <row r="29260" spans="1:4" x14ac:dyDescent="0.2">
      <c r="B29260" t="s">
        <v>198</v>
      </c>
      <c r="C29260" t="s">
        <v>9618</v>
      </c>
      <c r="D29260" t="s">
        <v>6876</v>
      </c>
    </row>
    <row r="29261" spans="1:4" x14ac:dyDescent="0.2">
      <c r="B29261" t="s">
        <v>9619</v>
      </c>
      <c r="C29261" t="s">
        <v>9620</v>
      </c>
    </row>
    <row r="29263" spans="1:4" x14ac:dyDescent="0.2">
      <c r="A29263" t="s">
        <v>9621</v>
      </c>
      <c r="B29263" t="str">
        <f>HYPERLINK("https://lindat.mff.cuni.cz/services/teitok/pdtc10/index.php?action=vallex&amp;frame=v-w3989hsa_357", "posloužit (v-w3989hsa_357)")</f>
        <v>posloužit (v-w3989hsa_357)</v>
      </c>
    </row>
    <row r="29264" spans="1:4" x14ac:dyDescent="0.2">
      <c r="B29264" t="s">
        <v>1</v>
      </c>
    </row>
    <row r="29265" spans="1:4" x14ac:dyDescent="0.2">
      <c r="B29265" t="s">
        <v>103</v>
      </c>
    </row>
    <row r="29267" spans="1:4" x14ac:dyDescent="0.2">
      <c r="A29267" t="s">
        <v>9622</v>
      </c>
      <c r="B29267" t="str">
        <f>HYPERLINK("https://lindat.mff.cuni.cz/services/teitok/pdtc10/index.php?action=vallex&amp;frame=v-w3990f1", "posmívat se (v-w3990f1)")</f>
        <v>posmívat se (v-w3990f1)</v>
      </c>
    </row>
    <row r="29268" spans="1:4" x14ac:dyDescent="0.2">
      <c r="B29268" t="s">
        <v>1</v>
      </c>
      <c r="C29268" t="s">
        <v>140</v>
      </c>
      <c r="D29268" t="s">
        <v>22</v>
      </c>
    </row>
    <row r="29269" spans="1:4" x14ac:dyDescent="0.2">
      <c r="B29269" t="s">
        <v>86</v>
      </c>
      <c r="C29269" t="s">
        <v>34</v>
      </c>
      <c r="D29269" t="s">
        <v>54</v>
      </c>
    </row>
    <row r="29271" spans="1:4" x14ac:dyDescent="0.2">
      <c r="A29271" t="s">
        <v>9623</v>
      </c>
      <c r="B29271" t="str">
        <f>HYPERLINK("https://lindat.mff.cuni.cz/services/teitok/pdtc10/index.php?action=vallex&amp;frame=v-w11924_ZUf1_ZU", "posolit (v-w11924_ZUf1_ZU)")</f>
        <v>posolit (v-w11924_ZUf1_ZU)</v>
      </c>
    </row>
    <row r="29272" spans="1:4" x14ac:dyDescent="0.2">
      <c r="B29272" t="s">
        <v>1</v>
      </c>
    </row>
    <row r="29273" spans="1:4" x14ac:dyDescent="0.2">
      <c r="B29273" t="s">
        <v>8</v>
      </c>
    </row>
    <row r="29275" spans="1:4" x14ac:dyDescent="0.2">
      <c r="A29275" t="s">
        <v>9624</v>
      </c>
      <c r="B29275" t="str">
        <f>HYPERLINK("https://lindat.mff.cuni.cz/services/teitok/pdtc10/index.php?action=vallex&amp;frame=v-w3991f1", "posoudit (v-w3991f1)")</f>
        <v>posoudit (v-w3991f1)</v>
      </c>
    </row>
    <row r="29276" spans="1:4" x14ac:dyDescent="0.2">
      <c r="B29276" t="s">
        <v>1</v>
      </c>
      <c r="C29276" t="s">
        <v>9625</v>
      </c>
      <c r="D29276" t="s">
        <v>23856</v>
      </c>
    </row>
    <row r="29277" spans="1:4" x14ac:dyDescent="0.2">
      <c r="B29277" t="s">
        <v>9626</v>
      </c>
      <c r="C29277" t="s">
        <v>9627</v>
      </c>
      <c r="D29277" t="s">
        <v>23857</v>
      </c>
    </row>
    <row r="29279" spans="1:4" x14ac:dyDescent="0.2">
      <c r="A29279" t="s">
        <v>9628</v>
      </c>
      <c r="B29279" t="str">
        <f>HYPERLINK("https://lindat.mff.cuni.cz/services/teitok/pdtc10/index.php?action=vallex&amp;frame=v-w3992f1", "posouvat (v-w3992f1)")</f>
        <v>posouvat (v-w3992f1)</v>
      </c>
    </row>
    <row r="29280" spans="1:4" x14ac:dyDescent="0.2">
      <c r="B29280" t="s">
        <v>1</v>
      </c>
      <c r="C29280" t="s">
        <v>373</v>
      </c>
      <c r="D29280" t="s">
        <v>3580</v>
      </c>
    </row>
    <row r="29281" spans="1:4" x14ac:dyDescent="0.2">
      <c r="B29281" t="s">
        <v>8</v>
      </c>
      <c r="C29281" t="s">
        <v>335</v>
      </c>
      <c r="D29281" t="s">
        <v>23652</v>
      </c>
    </row>
    <row r="29283" spans="1:4" x14ac:dyDescent="0.2">
      <c r="A29283" t="s">
        <v>9629</v>
      </c>
      <c r="B29283" t="str">
        <f>HYPERLINK("https://lindat.mff.cuni.cz/services/teitok/pdtc10/index.php?action=vallex&amp;frame=v-w3992f2", "posouvat (v-w3992f2)")</f>
        <v>posouvat (v-w3992f2)</v>
      </c>
    </row>
    <row r="29284" spans="1:4" x14ac:dyDescent="0.2">
      <c r="B29284" t="s">
        <v>1</v>
      </c>
      <c r="C29284" t="s">
        <v>2749</v>
      </c>
      <c r="D29284" t="s">
        <v>9760</v>
      </c>
    </row>
    <row r="29285" spans="1:4" x14ac:dyDescent="0.2">
      <c r="B29285" t="s">
        <v>8</v>
      </c>
      <c r="C29285" t="s">
        <v>2750</v>
      </c>
      <c r="D29285" t="s">
        <v>22997</v>
      </c>
    </row>
    <row r="29287" spans="1:4" x14ac:dyDescent="0.2">
      <c r="A29287" t="s">
        <v>9630</v>
      </c>
      <c r="B29287" t="str">
        <f>HYPERLINK("https://lindat.mff.cuni.cz/services/teitok/pdtc10/index.php?action=vallex&amp;frame=v-w3993f1", "posouvat se (v-w3993f1)")</f>
        <v>posouvat se (v-w3993f1)</v>
      </c>
    </row>
    <row r="29288" spans="1:4" x14ac:dyDescent="0.2">
      <c r="B29288" t="s">
        <v>1</v>
      </c>
      <c r="C29288" t="s">
        <v>3797</v>
      </c>
      <c r="D29288" t="s">
        <v>23336</v>
      </c>
    </row>
    <row r="29290" spans="1:4" x14ac:dyDescent="0.2">
      <c r="A29290" t="s">
        <v>9631</v>
      </c>
      <c r="B29290" t="str">
        <f>HYPERLINK("https://lindat.mff.cuni.cz/services/teitok/pdtc10/index.php?action=vallex&amp;frame=v-w11718_ZUf1_ZU", "pospravovat (v-w11718_ZUf1_ZU)")</f>
        <v>pospravovat (v-w11718_ZUf1_ZU)</v>
      </c>
    </row>
    <row r="29291" spans="1:4" x14ac:dyDescent="0.2">
      <c r="B29291" t="s">
        <v>1</v>
      </c>
    </row>
    <row r="29292" spans="1:4" x14ac:dyDescent="0.2">
      <c r="B29292" t="s">
        <v>8</v>
      </c>
    </row>
    <row r="29294" spans="1:4" x14ac:dyDescent="0.2">
      <c r="A29294" t="s">
        <v>9632</v>
      </c>
      <c r="B29294" t="str">
        <f>HYPERLINK("https://lindat.mff.cuni.cz/services/teitok/pdtc10/index.php?action=vallex&amp;frame=v-w10563hsa_344", "pospíchat (v-w10563hsa_344)")</f>
        <v>pospíchat (v-w10563hsa_344)</v>
      </c>
    </row>
    <row r="29295" spans="1:4" x14ac:dyDescent="0.2">
      <c r="B29295" t="s">
        <v>1</v>
      </c>
      <c r="C29295" t="s">
        <v>147</v>
      </c>
      <c r="D29295" t="s">
        <v>23337</v>
      </c>
    </row>
    <row r="29296" spans="1:4" x14ac:dyDescent="0.2">
      <c r="B29296" t="s">
        <v>9633</v>
      </c>
      <c r="C29296" t="s">
        <v>299</v>
      </c>
      <c r="D29296" t="s">
        <v>23339</v>
      </c>
    </row>
    <row r="29298" spans="1:4" x14ac:dyDescent="0.2">
      <c r="A29298" t="s">
        <v>9632</v>
      </c>
      <c r="B29298" t="str">
        <f>HYPERLINK("https://lindat.mff.cuni.cz/services/teitok/pdtc10/index.php?action=vallex&amp;frame=v-w10563f3", "pospíchat (v-w10563f3) - substituted with v-w10563hsa_344")</f>
        <v>pospíchat (v-w10563f3) - substituted with v-w10563hsa_344</v>
      </c>
    </row>
    <row r="29299" spans="1:4" x14ac:dyDescent="0.2">
      <c r="B29299" t="s">
        <v>1</v>
      </c>
      <c r="C29299" t="s">
        <v>9634</v>
      </c>
    </row>
    <row r="29300" spans="1:4" x14ac:dyDescent="0.2">
      <c r="B29300" t="s">
        <v>9633</v>
      </c>
    </row>
    <row r="29302" spans="1:4" x14ac:dyDescent="0.2">
      <c r="A29302" t="s">
        <v>9635</v>
      </c>
      <c r="B29302" t="str">
        <f>HYPERLINK("https://lindat.mff.cuni.cz/services/teitok/pdtc10/index.php?action=vallex&amp;frame=v-w10563f2", "pospíchat (v-w10563f2)")</f>
        <v>pospíchat (v-w10563f2)</v>
      </c>
    </row>
    <row r="29303" spans="1:4" x14ac:dyDescent="0.2">
      <c r="B29303" t="s">
        <v>1</v>
      </c>
      <c r="C29303" t="s">
        <v>147</v>
      </c>
      <c r="D29303" t="s">
        <v>23858</v>
      </c>
    </row>
    <row r="29304" spans="1:4" x14ac:dyDescent="0.2">
      <c r="B29304" t="s">
        <v>90</v>
      </c>
      <c r="D29304" t="s">
        <v>23859</v>
      </c>
    </row>
    <row r="29306" spans="1:4" x14ac:dyDescent="0.2">
      <c r="A29306" t="s">
        <v>9636</v>
      </c>
      <c r="B29306" t="str">
        <f>HYPERLINK("https://lindat.mff.cuni.cz/services/teitok/pdtc10/index.php?action=vallex&amp;frame=v-w3995f1", "pospíšit si (v-w3995f1)")</f>
        <v>pospíšit si (v-w3995f1)</v>
      </c>
    </row>
    <row r="29307" spans="1:4" x14ac:dyDescent="0.2">
      <c r="B29307" t="s">
        <v>331</v>
      </c>
      <c r="C29307" t="s">
        <v>140</v>
      </c>
    </row>
    <row r="29308" spans="1:4" x14ac:dyDescent="0.2">
      <c r="B29308" t="s">
        <v>2423</v>
      </c>
      <c r="C29308" t="s">
        <v>113</v>
      </c>
    </row>
    <row r="29310" spans="1:4" x14ac:dyDescent="0.2">
      <c r="A29310" t="s">
        <v>9637</v>
      </c>
      <c r="B29310" t="str">
        <f>HYPERLINK("https://lindat.mff.cuni.cz/services/teitok/pdtc10/index.php?action=vallex&amp;frame=v-w3995f2", "pospíšit si (v-w3995f2)")</f>
        <v>pospíšit si (v-w3995f2)</v>
      </c>
    </row>
    <row r="29311" spans="1:4" x14ac:dyDescent="0.2">
      <c r="B29311" t="s">
        <v>1</v>
      </c>
      <c r="C29311" t="s">
        <v>9634</v>
      </c>
      <c r="D29311" t="s">
        <v>147</v>
      </c>
    </row>
    <row r="29313" spans="1:4" x14ac:dyDescent="0.2">
      <c r="A29313" t="s">
        <v>9638</v>
      </c>
      <c r="B29313" t="str">
        <f>HYPERLINK("https://lindat.mff.cuni.cz/services/teitok/pdtc10/index.php?action=vallex&amp;frame=v-w3998f1", "postarat se (v-w3998f1)")</f>
        <v>postarat se (v-w3998f1)</v>
      </c>
    </row>
    <row r="29314" spans="1:4" x14ac:dyDescent="0.2">
      <c r="B29314" t="s">
        <v>1</v>
      </c>
      <c r="C29314" t="s">
        <v>9639</v>
      </c>
      <c r="D29314" t="s">
        <v>3081</v>
      </c>
    </row>
    <row r="29315" spans="1:4" x14ac:dyDescent="0.2">
      <c r="B29315" t="s">
        <v>9640</v>
      </c>
      <c r="C29315" t="s">
        <v>9641</v>
      </c>
      <c r="D29315" t="s">
        <v>23630</v>
      </c>
    </row>
    <row r="29317" spans="1:4" x14ac:dyDescent="0.2">
      <c r="A29317" t="s">
        <v>9642</v>
      </c>
      <c r="B29317" t="str">
        <f>HYPERLINK("https://lindat.mff.cuni.cz/services/teitok/pdtc10/index.php?action=vallex&amp;frame=v-w4003f12_ZU", "postavit (v-w4003f12_ZU)")</f>
        <v>postavit (v-w4003f12_ZU)</v>
      </c>
    </row>
    <row r="29318" spans="1:4" x14ac:dyDescent="0.2">
      <c r="B29318" t="s">
        <v>1</v>
      </c>
      <c r="C29318" t="s">
        <v>381</v>
      </c>
      <c r="D29318" t="s">
        <v>334</v>
      </c>
    </row>
    <row r="29319" spans="1:4" x14ac:dyDescent="0.2">
      <c r="B29319" t="s">
        <v>8</v>
      </c>
      <c r="C29319" t="s">
        <v>9643</v>
      </c>
      <c r="D29319" t="s">
        <v>3328</v>
      </c>
    </row>
    <row r="29320" spans="1:4" x14ac:dyDescent="0.2">
      <c r="B29320" t="s">
        <v>442</v>
      </c>
      <c r="C29320" t="s">
        <v>4687</v>
      </c>
      <c r="D29320" t="s">
        <v>23020</v>
      </c>
    </row>
    <row r="29322" spans="1:4" x14ac:dyDescent="0.2">
      <c r="A29322" t="s">
        <v>9642</v>
      </c>
      <c r="B29322" t="str">
        <f>HYPERLINK("https://lindat.mff.cuni.cz/services/teitok/pdtc10/index.php?action=vallex&amp;frame=v-w4003f2", "postavit (v-w4003f2) - substituted with v-w4003f12_ZU")</f>
        <v>postavit (v-w4003f2) - substituted with v-w4003f12_ZU</v>
      </c>
    </row>
    <row r="29323" spans="1:4" x14ac:dyDescent="0.2">
      <c r="B29323" t="s">
        <v>1</v>
      </c>
      <c r="C29323" t="s">
        <v>7595</v>
      </c>
    </row>
    <row r="29324" spans="1:4" x14ac:dyDescent="0.2">
      <c r="B29324" t="s">
        <v>8</v>
      </c>
      <c r="C29324" t="s">
        <v>9644</v>
      </c>
    </row>
    <row r="29325" spans="1:4" x14ac:dyDescent="0.2">
      <c r="B29325" t="s">
        <v>442</v>
      </c>
      <c r="C29325" t="s">
        <v>9645</v>
      </c>
    </row>
    <row r="29327" spans="1:4" x14ac:dyDescent="0.2">
      <c r="A29327" t="s">
        <v>9646</v>
      </c>
      <c r="B29327" t="str">
        <f>HYPERLINK("https://lindat.mff.cuni.cz/services/teitok/pdtc10/index.php?action=vallex&amp;frame=v-w4003f1", "postavit (v-w4003f1)")</f>
        <v>postavit (v-w4003f1)</v>
      </c>
    </row>
    <row r="29328" spans="1:4" x14ac:dyDescent="0.2">
      <c r="B29328" t="s">
        <v>1</v>
      </c>
      <c r="C29328" t="s">
        <v>2521</v>
      </c>
      <c r="D29328" t="s">
        <v>23418</v>
      </c>
    </row>
    <row r="29329" spans="1:4" x14ac:dyDescent="0.2">
      <c r="B29329" t="s">
        <v>8</v>
      </c>
      <c r="C29329" t="s">
        <v>9647</v>
      </c>
      <c r="D29329" t="s">
        <v>23419</v>
      </c>
    </row>
    <row r="29330" spans="1:4" x14ac:dyDescent="0.2">
      <c r="B29330" t="s">
        <v>24</v>
      </c>
      <c r="C29330" t="s">
        <v>4687</v>
      </c>
      <c r="D29330" t="s">
        <v>10345</v>
      </c>
    </row>
    <row r="29332" spans="1:4" x14ac:dyDescent="0.2">
      <c r="A29332" t="s">
        <v>9648</v>
      </c>
      <c r="B29332" t="str">
        <f>HYPERLINK("https://lindat.mff.cuni.cz/services/teitok/pdtc10/index.php?action=vallex&amp;frame=v-w4003f9", "postavit (v-w4003f9)")</f>
        <v>postavit (v-w4003f9)</v>
      </c>
    </row>
    <row r="29333" spans="1:4" x14ac:dyDescent="0.2">
      <c r="B29333" t="s">
        <v>1</v>
      </c>
    </row>
    <row r="29334" spans="1:4" x14ac:dyDescent="0.2">
      <c r="B29334" t="s">
        <v>8</v>
      </c>
    </row>
    <row r="29335" spans="1:4" x14ac:dyDescent="0.2">
      <c r="B29335" t="s">
        <v>9649</v>
      </c>
    </row>
    <row r="29337" spans="1:4" x14ac:dyDescent="0.2">
      <c r="A29337" t="s">
        <v>9650</v>
      </c>
      <c r="B29337" t="str">
        <f>HYPERLINK("https://lindat.mff.cuni.cz/services/teitok/pdtc10/index.php?action=vallex&amp;frame=v-w4003f4", "postavit (v-w4003f4)")</f>
        <v>postavit (v-w4003f4)</v>
      </c>
    </row>
    <row r="29338" spans="1:4" x14ac:dyDescent="0.2">
      <c r="B29338" t="s">
        <v>1</v>
      </c>
      <c r="C29338" t="s">
        <v>1372</v>
      </c>
    </row>
    <row r="29339" spans="1:4" x14ac:dyDescent="0.2">
      <c r="B29339" t="s">
        <v>8</v>
      </c>
      <c r="C29339" t="s">
        <v>9651</v>
      </c>
    </row>
    <row r="29340" spans="1:4" x14ac:dyDescent="0.2">
      <c r="B29340" t="s">
        <v>5</v>
      </c>
    </row>
    <row r="29342" spans="1:4" x14ac:dyDescent="0.2">
      <c r="A29342" t="s">
        <v>9652</v>
      </c>
      <c r="B29342" t="str">
        <f>HYPERLINK("https://lindat.mff.cuni.cz/services/teitok/pdtc10/index.php?action=vallex&amp;frame=v-w4003f7", "postavit (v-w4003f7)")</f>
        <v>postavit (v-w4003f7)</v>
      </c>
    </row>
    <row r="29343" spans="1:4" x14ac:dyDescent="0.2">
      <c r="B29343" t="s">
        <v>1</v>
      </c>
      <c r="C29343" t="s">
        <v>1556</v>
      </c>
      <c r="D29343" t="s">
        <v>13976</v>
      </c>
    </row>
    <row r="29344" spans="1:4" x14ac:dyDescent="0.2">
      <c r="B29344" t="s">
        <v>8</v>
      </c>
      <c r="C29344" t="s">
        <v>9653</v>
      </c>
      <c r="D29344" t="s">
        <v>10414</v>
      </c>
    </row>
    <row r="29345" spans="1:4" x14ac:dyDescent="0.2">
      <c r="B29345" t="s">
        <v>205</v>
      </c>
      <c r="C29345" t="s">
        <v>9654</v>
      </c>
      <c r="D29345" t="s">
        <v>23197</v>
      </c>
    </row>
    <row r="29347" spans="1:4" x14ac:dyDescent="0.2">
      <c r="A29347" t="s">
        <v>9655</v>
      </c>
      <c r="B29347" t="str">
        <f>HYPERLINK("https://lindat.mff.cuni.cz/services/teitok/pdtc10/index.php?action=vallex&amp;frame=v-w4003f3", "postavit (v-w4003f3)")</f>
        <v>postavit (v-w4003f3)</v>
      </c>
    </row>
    <row r="29348" spans="1:4" x14ac:dyDescent="0.2">
      <c r="B29348" t="s">
        <v>1</v>
      </c>
      <c r="C29348" t="s">
        <v>9656</v>
      </c>
      <c r="D29348" t="s">
        <v>23181</v>
      </c>
    </row>
    <row r="29349" spans="1:4" x14ac:dyDescent="0.2">
      <c r="B29349" t="s">
        <v>8</v>
      </c>
      <c r="C29349" t="s">
        <v>9657</v>
      </c>
      <c r="D29349" t="s">
        <v>23182</v>
      </c>
    </row>
    <row r="29350" spans="1:4" x14ac:dyDescent="0.2">
      <c r="B29350" t="s">
        <v>90</v>
      </c>
      <c r="C29350" t="s">
        <v>9658</v>
      </c>
      <c r="D29350" t="s">
        <v>11579</v>
      </c>
    </row>
    <row r="29352" spans="1:4" x14ac:dyDescent="0.2">
      <c r="A29352" t="s">
        <v>9659</v>
      </c>
      <c r="B29352" t="str">
        <f>HYPERLINK("https://lindat.mff.cuni.cz/services/teitok/pdtc10/index.php?action=vallex&amp;frame=v-w4003f6", "postavit (v-w4003f6)")</f>
        <v>postavit (v-w4003f6)</v>
      </c>
    </row>
    <row r="29353" spans="1:4" x14ac:dyDescent="0.2">
      <c r="B29353" t="s">
        <v>1</v>
      </c>
      <c r="C29353" t="s">
        <v>381</v>
      </c>
    </row>
    <row r="29354" spans="1:4" x14ac:dyDescent="0.2">
      <c r="B29354" t="s">
        <v>8</v>
      </c>
      <c r="C29354" t="s">
        <v>9660</v>
      </c>
    </row>
    <row r="29356" spans="1:4" x14ac:dyDescent="0.2">
      <c r="A29356" t="s">
        <v>9661</v>
      </c>
      <c r="B29356" t="str">
        <f>HYPERLINK("https://lindat.mff.cuni.cz/services/teitok/pdtc10/index.php?action=vallex&amp;frame=v-w4003f5", "postavit (v-w4003f5)")</f>
        <v>postavit (v-w4003f5)</v>
      </c>
    </row>
    <row r="29357" spans="1:4" x14ac:dyDescent="0.2">
      <c r="B29357" t="s">
        <v>1</v>
      </c>
      <c r="C29357" t="s">
        <v>430</v>
      </c>
    </row>
    <row r="29358" spans="1:4" x14ac:dyDescent="0.2">
      <c r="B29358" t="s">
        <v>8</v>
      </c>
      <c r="C29358" t="s">
        <v>54</v>
      </c>
    </row>
    <row r="29360" spans="1:4" x14ac:dyDescent="0.2">
      <c r="A29360" t="s">
        <v>9662</v>
      </c>
      <c r="B29360" t="str">
        <f>HYPERLINK("https://lindat.mff.cuni.cz/services/teitok/pdtc10/index.php?action=vallex&amp;frame=v-w4003f11_ZU", "postavit (v-w4003f11_ZU)")</f>
        <v>postavit (v-w4003f11_ZU)</v>
      </c>
    </row>
    <row r="29361" spans="1:4" x14ac:dyDescent="0.2">
      <c r="B29361" t="s">
        <v>1</v>
      </c>
      <c r="C29361" t="s">
        <v>140</v>
      </c>
      <c r="D29361" t="s">
        <v>140</v>
      </c>
    </row>
    <row r="29362" spans="1:4" x14ac:dyDescent="0.2">
      <c r="B29362" t="s">
        <v>8</v>
      </c>
      <c r="C29362" t="s">
        <v>2240</v>
      </c>
      <c r="D29362" t="s">
        <v>2240</v>
      </c>
    </row>
    <row r="29364" spans="1:4" x14ac:dyDescent="0.2">
      <c r="A29364" t="s">
        <v>9663</v>
      </c>
      <c r="B29364" t="str">
        <f>HYPERLINK("https://lindat.mff.cuni.cz/services/teitok/pdtc10/index.php?action=vallex&amp;frame=v-w4003f10", "postavit (v-w4003f10)")</f>
        <v>postavit (v-w4003f10)</v>
      </c>
    </row>
    <row r="29365" spans="1:4" x14ac:dyDescent="0.2">
      <c r="B29365" t="s">
        <v>1</v>
      </c>
      <c r="C29365" t="s">
        <v>33</v>
      </c>
    </row>
    <row r="29366" spans="1:4" x14ac:dyDescent="0.2">
      <c r="B29366" t="s">
        <v>9664</v>
      </c>
      <c r="C29366" t="s">
        <v>1114</v>
      </c>
    </row>
    <row r="29367" spans="1:4" x14ac:dyDescent="0.2">
      <c r="B29367" t="s">
        <v>103</v>
      </c>
    </row>
    <row r="29368" spans="1:4" x14ac:dyDescent="0.2">
      <c r="B29368" t="s">
        <v>90</v>
      </c>
    </row>
    <row r="29370" spans="1:4" x14ac:dyDescent="0.2">
      <c r="A29370" t="s">
        <v>9665</v>
      </c>
      <c r="B29370" t="str">
        <f>HYPERLINK("https://lindat.mff.cuni.cz/services/teitok/pdtc10/index.php?action=vallex&amp;frame=v-w4003f8", "postavit (v-w4003f8)")</f>
        <v>postavit (v-w4003f8)</v>
      </c>
    </row>
    <row r="29371" spans="1:4" x14ac:dyDescent="0.2">
      <c r="B29371" t="s">
        <v>1</v>
      </c>
    </row>
    <row r="29372" spans="1:4" x14ac:dyDescent="0.2">
      <c r="B29372" t="s">
        <v>9666</v>
      </c>
    </row>
    <row r="29373" spans="1:4" x14ac:dyDescent="0.2">
      <c r="B29373" t="s">
        <v>8</v>
      </c>
    </row>
    <row r="29375" spans="1:4" x14ac:dyDescent="0.2">
      <c r="A29375" t="s">
        <v>9667</v>
      </c>
      <c r="B29375" t="str">
        <f>HYPERLINK("https://lindat.mff.cuni.cz/services/teitok/pdtc10/index.php?action=vallex&amp;frame=v-w4004f1", "postavit se (v-w4004f1)")</f>
        <v>postavit se (v-w4004f1)</v>
      </c>
    </row>
    <row r="29376" spans="1:4" x14ac:dyDescent="0.2">
      <c r="B29376" t="s">
        <v>1</v>
      </c>
      <c r="C29376" t="s">
        <v>9668</v>
      </c>
      <c r="D29376" t="s">
        <v>23860</v>
      </c>
    </row>
    <row r="29377" spans="1:4" x14ac:dyDescent="0.2">
      <c r="B29377" t="s">
        <v>9669</v>
      </c>
      <c r="C29377" t="s">
        <v>9670</v>
      </c>
      <c r="D29377" t="s">
        <v>21414</v>
      </c>
    </row>
    <row r="29379" spans="1:4" x14ac:dyDescent="0.2">
      <c r="A29379" t="s">
        <v>9671</v>
      </c>
      <c r="B29379" t="str">
        <f>HYPERLINK("https://lindat.mff.cuni.cz/services/teitok/pdtc10/index.php?action=vallex&amp;frame=v-w4004f5", "postavit se (v-w4004f5)")</f>
        <v>postavit se (v-w4004f5)</v>
      </c>
    </row>
    <row r="29380" spans="1:4" x14ac:dyDescent="0.2">
      <c r="B29380" t="s">
        <v>1</v>
      </c>
      <c r="C29380" t="s">
        <v>4529</v>
      </c>
    </row>
    <row r="29381" spans="1:4" x14ac:dyDescent="0.2">
      <c r="B29381" t="s">
        <v>176</v>
      </c>
    </row>
    <row r="29382" spans="1:4" x14ac:dyDescent="0.2">
      <c r="B29382" t="s">
        <v>346</v>
      </c>
    </row>
    <row r="29383" spans="1:4" x14ac:dyDescent="0.2">
      <c r="B29383" t="s">
        <v>349</v>
      </c>
    </row>
    <row r="29384" spans="1:4" x14ac:dyDescent="0.2">
      <c r="B29384" t="s">
        <v>350</v>
      </c>
    </row>
    <row r="29385" spans="1:4" x14ac:dyDescent="0.2">
      <c r="B29385" t="s">
        <v>351</v>
      </c>
    </row>
    <row r="29387" spans="1:4" x14ac:dyDescent="0.2">
      <c r="A29387" t="s">
        <v>9672</v>
      </c>
      <c r="B29387" t="str">
        <f>HYPERLINK("https://lindat.mff.cuni.cz/services/teitok/pdtc10/index.php?action=vallex&amp;frame=v-w4004f4", "postavit se (v-w4004f4)")</f>
        <v>postavit se (v-w4004f4)</v>
      </c>
    </row>
    <row r="29388" spans="1:4" x14ac:dyDescent="0.2">
      <c r="B29388" t="s">
        <v>1</v>
      </c>
      <c r="C29388" t="s">
        <v>4344</v>
      </c>
      <c r="D29388" t="s">
        <v>140</v>
      </c>
    </row>
    <row r="29389" spans="1:4" x14ac:dyDescent="0.2">
      <c r="B29389" t="s">
        <v>357</v>
      </c>
      <c r="C29389" t="s">
        <v>5754</v>
      </c>
      <c r="D29389" t="s">
        <v>113</v>
      </c>
    </row>
    <row r="29391" spans="1:4" x14ac:dyDescent="0.2">
      <c r="A29391" t="s">
        <v>9673</v>
      </c>
      <c r="B29391" t="str">
        <f>HYPERLINK("https://lindat.mff.cuni.cz/services/teitok/pdtc10/index.php?action=vallex&amp;frame=v-w4004f2", "postavit se (v-w4004f2)")</f>
        <v>postavit se (v-w4004f2)</v>
      </c>
    </row>
    <row r="29392" spans="1:4" x14ac:dyDescent="0.2">
      <c r="B29392" t="s">
        <v>1</v>
      </c>
      <c r="C29392" t="s">
        <v>2717</v>
      </c>
      <c r="D29392" t="s">
        <v>23861</v>
      </c>
    </row>
    <row r="29393" spans="1:3" x14ac:dyDescent="0.2">
      <c r="B29393" t="s">
        <v>205</v>
      </c>
      <c r="C29393" t="s">
        <v>9674</v>
      </c>
    </row>
    <row r="29395" spans="1:3" x14ac:dyDescent="0.2">
      <c r="A29395" t="s">
        <v>9675</v>
      </c>
      <c r="B29395" t="str">
        <f>HYPERLINK("https://lindat.mff.cuni.cz/services/teitok/pdtc10/index.php?action=vallex&amp;frame=v-w4004f3", "postavit se (v-w4004f3)")</f>
        <v>postavit se (v-w4004f3)</v>
      </c>
    </row>
    <row r="29396" spans="1:3" x14ac:dyDescent="0.2">
      <c r="B29396" t="s">
        <v>1</v>
      </c>
      <c r="C29396" t="s">
        <v>4529</v>
      </c>
    </row>
    <row r="29398" spans="1:3" x14ac:dyDescent="0.2">
      <c r="A29398" t="s">
        <v>9676</v>
      </c>
      <c r="B29398" t="str">
        <f>HYPERLINK("https://lindat.mff.cuni.cz/services/teitok/pdtc10/index.php?action=vallex&amp;frame=v-w4004f6", "postavit se (v-w4004f6)")</f>
        <v>postavit se (v-w4004f6)</v>
      </c>
    </row>
    <row r="29399" spans="1:3" x14ac:dyDescent="0.2">
      <c r="B29399" t="s">
        <v>1</v>
      </c>
      <c r="C29399" t="s">
        <v>4985</v>
      </c>
    </row>
    <row r="29400" spans="1:3" x14ac:dyDescent="0.2">
      <c r="B29400" t="s">
        <v>9677</v>
      </c>
      <c r="C29400" t="s">
        <v>5799</v>
      </c>
    </row>
    <row r="29402" spans="1:3" x14ac:dyDescent="0.2">
      <c r="A29402" t="s">
        <v>9678</v>
      </c>
      <c r="B29402" t="str">
        <f>HYPERLINK("https://lindat.mff.cuni.cz/services/teitok/pdtc10/index.php?action=vallex&amp;frame=v-w4004hsa_775", "postavit se (v-w4004hsa_775)")</f>
        <v>postavit se (v-w4004hsa_775)</v>
      </c>
    </row>
    <row r="29403" spans="1:3" x14ac:dyDescent="0.2">
      <c r="B29403" t="s">
        <v>1</v>
      </c>
    </row>
    <row r="29404" spans="1:3" x14ac:dyDescent="0.2">
      <c r="B29404" t="s">
        <v>90</v>
      </c>
    </row>
    <row r="29406" spans="1:3" x14ac:dyDescent="0.2">
      <c r="A29406" t="s">
        <v>9679</v>
      </c>
      <c r="B29406" t="str">
        <f>HYPERLINK("https://lindat.mff.cuni.cz/services/teitok/pdtc10/index.php?action=vallex&amp;frame=v-w4004f7_ZU", "postavit se (v-w4004f7_ZU)")</f>
        <v>postavit se (v-w4004f7_ZU)</v>
      </c>
    </row>
    <row r="29407" spans="1:3" x14ac:dyDescent="0.2">
      <c r="B29407" t="s">
        <v>1</v>
      </c>
      <c r="C29407" t="s">
        <v>186</v>
      </c>
    </row>
    <row r="29408" spans="1:3" x14ac:dyDescent="0.2">
      <c r="B29408" t="s">
        <v>9680</v>
      </c>
    </row>
    <row r="29410" spans="1:2" x14ac:dyDescent="0.2">
      <c r="A29410" t="s">
        <v>9679</v>
      </c>
      <c r="B29410" t="str">
        <f>HYPERLINK("https://lindat.mff.cuni.cz/services/teitok/pdtc10/index.php?action=vallex&amp;frame=v-w4004hsa_776", "postavit se (v-w4004hsa_776) - substituted with v-w4004f7_ZU")</f>
        <v>postavit se (v-w4004hsa_776) - substituted with v-w4004f7_ZU</v>
      </c>
    </row>
    <row r="29411" spans="1:2" x14ac:dyDescent="0.2">
      <c r="B29411" t="s">
        <v>1</v>
      </c>
    </row>
    <row r="29412" spans="1:2" x14ac:dyDescent="0.2">
      <c r="B29412" t="s">
        <v>9680</v>
      </c>
    </row>
    <row r="29414" spans="1:2" x14ac:dyDescent="0.2">
      <c r="A29414" t="s">
        <v>9681</v>
      </c>
      <c r="B29414" t="str">
        <f>HYPERLINK("https://lindat.mff.cuni.cz/services/teitok/pdtc10/index.php?action=vallex&amp;frame=v-w4005f1", "postavit si (v-w4005f1)")</f>
        <v>postavit si (v-w4005f1)</v>
      </c>
    </row>
    <row r="29415" spans="1:2" x14ac:dyDescent="0.2">
      <c r="B29415" t="s">
        <v>1</v>
      </c>
    </row>
    <row r="29416" spans="1:2" x14ac:dyDescent="0.2">
      <c r="B29416" t="s">
        <v>9682</v>
      </c>
    </row>
    <row r="29418" spans="1:2" x14ac:dyDescent="0.2">
      <c r="A29418" t="s">
        <v>9683</v>
      </c>
      <c r="B29418" t="str">
        <f>HYPERLINK("https://lindat.mff.cuni.cz/services/teitok/pdtc10/index.php?action=vallex&amp;frame=v-w3996f1", "postačit (v-w3996f1)")</f>
        <v>postačit (v-w3996f1)</v>
      </c>
    </row>
    <row r="29419" spans="1:2" x14ac:dyDescent="0.2">
      <c r="B29419" t="s">
        <v>2045</v>
      </c>
    </row>
    <row r="29420" spans="1:2" x14ac:dyDescent="0.2">
      <c r="B29420" t="s">
        <v>103</v>
      </c>
    </row>
    <row r="29422" spans="1:2" x14ac:dyDescent="0.2">
      <c r="A29422" t="s">
        <v>9684</v>
      </c>
      <c r="B29422" t="str">
        <f>HYPERLINK("https://lindat.mff.cuni.cz/services/teitok/pdtc10/index.php?action=vallex&amp;frame=v-w3997f1", "postačovat (v-w3997f1)")</f>
        <v>postačovat (v-w3997f1)</v>
      </c>
    </row>
    <row r="29423" spans="1:2" x14ac:dyDescent="0.2">
      <c r="B29423" t="s">
        <v>2045</v>
      </c>
    </row>
    <row r="29424" spans="1:2" x14ac:dyDescent="0.2">
      <c r="B29424" t="s">
        <v>103</v>
      </c>
    </row>
    <row r="29426" spans="1:4" x14ac:dyDescent="0.2">
      <c r="A29426" t="s">
        <v>9685</v>
      </c>
      <c r="B29426" t="str">
        <f>HYPERLINK("https://lindat.mff.cuni.cz/services/teitok/pdtc10/index.php?action=vallex&amp;frame=v-w4006f1", "postesknout si (v-w4006f1)")</f>
        <v>postesknout si (v-w4006f1)</v>
      </c>
    </row>
    <row r="29427" spans="1:4" x14ac:dyDescent="0.2">
      <c r="B29427" t="s">
        <v>1</v>
      </c>
    </row>
    <row r="29428" spans="1:4" x14ac:dyDescent="0.2">
      <c r="B29428" t="s">
        <v>9686</v>
      </c>
    </row>
    <row r="29429" spans="1:4" x14ac:dyDescent="0.2">
      <c r="B29429" t="s">
        <v>78</v>
      </c>
    </row>
    <row r="29431" spans="1:4" x14ac:dyDescent="0.2">
      <c r="A29431" t="s">
        <v>9687</v>
      </c>
      <c r="B29431" t="str">
        <f>HYPERLINK("https://lindat.mff.cuni.cz/services/teitok/pdtc10/index.php?action=vallex&amp;frame=v-w4009f2", "postihnout (v-w4009f2)")</f>
        <v>postihnout (v-w4009f2)</v>
      </c>
    </row>
    <row r="29432" spans="1:4" x14ac:dyDescent="0.2">
      <c r="B29432" t="s">
        <v>1</v>
      </c>
    </row>
    <row r="29433" spans="1:4" x14ac:dyDescent="0.2">
      <c r="B29433" t="s">
        <v>9688</v>
      </c>
    </row>
    <row r="29435" spans="1:4" x14ac:dyDescent="0.2">
      <c r="A29435" t="s">
        <v>9689</v>
      </c>
      <c r="B29435" t="str">
        <f>HYPERLINK("https://lindat.mff.cuni.cz/services/teitok/pdtc10/index.php?action=vallex&amp;frame=v-w4009f1", "postihnout (v-w4009f1)")</f>
        <v>postihnout (v-w4009f1)</v>
      </c>
    </row>
    <row r="29436" spans="1:4" x14ac:dyDescent="0.2">
      <c r="B29436" t="s">
        <v>1</v>
      </c>
      <c r="C29436" t="s">
        <v>9690</v>
      </c>
      <c r="D29436" t="s">
        <v>23156</v>
      </c>
    </row>
    <row r="29437" spans="1:4" x14ac:dyDescent="0.2">
      <c r="B29437" t="s">
        <v>8</v>
      </c>
      <c r="C29437" t="s">
        <v>9691</v>
      </c>
      <c r="D29437" t="s">
        <v>23157</v>
      </c>
    </row>
    <row r="29439" spans="1:4" x14ac:dyDescent="0.2">
      <c r="A29439" t="s">
        <v>9692</v>
      </c>
      <c r="B29439" t="str">
        <f>HYPERLINK("https://lindat.mff.cuni.cz/services/teitok/pdtc10/index.php?action=vallex&amp;frame=v-w4011f1", "postihovat (v-w4011f1)")</f>
        <v>postihovat (v-w4011f1)</v>
      </c>
    </row>
    <row r="29440" spans="1:4" x14ac:dyDescent="0.2">
      <c r="B29440" t="s">
        <v>1</v>
      </c>
      <c r="C29440" t="s">
        <v>9693</v>
      </c>
      <c r="D29440" t="s">
        <v>23156</v>
      </c>
    </row>
    <row r="29441" spans="1:4" x14ac:dyDescent="0.2">
      <c r="B29441" t="s">
        <v>8</v>
      </c>
      <c r="C29441" t="s">
        <v>1109</v>
      </c>
      <c r="D29441" t="s">
        <v>23157</v>
      </c>
    </row>
    <row r="29443" spans="1:4" x14ac:dyDescent="0.2">
      <c r="A29443" t="s">
        <v>9694</v>
      </c>
      <c r="B29443" t="str">
        <f>HYPERLINK("https://lindat.mff.cuni.cz/services/teitok/pdtc10/index.php?action=vallex&amp;frame=v-w4011f2", "postihovat (v-w4011f2)")</f>
        <v>postihovat (v-w4011f2)</v>
      </c>
    </row>
    <row r="29444" spans="1:4" x14ac:dyDescent="0.2">
      <c r="B29444" t="s">
        <v>1</v>
      </c>
    </row>
    <row r="29445" spans="1:4" x14ac:dyDescent="0.2">
      <c r="B29445" t="s">
        <v>8</v>
      </c>
    </row>
    <row r="29447" spans="1:4" x14ac:dyDescent="0.2">
      <c r="A29447" t="s">
        <v>9695</v>
      </c>
      <c r="B29447" t="str">
        <f>HYPERLINK("https://lindat.mff.cuni.cz/services/teitok/pdtc10/index.php?action=vallex&amp;frame=v-w11881_ZUf1_ZU", "postit se (v-w11881_ZUf1_ZU)")</f>
        <v>postit se (v-w11881_ZUf1_ZU)</v>
      </c>
    </row>
    <row r="29448" spans="1:4" x14ac:dyDescent="0.2">
      <c r="B29448" t="s">
        <v>1</v>
      </c>
    </row>
    <row r="29450" spans="1:4" x14ac:dyDescent="0.2">
      <c r="A29450" t="s">
        <v>9696</v>
      </c>
      <c r="B29450" t="str">
        <f>HYPERLINK("https://lindat.mff.cuni.cz/services/teitok/pdtc10/index.php?action=vallex&amp;frame=v-w12195_ZUf1_ZU", "postonávat (v-w12195_ZUf1_ZU)")</f>
        <v>postonávat (v-w12195_ZUf1_ZU)</v>
      </c>
    </row>
    <row r="29451" spans="1:4" x14ac:dyDescent="0.2">
      <c r="B29451" t="s">
        <v>1</v>
      </c>
    </row>
    <row r="29452" spans="1:4" x14ac:dyDescent="0.2">
      <c r="B29452" t="s">
        <v>2423</v>
      </c>
    </row>
    <row r="29454" spans="1:4" x14ac:dyDescent="0.2">
      <c r="A29454" t="s">
        <v>9697</v>
      </c>
      <c r="B29454" t="str">
        <f>HYPERLINK("https://lindat.mff.cuni.cz/services/teitok/pdtc10/index.php?action=vallex&amp;frame=v-w4017f5_ZU", "postoupit (v-w4017f5_ZU)")</f>
        <v>postoupit (v-w4017f5_ZU)</v>
      </c>
    </row>
    <row r="29455" spans="1:4" x14ac:dyDescent="0.2">
      <c r="B29455" t="s">
        <v>1</v>
      </c>
      <c r="C29455" t="s">
        <v>249</v>
      </c>
      <c r="D29455" t="s">
        <v>9612</v>
      </c>
    </row>
    <row r="29456" spans="1:4" x14ac:dyDescent="0.2">
      <c r="B29456" t="s">
        <v>8</v>
      </c>
      <c r="C29456" t="s">
        <v>9698</v>
      </c>
      <c r="D29456" t="s">
        <v>23646</v>
      </c>
    </row>
    <row r="29457" spans="1:4" x14ac:dyDescent="0.2">
      <c r="B29457" t="s">
        <v>9699</v>
      </c>
      <c r="C29457" t="s">
        <v>6457</v>
      </c>
      <c r="D29457" t="s">
        <v>23862</v>
      </c>
    </row>
    <row r="29459" spans="1:4" x14ac:dyDescent="0.2">
      <c r="A29459" t="s">
        <v>9697</v>
      </c>
      <c r="B29459" t="str">
        <f>HYPERLINK("https://lindat.mff.cuni.cz/services/teitok/pdtc10/index.php?action=vallex&amp;frame=v-w4017f2", "postoupit (v-w4017f2) - substituted with v-w4017f5_ZU")</f>
        <v>postoupit (v-w4017f2) - substituted with v-w4017f5_ZU</v>
      </c>
    </row>
    <row r="29460" spans="1:4" x14ac:dyDescent="0.2">
      <c r="B29460" t="s">
        <v>1</v>
      </c>
      <c r="C29460" t="s">
        <v>1106</v>
      </c>
    </row>
    <row r="29461" spans="1:4" x14ac:dyDescent="0.2">
      <c r="B29461" t="s">
        <v>8</v>
      </c>
      <c r="C29461" t="s">
        <v>4074</v>
      </c>
    </row>
    <row r="29462" spans="1:4" x14ac:dyDescent="0.2">
      <c r="B29462" t="s">
        <v>9699</v>
      </c>
      <c r="C29462" t="s">
        <v>9700</v>
      </c>
    </row>
    <row r="29464" spans="1:4" x14ac:dyDescent="0.2">
      <c r="A29464" t="s">
        <v>9701</v>
      </c>
      <c r="B29464" t="str">
        <f>HYPERLINK("https://lindat.mff.cuni.cz/services/teitok/pdtc10/index.php?action=vallex&amp;frame=v-w4017f4_ZU", "postoupit (v-w4017f4_ZU)")</f>
        <v>postoupit (v-w4017f4_ZU)</v>
      </c>
    </row>
    <row r="29465" spans="1:4" x14ac:dyDescent="0.2">
      <c r="B29465" t="s">
        <v>1</v>
      </c>
      <c r="C29465" t="s">
        <v>9702</v>
      </c>
      <c r="D29465" t="s">
        <v>23510</v>
      </c>
    </row>
    <row r="29466" spans="1:4" x14ac:dyDescent="0.2">
      <c r="B29466" t="s">
        <v>46</v>
      </c>
      <c r="C29466" t="s">
        <v>9703</v>
      </c>
      <c r="D29466" t="s">
        <v>23393</v>
      </c>
    </row>
    <row r="29467" spans="1:4" x14ac:dyDescent="0.2">
      <c r="B29467" t="s">
        <v>24</v>
      </c>
      <c r="C29467" t="s">
        <v>5399</v>
      </c>
      <c r="D29467" t="s">
        <v>23394</v>
      </c>
    </row>
    <row r="29469" spans="1:4" x14ac:dyDescent="0.2">
      <c r="A29469" t="s">
        <v>9704</v>
      </c>
      <c r="B29469" t="str">
        <f>HYPERLINK("https://lindat.mff.cuni.cz/services/teitok/pdtc10/index.php?action=vallex&amp;frame=v-w4017f1", "postoupit (v-w4017f1)")</f>
        <v>postoupit (v-w4017f1)</v>
      </c>
    </row>
    <row r="29470" spans="1:4" x14ac:dyDescent="0.2">
      <c r="B29470" t="s">
        <v>1</v>
      </c>
      <c r="C29470" t="s">
        <v>9705</v>
      </c>
    </row>
    <row r="29471" spans="1:4" x14ac:dyDescent="0.2">
      <c r="B29471" t="s">
        <v>90</v>
      </c>
      <c r="C29471" t="s">
        <v>9706</v>
      </c>
    </row>
    <row r="29473" spans="1:4" x14ac:dyDescent="0.2">
      <c r="A29473" t="s">
        <v>9707</v>
      </c>
      <c r="B29473" t="str">
        <f>HYPERLINK("https://lindat.mff.cuni.cz/services/teitok/pdtc10/index.php?action=vallex&amp;frame=v-w4017f3", "postoupit (v-w4017f3)")</f>
        <v>postoupit (v-w4017f3)</v>
      </c>
    </row>
    <row r="29474" spans="1:4" x14ac:dyDescent="0.2">
      <c r="B29474" t="s">
        <v>1</v>
      </c>
      <c r="D29474" t="s">
        <v>23336</v>
      </c>
    </row>
    <row r="29475" spans="1:4" x14ac:dyDescent="0.2">
      <c r="B29475" t="s">
        <v>90</v>
      </c>
    </row>
    <row r="29477" spans="1:4" x14ac:dyDescent="0.2">
      <c r="A29477" t="s">
        <v>9708</v>
      </c>
      <c r="B29477" t="str">
        <f>HYPERLINK("https://lindat.mff.cuni.cz/services/teitok/pdtc10/index.php?action=vallex&amp;frame=v-w4020f1", "postrašit (v-w4020f1)")</f>
        <v>postrašit (v-w4020f1)</v>
      </c>
    </row>
    <row r="29478" spans="1:4" x14ac:dyDescent="0.2">
      <c r="B29478" t="s">
        <v>1</v>
      </c>
    </row>
    <row r="29479" spans="1:4" x14ac:dyDescent="0.2">
      <c r="B29479" t="s">
        <v>8</v>
      </c>
    </row>
    <row r="29481" spans="1:4" x14ac:dyDescent="0.2">
      <c r="A29481" t="s">
        <v>9709</v>
      </c>
      <c r="B29481" t="str">
        <f>HYPERLINK("https://lindat.mff.cuni.cz/services/teitok/pdtc10/index.php?action=vallex&amp;frame=v-w4023f1", "postrkovat (v-w4023f1)")</f>
        <v>postrkovat (v-w4023f1)</v>
      </c>
    </row>
    <row r="29482" spans="1:4" x14ac:dyDescent="0.2">
      <c r="B29482" t="s">
        <v>1</v>
      </c>
    </row>
    <row r="29483" spans="1:4" x14ac:dyDescent="0.2">
      <c r="B29483" t="s">
        <v>8</v>
      </c>
    </row>
    <row r="29485" spans="1:4" x14ac:dyDescent="0.2">
      <c r="A29485" t="s">
        <v>9710</v>
      </c>
      <c r="B29485" t="str">
        <f>HYPERLINK("https://lindat.mff.cuni.cz/services/teitok/pdtc10/index.php?action=vallex&amp;frame=v-w4023f2_ZU", "postrkovat (v-w4023f2_ZU)")</f>
        <v>postrkovat (v-w4023f2_ZU)</v>
      </c>
    </row>
    <row r="29486" spans="1:4" x14ac:dyDescent="0.2">
      <c r="B29486" t="s">
        <v>1</v>
      </c>
    </row>
    <row r="29487" spans="1:4" x14ac:dyDescent="0.2">
      <c r="B29487" t="s">
        <v>8</v>
      </c>
    </row>
    <row r="29489" spans="1:4" x14ac:dyDescent="0.2">
      <c r="A29489" t="s">
        <v>9710</v>
      </c>
      <c r="B29489" t="str">
        <f>HYPERLINK("https://lindat.mff.cuni.cz/services/teitok/pdtc10/index.php?action=vallex&amp;frame=v-w4023hsa_1231", "postrkovat (v-w4023hsa_1231) - substituted with v-w4023f2_ZU")</f>
        <v>postrkovat (v-w4023hsa_1231) - substituted with v-w4023f2_ZU</v>
      </c>
    </row>
    <row r="29490" spans="1:4" x14ac:dyDescent="0.2">
      <c r="B29490" t="s">
        <v>1</v>
      </c>
    </row>
    <row r="29491" spans="1:4" x14ac:dyDescent="0.2">
      <c r="B29491" t="s">
        <v>8</v>
      </c>
    </row>
    <row r="29493" spans="1:4" x14ac:dyDescent="0.2">
      <c r="A29493" t="s">
        <v>9711</v>
      </c>
      <c r="B29493" t="str">
        <f>HYPERLINK("https://lindat.mff.cuni.cz/services/teitok/pdtc10/index.php?action=vallex&amp;frame=v-w4019f2", "postrádat (v-w4019f2)")</f>
        <v>postrádat (v-w4019f2)</v>
      </c>
    </row>
    <row r="29494" spans="1:4" x14ac:dyDescent="0.2">
      <c r="B29494" t="s">
        <v>196</v>
      </c>
      <c r="C29494" t="s">
        <v>9712</v>
      </c>
      <c r="D29494" t="s">
        <v>1077</v>
      </c>
    </row>
    <row r="29495" spans="1:4" x14ac:dyDescent="0.2">
      <c r="B29495" t="s">
        <v>8</v>
      </c>
      <c r="C29495" t="s">
        <v>5666</v>
      </c>
      <c r="D29495" t="s">
        <v>5666</v>
      </c>
    </row>
    <row r="29497" spans="1:4" x14ac:dyDescent="0.2">
      <c r="A29497" t="s">
        <v>9713</v>
      </c>
      <c r="B29497" t="str">
        <f>HYPERLINK("https://lindat.mff.cuni.cz/services/teitok/pdtc10/index.php?action=vallex&amp;frame=v-w4019f1", "postrádat (v-w4019f1)")</f>
        <v>postrádat (v-w4019f1)</v>
      </c>
    </row>
    <row r="29498" spans="1:4" x14ac:dyDescent="0.2">
      <c r="B29498" t="s">
        <v>1</v>
      </c>
      <c r="C29498" t="s">
        <v>3292</v>
      </c>
      <c r="D29498" t="s">
        <v>3542</v>
      </c>
    </row>
    <row r="29499" spans="1:4" x14ac:dyDescent="0.2">
      <c r="B29499" t="s">
        <v>8</v>
      </c>
      <c r="C29499" t="s">
        <v>9714</v>
      </c>
      <c r="D29499" t="s">
        <v>23863</v>
      </c>
    </row>
    <row r="29501" spans="1:4" x14ac:dyDescent="0.2">
      <c r="A29501" t="s">
        <v>9715</v>
      </c>
      <c r="B29501" t="str">
        <f>HYPERLINK("https://lindat.mff.cuni.cz/services/teitok/pdtc10/index.php?action=vallex&amp;frame=v-w4021f1", "postrčit (v-w4021f1)")</f>
        <v>postrčit (v-w4021f1)</v>
      </c>
    </row>
    <row r="29502" spans="1:4" x14ac:dyDescent="0.2">
      <c r="B29502" t="s">
        <v>1</v>
      </c>
      <c r="C29502" t="s">
        <v>294</v>
      </c>
      <c r="D29502" t="s">
        <v>2571</v>
      </c>
    </row>
    <row r="29503" spans="1:4" x14ac:dyDescent="0.2">
      <c r="B29503" t="s">
        <v>8</v>
      </c>
      <c r="C29503" t="s">
        <v>9716</v>
      </c>
      <c r="D29503" t="s">
        <v>23828</v>
      </c>
    </row>
    <row r="29505" spans="1:4" x14ac:dyDescent="0.2">
      <c r="A29505" t="s">
        <v>9717</v>
      </c>
      <c r="B29505" t="str">
        <f>HYPERLINK("https://lindat.mff.cuni.cz/services/teitok/pdtc10/index.php?action=vallex&amp;frame=v-w4021f3_ZU", "postrčit (v-w4021f3_ZU)")</f>
        <v>postrčit (v-w4021f3_ZU)</v>
      </c>
    </row>
    <row r="29506" spans="1:4" x14ac:dyDescent="0.2">
      <c r="B29506" t="s">
        <v>1</v>
      </c>
    </row>
    <row r="29507" spans="1:4" x14ac:dyDescent="0.2">
      <c r="B29507" t="s">
        <v>8</v>
      </c>
    </row>
    <row r="29509" spans="1:4" x14ac:dyDescent="0.2">
      <c r="A29509" t="s">
        <v>9717</v>
      </c>
      <c r="B29509" t="str">
        <f>HYPERLINK("https://lindat.mff.cuni.cz/services/teitok/pdtc10/index.php?action=vallex&amp;frame=v-w4021f2_ZU", "postrčit (v-w4021f2_ZU) - substituted with v-w4021f3_ZU")</f>
        <v>postrčit (v-w4021f2_ZU) - substituted with v-w4021f3_ZU</v>
      </c>
    </row>
    <row r="29510" spans="1:4" x14ac:dyDescent="0.2">
      <c r="B29510" t="s">
        <v>1</v>
      </c>
      <c r="C29510" t="s">
        <v>140</v>
      </c>
    </row>
    <row r="29511" spans="1:4" x14ac:dyDescent="0.2">
      <c r="B29511" t="s">
        <v>8</v>
      </c>
      <c r="C29511" t="s">
        <v>84</v>
      </c>
    </row>
    <row r="29513" spans="1:4" x14ac:dyDescent="0.2">
      <c r="A29513" t="s">
        <v>9717</v>
      </c>
      <c r="B29513" t="str">
        <f>HYPERLINK("https://lindat.mff.cuni.cz/services/teitok/pdtc10/index.php?action=vallex&amp;frame=v-w4021hsa_1205", "postrčit (v-w4021hsa_1205) - substituted with v-w4021f3_ZU")</f>
        <v>postrčit (v-w4021hsa_1205) - substituted with v-w4021f3_ZU</v>
      </c>
    </row>
    <row r="29514" spans="1:4" x14ac:dyDescent="0.2">
      <c r="B29514" t="s">
        <v>1</v>
      </c>
    </row>
    <row r="29515" spans="1:4" x14ac:dyDescent="0.2">
      <c r="B29515" t="s">
        <v>8</v>
      </c>
    </row>
    <row r="29517" spans="1:4" x14ac:dyDescent="0.2">
      <c r="A29517" t="s">
        <v>9718</v>
      </c>
      <c r="B29517" t="str">
        <f>HYPERLINK("https://lindat.mff.cuni.cz/services/teitok/pdtc10/index.php?action=vallex&amp;frame=v-w4030f4", "postupovat (v-w4030f4)")</f>
        <v>postupovat (v-w4030f4)</v>
      </c>
    </row>
    <row r="29518" spans="1:4" x14ac:dyDescent="0.2">
      <c r="B29518" t="s">
        <v>1</v>
      </c>
      <c r="D29518" t="s">
        <v>9612</v>
      </c>
    </row>
    <row r="29519" spans="1:4" x14ac:dyDescent="0.2">
      <c r="B29519" t="s">
        <v>8</v>
      </c>
      <c r="D29519" t="s">
        <v>23646</v>
      </c>
    </row>
    <row r="29520" spans="1:4" x14ac:dyDescent="0.2">
      <c r="B29520" t="s">
        <v>35</v>
      </c>
      <c r="D29520" t="s">
        <v>23862</v>
      </c>
    </row>
    <row r="29522" spans="1:4" x14ac:dyDescent="0.2">
      <c r="A29522" t="s">
        <v>9719</v>
      </c>
      <c r="B29522" t="str">
        <f>HYPERLINK("https://lindat.mff.cuni.cz/services/teitok/pdtc10/index.php?action=vallex&amp;frame=v-w4030f2", "postupovat (v-w4030f2)")</f>
        <v>postupovat (v-w4030f2)</v>
      </c>
    </row>
    <row r="29523" spans="1:4" x14ac:dyDescent="0.2">
      <c r="B29523" t="s">
        <v>1</v>
      </c>
      <c r="C29523" t="s">
        <v>1188</v>
      </c>
      <c r="D29523" t="s">
        <v>23107</v>
      </c>
    </row>
    <row r="29524" spans="1:4" x14ac:dyDescent="0.2">
      <c r="B29524" t="s">
        <v>90</v>
      </c>
      <c r="D29524" t="s">
        <v>23108</v>
      </c>
    </row>
    <row r="29526" spans="1:4" x14ac:dyDescent="0.2">
      <c r="A29526" t="s">
        <v>9720</v>
      </c>
      <c r="B29526" t="str">
        <f>HYPERLINK("https://lindat.mff.cuni.cz/services/teitok/pdtc10/index.php?action=vallex&amp;frame=v-w4030f3", "postupovat (v-w4030f3)")</f>
        <v>postupovat (v-w4030f3)</v>
      </c>
    </row>
    <row r="29527" spans="1:4" x14ac:dyDescent="0.2">
      <c r="B29527" t="s">
        <v>1</v>
      </c>
      <c r="C29527" t="s">
        <v>9721</v>
      </c>
      <c r="D29527" t="s">
        <v>23336</v>
      </c>
    </row>
    <row r="29528" spans="1:4" x14ac:dyDescent="0.2">
      <c r="B29528" t="s">
        <v>90</v>
      </c>
      <c r="C29528" t="s">
        <v>3684</v>
      </c>
    </row>
    <row r="29530" spans="1:4" x14ac:dyDescent="0.2">
      <c r="A29530" t="s">
        <v>9722</v>
      </c>
      <c r="B29530" t="str">
        <f>HYPERLINK("https://lindat.mff.cuni.cz/services/teitok/pdtc10/index.php?action=vallex&amp;frame=v-w4030f5_ZU", "postupovat (v-w4030f5_ZU)")</f>
        <v>postupovat (v-w4030f5_ZU)</v>
      </c>
    </row>
    <row r="29531" spans="1:4" x14ac:dyDescent="0.2">
      <c r="B29531" t="s">
        <v>1</v>
      </c>
    </row>
    <row r="29532" spans="1:4" x14ac:dyDescent="0.2">
      <c r="B29532" t="s">
        <v>415</v>
      </c>
    </row>
    <row r="29533" spans="1:4" x14ac:dyDescent="0.2">
      <c r="B29533" t="s">
        <v>4836</v>
      </c>
    </row>
    <row r="29534" spans="1:4" x14ac:dyDescent="0.2">
      <c r="B29534" t="s">
        <v>346</v>
      </c>
    </row>
    <row r="29535" spans="1:4" x14ac:dyDescent="0.2">
      <c r="B29535" t="s">
        <v>348</v>
      </c>
    </row>
    <row r="29536" spans="1:4" x14ac:dyDescent="0.2">
      <c r="B29536" t="s">
        <v>349</v>
      </c>
    </row>
    <row r="29537" spans="1:4" x14ac:dyDescent="0.2">
      <c r="B29537" t="s">
        <v>350</v>
      </c>
    </row>
    <row r="29538" spans="1:4" x14ac:dyDescent="0.2">
      <c r="B29538" t="s">
        <v>351</v>
      </c>
    </row>
    <row r="29539" spans="1:4" x14ac:dyDescent="0.2">
      <c r="B29539" t="s">
        <v>9723</v>
      </c>
    </row>
    <row r="29541" spans="1:4" x14ac:dyDescent="0.2">
      <c r="A29541" t="s">
        <v>9722</v>
      </c>
      <c r="B29541" t="str">
        <f>HYPERLINK("https://lindat.mff.cuni.cz/services/teitok/pdtc10/index.php?action=vallex&amp;frame=v-w4030f1", "postupovat (v-w4030f1) - substituted with v-w4030f5_ZU")</f>
        <v>postupovat (v-w4030f1) - substituted with v-w4030f5_ZU</v>
      </c>
    </row>
    <row r="29542" spans="1:4" x14ac:dyDescent="0.2">
      <c r="B29542" t="s">
        <v>1</v>
      </c>
      <c r="C29542" t="s">
        <v>9724</v>
      </c>
      <c r="D29542" t="s">
        <v>23372</v>
      </c>
    </row>
    <row r="29543" spans="1:4" x14ac:dyDescent="0.2">
      <c r="B29543" t="s">
        <v>415</v>
      </c>
    </row>
    <row r="29544" spans="1:4" x14ac:dyDescent="0.2">
      <c r="B29544" t="s">
        <v>4836</v>
      </c>
    </row>
    <row r="29545" spans="1:4" x14ac:dyDescent="0.2">
      <c r="B29545" t="s">
        <v>346</v>
      </c>
      <c r="C29545" t="s">
        <v>9725</v>
      </c>
    </row>
    <row r="29546" spans="1:4" x14ac:dyDescent="0.2">
      <c r="B29546" t="s">
        <v>348</v>
      </c>
    </row>
    <row r="29547" spans="1:4" x14ac:dyDescent="0.2">
      <c r="B29547" t="s">
        <v>349</v>
      </c>
    </row>
    <row r="29548" spans="1:4" x14ac:dyDescent="0.2">
      <c r="B29548" t="s">
        <v>350</v>
      </c>
      <c r="C29548" t="s">
        <v>9726</v>
      </c>
    </row>
    <row r="29549" spans="1:4" x14ac:dyDescent="0.2">
      <c r="B29549" t="s">
        <v>351</v>
      </c>
    </row>
    <row r="29550" spans="1:4" x14ac:dyDescent="0.2">
      <c r="B29550" t="s">
        <v>9723</v>
      </c>
    </row>
    <row r="29552" spans="1:4" x14ac:dyDescent="0.2">
      <c r="A29552" t="s">
        <v>9727</v>
      </c>
      <c r="B29552" t="str">
        <f>HYPERLINK("https://lindat.mff.cuni.cz/services/teitok/pdtc10/index.php?action=vallex&amp;frame=v-w3999f1", "postát (v-w3999f1)")</f>
        <v>postát (v-w3999f1)</v>
      </c>
    </row>
    <row r="29553" spans="1:4" x14ac:dyDescent="0.2">
      <c r="B29553" t="s">
        <v>1</v>
      </c>
    </row>
    <row r="29554" spans="1:4" x14ac:dyDescent="0.2">
      <c r="B29554" t="s">
        <v>8</v>
      </c>
    </row>
    <row r="29556" spans="1:4" x14ac:dyDescent="0.2">
      <c r="A29556" t="s">
        <v>9728</v>
      </c>
      <c r="B29556" t="str">
        <f>HYPERLINK("https://lindat.mff.cuni.cz/services/teitok/pdtc10/index.php?action=vallex&amp;frame=v-w3999f2", "postát (v-w3999f2)")</f>
        <v>postát (v-w3999f2)</v>
      </c>
    </row>
    <row r="29557" spans="1:4" x14ac:dyDescent="0.2">
      <c r="B29557" t="s">
        <v>1</v>
      </c>
    </row>
    <row r="29559" spans="1:4" x14ac:dyDescent="0.2">
      <c r="A29559" t="s">
        <v>9729</v>
      </c>
      <c r="B29559" t="str">
        <f>HYPERLINK("https://lindat.mff.cuni.cz/services/teitok/pdtc10/index.php?action=vallex&amp;frame=v-w4000f1", "postávat (v-w4000f1)")</f>
        <v>postávat (v-w4000f1)</v>
      </c>
    </row>
    <row r="29560" spans="1:4" x14ac:dyDescent="0.2">
      <c r="B29560" t="s">
        <v>1</v>
      </c>
      <c r="C29560" t="s">
        <v>4529</v>
      </c>
    </row>
    <row r="29562" spans="1:4" x14ac:dyDescent="0.2">
      <c r="A29562" t="s">
        <v>9730</v>
      </c>
      <c r="B29562" t="str">
        <f>HYPERLINK("https://lindat.mff.cuni.cz/services/teitok/pdtc10/index.php?action=vallex&amp;frame=v-w4007f1", "postěžovat si (v-w4007f1)")</f>
        <v>postěžovat si (v-w4007f1)</v>
      </c>
    </row>
    <row r="29563" spans="1:4" x14ac:dyDescent="0.2">
      <c r="B29563" t="s">
        <v>1</v>
      </c>
      <c r="C29563" t="s">
        <v>3590</v>
      </c>
      <c r="D29563" t="s">
        <v>11295</v>
      </c>
    </row>
    <row r="29564" spans="1:4" x14ac:dyDescent="0.2">
      <c r="B29564" t="s">
        <v>9731</v>
      </c>
      <c r="C29564" t="s">
        <v>732</v>
      </c>
      <c r="D29564" t="s">
        <v>6560</v>
      </c>
    </row>
    <row r="29565" spans="1:4" x14ac:dyDescent="0.2">
      <c r="B29565" t="s">
        <v>78</v>
      </c>
      <c r="C29565" t="s">
        <v>6645</v>
      </c>
      <c r="D29565" t="s">
        <v>6645</v>
      </c>
    </row>
    <row r="29567" spans="1:4" x14ac:dyDescent="0.2">
      <c r="A29567" t="s">
        <v>9732</v>
      </c>
      <c r="B29567" t="str">
        <f>HYPERLINK("https://lindat.mff.cuni.cz/services/teitok/pdtc10/index.php?action=vallex&amp;frame=v-w4025f1", "postřehnout (v-w4025f1)")</f>
        <v>postřehnout (v-w4025f1)</v>
      </c>
    </row>
    <row r="29568" spans="1:4" x14ac:dyDescent="0.2">
      <c r="B29568" t="s">
        <v>1</v>
      </c>
      <c r="C29568" t="s">
        <v>682</v>
      </c>
      <c r="D29568" t="s">
        <v>23620</v>
      </c>
    </row>
    <row r="29569" spans="1:4" x14ac:dyDescent="0.2">
      <c r="B29569" t="s">
        <v>1284</v>
      </c>
      <c r="C29569" t="s">
        <v>2293</v>
      </c>
      <c r="D29569" t="s">
        <v>23864</v>
      </c>
    </row>
    <row r="29571" spans="1:4" x14ac:dyDescent="0.2">
      <c r="A29571" t="s">
        <v>9733</v>
      </c>
      <c r="B29571" t="str">
        <f>HYPERLINK("https://lindat.mff.cuni.cz/services/teitok/pdtc10/index.php?action=vallex&amp;frame=v-w4026f1", "postřelit (v-w4026f1)")</f>
        <v>postřelit (v-w4026f1)</v>
      </c>
    </row>
    <row r="29572" spans="1:4" x14ac:dyDescent="0.2">
      <c r="B29572" t="s">
        <v>1</v>
      </c>
    </row>
    <row r="29573" spans="1:4" x14ac:dyDescent="0.2">
      <c r="B29573" t="s">
        <v>8</v>
      </c>
    </row>
    <row r="29575" spans="1:4" x14ac:dyDescent="0.2">
      <c r="A29575" t="s">
        <v>9734</v>
      </c>
      <c r="B29575" t="str">
        <f>HYPERLINK("https://lindat.mff.cuni.cz/services/teitok/pdtc10/index.php?action=vallex&amp;frame=v-w4027f1", "postříkat (v-w4027f1)")</f>
        <v>postříkat (v-w4027f1)</v>
      </c>
    </row>
    <row r="29576" spans="1:4" x14ac:dyDescent="0.2">
      <c r="B29576" t="s">
        <v>1</v>
      </c>
    </row>
    <row r="29577" spans="1:4" x14ac:dyDescent="0.2">
      <c r="B29577" t="s">
        <v>8</v>
      </c>
    </row>
    <row r="29579" spans="1:4" x14ac:dyDescent="0.2">
      <c r="A29579" t="s">
        <v>9735</v>
      </c>
      <c r="B29579" t="str">
        <f>HYPERLINK("https://lindat.mff.cuni.cz/services/teitok/pdtc10/index.php?action=vallex&amp;frame=v-w4028f1", "postřílet (v-w4028f1)")</f>
        <v>postřílet (v-w4028f1)</v>
      </c>
    </row>
    <row r="29580" spans="1:4" x14ac:dyDescent="0.2">
      <c r="B29580" t="s">
        <v>1</v>
      </c>
      <c r="C29580" t="s">
        <v>249</v>
      </c>
      <c r="D29580" t="s">
        <v>11295</v>
      </c>
    </row>
    <row r="29581" spans="1:4" x14ac:dyDescent="0.2">
      <c r="B29581" t="s">
        <v>8</v>
      </c>
      <c r="D29581" t="s">
        <v>13639</v>
      </c>
    </row>
    <row r="29583" spans="1:4" x14ac:dyDescent="0.2">
      <c r="A29583" t="s">
        <v>9736</v>
      </c>
      <c r="B29583" t="str">
        <f>HYPERLINK("https://lindat.mff.cuni.cz/services/teitok/pdtc10/index.php?action=vallex&amp;frame=v-w4034f1", "posunkovat (v-w4034f1)")</f>
        <v>posunkovat (v-w4034f1)</v>
      </c>
    </row>
    <row r="29584" spans="1:4" x14ac:dyDescent="0.2">
      <c r="B29584" t="s">
        <v>1</v>
      </c>
    </row>
    <row r="29586" spans="1:4" x14ac:dyDescent="0.2">
      <c r="A29586" t="s">
        <v>9737</v>
      </c>
      <c r="B29586" t="str">
        <f>HYPERLINK("https://lindat.mff.cuni.cz/services/teitok/pdtc10/index.php?action=vallex&amp;frame=v-w4035f1", "posunout (v-w4035f1)")</f>
        <v>posunout (v-w4035f1)</v>
      </c>
    </row>
    <row r="29587" spans="1:4" x14ac:dyDescent="0.2">
      <c r="B29587" t="s">
        <v>1</v>
      </c>
      <c r="C29587" t="s">
        <v>9738</v>
      </c>
      <c r="D29587" t="s">
        <v>3580</v>
      </c>
    </row>
    <row r="29588" spans="1:4" x14ac:dyDescent="0.2">
      <c r="B29588" t="s">
        <v>8</v>
      </c>
      <c r="C29588" t="s">
        <v>9739</v>
      </c>
      <c r="D29588" t="s">
        <v>23652</v>
      </c>
    </row>
    <row r="29590" spans="1:4" x14ac:dyDescent="0.2">
      <c r="A29590" t="s">
        <v>9740</v>
      </c>
      <c r="B29590" t="str">
        <f>HYPERLINK("https://lindat.mff.cuni.cz/services/teitok/pdtc10/index.php?action=vallex&amp;frame=v-w4035f2", "posunout (v-w4035f2)")</f>
        <v>posunout (v-w4035f2)</v>
      </c>
    </row>
    <row r="29591" spans="1:4" x14ac:dyDescent="0.2">
      <c r="B29591" t="s">
        <v>1</v>
      </c>
      <c r="C29591" t="s">
        <v>9741</v>
      </c>
      <c r="D29591" t="s">
        <v>23640</v>
      </c>
    </row>
    <row r="29592" spans="1:4" x14ac:dyDescent="0.2">
      <c r="B29592" t="s">
        <v>8</v>
      </c>
      <c r="C29592" t="s">
        <v>5971</v>
      </c>
      <c r="D29592" t="s">
        <v>23641</v>
      </c>
    </row>
    <row r="29594" spans="1:4" x14ac:dyDescent="0.2">
      <c r="A29594" t="s">
        <v>9742</v>
      </c>
      <c r="B29594" t="str">
        <f>HYPERLINK("https://lindat.mff.cuni.cz/services/teitok/pdtc10/index.php?action=vallex&amp;frame=v-w4036f1", "posunout se (v-w4036f1)")</f>
        <v>posunout se (v-w4036f1)</v>
      </c>
    </row>
    <row r="29595" spans="1:4" x14ac:dyDescent="0.2">
      <c r="B29595" t="s">
        <v>1</v>
      </c>
      <c r="C29595" t="s">
        <v>9743</v>
      </c>
      <c r="D29595" t="s">
        <v>23336</v>
      </c>
    </row>
    <row r="29597" spans="1:4" x14ac:dyDescent="0.2">
      <c r="A29597" t="s">
        <v>9744</v>
      </c>
      <c r="B29597" t="str">
        <f>HYPERLINK("https://lindat.mff.cuni.cz/services/teitok/pdtc10/index.php?action=vallex&amp;frame=v-w11386f2", "posunovat (v-w11386f2)")</f>
        <v>posunovat (v-w11386f2)</v>
      </c>
    </row>
    <row r="29598" spans="1:4" x14ac:dyDescent="0.2">
      <c r="B29598" t="s">
        <v>1</v>
      </c>
      <c r="C29598" t="s">
        <v>8690</v>
      </c>
      <c r="D29598" t="s">
        <v>3580</v>
      </c>
    </row>
    <row r="29599" spans="1:4" x14ac:dyDescent="0.2">
      <c r="B29599" t="s">
        <v>8</v>
      </c>
      <c r="C29599" t="s">
        <v>4452</v>
      </c>
      <c r="D29599" t="s">
        <v>23652</v>
      </c>
    </row>
    <row r="29601" spans="1:4" x14ac:dyDescent="0.2">
      <c r="A29601" t="s">
        <v>9745</v>
      </c>
      <c r="B29601" t="str">
        <f>HYPERLINK("https://lindat.mff.cuni.cz/services/teitok/pdtc10/index.php?action=vallex&amp;frame=v-w4037f1", "posunovat se (v-w4037f1)")</f>
        <v>posunovat se (v-w4037f1)</v>
      </c>
    </row>
    <row r="29602" spans="1:4" x14ac:dyDescent="0.2">
      <c r="B29602" t="s">
        <v>1</v>
      </c>
      <c r="D29602" t="s">
        <v>23336</v>
      </c>
    </row>
    <row r="29604" spans="1:4" x14ac:dyDescent="0.2">
      <c r="A29604" t="s">
        <v>9746</v>
      </c>
      <c r="B29604" t="str">
        <f>HYPERLINK("https://lindat.mff.cuni.cz/services/teitok/pdtc10/index.php?action=vallex&amp;frame=v-w4041f1", "posuzovat (v-w4041f1)")</f>
        <v>posuzovat (v-w4041f1)</v>
      </c>
    </row>
    <row r="29605" spans="1:4" x14ac:dyDescent="0.2">
      <c r="B29605" t="s">
        <v>1</v>
      </c>
      <c r="C29605" t="s">
        <v>9747</v>
      </c>
      <c r="D29605" t="s">
        <v>23865</v>
      </c>
    </row>
    <row r="29606" spans="1:4" x14ac:dyDescent="0.2">
      <c r="B29606" t="s">
        <v>1284</v>
      </c>
      <c r="C29606" t="s">
        <v>9748</v>
      </c>
      <c r="D29606" t="s">
        <v>23866</v>
      </c>
    </row>
    <row r="29608" spans="1:4" x14ac:dyDescent="0.2">
      <c r="A29608" t="s">
        <v>9749</v>
      </c>
      <c r="B29608" t="str">
        <f>HYPERLINK("https://lindat.mff.cuni.cz/services/teitok/pdtc10/index.php?action=vallex&amp;frame=v-whsa_1587hsa_1588", "posvačit (v-whsa_1587hsa_1588)")</f>
        <v>posvačit (v-whsa_1587hsa_1588)</v>
      </c>
    </row>
    <row r="29609" spans="1:4" x14ac:dyDescent="0.2">
      <c r="B29609" t="s">
        <v>1</v>
      </c>
    </row>
    <row r="29610" spans="1:4" x14ac:dyDescent="0.2">
      <c r="B29610" t="s">
        <v>220</v>
      </c>
    </row>
    <row r="29612" spans="1:4" x14ac:dyDescent="0.2">
      <c r="A29612" t="s">
        <v>9750</v>
      </c>
      <c r="B29612" t="str">
        <f>HYPERLINK("https://lindat.mff.cuni.cz/services/teitok/pdtc10/index.php?action=vallex&amp;frame=v-w4045f1", "posvítit (v-w4045f1)")</f>
        <v>posvítit (v-w4045f1)</v>
      </c>
    </row>
    <row r="29613" spans="1:4" x14ac:dyDescent="0.2">
      <c r="B29613" t="s">
        <v>1</v>
      </c>
    </row>
    <row r="29615" spans="1:4" x14ac:dyDescent="0.2">
      <c r="A29615" t="s">
        <v>9751</v>
      </c>
      <c r="B29615" t="str">
        <f>HYPERLINK("https://lindat.mff.cuni.cz/services/teitok/pdtc10/index.php?action=vallex&amp;frame=v-w4046f1", "posvítit si (v-w4046f1)")</f>
        <v>posvítit si (v-w4046f1)</v>
      </c>
    </row>
    <row r="29616" spans="1:4" x14ac:dyDescent="0.2">
      <c r="B29616" t="s">
        <v>1</v>
      </c>
      <c r="C29616" t="s">
        <v>976</v>
      </c>
      <c r="D29616" t="s">
        <v>22952</v>
      </c>
    </row>
    <row r="29617" spans="1:4" x14ac:dyDescent="0.2">
      <c r="B29617" t="s">
        <v>28</v>
      </c>
      <c r="C29617" t="s">
        <v>2884</v>
      </c>
      <c r="D29617" t="s">
        <v>22953</v>
      </c>
    </row>
    <row r="29619" spans="1:4" x14ac:dyDescent="0.2">
      <c r="A29619" t="s">
        <v>9752</v>
      </c>
      <c r="B29619" t="str">
        <f>HYPERLINK("https://lindat.mff.cuni.cz/services/teitok/pdtc10/index.php?action=vallex&amp;frame=v-w10063f2", "posvěcovat (v-w10063f2)")</f>
        <v>posvěcovat (v-w10063f2)</v>
      </c>
    </row>
    <row r="29620" spans="1:4" x14ac:dyDescent="0.2">
      <c r="B29620" t="s">
        <v>1</v>
      </c>
      <c r="C29620" t="s">
        <v>2530</v>
      </c>
    </row>
    <row r="29621" spans="1:4" x14ac:dyDescent="0.2">
      <c r="B29621" t="s">
        <v>41</v>
      </c>
      <c r="C29621" t="s">
        <v>2826</v>
      </c>
    </row>
    <row r="29623" spans="1:4" x14ac:dyDescent="0.2">
      <c r="A29623" t="s">
        <v>9753</v>
      </c>
      <c r="B29623" t="str">
        <f>HYPERLINK("https://lindat.mff.cuni.cz/services/teitok/pdtc10/index.php?action=vallex&amp;frame=v-w4044f1", "posvětit (v-w4044f1)")</f>
        <v>posvětit (v-w4044f1)</v>
      </c>
    </row>
    <row r="29624" spans="1:4" x14ac:dyDescent="0.2">
      <c r="B29624" t="s">
        <v>1</v>
      </c>
    </row>
    <row r="29625" spans="1:4" x14ac:dyDescent="0.2">
      <c r="B29625" t="s">
        <v>41</v>
      </c>
    </row>
    <row r="29627" spans="1:4" x14ac:dyDescent="0.2">
      <c r="A29627" t="s">
        <v>9754</v>
      </c>
      <c r="B29627" t="str">
        <f>HYPERLINK("https://lindat.mff.cuni.cz/services/teitok/pdtc10/index.php?action=vallex&amp;frame=v-whsa_571hsa_572", "posypat (v-whsa_571hsa_572)")</f>
        <v>posypat (v-whsa_571hsa_572)</v>
      </c>
    </row>
    <row r="29628" spans="1:4" x14ac:dyDescent="0.2">
      <c r="B29628" t="s">
        <v>1</v>
      </c>
    </row>
    <row r="29629" spans="1:4" x14ac:dyDescent="0.2">
      <c r="B29629" t="s">
        <v>8</v>
      </c>
    </row>
    <row r="29631" spans="1:4" x14ac:dyDescent="0.2">
      <c r="A29631" t="s">
        <v>9755</v>
      </c>
      <c r="B29631" t="str">
        <f>HYPERLINK("https://lindat.mff.cuni.cz/services/teitok/pdtc10/index.php?action=vallex&amp;frame=v-whsa_1597hsa_1598", "posázet (v-whsa_1597hsa_1598)")</f>
        <v>posázet (v-whsa_1597hsa_1598)</v>
      </c>
    </row>
    <row r="29632" spans="1:4" x14ac:dyDescent="0.2">
      <c r="B29632" t="s">
        <v>1</v>
      </c>
    </row>
    <row r="29633" spans="1:4" x14ac:dyDescent="0.2">
      <c r="B29633" t="s">
        <v>8</v>
      </c>
    </row>
    <row r="29635" spans="1:4" x14ac:dyDescent="0.2">
      <c r="A29635" t="s">
        <v>9756</v>
      </c>
      <c r="B29635" t="str">
        <f>HYPERLINK("https://lindat.mff.cuni.cz/services/teitok/pdtc10/index.php?action=vallex&amp;frame=v-w3961f2", "posílat (v-w3961f2)")</f>
        <v>posílat (v-w3961f2)</v>
      </c>
    </row>
    <row r="29636" spans="1:4" x14ac:dyDescent="0.2">
      <c r="B29636" t="s">
        <v>1</v>
      </c>
      <c r="C29636" t="s">
        <v>7915</v>
      </c>
      <c r="D29636" t="s">
        <v>8003</v>
      </c>
    </row>
    <row r="29637" spans="1:4" x14ac:dyDescent="0.2">
      <c r="B29637" t="s">
        <v>8</v>
      </c>
      <c r="C29637" t="s">
        <v>9757</v>
      </c>
      <c r="D29637" t="s">
        <v>23102</v>
      </c>
    </row>
    <row r="29638" spans="1:4" x14ac:dyDescent="0.2">
      <c r="B29638" t="s">
        <v>35</v>
      </c>
      <c r="C29638" t="s">
        <v>9758</v>
      </c>
      <c r="D29638" t="s">
        <v>23103</v>
      </c>
    </row>
    <row r="29640" spans="1:4" x14ac:dyDescent="0.2">
      <c r="A29640" t="s">
        <v>9759</v>
      </c>
      <c r="B29640" t="str">
        <f>HYPERLINK("https://lindat.mff.cuni.cz/services/teitok/pdtc10/index.php?action=vallex&amp;frame=v-w3961f1", "posílat (v-w3961f1)")</f>
        <v>posílat (v-w3961f1)</v>
      </c>
    </row>
    <row r="29641" spans="1:4" x14ac:dyDescent="0.2">
      <c r="B29641" t="s">
        <v>1</v>
      </c>
      <c r="C29641" t="s">
        <v>9760</v>
      </c>
      <c r="D29641" t="s">
        <v>8003</v>
      </c>
    </row>
    <row r="29642" spans="1:4" x14ac:dyDescent="0.2">
      <c r="B29642" t="s">
        <v>8</v>
      </c>
      <c r="C29642" t="s">
        <v>9761</v>
      </c>
      <c r="D29642" t="s">
        <v>23102</v>
      </c>
    </row>
    <row r="29643" spans="1:4" x14ac:dyDescent="0.2">
      <c r="B29643" t="s">
        <v>90</v>
      </c>
      <c r="D29643" t="s">
        <v>23177</v>
      </c>
    </row>
    <row r="29645" spans="1:4" x14ac:dyDescent="0.2">
      <c r="A29645" t="s">
        <v>9762</v>
      </c>
      <c r="B29645" t="str">
        <f>HYPERLINK("https://lindat.mff.cuni.cz/services/teitok/pdtc10/index.php?action=vallex&amp;frame=v-w3961f3", "posílat (v-w3961f3)")</f>
        <v>posílat (v-w3961f3)</v>
      </c>
    </row>
    <row r="29646" spans="1:4" x14ac:dyDescent="0.2">
      <c r="B29646" t="s">
        <v>1</v>
      </c>
      <c r="D29646" t="s">
        <v>8003</v>
      </c>
    </row>
    <row r="29647" spans="1:4" x14ac:dyDescent="0.2">
      <c r="B29647" t="s">
        <v>8</v>
      </c>
      <c r="D29647" t="s">
        <v>23102</v>
      </c>
    </row>
    <row r="29648" spans="1:4" x14ac:dyDescent="0.2">
      <c r="B29648" t="s">
        <v>90</v>
      </c>
      <c r="D29648" t="s">
        <v>23177</v>
      </c>
    </row>
    <row r="29650" spans="1:4" x14ac:dyDescent="0.2">
      <c r="A29650" t="s">
        <v>9763</v>
      </c>
      <c r="B29650" t="str">
        <f>HYPERLINK("https://lindat.mff.cuni.cz/services/teitok/pdtc10/index.php?action=vallex&amp;frame=v-w3964f6_ZU", "posílit (v-w3964f6_ZU)")</f>
        <v>posílit (v-w3964f6_ZU)</v>
      </c>
    </row>
    <row r="29651" spans="1:4" x14ac:dyDescent="0.2">
      <c r="B29651" t="s">
        <v>1</v>
      </c>
      <c r="C29651" t="s">
        <v>1162</v>
      </c>
      <c r="D29651" t="s">
        <v>23523</v>
      </c>
    </row>
    <row r="29652" spans="1:4" x14ac:dyDescent="0.2">
      <c r="B29652" t="s">
        <v>8</v>
      </c>
      <c r="D29652" t="s">
        <v>23524</v>
      </c>
    </row>
    <row r="29653" spans="1:4" x14ac:dyDescent="0.2">
      <c r="B29653" t="s">
        <v>24</v>
      </c>
      <c r="D29653" t="s">
        <v>23525</v>
      </c>
    </row>
    <row r="29654" spans="1:4" x14ac:dyDescent="0.2">
      <c r="B29654" t="s">
        <v>61</v>
      </c>
      <c r="C29654" t="s">
        <v>9764</v>
      </c>
      <c r="D29654" t="s">
        <v>23526</v>
      </c>
    </row>
    <row r="29656" spans="1:4" x14ac:dyDescent="0.2">
      <c r="A29656" t="s">
        <v>9763</v>
      </c>
      <c r="B29656" t="str">
        <f>HYPERLINK("https://lindat.mff.cuni.cz/services/teitok/pdtc10/index.php?action=vallex&amp;frame=v-w3964f3", "posílit (v-w3964f3) - substituted with v-w3964f6_ZU")</f>
        <v>posílit (v-w3964f3) - substituted with v-w3964f6_ZU</v>
      </c>
    </row>
    <row r="29657" spans="1:4" x14ac:dyDescent="0.2">
      <c r="B29657" t="s">
        <v>1</v>
      </c>
      <c r="C29657" t="s">
        <v>9765</v>
      </c>
    </row>
    <row r="29658" spans="1:4" x14ac:dyDescent="0.2">
      <c r="B29658" t="s">
        <v>8</v>
      </c>
      <c r="C29658" t="s">
        <v>9766</v>
      </c>
    </row>
    <row r="29659" spans="1:4" x14ac:dyDescent="0.2">
      <c r="B29659" t="s">
        <v>24</v>
      </c>
      <c r="C29659" t="s">
        <v>9767</v>
      </c>
    </row>
    <row r="29660" spans="1:4" x14ac:dyDescent="0.2">
      <c r="B29660" t="s">
        <v>61</v>
      </c>
      <c r="C29660" t="s">
        <v>9768</v>
      </c>
    </row>
    <row r="29662" spans="1:4" x14ac:dyDescent="0.2">
      <c r="A29662" t="s">
        <v>9769</v>
      </c>
      <c r="B29662" t="str">
        <f>HYPERLINK("https://lindat.mff.cuni.cz/services/teitok/pdtc10/index.php?action=vallex&amp;frame=v-w3964f5_ZU", "posílit (v-w3964f5_ZU)")</f>
        <v>posílit (v-w3964f5_ZU)</v>
      </c>
    </row>
    <row r="29663" spans="1:4" x14ac:dyDescent="0.2">
      <c r="B29663" t="s">
        <v>1</v>
      </c>
      <c r="C29663" t="s">
        <v>9770</v>
      </c>
      <c r="D29663" t="s">
        <v>23510</v>
      </c>
    </row>
    <row r="29664" spans="1:4" x14ac:dyDescent="0.2">
      <c r="B29664" t="s">
        <v>46</v>
      </c>
      <c r="C29664" t="s">
        <v>9771</v>
      </c>
      <c r="D29664" t="s">
        <v>23393</v>
      </c>
    </row>
    <row r="29665" spans="1:4" x14ac:dyDescent="0.2">
      <c r="B29665" t="s">
        <v>24</v>
      </c>
      <c r="C29665" t="s">
        <v>9772</v>
      </c>
      <c r="D29665" t="s">
        <v>23394</v>
      </c>
    </row>
    <row r="29667" spans="1:4" x14ac:dyDescent="0.2">
      <c r="A29667" t="s">
        <v>9769</v>
      </c>
      <c r="B29667" t="str">
        <f>HYPERLINK("https://lindat.mff.cuni.cz/services/teitok/pdtc10/index.php?action=vallex&amp;frame=v-w3964f4_ZU", "posílit (v-w3964f4_ZU) - substituted with v-w3964f5_ZU")</f>
        <v>posílit (v-w3964f4_ZU) - substituted with v-w3964f5_ZU</v>
      </c>
    </row>
    <row r="29668" spans="1:4" x14ac:dyDescent="0.2">
      <c r="B29668" t="s">
        <v>1</v>
      </c>
      <c r="C29668" t="s">
        <v>9773</v>
      </c>
    </row>
    <row r="29669" spans="1:4" x14ac:dyDescent="0.2">
      <c r="B29669" t="s">
        <v>46</v>
      </c>
      <c r="C29669" t="s">
        <v>8449</v>
      </c>
    </row>
    <row r="29670" spans="1:4" x14ac:dyDescent="0.2">
      <c r="B29670" t="s">
        <v>24</v>
      </c>
      <c r="C29670" t="s">
        <v>1289</v>
      </c>
    </row>
    <row r="29672" spans="1:4" x14ac:dyDescent="0.2">
      <c r="A29672" t="s">
        <v>9774</v>
      </c>
      <c r="B29672" t="str">
        <f>HYPERLINK("https://lindat.mff.cuni.cz/services/teitok/pdtc10/index.php?action=vallex&amp;frame=v-w3964f2", "posílit (v-w3964f2)")</f>
        <v>posílit (v-w3964f2)</v>
      </c>
    </row>
    <row r="29673" spans="1:4" x14ac:dyDescent="0.2">
      <c r="B29673" t="s">
        <v>1</v>
      </c>
      <c r="C29673" t="s">
        <v>6245</v>
      </c>
    </row>
    <row r="29674" spans="1:4" x14ac:dyDescent="0.2">
      <c r="B29674" t="s">
        <v>8</v>
      </c>
      <c r="C29674" t="s">
        <v>9775</v>
      </c>
    </row>
    <row r="29675" spans="1:4" x14ac:dyDescent="0.2">
      <c r="B29675" t="s">
        <v>1761</v>
      </c>
      <c r="C29675" t="s">
        <v>8837</v>
      </c>
    </row>
    <row r="29677" spans="1:4" x14ac:dyDescent="0.2">
      <c r="A29677" t="s">
        <v>9776</v>
      </c>
      <c r="B29677" t="str">
        <f>HYPERLINK("https://lindat.mff.cuni.cz/services/teitok/pdtc10/index.php?action=vallex&amp;frame=v-w3964f1", "posílit (v-w3964f1)")</f>
        <v>posílit (v-w3964f1)</v>
      </c>
    </row>
    <row r="29678" spans="1:4" x14ac:dyDescent="0.2">
      <c r="B29678" t="s">
        <v>1</v>
      </c>
      <c r="C29678" t="s">
        <v>9777</v>
      </c>
      <c r="D29678" t="s">
        <v>23841</v>
      </c>
    </row>
    <row r="29679" spans="1:4" x14ac:dyDescent="0.2">
      <c r="B29679" t="s">
        <v>8</v>
      </c>
      <c r="C29679" t="s">
        <v>9778</v>
      </c>
      <c r="D29679" t="s">
        <v>16005</v>
      </c>
    </row>
    <row r="29681" spans="1:3" x14ac:dyDescent="0.2">
      <c r="A29681" t="s">
        <v>9779</v>
      </c>
      <c r="B29681" t="str">
        <f>HYPERLINK("https://lindat.mff.cuni.cz/services/teitok/pdtc10/index.php?action=vallex&amp;frame=v-w3965f1", "posílit se (v-w3965f1)")</f>
        <v>posílit se (v-w3965f1)</v>
      </c>
    </row>
    <row r="29682" spans="1:3" x14ac:dyDescent="0.2">
      <c r="B29682" t="s">
        <v>1</v>
      </c>
      <c r="C29682" t="s">
        <v>9780</v>
      </c>
    </row>
    <row r="29684" spans="1:3" x14ac:dyDescent="0.2">
      <c r="A29684" t="s">
        <v>9781</v>
      </c>
      <c r="B29684" t="str">
        <f>HYPERLINK("https://lindat.mff.cuni.cz/services/teitok/pdtc10/index.php?action=vallex&amp;frame=v-w3965f2_ZU", "posílit se (v-w3965f2_ZU)")</f>
        <v>posílit se (v-w3965f2_ZU)</v>
      </c>
    </row>
    <row r="29685" spans="1:3" x14ac:dyDescent="0.2">
      <c r="B29685" t="s">
        <v>1</v>
      </c>
      <c r="C29685" t="s">
        <v>9782</v>
      </c>
    </row>
    <row r="29687" spans="1:3" x14ac:dyDescent="0.2">
      <c r="A29687" t="s">
        <v>9783</v>
      </c>
      <c r="B29687" t="str">
        <f>HYPERLINK("https://lindat.mff.cuni.cz/services/teitok/pdtc10/index.php?action=vallex&amp;frame=v-w10149f2", "potahovat (v-w10149f2)")</f>
        <v>potahovat (v-w10149f2)</v>
      </c>
    </row>
    <row r="29688" spans="1:3" x14ac:dyDescent="0.2">
      <c r="B29688" t="s">
        <v>1</v>
      </c>
    </row>
    <row r="29689" spans="1:3" x14ac:dyDescent="0.2">
      <c r="B29689" t="s">
        <v>8</v>
      </c>
    </row>
    <row r="29691" spans="1:3" x14ac:dyDescent="0.2">
      <c r="A29691" t="s">
        <v>9784</v>
      </c>
      <c r="B29691" t="str">
        <f>HYPERLINK("https://lindat.mff.cuni.cz/services/teitok/pdtc10/index.php?action=vallex&amp;frame=v-whsa_1695hsa_1696", "potatit se (v-whsa_1695hsa_1696)")</f>
        <v>potatit se (v-whsa_1695hsa_1696)</v>
      </c>
    </row>
    <row r="29692" spans="1:3" x14ac:dyDescent="0.2">
      <c r="B29692" t="s">
        <v>1</v>
      </c>
    </row>
    <row r="29694" spans="1:3" x14ac:dyDescent="0.2">
      <c r="A29694" t="s">
        <v>9785</v>
      </c>
      <c r="B29694" t="str">
        <f>HYPERLINK("https://lindat.mff.cuni.cz/services/teitok/pdtc10/index.php?action=vallex&amp;frame=v-w10311f2", "potisknout (v-w10311f2)")</f>
        <v>potisknout (v-w10311f2)</v>
      </c>
    </row>
    <row r="29695" spans="1:3" x14ac:dyDescent="0.2">
      <c r="B29695" t="s">
        <v>1</v>
      </c>
      <c r="C29695" t="s">
        <v>373</v>
      </c>
    </row>
    <row r="29696" spans="1:3" x14ac:dyDescent="0.2">
      <c r="B29696" t="s">
        <v>8</v>
      </c>
      <c r="C29696" t="s">
        <v>1510</v>
      </c>
    </row>
    <row r="29698" spans="1:4" x14ac:dyDescent="0.2">
      <c r="A29698" t="s">
        <v>9786</v>
      </c>
      <c r="B29698" t="str">
        <f>HYPERLINK("https://lindat.mff.cuni.cz/services/teitok/pdtc10/index.php?action=vallex&amp;frame=v-whsa_595f1_ZU", "potit (v-whsa_595f1_ZU)")</f>
        <v>potit (v-whsa_595f1_ZU)</v>
      </c>
    </row>
    <row r="29699" spans="1:4" x14ac:dyDescent="0.2">
      <c r="B29699" t="s">
        <v>1</v>
      </c>
    </row>
    <row r="29700" spans="1:4" x14ac:dyDescent="0.2">
      <c r="B29700" t="s">
        <v>9787</v>
      </c>
    </row>
    <row r="29702" spans="1:4" x14ac:dyDescent="0.2">
      <c r="A29702" t="s">
        <v>9786</v>
      </c>
      <c r="B29702" t="str">
        <f>HYPERLINK("https://lindat.mff.cuni.cz/services/teitok/pdtc10/index.php?action=vallex&amp;frame=v-whsa_595hsa_596", "potit (v-whsa_595hsa_596) - substituted with v-whsa_595f1_ZU")</f>
        <v>potit (v-whsa_595hsa_596) - substituted with v-whsa_595f1_ZU</v>
      </c>
    </row>
    <row r="29703" spans="1:4" x14ac:dyDescent="0.2">
      <c r="B29703" t="s">
        <v>1</v>
      </c>
    </row>
    <row r="29704" spans="1:4" x14ac:dyDescent="0.2">
      <c r="B29704" t="s">
        <v>9787</v>
      </c>
    </row>
    <row r="29706" spans="1:4" x14ac:dyDescent="0.2">
      <c r="A29706" t="s">
        <v>9788</v>
      </c>
      <c r="B29706" t="str">
        <f>HYPERLINK("https://lindat.mff.cuni.cz/services/teitok/pdtc10/index.php?action=vallex&amp;frame=v-w4074f1", "potit se (v-w4074f1)")</f>
        <v>potit se (v-w4074f1)</v>
      </c>
    </row>
    <row r="29707" spans="1:4" x14ac:dyDescent="0.2">
      <c r="B29707" t="s">
        <v>1</v>
      </c>
      <c r="C29707" t="s">
        <v>4281</v>
      </c>
      <c r="D29707" t="s">
        <v>133</v>
      </c>
    </row>
    <row r="29709" spans="1:4" x14ac:dyDescent="0.2">
      <c r="A29709" t="s">
        <v>9789</v>
      </c>
      <c r="B29709" t="str">
        <f>HYPERLINK("https://lindat.mff.cuni.cz/services/teitok/pdtc10/index.php?action=vallex&amp;frame=v-w4076f2", "potkat (v-w4076f2)")</f>
        <v>potkat (v-w4076f2)</v>
      </c>
    </row>
    <row r="29710" spans="1:4" x14ac:dyDescent="0.2">
      <c r="B29710" t="s">
        <v>1</v>
      </c>
    </row>
    <row r="29711" spans="1:4" x14ac:dyDescent="0.2">
      <c r="B29711" t="s">
        <v>411</v>
      </c>
    </row>
    <row r="29712" spans="1:4" x14ac:dyDescent="0.2">
      <c r="B29712" t="s">
        <v>1056</v>
      </c>
    </row>
    <row r="29714" spans="1:4" x14ac:dyDescent="0.2">
      <c r="A29714" t="s">
        <v>9790</v>
      </c>
      <c r="B29714" t="str">
        <f>HYPERLINK("https://lindat.mff.cuni.cz/services/teitok/pdtc10/index.php?action=vallex&amp;frame=v-w4076f3_ZU", "potkat (v-w4076f3_ZU)")</f>
        <v>potkat (v-w4076f3_ZU)</v>
      </c>
    </row>
    <row r="29715" spans="1:4" x14ac:dyDescent="0.2">
      <c r="B29715" t="s">
        <v>1</v>
      </c>
    </row>
    <row r="29716" spans="1:4" x14ac:dyDescent="0.2">
      <c r="B29716" t="s">
        <v>8</v>
      </c>
    </row>
    <row r="29718" spans="1:4" x14ac:dyDescent="0.2">
      <c r="A29718" t="s">
        <v>9790</v>
      </c>
      <c r="B29718" t="str">
        <f>HYPERLINK("https://lindat.mff.cuni.cz/services/teitok/pdtc10/index.php?action=vallex&amp;frame=v-w4076f1", "potkat (v-w4076f1) - substituted with v-w4076f3_ZU")</f>
        <v>potkat (v-w4076f1) - substituted with v-w4076f3_ZU</v>
      </c>
    </row>
    <row r="29719" spans="1:4" x14ac:dyDescent="0.2">
      <c r="B29719" t="s">
        <v>1</v>
      </c>
      <c r="C29719" t="s">
        <v>9791</v>
      </c>
      <c r="D29719" t="s">
        <v>23156</v>
      </c>
    </row>
    <row r="29720" spans="1:4" x14ac:dyDescent="0.2">
      <c r="B29720" t="s">
        <v>8</v>
      </c>
      <c r="C29720" t="s">
        <v>9792</v>
      </c>
      <c r="D29720" t="s">
        <v>23157</v>
      </c>
    </row>
    <row r="29722" spans="1:4" x14ac:dyDescent="0.2">
      <c r="A29722" t="s">
        <v>9793</v>
      </c>
      <c r="B29722" t="str">
        <f>HYPERLINK("https://lindat.mff.cuni.cz/services/teitok/pdtc10/index.php?action=vallex&amp;frame=v-w4076f4_ZU", "potkat (v-w4076f4_ZU)")</f>
        <v>potkat (v-w4076f4_ZU)</v>
      </c>
    </row>
    <row r="29723" spans="1:4" x14ac:dyDescent="0.2">
      <c r="B29723" t="s">
        <v>1</v>
      </c>
    </row>
    <row r="29724" spans="1:4" x14ac:dyDescent="0.2">
      <c r="B29724" t="s">
        <v>8</v>
      </c>
    </row>
    <row r="29726" spans="1:4" x14ac:dyDescent="0.2">
      <c r="A29726" t="s">
        <v>9794</v>
      </c>
      <c r="B29726" t="str">
        <f>HYPERLINK("https://lindat.mff.cuni.cz/services/teitok/pdtc10/index.php?action=vallex&amp;frame=v-w4077f1", "potkat se (v-w4077f1)")</f>
        <v>potkat se (v-w4077f1)</v>
      </c>
    </row>
    <row r="29727" spans="1:4" x14ac:dyDescent="0.2">
      <c r="B29727" t="s">
        <v>1</v>
      </c>
      <c r="C29727" t="s">
        <v>9612</v>
      </c>
      <c r="D29727" t="s">
        <v>23867</v>
      </c>
    </row>
    <row r="29728" spans="1:4" x14ac:dyDescent="0.2">
      <c r="B29728" t="s">
        <v>411</v>
      </c>
      <c r="C29728" t="s">
        <v>2747</v>
      </c>
      <c r="D29728" t="s">
        <v>7127</v>
      </c>
    </row>
    <row r="29730" spans="1:3" x14ac:dyDescent="0.2">
      <c r="A29730" t="s">
        <v>9795</v>
      </c>
      <c r="B29730" t="str">
        <f>HYPERLINK("https://lindat.mff.cuni.cz/services/teitok/pdtc10/index.php?action=vallex&amp;frame=v-w4077hsa_1083", "potkat se (v-w4077hsa_1083)")</f>
        <v>potkat se (v-w4077hsa_1083)</v>
      </c>
    </row>
    <row r="29731" spans="1:3" x14ac:dyDescent="0.2">
      <c r="B29731" t="s">
        <v>1</v>
      </c>
    </row>
    <row r="29732" spans="1:3" x14ac:dyDescent="0.2">
      <c r="B29732" t="s">
        <v>411</v>
      </c>
    </row>
    <row r="29734" spans="1:3" x14ac:dyDescent="0.2">
      <c r="A29734" t="s">
        <v>9796</v>
      </c>
      <c r="B29734" t="str">
        <f>HYPERLINK("https://lindat.mff.cuni.cz/services/teitok/pdtc10/index.php?action=vallex&amp;frame=v-w4078f2", "potkávat (v-w4078f2)")</f>
        <v>potkávat (v-w4078f2)</v>
      </c>
    </row>
    <row r="29735" spans="1:3" x14ac:dyDescent="0.2">
      <c r="B29735" t="s">
        <v>1</v>
      </c>
    </row>
    <row r="29736" spans="1:3" x14ac:dyDescent="0.2">
      <c r="B29736" t="s">
        <v>411</v>
      </c>
    </row>
    <row r="29737" spans="1:3" x14ac:dyDescent="0.2">
      <c r="B29737" t="s">
        <v>1056</v>
      </c>
    </row>
    <row r="29739" spans="1:3" x14ac:dyDescent="0.2">
      <c r="A29739" t="s">
        <v>9797</v>
      </c>
      <c r="B29739" t="str">
        <f>HYPERLINK("https://lindat.mff.cuni.cz/services/teitok/pdtc10/index.php?action=vallex&amp;frame=v-w4078f1", "potkávat (v-w4078f1)")</f>
        <v>potkávat (v-w4078f1)</v>
      </c>
    </row>
    <row r="29740" spans="1:3" x14ac:dyDescent="0.2">
      <c r="B29740" t="s">
        <v>1</v>
      </c>
      <c r="C29740" t="s">
        <v>9798</v>
      </c>
    </row>
    <row r="29741" spans="1:3" x14ac:dyDescent="0.2">
      <c r="B29741" t="s">
        <v>8</v>
      </c>
      <c r="C29741" t="s">
        <v>9799</v>
      </c>
    </row>
    <row r="29743" spans="1:3" x14ac:dyDescent="0.2">
      <c r="A29743" t="s">
        <v>9800</v>
      </c>
      <c r="B29743" t="str">
        <f>HYPERLINK("https://lindat.mff.cuni.cz/services/teitok/pdtc10/index.php?action=vallex&amp;frame=v-whsa_1870hsa_1871", "potkávat se (v-whsa_1870hsa_1871)")</f>
        <v>potkávat se (v-whsa_1870hsa_1871)</v>
      </c>
    </row>
    <row r="29744" spans="1:3" x14ac:dyDescent="0.2">
      <c r="B29744" t="s">
        <v>1</v>
      </c>
    </row>
    <row r="29745" spans="1:4" x14ac:dyDescent="0.2">
      <c r="B29745" t="s">
        <v>411</v>
      </c>
    </row>
    <row r="29747" spans="1:4" x14ac:dyDescent="0.2">
      <c r="A29747" t="s">
        <v>9801</v>
      </c>
      <c r="B29747" t="str">
        <f>HYPERLINK("https://lindat.mff.cuni.cz/services/teitok/pdtc10/index.php?action=vallex&amp;frame=v-w4080f1", "potlačit (v-w4080f1)")</f>
        <v>potlačit (v-w4080f1)</v>
      </c>
    </row>
    <row r="29748" spans="1:4" x14ac:dyDescent="0.2">
      <c r="B29748" t="s">
        <v>1</v>
      </c>
      <c r="C29748" t="s">
        <v>230</v>
      </c>
      <c r="D29748" t="s">
        <v>1805</v>
      </c>
    </row>
    <row r="29749" spans="1:4" x14ac:dyDescent="0.2">
      <c r="B29749" t="s">
        <v>8</v>
      </c>
      <c r="C29749" t="s">
        <v>9802</v>
      </c>
      <c r="D29749" t="s">
        <v>2747</v>
      </c>
    </row>
    <row r="29751" spans="1:4" x14ac:dyDescent="0.2">
      <c r="A29751" t="s">
        <v>9803</v>
      </c>
      <c r="B29751" t="str">
        <f>HYPERLINK("https://lindat.mff.cuni.cz/services/teitok/pdtc10/index.php?action=vallex&amp;frame=v-w4082f1", "potlačovat (v-w4082f1)")</f>
        <v>potlačovat (v-w4082f1)</v>
      </c>
    </row>
    <row r="29752" spans="1:4" x14ac:dyDescent="0.2">
      <c r="B29752" t="s">
        <v>1</v>
      </c>
      <c r="C29752" t="s">
        <v>2552</v>
      </c>
      <c r="D29752" t="s">
        <v>1805</v>
      </c>
    </row>
    <row r="29753" spans="1:4" x14ac:dyDescent="0.2">
      <c r="B29753" t="s">
        <v>8</v>
      </c>
      <c r="C29753" t="s">
        <v>9804</v>
      </c>
      <c r="D29753" t="s">
        <v>2747</v>
      </c>
    </row>
    <row r="29755" spans="1:4" x14ac:dyDescent="0.2">
      <c r="A29755" t="s">
        <v>9805</v>
      </c>
      <c r="B29755" t="str">
        <f>HYPERLINK("https://lindat.mff.cuni.cz/services/teitok/pdtc10/index.php?action=vallex&amp;frame=v-w11412f1", "potloukat se (v-w11412f1)")</f>
        <v>potloukat se (v-w11412f1)</v>
      </c>
    </row>
    <row r="29756" spans="1:4" x14ac:dyDescent="0.2">
      <c r="B29756" t="s">
        <v>1</v>
      </c>
      <c r="C29756" t="s">
        <v>186</v>
      </c>
      <c r="D29756" t="s">
        <v>186</v>
      </c>
    </row>
    <row r="29758" spans="1:4" x14ac:dyDescent="0.2">
      <c r="A29758" t="s">
        <v>9806</v>
      </c>
      <c r="B29758" t="str">
        <f>HYPERLINK("https://lindat.mff.cuni.cz/services/teitok/pdtc10/index.php?action=vallex&amp;frame=v-w4085f1", "potopit (v-w4085f1)")</f>
        <v>potopit (v-w4085f1)</v>
      </c>
    </row>
    <row r="29759" spans="1:4" x14ac:dyDescent="0.2">
      <c r="B29759" t="s">
        <v>1</v>
      </c>
    </row>
    <row r="29760" spans="1:4" x14ac:dyDescent="0.2">
      <c r="B29760" t="s">
        <v>8</v>
      </c>
    </row>
    <row r="29762" spans="1:4" x14ac:dyDescent="0.2">
      <c r="A29762" t="s">
        <v>9807</v>
      </c>
      <c r="B29762" t="str">
        <f>HYPERLINK("https://lindat.mff.cuni.cz/services/teitok/pdtc10/index.php?action=vallex&amp;frame=v-w4085f2", "potopit (v-w4085f2)")</f>
        <v>potopit (v-w4085f2)</v>
      </c>
    </row>
    <row r="29763" spans="1:4" x14ac:dyDescent="0.2">
      <c r="B29763" t="s">
        <v>1</v>
      </c>
      <c r="C29763" t="s">
        <v>83</v>
      </c>
      <c r="D29763" t="s">
        <v>23088</v>
      </c>
    </row>
    <row r="29764" spans="1:4" x14ac:dyDescent="0.2">
      <c r="B29764" t="s">
        <v>8</v>
      </c>
      <c r="C29764" t="s">
        <v>3773</v>
      </c>
      <c r="D29764" t="s">
        <v>986</v>
      </c>
    </row>
    <row r="29766" spans="1:4" x14ac:dyDescent="0.2">
      <c r="A29766" t="s">
        <v>9808</v>
      </c>
      <c r="B29766" t="str">
        <f>HYPERLINK("https://lindat.mff.cuni.cz/services/teitok/pdtc10/index.php?action=vallex&amp;frame=v-w11551_ZUf2_ZU", "potopit se (v-w11551_ZUf2_ZU)")</f>
        <v>potopit se (v-w11551_ZUf2_ZU)</v>
      </c>
    </row>
    <row r="29767" spans="1:4" x14ac:dyDescent="0.2">
      <c r="B29767" t="s">
        <v>1</v>
      </c>
      <c r="C29767" t="s">
        <v>9809</v>
      </c>
      <c r="D29767" t="s">
        <v>23868</v>
      </c>
    </row>
    <row r="29769" spans="1:4" x14ac:dyDescent="0.2">
      <c r="A29769" t="s">
        <v>9808</v>
      </c>
      <c r="B29769" t="str">
        <f>HYPERLINK("https://lindat.mff.cuni.cz/services/teitok/pdtc10/index.php?action=vallex&amp;frame=v-w11551_ZUf1_ZU", "potopit se (v-w11551_ZUf1_ZU) - substituted with v-w11551_ZUf2_ZU")</f>
        <v>potopit se (v-w11551_ZUf1_ZU) - substituted with v-w11551_ZUf2_ZU</v>
      </c>
    </row>
    <row r="29770" spans="1:4" x14ac:dyDescent="0.2">
      <c r="B29770" t="s">
        <v>1</v>
      </c>
    </row>
    <row r="29772" spans="1:4" x14ac:dyDescent="0.2">
      <c r="A29772" t="s">
        <v>9810</v>
      </c>
      <c r="B29772" t="str">
        <f>HYPERLINK("https://lindat.mff.cuni.cz/services/teitok/pdtc10/index.php?action=vallex&amp;frame=v-w11551_ZUhsa_625", "potopit se (v-w11551_ZUhsa_625)")</f>
        <v>potopit se (v-w11551_ZUhsa_625)</v>
      </c>
    </row>
    <row r="29773" spans="1:4" x14ac:dyDescent="0.2">
      <c r="B29773" t="s">
        <v>1</v>
      </c>
    </row>
    <row r="29775" spans="1:4" x14ac:dyDescent="0.2">
      <c r="A29775" t="s">
        <v>9811</v>
      </c>
      <c r="B29775" t="str">
        <f>HYPERLINK("https://lindat.mff.cuni.cz/services/teitok/pdtc10/index.php?action=vallex&amp;frame=v-w10408f2", "potratit (v-w10408f2)")</f>
        <v>potratit (v-w10408f2)</v>
      </c>
    </row>
    <row r="29776" spans="1:4" x14ac:dyDescent="0.2">
      <c r="B29776" t="s">
        <v>1</v>
      </c>
      <c r="C29776" t="s">
        <v>140</v>
      </c>
    </row>
    <row r="29777" spans="1:4" x14ac:dyDescent="0.2">
      <c r="B29777" t="s">
        <v>8</v>
      </c>
    </row>
    <row r="29779" spans="1:4" x14ac:dyDescent="0.2">
      <c r="A29779" t="s">
        <v>9812</v>
      </c>
      <c r="B29779" t="str">
        <f>HYPERLINK("https://lindat.mff.cuni.cz/services/teitok/pdtc10/index.php?action=vallex&amp;frame=v-w4088f1", "potrefit (v-w4088f1)")</f>
        <v>potrefit (v-w4088f1)</v>
      </c>
    </row>
    <row r="29780" spans="1:4" x14ac:dyDescent="0.2">
      <c r="B29780" t="s">
        <v>1</v>
      </c>
    </row>
    <row r="29781" spans="1:4" x14ac:dyDescent="0.2">
      <c r="B29781" t="s">
        <v>8</v>
      </c>
    </row>
    <row r="29783" spans="1:4" x14ac:dyDescent="0.2">
      <c r="A29783" t="s">
        <v>9813</v>
      </c>
      <c r="B29783" t="str">
        <f>HYPERLINK("https://lindat.mff.cuni.cz/services/teitok/pdtc10/index.php?action=vallex&amp;frame=v-w4091f1", "potrestat (v-w4091f1)")</f>
        <v>potrestat (v-w4091f1)</v>
      </c>
    </row>
    <row r="29784" spans="1:4" x14ac:dyDescent="0.2">
      <c r="B29784" t="s">
        <v>1</v>
      </c>
      <c r="C29784" t="s">
        <v>9814</v>
      </c>
      <c r="D29784" t="s">
        <v>92</v>
      </c>
    </row>
    <row r="29785" spans="1:4" x14ac:dyDescent="0.2">
      <c r="B29785" t="s">
        <v>8</v>
      </c>
      <c r="C29785" t="s">
        <v>2402</v>
      </c>
      <c r="D29785" t="s">
        <v>328</v>
      </c>
    </row>
    <row r="29787" spans="1:4" x14ac:dyDescent="0.2">
      <c r="A29787" t="s">
        <v>9815</v>
      </c>
      <c r="B29787" t="str">
        <f>HYPERLINK("https://lindat.mff.cuni.cz/services/teitok/pdtc10/index.php?action=vallex&amp;frame=v-w11369f1", "potrhat se (v-w11369f1)")</f>
        <v>potrhat se (v-w11369f1)</v>
      </c>
    </row>
    <row r="29788" spans="1:4" x14ac:dyDescent="0.2">
      <c r="B29788" t="s">
        <v>1</v>
      </c>
    </row>
    <row r="29789" spans="1:4" x14ac:dyDescent="0.2">
      <c r="B29789" t="s">
        <v>9816</v>
      </c>
    </row>
    <row r="29791" spans="1:4" x14ac:dyDescent="0.2">
      <c r="A29791" t="s">
        <v>9817</v>
      </c>
      <c r="B29791" t="str">
        <f>HYPERLINK("https://lindat.mff.cuni.cz/services/teitok/pdtc10/index.php?action=vallex&amp;frame=v-w4092f1", "potrpět si (v-w4092f1)")</f>
        <v>potrpět si (v-w4092f1)</v>
      </c>
    </row>
    <row r="29792" spans="1:4" x14ac:dyDescent="0.2">
      <c r="B29792" t="s">
        <v>1</v>
      </c>
    </row>
    <row r="29793" spans="1:4" x14ac:dyDescent="0.2">
      <c r="B29793" t="s">
        <v>28</v>
      </c>
    </row>
    <row r="29795" spans="1:4" x14ac:dyDescent="0.2">
      <c r="A29795" t="s">
        <v>9818</v>
      </c>
      <c r="B29795" t="str">
        <f>HYPERLINK("https://lindat.mff.cuni.cz/services/teitok/pdtc10/index.php?action=vallex&amp;frame=v-w4093f1", "potrvat (v-w4093f1)")</f>
        <v>potrvat (v-w4093f1)</v>
      </c>
    </row>
    <row r="29796" spans="1:4" x14ac:dyDescent="0.2">
      <c r="B29796" t="s">
        <v>1</v>
      </c>
    </row>
    <row r="29798" spans="1:4" x14ac:dyDescent="0.2">
      <c r="A29798" t="s">
        <v>9819</v>
      </c>
      <c r="B29798" t="str">
        <f>HYPERLINK("https://lindat.mff.cuni.cz/services/teitok/pdtc10/index.php?action=vallex&amp;frame=v-w4086f1", "potrápit (v-w4086f1)")</f>
        <v>potrápit (v-w4086f1)</v>
      </c>
    </row>
    <row r="29799" spans="1:4" x14ac:dyDescent="0.2">
      <c r="B29799" t="s">
        <v>1</v>
      </c>
    </row>
    <row r="29800" spans="1:4" x14ac:dyDescent="0.2">
      <c r="B29800" t="s">
        <v>8</v>
      </c>
    </row>
    <row r="29802" spans="1:4" x14ac:dyDescent="0.2">
      <c r="A29802" t="s">
        <v>9820</v>
      </c>
      <c r="B29802" t="str">
        <f>HYPERLINK("https://lindat.mff.cuni.cz/services/teitok/pdtc10/index.php?action=vallex&amp;frame=v-w11479f1", "potulovat se (v-w11479f1)")</f>
        <v>potulovat se (v-w11479f1)</v>
      </c>
    </row>
    <row r="29803" spans="1:4" x14ac:dyDescent="0.2">
      <c r="B29803" t="s">
        <v>1</v>
      </c>
      <c r="C29803" t="s">
        <v>133</v>
      </c>
    </row>
    <row r="29805" spans="1:4" x14ac:dyDescent="0.2">
      <c r="A29805" t="s">
        <v>9821</v>
      </c>
      <c r="B29805" t="str">
        <f>HYPERLINK("https://lindat.mff.cuni.cz/services/teitok/pdtc10/index.php?action=vallex&amp;frame=v-w4098f1", "potupovat (v-w4098f1)")</f>
        <v>potupovat (v-w4098f1)</v>
      </c>
    </row>
    <row r="29806" spans="1:4" x14ac:dyDescent="0.2">
      <c r="B29806" t="s">
        <v>1</v>
      </c>
      <c r="D29806" t="s">
        <v>133</v>
      </c>
    </row>
    <row r="29807" spans="1:4" x14ac:dyDescent="0.2">
      <c r="B29807" t="s">
        <v>8</v>
      </c>
      <c r="D29807" t="s">
        <v>23099</v>
      </c>
    </row>
    <row r="29808" spans="1:4" x14ac:dyDescent="0.2">
      <c r="B29808" t="s">
        <v>7530</v>
      </c>
    </row>
    <row r="29810" spans="1:4" x14ac:dyDescent="0.2">
      <c r="A29810" t="s">
        <v>9822</v>
      </c>
      <c r="B29810" t="str">
        <f>HYPERLINK("https://lindat.mff.cuni.cz/services/teitok/pdtc10/index.php?action=vallex&amp;frame=v-w4099f1", "potvrdit (v-w4099f1)")</f>
        <v>potvrdit (v-w4099f1)</v>
      </c>
    </row>
    <row r="29811" spans="1:4" x14ac:dyDescent="0.2">
      <c r="B29811" t="s">
        <v>9823</v>
      </c>
      <c r="C29811" t="s">
        <v>9824</v>
      </c>
      <c r="D29811" t="s">
        <v>22965</v>
      </c>
    </row>
    <row r="29812" spans="1:4" x14ac:dyDescent="0.2">
      <c r="B29812" t="s">
        <v>2158</v>
      </c>
      <c r="C29812" t="s">
        <v>9825</v>
      </c>
      <c r="D29812" t="s">
        <v>22966</v>
      </c>
    </row>
    <row r="29813" spans="1:4" x14ac:dyDescent="0.2">
      <c r="B29813" t="s">
        <v>78</v>
      </c>
      <c r="C29813" t="s">
        <v>2810</v>
      </c>
      <c r="D29813" t="s">
        <v>4440</v>
      </c>
    </row>
    <row r="29815" spans="1:4" x14ac:dyDescent="0.2">
      <c r="A29815" t="s">
        <v>9826</v>
      </c>
      <c r="B29815" t="str">
        <f>HYPERLINK("https://lindat.mff.cuni.cz/services/teitok/pdtc10/index.php?action=vallex&amp;frame=v-w4099f2", "potvrdit (v-w4099f2)")</f>
        <v>potvrdit (v-w4099f2)</v>
      </c>
    </row>
    <row r="29816" spans="1:4" x14ac:dyDescent="0.2">
      <c r="B29816" t="s">
        <v>1</v>
      </c>
      <c r="C29816" t="s">
        <v>133</v>
      </c>
    </row>
    <row r="29817" spans="1:4" x14ac:dyDescent="0.2">
      <c r="B29817" t="s">
        <v>8</v>
      </c>
      <c r="C29817" t="s">
        <v>1128</v>
      </c>
    </row>
    <row r="29818" spans="1:4" x14ac:dyDescent="0.2">
      <c r="B29818" t="s">
        <v>9827</v>
      </c>
    </row>
    <row r="29820" spans="1:4" x14ac:dyDescent="0.2">
      <c r="A29820" t="s">
        <v>9828</v>
      </c>
      <c r="B29820" t="str">
        <f>HYPERLINK("https://lindat.mff.cuni.cz/services/teitok/pdtc10/index.php?action=vallex&amp;frame=v-w4100f1", "potvrdit se (v-w4100f1)")</f>
        <v>potvrdit se (v-w4100f1)</v>
      </c>
    </row>
    <row r="29821" spans="1:4" x14ac:dyDescent="0.2">
      <c r="B29821" t="s">
        <v>488</v>
      </c>
      <c r="C29821" t="s">
        <v>9829</v>
      </c>
    </row>
    <row r="29823" spans="1:4" x14ac:dyDescent="0.2">
      <c r="A29823" t="s">
        <v>9830</v>
      </c>
      <c r="B29823" t="str">
        <f>HYPERLINK("https://lindat.mff.cuni.cz/services/teitok/pdtc10/index.php?action=vallex&amp;frame=v-w4103f1", "potvrzovat (v-w4103f1)")</f>
        <v>potvrzovat (v-w4103f1)</v>
      </c>
    </row>
    <row r="29824" spans="1:4" x14ac:dyDescent="0.2">
      <c r="B29824" t="s">
        <v>1</v>
      </c>
      <c r="C29824" t="s">
        <v>9831</v>
      </c>
      <c r="D29824" t="s">
        <v>22965</v>
      </c>
    </row>
    <row r="29825" spans="1:4" x14ac:dyDescent="0.2">
      <c r="B29825" t="s">
        <v>2158</v>
      </c>
      <c r="C29825" t="s">
        <v>9832</v>
      </c>
      <c r="D29825" t="s">
        <v>22966</v>
      </c>
    </row>
    <row r="29826" spans="1:4" x14ac:dyDescent="0.2">
      <c r="B29826" t="s">
        <v>78</v>
      </c>
      <c r="C29826" t="s">
        <v>5453</v>
      </c>
      <c r="D29826" t="s">
        <v>4440</v>
      </c>
    </row>
    <row r="29828" spans="1:4" x14ac:dyDescent="0.2">
      <c r="A29828" t="s">
        <v>9833</v>
      </c>
      <c r="B29828" t="str">
        <f>HYPERLINK("https://lindat.mff.cuni.cz/services/teitok/pdtc10/index.php?action=vallex&amp;frame=v-w4103f2", "potvrzovat (v-w4103f2)")</f>
        <v>potvrzovat (v-w4103f2)</v>
      </c>
    </row>
    <row r="29829" spans="1:4" x14ac:dyDescent="0.2">
      <c r="B29829" t="s">
        <v>1</v>
      </c>
    </row>
    <row r="29830" spans="1:4" x14ac:dyDescent="0.2">
      <c r="B29830" t="s">
        <v>8</v>
      </c>
    </row>
    <row r="29831" spans="1:4" x14ac:dyDescent="0.2">
      <c r="B29831" t="s">
        <v>9827</v>
      </c>
    </row>
    <row r="29833" spans="1:4" x14ac:dyDescent="0.2">
      <c r="A29833" t="s">
        <v>9834</v>
      </c>
      <c r="B29833" t="str">
        <f>HYPERLINK("https://lindat.mff.cuni.cz/services/teitok/pdtc10/index.php?action=vallex&amp;frame=v-w4104f1", "potvrzovat se (v-w4104f1)")</f>
        <v>potvrzovat se (v-w4104f1)</v>
      </c>
    </row>
    <row r="29834" spans="1:4" x14ac:dyDescent="0.2">
      <c r="B29834" t="s">
        <v>488</v>
      </c>
    </row>
    <row r="29836" spans="1:4" x14ac:dyDescent="0.2">
      <c r="A29836" t="s">
        <v>9835</v>
      </c>
      <c r="B29836" t="str">
        <f>HYPERLINK("https://lindat.mff.cuni.cz/services/teitok/pdtc10/index.php?action=vallex&amp;frame=v-w4064f1", "potácet se (v-w4064f1)")</f>
        <v>potácet se (v-w4064f1)</v>
      </c>
    </row>
    <row r="29837" spans="1:4" x14ac:dyDescent="0.2">
      <c r="B29837" t="s">
        <v>1</v>
      </c>
      <c r="C29837" t="s">
        <v>33</v>
      </c>
    </row>
    <row r="29839" spans="1:4" x14ac:dyDescent="0.2">
      <c r="A29839" t="s">
        <v>9836</v>
      </c>
      <c r="B29839" t="str">
        <f>HYPERLINK("https://lindat.mff.cuni.cz/services/teitok/pdtc10/index.php?action=vallex&amp;frame=v-w4066f1", "potáhnout (v-w4066f1)")</f>
        <v>potáhnout (v-w4066f1)</v>
      </c>
    </row>
    <row r="29840" spans="1:4" x14ac:dyDescent="0.2">
      <c r="B29840" t="s">
        <v>1</v>
      </c>
    </row>
    <row r="29841" spans="1:3" x14ac:dyDescent="0.2">
      <c r="B29841" t="s">
        <v>8</v>
      </c>
    </row>
    <row r="29843" spans="1:3" x14ac:dyDescent="0.2">
      <c r="A29843" t="s">
        <v>9837</v>
      </c>
      <c r="B29843" t="str">
        <f>HYPERLINK("https://lindat.mff.cuni.cz/services/teitok/pdtc10/index.php?action=vallex&amp;frame=v-w4066f2_ZU", "potáhnout (v-w4066f2_ZU)")</f>
        <v>potáhnout (v-w4066f2_ZU)</v>
      </c>
    </row>
    <row r="29844" spans="1:3" x14ac:dyDescent="0.2">
      <c r="B29844" t="s">
        <v>1</v>
      </c>
    </row>
    <row r="29845" spans="1:3" x14ac:dyDescent="0.2">
      <c r="B29845" t="s">
        <v>8</v>
      </c>
    </row>
    <row r="29847" spans="1:3" x14ac:dyDescent="0.2">
      <c r="A29847" t="s">
        <v>9838</v>
      </c>
      <c r="B29847" t="str">
        <f>HYPERLINK("https://lindat.mff.cuni.cz/services/teitok/pdtc10/index.php?action=vallex&amp;frame=v-w4068f1", "potápět (v-w4068f1)")</f>
        <v>potápět (v-w4068f1)</v>
      </c>
    </row>
    <row r="29848" spans="1:3" x14ac:dyDescent="0.2">
      <c r="B29848" t="s">
        <v>1</v>
      </c>
    </row>
    <row r="29849" spans="1:3" x14ac:dyDescent="0.2">
      <c r="B29849" t="s">
        <v>8</v>
      </c>
    </row>
    <row r="29851" spans="1:3" x14ac:dyDescent="0.2">
      <c r="A29851" t="s">
        <v>9839</v>
      </c>
      <c r="B29851" t="str">
        <f>HYPERLINK("https://lindat.mff.cuni.cz/services/teitok/pdtc10/index.php?action=vallex&amp;frame=v-w4068f2", "potápět (v-w4068f2)")</f>
        <v>potápět (v-w4068f2)</v>
      </c>
    </row>
    <row r="29852" spans="1:3" x14ac:dyDescent="0.2">
      <c r="B29852" t="s">
        <v>1</v>
      </c>
      <c r="C29852" t="s">
        <v>140</v>
      </c>
    </row>
    <row r="29853" spans="1:3" x14ac:dyDescent="0.2">
      <c r="B29853" t="s">
        <v>8</v>
      </c>
      <c r="C29853" t="s">
        <v>113</v>
      </c>
    </row>
    <row r="29855" spans="1:3" x14ac:dyDescent="0.2">
      <c r="A29855" t="s">
        <v>9840</v>
      </c>
      <c r="B29855" t="str">
        <f>HYPERLINK("https://lindat.mff.cuni.cz/services/teitok/pdtc10/index.php?action=vallex&amp;frame=v-w4068hsa_496", "potápět (v-w4068hsa_496)")</f>
        <v>potápět (v-w4068hsa_496)</v>
      </c>
    </row>
    <row r="29856" spans="1:3" x14ac:dyDescent="0.2">
      <c r="B29856" t="s">
        <v>1</v>
      </c>
    </row>
    <row r="29857" spans="1:4" x14ac:dyDescent="0.2">
      <c r="B29857" t="s">
        <v>8</v>
      </c>
    </row>
    <row r="29858" spans="1:4" x14ac:dyDescent="0.2">
      <c r="B29858" t="s">
        <v>90</v>
      </c>
    </row>
    <row r="29860" spans="1:4" x14ac:dyDescent="0.2">
      <c r="A29860" t="s">
        <v>9841</v>
      </c>
      <c r="B29860" t="str">
        <f>HYPERLINK("https://lindat.mff.cuni.cz/services/teitok/pdtc10/index.php?action=vallex&amp;frame=v-w11274f1", "potápět se (v-w11274f1)")</f>
        <v>potápět se (v-w11274f1)</v>
      </c>
    </row>
    <row r="29861" spans="1:4" x14ac:dyDescent="0.2">
      <c r="B29861" t="s">
        <v>1</v>
      </c>
      <c r="C29861" t="s">
        <v>715</v>
      </c>
      <c r="D29861" t="s">
        <v>23868</v>
      </c>
    </row>
    <row r="29863" spans="1:4" x14ac:dyDescent="0.2">
      <c r="A29863" t="s">
        <v>9842</v>
      </c>
      <c r="B29863" t="str">
        <f>HYPERLINK("https://lindat.mff.cuni.cz/services/teitok/pdtc10/index.php?action=vallex&amp;frame=v-w11274hsa_1198", "potápět se (v-w11274hsa_1198)")</f>
        <v>potápět se (v-w11274hsa_1198)</v>
      </c>
    </row>
    <row r="29864" spans="1:4" x14ac:dyDescent="0.2">
      <c r="B29864" t="s">
        <v>1</v>
      </c>
    </row>
    <row r="29866" spans="1:4" x14ac:dyDescent="0.2">
      <c r="A29866" t="s">
        <v>9843</v>
      </c>
      <c r="B29866" t="str">
        <f>HYPERLINK("https://lindat.mff.cuni.cz/services/teitok/pdtc10/index.php?action=vallex&amp;frame=v-w4073f1", "potírat (v-w4073f1)")</f>
        <v>potírat (v-w4073f1)</v>
      </c>
    </row>
    <row r="29867" spans="1:4" x14ac:dyDescent="0.2">
      <c r="B29867" t="s">
        <v>1</v>
      </c>
      <c r="C29867" t="s">
        <v>2239</v>
      </c>
      <c r="D29867" t="s">
        <v>22980</v>
      </c>
    </row>
    <row r="29868" spans="1:4" x14ac:dyDescent="0.2">
      <c r="B29868" t="s">
        <v>8</v>
      </c>
      <c r="C29868" t="s">
        <v>1109</v>
      </c>
      <c r="D29868" t="s">
        <v>22981</v>
      </c>
    </row>
    <row r="29870" spans="1:4" x14ac:dyDescent="0.2">
      <c r="A29870" t="s">
        <v>9844</v>
      </c>
      <c r="B29870" t="str">
        <f>HYPERLINK("https://lindat.mff.cuni.cz/services/teitok/pdtc10/index.php?action=vallex&amp;frame=v-w4073f2_ZU", "potírat (v-w4073f2_ZU)")</f>
        <v>potírat (v-w4073f2_ZU)</v>
      </c>
    </row>
    <row r="29871" spans="1:4" x14ac:dyDescent="0.2">
      <c r="B29871" t="s">
        <v>1</v>
      </c>
    </row>
    <row r="29872" spans="1:4" x14ac:dyDescent="0.2">
      <c r="B29872" t="s">
        <v>8</v>
      </c>
    </row>
    <row r="29874" spans="1:4" x14ac:dyDescent="0.2">
      <c r="A29874" t="s">
        <v>9845</v>
      </c>
      <c r="B29874" t="str">
        <f>HYPERLINK("https://lindat.mff.cuni.cz/services/teitok/pdtc10/index.php?action=vallex&amp;frame=v-w4107f1", "potýkat se (v-w4107f1)")</f>
        <v>potýkat se (v-w4107f1)</v>
      </c>
    </row>
    <row r="29875" spans="1:4" x14ac:dyDescent="0.2">
      <c r="B29875" t="s">
        <v>1</v>
      </c>
      <c r="C29875" t="s">
        <v>9846</v>
      </c>
      <c r="D29875" t="s">
        <v>14818</v>
      </c>
    </row>
    <row r="29876" spans="1:4" x14ac:dyDescent="0.2">
      <c r="B29876" t="s">
        <v>411</v>
      </c>
      <c r="C29876" t="s">
        <v>9847</v>
      </c>
      <c r="D29876" t="s">
        <v>6043</v>
      </c>
    </row>
    <row r="29878" spans="1:4" x14ac:dyDescent="0.2">
      <c r="A29878" t="s">
        <v>9848</v>
      </c>
      <c r="B29878" t="str">
        <f>HYPERLINK("https://lindat.mff.cuni.cz/services/teitok/pdtc10/index.php?action=vallex&amp;frame=v-w4108f1", "potýrat (v-w4108f1)")</f>
        <v>potýrat (v-w4108f1)</v>
      </c>
    </row>
    <row r="29879" spans="1:4" x14ac:dyDescent="0.2">
      <c r="B29879" t="s">
        <v>1</v>
      </c>
    </row>
    <row r="29880" spans="1:4" x14ac:dyDescent="0.2">
      <c r="B29880" t="s">
        <v>8</v>
      </c>
    </row>
    <row r="29882" spans="1:4" x14ac:dyDescent="0.2">
      <c r="A29882" t="s">
        <v>9849</v>
      </c>
      <c r="B29882" t="str">
        <f>HYPERLINK("https://lindat.mff.cuni.cz/services/teitok/pdtc10/index.php?action=vallex&amp;frame=v-w4070f2_ZU", "potěšit (v-w4070f2_ZU)")</f>
        <v>potěšit (v-w4070f2_ZU)</v>
      </c>
    </row>
    <row r="29883" spans="1:4" x14ac:dyDescent="0.2">
      <c r="B29883" t="s">
        <v>9850</v>
      </c>
    </row>
    <row r="29884" spans="1:4" x14ac:dyDescent="0.2">
      <c r="B29884" t="s">
        <v>8</v>
      </c>
    </row>
    <row r="29886" spans="1:4" x14ac:dyDescent="0.2">
      <c r="A29886" t="s">
        <v>9849</v>
      </c>
      <c r="B29886" t="str">
        <f>HYPERLINK("https://lindat.mff.cuni.cz/services/teitok/pdtc10/index.php?action=vallex&amp;frame=v-w4070f1", "potěšit (v-w4070f1) - substituted with v-w4070f2_ZU")</f>
        <v>potěšit (v-w4070f1) - substituted with v-w4070f2_ZU</v>
      </c>
    </row>
    <row r="29887" spans="1:4" x14ac:dyDescent="0.2">
      <c r="B29887" t="s">
        <v>9850</v>
      </c>
      <c r="C29887" t="s">
        <v>9851</v>
      </c>
      <c r="D29887" t="s">
        <v>23869</v>
      </c>
    </row>
    <row r="29888" spans="1:4" x14ac:dyDescent="0.2">
      <c r="B29888" t="s">
        <v>8</v>
      </c>
      <c r="C29888" t="s">
        <v>9852</v>
      </c>
      <c r="D29888" t="s">
        <v>23870</v>
      </c>
    </row>
    <row r="29890" spans="1:4" x14ac:dyDescent="0.2">
      <c r="A29890" t="s">
        <v>9853</v>
      </c>
      <c r="B29890" t="str">
        <f>HYPERLINK("https://lindat.mff.cuni.cz/services/teitok/pdtc10/index.php?action=vallex&amp;frame=v-w12186_ZUf1_ZU", "potěšit se (v-w12186_ZUf1_ZU)")</f>
        <v>potěšit se (v-w12186_ZUf1_ZU)</v>
      </c>
    </row>
    <row r="29891" spans="1:4" x14ac:dyDescent="0.2">
      <c r="B29891" t="s">
        <v>1</v>
      </c>
    </row>
    <row r="29892" spans="1:4" x14ac:dyDescent="0.2">
      <c r="B29892" t="s">
        <v>3215</v>
      </c>
    </row>
    <row r="29894" spans="1:4" x14ac:dyDescent="0.2">
      <c r="A29894" t="s">
        <v>9854</v>
      </c>
      <c r="B29894" t="str">
        <f>HYPERLINK("https://lindat.mff.cuni.cz/services/teitok/pdtc10/index.php?action=vallex&amp;frame=v-w4071f1", "potěžkávat (v-w4071f1)")</f>
        <v>potěžkávat (v-w4071f1)</v>
      </c>
    </row>
    <row r="29895" spans="1:4" x14ac:dyDescent="0.2">
      <c r="B29895" t="s">
        <v>1</v>
      </c>
    </row>
    <row r="29896" spans="1:4" x14ac:dyDescent="0.2">
      <c r="B29896" t="s">
        <v>8</v>
      </c>
    </row>
    <row r="29898" spans="1:4" x14ac:dyDescent="0.2">
      <c r="A29898" t="s">
        <v>9855</v>
      </c>
      <c r="B29898" t="str">
        <f>HYPERLINK("https://lindat.mff.cuni.cz/services/teitok/pdtc10/index.php?action=vallex&amp;frame=v-w4096f2", "potřebovat (v-w4096f2)")</f>
        <v>potřebovat (v-w4096f2)</v>
      </c>
    </row>
    <row r="29899" spans="1:4" x14ac:dyDescent="0.2">
      <c r="B29899" t="s">
        <v>1</v>
      </c>
      <c r="C29899" t="s">
        <v>9856</v>
      </c>
      <c r="D29899" t="s">
        <v>23871</v>
      </c>
    </row>
    <row r="29900" spans="1:4" x14ac:dyDescent="0.2">
      <c r="B29900" t="s">
        <v>1181</v>
      </c>
      <c r="C29900" t="s">
        <v>9857</v>
      </c>
      <c r="D29900" t="s">
        <v>23872</v>
      </c>
    </row>
    <row r="29901" spans="1:4" x14ac:dyDescent="0.2">
      <c r="B29901" t="s">
        <v>321</v>
      </c>
      <c r="D29901" t="s">
        <v>23873</v>
      </c>
    </row>
    <row r="29903" spans="1:4" x14ac:dyDescent="0.2">
      <c r="A29903" t="s">
        <v>9858</v>
      </c>
      <c r="B29903" t="str">
        <f>HYPERLINK("https://lindat.mff.cuni.cz/services/teitok/pdtc10/index.php?action=vallex&amp;frame=v-w4096f1", "potřebovat (v-w4096f1)")</f>
        <v>potřebovat (v-w4096f1)</v>
      </c>
    </row>
    <row r="29904" spans="1:4" x14ac:dyDescent="0.2">
      <c r="B29904" t="s">
        <v>1</v>
      </c>
      <c r="C29904" t="s">
        <v>9859</v>
      </c>
      <c r="D29904" t="s">
        <v>23839</v>
      </c>
    </row>
    <row r="29905" spans="1:4" x14ac:dyDescent="0.2">
      <c r="B29905" t="s">
        <v>9860</v>
      </c>
      <c r="C29905" t="s">
        <v>9861</v>
      </c>
      <c r="D29905" t="s">
        <v>23840</v>
      </c>
    </row>
    <row r="29907" spans="1:4" x14ac:dyDescent="0.2">
      <c r="A29907" t="s">
        <v>9862</v>
      </c>
      <c r="B29907" t="str">
        <f>HYPERLINK("https://lindat.mff.cuni.cz/services/teitok/pdtc10/index.php?action=vallex&amp;frame=v-w4096f3", "potřebovat (v-w4096f3)")</f>
        <v>potřebovat (v-w4096f3)</v>
      </c>
    </row>
    <row r="29908" spans="1:4" x14ac:dyDescent="0.2">
      <c r="B29908" t="s">
        <v>1</v>
      </c>
      <c r="C29908" t="s">
        <v>9863</v>
      </c>
      <c r="D29908" t="s">
        <v>23839</v>
      </c>
    </row>
    <row r="29909" spans="1:4" x14ac:dyDescent="0.2">
      <c r="B29909" t="s">
        <v>8</v>
      </c>
      <c r="C29909" t="s">
        <v>9864</v>
      </c>
      <c r="D29909" t="s">
        <v>23840</v>
      </c>
    </row>
    <row r="29911" spans="1:4" x14ac:dyDescent="0.2">
      <c r="A29911" t="s">
        <v>9865</v>
      </c>
      <c r="B29911" t="str">
        <f>HYPERLINK("https://lindat.mff.cuni.cz/services/teitok/pdtc10/index.php?action=vallex&amp;frame=v-w12302_MMf1_MM", "potřásat (v-w12302_MMf1_MM)")</f>
        <v>potřásat (v-w12302_MMf1_MM)</v>
      </c>
    </row>
    <row r="29912" spans="1:4" x14ac:dyDescent="0.2">
      <c r="B29912" t="s">
        <v>1</v>
      </c>
    </row>
    <row r="29913" spans="1:4" x14ac:dyDescent="0.2">
      <c r="B29913" t="s">
        <v>158</v>
      </c>
    </row>
    <row r="29914" spans="1:4" x14ac:dyDescent="0.2">
      <c r="B29914" t="s">
        <v>35</v>
      </c>
    </row>
    <row r="29916" spans="1:4" x14ac:dyDescent="0.2">
      <c r="A29916" t="s">
        <v>9866</v>
      </c>
      <c r="B29916" t="str">
        <f>HYPERLINK("https://lindat.mff.cuni.cz/services/teitok/pdtc10/index.php?action=vallex&amp;frame=v-w4094f1", "potřást (v-w4094f1)")</f>
        <v>potřást (v-w4094f1)</v>
      </c>
    </row>
    <row r="29917" spans="1:4" x14ac:dyDescent="0.2">
      <c r="B29917" t="s">
        <v>1</v>
      </c>
    </row>
    <row r="29918" spans="1:4" x14ac:dyDescent="0.2">
      <c r="B29918" t="s">
        <v>8220</v>
      </c>
      <c r="C29918" t="s">
        <v>113</v>
      </c>
    </row>
    <row r="29919" spans="1:4" x14ac:dyDescent="0.2">
      <c r="B29919" t="s">
        <v>9867</v>
      </c>
      <c r="C29919" t="s">
        <v>9868</v>
      </c>
    </row>
    <row r="29921" spans="1:4" x14ac:dyDescent="0.2">
      <c r="A29921" t="s">
        <v>9869</v>
      </c>
      <c r="B29921" t="str">
        <f>HYPERLINK("https://lindat.mff.cuni.cz/services/teitok/pdtc10/index.php?action=vallex&amp;frame=v-w4097f1", "potřísnit (v-w4097f1)")</f>
        <v>potřísnit (v-w4097f1)</v>
      </c>
    </row>
    <row r="29922" spans="1:4" x14ac:dyDescent="0.2">
      <c r="B29922" t="s">
        <v>1</v>
      </c>
    </row>
    <row r="29923" spans="1:4" x14ac:dyDescent="0.2">
      <c r="B29923" t="s">
        <v>8</v>
      </c>
    </row>
    <row r="29925" spans="1:4" x14ac:dyDescent="0.2">
      <c r="A29925" t="s">
        <v>9870</v>
      </c>
      <c r="B29925" t="str">
        <f>HYPERLINK("https://lindat.mff.cuni.cz/services/teitok/pdtc10/index.php?action=vallex&amp;frame=v-w4122f1", "poukazovat (v-w4122f1)")</f>
        <v>poukazovat (v-w4122f1)</v>
      </c>
    </row>
    <row r="29926" spans="1:4" x14ac:dyDescent="0.2">
      <c r="B29926" t="s">
        <v>1</v>
      </c>
      <c r="C29926" t="s">
        <v>9871</v>
      </c>
      <c r="D29926" t="s">
        <v>1271</v>
      </c>
    </row>
    <row r="29927" spans="1:4" x14ac:dyDescent="0.2">
      <c r="B29927" t="s">
        <v>9872</v>
      </c>
      <c r="C29927" t="s">
        <v>9873</v>
      </c>
      <c r="D29927" t="s">
        <v>23874</v>
      </c>
    </row>
    <row r="29929" spans="1:4" x14ac:dyDescent="0.2">
      <c r="A29929" t="s">
        <v>9874</v>
      </c>
      <c r="B29929" t="str">
        <f>HYPERLINK("https://lindat.mff.cuni.cz/services/teitok/pdtc10/index.php?action=vallex&amp;frame=v-w4119f2", "poukázat (v-w4119f2)")</f>
        <v>poukázat (v-w4119f2)</v>
      </c>
    </row>
    <row r="29930" spans="1:4" x14ac:dyDescent="0.2">
      <c r="B29930" t="s">
        <v>1</v>
      </c>
    </row>
    <row r="29931" spans="1:4" x14ac:dyDescent="0.2">
      <c r="B29931" t="s">
        <v>8</v>
      </c>
    </row>
    <row r="29932" spans="1:4" x14ac:dyDescent="0.2">
      <c r="B29932" t="s">
        <v>35</v>
      </c>
    </row>
    <row r="29934" spans="1:4" x14ac:dyDescent="0.2">
      <c r="A29934" t="s">
        <v>9875</v>
      </c>
      <c r="B29934" t="str">
        <f>HYPERLINK("https://lindat.mff.cuni.cz/services/teitok/pdtc10/index.php?action=vallex&amp;frame=v-w4119f1", "poukázat (v-w4119f1)")</f>
        <v>poukázat (v-w4119f1)</v>
      </c>
    </row>
    <row r="29935" spans="1:4" x14ac:dyDescent="0.2">
      <c r="B29935" t="s">
        <v>1</v>
      </c>
      <c r="C29935" t="s">
        <v>9876</v>
      </c>
      <c r="D29935" t="s">
        <v>1271</v>
      </c>
    </row>
    <row r="29936" spans="1:4" x14ac:dyDescent="0.2">
      <c r="B29936" t="s">
        <v>9872</v>
      </c>
      <c r="C29936" t="s">
        <v>9877</v>
      </c>
      <c r="D29936" t="s">
        <v>23874</v>
      </c>
    </row>
    <row r="29938" spans="1:4" x14ac:dyDescent="0.2">
      <c r="A29938" t="s">
        <v>9878</v>
      </c>
      <c r="B29938" t="str">
        <f>HYPERLINK("https://lindat.mff.cuni.cz/services/teitok/pdtc10/index.php?action=vallex&amp;frame=v-w4125f1", "pousmát se (v-w4125f1)")</f>
        <v>pousmát se (v-w4125f1)</v>
      </c>
    </row>
    <row r="29939" spans="1:4" x14ac:dyDescent="0.2">
      <c r="B29939" t="s">
        <v>1</v>
      </c>
    </row>
    <row r="29940" spans="1:4" x14ac:dyDescent="0.2">
      <c r="B29940" t="s">
        <v>6113</v>
      </c>
    </row>
    <row r="29942" spans="1:4" x14ac:dyDescent="0.2">
      <c r="A29942" t="s">
        <v>9879</v>
      </c>
      <c r="B29942" t="str">
        <f>HYPERLINK("https://lindat.mff.cuni.cz/services/teitok/pdtc10/index.php?action=vallex&amp;frame=v-w4129f1", "poutat (v-w4129f1)")</f>
        <v>poutat (v-w4129f1)</v>
      </c>
    </row>
    <row r="29943" spans="1:4" x14ac:dyDescent="0.2">
      <c r="B29943" t="s">
        <v>1</v>
      </c>
    </row>
    <row r="29944" spans="1:4" x14ac:dyDescent="0.2">
      <c r="B29944" t="s">
        <v>8</v>
      </c>
    </row>
    <row r="29946" spans="1:4" x14ac:dyDescent="0.2">
      <c r="A29946" t="s">
        <v>9880</v>
      </c>
      <c r="B29946" t="str">
        <f>HYPERLINK("https://lindat.mff.cuni.cz/services/teitok/pdtc10/index.php?action=vallex&amp;frame=v-w4129f2", "poutat (v-w4129f2)")</f>
        <v>poutat (v-w4129f2)</v>
      </c>
    </row>
    <row r="29947" spans="1:4" x14ac:dyDescent="0.2">
      <c r="B29947" t="s">
        <v>1</v>
      </c>
    </row>
    <row r="29948" spans="1:4" x14ac:dyDescent="0.2">
      <c r="B29948" t="s">
        <v>58</v>
      </c>
    </row>
    <row r="29949" spans="1:4" x14ac:dyDescent="0.2">
      <c r="B29949" t="s">
        <v>1471</v>
      </c>
    </row>
    <row r="29951" spans="1:4" x14ac:dyDescent="0.2">
      <c r="A29951" t="s">
        <v>9881</v>
      </c>
      <c r="B29951" t="str">
        <f>HYPERLINK("https://lindat.mff.cuni.cz/services/teitok/pdtc10/index.php?action=vallex&amp;frame=v-w4111f1", "poučit (v-w4111f1)")</f>
        <v>poučit (v-w4111f1)</v>
      </c>
    </row>
    <row r="29952" spans="1:4" x14ac:dyDescent="0.2">
      <c r="B29952" t="s">
        <v>1</v>
      </c>
      <c r="C29952" t="s">
        <v>1366</v>
      </c>
      <c r="D29952" t="s">
        <v>1106</v>
      </c>
    </row>
    <row r="29953" spans="1:4" x14ac:dyDescent="0.2">
      <c r="B29953" t="s">
        <v>58</v>
      </c>
      <c r="C29953" t="s">
        <v>3041</v>
      </c>
      <c r="D29953" t="s">
        <v>23574</v>
      </c>
    </row>
    <row r="29954" spans="1:4" x14ac:dyDescent="0.2">
      <c r="B29954" t="s">
        <v>9882</v>
      </c>
      <c r="C29954" t="s">
        <v>6243</v>
      </c>
      <c r="D29954" t="s">
        <v>23573</v>
      </c>
    </row>
    <row r="29956" spans="1:4" x14ac:dyDescent="0.2">
      <c r="A29956" t="s">
        <v>9883</v>
      </c>
      <c r="B29956" t="str">
        <f>HYPERLINK("https://lindat.mff.cuni.cz/services/teitok/pdtc10/index.php?action=vallex&amp;frame=v-w4112f1", "poučit se (v-w4112f1)")</f>
        <v>poučit se (v-w4112f1)</v>
      </c>
    </row>
    <row r="29957" spans="1:4" x14ac:dyDescent="0.2">
      <c r="B29957" t="s">
        <v>1</v>
      </c>
      <c r="C29957" t="s">
        <v>2566</v>
      </c>
      <c r="D29957" t="s">
        <v>9234</v>
      </c>
    </row>
    <row r="29958" spans="1:4" x14ac:dyDescent="0.2">
      <c r="B29958" t="s">
        <v>9884</v>
      </c>
      <c r="C29958" t="s">
        <v>2253</v>
      </c>
      <c r="D29958" t="s">
        <v>23186</v>
      </c>
    </row>
    <row r="29959" spans="1:4" x14ac:dyDescent="0.2">
      <c r="B29959" t="s">
        <v>6411</v>
      </c>
      <c r="C29959" t="s">
        <v>9885</v>
      </c>
      <c r="D29959" t="s">
        <v>2915</v>
      </c>
    </row>
    <row r="29961" spans="1:4" x14ac:dyDescent="0.2">
      <c r="A29961" t="s">
        <v>9886</v>
      </c>
      <c r="B29961" t="str">
        <f>HYPERLINK("https://lindat.mff.cuni.cz/services/teitok/pdtc10/index.php?action=vallex&amp;frame=v-w4114f1", "poučovat (v-w4114f1)")</f>
        <v>poučovat (v-w4114f1)</v>
      </c>
    </row>
    <row r="29962" spans="1:4" x14ac:dyDescent="0.2">
      <c r="B29962" t="s">
        <v>1</v>
      </c>
      <c r="C29962" t="s">
        <v>133</v>
      </c>
      <c r="D29962" t="s">
        <v>1106</v>
      </c>
    </row>
    <row r="29963" spans="1:4" x14ac:dyDescent="0.2">
      <c r="B29963" t="s">
        <v>58</v>
      </c>
      <c r="C29963" t="s">
        <v>4272</v>
      </c>
      <c r="D29963" t="s">
        <v>23574</v>
      </c>
    </row>
    <row r="29964" spans="1:4" x14ac:dyDescent="0.2">
      <c r="B29964" t="s">
        <v>9882</v>
      </c>
      <c r="C29964" t="s">
        <v>9887</v>
      </c>
      <c r="D29964" t="s">
        <v>23573</v>
      </c>
    </row>
    <row r="29966" spans="1:4" x14ac:dyDescent="0.2">
      <c r="A29966" t="s">
        <v>9888</v>
      </c>
      <c r="B29966" t="str">
        <f>HYPERLINK("https://lindat.mff.cuni.cz/services/teitok/pdtc10/index.php?action=vallex&amp;frame=v-w4115f1", "poučovat se (v-w4115f1)")</f>
        <v>poučovat se (v-w4115f1)</v>
      </c>
    </row>
    <row r="29967" spans="1:4" x14ac:dyDescent="0.2">
      <c r="B29967" t="s">
        <v>1</v>
      </c>
      <c r="D29967" t="s">
        <v>9234</v>
      </c>
    </row>
    <row r="29968" spans="1:4" x14ac:dyDescent="0.2">
      <c r="B29968" t="s">
        <v>2327</v>
      </c>
      <c r="D29968" t="s">
        <v>23186</v>
      </c>
    </row>
    <row r="29969" spans="1:4" x14ac:dyDescent="0.2">
      <c r="B29969" t="s">
        <v>6411</v>
      </c>
      <c r="D29969" t="s">
        <v>2915</v>
      </c>
    </row>
    <row r="29971" spans="1:4" x14ac:dyDescent="0.2">
      <c r="A29971" t="s">
        <v>9889</v>
      </c>
      <c r="B29971" t="str">
        <f>HYPERLINK("https://lindat.mff.cuni.cz/services/teitok/pdtc10/index.php?action=vallex&amp;frame=v-w4127f1", "pouštět (v-w4127f1)")</f>
        <v>pouštět (v-w4127f1)</v>
      </c>
    </row>
    <row r="29972" spans="1:4" x14ac:dyDescent="0.2">
      <c r="B29972" t="s">
        <v>1</v>
      </c>
    </row>
    <row r="29973" spans="1:4" x14ac:dyDescent="0.2">
      <c r="B29973" t="s">
        <v>8</v>
      </c>
    </row>
    <row r="29974" spans="1:4" x14ac:dyDescent="0.2">
      <c r="B29974" t="s">
        <v>90</v>
      </c>
    </row>
    <row r="29976" spans="1:4" x14ac:dyDescent="0.2">
      <c r="A29976" t="s">
        <v>9890</v>
      </c>
      <c r="B29976" t="str">
        <f>HYPERLINK("https://lindat.mff.cuni.cz/services/teitok/pdtc10/index.php?action=vallex&amp;frame=v-w4127f2", "pouštět (v-w4127f2)")</f>
        <v>pouštět (v-w4127f2)</v>
      </c>
    </row>
    <row r="29977" spans="1:4" x14ac:dyDescent="0.2">
      <c r="B29977" t="s">
        <v>1</v>
      </c>
    </row>
    <row r="29978" spans="1:4" x14ac:dyDescent="0.2">
      <c r="B29978" t="s">
        <v>8</v>
      </c>
    </row>
    <row r="29979" spans="1:4" x14ac:dyDescent="0.2">
      <c r="B29979" t="s">
        <v>90</v>
      </c>
    </row>
    <row r="29981" spans="1:4" x14ac:dyDescent="0.2">
      <c r="A29981" t="s">
        <v>9891</v>
      </c>
      <c r="B29981" t="str">
        <f>HYPERLINK("https://lindat.mff.cuni.cz/services/teitok/pdtc10/index.php?action=vallex&amp;frame=v-w4127f4", "pouštět (v-w4127f4)")</f>
        <v>pouštět (v-w4127f4)</v>
      </c>
    </row>
    <row r="29982" spans="1:4" x14ac:dyDescent="0.2">
      <c r="B29982" t="s">
        <v>1</v>
      </c>
    </row>
    <row r="29983" spans="1:4" x14ac:dyDescent="0.2">
      <c r="B29983" t="s">
        <v>8</v>
      </c>
    </row>
    <row r="29984" spans="1:4" x14ac:dyDescent="0.2">
      <c r="B29984" t="s">
        <v>90</v>
      </c>
    </row>
    <row r="29986" spans="1:2" x14ac:dyDescent="0.2">
      <c r="A29986" t="s">
        <v>9892</v>
      </c>
      <c r="B29986" t="str">
        <f>HYPERLINK("https://lindat.mff.cuni.cz/services/teitok/pdtc10/index.php?action=vallex&amp;frame=v-w4127f3", "pouštět (v-w4127f3)")</f>
        <v>pouštět (v-w4127f3)</v>
      </c>
    </row>
    <row r="29987" spans="1:2" x14ac:dyDescent="0.2">
      <c r="B29987" t="s">
        <v>1</v>
      </c>
    </row>
    <row r="29988" spans="1:2" x14ac:dyDescent="0.2">
      <c r="B29988" t="s">
        <v>8</v>
      </c>
    </row>
    <row r="29990" spans="1:2" x14ac:dyDescent="0.2">
      <c r="A29990" t="s">
        <v>9893</v>
      </c>
      <c r="B29990" t="str">
        <f>HYPERLINK("https://lindat.mff.cuni.cz/services/teitok/pdtc10/index.php?action=vallex&amp;frame=v-w4127f7_ZU", "pouštět (v-w4127f7_ZU)")</f>
        <v>pouštět (v-w4127f7_ZU)</v>
      </c>
    </row>
    <row r="29991" spans="1:2" x14ac:dyDescent="0.2">
      <c r="B29991" t="s">
        <v>1</v>
      </c>
    </row>
    <row r="29992" spans="1:2" x14ac:dyDescent="0.2">
      <c r="B29992" t="s">
        <v>8</v>
      </c>
    </row>
    <row r="29994" spans="1:2" x14ac:dyDescent="0.2">
      <c r="A29994" t="s">
        <v>9893</v>
      </c>
      <c r="B29994" t="str">
        <f>HYPERLINK("https://lindat.mff.cuni.cz/services/teitok/pdtc10/index.php?action=vallex&amp;frame=v-w4127f5_ZU", "pouštět (v-w4127f5_ZU) - substituted with v-w4127f7_ZU")</f>
        <v>pouštět (v-w4127f5_ZU) - substituted with v-w4127f7_ZU</v>
      </c>
    </row>
    <row r="29995" spans="1:2" x14ac:dyDescent="0.2">
      <c r="B29995" t="s">
        <v>1</v>
      </c>
    </row>
    <row r="29996" spans="1:2" x14ac:dyDescent="0.2">
      <c r="B29996" t="s">
        <v>8</v>
      </c>
    </row>
    <row r="29998" spans="1:2" x14ac:dyDescent="0.2">
      <c r="A29998" t="s">
        <v>9893</v>
      </c>
      <c r="B29998" t="str">
        <f>HYPERLINK("https://lindat.mff.cuni.cz/services/teitok/pdtc10/index.php?action=vallex&amp;frame=v-w4127f6_ZU", "pouštět (v-w4127f6_ZU) - substituted with v-w4127f7_ZU")</f>
        <v>pouštět (v-w4127f6_ZU) - substituted with v-w4127f7_ZU</v>
      </c>
    </row>
    <row r="29999" spans="1:2" x14ac:dyDescent="0.2">
      <c r="B29999" t="s">
        <v>1</v>
      </c>
    </row>
    <row r="30000" spans="1:2" x14ac:dyDescent="0.2">
      <c r="B30000" t="s">
        <v>8</v>
      </c>
    </row>
    <row r="30002" spans="1:2" x14ac:dyDescent="0.2">
      <c r="A30002" t="s">
        <v>9894</v>
      </c>
      <c r="B30002" t="str">
        <f>HYPERLINK("https://lindat.mff.cuni.cz/services/teitok/pdtc10/index.php?action=vallex&amp;frame=v-w4127f8_ZU", "pouštět (v-w4127f8_ZU)")</f>
        <v>pouštět (v-w4127f8_ZU)</v>
      </c>
    </row>
    <row r="30003" spans="1:2" x14ac:dyDescent="0.2">
      <c r="B30003" t="s">
        <v>1</v>
      </c>
    </row>
    <row r="30004" spans="1:2" x14ac:dyDescent="0.2">
      <c r="B30004" t="s">
        <v>8</v>
      </c>
    </row>
    <row r="30006" spans="1:2" x14ac:dyDescent="0.2">
      <c r="A30006" t="s">
        <v>9894</v>
      </c>
      <c r="B30006" t="str">
        <f>HYPERLINK("https://lindat.mff.cuni.cz/services/teitok/pdtc10/index.php?action=vallex&amp;frame=v-w4127hsa_1391", "pouštět (v-w4127hsa_1391) - substituted with v-w4127f8_ZU")</f>
        <v>pouštět (v-w4127hsa_1391) - substituted with v-w4127f8_ZU</v>
      </c>
    </row>
    <row r="30007" spans="1:2" x14ac:dyDescent="0.2">
      <c r="B30007" t="s">
        <v>1</v>
      </c>
    </row>
    <row r="30008" spans="1:2" x14ac:dyDescent="0.2">
      <c r="B30008" t="s">
        <v>8</v>
      </c>
    </row>
    <row r="30010" spans="1:2" x14ac:dyDescent="0.2">
      <c r="A30010" t="s">
        <v>9895</v>
      </c>
      <c r="B30010" t="str">
        <f>HYPERLINK("https://lindat.mff.cuni.cz/services/teitok/pdtc10/index.php?action=vallex&amp;frame=v-w4127hsa_1392", "pouštět (v-w4127hsa_1392)")</f>
        <v>pouštět (v-w4127hsa_1392)</v>
      </c>
    </row>
    <row r="30011" spans="1:2" x14ac:dyDescent="0.2">
      <c r="B30011" t="s">
        <v>1</v>
      </c>
    </row>
    <row r="30012" spans="1:2" x14ac:dyDescent="0.2">
      <c r="B30012" t="s">
        <v>8</v>
      </c>
    </row>
    <row r="30014" spans="1:2" x14ac:dyDescent="0.2">
      <c r="A30014" t="s">
        <v>9896</v>
      </c>
      <c r="B30014" t="str">
        <f>HYPERLINK("https://lindat.mff.cuni.cz/services/teitok/pdtc10/index.php?action=vallex&amp;frame=v-w4127hsa_1393", "pouštět (v-w4127hsa_1393)")</f>
        <v>pouštět (v-w4127hsa_1393)</v>
      </c>
    </row>
    <row r="30015" spans="1:2" x14ac:dyDescent="0.2">
      <c r="B30015" t="s">
        <v>1</v>
      </c>
    </row>
    <row r="30016" spans="1:2" x14ac:dyDescent="0.2">
      <c r="B30016" t="s">
        <v>8</v>
      </c>
    </row>
    <row r="30018" spans="1:3" x14ac:dyDescent="0.2">
      <c r="A30018" t="s">
        <v>9897</v>
      </c>
      <c r="B30018" t="str">
        <f>HYPERLINK("https://lindat.mff.cuni.cz/services/teitok/pdtc10/index.php?action=vallex&amp;frame=v-w4128f2", "pouštět se (v-w4128f2)")</f>
        <v>pouštět se (v-w4128f2)</v>
      </c>
    </row>
    <row r="30019" spans="1:3" x14ac:dyDescent="0.2">
      <c r="B30019" t="s">
        <v>1</v>
      </c>
      <c r="C30019" t="s">
        <v>8809</v>
      </c>
    </row>
    <row r="30020" spans="1:3" x14ac:dyDescent="0.2">
      <c r="B30020" t="s">
        <v>817</v>
      </c>
      <c r="C30020" t="s">
        <v>9898</v>
      </c>
    </row>
    <row r="30022" spans="1:3" x14ac:dyDescent="0.2">
      <c r="A30022" t="s">
        <v>9899</v>
      </c>
      <c r="B30022" t="str">
        <f>HYPERLINK("https://lindat.mff.cuni.cz/services/teitok/pdtc10/index.php?action=vallex&amp;frame=v-w4128f3", "pouštět se (v-w4128f3)")</f>
        <v>pouštět se (v-w4128f3)</v>
      </c>
    </row>
    <row r="30023" spans="1:3" x14ac:dyDescent="0.2">
      <c r="B30023" t="s">
        <v>1</v>
      </c>
      <c r="C30023" t="s">
        <v>2172</v>
      </c>
    </row>
    <row r="30024" spans="1:3" x14ac:dyDescent="0.2">
      <c r="B30024" t="s">
        <v>90</v>
      </c>
      <c r="C30024" t="s">
        <v>6117</v>
      </c>
    </row>
    <row r="30026" spans="1:3" x14ac:dyDescent="0.2">
      <c r="A30026" t="s">
        <v>9900</v>
      </c>
      <c r="B30026" t="str">
        <f>HYPERLINK("https://lindat.mff.cuni.cz/services/teitok/pdtc10/index.php?action=vallex&amp;frame=v-w4128f4_ZU", "pouštět se (v-w4128f4_ZU)")</f>
        <v>pouštět se (v-w4128f4_ZU)</v>
      </c>
    </row>
    <row r="30027" spans="1:3" x14ac:dyDescent="0.2">
      <c r="B30027" t="s">
        <v>1</v>
      </c>
    </row>
    <row r="30028" spans="1:3" x14ac:dyDescent="0.2">
      <c r="B30028" t="s">
        <v>9901</v>
      </c>
    </row>
    <row r="30030" spans="1:3" x14ac:dyDescent="0.2">
      <c r="A30030" t="s">
        <v>9900</v>
      </c>
      <c r="B30030" t="str">
        <f>HYPERLINK("https://lindat.mff.cuni.cz/services/teitok/pdtc10/index.php?action=vallex&amp;frame=v-w4128f1", "pouštět se (v-w4128f1) - substituted with v-w4128f4_ZU")</f>
        <v>pouštět se (v-w4128f1) - substituted with v-w4128f4_ZU</v>
      </c>
    </row>
    <row r="30031" spans="1:3" x14ac:dyDescent="0.2">
      <c r="B30031" t="s">
        <v>1</v>
      </c>
      <c r="C30031" t="s">
        <v>1680</v>
      </c>
    </row>
    <row r="30032" spans="1:3" x14ac:dyDescent="0.2">
      <c r="B30032" t="s">
        <v>9901</v>
      </c>
      <c r="C30032" t="s">
        <v>9902</v>
      </c>
    </row>
    <row r="30034" spans="1:3" x14ac:dyDescent="0.2">
      <c r="A30034" t="s">
        <v>9900</v>
      </c>
      <c r="B30034" t="str">
        <f>HYPERLINK("https://lindat.mff.cuni.cz/services/teitok/pdtc10/index.php?action=vallex&amp;frame=v-w4128hsa_675", "pouštět se (v-w4128hsa_675) - substituted with v-w4128f4_ZU")</f>
        <v>pouštět se (v-w4128hsa_675) - substituted with v-w4128f4_ZU</v>
      </c>
    </row>
    <row r="30035" spans="1:3" x14ac:dyDescent="0.2">
      <c r="B30035" t="s">
        <v>1</v>
      </c>
    </row>
    <row r="30036" spans="1:3" x14ac:dyDescent="0.2">
      <c r="B30036" t="s">
        <v>9901</v>
      </c>
    </row>
    <row r="30038" spans="1:3" x14ac:dyDescent="0.2">
      <c r="A30038" t="s">
        <v>9903</v>
      </c>
      <c r="B30038" t="str">
        <f>HYPERLINK("https://lindat.mff.cuni.cz/services/teitok/pdtc10/index.php?action=vallex&amp;frame=v-w4128f5_ZU", "pouštět se (v-w4128f5_ZU)")</f>
        <v>pouštět se (v-w4128f5_ZU)</v>
      </c>
    </row>
    <row r="30039" spans="1:3" x14ac:dyDescent="0.2">
      <c r="B30039" t="s">
        <v>1</v>
      </c>
    </row>
    <row r="30040" spans="1:3" x14ac:dyDescent="0.2">
      <c r="B30040" t="s">
        <v>817</v>
      </c>
    </row>
    <row r="30042" spans="1:3" x14ac:dyDescent="0.2">
      <c r="A30042" t="s">
        <v>9903</v>
      </c>
      <c r="B30042" t="str">
        <f>HYPERLINK("https://lindat.mff.cuni.cz/services/teitok/pdtc10/index.php?action=vallex&amp;frame=v-w4128hsa_674", "pouštět se (v-w4128hsa_674) - substituted with v-w4128f5_ZU")</f>
        <v>pouštět se (v-w4128hsa_674) - substituted with v-w4128f5_ZU</v>
      </c>
    </row>
    <row r="30043" spans="1:3" x14ac:dyDescent="0.2">
      <c r="B30043" t="s">
        <v>1</v>
      </c>
      <c r="C30043" t="s">
        <v>33</v>
      </c>
    </row>
    <row r="30044" spans="1:3" x14ac:dyDescent="0.2">
      <c r="B30044" t="s">
        <v>817</v>
      </c>
    </row>
    <row r="30046" spans="1:3" x14ac:dyDescent="0.2">
      <c r="A30046" t="s">
        <v>9904</v>
      </c>
      <c r="B30046" t="str">
        <f>HYPERLINK("https://lindat.mff.cuni.cz/services/teitok/pdtc10/index.php?action=vallex&amp;frame=v-w4128hsa_1649", "pouštět se (v-w4128hsa_1649)")</f>
        <v>pouštět se (v-w4128hsa_1649)</v>
      </c>
    </row>
    <row r="30047" spans="1:3" x14ac:dyDescent="0.2">
      <c r="B30047" t="s">
        <v>1</v>
      </c>
    </row>
    <row r="30048" spans="1:3" x14ac:dyDescent="0.2">
      <c r="B30048" t="s">
        <v>817</v>
      </c>
    </row>
    <row r="30050" spans="1:4" x14ac:dyDescent="0.2">
      <c r="A30050" t="s">
        <v>9905</v>
      </c>
      <c r="B30050" t="str">
        <f>HYPERLINK("https://lindat.mff.cuni.cz/services/teitok/pdtc10/index.php?action=vallex&amp;frame=v-w4130f2", "použít (v-w4130f2)")</f>
        <v>použít (v-w4130f2)</v>
      </c>
    </row>
    <row r="30051" spans="1:4" x14ac:dyDescent="0.2">
      <c r="B30051" t="s">
        <v>1</v>
      </c>
      <c r="C30051" t="s">
        <v>9906</v>
      </c>
      <c r="D30051" t="s">
        <v>22958</v>
      </c>
    </row>
    <row r="30052" spans="1:4" x14ac:dyDescent="0.2">
      <c r="B30052" t="s">
        <v>968</v>
      </c>
      <c r="C30052" t="s">
        <v>9907</v>
      </c>
      <c r="D30052" t="s">
        <v>22959</v>
      </c>
    </row>
    <row r="30054" spans="1:4" x14ac:dyDescent="0.2">
      <c r="A30054" t="s">
        <v>9905</v>
      </c>
      <c r="B30054" t="str">
        <f>HYPERLINK("https://lindat.mff.cuni.cz/services/teitok/pdtc10/index.php?action=vallex&amp;frame=v-w4130f1", "použít (v-w4130f1) - substituted with v-w4130f2")</f>
        <v>použít (v-w4130f1) - substituted with v-w4130f2</v>
      </c>
    </row>
    <row r="30055" spans="1:4" x14ac:dyDescent="0.2">
      <c r="B30055" t="s">
        <v>1</v>
      </c>
      <c r="C30055" t="s">
        <v>9908</v>
      </c>
    </row>
    <row r="30056" spans="1:4" x14ac:dyDescent="0.2">
      <c r="B30056" t="s">
        <v>968</v>
      </c>
      <c r="C30056" t="s">
        <v>9909</v>
      </c>
    </row>
    <row r="30058" spans="1:4" x14ac:dyDescent="0.2">
      <c r="A30058" t="s">
        <v>9910</v>
      </c>
      <c r="B30058" t="str">
        <f>HYPERLINK("https://lindat.mff.cuni.cz/services/teitok/pdtc10/index.php?action=vallex&amp;frame=v-w4130f3_ZU", "použít (v-w4130f3_ZU)")</f>
        <v>použít (v-w4130f3_ZU)</v>
      </c>
    </row>
    <row r="30059" spans="1:4" x14ac:dyDescent="0.2">
      <c r="B30059" t="s">
        <v>1</v>
      </c>
    </row>
    <row r="30060" spans="1:4" x14ac:dyDescent="0.2">
      <c r="B30060" t="s">
        <v>8</v>
      </c>
    </row>
    <row r="30061" spans="1:4" x14ac:dyDescent="0.2">
      <c r="B30061" t="s">
        <v>9911</v>
      </c>
    </row>
    <row r="30063" spans="1:4" x14ac:dyDescent="0.2">
      <c r="A30063" t="s">
        <v>9910</v>
      </c>
      <c r="B30063" t="str">
        <f>HYPERLINK("https://lindat.mff.cuni.cz/services/teitok/pdtc10/index.php?action=vallex&amp;frame=v-w4130hsa_554", "použít (v-w4130hsa_554) - substituted with v-w4130f3_ZU")</f>
        <v>použít (v-w4130hsa_554) - substituted with v-w4130f3_ZU</v>
      </c>
    </row>
    <row r="30064" spans="1:4" x14ac:dyDescent="0.2">
      <c r="B30064" t="s">
        <v>1</v>
      </c>
    </row>
    <row r="30065" spans="1:4" x14ac:dyDescent="0.2">
      <c r="B30065" t="s">
        <v>8</v>
      </c>
    </row>
    <row r="30066" spans="1:4" x14ac:dyDescent="0.2">
      <c r="B30066" t="s">
        <v>9911</v>
      </c>
    </row>
    <row r="30068" spans="1:4" x14ac:dyDescent="0.2">
      <c r="A30068" t="s">
        <v>9912</v>
      </c>
      <c r="B30068" t="str">
        <f>HYPERLINK("https://lindat.mff.cuni.cz/services/teitok/pdtc10/index.php?action=vallex&amp;frame=v-w4135f1", "používat (v-w4135f1)")</f>
        <v>používat (v-w4135f1)</v>
      </c>
    </row>
    <row r="30069" spans="1:4" x14ac:dyDescent="0.2">
      <c r="B30069" t="s">
        <v>1</v>
      </c>
      <c r="C30069" t="s">
        <v>9913</v>
      </c>
      <c r="D30069" t="s">
        <v>22958</v>
      </c>
    </row>
    <row r="30070" spans="1:4" x14ac:dyDescent="0.2">
      <c r="B30070" t="s">
        <v>968</v>
      </c>
      <c r="C30070" t="s">
        <v>9914</v>
      </c>
      <c r="D30070" t="s">
        <v>22959</v>
      </c>
    </row>
    <row r="30072" spans="1:4" x14ac:dyDescent="0.2">
      <c r="A30072" t="s">
        <v>9915</v>
      </c>
      <c r="B30072" t="str">
        <f>HYPERLINK("https://lindat.mff.cuni.cz/services/teitok/pdtc10/index.php?action=vallex&amp;frame=v-w4136f1", "povalit (v-w4136f1)")</f>
        <v>povalit (v-w4136f1)</v>
      </c>
    </row>
    <row r="30073" spans="1:4" x14ac:dyDescent="0.2">
      <c r="B30073" t="s">
        <v>1</v>
      </c>
    </row>
    <row r="30074" spans="1:4" x14ac:dyDescent="0.2">
      <c r="B30074" t="s">
        <v>8</v>
      </c>
    </row>
    <row r="30076" spans="1:4" x14ac:dyDescent="0.2">
      <c r="A30076" t="s">
        <v>9916</v>
      </c>
      <c r="B30076" t="str">
        <f>HYPERLINK("https://lindat.mff.cuni.cz/services/teitok/pdtc10/index.php?action=vallex&amp;frame=v-w4137f1", "povařit (v-w4137f1)")</f>
        <v>povařit (v-w4137f1)</v>
      </c>
    </row>
    <row r="30077" spans="1:4" x14ac:dyDescent="0.2">
      <c r="B30077" t="s">
        <v>1</v>
      </c>
    </row>
    <row r="30078" spans="1:4" x14ac:dyDescent="0.2">
      <c r="B30078" t="s">
        <v>8</v>
      </c>
    </row>
    <row r="30080" spans="1:4" x14ac:dyDescent="0.2">
      <c r="A30080" t="s">
        <v>9917</v>
      </c>
      <c r="B30080" t="str">
        <f>HYPERLINK("https://lindat.mff.cuni.cz/services/teitok/pdtc10/index.php?action=vallex&amp;frame=v-w4140f1", "považovat (v-w4140f1)")</f>
        <v>považovat (v-w4140f1)</v>
      </c>
    </row>
    <row r="30081" spans="1:4" x14ac:dyDescent="0.2">
      <c r="B30081" t="s">
        <v>1</v>
      </c>
      <c r="C30081" t="s">
        <v>9918</v>
      </c>
      <c r="D30081" t="s">
        <v>23008</v>
      </c>
    </row>
    <row r="30082" spans="1:4" x14ac:dyDescent="0.2">
      <c r="B30082" t="s">
        <v>9919</v>
      </c>
      <c r="C30082" t="s">
        <v>9920</v>
      </c>
      <c r="D30082" t="s">
        <v>17729</v>
      </c>
    </row>
    <row r="30083" spans="1:4" x14ac:dyDescent="0.2">
      <c r="B30083" t="s">
        <v>9921</v>
      </c>
      <c r="C30083" t="s">
        <v>9922</v>
      </c>
      <c r="D30083" t="s">
        <v>23009</v>
      </c>
    </row>
    <row r="30085" spans="1:4" x14ac:dyDescent="0.2">
      <c r="A30085" t="s">
        <v>9923</v>
      </c>
      <c r="B30085" t="str">
        <f>HYPERLINK("https://lindat.mff.cuni.cz/services/teitok/pdtc10/index.php?action=vallex&amp;frame=v-w4141f1", "považovat se (v-w4141f1)")</f>
        <v>považovat se (v-w4141f1)</v>
      </c>
    </row>
    <row r="30086" spans="1:4" x14ac:dyDescent="0.2">
      <c r="B30086" t="s">
        <v>1</v>
      </c>
    </row>
    <row r="30087" spans="1:4" x14ac:dyDescent="0.2">
      <c r="B30087" t="s">
        <v>1240</v>
      </c>
    </row>
    <row r="30089" spans="1:4" x14ac:dyDescent="0.2">
      <c r="A30089" t="s">
        <v>9924</v>
      </c>
      <c r="B30089" t="str">
        <f>HYPERLINK("https://lindat.mff.cuni.cz/services/teitok/pdtc10/index.php?action=vallex&amp;frame=v-w4142f1", "považovat si (v-w4142f1)")</f>
        <v>považovat si (v-w4142f1)</v>
      </c>
    </row>
    <row r="30090" spans="1:4" x14ac:dyDescent="0.2">
      <c r="B30090" t="s">
        <v>1</v>
      </c>
    </row>
    <row r="30091" spans="1:4" x14ac:dyDescent="0.2">
      <c r="B30091" t="s">
        <v>2230</v>
      </c>
    </row>
    <row r="30093" spans="1:4" x14ac:dyDescent="0.2">
      <c r="A30093" t="s">
        <v>9925</v>
      </c>
      <c r="B30093" t="str">
        <f>HYPERLINK("https://lindat.mff.cuni.cz/services/teitok/pdtc10/index.php?action=vallex&amp;frame=v-whsa_1552hsa_1553", "povdávat se (v-whsa_1552hsa_1553)")</f>
        <v>povdávat se (v-whsa_1552hsa_1553)</v>
      </c>
    </row>
    <row r="30094" spans="1:4" x14ac:dyDescent="0.2">
      <c r="B30094" t="s">
        <v>1</v>
      </c>
    </row>
    <row r="30095" spans="1:4" x14ac:dyDescent="0.2">
      <c r="B30095" t="s">
        <v>1382</v>
      </c>
    </row>
    <row r="30097" spans="1:4" x14ac:dyDescent="0.2">
      <c r="A30097" t="s">
        <v>9926</v>
      </c>
      <c r="B30097" t="str">
        <f>HYPERLINK("https://lindat.mff.cuni.cz/services/teitok/pdtc10/index.php?action=vallex&amp;frame=v-w11552_ZUf1_ZU", "povinovat (v-w11552_ZUf1_ZU)")</f>
        <v>povinovat (v-w11552_ZUf1_ZU)</v>
      </c>
    </row>
    <row r="30098" spans="1:4" x14ac:dyDescent="0.2">
      <c r="B30098" t="s">
        <v>1</v>
      </c>
      <c r="C30098" t="s">
        <v>7592</v>
      </c>
    </row>
    <row r="30099" spans="1:4" x14ac:dyDescent="0.2">
      <c r="B30099" t="s">
        <v>7950</v>
      </c>
      <c r="C30099" t="s">
        <v>9927</v>
      </c>
    </row>
    <row r="30100" spans="1:4" x14ac:dyDescent="0.2">
      <c r="B30100" t="s">
        <v>58</v>
      </c>
      <c r="C30100" t="s">
        <v>9928</v>
      </c>
    </row>
    <row r="30102" spans="1:4" x14ac:dyDescent="0.2">
      <c r="A30102" t="s">
        <v>9929</v>
      </c>
      <c r="B30102" t="str">
        <f>HYPERLINK("https://lindat.mff.cuni.cz/services/teitok/pdtc10/index.php?action=vallex&amp;frame=v-w4163f1", "povolat (v-w4163f1)")</f>
        <v>povolat (v-w4163f1)</v>
      </c>
    </row>
    <row r="30103" spans="1:4" x14ac:dyDescent="0.2">
      <c r="B30103" t="s">
        <v>1</v>
      </c>
      <c r="C30103" t="s">
        <v>4110</v>
      </c>
      <c r="D30103" t="s">
        <v>370</v>
      </c>
    </row>
    <row r="30104" spans="1:4" x14ac:dyDescent="0.2">
      <c r="B30104" t="s">
        <v>8</v>
      </c>
      <c r="C30104" t="s">
        <v>3308</v>
      </c>
      <c r="D30104" t="s">
        <v>969</v>
      </c>
    </row>
    <row r="30106" spans="1:4" x14ac:dyDescent="0.2">
      <c r="A30106" t="s">
        <v>9930</v>
      </c>
      <c r="B30106" t="str">
        <f>HYPERLINK("https://lindat.mff.cuni.cz/services/teitok/pdtc10/index.php?action=vallex&amp;frame=v-w4167f1", "povolit (v-w4167f1)")</f>
        <v>povolit (v-w4167f1)</v>
      </c>
    </row>
    <row r="30107" spans="1:4" x14ac:dyDescent="0.2">
      <c r="B30107" t="s">
        <v>1</v>
      </c>
      <c r="C30107" t="s">
        <v>9931</v>
      </c>
      <c r="D30107" t="s">
        <v>23225</v>
      </c>
    </row>
    <row r="30108" spans="1:4" x14ac:dyDescent="0.2">
      <c r="B30108" t="s">
        <v>9932</v>
      </c>
      <c r="C30108" t="s">
        <v>9933</v>
      </c>
      <c r="D30108" t="s">
        <v>23226</v>
      </c>
    </row>
    <row r="30109" spans="1:4" x14ac:dyDescent="0.2">
      <c r="B30109" t="s">
        <v>35</v>
      </c>
      <c r="C30109" t="s">
        <v>9934</v>
      </c>
      <c r="D30109" t="s">
        <v>23227</v>
      </c>
    </row>
    <row r="30111" spans="1:4" x14ac:dyDescent="0.2">
      <c r="A30111" t="s">
        <v>9935</v>
      </c>
      <c r="B30111" t="str">
        <f>HYPERLINK("https://lindat.mff.cuni.cz/services/teitok/pdtc10/index.php?action=vallex&amp;frame=v-w4167f4_ZU", "povolit (v-w4167f4_ZU)")</f>
        <v>povolit (v-w4167f4_ZU)</v>
      </c>
    </row>
    <row r="30112" spans="1:4" x14ac:dyDescent="0.2">
      <c r="B30112" t="s">
        <v>1</v>
      </c>
      <c r="C30112" t="s">
        <v>9222</v>
      </c>
      <c r="D30112" t="s">
        <v>23736</v>
      </c>
    </row>
    <row r="30113" spans="1:4" x14ac:dyDescent="0.2">
      <c r="B30113" t="s">
        <v>46</v>
      </c>
      <c r="C30113" t="s">
        <v>9223</v>
      </c>
      <c r="D30113" t="s">
        <v>23737</v>
      </c>
    </row>
    <row r="30114" spans="1:4" x14ac:dyDescent="0.2">
      <c r="B30114" t="s">
        <v>24</v>
      </c>
      <c r="C30114" t="s">
        <v>9936</v>
      </c>
      <c r="D30114" t="s">
        <v>23738</v>
      </c>
    </row>
    <row r="30116" spans="1:4" x14ac:dyDescent="0.2">
      <c r="A30116" t="s">
        <v>9937</v>
      </c>
      <c r="B30116" t="str">
        <f>HYPERLINK("https://lindat.mff.cuni.cz/services/teitok/pdtc10/index.php?action=vallex&amp;frame=v-w4167f2", "povolit (v-w4167f2)")</f>
        <v>povolit (v-w4167f2)</v>
      </c>
    </row>
    <row r="30117" spans="1:4" x14ac:dyDescent="0.2">
      <c r="B30117" t="s">
        <v>1</v>
      </c>
      <c r="C30117" t="s">
        <v>9938</v>
      </c>
      <c r="D30117" t="s">
        <v>12107</v>
      </c>
    </row>
    <row r="30118" spans="1:4" x14ac:dyDescent="0.2">
      <c r="B30118" t="s">
        <v>86</v>
      </c>
      <c r="C30118" t="s">
        <v>3184</v>
      </c>
      <c r="D30118" t="s">
        <v>23875</v>
      </c>
    </row>
    <row r="30120" spans="1:4" x14ac:dyDescent="0.2">
      <c r="A30120" t="s">
        <v>9939</v>
      </c>
      <c r="B30120" t="str">
        <f>HYPERLINK("https://lindat.mff.cuni.cz/services/teitok/pdtc10/index.php?action=vallex&amp;frame=v-w4167f3", "povolit (v-w4167f3)")</f>
        <v>povolit (v-w4167f3)</v>
      </c>
    </row>
    <row r="30121" spans="1:4" x14ac:dyDescent="0.2">
      <c r="B30121" t="s">
        <v>1</v>
      </c>
    </row>
    <row r="30123" spans="1:4" x14ac:dyDescent="0.2">
      <c r="A30123" t="s">
        <v>9940</v>
      </c>
      <c r="B30123" t="str">
        <f>HYPERLINK("https://lindat.mff.cuni.cz/services/teitok/pdtc10/index.php?action=vallex&amp;frame=v-w4169f1", "povolovat (v-w4169f1)")</f>
        <v>povolovat (v-w4169f1)</v>
      </c>
    </row>
    <row r="30124" spans="1:4" x14ac:dyDescent="0.2">
      <c r="B30124" t="s">
        <v>1</v>
      </c>
      <c r="C30124" t="s">
        <v>9941</v>
      </c>
      <c r="D30124" t="s">
        <v>23225</v>
      </c>
    </row>
    <row r="30125" spans="1:4" x14ac:dyDescent="0.2">
      <c r="B30125" t="s">
        <v>9942</v>
      </c>
      <c r="C30125" t="s">
        <v>9943</v>
      </c>
      <c r="D30125" t="s">
        <v>23226</v>
      </c>
    </row>
    <row r="30126" spans="1:4" x14ac:dyDescent="0.2">
      <c r="B30126" t="s">
        <v>35</v>
      </c>
      <c r="C30126" t="s">
        <v>9549</v>
      </c>
      <c r="D30126" t="s">
        <v>23227</v>
      </c>
    </row>
    <row r="30128" spans="1:4" x14ac:dyDescent="0.2">
      <c r="A30128" t="s">
        <v>9944</v>
      </c>
      <c r="B30128" t="str">
        <f>HYPERLINK("https://lindat.mff.cuni.cz/services/teitok/pdtc10/index.php?action=vallex&amp;frame=v-w4164f1", "povolávat (v-w4164f1)")</f>
        <v>povolávat (v-w4164f1)</v>
      </c>
    </row>
    <row r="30129" spans="1:4" x14ac:dyDescent="0.2">
      <c r="B30129" t="s">
        <v>1</v>
      </c>
      <c r="D30129" t="s">
        <v>370</v>
      </c>
    </row>
    <row r="30130" spans="1:4" x14ac:dyDescent="0.2">
      <c r="B30130" t="s">
        <v>8</v>
      </c>
      <c r="D30130" t="s">
        <v>969</v>
      </c>
    </row>
    <row r="30132" spans="1:4" x14ac:dyDescent="0.2">
      <c r="A30132" t="s">
        <v>9945</v>
      </c>
      <c r="B30132" t="str">
        <f>HYPERLINK("https://lindat.mff.cuni.cz/services/teitok/pdtc10/index.php?action=vallex&amp;frame=v-w4170f1", "povozit (v-w4170f1)")</f>
        <v>povozit (v-w4170f1)</v>
      </c>
    </row>
    <row r="30133" spans="1:4" x14ac:dyDescent="0.2">
      <c r="B30133" t="s">
        <v>1</v>
      </c>
    </row>
    <row r="30134" spans="1:4" x14ac:dyDescent="0.2">
      <c r="B30134" t="s">
        <v>8</v>
      </c>
    </row>
    <row r="30136" spans="1:4" x14ac:dyDescent="0.2">
      <c r="A30136" t="s">
        <v>9946</v>
      </c>
      <c r="B30136" t="str">
        <f>HYPERLINK("https://lindat.mff.cuni.cz/services/teitok/pdtc10/index.php?action=vallex&amp;frame=v-whsa_1868hsa_1869", "povozit se (v-whsa_1868hsa_1869)")</f>
        <v>povozit se (v-whsa_1868hsa_1869)</v>
      </c>
    </row>
    <row r="30137" spans="1:4" x14ac:dyDescent="0.2">
      <c r="B30137" t="s">
        <v>1</v>
      </c>
    </row>
    <row r="30139" spans="1:4" x14ac:dyDescent="0.2">
      <c r="A30139" t="s">
        <v>9947</v>
      </c>
      <c r="B30139" t="str">
        <f>HYPERLINK("https://lindat.mff.cuni.cz/services/teitok/pdtc10/index.php?action=vallex&amp;frame=v-w4172f1", "povstat (v-w4172f1)")</f>
        <v>povstat (v-w4172f1)</v>
      </c>
    </row>
    <row r="30140" spans="1:4" x14ac:dyDescent="0.2">
      <c r="B30140" t="s">
        <v>1</v>
      </c>
    </row>
    <row r="30141" spans="1:4" x14ac:dyDescent="0.2">
      <c r="B30141" t="s">
        <v>1310</v>
      </c>
    </row>
    <row r="30143" spans="1:4" x14ac:dyDescent="0.2">
      <c r="A30143" t="s">
        <v>9948</v>
      </c>
      <c r="B30143" t="str">
        <f>HYPERLINK("https://lindat.mff.cuni.cz/services/teitok/pdtc10/index.php?action=vallex&amp;frame=v-w4172f4", "povstat (v-w4172f4)")</f>
        <v>povstat (v-w4172f4)</v>
      </c>
    </row>
    <row r="30144" spans="1:4" x14ac:dyDescent="0.2">
      <c r="B30144" t="s">
        <v>1</v>
      </c>
    </row>
    <row r="30145" spans="1:2" x14ac:dyDescent="0.2">
      <c r="B30145" t="s">
        <v>438</v>
      </c>
    </row>
    <row r="30147" spans="1:2" x14ac:dyDescent="0.2">
      <c r="A30147" t="s">
        <v>9949</v>
      </c>
      <c r="B30147" t="str">
        <f>HYPERLINK("https://lindat.mff.cuni.cz/services/teitok/pdtc10/index.php?action=vallex&amp;frame=v-w4172f3", "povstat (v-w4172f3)")</f>
        <v>povstat (v-w4172f3)</v>
      </c>
    </row>
    <row r="30148" spans="1:2" x14ac:dyDescent="0.2">
      <c r="B30148" t="s">
        <v>1</v>
      </c>
    </row>
    <row r="30149" spans="1:2" x14ac:dyDescent="0.2">
      <c r="B30149" t="s">
        <v>333</v>
      </c>
    </row>
    <row r="30151" spans="1:2" x14ac:dyDescent="0.2">
      <c r="A30151" t="s">
        <v>9950</v>
      </c>
      <c r="B30151" t="str">
        <f>HYPERLINK("https://lindat.mff.cuni.cz/services/teitok/pdtc10/index.php?action=vallex&amp;frame=v-w4172f2", "povstat (v-w4172f2)")</f>
        <v>povstat (v-w4172f2)</v>
      </c>
    </row>
    <row r="30152" spans="1:2" x14ac:dyDescent="0.2">
      <c r="B30152" t="s">
        <v>1</v>
      </c>
    </row>
    <row r="30154" spans="1:2" x14ac:dyDescent="0.2">
      <c r="A30154" t="s">
        <v>9951</v>
      </c>
      <c r="B30154" t="str">
        <f>HYPERLINK("https://lindat.mff.cuni.cz/services/teitok/pdtc10/index.php?action=vallex&amp;frame=v-w4173f1", "povstávat (v-w4173f1)")</f>
        <v>povstávat (v-w4173f1)</v>
      </c>
    </row>
    <row r="30155" spans="1:2" x14ac:dyDescent="0.2">
      <c r="B30155" t="s">
        <v>1</v>
      </c>
    </row>
    <row r="30156" spans="1:2" x14ac:dyDescent="0.2">
      <c r="B30156" t="s">
        <v>438</v>
      </c>
    </row>
    <row r="30158" spans="1:2" x14ac:dyDescent="0.2">
      <c r="A30158" t="s">
        <v>9952</v>
      </c>
      <c r="B30158" t="str">
        <f>HYPERLINK("https://lindat.mff.cuni.cz/services/teitok/pdtc10/index.php?action=vallex&amp;frame=v-w11716_ZUf1_ZU", "povykládat (v-w11716_ZUf1_ZU)")</f>
        <v>povykládat (v-w11716_ZUf1_ZU)</v>
      </c>
    </row>
    <row r="30159" spans="1:2" x14ac:dyDescent="0.2">
      <c r="B30159" t="s">
        <v>1</v>
      </c>
    </row>
    <row r="30160" spans="1:2" x14ac:dyDescent="0.2">
      <c r="B30160" t="s">
        <v>184</v>
      </c>
    </row>
    <row r="30161" spans="1:2" x14ac:dyDescent="0.2">
      <c r="B30161" t="s">
        <v>78</v>
      </c>
    </row>
    <row r="30162" spans="1:2" x14ac:dyDescent="0.2">
      <c r="B30162" t="s">
        <v>269</v>
      </c>
    </row>
    <row r="30164" spans="1:2" x14ac:dyDescent="0.2">
      <c r="A30164" t="s">
        <v>9953</v>
      </c>
      <c r="B30164" t="str">
        <f>HYPERLINK("https://lindat.mff.cuni.cz/services/teitok/pdtc10/index.php?action=vallex&amp;frame=v-whsa_477f1_ZU", "povykládat si (v-whsa_477f1_ZU)")</f>
        <v>povykládat si (v-whsa_477f1_ZU)</v>
      </c>
    </row>
    <row r="30165" spans="1:2" x14ac:dyDescent="0.2">
      <c r="B30165" t="s">
        <v>1</v>
      </c>
    </row>
    <row r="30166" spans="1:2" x14ac:dyDescent="0.2">
      <c r="B30166" t="s">
        <v>153</v>
      </c>
    </row>
    <row r="30167" spans="1:2" x14ac:dyDescent="0.2">
      <c r="B30167" t="s">
        <v>184</v>
      </c>
    </row>
    <row r="30168" spans="1:2" x14ac:dyDescent="0.2">
      <c r="B30168" t="s">
        <v>269</v>
      </c>
    </row>
    <row r="30170" spans="1:2" x14ac:dyDescent="0.2">
      <c r="A30170" t="s">
        <v>9953</v>
      </c>
      <c r="B30170" t="str">
        <f>HYPERLINK("https://lindat.mff.cuni.cz/services/teitok/pdtc10/index.php?action=vallex&amp;frame=v-whsa_477hsa_478", "povykládat si (v-whsa_477hsa_478) - substituted with v-whsa_477f1_ZU")</f>
        <v>povykládat si (v-whsa_477hsa_478) - substituted with v-whsa_477f1_ZU</v>
      </c>
    </row>
    <row r="30171" spans="1:2" x14ac:dyDescent="0.2">
      <c r="B30171" t="s">
        <v>1</v>
      </c>
    </row>
    <row r="30172" spans="1:2" x14ac:dyDescent="0.2">
      <c r="B30172" t="s">
        <v>153</v>
      </c>
    </row>
    <row r="30173" spans="1:2" x14ac:dyDescent="0.2">
      <c r="B30173" t="s">
        <v>184</v>
      </c>
    </row>
    <row r="30174" spans="1:2" x14ac:dyDescent="0.2">
      <c r="B30174" t="s">
        <v>269</v>
      </c>
    </row>
    <row r="30176" spans="1:2" x14ac:dyDescent="0.2">
      <c r="A30176" t="s">
        <v>9954</v>
      </c>
      <c r="B30176" t="str">
        <f>HYPERLINK("https://lindat.mff.cuni.cz/services/teitok/pdtc10/index.php?action=vallex&amp;frame=v-whsa_569hsa_570", "povyprávět (v-whsa_569hsa_570)")</f>
        <v>povyprávět (v-whsa_569hsa_570)</v>
      </c>
    </row>
    <row r="30177" spans="1:4" x14ac:dyDescent="0.2">
      <c r="B30177" t="s">
        <v>1</v>
      </c>
    </row>
    <row r="30178" spans="1:4" x14ac:dyDescent="0.2">
      <c r="B30178" t="s">
        <v>35</v>
      </c>
    </row>
    <row r="30179" spans="1:4" x14ac:dyDescent="0.2">
      <c r="B30179" t="s">
        <v>3088</v>
      </c>
    </row>
    <row r="30180" spans="1:4" x14ac:dyDescent="0.2">
      <c r="B30180" t="s">
        <v>269</v>
      </c>
    </row>
    <row r="30182" spans="1:4" x14ac:dyDescent="0.2">
      <c r="A30182" t="s">
        <v>9955</v>
      </c>
      <c r="B30182" t="str">
        <f>HYPERLINK("https://lindat.mff.cuni.cz/services/teitok/pdtc10/index.php?action=vallex&amp;frame=v-whsb_137hsa_138", "povyrazit si (v-whsb_137hsa_138)")</f>
        <v>povyrazit si (v-whsb_137hsa_138)</v>
      </c>
    </row>
    <row r="30183" spans="1:4" x14ac:dyDescent="0.2">
      <c r="B30183" t="s">
        <v>1</v>
      </c>
    </row>
    <row r="30184" spans="1:4" x14ac:dyDescent="0.2">
      <c r="B30184" t="s">
        <v>90</v>
      </c>
    </row>
    <row r="30186" spans="1:4" x14ac:dyDescent="0.2">
      <c r="A30186" t="s">
        <v>9956</v>
      </c>
      <c r="B30186" t="str">
        <f>HYPERLINK("https://lindat.mff.cuni.cz/services/teitok/pdtc10/index.php?action=vallex&amp;frame=v-w4176f1", "povyrůst (v-w4176f1)")</f>
        <v>povyrůst (v-w4176f1)</v>
      </c>
    </row>
    <row r="30187" spans="1:4" x14ac:dyDescent="0.2">
      <c r="B30187" t="s">
        <v>1</v>
      </c>
    </row>
    <row r="30189" spans="1:4" x14ac:dyDescent="0.2">
      <c r="A30189" t="s">
        <v>9957</v>
      </c>
      <c r="B30189" t="str">
        <f>HYPERLINK("https://lindat.mff.cuni.cz/services/teitok/pdtc10/index.php?action=vallex&amp;frame=v-w4176hsa_651", "povyrůst (v-w4176hsa_651)")</f>
        <v>povyrůst (v-w4176hsa_651)</v>
      </c>
    </row>
    <row r="30190" spans="1:4" x14ac:dyDescent="0.2">
      <c r="B30190" t="s">
        <v>1</v>
      </c>
      <c r="C30190" t="s">
        <v>9112</v>
      </c>
      <c r="D30190" t="s">
        <v>23510</v>
      </c>
    </row>
    <row r="30191" spans="1:4" x14ac:dyDescent="0.2">
      <c r="B30191" t="s">
        <v>24</v>
      </c>
      <c r="C30191" t="s">
        <v>5399</v>
      </c>
      <c r="D30191" t="s">
        <v>23394</v>
      </c>
    </row>
    <row r="30192" spans="1:4" x14ac:dyDescent="0.2">
      <c r="B30192" t="s">
        <v>46</v>
      </c>
      <c r="C30192" t="s">
        <v>9163</v>
      </c>
      <c r="D30192" t="s">
        <v>23393</v>
      </c>
    </row>
    <row r="30194" spans="1:4" x14ac:dyDescent="0.2">
      <c r="A30194" t="s">
        <v>9958</v>
      </c>
      <c r="B30194" t="str">
        <f>HYPERLINK("https://lindat.mff.cuni.cz/services/teitok/pdtc10/index.php?action=vallex&amp;frame=v-w11131f2", "povyšovat (v-w11131f2)")</f>
        <v>povyšovat (v-w11131f2)</v>
      </c>
    </row>
    <row r="30195" spans="1:4" x14ac:dyDescent="0.2">
      <c r="B30195" t="s">
        <v>1</v>
      </c>
      <c r="C30195" t="s">
        <v>133</v>
      </c>
      <c r="D30195" t="s">
        <v>23876</v>
      </c>
    </row>
    <row r="30196" spans="1:4" x14ac:dyDescent="0.2">
      <c r="B30196" t="s">
        <v>8</v>
      </c>
      <c r="C30196" t="s">
        <v>991</v>
      </c>
      <c r="D30196" t="s">
        <v>23877</v>
      </c>
    </row>
    <row r="30197" spans="1:4" x14ac:dyDescent="0.2">
      <c r="B30197" t="s">
        <v>25</v>
      </c>
      <c r="D30197" t="s">
        <v>23878</v>
      </c>
    </row>
    <row r="30199" spans="1:4" x14ac:dyDescent="0.2">
      <c r="A30199" t="s">
        <v>9959</v>
      </c>
      <c r="B30199" t="str">
        <f>HYPERLINK("https://lindat.mff.cuni.cz/services/teitok/pdtc10/index.php?action=vallex&amp;frame=v-w12151_ZUf1_ZU", "povyšovat se (v-w12151_ZUf1_ZU)")</f>
        <v>povyšovat se (v-w12151_ZUf1_ZU)</v>
      </c>
    </row>
    <row r="30200" spans="1:4" x14ac:dyDescent="0.2">
      <c r="B30200" t="s">
        <v>1</v>
      </c>
    </row>
    <row r="30201" spans="1:4" x14ac:dyDescent="0.2">
      <c r="B30201" t="s">
        <v>3091</v>
      </c>
    </row>
    <row r="30203" spans="1:4" x14ac:dyDescent="0.2">
      <c r="A30203" t="s">
        <v>9960</v>
      </c>
      <c r="B30203" t="str">
        <f>HYPERLINK("https://lindat.mff.cuni.cz/services/teitok/pdtc10/index.php?action=vallex&amp;frame=v-w4179f3_ZU", "povzbudit (v-w4179f3_ZU)")</f>
        <v>povzbudit (v-w4179f3_ZU)</v>
      </c>
    </row>
    <row r="30204" spans="1:4" x14ac:dyDescent="0.2">
      <c r="B30204" t="s">
        <v>1</v>
      </c>
    </row>
    <row r="30205" spans="1:4" x14ac:dyDescent="0.2">
      <c r="B30205" t="s">
        <v>9961</v>
      </c>
    </row>
    <row r="30206" spans="1:4" x14ac:dyDescent="0.2">
      <c r="B30206" t="s">
        <v>58</v>
      </c>
    </row>
    <row r="30208" spans="1:4" x14ac:dyDescent="0.2">
      <c r="A30208" t="s">
        <v>9960</v>
      </c>
      <c r="B30208" t="str">
        <f>HYPERLINK("https://lindat.mff.cuni.cz/services/teitok/pdtc10/index.php?action=vallex&amp;frame=v-w4179f2", "povzbudit (v-w4179f2) - substituted with v-w4179f3_ZU")</f>
        <v>povzbudit (v-w4179f2) - substituted with v-w4179f3_ZU</v>
      </c>
    </row>
    <row r="30209" spans="1:4" x14ac:dyDescent="0.2">
      <c r="B30209" t="s">
        <v>1</v>
      </c>
      <c r="C30209" t="s">
        <v>9962</v>
      </c>
      <c r="D30209" t="s">
        <v>1106</v>
      </c>
    </row>
    <row r="30210" spans="1:4" x14ac:dyDescent="0.2">
      <c r="B30210" t="s">
        <v>9961</v>
      </c>
      <c r="C30210" t="s">
        <v>9963</v>
      </c>
      <c r="D30210" t="s">
        <v>3115</v>
      </c>
    </row>
    <row r="30211" spans="1:4" x14ac:dyDescent="0.2">
      <c r="B30211" t="s">
        <v>58</v>
      </c>
      <c r="C30211" t="s">
        <v>9964</v>
      </c>
      <c r="D30211" t="s">
        <v>23879</v>
      </c>
    </row>
    <row r="30213" spans="1:4" x14ac:dyDescent="0.2">
      <c r="A30213" t="s">
        <v>9965</v>
      </c>
      <c r="B30213" t="str">
        <f>HYPERLINK("https://lindat.mff.cuni.cz/services/teitok/pdtc10/index.php?action=vallex&amp;frame=v-w4179hsa_731", "povzbudit (v-w4179hsa_731)")</f>
        <v>povzbudit (v-w4179hsa_731)</v>
      </c>
    </row>
    <row r="30214" spans="1:4" x14ac:dyDescent="0.2">
      <c r="B30214" t="s">
        <v>488</v>
      </c>
      <c r="C30214" t="s">
        <v>9533</v>
      </c>
    </row>
    <row r="30215" spans="1:4" x14ac:dyDescent="0.2">
      <c r="B30215" t="s">
        <v>8</v>
      </c>
      <c r="C30215" t="s">
        <v>5674</v>
      </c>
    </row>
    <row r="30217" spans="1:4" x14ac:dyDescent="0.2">
      <c r="A30217" t="s">
        <v>9965</v>
      </c>
      <c r="B30217" t="str">
        <f>HYPERLINK("https://lindat.mff.cuni.cz/services/teitok/pdtc10/index.php?action=vallex&amp;frame=v-w4179f1", "povzbudit (v-w4179f1) - substituted with v-w4179hsa_731")</f>
        <v>povzbudit (v-w4179f1) - substituted with v-w4179hsa_731</v>
      </c>
    </row>
    <row r="30218" spans="1:4" x14ac:dyDescent="0.2">
      <c r="B30218" t="s">
        <v>488</v>
      </c>
      <c r="C30218" t="s">
        <v>9966</v>
      </c>
    </row>
    <row r="30219" spans="1:4" x14ac:dyDescent="0.2">
      <c r="B30219" t="s">
        <v>8</v>
      </c>
      <c r="C30219" t="s">
        <v>2368</v>
      </c>
    </row>
    <row r="30221" spans="1:4" x14ac:dyDescent="0.2">
      <c r="A30221" t="s">
        <v>9967</v>
      </c>
      <c r="B30221" t="str">
        <f>HYPERLINK("https://lindat.mff.cuni.cz/services/teitok/pdtc10/index.php?action=vallex&amp;frame=v-w4182hsa_29", "povzbuzovat (v-w4182hsa_29)")</f>
        <v>povzbuzovat (v-w4182hsa_29)</v>
      </c>
    </row>
    <row r="30222" spans="1:4" x14ac:dyDescent="0.2">
      <c r="B30222" t="s">
        <v>1</v>
      </c>
      <c r="D30222" t="s">
        <v>1106</v>
      </c>
    </row>
    <row r="30223" spans="1:4" x14ac:dyDescent="0.2">
      <c r="B30223" t="s">
        <v>9968</v>
      </c>
      <c r="D30223" t="s">
        <v>3115</v>
      </c>
    </row>
    <row r="30224" spans="1:4" x14ac:dyDescent="0.2">
      <c r="B30224" t="s">
        <v>58</v>
      </c>
      <c r="D30224" t="s">
        <v>23879</v>
      </c>
    </row>
    <row r="30226" spans="1:4" x14ac:dyDescent="0.2">
      <c r="A30226" t="s">
        <v>9967</v>
      </c>
      <c r="B30226" t="str">
        <f>HYPERLINK("https://lindat.mff.cuni.cz/services/teitok/pdtc10/index.php?action=vallex&amp;frame=v-w4182f3", "povzbuzovat (v-w4182f3) - substituted with v-w4182hsa_29")</f>
        <v>povzbuzovat (v-w4182f3) - substituted with v-w4182hsa_29</v>
      </c>
    </row>
    <row r="30227" spans="1:4" x14ac:dyDescent="0.2">
      <c r="B30227" t="s">
        <v>1</v>
      </c>
      <c r="C30227" t="s">
        <v>3583</v>
      </c>
    </row>
    <row r="30228" spans="1:4" x14ac:dyDescent="0.2">
      <c r="B30228" t="s">
        <v>9968</v>
      </c>
      <c r="C30228" t="s">
        <v>8875</v>
      </c>
    </row>
    <row r="30229" spans="1:4" x14ac:dyDescent="0.2">
      <c r="B30229" t="s">
        <v>58</v>
      </c>
      <c r="C30229" t="s">
        <v>8873</v>
      </c>
    </row>
    <row r="30231" spans="1:4" x14ac:dyDescent="0.2">
      <c r="A30231" t="s">
        <v>9969</v>
      </c>
      <c r="B30231" t="str">
        <f>HYPERLINK("https://lindat.mff.cuni.cz/services/teitok/pdtc10/index.php?action=vallex&amp;frame=v-w4182f1", "povzbuzovat (v-w4182f1)")</f>
        <v>povzbuzovat (v-w4182f1)</v>
      </c>
    </row>
    <row r="30232" spans="1:4" x14ac:dyDescent="0.2">
      <c r="B30232" t="s">
        <v>1</v>
      </c>
      <c r="C30232" t="s">
        <v>9970</v>
      </c>
      <c r="D30232" t="s">
        <v>23880</v>
      </c>
    </row>
    <row r="30233" spans="1:4" x14ac:dyDescent="0.2">
      <c r="B30233" t="s">
        <v>8</v>
      </c>
      <c r="C30233" t="s">
        <v>2290</v>
      </c>
      <c r="D30233" t="s">
        <v>23881</v>
      </c>
    </row>
    <row r="30235" spans="1:4" x14ac:dyDescent="0.2">
      <c r="A30235" t="s">
        <v>9971</v>
      </c>
      <c r="B30235" t="str">
        <f>HYPERLINK("https://lindat.mff.cuni.cz/services/teitok/pdtc10/index.php?action=vallex&amp;frame=v-w4184f1", "povzdechnout si (v-w4184f1)")</f>
        <v>povzdechnout si (v-w4184f1)</v>
      </c>
    </row>
    <row r="30236" spans="1:4" x14ac:dyDescent="0.2">
      <c r="B30236" t="s">
        <v>1</v>
      </c>
    </row>
    <row r="30238" spans="1:4" x14ac:dyDescent="0.2">
      <c r="A30238" t="s">
        <v>9972</v>
      </c>
      <c r="B30238" t="str">
        <f>HYPERLINK("https://lindat.mff.cuni.cz/services/teitok/pdtc10/index.php?action=vallex&amp;frame=v-w11409f1", "povzdychnout si (v-w11409f1)")</f>
        <v>povzdychnout si (v-w11409f1)</v>
      </c>
    </row>
    <row r="30239" spans="1:4" x14ac:dyDescent="0.2">
      <c r="B30239" t="s">
        <v>1</v>
      </c>
      <c r="C30239" t="s">
        <v>33</v>
      </c>
      <c r="D30239" t="s">
        <v>140</v>
      </c>
    </row>
    <row r="30241" spans="1:4" x14ac:dyDescent="0.2">
      <c r="A30241" t="s">
        <v>9973</v>
      </c>
      <c r="B30241" t="str">
        <f>HYPERLINK("https://lindat.mff.cuni.cz/services/teitok/pdtc10/index.php?action=vallex&amp;frame=v-w11409f2_ZU", "povzdychnout si (v-w11409f2_ZU)")</f>
        <v>povzdychnout si (v-w11409f2_ZU)</v>
      </c>
    </row>
    <row r="30242" spans="1:4" x14ac:dyDescent="0.2">
      <c r="B30242" t="s">
        <v>1</v>
      </c>
      <c r="C30242" t="s">
        <v>33</v>
      </c>
      <c r="D30242" t="s">
        <v>11295</v>
      </c>
    </row>
    <row r="30243" spans="1:4" x14ac:dyDescent="0.2">
      <c r="B30243" t="s">
        <v>35</v>
      </c>
      <c r="D30243" t="s">
        <v>6645</v>
      </c>
    </row>
    <row r="30244" spans="1:4" x14ac:dyDescent="0.2">
      <c r="B30244" t="s">
        <v>3414</v>
      </c>
      <c r="D30244" t="s">
        <v>23882</v>
      </c>
    </row>
    <row r="30245" spans="1:4" x14ac:dyDescent="0.2">
      <c r="B30245" t="s">
        <v>269</v>
      </c>
      <c r="D30245" t="s">
        <v>6560</v>
      </c>
    </row>
    <row r="30247" spans="1:4" x14ac:dyDescent="0.2">
      <c r="A30247" t="s">
        <v>9973</v>
      </c>
      <c r="B30247" t="str">
        <f>HYPERLINK("https://lindat.mff.cuni.cz/services/teitok/pdtc10/index.php?action=vallex&amp;frame=v-w11409hsa_559", "povzdychnout si (v-w11409hsa_559) - substituted with v-w11409f2_ZU")</f>
        <v>povzdychnout si (v-w11409hsa_559) - substituted with v-w11409f2_ZU</v>
      </c>
    </row>
    <row r="30248" spans="1:4" x14ac:dyDescent="0.2">
      <c r="B30248" t="s">
        <v>1</v>
      </c>
    </row>
    <row r="30249" spans="1:4" x14ac:dyDescent="0.2">
      <c r="B30249" t="s">
        <v>35</v>
      </c>
    </row>
    <row r="30250" spans="1:4" x14ac:dyDescent="0.2">
      <c r="B30250" t="s">
        <v>3414</v>
      </c>
    </row>
    <row r="30251" spans="1:4" x14ac:dyDescent="0.2">
      <c r="B30251" t="s">
        <v>269</v>
      </c>
    </row>
    <row r="30253" spans="1:4" x14ac:dyDescent="0.2">
      <c r="A30253" t="s">
        <v>9974</v>
      </c>
      <c r="B30253" t="str">
        <f>HYPERLINK("https://lindat.mff.cuni.cz/services/teitok/pdtc10/index.php?action=vallex&amp;frame=v-w11964_ZUf1_ZU", "povznést (v-w11964_ZUf1_ZU)")</f>
        <v>povznést (v-w11964_ZUf1_ZU)</v>
      </c>
    </row>
    <row r="30254" spans="1:4" x14ac:dyDescent="0.2">
      <c r="B30254" t="s">
        <v>1</v>
      </c>
    </row>
    <row r="30255" spans="1:4" x14ac:dyDescent="0.2">
      <c r="B30255" t="s">
        <v>8</v>
      </c>
    </row>
    <row r="30257" spans="1:4" x14ac:dyDescent="0.2">
      <c r="A30257" t="s">
        <v>9975</v>
      </c>
      <c r="B30257" t="str">
        <f>HYPERLINK("https://lindat.mff.cuni.cz/services/teitok/pdtc10/index.php?action=vallex&amp;frame=v-w4185f1", "povznést se (v-w4185f1)")</f>
        <v>povznést se (v-w4185f1)</v>
      </c>
    </row>
    <row r="30258" spans="1:4" x14ac:dyDescent="0.2">
      <c r="B30258" t="s">
        <v>1</v>
      </c>
    </row>
    <row r="30259" spans="1:4" x14ac:dyDescent="0.2">
      <c r="B30259" t="s">
        <v>90</v>
      </c>
    </row>
    <row r="30261" spans="1:4" x14ac:dyDescent="0.2">
      <c r="A30261" t="s">
        <v>9976</v>
      </c>
      <c r="B30261" t="str">
        <f>HYPERLINK("https://lindat.mff.cuni.cz/services/teitok/pdtc10/index.php?action=vallex&amp;frame=v-w4138f1", "povážit (v-w4138f1)")</f>
        <v>povážit (v-w4138f1)</v>
      </c>
    </row>
    <row r="30262" spans="1:4" x14ac:dyDescent="0.2">
      <c r="B30262" t="s">
        <v>1</v>
      </c>
    </row>
    <row r="30263" spans="1:4" x14ac:dyDescent="0.2">
      <c r="B30263" t="s">
        <v>9977</v>
      </c>
    </row>
    <row r="30265" spans="1:4" x14ac:dyDescent="0.2">
      <c r="A30265" t="s">
        <v>9978</v>
      </c>
      <c r="B30265" t="str">
        <f>HYPERLINK("https://lindat.mff.cuni.cz/services/teitok/pdtc10/index.php?action=vallex&amp;frame=v-w4154f1", "povést se (v-w4154f1)")</f>
        <v>povést se (v-w4154f1)</v>
      </c>
    </row>
    <row r="30266" spans="1:4" x14ac:dyDescent="0.2">
      <c r="B30266" t="s">
        <v>455</v>
      </c>
      <c r="C30266" t="s">
        <v>9979</v>
      </c>
      <c r="D30266" t="s">
        <v>23079</v>
      </c>
    </row>
    <row r="30267" spans="1:4" x14ac:dyDescent="0.2">
      <c r="B30267" t="s">
        <v>8742</v>
      </c>
      <c r="C30267" t="s">
        <v>9980</v>
      </c>
      <c r="D30267" t="s">
        <v>23080</v>
      </c>
    </row>
    <row r="30269" spans="1:4" x14ac:dyDescent="0.2">
      <c r="A30269" t="s">
        <v>9981</v>
      </c>
      <c r="B30269" t="str">
        <f>HYPERLINK("https://lindat.mff.cuni.cz/services/teitok/pdtc10/index.php?action=vallex&amp;frame=v-w4156f2", "povídat (v-w4156f2)")</f>
        <v>povídat (v-w4156f2)</v>
      </c>
    </row>
    <row r="30270" spans="1:4" x14ac:dyDescent="0.2">
      <c r="B30270" t="s">
        <v>1</v>
      </c>
      <c r="C30270" t="s">
        <v>5452</v>
      </c>
      <c r="D30270" t="s">
        <v>4634</v>
      </c>
    </row>
    <row r="30271" spans="1:4" x14ac:dyDescent="0.2">
      <c r="B30271" t="s">
        <v>183</v>
      </c>
      <c r="C30271" t="s">
        <v>2240</v>
      </c>
      <c r="D30271" t="s">
        <v>23883</v>
      </c>
    </row>
    <row r="30272" spans="1:4" x14ac:dyDescent="0.2">
      <c r="B30272" t="s">
        <v>35</v>
      </c>
      <c r="C30272" t="s">
        <v>5453</v>
      </c>
      <c r="D30272" t="s">
        <v>18432</v>
      </c>
    </row>
    <row r="30274" spans="1:4" x14ac:dyDescent="0.2">
      <c r="A30274" t="s">
        <v>9982</v>
      </c>
      <c r="B30274" t="str">
        <f>HYPERLINK("https://lindat.mff.cuni.cz/services/teitok/pdtc10/index.php?action=vallex&amp;frame=v-w4156f1", "povídat (v-w4156f1)")</f>
        <v>povídat (v-w4156f1)</v>
      </c>
    </row>
    <row r="30275" spans="1:4" x14ac:dyDescent="0.2">
      <c r="B30275" t="s">
        <v>1</v>
      </c>
      <c r="D30275" t="s">
        <v>22967</v>
      </c>
    </row>
    <row r="30276" spans="1:4" x14ac:dyDescent="0.2">
      <c r="B30276" t="s">
        <v>35</v>
      </c>
      <c r="D30276" t="s">
        <v>22969</v>
      </c>
    </row>
    <row r="30277" spans="1:4" x14ac:dyDescent="0.2">
      <c r="B30277" t="s">
        <v>4742</v>
      </c>
      <c r="D30277" t="s">
        <v>23120</v>
      </c>
    </row>
    <row r="30278" spans="1:4" x14ac:dyDescent="0.2">
      <c r="B30278" t="s">
        <v>269</v>
      </c>
      <c r="D30278" t="s">
        <v>22968</v>
      </c>
    </row>
    <row r="30280" spans="1:4" x14ac:dyDescent="0.2">
      <c r="A30280" t="s">
        <v>9983</v>
      </c>
      <c r="B30280" t="str">
        <f>HYPERLINK("https://lindat.mff.cuni.cz/services/teitok/pdtc10/index.php?action=vallex&amp;frame=v-w4156f3_ZU", "povídat (v-w4156f3_ZU)")</f>
        <v>povídat (v-w4156f3_ZU)</v>
      </c>
    </row>
    <row r="30281" spans="1:4" x14ac:dyDescent="0.2">
      <c r="B30281" t="s">
        <v>1</v>
      </c>
    </row>
    <row r="30282" spans="1:4" x14ac:dyDescent="0.2">
      <c r="B30282" t="s">
        <v>35</v>
      </c>
    </row>
    <row r="30283" spans="1:4" x14ac:dyDescent="0.2">
      <c r="B30283" t="s">
        <v>9984</v>
      </c>
    </row>
    <row r="30284" spans="1:4" x14ac:dyDescent="0.2">
      <c r="B30284" t="s">
        <v>46</v>
      </c>
    </row>
    <row r="30286" spans="1:4" x14ac:dyDescent="0.2">
      <c r="A30286" t="s">
        <v>9985</v>
      </c>
      <c r="B30286" t="str">
        <f>HYPERLINK("https://lindat.mff.cuni.cz/services/teitok/pdtc10/index.php?action=vallex&amp;frame=v-w4156f4_MM", "povídat (v-w4156f4_MM)")</f>
        <v>povídat (v-w4156f4_MM)</v>
      </c>
    </row>
    <row r="30287" spans="1:4" x14ac:dyDescent="0.2">
      <c r="B30287" t="s">
        <v>1</v>
      </c>
    </row>
    <row r="30288" spans="1:4" x14ac:dyDescent="0.2">
      <c r="B30288" t="s">
        <v>35</v>
      </c>
    </row>
    <row r="30289" spans="1:4" x14ac:dyDescent="0.2">
      <c r="B30289" t="s">
        <v>28</v>
      </c>
    </row>
    <row r="30290" spans="1:4" x14ac:dyDescent="0.2">
      <c r="B30290" t="s">
        <v>1609</v>
      </c>
    </row>
    <row r="30292" spans="1:4" x14ac:dyDescent="0.2">
      <c r="A30292" t="s">
        <v>9986</v>
      </c>
      <c r="B30292" t="str">
        <f>HYPERLINK("https://lindat.mff.cuni.cz/services/teitok/pdtc10/index.php?action=vallex&amp;frame=v-w4156hsa_503", "povídat (v-w4156hsa_503)")</f>
        <v>povídat (v-w4156hsa_503)</v>
      </c>
    </row>
    <row r="30293" spans="1:4" x14ac:dyDescent="0.2">
      <c r="B30293" t="s">
        <v>1</v>
      </c>
    </row>
    <row r="30294" spans="1:4" x14ac:dyDescent="0.2">
      <c r="B30294" t="s">
        <v>35</v>
      </c>
    </row>
    <row r="30295" spans="1:4" x14ac:dyDescent="0.2">
      <c r="B30295" t="s">
        <v>9987</v>
      </c>
    </row>
    <row r="30297" spans="1:4" x14ac:dyDescent="0.2">
      <c r="A30297" t="s">
        <v>9988</v>
      </c>
      <c r="B30297" t="str">
        <f>HYPERLINK("https://lindat.mff.cuni.cz/services/teitok/pdtc10/index.php?action=vallex&amp;frame=v-w4157f1", "povídat si (v-w4157f1)")</f>
        <v>povídat si (v-w4157f1)</v>
      </c>
    </row>
    <row r="30298" spans="1:4" x14ac:dyDescent="0.2">
      <c r="B30298" t="s">
        <v>1</v>
      </c>
      <c r="D30298" t="s">
        <v>22973</v>
      </c>
    </row>
    <row r="30299" spans="1:4" x14ac:dyDescent="0.2">
      <c r="B30299" t="s">
        <v>153</v>
      </c>
      <c r="D30299" t="s">
        <v>22975</v>
      </c>
    </row>
    <row r="30300" spans="1:4" x14ac:dyDescent="0.2">
      <c r="B30300" t="s">
        <v>9989</v>
      </c>
      <c r="D30300" t="s">
        <v>22974</v>
      </c>
    </row>
    <row r="30302" spans="1:4" x14ac:dyDescent="0.2">
      <c r="A30302" t="s">
        <v>9990</v>
      </c>
      <c r="B30302" t="str">
        <f>HYPERLINK("https://lindat.mff.cuni.cz/services/teitok/pdtc10/index.php?action=vallex&amp;frame=v-w4157f2", "povídat si (v-w4157f2)")</f>
        <v>povídat si (v-w4157f2)</v>
      </c>
    </row>
    <row r="30303" spans="1:4" x14ac:dyDescent="0.2">
      <c r="B30303" t="s">
        <v>1</v>
      </c>
    </row>
    <row r="30304" spans="1:4" x14ac:dyDescent="0.2">
      <c r="B30304" t="s">
        <v>153</v>
      </c>
    </row>
    <row r="30305" spans="1:4" x14ac:dyDescent="0.2">
      <c r="B30305" t="s">
        <v>4742</v>
      </c>
    </row>
    <row r="30306" spans="1:4" x14ac:dyDescent="0.2">
      <c r="B30306" t="s">
        <v>269</v>
      </c>
    </row>
    <row r="30308" spans="1:4" x14ac:dyDescent="0.2">
      <c r="A30308" t="s">
        <v>9991</v>
      </c>
      <c r="B30308" t="str">
        <f>HYPERLINK("https://lindat.mff.cuni.cz/services/teitok/pdtc10/index.php?action=vallex&amp;frame=v-w4178f1", "povýšit (v-w4178f1)")</f>
        <v>povýšit (v-w4178f1)</v>
      </c>
    </row>
    <row r="30309" spans="1:4" x14ac:dyDescent="0.2">
      <c r="B30309" t="s">
        <v>1</v>
      </c>
      <c r="C30309" t="s">
        <v>9992</v>
      </c>
      <c r="D30309" t="s">
        <v>23884</v>
      </c>
    </row>
    <row r="30310" spans="1:4" x14ac:dyDescent="0.2">
      <c r="B30310" t="s">
        <v>8</v>
      </c>
      <c r="C30310" t="s">
        <v>31</v>
      </c>
      <c r="D30310" t="s">
        <v>23885</v>
      </c>
    </row>
    <row r="30311" spans="1:4" x14ac:dyDescent="0.2">
      <c r="B30311" t="s">
        <v>25</v>
      </c>
      <c r="C30311" t="s">
        <v>5609</v>
      </c>
      <c r="D30311" t="s">
        <v>23886</v>
      </c>
    </row>
    <row r="30313" spans="1:4" x14ac:dyDescent="0.2">
      <c r="A30313" t="s">
        <v>9993</v>
      </c>
      <c r="B30313" t="str">
        <f>HYPERLINK("https://lindat.mff.cuni.cz/services/teitok/pdtc10/index.php?action=vallex&amp;frame=v-w4178f2", "povýšit (v-w4178f2)")</f>
        <v>povýšit (v-w4178f2)</v>
      </c>
    </row>
    <row r="30314" spans="1:4" x14ac:dyDescent="0.2">
      <c r="B30314" t="s">
        <v>1</v>
      </c>
    </row>
    <row r="30315" spans="1:4" x14ac:dyDescent="0.2">
      <c r="B30315" t="s">
        <v>28</v>
      </c>
    </row>
    <row r="30317" spans="1:4" x14ac:dyDescent="0.2">
      <c r="A30317" t="s">
        <v>9994</v>
      </c>
      <c r="B30317" t="str">
        <f>HYPERLINK("https://lindat.mff.cuni.cz/services/teitok/pdtc10/index.php?action=vallex&amp;frame=v-w10345hsa_1929", "povědět (v-w10345hsa_1929)")</f>
        <v>povědět (v-w10345hsa_1929)</v>
      </c>
    </row>
    <row r="30318" spans="1:4" x14ac:dyDescent="0.2">
      <c r="B30318" t="s">
        <v>1</v>
      </c>
    </row>
    <row r="30319" spans="1:4" x14ac:dyDescent="0.2">
      <c r="B30319" t="s">
        <v>35</v>
      </c>
    </row>
    <row r="30320" spans="1:4" x14ac:dyDescent="0.2">
      <c r="B30320" t="s">
        <v>4742</v>
      </c>
    </row>
    <row r="30321" spans="1:4" x14ac:dyDescent="0.2">
      <c r="B30321" t="s">
        <v>8854</v>
      </c>
    </row>
    <row r="30323" spans="1:4" x14ac:dyDescent="0.2">
      <c r="A30323" t="s">
        <v>9994</v>
      </c>
      <c r="B30323" t="str">
        <f>HYPERLINK("https://lindat.mff.cuni.cz/services/teitok/pdtc10/index.php?action=vallex&amp;frame=v-w10345f2", "povědět (v-w10345f2) - substituted with v-w10345hsa_1929")</f>
        <v>povědět (v-w10345f2) - substituted with v-w10345hsa_1929</v>
      </c>
    </row>
    <row r="30324" spans="1:4" x14ac:dyDescent="0.2">
      <c r="B30324" t="s">
        <v>1</v>
      </c>
      <c r="C30324" t="s">
        <v>5452</v>
      </c>
      <c r="D30324" t="s">
        <v>23887</v>
      </c>
    </row>
    <row r="30325" spans="1:4" x14ac:dyDescent="0.2">
      <c r="B30325" t="s">
        <v>35</v>
      </c>
      <c r="C30325" t="s">
        <v>5453</v>
      </c>
      <c r="D30325" t="s">
        <v>23888</v>
      </c>
    </row>
    <row r="30326" spans="1:4" x14ac:dyDescent="0.2">
      <c r="B30326" t="s">
        <v>4742</v>
      </c>
      <c r="C30326" t="s">
        <v>2258</v>
      </c>
      <c r="D30326" t="s">
        <v>23889</v>
      </c>
    </row>
    <row r="30327" spans="1:4" x14ac:dyDescent="0.2">
      <c r="B30327" t="s">
        <v>8854</v>
      </c>
      <c r="C30327" t="s">
        <v>2240</v>
      </c>
      <c r="D30327" t="s">
        <v>23890</v>
      </c>
    </row>
    <row r="30329" spans="1:4" x14ac:dyDescent="0.2">
      <c r="A30329" t="s">
        <v>9995</v>
      </c>
      <c r="B30329" t="str">
        <f>HYPERLINK("https://lindat.mff.cuni.cz/services/teitok/pdtc10/index.php?action=vallex&amp;frame=v-w4150f2_ZU", "pověsit (v-w4150f2_ZU)")</f>
        <v>pověsit (v-w4150f2_ZU)</v>
      </c>
    </row>
    <row r="30330" spans="1:4" x14ac:dyDescent="0.2">
      <c r="B30330" t="s">
        <v>1</v>
      </c>
    </row>
    <row r="30331" spans="1:4" x14ac:dyDescent="0.2">
      <c r="B30331" t="s">
        <v>8</v>
      </c>
    </row>
    <row r="30333" spans="1:4" x14ac:dyDescent="0.2">
      <c r="A30333" t="s">
        <v>9995</v>
      </c>
      <c r="B30333" t="str">
        <f>HYPERLINK("https://lindat.mff.cuni.cz/services/teitok/pdtc10/index.php?action=vallex&amp;frame=v-w4150f1", "pověsit (v-w4150f1) - substituted with v-w4150f2_ZU")</f>
        <v>pověsit (v-w4150f1) - substituted with v-w4150f2_ZU</v>
      </c>
    </row>
    <row r="30334" spans="1:4" x14ac:dyDescent="0.2">
      <c r="B30334" t="s">
        <v>1</v>
      </c>
      <c r="C30334" t="s">
        <v>140</v>
      </c>
      <c r="D30334" t="s">
        <v>23891</v>
      </c>
    </row>
    <row r="30335" spans="1:4" x14ac:dyDescent="0.2">
      <c r="B30335" t="s">
        <v>8</v>
      </c>
      <c r="C30335" t="s">
        <v>56</v>
      </c>
      <c r="D30335" t="s">
        <v>23892</v>
      </c>
    </row>
    <row r="30337" spans="1:4" x14ac:dyDescent="0.2">
      <c r="A30337" t="s">
        <v>9996</v>
      </c>
      <c r="B30337" t="str">
        <f>HYPERLINK("https://lindat.mff.cuni.cz/services/teitok/pdtc10/index.php?action=vallex&amp;frame=v-w4151f1", "pověsit se (v-w4151f1)")</f>
        <v>pověsit se (v-w4151f1)</v>
      </c>
    </row>
    <row r="30338" spans="1:4" x14ac:dyDescent="0.2">
      <c r="B30338" t="s">
        <v>1</v>
      </c>
    </row>
    <row r="30339" spans="1:4" x14ac:dyDescent="0.2">
      <c r="B30339" t="s">
        <v>2896</v>
      </c>
    </row>
    <row r="30340" spans="1:4" x14ac:dyDescent="0.2">
      <c r="B30340" t="s">
        <v>103</v>
      </c>
    </row>
    <row r="30342" spans="1:4" x14ac:dyDescent="0.2">
      <c r="A30342" t="s">
        <v>9997</v>
      </c>
      <c r="B30342" t="str">
        <f>HYPERLINK("https://lindat.mff.cuni.cz/services/teitok/pdtc10/index.php?action=vallex&amp;frame=v-w4148f1", "pověřit (v-w4148f1)")</f>
        <v>pověřit (v-w4148f1)</v>
      </c>
    </row>
    <row r="30343" spans="1:4" x14ac:dyDescent="0.2">
      <c r="B30343" t="s">
        <v>1</v>
      </c>
      <c r="C30343" t="s">
        <v>9998</v>
      </c>
      <c r="D30343" t="s">
        <v>23893</v>
      </c>
    </row>
    <row r="30344" spans="1:4" x14ac:dyDescent="0.2">
      <c r="B30344" t="s">
        <v>9999</v>
      </c>
      <c r="C30344" t="s">
        <v>10000</v>
      </c>
      <c r="D30344" t="s">
        <v>23894</v>
      </c>
    </row>
    <row r="30345" spans="1:4" x14ac:dyDescent="0.2">
      <c r="B30345" t="s">
        <v>58</v>
      </c>
      <c r="C30345" t="s">
        <v>10001</v>
      </c>
      <c r="D30345" t="s">
        <v>23895</v>
      </c>
    </row>
    <row r="30347" spans="1:4" x14ac:dyDescent="0.2">
      <c r="A30347" t="s">
        <v>10002</v>
      </c>
      <c r="B30347" t="str">
        <f>HYPERLINK("https://lindat.mff.cuni.cz/services/teitok/pdtc10/index.php?action=vallex&amp;frame=v-w4149f1", "pověřovat (v-w4149f1)")</f>
        <v>pověřovat (v-w4149f1)</v>
      </c>
    </row>
    <row r="30348" spans="1:4" x14ac:dyDescent="0.2">
      <c r="B30348" t="s">
        <v>1</v>
      </c>
      <c r="D30348" t="s">
        <v>3590</v>
      </c>
    </row>
    <row r="30349" spans="1:4" x14ac:dyDescent="0.2">
      <c r="B30349" t="s">
        <v>10003</v>
      </c>
      <c r="D30349" t="s">
        <v>1362</v>
      </c>
    </row>
    <row r="30350" spans="1:4" x14ac:dyDescent="0.2">
      <c r="B30350" t="s">
        <v>58</v>
      </c>
      <c r="D30350" t="s">
        <v>23896</v>
      </c>
    </row>
    <row r="30352" spans="1:4" x14ac:dyDescent="0.2">
      <c r="A30352" t="s">
        <v>10004</v>
      </c>
      <c r="B30352" t="str">
        <f>HYPERLINK("https://lindat.mff.cuni.cz/services/teitok/pdtc10/index.php?action=vallex&amp;frame=v-w4174f1", "povšimnout si (v-w4174f1)")</f>
        <v>povšimnout si (v-w4174f1)</v>
      </c>
    </row>
    <row r="30353" spans="1:4" x14ac:dyDescent="0.2">
      <c r="B30353" t="s">
        <v>1</v>
      </c>
      <c r="C30353" t="s">
        <v>10005</v>
      </c>
      <c r="D30353" t="s">
        <v>23897</v>
      </c>
    </row>
    <row r="30354" spans="1:4" x14ac:dyDescent="0.2">
      <c r="B30354" t="s">
        <v>10006</v>
      </c>
      <c r="C30354" t="s">
        <v>10007</v>
      </c>
      <c r="D30354" t="s">
        <v>23898</v>
      </c>
    </row>
    <row r="30356" spans="1:4" x14ac:dyDescent="0.2">
      <c r="A30356" t="s">
        <v>10008</v>
      </c>
      <c r="B30356" t="str">
        <f>HYPERLINK("https://lindat.mff.cuni.cz/services/teitok/pdtc10/index.php?action=vallex&amp;frame=v-w12222_ZUf1_ZU", "pozabíjet (v-w12222_ZUf1_ZU)")</f>
        <v>pozabíjet (v-w12222_ZUf1_ZU)</v>
      </c>
    </row>
    <row r="30357" spans="1:4" x14ac:dyDescent="0.2">
      <c r="B30357" t="s">
        <v>1</v>
      </c>
    </row>
    <row r="30358" spans="1:4" x14ac:dyDescent="0.2">
      <c r="B30358" t="s">
        <v>8</v>
      </c>
    </row>
    <row r="30360" spans="1:4" x14ac:dyDescent="0.2">
      <c r="A30360" t="s">
        <v>10009</v>
      </c>
      <c r="B30360" t="str">
        <f>HYPERLINK("https://lindat.mff.cuni.cz/services/teitok/pdtc10/index.php?action=vallex&amp;frame=v-w4188f1", "pozapomenout (v-w4188f1)")</f>
        <v>pozapomenout (v-w4188f1)</v>
      </c>
    </row>
    <row r="30361" spans="1:4" x14ac:dyDescent="0.2">
      <c r="B30361" t="s">
        <v>1</v>
      </c>
    </row>
    <row r="30362" spans="1:4" x14ac:dyDescent="0.2">
      <c r="B30362" t="s">
        <v>10010</v>
      </c>
    </row>
    <row r="30364" spans="1:4" x14ac:dyDescent="0.2">
      <c r="A30364" t="s">
        <v>10011</v>
      </c>
      <c r="B30364" t="str">
        <f>HYPERLINK("https://lindat.mff.cuni.cz/services/teitok/pdtc10/index.php?action=vallex&amp;frame=v-w4190f1", "pozastavit (v-w4190f1)")</f>
        <v>pozastavit (v-w4190f1)</v>
      </c>
    </row>
    <row r="30365" spans="1:4" x14ac:dyDescent="0.2">
      <c r="B30365" t="s">
        <v>1</v>
      </c>
      <c r="C30365" t="s">
        <v>10012</v>
      </c>
      <c r="D30365" t="s">
        <v>23899</v>
      </c>
    </row>
    <row r="30366" spans="1:4" x14ac:dyDescent="0.2">
      <c r="B30366" t="s">
        <v>8</v>
      </c>
      <c r="C30366" t="s">
        <v>10013</v>
      </c>
      <c r="D30366" t="s">
        <v>23900</v>
      </c>
    </row>
    <row r="30368" spans="1:4" x14ac:dyDescent="0.2">
      <c r="A30368" t="s">
        <v>10014</v>
      </c>
      <c r="B30368" t="str">
        <f>HYPERLINK("https://lindat.mff.cuni.cz/services/teitok/pdtc10/index.php?action=vallex&amp;frame=v-w4191f1", "pozastavit se (v-w4191f1)")</f>
        <v>pozastavit se (v-w4191f1)</v>
      </c>
    </row>
    <row r="30369" spans="1:4" x14ac:dyDescent="0.2">
      <c r="B30369" t="s">
        <v>1</v>
      </c>
    </row>
    <row r="30370" spans="1:4" x14ac:dyDescent="0.2">
      <c r="B30370" t="s">
        <v>164</v>
      </c>
    </row>
    <row r="30372" spans="1:4" x14ac:dyDescent="0.2">
      <c r="A30372" t="s">
        <v>10015</v>
      </c>
      <c r="B30372" t="str">
        <f>HYPERLINK("https://lindat.mff.cuni.cz/services/teitok/pdtc10/index.php?action=vallex&amp;frame=v-w4191f2", "pozastavit se (v-w4191f2)")</f>
        <v>pozastavit se (v-w4191f2)</v>
      </c>
    </row>
    <row r="30373" spans="1:4" x14ac:dyDescent="0.2">
      <c r="B30373" t="s">
        <v>1</v>
      </c>
    </row>
    <row r="30374" spans="1:4" x14ac:dyDescent="0.2">
      <c r="B30374" t="s">
        <v>5</v>
      </c>
    </row>
    <row r="30376" spans="1:4" x14ac:dyDescent="0.2">
      <c r="A30376" t="s">
        <v>10016</v>
      </c>
      <c r="B30376" t="str">
        <f>HYPERLINK("https://lindat.mff.cuni.cz/services/teitok/pdtc10/index.php?action=vallex&amp;frame=v-w4191f3", "pozastavit se (v-w4191f3)")</f>
        <v>pozastavit se (v-w4191f3)</v>
      </c>
    </row>
    <row r="30377" spans="1:4" x14ac:dyDescent="0.2">
      <c r="B30377" t="s">
        <v>1</v>
      </c>
    </row>
    <row r="30379" spans="1:4" x14ac:dyDescent="0.2">
      <c r="A30379" t="s">
        <v>10017</v>
      </c>
      <c r="B30379" t="str">
        <f>HYPERLINK("https://lindat.mff.cuni.cz/services/teitok/pdtc10/index.php?action=vallex&amp;frame=v-w4192f1", "pozastavovat (v-w4192f1)")</f>
        <v>pozastavovat (v-w4192f1)</v>
      </c>
    </row>
    <row r="30380" spans="1:4" x14ac:dyDescent="0.2">
      <c r="B30380" t="s">
        <v>1</v>
      </c>
      <c r="C30380" t="s">
        <v>5475</v>
      </c>
      <c r="D30380" t="s">
        <v>23899</v>
      </c>
    </row>
    <row r="30381" spans="1:4" x14ac:dyDescent="0.2">
      <c r="B30381" t="s">
        <v>8</v>
      </c>
      <c r="C30381" t="s">
        <v>3184</v>
      </c>
      <c r="D30381" t="s">
        <v>23900</v>
      </c>
    </row>
    <row r="30383" spans="1:4" x14ac:dyDescent="0.2">
      <c r="A30383" t="s">
        <v>10018</v>
      </c>
      <c r="B30383" t="str">
        <f>HYPERLINK("https://lindat.mff.cuni.cz/services/teitok/pdtc10/index.php?action=vallex&amp;frame=v-w4192hsa_50", "pozastavovat (v-w4192hsa_50)")</f>
        <v>pozastavovat (v-w4192hsa_50)</v>
      </c>
    </row>
    <row r="30384" spans="1:4" x14ac:dyDescent="0.2">
      <c r="B30384" t="s">
        <v>1</v>
      </c>
      <c r="C30384" t="s">
        <v>5475</v>
      </c>
      <c r="D30384" t="s">
        <v>9760</v>
      </c>
    </row>
    <row r="30385" spans="1:4" x14ac:dyDescent="0.2">
      <c r="B30385" t="s">
        <v>8</v>
      </c>
      <c r="C30385" t="s">
        <v>3184</v>
      </c>
      <c r="D30385" t="s">
        <v>22997</v>
      </c>
    </row>
    <row r="30387" spans="1:4" x14ac:dyDescent="0.2">
      <c r="A30387" t="s">
        <v>10019</v>
      </c>
      <c r="B30387" t="str">
        <f>HYPERLINK("https://lindat.mff.cuni.cz/services/teitok/pdtc10/index.php?action=vallex&amp;frame=v-w4193f1", "pozastavovat se (v-w4193f1)")</f>
        <v>pozastavovat se (v-w4193f1)</v>
      </c>
    </row>
    <row r="30388" spans="1:4" x14ac:dyDescent="0.2">
      <c r="B30388" t="s">
        <v>1</v>
      </c>
    </row>
    <row r="30389" spans="1:4" x14ac:dyDescent="0.2">
      <c r="B30389" t="s">
        <v>164</v>
      </c>
    </row>
    <row r="30391" spans="1:4" x14ac:dyDescent="0.2">
      <c r="A30391" t="s">
        <v>10020</v>
      </c>
      <c r="B30391" t="str">
        <f>HYPERLINK("https://lindat.mff.cuni.cz/services/teitok/pdtc10/index.php?action=vallex&amp;frame=v-w4194f1", "pozatýkat (v-w4194f1)")</f>
        <v>pozatýkat (v-w4194f1)</v>
      </c>
    </row>
    <row r="30392" spans="1:4" x14ac:dyDescent="0.2">
      <c r="B30392" t="s">
        <v>1</v>
      </c>
    </row>
    <row r="30393" spans="1:4" x14ac:dyDescent="0.2">
      <c r="B30393" t="s">
        <v>8</v>
      </c>
    </row>
    <row r="30395" spans="1:4" x14ac:dyDescent="0.2">
      <c r="A30395" t="s">
        <v>10021</v>
      </c>
      <c r="B30395" t="str">
        <f>HYPERLINK("https://lindat.mff.cuni.cz/services/teitok/pdtc10/index.php?action=vallex&amp;frame=v-w4195f2", "pozbýt (v-w4195f2)")</f>
        <v>pozbýt (v-w4195f2)</v>
      </c>
    </row>
    <row r="30396" spans="1:4" x14ac:dyDescent="0.2">
      <c r="B30396" t="s">
        <v>1</v>
      </c>
    </row>
    <row r="30397" spans="1:4" x14ac:dyDescent="0.2">
      <c r="B30397" t="s">
        <v>917</v>
      </c>
    </row>
    <row r="30399" spans="1:4" x14ac:dyDescent="0.2">
      <c r="A30399" t="s">
        <v>10022</v>
      </c>
      <c r="B30399" t="str">
        <f>HYPERLINK("https://lindat.mff.cuni.cz/services/teitok/pdtc10/index.php?action=vallex&amp;frame=v-w4195f1", "pozbýt (v-w4195f1)")</f>
        <v>pozbýt (v-w4195f1)</v>
      </c>
    </row>
    <row r="30400" spans="1:4" x14ac:dyDescent="0.2">
      <c r="B30400" t="s">
        <v>1</v>
      </c>
    </row>
    <row r="30401" spans="1:2" x14ac:dyDescent="0.2">
      <c r="B30401" t="s">
        <v>10023</v>
      </c>
    </row>
    <row r="30403" spans="1:2" x14ac:dyDescent="0.2">
      <c r="A30403" t="s">
        <v>10024</v>
      </c>
      <c r="B30403" t="str">
        <f>HYPERLINK("https://lindat.mff.cuni.cz/services/teitok/pdtc10/index.php?action=vallex&amp;frame=v-w4196f2", "pozbývat (v-w4196f2)")</f>
        <v>pozbývat (v-w4196f2)</v>
      </c>
    </row>
    <row r="30404" spans="1:2" x14ac:dyDescent="0.2">
      <c r="B30404" t="s">
        <v>1</v>
      </c>
    </row>
    <row r="30405" spans="1:2" x14ac:dyDescent="0.2">
      <c r="B30405" t="s">
        <v>10025</v>
      </c>
    </row>
    <row r="30407" spans="1:2" x14ac:dyDescent="0.2">
      <c r="A30407" t="s">
        <v>10024</v>
      </c>
      <c r="B30407" t="str">
        <f>HYPERLINK("https://lindat.mff.cuni.cz/services/teitok/pdtc10/index.php?action=vallex&amp;frame=v-w4196f1", "pozbývat (v-w4196f1) - substituted with v-w4196f2")</f>
        <v>pozbývat (v-w4196f1) - substituted with v-w4196f2</v>
      </c>
    </row>
    <row r="30408" spans="1:2" x14ac:dyDescent="0.2">
      <c r="B30408" t="s">
        <v>1</v>
      </c>
    </row>
    <row r="30409" spans="1:2" x14ac:dyDescent="0.2">
      <c r="B30409" t="s">
        <v>10025</v>
      </c>
    </row>
    <row r="30411" spans="1:2" x14ac:dyDescent="0.2">
      <c r="A30411" t="s">
        <v>10026</v>
      </c>
      <c r="B30411" t="str">
        <f>HYPERLINK("https://lindat.mff.cuni.cz/services/teitok/pdtc10/index.php?action=vallex&amp;frame=v-w4198f1", "pozdravit (v-w4198f1)")</f>
        <v>pozdravit (v-w4198f1)</v>
      </c>
    </row>
    <row r="30412" spans="1:2" x14ac:dyDescent="0.2">
      <c r="B30412" t="s">
        <v>1</v>
      </c>
    </row>
    <row r="30413" spans="1:2" x14ac:dyDescent="0.2">
      <c r="B30413" t="s">
        <v>8</v>
      </c>
    </row>
    <row r="30414" spans="1:2" x14ac:dyDescent="0.2">
      <c r="B30414" t="s">
        <v>321</v>
      </c>
    </row>
    <row r="30416" spans="1:2" x14ac:dyDescent="0.2">
      <c r="A30416" t="s">
        <v>10027</v>
      </c>
      <c r="B30416" t="str">
        <f>HYPERLINK("https://lindat.mff.cuni.cz/services/teitok/pdtc10/index.php?action=vallex&amp;frame=v-w4198hsa_1121", "pozdravit (v-w4198hsa_1121)")</f>
        <v>pozdravit (v-w4198hsa_1121)</v>
      </c>
    </row>
    <row r="30417" spans="1:4" x14ac:dyDescent="0.2">
      <c r="B30417" t="s">
        <v>1</v>
      </c>
    </row>
    <row r="30418" spans="1:4" x14ac:dyDescent="0.2">
      <c r="B30418" t="s">
        <v>8</v>
      </c>
    </row>
    <row r="30420" spans="1:4" x14ac:dyDescent="0.2">
      <c r="A30420" t="s">
        <v>10028</v>
      </c>
      <c r="B30420" t="str">
        <f>HYPERLINK("https://lindat.mff.cuni.cz/services/teitok/pdtc10/index.php?action=vallex&amp;frame=v-whsa_1981hsa_1982", "pozdravit se (v-whsa_1981hsa_1982)")</f>
        <v>pozdravit se (v-whsa_1981hsa_1982)</v>
      </c>
    </row>
    <row r="30421" spans="1:4" x14ac:dyDescent="0.2">
      <c r="B30421" t="s">
        <v>1</v>
      </c>
    </row>
    <row r="30422" spans="1:4" x14ac:dyDescent="0.2">
      <c r="B30422" t="s">
        <v>411</v>
      </c>
    </row>
    <row r="30424" spans="1:4" x14ac:dyDescent="0.2">
      <c r="A30424" t="s">
        <v>10029</v>
      </c>
      <c r="B30424" t="str">
        <f>HYPERLINK("https://lindat.mff.cuni.cz/services/teitok/pdtc10/index.php?action=vallex&amp;frame=v-w4199f1", "pozdravovat (v-w4199f1)")</f>
        <v>pozdravovat (v-w4199f1)</v>
      </c>
    </row>
    <row r="30425" spans="1:4" x14ac:dyDescent="0.2">
      <c r="B30425" t="s">
        <v>1</v>
      </c>
    </row>
    <row r="30426" spans="1:4" x14ac:dyDescent="0.2">
      <c r="B30426" t="s">
        <v>8</v>
      </c>
    </row>
    <row r="30427" spans="1:4" x14ac:dyDescent="0.2">
      <c r="B30427" t="s">
        <v>321</v>
      </c>
    </row>
    <row r="30429" spans="1:4" x14ac:dyDescent="0.2">
      <c r="A30429" t="s">
        <v>10030</v>
      </c>
      <c r="B30429" t="str">
        <f>HYPERLINK("https://lindat.mff.cuni.cz/services/teitok/pdtc10/index.php?action=vallex&amp;frame=v-w4200f1", "pozdržet (v-w4200f1)")</f>
        <v>pozdržet (v-w4200f1)</v>
      </c>
    </row>
    <row r="30430" spans="1:4" x14ac:dyDescent="0.2">
      <c r="B30430" t="s">
        <v>1</v>
      </c>
      <c r="C30430" t="s">
        <v>2125</v>
      </c>
      <c r="D30430" t="s">
        <v>9760</v>
      </c>
    </row>
    <row r="30431" spans="1:4" x14ac:dyDescent="0.2">
      <c r="B30431" t="s">
        <v>8</v>
      </c>
      <c r="C30431" t="s">
        <v>10031</v>
      </c>
      <c r="D30431" t="s">
        <v>22997</v>
      </c>
    </row>
    <row r="30433" spans="1:4" x14ac:dyDescent="0.2">
      <c r="A30433" t="s">
        <v>10032</v>
      </c>
      <c r="B30433" t="str">
        <f>HYPERLINK("https://lindat.mff.cuni.cz/services/teitok/pdtc10/index.php?action=vallex&amp;frame=v-w11057f3", "pozdržovat (v-w11057f3)")</f>
        <v>pozdržovat (v-w11057f3)</v>
      </c>
    </row>
    <row r="30434" spans="1:4" x14ac:dyDescent="0.2">
      <c r="B30434" t="s">
        <v>1</v>
      </c>
      <c r="D30434" t="s">
        <v>9760</v>
      </c>
    </row>
    <row r="30435" spans="1:4" x14ac:dyDescent="0.2">
      <c r="B30435" t="s">
        <v>8</v>
      </c>
      <c r="D30435" t="s">
        <v>22997</v>
      </c>
    </row>
    <row r="30437" spans="1:4" x14ac:dyDescent="0.2">
      <c r="A30437" t="s">
        <v>10033</v>
      </c>
      <c r="B30437" t="str">
        <f>HYPERLINK("https://lindat.mff.cuni.cz/services/teitok/pdtc10/index.php?action=vallex&amp;frame=v-w4201f1", "pozdvihnout (v-w4201f1)")</f>
        <v>pozdvihnout (v-w4201f1)</v>
      </c>
    </row>
    <row r="30438" spans="1:4" x14ac:dyDescent="0.2">
      <c r="B30438" t="s">
        <v>1</v>
      </c>
      <c r="C30438" t="s">
        <v>2239</v>
      </c>
      <c r="D30438" t="s">
        <v>23442</v>
      </c>
    </row>
    <row r="30439" spans="1:4" x14ac:dyDescent="0.2">
      <c r="B30439" t="s">
        <v>8</v>
      </c>
      <c r="C30439" t="s">
        <v>1510</v>
      </c>
      <c r="D30439" t="s">
        <v>23443</v>
      </c>
    </row>
    <row r="30441" spans="1:4" x14ac:dyDescent="0.2">
      <c r="A30441" t="s">
        <v>10034</v>
      </c>
      <c r="B30441" t="str">
        <f>HYPERLINK("https://lindat.mff.cuni.cz/services/teitok/pdtc10/index.php?action=vallex&amp;frame=v-w4202f1", "pozměnit (v-w4202f1)")</f>
        <v>pozměnit (v-w4202f1)</v>
      </c>
    </row>
    <row r="30442" spans="1:4" x14ac:dyDescent="0.2">
      <c r="B30442" t="s">
        <v>1</v>
      </c>
      <c r="C30442" t="s">
        <v>3384</v>
      </c>
      <c r="D30442" t="s">
        <v>22944</v>
      </c>
    </row>
    <row r="30443" spans="1:4" x14ac:dyDescent="0.2">
      <c r="B30443" t="s">
        <v>8</v>
      </c>
      <c r="C30443" t="s">
        <v>10035</v>
      </c>
      <c r="D30443" t="s">
        <v>22945</v>
      </c>
    </row>
    <row r="30444" spans="1:4" x14ac:dyDescent="0.2">
      <c r="B30444" t="s">
        <v>24</v>
      </c>
      <c r="D30444" t="s">
        <v>22946</v>
      </c>
    </row>
    <row r="30445" spans="1:4" x14ac:dyDescent="0.2">
      <c r="B30445" t="s">
        <v>4203</v>
      </c>
      <c r="C30445" t="s">
        <v>10036</v>
      </c>
      <c r="D30445" t="s">
        <v>22947</v>
      </c>
    </row>
    <row r="30447" spans="1:4" x14ac:dyDescent="0.2">
      <c r="A30447" t="s">
        <v>10037</v>
      </c>
      <c r="B30447" t="str">
        <f>HYPERLINK("https://lindat.mff.cuni.cz/services/teitok/pdtc10/index.php?action=vallex&amp;frame=v-w4204f1", "pozměňovat (v-w4204f1)")</f>
        <v>pozměňovat (v-w4204f1)</v>
      </c>
    </row>
    <row r="30448" spans="1:4" x14ac:dyDescent="0.2">
      <c r="B30448" t="s">
        <v>1</v>
      </c>
      <c r="D30448" t="s">
        <v>22944</v>
      </c>
    </row>
    <row r="30449" spans="1:4" x14ac:dyDescent="0.2">
      <c r="B30449" t="s">
        <v>8</v>
      </c>
      <c r="D30449" t="s">
        <v>22945</v>
      </c>
    </row>
    <row r="30450" spans="1:4" x14ac:dyDescent="0.2">
      <c r="B30450" t="s">
        <v>24</v>
      </c>
      <c r="D30450" t="s">
        <v>22946</v>
      </c>
    </row>
    <row r="30451" spans="1:4" x14ac:dyDescent="0.2">
      <c r="B30451" t="s">
        <v>4203</v>
      </c>
      <c r="D30451" t="s">
        <v>22947</v>
      </c>
    </row>
    <row r="30453" spans="1:4" x14ac:dyDescent="0.2">
      <c r="A30453" t="s">
        <v>10038</v>
      </c>
      <c r="B30453" t="str">
        <f>HYPERLINK("https://lindat.mff.cuni.cz/services/teitok/pdtc10/index.php?action=vallex&amp;frame=v-w4206f3", "poznamenat (v-w4206f3)")</f>
        <v>poznamenat (v-w4206f3)</v>
      </c>
    </row>
    <row r="30454" spans="1:4" x14ac:dyDescent="0.2">
      <c r="B30454" t="s">
        <v>1</v>
      </c>
      <c r="D30454" t="s">
        <v>33</v>
      </c>
    </row>
    <row r="30455" spans="1:4" x14ac:dyDescent="0.2">
      <c r="B30455" t="s">
        <v>8</v>
      </c>
      <c r="D30455" t="s">
        <v>8366</v>
      </c>
    </row>
    <row r="30457" spans="1:4" x14ac:dyDescent="0.2">
      <c r="A30457" t="s">
        <v>10039</v>
      </c>
      <c r="B30457" t="str">
        <f>HYPERLINK("https://lindat.mff.cuni.cz/services/teitok/pdtc10/index.php?action=vallex&amp;frame=v-w4206f4", "poznamenat (v-w4206f4)")</f>
        <v>poznamenat (v-w4206f4)</v>
      </c>
    </row>
    <row r="30458" spans="1:4" x14ac:dyDescent="0.2">
      <c r="B30458" t="s">
        <v>1</v>
      </c>
      <c r="C30458" t="s">
        <v>10040</v>
      </c>
      <c r="D30458" t="s">
        <v>23156</v>
      </c>
    </row>
    <row r="30459" spans="1:4" x14ac:dyDescent="0.2">
      <c r="B30459" t="s">
        <v>8</v>
      </c>
      <c r="C30459" t="s">
        <v>10041</v>
      </c>
      <c r="D30459" t="s">
        <v>23157</v>
      </c>
    </row>
    <row r="30461" spans="1:4" x14ac:dyDescent="0.2">
      <c r="A30461" t="s">
        <v>10042</v>
      </c>
      <c r="B30461" t="str">
        <f>HYPERLINK("https://lindat.mff.cuni.cz/services/teitok/pdtc10/index.php?action=vallex&amp;frame=v-w4206f2", "poznamenat (v-w4206f2)")</f>
        <v>poznamenat (v-w4206f2)</v>
      </c>
    </row>
    <row r="30462" spans="1:4" x14ac:dyDescent="0.2">
      <c r="B30462" t="s">
        <v>1</v>
      </c>
      <c r="C30462" t="s">
        <v>10043</v>
      </c>
      <c r="D30462" t="s">
        <v>23807</v>
      </c>
    </row>
    <row r="30463" spans="1:4" x14ac:dyDescent="0.2">
      <c r="B30463" t="s">
        <v>10044</v>
      </c>
      <c r="C30463" t="s">
        <v>10045</v>
      </c>
      <c r="D30463" t="s">
        <v>23808</v>
      </c>
    </row>
    <row r="30464" spans="1:4" x14ac:dyDescent="0.2">
      <c r="B30464" t="s">
        <v>8854</v>
      </c>
      <c r="C30464" t="s">
        <v>8855</v>
      </c>
      <c r="D30464" t="s">
        <v>2917</v>
      </c>
    </row>
    <row r="30466" spans="1:4" x14ac:dyDescent="0.2">
      <c r="A30466" t="s">
        <v>10046</v>
      </c>
      <c r="B30466" t="str">
        <f>HYPERLINK("https://lindat.mff.cuni.cz/services/teitok/pdtc10/index.php?action=vallex&amp;frame=v-w4206f1", "poznamenat (v-w4206f1)")</f>
        <v>poznamenat (v-w4206f1)</v>
      </c>
    </row>
    <row r="30467" spans="1:4" x14ac:dyDescent="0.2">
      <c r="B30467" t="s">
        <v>1</v>
      </c>
      <c r="C30467" t="s">
        <v>7512</v>
      </c>
      <c r="D30467" t="s">
        <v>23807</v>
      </c>
    </row>
    <row r="30468" spans="1:4" x14ac:dyDescent="0.2">
      <c r="B30468" t="s">
        <v>10047</v>
      </c>
      <c r="C30468" t="s">
        <v>10048</v>
      </c>
      <c r="D30468" t="s">
        <v>23808</v>
      </c>
    </row>
    <row r="30469" spans="1:4" x14ac:dyDescent="0.2">
      <c r="B30469" t="s">
        <v>8854</v>
      </c>
      <c r="C30469" t="s">
        <v>8502</v>
      </c>
      <c r="D30469" t="s">
        <v>2917</v>
      </c>
    </row>
    <row r="30471" spans="1:4" x14ac:dyDescent="0.2">
      <c r="A30471" t="s">
        <v>10049</v>
      </c>
      <c r="B30471" t="str">
        <f>HYPERLINK("https://lindat.mff.cuni.cz/services/teitok/pdtc10/index.php?action=vallex&amp;frame=v-w4206hsa_7", "poznamenat (v-w4206hsa_7)")</f>
        <v>poznamenat (v-w4206hsa_7)</v>
      </c>
    </row>
    <row r="30472" spans="1:4" x14ac:dyDescent="0.2">
      <c r="B30472" t="s">
        <v>1</v>
      </c>
    </row>
    <row r="30473" spans="1:4" x14ac:dyDescent="0.2">
      <c r="B30473" t="s">
        <v>8</v>
      </c>
    </row>
    <row r="30475" spans="1:4" x14ac:dyDescent="0.2">
      <c r="A30475" t="s">
        <v>10050</v>
      </c>
      <c r="B30475" t="str">
        <f>HYPERLINK("https://lindat.mff.cuni.cz/services/teitok/pdtc10/index.php?action=vallex&amp;frame=v-w11849_ZUf1_ZU", "poznamenat se (v-w11849_ZUf1_ZU)")</f>
        <v>poznamenat se (v-w11849_ZUf1_ZU)</v>
      </c>
    </row>
    <row r="30476" spans="1:4" x14ac:dyDescent="0.2">
      <c r="B30476" t="s">
        <v>1</v>
      </c>
    </row>
    <row r="30477" spans="1:4" x14ac:dyDescent="0.2">
      <c r="B30477" t="s">
        <v>161</v>
      </c>
    </row>
    <row r="30479" spans="1:4" x14ac:dyDescent="0.2">
      <c r="A30479" t="s">
        <v>10051</v>
      </c>
      <c r="B30479" t="str">
        <f>HYPERLINK("https://lindat.mff.cuni.cz/services/teitok/pdtc10/index.php?action=vallex&amp;frame=v-w4207f2", "poznamenávat (v-w4207f2)")</f>
        <v>poznamenávat (v-w4207f2)</v>
      </c>
    </row>
    <row r="30480" spans="1:4" x14ac:dyDescent="0.2">
      <c r="B30480" t="s">
        <v>1</v>
      </c>
      <c r="D30480" t="s">
        <v>23156</v>
      </c>
    </row>
    <row r="30481" spans="1:4" x14ac:dyDescent="0.2">
      <c r="B30481" t="s">
        <v>8</v>
      </c>
      <c r="D30481" t="s">
        <v>23157</v>
      </c>
    </row>
    <row r="30483" spans="1:4" x14ac:dyDescent="0.2">
      <c r="A30483" t="s">
        <v>10052</v>
      </c>
      <c r="B30483" t="str">
        <f>HYPERLINK("https://lindat.mff.cuni.cz/services/teitok/pdtc10/index.php?action=vallex&amp;frame=v-w4207f4", "poznamenávat (v-w4207f4)")</f>
        <v>poznamenávat (v-w4207f4)</v>
      </c>
    </row>
    <row r="30484" spans="1:4" x14ac:dyDescent="0.2">
      <c r="B30484" t="s">
        <v>1</v>
      </c>
      <c r="D30484" t="s">
        <v>33</v>
      </c>
    </row>
    <row r="30485" spans="1:4" x14ac:dyDescent="0.2">
      <c r="B30485" t="s">
        <v>8</v>
      </c>
      <c r="D30485" t="s">
        <v>8366</v>
      </c>
    </row>
    <row r="30487" spans="1:4" x14ac:dyDescent="0.2">
      <c r="A30487" t="s">
        <v>10053</v>
      </c>
      <c r="B30487" t="str">
        <f>HYPERLINK("https://lindat.mff.cuni.cz/services/teitok/pdtc10/index.php?action=vallex&amp;frame=v-w4207f1", "poznamenávat (v-w4207f1)")</f>
        <v>poznamenávat (v-w4207f1)</v>
      </c>
    </row>
    <row r="30488" spans="1:4" x14ac:dyDescent="0.2">
      <c r="B30488" t="s">
        <v>1</v>
      </c>
      <c r="C30488" t="s">
        <v>10054</v>
      </c>
      <c r="D30488" t="s">
        <v>23807</v>
      </c>
    </row>
    <row r="30489" spans="1:4" x14ac:dyDescent="0.2">
      <c r="B30489" t="s">
        <v>10047</v>
      </c>
      <c r="C30489" t="s">
        <v>4794</v>
      </c>
      <c r="D30489" t="s">
        <v>23808</v>
      </c>
    </row>
    <row r="30490" spans="1:4" x14ac:dyDescent="0.2">
      <c r="B30490" t="s">
        <v>8854</v>
      </c>
      <c r="C30490" t="s">
        <v>8502</v>
      </c>
      <c r="D30490" t="s">
        <v>2917</v>
      </c>
    </row>
    <row r="30492" spans="1:4" x14ac:dyDescent="0.2">
      <c r="A30492" t="s">
        <v>10055</v>
      </c>
      <c r="B30492" t="str">
        <f>HYPERLINK("https://lindat.mff.cuni.cz/services/teitok/pdtc10/index.php?action=vallex&amp;frame=v-w4207f3", "poznamenávat (v-w4207f3)")</f>
        <v>poznamenávat (v-w4207f3)</v>
      </c>
    </row>
    <row r="30493" spans="1:4" x14ac:dyDescent="0.2">
      <c r="B30493" t="s">
        <v>1</v>
      </c>
      <c r="D30493" t="s">
        <v>23807</v>
      </c>
    </row>
    <row r="30494" spans="1:4" x14ac:dyDescent="0.2">
      <c r="B30494" t="s">
        <v>10047</v>
      </c>
      <c r="D30494" t="s">
        <v>23808</v>
      </c>
    </row>
    <row r="30495" spans="1:4" x14ac:dyDescent="0.2">
      <c r="B30495" t="s">
        <v>8854</v>
      </c>
      <c r="D30495" t="s">
        <v>2917</v>
      </c>
    </row>
    <row r="30497" spans="1:2" x14ac:dyDescent="0.2">
      <c r="A30497" t="s">
        <v>10056</v>
      </c>
      <c r="B30497" t="str">
        <f>HYPERLINK("https://lindat.mff.cuni.cz/services/teitok/pdtc10/index.php?action=vallex&amp;frame=v-w4210f4", "poznat (v-w4210f4)")</f>
        <v>poznat (v-w4210f4)</v>
      </c>
    </row>
    <row r="30498" spans="1:2" x14ac:dyDescent="0.2">
      <c r="B30498" t="s">
        <v>1</v>
      </c>
    </row>
    <row r="30499" spans="1:2" x14ac:dyDescent="0.2">
      <c r="B30499" t="s">
        <v>8</v>
      </c>
    </row>
    <row r="30500" spans="1:2" x14ac:dyDescent="0.2">
      <c r="B30500" t="s">
        <v>1334</v>
      </c>
    </row>
    <row r="30502" spans="1:2" x14ac:dyDescent="0.2">
      <c r="A30502" t="s">
        <v>10057</v>
      </c>
      <c r="B30502" t="str">
        <f>HYPERLINK("https://lindat.mff.cuni.cz/services/teitok/pdtc10/index.php?action=vallex&amp;frame=v-w4210f7_MM", "poznat (v-w4210f7_MM)")</f>
        <v>poznat (v-w4210f7_MM)</v>
      </c>
    </row>
    <row r="30503" spans="1:2" x14ac:dyDescent="0.2">
      <c r="B30503" t="s">
        <v>1</v>
      </c>
    </row>
    <row r="30504" spans="1:2" x14ac:dyDescent="0.2">
      <c r="B30504" t="s">
        <v>411</v>
      </c>
    </row>
    <row r="30505" spans="1:2" x14ac:dyDescent="0.2">
      <c r="B30505" t="s">
        <v>1056</v>
      </c>
    </row>
    <row r="30507" spans="1:2" x14ac:dyDescent="0.2">
      <c r="A30507" t="s">
        <v>10057</v>
      </c>
      <c r="B30507" t="str">
        <f>HYPERLINK("https://lindat.mff.cuni.cz/services/teitok/pdtc10/index.php?action=vallex&amp;frame=v-w4210f5", "poznat (v-w4210f5) - substituted with v-w4210f7_MM")</f>
        <v>poznat (v-w4210f5) - substituted with v-w4210f7_MM</v>
      </c>
    </row>
    <row r="30508" spans="1:2" x14ac:dyDescent="0.2">
      <c r="B30508" t="s">
        <v>1</v>
      </c>
    </row>
    <row r="30509" spans="1:2" x14ac:dyDescent="0.2">
      <c r="B30509" t="s">
        <v>411</v>
      </c>
    </row>
    <row r="30510" spans="1:2" x14ac:dyDescent="0.2">
      <c r="B30510" t="s">
        <v>1056</v>
      </c>
    </row>
    <row r="30512" spans="1:2" x14ac:dyDescent="0.2">
      <c r="A30512" t="s">
        <v>10058</v>
      </c>
      <c r="B30512" t="str">
        <f>HYPERLINK("https://lindat.mff.cuni.cz/services/teitok/pdtc10/index.php?action=vallex&amp;frame=v-w4210f1", "poznat (v-w4210f1)")</f>
        <v>poznat (v-w4210f1)</v>
      </c>
    </row>
    <row r="30513" spans="1:3" x14ac:dyDescent="0.2">
      <c r="B30513" t="s">
        <v>1</v>
      </c>
      <c r="C30513" t="s">
        <v>10059</v>
      </c>
    </row>
    <row r="30514" spans="1:3" x14ac:dyDescent="0.2">
      <c r="B30514" t="s">
        <v>10060</v>
      </c>
      <c r="C30514" t="s">
        <v>10061</v>
      </c>
    </row>
    <row r="30516" spans="1:3" x14ac:dyDescent="0.2">
      <c r="A30516" t="s">
        <v>10062</v>
      </c>
      <c r="B30516" t="str">
        <f>HYPERLINK("https://lindat.mff.cuni.cz/services/teitok/pdtc10/index.php?action=vallex&amp;frame=v-w4210f6_ZU", "poznat (v-w4210f6_ZU)")</f>
        <v>poznat (v-w4210f6_ZU)</v>
      </c>
    </row>
    <row r="30517" spans="1:3" x14ac:dyDescent="0.2">
      <c r="B30517" t="s">
        <v>1</v>
      </c>
    </row>
    <row r="30518" spans="1:3" x14ac:dyDescent="0.2">
      <c r="B30518" t="s">
        <v>10063</v>
      </c>
    </row>
    <row r="30520" spans="1:3" x14ac:dyDescent="0.2">
      <c r="A30520" t="s">
        <v>10062</v>
      </c>
      <c r="B30520" t="str">
        <f>HYPERLINK("https://lindat.mff.cuni.cz/services/teitok/pdtc10/index.php?action=vallex&amp;frame=v-w4210f2", "poznat (v-w4210f2) - substituted with v-w4210f6_ZU")</f>
        <v>poznat (v-w4210f2) - substituted with v-w4210f6_ZU</v>
      </c>
    </row>
    <row r="30521" spans="1:3" x14ac:dyDescent="0.2">
      <c r="B30521" t="s">
        <v>1</v>
      </c>
      <c r="C30521" t="s">
        <v>10064</v>
      </c>
    </row>
    <row r="30522" spans="1:3" x14ac:dyDescent="0.2">
      <c r="B30522" t="s">
        <v>10063</v>
      </c>
      <c r="C30522" t="s">
        <v>10065</v>
      </c>
    </row>
    <row r="30524" spans="1:3" x14ac:dyDescent="0.2">
      <c r="A30524" t="s">
        <v>10062</v>
      </c>
      <c r="B30524" t="str">
        <f>HYPERLINK("https://lindat.mff.cuni.cz/services/teitok/pdtc10/index.php?action=vallex&amp;frame=v-w4210hsa_2060", "poznat (v-w4210hsa_2060) - substituted with v-w4210f6_ZU")</f>
        <v>poznat (v-w4210hsa_2060) - substituted with v-w4210f6_ZU</v>
      </c>
    </row>
    <row r="30525" spans="1:3" x14ac:dyDescent="0.2">
      <c r="B30525" t="s">
        <v>1</v>
      </c>
    </row>
    <row r="30526" spans="1:3" x14ac:dyDescent="0.2">
      <c r="B30526" t="s">
        <v>10063</v>
      </c>
    </row>
    <row r="30528" spans="1:3" x14ac:dyDescent="0.2">
      <c r="A30528" t="s">
        <v>10066</v>
      </c>
      <c r="B30528" t="str">
        <f>HYPERLINK("https://lindat.mff.cuni.cz/services/teitok/pdtc10/index.php?action=vallex&amp;frame=v-w4210f3", "poznat (v-w4210f3)")</f>
        <v>poznat (v-w4210f3)</v>
      </c>
    </row>
    <row r="30529" spans="1:4" x14ac:dyDescent="0.2">
      <c r="B30529" t="s">
        <v>1</v>
      </c>
      <c r="C30529" t="s">
        <v>3735</v>
      </c>
      <c r="D30529" t="s">
        <v>373</v>
      </c>
    </row>
    <row r="30530" spans="1:4" x14ac:dyDescent="0.2">
      <c r="B30530" t="s">
        <v>8</v>
      </c>
      <c r="C30530" t="s">
        <v>10067</v>
      </c>
      <c r="D30530" t="s">
        <v>1340</v>
      </c>
    </row>
    <row r="30532" spans="1:4" x14ac:dyDescent="0.2">
      <c r="A30532" t="s">
        <v>10068</v>
      </c>
      <c r="B30532" t="str">
        <f>HYPERLINK("https://lindat.mff.cuni.cz/services/teitok/pdtc10/index.php?action=vallex&amp;frame=v-whsa_903hsa_904", "poznat se (v-whsa_903hsa_904)")</f>
        <v>poznat se (v-whsa_903hsa_904)</v>
      </c>
    </row>
    <row r="30533" spans="1:4" x14ac:dyDescent="0.2">
      <c r="B30533" t="s">
        <v>1</v>
      </c>
    </row>
    <row r="30534" spans="1:4" x14ac:dyDescent="0.2">
      <c r="B30534" t="s">
        <v>411</v>
      </c>
    </row>
    <row r="30536" spans="1:4" x14ac:dyDescent="0.2">
      <c r="A30536" t="s">
        <v>10069</v>
      </c>
      <c r="B30536" t="str">
        <f>HYPERLINK("https://lindat.mff.cuni.cz/services/teitok/pdtc10/index.php?action=vallex&amp;frame=v-w11874_ZUf1_ZU", "poznačit (v-w11874_ZUf1_ZU)")</f>
        <v>poznačit (v-w11874_ZUf1_ZU)</v>
      </c>
    </row>
    <row r="30537" spans="1:4" x14ac:dyDescent="0.2">
      <c r="B30537" t="s">
        <v>1</v>
      </c>
    </row>
    <row r="30538" spans="1:4" x14ac:dyDescent="0.2">
      <c r="B30538" t="s">
        <v>8</v>
      </c>
    </row>
    <row r="30540" spans="1:4" x14ac:dyDescent="0.2">
      <c r="A30540" t="s">
        <v>10070</v>
      </c>
      <c r="B30540" t="str">
        <f>HYPERLINK("https://lindat.mff.cuni.cz/services/teitok/pdtc10/index.php?action=vallex&amp;frame=v-w4213f1", "poznávat (v-w4213f1)")</f>
        <v>poznávat (v-w4213f1)</v>
      </c>
    </row>
    <row r="30541" spans="1:4" x14ac:dyDescent="0.2">
      <c r="B30541" t="s">
        <v>1</v>
      </c>
    </row>
    <row r="30542" spans="1:4" x14ac:dyDescent="0.2">
      <c r="B30542" t="s">
        <v>1284</v>
      </c>
    </row>
    <row r="30544" spans="1:4" x14ac:dyDescent="0.2">
      <c r="A30544" t="s">
        <v>10071</v>
      </c>
      <c r="B30544" t="str">
        <f>HYPERLINK("https://lindat.mff.cuni.cz/services/teitok/pdtc10/index.php?action=vallex&amp;frame=v-w4213f4_ZU", "poznávat (v-w4213f4_ZU)")</f>
        <v>poznávat (v-w4213f4_ZU)</v>
      </c>
    </row>
    <row r="30545" spans="1:3" x14ac:dyDescent="0.2">
      <c r="B30545" t="s">
        <v>1</v>
      </c>
    </row>
    <row r="30546" spans="1:3" x14ac:dyDescent="0.2">
      <c r="B30546" t="s">
        <v>8</v>
      </c>
    </row>
    <row r="30548" spans="1:3" x14ac:dyDescent="0.2">
      <c r="A30548" t="s">
        <v>10071</v>
      </c>
      <c r="B30548" t="str">
        <f>HYPERLINK("https://lindat.mff.cuni.cz/services/teitok/pdtc10/index.php?action=vallex&amp;frame=v-w4213f2", "poznávat (v-w4213f2) - substituted with v-w4213f4_ZU")</f>
        <v>poznávat (v-w4213f2) - substituted with v-w4213f4_ZU</v>
      </c>
    </row>
    <row r="30549" spans="1:3" x14ac:dyDescent="0.2">
      <c r="B30549" t="s">
        <v>1</v>
      </c>
      <c r="C30549" t="s">
        <v>133</v>
      </c>
    </row>
    <row r="30550" spans="1:3" x14ac:dyDescent="0.2">
      <c r="B30550" t="s">
        <v>8</v>
      </c>
      <c r="C30550" t="s">
        <v>1128</v>
      </c>
    </row>
    <row r="30552" spans="1:3" x14ac:dyDescent="0.2">
      <c r="A30552" t="s">
        <v>10071</v>
      </c>
      <c r="B30552" t="str">
        <f>HYPERLINK("https://lindat.mff.cuni.cz/services/teitok/pdtc10/index.php?action=vallex&amp;frame=v-w4213f3_ZU", "poznávat (v-w4213f3_ZU) - substituted with v-w4213f4_ZU")</f>
        <v>poznávat (v-w4213f3_ZU) - substituted with v-w4213f4_ZU</v>
      </c>
    </row>
    <row r="30553" spans="1:3" x14ac:dyDescent="0.2">
      <c r="B30553" t="s">
        <v>1</v>
      </c>
    </row>
    <row r="30554" spans="1:3" x14ac:dyDescent="0.2">
      <c r="B30554" t="s">
        <v>8</v>
      </c>
    </row>
    <row r="30556" spans="1:3" x14ac:dyDescent="0.2">
      <c r="A30556" t="s">
        <v>10072</v>
      </c>
      <c r="B30556" t="str">
        <f>HYPERLINK("https://lindat.mff.cuni.cz/services/teitok/pdtc10/index.php?action=vallex&amp;frame=v-w4213f5_ZU", "poznávat (v-w4213f5_ZU)")</f>
        <v>poznávat (v-w4213f5_ZU)</v>
      </c>
    </row>
    <row r="30557" spans="1:3" x14ac:dyDescent="0.2">
      <c r="B30557" t="s">
        <v>1</v>
      </c>
    </row>
    <row r="30558" spans="1:3" x14ac:dyDescent="0.2">
      <c r="B30558" t="s">
        <v>8</v>
      </c>
    </row>
    <row r="30560" spans="1:3" x14ac:dyDescent="0.2">
      <c r="A30560" t="s">
        <v>10073</v>
      </c>
      <c r="B30560" t="str">
        <f>HYPERLINK("https://lindat.mff.cuni.cz/services/teitok/pdtc10/index.php?action=vallex&amp;frame=v-w4217f1", "pozorovat (v-w4217f1)")</f>
        <v>pozorovat (v-w4217f1)</v>
      </c>
    </row>
    <row r="30561" spans="1:4" x14ac:dyDescent="0.2">
      <c r="B30561" t="s">
        <v>1</v>
      </c>
      <c r="C30561" t="s">
        <v>10074</v>
      </c>
      <c r="D30561" t="s">
        <v>5968</v>
      </c>
    </row>
    <row r="30562" spans="1:4" x14ac:dyDescent="0.2">
      <c r="B30562" t="s">
        <v>7150</v>
      </c>
      <c r="C30562" t="s">
        <v>10075</v>
      </c>
      <c r="D30562" t="s">
        <v>23485</v>
      </c>
    </row>
    <row r="30564" spans="1:4" x14ac:dyDescent="0.2">
      <c r="A30564" t="s">
        <v>10076</v>
      </c>
      <c r="B30564" t="str">
        <f>HYPERLINK("https://lindat.mff.cuni.cz/services/teitok/pdtc10/index.php?action=vallex&amp;frame=v-w4217f3_ZU", "pozorovat (v-w4217f3_ZU)")</f>
        <v>pozorovat (v-w4217f3_ZU)</v>
      </c>
    </row>
    <row r="30565" spans="1:4" x14ac:dyDescent="0.2">
      <c r="B30565" t="s">
        <v>1</v>
      </c>
    </row>
    <row r="30566" spans="1:4" x14ac:dyDescent="0.2">
      <c r="B30566" t="s">
        <v>6656</v>
      </c>
    </row>
    <row r="30568" spans="1:4" x14ac:dyDescent="0.2">
      <c r="A30568" t="s">
        <v>10076</v>
      </c>
      <c r="B30568" t="str">
        <f>HYPERLINK("https://lindat.mff.cuni.cz/services/teitok/pdtc10/index.php?action=vallex&amp;frame=v-w4217f2_ZU", "pozorovat (v-w4217f2_ZU) - substituted with v-w4217f3_ZU")</f>
        <v>pozorovat (v-w4217f2_ZU) - substituted with v-w4217f3_ZU</v>
      </c>
    </row>
    <row r="30569" spans="1:4" x14ac:dyDescent="0.2">
      <c r="B30569" t="s">
        <v>1</v>
      </c>
    </row>
    <row r="30570" spans="1:4" x14ac:dyDescent="0.2">
      <c r="B30570" t="s">
        <v>6656</v>
      </c>
    </row>
    <row r="30572" spans="1:4" x14ac:dyDescent="0.2">
      <c r="A30572" t="s">
        <v>10076</v>
      </c>
      <c r="B30572" t="str">
        <f>HYPERLINK("https://lindat.mff.cuni.cz/services/teitok/pdtc10/index.php?action=vallex&amp;frame=v-w4217hsa_1240", "pozorovat (v-w4217hsa_1240) - substituted with v-w4217f3_ZU")</f>
        <v>pozorovat (v-w4217hsa_1240) - substituted with v-w4217f3_ZU</v>
      </c>
    </row>
    <row r="30573" spans="1:4" x14ac:dyDescent="0.2">
      <c r="B30573" t="s">
        <v>1</v>
      </c>
      <c r="C30573" t="s">
        <v>10077</v>
      </c>
      <c r="D30573" t="s">
        <v>23620</v>
      </c>
    </row>
    <row r="30574" spans="1:4" x14ac:dyDescent="0.2">
      <c r="B30574" t="s">
        <v>6656</v>
      </c>
      <c r="C30574" t="s">
        <v>10078</v>
      </c>
      <c r="D30574" t="s">
        <v>23864</v>
      </c>
    </row>
    <row r="30576" spans="1:4" x14ac:dyDescent="0.2">
      <c r="A30576" t="s">
        <v>10079</v>
      </c>
      <c r="B30576" t="str">
        <f>HYPERLINK("https://lindat.mff.cuni.cz/services/teitok/pdtc10/index.php?action=vallex&amp;frame=v-w4219f1", "poztrácet (v-w4219f1)")</f>
        <v>poztrácet (v-w4219f1)</v>
      </c>
    </row>
    <row r="30577" spans="1:4" x14ac:dyDescent="0.2">
      <c r="B30577" t="s">
        <v>1</v>
      </c>
    </row>
    <row r="30578" spans="1:4" x14ac:dyDescent="0.2">
      <c r="B30578" t="s">
        <v>8</v>
      </c>
    </row>
    <row r="30580" spans="1:4" x14ac:dyDescent="0.2">
      <c r="A30580" t="s">
        <v>10080</v>
      </c>
      <c r="B30580" t="str">
        <f>HYPERLINK("https://lindat.mff.cuni.cz/services/teitok/pdtc10/index.php?action=vallex&amp;frame=v-w4223f1", "pozvat (v-w4223f1)")</f>
        <v>pozvat (v-w4223f1)</v>
      </c>
    </row>
    <row r="30581" spans="1:4" x14ac:dyDescent="0.2">
      <c r="B30581" t="s">
        <v>1</v>
      </c>
      <c r="C30581" t="s">
        <v>2555</v>
      </c>
      <c r="D30581" t="s">
        <v>990</v>
      </c>
    </row>
    <row r="30582" spans="1:4" x14ac:dyDescent="0.2">
      <c r="B30582" t="s">
        <v>8</v>
      </c>
      <c r="C30582" t="s">
        <v>4111</v>
      </c>
      <c r="D30582" t="s">
        <v>2886</v>
      </c>
    </row>
    <row r="30584" spans="1:4" x14ac:dyDescent="0.2">
      <c r="A30584" t="s">
        <v>10081</v>
      </c>
      <c r="B30584" t="str">
        <f>HYPERLINK("https://lindat.mff.cuni.cz/services/teitok/pdtc10/index.php?action=vallex&amp;frame=v-w4224f1", "pozvedat (v-w4224f1)")</f>
        <v>pozvedat (v-w4224f1)</v>
      </c>
    </row>
    <row r="30585" spans="1:4" x14ac:dyDescent="0.2">
      <c r="B30585" t="s">
        <v>1</v>
      </c>
      <c r="D30585" t="s">
        <v>334</v>
      </c>
    </row>
    <row r="30586" spans="1:4" x14ac:dyDescent="0.2">
      <c r="B30586" t="s">
        <v>8</v>
      </c>
      <c r="D30586" t="s">
        <v>2240</v>
      </c>
    </row>
    <row r="30588" spans="1:4" x14ac:dyDescent="0.2">
      <c r="A30588" t="s">
        <v>10082</v>
      </c>
      <c r="B30588" t="str">
        <f>HYPERLINK("https://lindat.mff.cuni.cz/services/teitok/pdtc10/index.php?action=vallex&amp;frame=v-w4225f2", "pozvednout (v-w4225f2)")</f>
        <v>pozvednout (v-w4225f2)</v>
      </c>
    </row>
    <row r="30589" spans="1:4" x14ac:dyDescent="0.2">
      <c r="B30589" t="s">
        <v>1</v>
      </c>
    </row>
    <row r="30590" spans="1:4" x14ac:dyDescent="0.2">
      <c r="B30590" t="s">
        <v>8</v>
      </c>
    </row>
    <row r="30591" spans="1:4" x14ac:dyDescent="0.2">
      <c r="B30591" t="s">
        <v>333</v>
      </c>
    </row>
    <row r="30593" spans="1:4" x14ac:dyDescent="0.2">
      <c r="A30593" t="s">
        <v>10083</v>
      </c>
      <c r="B30593" t="str">
        <f>HYPERLINK("https://lindat.mff.cuni.cz/services/teitok/pdtc10/index.php?action=vallex&amp;frame=v-w4225f1", "pozvednout (v-w4225f1)")</f>
        <v>pozvednout (v-w4225f1)</v>
      </c>
    </row>
    <row r="30594" spans="1:4" x14ac:dyDescent="0.2">
      <c r="B30594" t="s">
        <v>1</v>
      </c>
      <c r="C30594" t="s">
        <v>10084</v>
      </c>
      <c r="D30594" t="s">
        <v>23901</v>
      </c>
    </row>
    <row r="30595" spans="1:4" x14ac:dyDescent="0.2">
      <c r="B30595" t="s">
        <v>8</v>
      </c>
      <c r="C30595" t="s">
        <v>1620</v>
      </c>
      <c r="D30595" t="s">
        <v>23902</v>
      </c>
    </row>
    <row r="30597" spans="1:4" x14ac:dyDescent="0.2">
      <c r="A30597" t="s">
        <v>10085</v>
      </c>
      <c r="B30597" t="str">
        <f>HYPERLINK("https://lindat.mff.cuni.cz/services/teitok/pdtc10/index.php?action=vallex&amp;frame=v-w4225f3_ZU", "pozvednout (v-w4225f3_ZU)")</f>
        <v>pozvednout (v-w4225f3_ZU)</v>
      </c>
    </row>
    <row r="30598" spans="1:4" x14ac:dyDescent="0.2">
      <c r="B30598" t="s">
        <v>1</v>
      </c>
      <c r="C30598" t="s">
        <v>140</v>
      </c>
    </row>
    <row r="30599" spans="1:4" x14ac:dyDescent="0.2">
      <c r="B30599" t="s">
        <v>10086</v>
      </c>
      <c r="C30599" t="s">
        <v>397</v>
      </c>
    </row>
    <row r="30601" spans="1:4" x14ac:dyDescent="0.2">
      <c r="A30601" t="s">
        <v>10085</v>
      </c>
      <c r="B30601" t="str">
        <f>HYPERLINK("https://lindat.mff.cuni.cz/services/teitok/pdtc10/index.php?action=vallex&amp;frame=v-w4225hsa_387", "pozvednout (v-w4225hsa_387) - substituted with v-w4225f3_ZU")</f>
        <v>pozvednout (v-w4225hsa_387) - substituted with v-w4225f3_ZU</v>
      </c>
    </row>
    <row r="30602" spans="1:4" x14ac:dyDescent="0.2">
      <c r="B30602" t="s">
        <v>1</v>
      </c>
    </row>
    <row r="30603" spans="1:4" x14ac:dyDescent="0.2">
      <c r="B30603" t="s">
        <v>10086</v>
      </c>
    </row>
    <row r="30605" spans="1:4" x14ac:dyDescent="0.2">
      <c r="A30605" t="s">
        <v>10087</v>
      </c>
      <c r="B30605" t="str">
        <f>HYPERLINK("https://lindat.mff.cuni.cz/services/teitok/pdtc10/index.php?action=vallex&amp;frame=v-whsa_543hsa_544", "pozvednout se (v-whsa_543hsa_544)")</f>
        <v>pozvednout se (v-whsa_543hsa_544)</v>
      </c>
    </row>
    <row r="30606" spans="1:4" x14ac:dyDescent="0.2">
      <c r="B30606" t="s">
        <v>1</v>
      </c>
    </row>
    <row r="30608" spans="1:4" x14ac:dyDescent="0.2">
      <c r="A30608" t="s">
        <v>10088</v>
      </c>
      <c r="B30608" t="str">
        <f>HYPERLINK("https://lindat.mff.cuni.cz/services/teitok/pdtc10/index.php?action=vallex&amp;frame=v-w11120f3", "pozvedávat (v-w11120f3)")</f>
        <v>pozvedávat (v-w11120f3)</v>
      </c>
    </row>
    <row r="30609" spans="1:4" x14ac:dyDescent="0.2">
      <c r="B30609" t="s">
        <v>1</v>
      </c>
    </row>
    <row r="30610" spans="1:4" x14ac:dyDescent="0.2">
      <c r="B30610" t="s">
        <v>8</v>
      </c>
    </row>
    <row r="30612" spans="1:4" x14ac:dyDescent="0.2">
      <c r="A30612" t="s">
        <v>10089</v>
      </c>
      <c r="B30612" t="str">
        <f>HYPERLINK("https://lindat.mff.cuni.cz/services/teitok/pdtc10/index.php?action=vallex&amp;frame=v-w11120f2", "pozvedávat (v-w11120f2)")</f>
        <v>pozvedávat (v-w11120f2)</v>
      </c>
    </row>
    <row r="30613" spans="1:4" x14ac:dyDescent="0.2">
      <c r="B30613" t="s">
        <v>1</v>
      </c>
    </row>
    <row r="30614" spans="1:4" x14ac:dyDescent="0.2">
      <c r="B30614" t="s">
        <v>8</v>
      </c>
    </row>
    <row r="30616" spans="1:4" x14ac:dyDescent="0.2">
      <c r="A30616" t="s">
        <v>10090</v>
      </c>
      <c r="B30616" t="str">
        <f>HYPERLINK("https://lindat.mff.cuni.cz/services/teitok/pdtc10/index.php?action=vallex&amp;frame=v-w10785f2", "pozřít (v-w10785f2)")</f>
        <v>pozřít (v-w10785f2)</v>
      </c>
    </row>
    <row r="30617" spans="1:4" x14ac:dyDescent="0.2">
      <c r="B30617" t="s">
        <v>1</v>
      </c>
      <c r="C30617" t="s">
        <v>3765</v>
      </c>
      <c r="D30617" t="s">
        <v>15948</v>
      </c>
    </row>
    <row r="30618" spans="1:4" x14ac:dyDescent="0.2">
      <c r="B30618" t="s">
        <v>8</v>
      </c>
      <c r="C30618" t="s">
        <v>1109</v>
      </c>
      <c r="D30618" t="s">
        <v>110</v>
      </c>
    </row>
    <row r="30620" spans="1:4" x14ac:dyDescent="0.2">
      <c r="A30620" t="s">
        <v>10091</v>
      </c>
      <c r="B30620" t="str">
        <f>HYPERLINK("https://lindat.mff.cuni.cz/services/teitok/pdtc10/index.php?action=vallex&amp;frame=v-w4220f1", "pozůstavit (v-w4220f1)")</f>
        <v>pozůstavit (v-w4220f1)</v>
      </c>
    </row>
    <row r="30621" spans="1:4" x14ac:dyDescent="0.2">
      <c r="B30621" t="s">
        <v>1</v>
      </c>
    </row>
    <row r="30622" spans="1:4" x14ac:dyDescent="0.2">
      <c r="B30622" t="s">
        <v>8</v>
      </c>
    </row>
    <row r="30623" spans="1:4" x14ac:dyDescent="0.2">
      <c r="B30623" t="s">
        <v>35</v>
      </c>
    </row>
    <row r="30625" spans="1:2" x14ac:dyDescent="0.2">
      <c r="A30625" t="s">
        <v>10092</v>
      </c>
      <c r="B30625" t="str">
        <f>HYPERLINK("https://lindat.mff.cuni.cz/services/teitok/pdtc10/index.php?action=vallex&amp;frame=v-w3518f2", "počastovat (v-w3518f2)")</f>
        <v>počastovat (v-w3518f2)</v>
      </c>
    </row>
    <row r="30626" spans="1:2" x14ac:dyDescent="0.2">
      <c r="B30626" t="s">
        <v>1</v>
      </c>
    </row>
    <row r="30627" spans="1:2" x14ac:dyDescent="0.2">
      <c r="B30627" t="s">
        <v>8</v>
      </c>
    </row>
    <row r="30629" spans="1:2" x14ac:dyDescent="0.2">
      <c r="A30629" t="s">
        <v>10092</v>
      </c>
      <c r="B30629" t="str">
        <f>HYPERLINK("https://lindat.mff.cuni.cz/services/teitok/pdtc10/index.php?action=vallex&amp;frame=v-w3518f1", "počastovat (v-w3518f1) - substituted with v-w3518f2")</f>
        <v>počastovat (v-w3518f1) - substituted with v-w3518f2</v>
      </c>
    </row>
    <row r="30630" spans="1:2" x14ac:dyDescent="0.2">
      <c r="B30630" t="s">
        <v>1</v>
      </c>
    </row>
    <row r="30631" spans="1:2" x14ac:dyDescent="0.2">
      <c r="B30631" t="s">
        <v>8</v>
      </c>
    </row>
    <row r="30633" spans="1:2" x14ac:dyDescent="0.2">
      <c r="A30633" t="s">
        <v>10093</v>
      </c>
      <c r="B30633" t="str">
        <f>HYPERLINK("https://lindat.mff.cuni.cz/services/teitok/pdtc10/index.php?action=vallex&amp;frame=v-w3521f1", "počeštit (v-w3521f1)")</f>
        <v>počeštit (v-w3521f1)</v>
      </c>
    </row>
    <row r="30634" spans="1:2" x14ac:dyDescent="0.2">
      <c r="B30634" t="s">
        <v>1</v>
      </c>
    </row>
    <row r="30635" spans="1:2" x14ac:dyDescent="0.2">
      <c r="B30635" t="s">
        <v>8</v>
      </c>
    </row>
    <row r="30637" spans="1:2" x14ac:dyDescent="0.2">
      <c r="A30637" t="s">
        <v>10094</v>
      </c>
      <c r="B30637" t="str">
        <f>HYPERLINK("https://lindat.mff.cuni.cz/services/teitok/pdtc10/index.php?action=vallex&amp;frame=v-w12048_ZUf1_ZU", "počešťovat (v-w12048_ZUf1_ZU)")</f>
        <v>počešťovat (v-w12048_ZUf1_ZU)</v>
      </c>
    </row>
    <row r="30638" spans="1:2" x14ac:dyDescent="0.2">
      <c r="B30638" t="s">
        <v>1</v>
      </c>
    </row>
    <row r="30639" spans="1:2" x14ac:dyDescent="0.2">
      <c r="B30639" t="s">
        <v>8</v>
      </c>
    </row>
    <row r="30641" spans="1:4" x14ac:dyDescent="0.2">
      <c r="A30641" t="s">
        <v>10095</v>
      </c>
      <c r="B30641" t="str">
        <f>HYPERLINK("https://lindat.mff.cuni.cz/services/teitok/pdtc10/index.php?action=vallex&amp;frame=v-w3536f3_ZU", "počkat (v-w3536f3_ZU)")</f>
        <v>počkat (v-w3536f3_ZU)</v>
      </c>
    </row>
    <row r="30642" spans="1:4" x14ac:dyDescent="0.2">
      <c r="B30642" t="s">
        <v>1</v>
      </c>
    </row>
    <row r="30643" spans="1:4" x14ac:dyDescent="0.2">
      <c r="B30643" t="s">
        <v>10096</v>
      </c>
    </row>
    <row r="30645" spans="1:4" x14ac:dyDescent="0.2">
      <c r="A30645" t="s">
        <v>10095</v>
      </c>
      <c r="B30645" t="str">
        <f>HYPERLINK("https://lindat.mff.cuni.cz/services/teitok/pdtc10/index.php?action=vallex&amp;frame=v-w3536f1", "počkat (v-w3536f1) - substituted with v-w3536f3_ZU")</f>
        <v>počkat (v-w3536f1) - substituted with v-w3536f3_ZU</v>
      </c>
    </row>
    <row r="30646" spans="1:4" x14ac:dyDescent="0.2">
      <c r="B30646" t="s">
        <v>1</v>
      </c>
      <c r="C30646" t="s">
        <v>10097</v>
      </c>
    </row>
    <row r="30647" spans="1:4" x14ac:dyDescent="0.2">
      <c r="B30647" t="s">
        <v>10096</v>
      </c>
      <c r="C30647" t="s">
        <v>10098</v>
      </c>
    </row>
    <row r="30649" spans="1:4" x14ac:dyDescent="0.2">
      <c r="A30649" t="s">
        <v>10095</v>
      </c>
      <c r="B30649" t="str">
        <f>HYPERLINK("https://lindat.mff.cuni.cz/services/teitok/pdtc10/index.php?action=vallex&amp;frame=v-w3536f2_ZU", "počkat (v-w3536f2_ZU) - substituted with v-w3536f3_ZU")</f>
        <v>počkat (v-w3536f2_ZU) - substituted with v-w3536f3_ZU</v>
      </c>
    </row>
    <row r="30650" spans="1:4" x14ac:dyDescent="0.2">
      <c r="B30650" t="s">
        <v>1</v>
      </c>
      <c r="C30650" t="s">
        <v>10099</v>
      </c>
    </row>
    <row r="30651" spans="1:4" x14ac:dyDescent="0.2">
      <c r="B30651" t="s">
        <v>10096</v>
      </c>
      <c r="C30651" t="s">
        <v>10100</v>
      </c>
    </row>
    <row r="30653" spans="1:4" x14ac:dyDescent="0.2">
      <c r="A30653" t="s">
        <v>10095</v>
      </c>
      <c r="B30653" t="str">
        <f>HYPERLINK("https://lindat.mff.cuni.cz/services/teitok/pdtc10/index.php?action=vallex&amp;frame=v-w3536hsa_1085", "počkat (v-w3536hsa_1085) - substituted with v-w3536f3_ZU")</f>
        <v>počkat (v-w3536hsa_1085) - substituted with v-w3536f3_ZU</v>
      </c>
    </row>
    <row r="30654" spans="1:4" x14ac:dyDescent="0.2">
      <c r="B30654" t="s">
        <v>1</v>
      </c>
      <c r="C30654" t="s">
        <v>10101</v>
      </c>
      <c r="D30654" t="s">
        <v>23764</v>
      </c>
    </row>
    <row r="30655" spans="1:4" x14ac:dyDescent="0.2">
      <c r="B30655" t="s">
        <v>10096</v>
      </c>
      <c r="C30655" t="s">
        <v>10102</v>
      </c>
      <c r="D30655" t="s">
        <v>23765</v>
      </c>
    </row>
    <row r="30657" spans="1:4" x14ac:dyDescent="0.2">
      <c r="A30657" t="s">
        <v>10103</v>
      </c>
      <c r="B30657" t="str">
        <f>HYPERLINK("https://lindat.mff.cuni.cz/services/teitok/pdtc10/index.php?action=vallex&amp;frame=v-w3537f2_ZU", "počkat si (v-w3537f2_ZU)")</f>
        <v>počkat si (v-w3537f2_ZU)</v>
      </c>
    </row>
    <row r="30658" spans="1:4" x14ac:dyDescent="0.2">
      <c r="B30658" t="s">
        <v>1</v>
      </c>
    </row>
    <row r="30659" spans="1:4" x14ac:dyDescent="0.2">
      <c r="B30659" t="s">
        <v>10104</v>
      </c>
    </row>
    <row r="30661" spans="1:4" x14ac:dyDescent="0.2">
      <c r="A30661" t="s">
        <v>10103</v>
      </c>
      <c r="B30661" t="str">
        <f>HYPERLINK("https://lindat.mff.cuni.cz/services/teitok/pdtc10/index.php?action=vallex&amp;frame=v-w3537f1", "počkat si (v-w3537f1) - substituted with v-w3537f2_ZU")</f>
        <v>počkat si (v-w3537f1) - substituted with v-w3537f2_ZU</v>
      </c>
    </row>
    <row r="30662" spans="1:4" x14ac:dyDescent="0.2">
      <c r="B30662" t="s">
        <v>1</v>
      </c>
      <c r="C30662" t="s">
        <v>10099</v>
      </c>
      <c r="D30662" t="s">
        <v>23764</v>
      </c>
    </row>
    <row r="30663" spans="1:4" x14ac:dyDescent="0.2">
      <c r="B30663" t="s">
        <v>10104</v>
      </c>
      <c r="C30663" t="s">
        <v>10105</v>
      </c>
      <c r="D30663" t="s">
        <v>23765</v>
      </c>
    </row>
    <row r="30665" spans="1:4" x14ac:dyDescent="0.2">
      <c r="A30665" t="s">
        <v>10106</v>
      </c>
      <c r="B30665" t="str">
        <f>HYPERLINK("https://lindat.mff.cuni.cz/services/teitok/pdtc10/index.php?action=vallex&amp;frame=v-w11742_ZUf1_ZU", "počurat se (v-w11742_ZUf1_ZU)")</f>
        <v>počurat se (v-w11742_ZUf1_ZU)</v>
      </c>
    </row>
    <row r="30666" spans="1:4" x14ac:dyDescent="0.2">
      <c r="B30666" t="s">
        <v>1</v>
      </c>
    </row>
    <row r="30668" spans="1:4" x14ac:dyDescent="0.2">
      <c r="A30668" t="s">
        <v>10107</v>
      </c>
      <c r="B30668" t="str">
        <f>HYPERLINK("https://lindat.mff.cuni.cz/services/teitok/pdtc10/index.php?action=vallex&amp;frame=v-w3524f1", "počíhat si (v-w3524f1)")</f>
        <v>počíhat si (v-w3524f1)</v>
      </c>
    </row>
    <row r="30669" spans="1:4" x14ac:dyDescent="0.2">
      <c r="B30669" t="s">
        <v>1</v>
      </c>
    </row>
    <row r="30670" spans="1:4" x14ac:dyDescent="0.2">
      <c r="B30670" t="s">
        <v>28</v>
      </c>
    </row>
    <row r="30672" spans="1:4" x14ac:dyDescent="0.2">
      <c r="A30672" t="s">
        <v>10108</v>
      </c>
      <c r="B30672" t="str">
        <f>HYPERLINK("https://lindat.mff.cuni.cz/services/teitok/pdtc10/index.php?action=vallex&amp;frame=v-w3526f1", "počínat (v-w3526f1)")</f>
        <v>počínat (v-w3526f1)</v>
      </c>
    </row>
    <row r="30673" spans="1:4" x14ac:dyDescent="0.2">
      <c r="B30673" t="s">
        <v>196</v>
      </c>
      <c r="C30673" t="s">
        <v>10109</v>
      </c>
      <c r="D30673" t="s">
        <v>22988</v>
      </c>
    </row>
    <row r="30675" spans="1:4" x14ac:dyDescent="0.2">
      <c r="A30675" t="s">
        <v>10110</v>
      </c>
      <c r="B30675" t="str">
        <f>HYPERLINK("https://lindat.mff.cuni.cz/services/teitok/pdtc10/index.php?action=vallex&amp;frame=v-whsa_1172hsa_1173", "počínat se (v-whsa_1172hsa_1173)")</f>
        <v>počínat se (v-whsa_1172hsa_1173)</v>
      </c>
    </row>
    <row r="30676" spans="1:4" x14ac:dyDescent="0.2">
      <c r="B30676" t="s">
        <v>1</v>
      </c>
    </row>
    <row r="30677" spans="1:4" x14ac:dyDescent="0.2">
      <c r="B30677" t="s">
        <v>557</v>
      </c>
    </row>
    <row r="30679" spans="1:4" x14ac:dyDescent="0.2">
      <c r="A30679" t="s">
        <v>10111</v>
      </c>
      <c r="B30679" t="str">
        <f>HYPERLINK("https://lindat.mff.cuni.cz/services/teitok/pdtc10/index.php?action=vallex&amp;frame=v-w3527f1", "počínat si (v-w3527f1)")</f>
        <v>počínat si (v-w3527f1)</v>
      </c>
    </row>
    <row r="30680" spans="1:4" x14ac:dyDescent="0.2">
      <c r="B30680" t="s">
        <v>1</v>
      </c>
    </row>
    <row r="30681" spans="1:4" x14ac:dyDescent="0.2">
      <c r="B30681" t="s">
        <v>415</v>
      </c>
    </row>
    <row r="30682" spans="1:4" x14ac:dyDescent="0.2">
      <c r="B30682" t="s">
        <v>346</v>
      </c>
    </row>
    <row r="30683" spans="1:4" x14ac:dyDescent="0.2">
      <c r="B30683" t="s">
        <v>349</v>
      </c>
    </row>
    <row r="30684" spans="1:4" x14ac:dyDescent="0.2">
      <c r="B30684" t="s">
        <v>350</v>
      </c>
    </row>
    <row r="30685" spans="1:4" x14ac:dyDescent="0.2">
      <c r="B30685" t="s">
        <v>351</v>
      </c>
    </row>
    <row r="30687" spans="1:4" x14ac:dyDescent="0.2">
      <c r="A30687" t="s">
        <v>10112</v>
      </c>
      <c r="B30687" t="str">
        <f>HYPERLINK("https://lindat.mff.cuni.cz/services/teitok/pdtc10/index.php?action=vallex&amp;frame=v-w3528f1", "počíst si (v-w3528f1)")</f>
        <v>počíst si (v-w3528f1)</v>
      </c>
    </row>
    <row r="30688" spans="1:4" x14ac:dyDescent="0.2">
      <c r="B30688" t="s">
        <v>1</v>
      </c>
    </row>
    <row r="30689" spans="1:3" x14ac:dyDescent="0.2">
      <c r="B30689" t="s">
        <v>269</v>
      </c>
    </row>
    <row r="30690" spans="1:3" x14ac:dyDescent="0.2">
      <c r="B30690" t="s">
        <v>10113</v>
      </c>
    </row>
    <row r="30692" spans="1:3" x14ac:dyDescent="0.2">
      <c r="A30692" t="s">
        <v>10114</v>
      </c>
      <c r="B30692" t="str">
        <f>HYPERLINK("https://lindat.mff.cuni.cz/services/teitok/pdtc10/index.php?action=vallex&amp;frame=v-w3529f1", "počít (v-w3529f1)")</f>
        <v>počít (v-w3529f1)</v>
      </c>
    </row>
    <row r="30693" spans="1:3" x14ac:dyDescent="0.2">
      <c r="B30693" t="s">
        <v>1</v>
      </c>
    </row>
    <row r="30694" spans="1:3" x14ac:dyDescent="0.2">
      <c r="B30694" t="s">
        <v>8</v>
      </c>
    </row>
    <row r="30696" spans="1:3" x14ac:dyDescent="0.2">
      <c r="A30696" t="s">
        <v>10115</v>
      </c>
      <c r="B30696" t="str">
        <f>HYPERLINK("https://lindat.mff.cuni.cz/services/teitok/pdtc10/index.php?action=vallex&amp;frame=v-w3529f2_ZU", "počít (v-w3529f2_ZU)")</f>
        <v>počít (v-w3529f2_ZU)</v>
      </c>
    </row>
    <row r="30697" spans="1:3" x14ac:dyDescent="0.2">
      <c r="B30697" t="s">
        <v>1</v>
      </c>
      <c r="C30697" t="s">
        <v>10116</v>
      </c>
    </row>
    <row r="30698" spans="1:3" x14ac:dyDescent="0.2">
      <c r="B30698" t="s">
        <v>557</v>
      </c>
      <c r="C30698" t="s">
        <v>10117</v>
      </c>
    </row>
    <row r="30700" spans="1:3" x14ac:dyDescent="0.2">
      <c r="A30700" t="s">
        <v>10118</v>
      </c>
      <c r="B30700" t="str">
        <f>HYPERLINK("https://lindat.mff.cuni.cz/services/teitok/pdtc10/index.php?action=vallex&amp;frame=v-w3534f1", "počít si (v-w3534f1)")</f>
        <v>počít si (v-w3534f1)</v>
      </c>
    </row>
    <row r="30701" spans="1:3" x14ac:dyDescent="0.2">
      <c r="B30701" t="s">
        <v>1</v>
      </c>
    </row>
    <row r="30702" spans="1:3" x14ac:dyDescent="0.2">
      <c r="B30702" t="s">
        <v>10119</v>
      </c>
    </row>
    <row r="30703" spans="1:3" x14ac:dyDescent="0.2">
      <c r="B30703" t="s">
        <v>2423</v>
      </c>
    </row>
    <row r="30705" spans="1:4" x14ac:dyDescent="0.2">
      <c r="A30705" t="s">
        <v>10120</v>
      </c>
      <c r="B30705" t="str">
        <f>HYPERLINK("https://lindat.mff.cuni.cz/services/teitok/pdtc10/index.php?action=vallex&amp;frame=v-w3533f4", "počítat (v-w3533f4)")</f>
        <v>počítat (v-w3533f4)</v>
      </c>
    </row>
    <row r="30706" spans="1:4" x14ac:dyDescent="0.2">
      <c r="B30706" t="s">
        <v>1</v>
      </c>
    </row>
    <row r="30707" spans="1:4" x14ac:dyDescent="0.2">
      <c r="B30707" t="s">
        <v>8</v>
      </c>
    </row>
    <row r="30708" spans="1:4" x14ac:dyDescent="0.2">
      <c r="B30708" t="s">
        <v>35</v>
      </c>
    </row>
    <row r="30709" spans="1:4" x14ac:dyDescent="0.2">
      <c r="B30709" t="s">
        <v>413</v>
      </c>
    </row>
    <row r="30711" spans="1:4" x14ac:dyDescent="0.2">
      <c r="A30711" t="s">
        <v>10121</v>
      </c>
      <c r="B30711" t="str">
        <f>HYPERLINK("https://lindat.mff.cuni.cz/services/teitok/pdtc10/index.php?action=vallex&amp;frame=v-w3533f5", "počítat (v-w3533f5)")</f>
        <v>počítat (v-w3533f5)</v>
      </c>
    </row>
    <row r="30712" spans="1:4" x14ac:dyDescent="0.2">
      <c r="B30712" t="s">
        <v>1</v>
      </c>
      <c r="C30712" t="s">
        <v>1125</v>
      </c>
      <c r="D30712" t="s">
        <v>10633</v>
      </c>
    </row>
    <row r="30713" spans="1:4" x14ac:dyDescent="0.2">
      <c r="B30713" t="s">
        <v>220</v>
      </c>
      <c r="C30713" t="s">
        <v>10122</v>
      </c>
      <c r="D30713" t="s">
        <v>93</v>
      </c>
    </row>
    <row r="30714" spans="1:4" x14ac:dyDescent="0.2">
      <c r="B30714" t="s">
        <v>24</v>
      </c>
    </row>
    <row r="30716" spans="1:4" x14ac:dyDescent="0.2">
      <c r="A30716" t="s">
        <v>10123</v>
      </c>
      <c r="B30716" t="str">
        <f>HYPERLINK("https://lindat.mff.cuni.cz/services/teitok/pdtc10/index.php?action=vallex&amp;frame=v-w3533f6", "počítat (v-w3533f6)")</f>
        <v>počítat (v-w3533f6)</v>
      </c>
    </row>
    <row r="30717" spans="1:4" x14ac:dyDescent="0.2">
      <c r="B30717" t="s">
        <v>1</v>
      </c>
    </row>
    <row r="30718" spans="1:4" x14ac:dyDescent="0.2">
      <c r="B30718" t="s">
        <v>8</v>
      </c>
    </row>
    <row r="30719" spans="1:4" x14ac:dyDescent="0.2">
      <c r="B30719" t="s">
        <v>10124</v>
      </c>
    </row>
    <row r="30721" spans="1:4" x14ac:dyDescent="0.2">
      <c r="A30721" t="s">
        <v>10125</v>
      </c>
      <c r="B30721" t="str">
        <f>HYPERLINK("https://lindat.mff.cuni.cz/services/teitok/pdtc10/index.php?action=vallex&amp;frame=v-w3533f7_ZU", "počítat (v-w3533f7_ZU)")</f>
        <v>počítat (v-w3533f7_ZU)</v>
      </c>
    </row>
    <row r="30722" spans="1:4" x14ac:dyDescent="0.2">
      <c r="B30722" t="s">
        <v>1</v>
      </c>
      <c r="D30722" t="s">
        <v>23042</v>
      </c>
    </row>
    <row r="30723" spans="1:4" x14ac:dyDescent="0.2">
      <c r="B30723" t="s">
        <v>8</v>
      </c>
      <c r="C30723" t="s">
        <v>54</v>
      </c>
      <c r="D30723" t="s">
        <v>23043</v>
      </c>
    </row>
    <row r="30724" spans="1:4" x14ac:dyDescent="0.2">
      <c r="B30724" t="s">
        <v>484</v>
      </c>
      <c r="D30724" t="s">
        <v>23044</v>
      </c>
    </row>
    <row r="30726" spans="1:4" x14ac:dyDescent="0.2">
      <c r="A30726" t="s">
        <v>10126</v>
      </c>
      <c r="B30726" t="str">
        <f>HYPERLINK("https://lindat.mff.cuni.cz/services/teitok/pdtc10/index.php?action=vallex&amp;frame=v-w3533f3", "počítat (v-w3533f3)")</f>
        <v>počítat (v-w3533f3)</v>
      </c>
    </row>
    <row r="30727" spans="1:4" x14ac:dyDescent="0.2">
      <c r="B30727" t="s">
        <v>1</v>
      </c>
    </row>
    <row r="30728" spans="1:4" x14ac:dyDescent="0.2">
      <c r="B30728" t="s">
        <v>8</v>
      </c>
    </row>
    <row r="30729" spans="1:4" x14ac:dyDescent="0.2">
      <c r="B30729" t="s">
        <v>90</v>
      </c>
    </row>
    <row r="30731" spans="1:4" x14ac:dyDescent="0.2">
      <c r="A30731" t="s">
        <v>10127</v>
      </c>
      <c r="B30731" t="str">
        <f>HYPERLINK("https://lindat.mff.cuni.cz/services/teitok/pdtc10/index.php?action=vallex&amp;frame=v-w3533f2", "počítat (v-w3533f2)")</f>
        <v>počítat (v-w3533f2)</v>
      </c>
    </row>
    <row r="30732" spans="1:4" x14ac:dyDescent="0.2">
      <c r="B30732" t="s">
        <v>1</v>
      </c>
      <c r="C30732" t="s">
        <v>10128</v>
      </c>
      <c r="D30732" t="s">
        <v>10633</v>
      </c>
    </row>
    <row r="30733" spans="1:4" x14ac:dyDescent="0.2">
      <c r="B30733" t="s">
        <v>10129</v>
      </c>
      <c r="C30733" t="s">
        <v>10130</v>
      </c>
      <c r="D30733" t="s">
        <v>93</v>
      </c>
    </row>
    <row r="30735" spans="1:4" x14ac:dyDescent="0.2">
      <c r="A30735" t="s">
        <v>10131</v>
      </c>
      <c r="B30735" t="str">
        <f>HYPERLINK("https://lindat.mff.cuni.cz/services/teitok/pdtc10/index.php?action=vallex&amp;frame=v-w3533f1", "počítat (v-w3533f1)")</f>
        <v>počítat (v-w3533f1)</v>
      </c>
    </row>
    <row r="30736" spans="1:4" x14ac:dyDescent="0.2">
      <c r="B30736" t="s">
        <v>1</v>
      </c>
      <c r="C30736" t="s">
        <v>10132</v>
      </c>
      <c r="D30736" t="s">
        <v>2031</v>
      </c>
    </row>
    <row r="30737" spans="1:4" x14ac:dyDescent="0.2">
      <c r="B30737" t="s">
        <v>3934</v>
      </c>
      <c r="C30737" t="s">
        <v>10133</v>
      </c>
      <c r="D30737" t="s">
        <v>23727</v>
      </c>
    </row>
    <row r="30739" spans="1:4" x14ac:dyDescent="0.2">
      <c r="A30739" t="s">
        <v>10134</v>
      </c>
      <c r="B30739" t="str">
        <f>HYPERLINK("https://lindat.mff.cuni.cz/services/teitok/pdtc10/index.php?action=vallex&amp;frame=v-w3942f1", "pořezat se (v-w3942f1)")</f>
        <v>pořezat se (v-w3942f1)</v>
      </c>
    </row>
    <row r="30740" spans="1:4" x14ac:dyDescent="0.2">
      <c r="B30740" t="s">
        <v>1</v>
      </c>
    </row>
    <row r="30742" spans="1:4" x14ac:dyDescent="0.2">
      <c r="A30742" t="s">
        <v>10135</v>
      </c>
      <c r="B30742" t="str">
        <f>HYPERLINK("https://lindat.mff.cuni.cz/services/teitok/pdtc10/index.php?action=vallex&amp;frame=v-w3947f6_ZU", "pořizovat (v-w3947f6_ZU)")</f>
        <v>pořizovat (v-w3947f6_ZU)</v>
      </c>
    </row>
    <row r="30743" spans="1:4" x14ac:dyDescent="0.2">
      <c r="B30743" t="s">
        <v>1</v>
      </c>
    </row>
    <row r="30744" spans="1:4" x14ac:dyDescent="0.2">
      <c r="B30744" t="s">
        <v>8</v>
      </c>
    </row>
    <row r="30745" spans="1:4" x14ac:dyDescent="0.2">
      <c r="B30745" t="s">
        <v>1629</v>
      </c>
    </row>
    <row r="30746" spans="1:4" x14ac:dyDescent="0.2">
      <c r="B30746" t="s">
        <v>321</v>
      </c>
    </row>
    <row r="30748" spans="1:4" x14ac:dyDescent="0.2">
      <c r="A30748" t="s">
        <v>10135</v>
      </c>
      <c r="B30748" t="str">
        <f>HYPERLINK("https://lindat.mff.cuni.cz/services/teitok/pdtc10/index.php?action=vallex&amp;frame=v-w3947f1", "pořizovat (v-w3947f1) - substituted with v-w3947f6_ZU")</f>
        <v>pořizovat (v-w3947f1) - substituted with v-w3947f6_ZU</v>
      </c>
    </row>
    <row r="30749" spans="1:4" x14ac:dyDescent="0.2">
      <c r="B30749" t="s">
        <v>1</v>
      </c>
      <c r="D30749" t="s">
        <v>23430</v>
      </c>
    </row>
    <row r="30750" spans="1:4" x14ac:dyDescent="0.2">
      <c r="B30750" t="s">
        <v>8</v>
      </c>
      <c r="D30750" t="s">
        <v>23431</v>
      </c>
    </row>
    <row r="30751" spans="1:4" x14ac:dyDescent="0.2">
      <c r="B30751" t="s">
        <v>1629</v>
      </c>
      <c r="D30751" t="s">
        <v>4242</v>
      </c>
    </row>
    <row r="30752" spans="1:4" x14ac:dyDescent="0.2">
      <c r="B30752" t="s">
        <v>321</v>
      </c>
      <c r="D30752" t="s">
        <v>5731</v>
      </c>
    </row>
    <row r="30754" spans="1:2" x14ac:dyDescent="0.2">
      <c r="A30754" t="s">
        <v>10135</v>
      </c>
      <c r="B30754" t="str">
        <f>HYPERLINK("https://lindat.mff.cuni.cz/services/teitok/pdtc10/index.php?action=vallex&amp;frame=v-w3947f5_ZU", "pořizovat (v-w3947f5_ZU) - substituted with v-w3947f6_ZU")</f>
        <v>pořizovat (v-w3947f5_ZU) - substituted with v-w3947f6_ZU</v>
      </c>
    </row>
    <row r="30755" spans="1:2" x14ac:dyDescent="0.2">
      <c r="B30755" t="s">
        <v>1</v>
      </c>
    </row>
    <row r="30756" spans="1:2" x14ac:dyDescent="0.2">
      <c r="B30756" t="s">
        <v>8</v>
      </c>
    </row>
    <row r="30757" spans="1:2" x14ac:dyDescent="0.2">
      <c r="B30757" t="s">
        <v>1629</v>
      </c>
    </row>
    <row r="30758" spans="1:2" x14ac:dyDescent="0.2">
      <c r="B30758" t="s">
        <v>321</v>
      </c>
    </row>
    <row r="30760" spans="1:2" x14ac:dyDescent="0.2">
      <c r="A30760" t="s">
        <v>10136</v>
      </c>
      <c r="B30760" t="str">
        <f>HYPERLINK("https://lindat.mff.cuni.cz/services/teitok/pdtc10/index.php?action=vallex&amp;frame=v-w3947f4_ZU", "pořizovat (v-w3947f4_ZU)")</f>
        <v>pořizovat (v-w3947f4_ZU)</v>
      </c>
    </row>
    <row r="30761" spans="1:2" x14ac:dyDescent="0.2">
      <c r="B30761" t="s">
        <v>1</v>
      </c>
    </row>
    <row r="30762" spans="1:2" x14ac:dyDescent="0.2">
      <c r="B30762" t="s">
        <v>10137</v>
      </c>
    </row>
    <row r="30764" spans="1:2" x14ac:dyDescent="0.2">
      <c r="A30764" t="s">
        <v>10136</v>
      </c>
      <c r="B30764" t="str">
        <f>HYPERLINK("https://lindat.mff.cuni.cz/services/teitok/pdtc10/index.php?action=vallex&amp;frame=v-w3947f2", "pořizovat (v-w3947f2) - substituted with v-w3947f4_ZU")</f>
        <v>pořizovat (v-w3947f2) - substituted with v-w3947f4_ZU</v>
      </c>
    </row>
    <row r="30765" spans="1:2" x14ac:dyDescent="0.2">
      <c r="B30765" t="s">
        <v>1</v>
      </c>
    </row>
    <row r="30766" spans="1:2" x14ac:dyDescent="0.2">
      <c r="B30766" t="s">
        <v>10137</v>
      </c>
    </row>
    <row r="30768" spans="1:2" x14ac:dyDescent="0.2">
      <c r="A30768" t="s">
        <v>10136</v>
      </c>
      <c r="B30768" t="str">
        <f>HYPERLINK("https://lindat.mff.cuni.cz/services/teitok/pdtc10/index.php?action=vallex&amp;frame=v-w3947hsa_1858", "pořizovat (v-w3947hsa_1858) - substituted with v-w3947f4_ZU")</f>
        <v>pořizovat (v-w3947hsa_1858) - substituted with v-w3947f4_ZU</v>
      </c>
    </row>
    <row r="30769" spans="1:4" x14ac:dyDescent="0.2">
      <c r="B30769" t="s">
        <v>1</v>
      </c>
    </row>
    <row r="30770" spans="1:4" x14ac:dyDescent="0.2">
      <c r="B30770" t="s">
        <v>10137</v>
      </c>
    </row>
    <row r="30772" spans="1:4" x14ac:dyDescent="0.2">
      <c r="A30772" t="s">
        <v>10136</v>
      </c>
      <c r="B30772" t="str">
        <f>HYPERLINK("https://lindat.mff.cuni.cz/services/teitok/pdtc10/index.php?action=vallex&amp;frame=v-w3947hsa_991", "pořizovat (v-w3947hsa_991) - substituted with v-w3947f4_ZU")</f>
        <v>pořizovat (v-w3947hsa_991) - substituted with v-w3947f4_ZU</v>
      </c>
    </row>
    <row r="30773" spans="1:4" x14ac:dyDescent="0.2">
      <c r="B30773" t="s">
        <v>1</v>
      </c>
      <c r="C30773" t="s">
        <v>10138</v>
      </c>
      <c r="D30773" t="s">
        <v>23418</v>
      </c>
    </row>
    <row r="30774" spans="1:4" x14ac:dyDescent="0.2">
      <c r="B30774" t="s">
        <v>10137</v>
      </c>
      <c r="C30774" t="s">
        <v>10139</v>
      </c>
      <c r="D30774" t="s">
        <v>23903</v>
      </c>
    </row>
    <row r="30776" spans="1:4" x14ac:dyDescent="0.2">
      <c r="A30776" t="s">
        <v>10140</v>
      </c>
      <c r="B30776" t="str">
        <f>HYPERLINK("https://lindat.mff.cuni.cz/services/teitok/pdtc10/index.php?action=vallex&amp;frame=v-w3947f3_ZU", "pořizovat (v-w3947f3_ZU)")</f>
        <v>pořizovat (v-w3947f3_ZU)</v>
      </c>
    </row>
    <row r="30777" spans="1:4" x14ac:dyDescent="0.2">
      <c r="B30777" t="s">
        <v>1</v>
      </c>
    </row>
    <row r="30778" spans="1:4" x14ac:dyDescent="0.2">
      <c r="B30778" t="s">
        <v>8</v>
      </c>
    </row>
    <row r="30780" spans="1:4" x14ac:dyDescent="0.2">
      <c r="A30780" t="s">
        <v>10141</v>
      </c>
      <c r="B30780" t="str">
        <f>HYPERLINK("https://lindat.mff.cuni.cz/services/teitok/pdtc10/index.php?action=vallex&amp;frame=v-w3936f1", "pořádat (v-w3936f1)")</f>
        <v>pořádat (v-w3936f1)</v>
      </c>
    </row>
    <row r="30781" spans="1:4" x14ac:dyDescent="0.2">
      <c r="B30781" t="s">
        <v>1</v>
      </c>
      <c r="C30781" t="s">
        <v>10142</v>
      </c>
      <c r="D30781" t="s">
        <v>23904</v>
      </c>
    </row>
    <row r="30782" spans="1:4" x14ac:dyDescent="0.2">
      <c r="B30782" t="s">
        <v>8</v>
      </c>
      <c r="C30782" t="s">
        <v>10143</v>
      </c>
      <c r="D30782" t="s">
        <v>23905</v>
      </c>
    </row>
    <row r="30784" spans="1:4" x14ac:dyDescent="0.2">
      <c r="A30784" t="s">
        <v>10144</v>
      </c>
      <c r="B30784" t="str">
        <f>HYPERLINK("https://lindat.mff.cuni.cz/services/teitok/pdtc10/index.php?action=vallex&amp;frame=v-w3943f13_ZU", "pořídit (v-w3943f13_ZU)")</f>
        <v>pořídit (v-w3943f13_ZU)</v>
      </c>
    </row>
    <row r="30785" spans="1:4" x14ac:dyDescent="0.2">
      <c r="B30785" t="s">
        <v>1</v>
      </c>
    </row>
    <row r="30786" spans="1:4" x14ac:dyDescent="0.2">
      <c r="B30786" t="s">
        <v>8</v>
      </c>
    </row>
    <row r="30787" spans="1:4" x14ac:dyDescent="0.2">
      <c r="B30787" t="s">
        <v>1629</v>
      </c>
    </row>
    <row r="30788" spans="1:4" x14ac:dyDescent="0.2">
      <c r="B30788" t="s">
        <v>1142</v>
      </c>
    </row>
    <row r="30790" spans="1:4" x14ac:dyDescent="0.2">
      <c r="A30790" t="s">
        <v>10144</v>
      </c>
      <c r="B30790" t="str">
        <f>HYPERLINK("https://lindat.mff.cuni.cz/services/teitok/pdtc10/index.php?action=vallex&amp;frame=v-w3943f1", "pořídit (v-w3943f1) - substituted with v-w3943f13_ZU")</f>
        <v>pořídit (v-w3943f1) - substituted with v-w3943f13_ZU</v>
      </c>
    </row>
    <row r="30791" spans="1:4" x14ac:dyDescent="0.2">
      <c r="B30791" t="s">
        <v>1</v>
      </c>
      <c r="C30791" t="s">
        <v>10145</v>
      </c>
      <c r="D30791" t="s">
        <v>23430</v>
      </c>
    </row>
    <row r="30792" spans="1:4" x14ac:dyDescent="0.2">
      <c r="B30792" t="s">
        <v>8</v>
      </c>
      <c r="C30792" t="s">
        <v>10146</v>
      </c>
      <c r="D30792" t="s">
        <v>23431</v>
      </c>
    </row>
    <row r="30793" spans="1:4" x14ac:dyDescent="0.2">
      <c r="B30793" t="s">
        <v>1629</v>
      </c>
      <c r="C30793" t="s">
        <v>10147</v>
      </c>
      <c r="D30793" t="s">
        <v>4242</v>
      </c>
    </row>
    <row r="30794" spans="1:4" x14ac:dyDescent="0.2">
      <c r="B30794" t="s">
        <v>1142</v>
      </c>
      <c r="C30794" t="s">
        <v>10148</v>
      </c>
      <c r="D30794" t="s">
        <v>5731</v>
      </c>
    </row>
    <row r="30796" spans="1:4" x14ac:dyDescent="0.2">
      <c r="A30796" t="s">
        <v>10144</v>
      </c>
      <c r="B30796" t="str">
        <f>HYPERLINK("https://lindat.mff.cuni.cz/services/teitok/pdtc10/index.php?action=vallex&amp;frame=v-w3943f8_ZU", "pořídit (v-w3943f8_ZU) - substituted with v-w3943f13_ZU")</f>
        <v>pořídit (v-w3943f8_ZU) - substituted with v-w3943f13_ZU</v>
      </c>
    </row>
    <row r="30797" spans="1:4" x14ac:dyDescent="0.2">
      <c r="B30797" t="s">
        <v>1</v>
      </c>
    </row>
    <row r="30798" spans="1:4" x14ac:dyDescent="0.2">
      <c r="B30798" t="s">
        <v>8</v>
      </c>
    </row>
    <row r="30799" spans="1:4" x14ac:dyDescent="0.2">
      <c r="B30799" t="s">
        <v>1629</v>
      </c>
    </row>
    <row r="30800" spans="1:4" x14ac:dyDescent="0.2">
      <c r="B30800" t="s">
        <v>1142</v>
      </c>
    </row>
    <row r="30802" spans="1:4" x14ac:dyDescent="0.2">
      <c r="A30802" t="s">
        <v>10144</v>
      </c>
      <c r="B30802" t="str">
        <f>HYPERLINK("https://lindat.mff.cuni.cz/services/teitok/pdtc10/index.php?action=vallex&amp;frame=v-w3943f9_ZU", "pořídit (v-w3943f9_ZU) - substituted with v-w3943f13_ZU")</f>
        <v>pořídit (v-w3943f9_ZU) - substituted with v-w3943f13_ZU</v>
      </c>
    </row>
    <row r="30803" spans="1:4" x14ac:dyDescent="0.2">
      <c r="B30803" t="s">
        <v>1</v>
      </c>
    </row>
    <row r="30804" spans="1:4" x14ac:dyDescent="0.2">
      <c r="B30804" t="s">
        <v>8</v>
      </c>
    </row>
    <row r="30805" spans="1:4" x14ac:dyDescent="0.2">
      <c r="B30805" t="s">
        <v>1629</v>
      </c>
    </row>
    <row r="30806" spans="1:4" x14ac:dyDescent="0.2">
      <c r="B30806" t="s">
        <v>1142</v>
      </c>
    </row>
    <row r="30808" spans="1:4" x14ac:dyDescent="0.2">
      <c r="A30808" t="s">
        <v>10149</v>
      </c>
      <c r="B30808" t="str">
        <f>HYPERLINK("https://lindat.mff.cuni.cz/services/teitok/pdtc10/index.php?action=vallex&amp;frame=v-w3943f2", "pořídit (v-w3943f2)")</f>
        <v>pořídit (v-w3943f2)</v>
      </c>
    </row>
    <row r="30809" spans="1:4" x14ac:dyDescent="0.2">
      <c r="B30809" t="s">
        <v>1</v>
      </c>
      <c r="C30809" t="s">
        <v>306</v>
      </c>
      <c r="D30809" t="s">
        <v>23029</v>
      </c>
    </row>
    <row r="30810" spans="1:4" x14ac:dyDescent="0.2">
      <c r="B30810" t="s">
        <v>415</v>
      </c>
      <c r="D30810" t="s">
        <v>23906</v>
      </c>
    </row>
    <row r="30811" spans="1:4" x14ac:dyDescent="0.2">
      <c r="B30811" t="s">
        <v>346</v>
      </c>
      <c r="C30811" t="s">
        <v>2929</v>
      </c>
      <c r="D30811" t="s">
        <v>23030</v>
      </c>
    </row>
    <row r="30812" spans="1:4" x14ac:dyDescent="0.2">
      <c r="B30812" t="s">
        <v>348</v>
      </c>
      <c r="D30812" t="s">
        <v>23907</v>
      </c>
    </row>
    <row r="30813" spans="1:4" x14ac:dyDescent="0.2">
      <c r="B30813" t="s">
        <v>349</v>
      </c>
      <c r="D30813" t="s">
        <v>23908</v>
      </c>
    </row>
    <row r="30814" spans="1:4" x14ac:dyDescent="0.2">
      <c r="B30814" t="s">
        <v>350</v>
      </c>
      <c r="D30814" t="s">
        <v>23909</v>
      </c>
    </row>
    <row r="30815" spans="1:4" x14ac:dyDescent="0.2">
      <c r="B30815" t="s">
        <v>351</v>
      </c>
      <c r="D30815" t="s">
        <v>23910</v>
      </c>
    </row>
    <row r="30817" spans="1:4" x14ac:dyDescent="0.2">
      <c r="A30817" t="s">
        <v>10150</v>
      </c>
      <c r="B30817" t="str">
        <f>HYPERLINK("https://lindat.mff.cuni.cz/services/teitok/pdtc10/index.php?action=vallex&amp;frame=v-w3943f12_ZU", "pořídit (v-w3943f12_ZU)")</f>
        <v>pořídit (v-w3943f12_ZU)</v>
      </c>
    </row>
    <row r="30818" spans="1:4" x14ac:dyDescent="0.2">
      <c r="B30818" t="s">
        <v>1</v>
      </c>
    </row>
    <row r="30819" spans="1:4" x14ac:dyDescent="0.2">
      <c r="B30819" t="s">
        <v>10151</v>
      </c>
    </row>
    <row r="30821" spans="1:4" x14ac:dyDescent="0.2">
      <c r="A30821" t="s">
        <v>10150</v>
      </c>
      <c r="B30821" t="str">
        <f>HYPERLINK("https://lindat.mff.cuni.cz/services/teitok/pdtc10/index.php?action=vallex&amp;frame=v-w3943f10_ZU", "pořídit (v-w3943f10_ZU) - substituted with v-w3943f12_ZU")</f>
        <v>pořídit (v-w3943f10_ZU) - substituted with v-w3943f12_ZU</v>
      </c>
    </row>
    <row r="30822" spans="1:4" x14ac:dyDescent="0.2">
      <c r="B30822" t="s">
        <v>1</v>
      </c>
    </row>
    <row r="30823" spans="1:4" x14ac:dyDescent="0.2">
      <c r="B30823" t="s">
        <v>10151</v>
      </c>
    </row>
    <row r="30825" spans="1:4" x14ac:dyDescent="0.2">
      <c r="A30825" t="s">
        <v>10150</v>
      </c>
      <c r="B30825" t="str">
        <f>HYPERLINK("https://lindat.mff.cuni.cz/services/teitok/pdtc10/index.php?action=vallex&amp;frame=v-w3943f11_ZU", "pořídit (v-w3943f11_ZU) - substituted with v-w3943f12_ZU")</f>
        <v>pořídit (v-w3943f11_ZU) - substituted with v-w3943f12_ZU</v>
      </c>
    </row>
    <row r="30826" spans="1:4" x14ac:dyDescent="0.2">
      <c r="B30826" t="s">
        <v>1</v>
      </c>
    </row>
    <row r="30827" spans="1:4" x14ac:dyDescent="0.2">
      <c r="B30827" t="s">
        <v>10151</v>
      </c>
    </row>
    <row r="30829" spans="1:4" x14ac:dyDescent="0.2">
      <c r="A30829" t="s">
        <v>10150</v>
      </c>
      <c r="B30829" t="str">
        <f>HYPERLINK("https://lindat.mff.cuni.cz/services/teitok/pdtc10/index.php?action=vallex&amp;frame=v-w3943f3", "pořídit (v-w3943f3) - substituted with v-w3943f12_ZU")</f>
        <v>pořídit (v-w3943f3) - substituted with v-w3943f12_ZU</v>
      </c>
    </row>
    <row r="30830" spans="1:4" x14ac:dyDescent="0.2">
      <c r="B30830" t="s">
        <v>1</v>
      </c>
      <c r="D30830" t="s">
        <v>23418</v>
      </c>
    </row>
    <row r="30831" spans="1:4" x14ac:dyDescent="0.2">
      <c r="B30831" t="s">
        <v>10151</v>
      </c>
      <c r="D30831" t="s">
        <v>23903</v>
      </c>
    </row>
    <row r="30833" spans="1:2" x14ac:dyDescent="0.2">
      <c r="A30833" t="s">
        <v>10150</v>
      </c>
      <c r="B30833" t="str">
        <f>HYPERLINK("https://lindat.mff.cuni.cz/services/teitok/pdtc10/index.php?action=vallex&amp;frame=v-w3943f4_ZU", "pořídit (v-w3943f4_ZU) - substituted with v-w3943f12_ZU")</f>
        <v>pořídit (v-w3943f4_ZU) - substituted with v-w3943f12_ZU</v>
      </c>
    </row>
    <row r="30834" spans="1:2" x14ac:dyDescent="0.2">
      <c r="B30834" t="s">
        <v>1</v>
      </c>
    </row>
    <row r="30835" spans="1:2" x14ac:dyDescent="0.2">
      <c r="B30835" t="s">
        <v>10151</v>
      </c>
    </row>
    <row r="30837" spans="1:2" x14ac:dyDescent="0.2">
      <c r="A30837" t="s">
        <v>10150</v>
      </c>
      <c r="B30837" t="str">
        <f>HYPERLINK("https://lindat.mff.cuni.cz/services/teitok/pdtc10/index.php?action=vallex&amp;frame=v-w3943f6_ZU", "pořídit (v-w3943f6_ZU) - substituted with v-w3943f12_ZU")</f>
        <v>pořídit (v-w3943f6_ZU) - substituted with v-w3943f12_ZU</v>
      </c>
    </row>
    <row r="30838" spans="1:2" x14ac:dyDescent="0.2">
      <c r="B30838" t="s">
        <v>1</v>
      </c>
    </row>
    <row r="30839" spans="1:2" x14ac:dyDescent="0.2">
      <c r="B30839" t="s">
        <v>10151</v>
      </c>
    </row>
    <row r="30841" spans="1:2" x14ac:dyDescent="0.2">
      <c r="A30841" t="s">
        <v>10150</v>
      </c>
      <c r="B30841" t="str">
        <f>HYPERLINK("https://lindat.mff.cuni.cz/services/teitok/pdtc10/index.php?action=vallex&amp;frame=v-w3943hsa_933", "pořídit (v-w3943hsa_933) - substituted with v-w3943f12_ZU")</f>
        <v>pořídit (v-w3943hsa_933) - substituted with v-w3943f12_ZU</v>
      </c>
    </row>
    <row r="30842" spans="1:2" x14ac:dyDescent="0.2">
      <c r="B30842" t="s">
        <v>1</v>
      </c>
    </row>
    <row r="30843" spans="1:2" x14ac:dyDescent="0.2">
      <c r="B30843" t="s">
        <v>10151</v>
      </c>
    </row>
    <row r="30845" spans="1:2" x14ac:dyDescent="0.2">
      <c r="A30845" t="s">
        <v>10152</v>
      </c>
      <c r="B30845" t="str">
        <f>HYPERLINK("https://lindat.mff.cuni.cz/services/teitok/pdtc10/index.php?action=vallex&amp;frame=v-w3943f5_ZU", "pořídit (v-w3943f5_ZU)")</f>
        <v>pořídit (v-w3943f5_ZU)</v>
      </c>
    </row>
    <row r="30846" spans="1:2" x14ac:dyDescent="0.2">
      <c r="B30846" t="s">
        <v>1</v>
      </c>
    </row>
    <row r="30847" spans="1:2" x14ac:dyDescent="0.2">
      <c r="B30847" t="s">
        <v>8</v>
      </c>
    </row>
    <row r="30848" spans="1:2" x14ac:dyDescent="0.2">
      <c r="B30848" t="s">
        <v>2328</v>
      </c>
    </row>
    <row r="30850" spans="1:4" x14ac:dyDescent="0.2">
      <c r="A30850" t="s">
        <v>10153</v>
      </c>
      <c r="B30850" t="str">
        <f>HYPERLINK("https://lindat.mff.cuni.cz/services/teitok/pdtc10/index.php?action=vallex&amp;frame=v-w3943f7_ZU", "pořídit (v-w3943f7_ZU)")</f>
        <v>pořídit (v-w3943f7_ZU)</v>
      </c>
    </row>
    <row r="30851" spans="1:4" x14ac:dyDescent="0.2">
      <c r="B30851" t="s">
        <v>1</v>
      </c>
    </row>
    <row r="30852" spans="1:4" x14ac:dyDescent="0.2">
      <c r="B30852" t="s">
        <v>8</v>
      </c>
    </row>
    <row r="30854" spans="1:4" x14ac:dyDescent="0.2">
      <c r="A30854" t="s">
        <v>10154</v>
      </c>
      <c r="B30854" t="str">
        <f>HYPERLINK("https://lindat.mff.cuni.cz/services/teitok/pdtc10/index.php?action=vallex&amp;frame=v-w12362_MMf1_MM", "pošeptat (v-w12362_MMf1_MM)")</f>
        <v>pošeptat (v-w12362_MMf1_MM)</v>
      </c>
    </row>
    <row r="30855" spans="1:4" x14ac:dyDescent="0.2">
      <c r="B30855" t="s">
        <v>1</v>
      </c>
    </row>
    <row r="30856" spans="1:4" x14ac:dyDescent="0.2">
      <c r="B30856" t="s">
        <v>35</v>
      </c>
    </row>
    <row r="30857" spans="1:4" x14ac:dyDescent="0.2">
      <c r="B30857" t="s">
        <v>10155</v>
      </c>
    </row>
    <row r="30858" spans="1:4" x14ac:dyDescent="0.2">
      <c r="B30858" t="s">
        <v>269</v>
      </c>
    </row>
    <row r="30860" spans="1:4" x14ac:dyDescent="0.2">
      <c r="A30860" t="s">
        <v>10156</v>
      </c>
      <c r="B30860" t="str">
        <f>HYPERLINK("https://lindat.mff.cuni.cz/services/teitok/pdtc10/index.php?action=vallex&amp;frame=v-w4047f1", "poškodit (v-w4047f1)")</f>
        <v>poškodit (v-w4047f1)</v>
      </c>
    </row>
    <row r="30861" spans="1:4" x14ac:dyDescent="0.2">
      <c r="B30861" t="s">
        <v>1</v>
      </c>
      <c r="C30861" t="s">
        <v>10157</v>
      </c>
      <c r="D30861" t="s">
        <v>23811</v>
      </c>
    </row>
    <row r="30862" spans="1:4" x14ac:dyDescent="0.2">
      <c r="B30862" t="s">
        <v>8</v>
      </c>
      <c r="C30862" t="s">
        <v>10158</v>
      </c>
      <c r="D30862" t="s">
        <v>23812</v>
      </c>
    </row>
    <row r="30864" spans="1:4" x14ac:dyDescent="0.2">
      <c r="A30864" t="s">
        <v>10159</v>
      </c>
      <c r="B30864" t="str">
        <f>HYPERLINK("https://lindat.mff.cuni.cz/services/teitok/pdtc10/index.php?action=vallex&amp;frame=v-w11685_ZUf1_ZU", "poškorpit se (v-w11685_ZUf1_ZU)")</f>
        <v>poškorpit se (v-w11685_ZUf1_ZU)</v>
      </c>
    </row>
    <row r="30865" spans="1:4" x14ac:dyDescent="0.2">
      <c r="B30865" t="s">
        <v>1</v>
      </c>
    </row>
    <row r="30866" spans="1:4" x14ac:dyDescent="0.2">
      <c r="B30866" t="s">
        <v>153</v>
      </c>
    </row>
    <row r="30867" spans="1:4" x14ac:dyDescent="0.2">
      <c r="B30867" t="s">
        <v>10160</v>
      </c>
    </row>
    <row r="30869" spans="1:4" x14ac:dyDescent="0.2">
      <c r="A30869" t="s">
        <v>10161</v>
      </c>
      <c r="B30869" t="str">
        <f>HYPERLINK("https://lindat.mff.cuni.cz/services/teitok/pdtc10/index.php?action=vallex&amp;frame=v-w4051f1", "poškozovat (v-w4051f1)")</f>
        <v>poškozovat (v-w4051f1)</v>
      </c>
    </row>
    <row r="30870" spans="1:4" x14ac:dyDescent="0.2">
      <c r="B30870" t="s">
        <v>1</v>
      </c>
      <c r="C30870" t="s">
        <v>10162</v>
      </c>
      <c r="D30870" t="s">
        <v>23811</v>
      </c>
    </row>
    <row r="30871" spans="1:4" x14ac:dyDescent="0.2">
      <c r="B30871" t="s">
        <v>8</v>
      </c>
      <c r="C30871" t="s">
        <v>10163</v>
      </c>
      <c r="D30871" t="s">
        <v>23812</v>
      </c>
    </row>
    <row r="30873" spans="1:4" x14ac:dyDescent="0.2">
      <c r="A30873" t="s">
        <v>10164</v>
      </c>
      <c r="B30873" t="str">
        <f>HYPERLINK("https://lindat.mff.cuni.cz/services/teitok/pdtc10/index.php?action=vallex&amp;frame=v-w4053f1", "poškrábat (v-w4053f1)")</f>
        <v>poškrábat (v-w4053f1)</v>
      </c>
    </row>
    <row r="30874" spans="1:4" x14ac:dyDescent="0.2">
      <c r="B30874" t="s">
        <v>1</v>
      </c>
    </row>
    <row r="30875" spans="1:4" x14ac:dyDescent="0.2">
      <c r="B30875" t="s">
        <v>8</v>
      </c>
    </row>
    <row r="30877" spans="1:4" x14ac:dyDescent="0.2">
      <c r="A30877" t="s">
        <v>10165</v>
      </c>
      <c r="B30877" t="str">
        <f>HYPERLINK("https://lindat.mff.cuni.cz/services/teitok/pdtc10/index.php?action=vallex&amp;frame=v-w4056f1", "pošlapávat (v-w4056f1)")</f>
        <v>pošlapávat (v-w4056f1)</v>
      </c>
    </row>
    <row r="30878" spans="1:4" x14ac:dyDescent="0.2">
      <c r="B30878" t="s">
        <v>1</v>
      </c>
    </row>
    <row r="30879" spans="1:4" x14ac:dyDescent="0.2">
      <c r="B30879" t="s">
        <v>8</v>
      </c>
    </row>
    <row r="30881" spans="1:4" x14ac:dyDescent="0.2">
      <c r="A30881" t="s">
        <v>10166</v>
      </c>
      <c r="B30881" t="str">
        <f>HYPERLINK("https://lindat.mff.cuni.cz/services/teitok/pdtc10/index.php?action=vallex&amp;frame=v-w10172f2", "pošpinit (v-w10172f2)")</f>
        <v>pošpinit (v-w10172f2)</v>
      </c>
    </row>
    <row r="30882" spans="1:4" x14ac:dyDescent="0.2">
      <c r="B30882" t="s">
        <v>1</v>
      </c>
      <c r="C30882" t="s">
        <v>249</v>
      </c>
      <c r="D30882" t="s">
        <v>23911</v>
      </c>
    </row>
    <row r="30883" spans="1:4" x14ac:dyDescent="0.2">
      <c r="B30883" t="s">
        <v>8</v>
      </c>
      <c r="C30883" t="s">
        <v>84</v>
      </c>
      <c r="D30883" t="s">
        <v>10893</v>
      </c>
    </row>
    <row r="30885" spans="1:4" x14ac:dyDescent="0.2">
      <c r="A30885" t="s">
        <v>10167</v>
      </c>
      <c r="B30885" t="str">
        <f>HYPERLINK("https://lindat.mff.cuni.cz/services/teitok/pdtc10/index.php?action=vallex&amp;frame=v-w4058f1", "pošramotit (v-w4058f1)")</f>
        <v>pošramotit (v-w4058f1)</v>
      </c>
    </row>
    <row r="30886" spans="1:4" x14ac:dyDescent="0.2">
      <c r="B30886" t="s">
        <v>1</v>
      </c>
      <c r="C30886" t="s">
        <v>1326</v>
      </c>
      <c r="D30886" t="s">
        <v>23912</v>
      </c>
    </row>
    <row r="30887" spans="1:4" x14ac:dyDescent="0.2">
      <c r="B30887" t="s">
        <v>8</v>
      </c>
      <c r="C30887" t="s">
        <v>1128</v>
      </c>
      <c r="D30887" t="s">
        <v>23913</v>
      </c>
    </row>
    <row r="30889" spans="1:4" x14ac:dyDescent="0.2">
      <c r="A30889" t="s">
        <v>10168</v>
      </c>
      <c r="B30889" t="str">
        <f>HYPERLINK("https://lindat.mff.cuni.cz/services/teitok/pdtc10/index.php?action=vallex&amp;frame=v-w4061f2_ZU", "poštvat (v-w4061f2_ZU)")</f>
        <v>poštvat (v-w4061f2_ZU)</v>
      </c>
    </row>
    <row r="30890" spans="1:4" x14ac:dyDescent="0.2">
      <c r="B30890" t="s">
        <v>1</v>
      </c>
    </row>
    <row r="30891" spans="1:4" x14ac:dyDescent="0.2">
      <c r="B30891" t="s">
        <v>10169</v>
      </c>
    </row>
    <row r="30892" spans="1:4" x14ac:dyDescent="0.2">
      <c r="B30892" t="s">
        <v>58</v>
      </c>
    </row>
    <row r="30894" spans="1:4" x14ac:dyDescent="0.2">
      <c r="A30894" t="s">
        <v>10168</v>
      </c>
      <c r="B30894" t="str">
        <f>HYPERLINK("https://lindat.mff.cuni.cz/services/teitok/pdtc10/index.php?action=vallex&amp;frame=v-w4061f1", "poštvat (v-w4061f1) - substituted with v-w4061f2_ZU")</f>
        <v>poštvat (v-w4061f1) - substituted with v-w4061f2_ZU</v>
      </c>
    </row>
    <row r="30895" spans="1:4" x14ac:dyDescent="0.2">
      <c r="B30895" t="s">
        <v>1</v>
      </c>
      <c r="C30895" t="s">
        <v>140</v>
      </c>
      <c r="D30895" t="s">
        <v>140</v>
      </c>
    </row>
    <row r="30896" spans="1:4" x14ac:dyDescent="0.2">
      <c r="B30896" t="s">
        <v>10169</v>
      </c>
      <c r="C30896" t="s">
        <v>1301</v>
      </c>
      <c r="D30896" t="s">
        <v>1301</v>
      </c>
    </row>
    <row r="30897" spans="1:4" x14ac:dyDescent="0.2">
      <c r="B30897" t="s">
        <v>58</v>
      </c>
      <c r="C30897" t="s">
        <v>2810</v>
      </c>
      <c r="D30897" t="s">
        <v>2810</v>
      </c>
    </row>
    <row r="30899" spans="1:4" x14ac:dyDescent="0.2">
      <c r="A30899" t="s">
        <v>10170</v>
      </c>
      <c r="B30899" t="str">
        <f>HYPERLINK("https://lindat.mff.cuni.cz/services/teitok/pdtc10/index.php?action=vallex&amp;frame=v-w10938f2", "poštvávat (v-w10938f2)")</f>
        <v>poštvávat (v-w10938f2)</v>
      </c>
    </row>
    <row r="30900" spans="1:4" x14ac:dyDescent="0.2">
      <c r="B30900" t="s">
        <v>1</v>
      </c>
      <c r="C30900" t="s">
        <v>140</v>
      </c>
      <c r="D30900" t="s">
        <v>140</v>
      </c>
    </row>
    <row r="30901" spans="1:4" x14ac:dyDescent="0.2">
      <c r="B30901" t="s">
        <v>3788</v>
      </c>
      <c r="C30901" t="s">
        <v>1301</v>
      </c>
      <c r="D30901" t="s">
        <v>1301</v>
      </c>
    </row>
    <row r="30902" spans="1:4" x14ac:dyDescent="0.2">
      <c r="B30902" t="s">
        <v>58</v>
      </c>
      <c r="C30902" t="s">
        <v>2810</v>
      </c>
      <c r="D30902" t="s">
        <v>2810</v>
      </c>
    </row>
    <row r="30904" spans="1:4" x14ac:dyDescent="0.2">
      <c r="A30904" t="s">
        <v>10171</v>
      </c>
      <c r="B30904" t="str">
        <f>HYPERLINK("https://lindat.mff.cuni.cz/services/teitok/pdtc10/index.php?action=vallex&amp;frame=v-whsa_1102hsa_1103", "poštípat (v-whsa_1102hsa_1103)")</f>
        <v>poštípat (v-whsa_1102hsa_1103)</v>
      </c>
    </row>
    <row r="30905" spans="1:4" x14ac:dyDescent="0.2">
      <c r="B30905" t="s">
        <v>1</v>
      </c>
    </row>
    <row r="30906" spans="1:4" x14ac:dyDescent="0.2">
      <c r="B30906" t="s">
        <v>8</v>
      </c>
    </row>
    <row r="30908" spans="1:4" x14ac:dyDescent="0.2">
      <c r="A30908" t="s">
        <v>10172</v>
      </c>
      <c r="B30908" t="str">
        <f>HYPERLINK("https://lindat.mff.cuni.cz/services/teitok/pdtc10/index.php?action=vallex&amp;frame=v-w4060f1", "poštěstit se (v-w4060f1)")</f>
        <v>poštěstit se (v-w4060f1)</v>
      </c>
    </row>
    <row r="30909" spans="1:4" x14ac:dyDescent="0.2">
      <c r="B30909" t="s">
        <v>455</v>
      </c>
    </row>
    <row r="30910" spans="1:4" x14ac:dyDescent="0.2">
      <c r="B30910" t="s">
        <v>8742</v>
      </c>
    </row>
    <row r="30912" spans="1:4" x14ac:dyDescent="0.2">
      <c r="A30912" t="s">
        <v>10173</v>
      </c>
      <c r="B30912" t="str">
        <f>HYPERLINK("https://lindat.mff.cuni.cz/services/teitok/pdtc10/index.php?action=vallex&amp;frame=v-w10477f2", "pošupovat (v-w10477f2)")</f>
        <v>pošupovat (v-w10477f2)</v>
      </c>
    </row>
    <row r="30913" spans="1:4" x14ac:dyDescent="0.2">
      <c r="B30913" t="s">
        <v>1</v>
      </c>
    </row>
    <row r="30914" spans="1:4" x14ac:dyDescent="0.2">
      <c r="B30914" t="s">
        <v>158</v>
      </c>
    </row>
    <row r="30916" spans="1:4" x14ac:dyDescent="0.2">
      <c r="A30916" t="s">
        <v>10174</v>
      </c>
      <c r="B30916" t="str">
        <f>HYPERLINK("https://lindat.mff.cuni.cz/services/teitok/pdtc10/index.php?action=vallex&amp;frame=v-w4062f1", "pošušňávat si (v-w4062f1)")</f>
        <v>pošušňávat si (v-w4062f1)</v>
      </c>
    </row>
    <row r="30917" spans="1:4" x14ac:dyDescent="0.2">
      <c r="B30917" t="s">
        <v>1</v>
      </c>
    </row>
    <row r="30918" spans="1:4" x14ac:dyDescent="0.2">
      <c r="B30918" t="s">
        <v>2712</v>
      </c>
    </row>
    <row r="30920" spans="1:4" x14ac:dyDescent="0.2">
      <c r="A30920" t="s">
        <v>10175</v>
      </c>
      <c r="B30920" t="str">
        <f>HYPERLINK("https://lindat.mff.cuni.cz/services/teitok/pdtc10/index.php?action=vallex&amp;frame=v-whsb_288hsa_289", "pošťuchovat se (v-whsb_288hsa_289)")</f>
        <v>pošťuchovat se (v-whsb_288hsa_289)</v>
      </c>
    </row>
    <row r="30921" spans="1:4" x14ac:dyDescent="0.2">
      <c r="B30921" t="s">
        <v>1</v>
      </c>
    </row>
    <row r="30922" spans="1:4" x14ac:dyDescent="0.2">
      <c r="B30922" t="s">
        <v>411</v>
      </c>
    </row>
    <row r="30924" spans="1:4" x14ac:dyDescent="0.2">
      <c r="A30924" t="s">
        <v>10176</v>
      </c>
      <c r="B30924" t="str">
        <f>HYPERLINK("https://lindat.mff.cuni.cz/services/teitok/pdtc10/index.php?action=vallex&amp;frame=v-w4230f1", "požadovat (v-w4230f1)")</f>
        <v>požadovat (v-w4230f1)</v>
      </c>
    </row>
    <row r="30925" spans="1:4" x14ac:dyDescent="0.2">
      <c r="B30925" t="s">
        <v>1</v>
      </c>
      <c r="C30925" t="s">
        <v>10177</v>
      </c>
      <c r="D30925" t="s">
        <v>23914</v>
      </c>
    </row>
    <row r="30926" spans="1:4" x14ac:dyDescent="0.2">
      <c r="B30926" t="s">
        <v>10178</v>
      </c>
      <c r="C30926" t="s">
        <v>10179</v>
      </c>
      <c r="D30926" t="s">
        <v>23915</v>
      </c>
    </row>
    <row r="30927" spans="1:4" x14ac:dyDescent="0.2">
      <c r="B30927" t="s">
        <v>10180</v>
      </c>
      <c r="C30927" t="s">
        <v>10181</v>
      </c>
      <c r="D30927" t="s">
        <v>23916</v>
      </c>
    </row>
    <row r="30929" spans="1:4" x14ac:dyDescent="0.2">
      <c r="A30929" t="s">
        <v>10182</v>
      </c>
      <c r="B30929" t="str">
        <f>HYPERLINK("https://lindat.mff.cuni.cz/services/teitok/pdtc10/index.php?action=vallex&amp;frame=v-w4234f1", "požehnat (v-w4234f1)")</f>
        <v>požehnat (v-w4234f1)</v>
      </c>
    </row>
    <row r="30930" spans="1:4" x14ac:dyDescent="0.2">
      <c r="B30930" t="s">
        <v>1</v>
      </c>
    </row>
    <row r="30931" spans="1:4" x14ac:dyDescent="0.2">
      <c r="B30931" t="s">
        <v>103</v>
      </c>
    </row>
    <row r="30933" spans="1:4" x14ac:dyDescent="0.2">
      <c r="A30933" t="s">
        <v>10183</v>
      </c>
      <c r="B30933" t="str">
        <f>HYPERLINK("https://lindat.mff.cuni.cz/services/teitok/pdtc10/index.php?action=vallex&amp;frame=v-w4234f2", "požehnat (v-w4234f2)")</f>
        <v>požehnat (v-w4234f2)</v>
      </c>
    </row>
    <row r="30934" spans="1:4" x14ac:dyDescent="0.2">
      <c r="B30934" t="s">
        <v>1</v>
      </c>
    </row>
    <row r="30935" spans="1:4" x14ac:dyDescent="0.2">
      <c r="B30935" t="s">
        <v>8</v>
      </c>
    </row>
    <row r="30937" spans="1:4" x14ac:dyDescent="0.2">
      <c r="A30937" t="s">
        <v>10184</v>
      </c>
      <c r="B30937" t="str">
        <f>HYPERLINK("https://lindat.mff.cuni.cz/services/teitok/pdtc10/index.php?action=vallex&amp;frame=v-w4227hsa_121", "požádat (v-w4227hsa_121)")</f>
        <v>požádat (v-w4227hsa_121)</v>
      </c>
    </row>
    <row r="30938" spans="1:4" x14ac:dyDescent="0.2">
      <c r="B30938" t="s">
        <v>1</v>
      </c>
    </row>
    <row r="30939" spans="1:4" x14ac:dyDescent="0.2">
      <c r="B30939" t="s">
        <v>10185</v>
      </c>
    </row>
    <row r="30940" spans="1:4" x14ac:dyDescent="0.2">
      <c r="B30940" t="s">
        <v>58</v>
      </c>
    </row>
    <row r="30942" spans="1:4" x14ac:dyDescent="0.2">
      <c r="A30942" t="s">
        <v>10184</v>
      </c>
      <c r="B30942" t="str">
        <f>HYPERLINK("https://lindat.mff.cuni.cz/services/teitok/pdtc10/index.php?action=vallex&amp;frame=v-w4227f1", "požádat (v-w4227f1) - substituted with v-w4227hsa_121")</f>
        <v>požádat (v-w4227f1) - substituted with v-w4227hsa_121</v>
      </c>
    </row>
    <row r="30943" spans="1:4" x14ac:dyDescent="0.2">
      <c r="B30943" t="s">
        <v>1</v>
      </c>
      <c r="C30943" t="s">
        <v>10186</v>
      </c>
      <c r="D30943" t="s">
        <v>23055</v>
      </c>
    </row>
    <row r="30944" spans="1:4" x14ac:dyDescent="0.2">
      <c r="B30944" t="s">
        <v>10185</v>
      </c>
      <c r="C30944" t="s">
        <v>10187</v>
      </c>
      <c r="D30944" t="s">
        <v>23056</v>
      </c>
    </row>
    <row r="30945" spans="1:4" x14ac:dyDescent="0.2">
      <c r="B30945" t="s">
        <v>58</v>
      </c>
      <c r="C30945" t="s">
        <v>10188</v>
      </c>
      <c r="D30945" t="s">
        <v>23917</v>
      </c>
    </row>
    <row r="30947" spans="1:4" x14ac:dyDescent="0.2">
      <c r="A30947" t="s">
        <v>10189</v>
      </c>
      <c r="B30947" t="str">
        <f>HYPERLINK("https://lindat.mff.cuni.cz/services/teitok/pdtc10/index.php?action=vallex&amp;frame=v-w4235f1", "požírat (v-w4235f1)")</f>
        <v>požírat (v-w4235f1)</v>
      </c>
    </row>
    <row r="30948" spans="1:4" x14ac:dyDescent="0.2">
      <c r="B30948" t="s">
        <v>1</v>
      </c>
    </row>
    <row r="30949" spans="1:4" x14ac:dyDescent="0.2">
      <c r="B30949" t="s">
        <v>8</v>
      </c>
    </row>
    <row r="30951" spans="1:4" x14ac:dyDescent="0.2">
      <c r="A30951" t="s">
        <v>10190</v>
      </c>
      <c r="B30951" t="str">
        <f>HYPERLINK("https://lindat.mff.cuni.cz/services/teitok/pdtc10/index.php?action=vallex&amp;frame=v-w4235f2", "požírat (v-w4235f2)")</f>
        <v>požírat (v-w4235f2)</v>
      </c>
    </row>
    <row r="30952" spans="1:4" x14ac:dyDescent="0.2">
      <c r="B30952" t="s">
        <v>1</v>
      </c>
    </row>
    <row r="30953" spans="1:4" x14ac:dyDescent="0.2">
      <c r="B30953" t="s">
        <v>8</v>
      </c>
    </row>
    <row r="30955" spans="1:4" x14ac:dyDescent="0.2">
      <c r="A30955" t="s">
        <v>10191</v>
      </c>
      <c r="B30955" t="str">
        <f>HYPERLINK("https://lindat.mff.cuni.cz/services/teitok/pdtc10/index.php?action=vallex&amp;frame=v-w4236f1", "požít (v-w4236f1)")</f>
        <v>požít (v-w4236f1)</v>
      </c>
    </row>
    <row r="30956" spans="1:4" x14ac:dyDescent="0.2">
      <c r="B30956" t="s">
        <v>1</v>
      </c>
    </row>
    <row r="30957" spans="1:4" x14ac:dyDescent="0.2">
      <c r="B30957" t="s">
        <v>8</v>
      </c>
    </row>
    <row r="30959" spans="1:4" x14ac:dyDescent="0.2">
      <c r="A30959" t="s">
        <v>10192</v>
      </c>
      <c r="B30959" t="str">
        <f>HYPERLINK("https://lindat.mff.cuni.cz/services/teitok/pdtc10/index.php?action=vallex&amp;frame=v-w4240f1", "požívat (v-w4240f1)")</f>
        <v>požívat (v-w4240f1)</v>
      </c>
    </row>
    <row r="30960" spans="1:4" x14ac:dyDescent="0.2">
      <c r="B30960" t="s">
        <v>1</v>
      </c>
      <c r="C30960" t="s">
        <v>3384</v>
      </c>
    </row>
    <row r="30961" spans="1:4" x14ac:dyDescent="0.2">
      <c r="B30961" t="s">
        <v>968</v>
      </c>
      <c r="C30961" t="s">
        <v>232</v>
      </c>
    </row>
    <row r="30963" spans="1:4" x14ac:dyDescent="0.2">
      <c r="A30963" t="s">
        <v>10193</v>
      </c>
      <c r="B30963" t="str">
        <f>HYPERLINK("https://lindat.mff.cuni.cz/services/teitok/pdtc10/index.php?action=vallex&amp;frame=v-w4240f2_ZU", "požívat (v-w4240f2_ZU)")</f>
        <v>požívat (v-w4240f2_ZU)</v>
      </c>
    </row>
    <row r="30964" spans="1:4" x14ac:dyDescent="0.2">
      <c r="B30964" t="s">
        <v>1</v>
      </c>
      <c r="C30964" t="s">
        <v>1077</v>
      </c>
    </row>
    <row r="30965" spans="1:4" x14ac:dyDescent="0.2">
      <c r="B30965" t="s">
        <v>8</v>
      </c>
      <c r="C30965" t="s">
        <v>3308</v>
      </c>
    </row>
    <row r="30967" spans="1:4" x14ac:dyDescent="0.2">
      <c r="A30967" t="s">
        <v>10194</v>
      </c>
      <c r="B30967" t="str">
        <f>HYPERLINK("https://lindat.mff.cuni.cz/services/teitok/pdtc10/index.php?action=vallex&amp;frame=v-w4243f3", "pracovat (v-w4243f3)")</f>
        <v>pracovat (v-w4243f3)</v>
      </c>
    </row>
    <row r="30968" spans="1:4" x14ac:dyDescent="0.2">
      <c r="B30968" t="s">
        <v>1</v>
      </c>
      <c r="C30968" t="s">
        <v>10195</v>
      </c>
      <c r="D30968" t="s">
        <v>23918</v>
      </c>
    </row>
    <row r="30969" spans="1:4" x14ac:dyDescent="0.2">
      <c r="B30969" t="s">
        <v>161</v>
      </c>
      <c r="C30969" t="s">
        <v>10196</v>
      </c>
      <c r="D30969" t="s">
        <v>23919</v>
      </c>
    </row>
    <row r="30971" spans="1:4" x14ac:dyDescent="0.2">
      <c r="A30971" t="s">
        <v>10197</v>
      </c>
      <c r="B30971" t="str">
        <f>HYPERLINK("https://lindat.mff.cuni.cz/services/teitok/pdtc10/index.php?action=vallex&amp;frame=v-w4243f5", "pracovat (v-w4243f5)")</f>
        <v>pracovat (v-w4243f5)</v>
      </c>
    </row>
    <row r="30972" spans="1:4" x14ac:dyDescent="0.2">
      <c r="B30972" t="s">
        <v>1</v>
      </c>
      <c r="C30972" t="s">
        <v>10198</v>
      </c>
      <c r="D30972" t="s">
        <v>23714</v>
      </c>
    </row>
    <row r="30973" spans="1:4" x14ac:dyDescent="0.2">
      <c r="B30973" t="s">
        <v>411</v>
      </c>
      <c r="C30973" t="s">
        <v>10199</v>
      </c>
      <c r="D30973" t="s">
        <v>23715</v>
      </c>
    </row>
    <row r="30975" spans="1:4" x14ac:dyDescent="0.2">
      <c r="A30975" t="s">
        <v>10200</v>
      </c>
      <c r="B30975" t="str">
        <f>HYPERLINK("https://lindat.mff.cuni.cz/services/teitok/pdtc10/index.php?action=vallex&amp;frame=v-w4243f6", "pracovat (v-w4243f6)")</f>
        <v>pracovat (v-w4243f6)</v>
      </c>
    </row>
    <row r="30976" spans="1:4" x14ac:dyDescent="0.2">
      <c r="B30976" t="s">
        <v>1</v>
      </c>
      <c r="C30976" t="s">
        <v>10201</v>
      </c>
      <c r="D30976" t="s">
        <v>23714</v>
      </c>
    </row>
    <row r="30977" spans="1:4" x14ac:dyDescent="0.2">
      <c r="B30977" t="s">
        <v>411</v>
      </c>
      <c r="C30977" t="s">
        <v>10202</v>
      </c>
      <c r="D30977" t="s">
        <v>23715</v>
      </c>
    </row>
    <row r="30979" spans="1:4" x14ac:dyDescent="0.2">
      <c r="A30979" t="s">
        <v>10203</v>
      </c>
      <c r="B30979" t="str">
        <f>HYPERLINK("https://lindat.mff.cuni.cz/services/teitok/pdtc10/index.php?action=vallex&amp;frame=v-w4243f7_ZU", "pracovat (v-w4243f7_ZU)")</f>
        <v>pracovat (v-w4243f7_ZU)</v>
      </c>
    </row>
    <row r="30980" spans="1:4" x14ac:dyDescent="0.2">
      <c r="B30980" t="s">
        <v>1</v>
      </c>
    </row>
    <row r="30982" spans="1:4" x14ac:dyDescent="0.2">
      <c r="A30982" t="s">
        <v>10203</v>
      </c>
      <c r="B30982" t="str">
        <f>HYPERLINK("https://lindat.mff.cuni.cz/services/teitok/pdtc10/index.php?action=vallex&amp;frame=v-w4243f1", "pracovat (v-w4243f1) - substituted with v-w4243f7_ZU")</f>
        <v>pracovat (v-w4243f1) - substituted with v-w4243f7_ZU</v>
      </c>
    </row>
    <row r="30983" spans="1:4" x14ac:dyDescent="0.2">
      <c r="B30983" t="s">
        <v>1</v>
      </c>
      <c r="C30983" t="s">
        <v>10204</v>
      </c>
      <c r="D30983" t="s">
        <v>23920</v>
      </c>
    </row>
    <row r="30985" spans="1:4" x14ac:dyDescent="0.2">
      <c r="A30985" t="s">
        <v>10205</v>
      </c>
      <c r="B30985" t="str">
        <f>HYPERLINK("https://lindat.mff.cuni.cz/services/teitok/pdtc10/index.php?action=vallex&amp;frame=v-w4243f2", "pracovat (v-w4243f2)")</f>
        <v>pracovat (v-w4243f2)</v>
      </c>
    </row>
    <row r="30986" spans="1:4" x14ac:dyDescent="0.2">
      <c r="B30986" t="s">
        <v>1</v>
      </c>
      <c r="C30986" t="s">
        <v>10206</v>
      </c>
      <c r="D30986" t="s">
        <v>23318</v>
      </c>
    </row>
    <row r="30988" spans="1:4" x14ac:dyDescent="0.2">
      <c r="A30988" t="s">
        <v>10207</v>
      </c>
      <c r="B30988" t="str">
        <f>HYPERLINK("https://lindat.mff.cuni.cz/services/teitok/pdtc10/index.php?action=vallex&amp;frame=v-w4243f4", "pracovat (v-w4243f4)")</f>
        <v>pracovat (v-w4243f4)</v>
      </c>
    </row>
    <row r="30989" spans="1:4" x14ac:dyDescent="0.2">
      <c r="B30989" t="s">
        <v>1</v>
      </c>
      <c r="C30989" t="s">
        <v>1792</v>
      </c>
    </row>
    <row r="30991" spans="1:4" x14ac:dyDescent="0.2">
      <c r="A30991" t="s">
        <v>10208</v>
      </c>
      <c r="B30991" t="str">
        <f>HYPERLINK("https://lindat.mff.cuni.cz/services/teitok/pdtc10/index.php?action=vallex&amp;frame=v-w4246f1", "prahnout (v-w4246f1)")</f>
        <v>prahnout (v-w4246f1)</v>
      </c>
    </row>
    <row r="30992" spans="1:4" x14ac:dyDescent="0.2">
      <c r="B30992" t="s">
        <v>1</v>
      </c>
      <c r="C30992" t="s">
        <v>133</v>
      </c>
      <c r="D30992" t="s">
        <v>373</v>
      </c>
    </row>
    <row r="30993" spans="1:4" x14ac:dyDescent="0.2">
      <c r="B30993" t="s">
        <v>2483</v>
      </c>
      <c r="C30993" t="s">
        <v>113</v>
      </c>
      <c r="D30993" t="s">
        <v>54</v>
      </c>
    </row>
    <row r="30995" spans="1:4" x14ac:dyDescent="0.2">
      <c r="A30995" t="s">
        <v>10209</v>
      </c>
      <c r="B30995" t="str">
        <f>HYPERLINK("https://lindat.mff.cuni.cz/services/teitok/pdtc10/index.php?action=vallex&amp;frame=v-w4248f1", "praktikovat (v-w4248f1)")</f>
        <v>praktikovat (v-w4248f1)</v>
      </c>
    </row>
    <row r="30996" spans="1:4" x14ac:dyDescent="0.2">
      <c r="B30996" t="s">
        <v>1</v>
      </c>
      <c r="C30996" t="s">
        <v>83</v>
      </c>
    </row>
    <row r="30997" spans="1:4" x14ac:dyDescent="0.2">
      <c r="B30997" t="s">
        <v>8</v>
      </c>
      <c r="C30997" t="s">
        <v>354</v>
      </c>
    </row>
    <row r="30999" spans="1:4" x14ac:dyDescent="0.2">
      <c r="A30999" t="s">
        <v>10210</v>
      </c>
      <c r="B30999" t="str">
        <f>HYPERLINK("https://lindat.mff.cuni.cz/services/teitok/pdtc10/index.php?action=vallex&amp;frame=v-w4249f1", "pramenit (v-w4249f1)")</f>
        <v>pramenit (v-w4249f1)</v>
      </c>
    </row>
    <row r="31000" spans="1:4" x14ac:dyDescent="0.2">
      <c r="B31000" t="s">
        <v>1</v>
      </c>
      <c r="C31000" t="s">
        <v>10211</v>
      </c>
      <c r="D31000" t="s">
        <v>23789</v>
      </c>
    </row>
    <row r="31001" spans="1:4" x14ac:dyDescent="0.2">
      <c r="B31001" t="s">
        <v>10212</v>
      </c>
      <c r="C31001" t="s">
        <v>10213</v>
      </c>
      <c r="D31001" t="s">
        <v>23790</v>
      </c>
    </row>
    <row r="31003" spans="1:4" x14ac:dyDescent="0.2">
      <c r="A31003" t="s">
        <v>10214</v>
      </c>
      <c r="B31003" t="str">
        <f>HYPERLINK("https://lindat.mff.cuni.cz/services/teitok/pdtc10/index.php?action=vallex&amp;frame=v-w4249f2", "pramenit (v-w4249f2)")</f>
        <v>pramenit (v-w4249f2)</v>
      </c>
    </row>
    <row r="31004" spans="1:4" x14ac:dyDescent="0.2">
      <c r="B31004" t="s">
        <v>1</v>
      </c>
    </row>
    <row r="31006" spans="1:4" x14ac:dyDescent="0.2">
      <c r="A31006" t="s">
        <v>10215</v>
      </c>
      <c r="B31006" t="str">
        <f>HYPERLINK("https://lindat.mff.cuni.cz/services/teitok/pdtc10/index.php?action=vallex&amp;frame=v-w4251f1", "pranýřovat (v-w4251f1)")</f>
        <v>pranýřovat (v-w4251f1)</v>
      </c>
    </row>
    <row r="31007" spans="1:4" x14ac:dyDescent="0.2">
      <c r="B31007" t="s">
        <v>1</v>
      </c>
      <c r="D31007" t="s">
        <v>9612</v>
      </c>
    </row>
    <row r="31008" spans="1:4" x14ac:dyDescent="0.2">
      <c r="B31008" t="s">
        <v>8</v>
      </c>
      <c r="C31008" t="s">
        <v>113</v>
      </c>
      <c r="D31008" t="s">
        <v>1362</v>
      </c>
    </row>
    <row r="31010" spans="1:4" x14ac:dyDescent="0.2">
      <c r="A31010" t="s">
        <v>10216</v>
      </c>
      <c r="B31010" t="str">
        <f>HYPERLINK("https://lindat.mff.cuni.cz/services/teitok/pdtc10/index.php?action=vallex&amp;frame=v-w4252f2", "praskat (v-w4252f2)")</f>
        <v>praskat (v-w4252f2)</v>
      </c>
    </row>
    <row r="31011" spans="1:4" x14ac:dyDescent="0.2">
      <c r="B31011" t="s">
        <v>1</v>
      </c>
      <c r="C31011" t="s">
        <v>6204</v>
      </c>
      <c r="D31011" t="s">
        <v>9773</v>
      </c>
    </row>
    <row r="31013" spans="1:4" x14ac:dyDescent="0.2">
      <c r="A31013" t="s">
        <v>10217</v>
      </c>
      <c r="B31013" t="str">
        <f>HYPERLINK("https://lindat.mff.cuni.cz/services/teitok/pdtc10/index.php?action=vallex&amp;frame=v-w4252f1", "praskat (v-w4252f1)")</f>
        <v>praskat (v-w4252f1)</v>
      </c>
    </row>
    <row r="31014" spans="1:4" x14ac:dyDescent="0.2">
      <c r="B31014" t="s">
        <v>1</v>
      </c>
    </row>
    <row r="31015" spans="1:4" x14ac:dyDescent="0.2">
      <c r="B31015" t="s">
        <v>10218</v>
      </c>
    </row>
    <row r="31017" spans="1:4" x14ac:dyDescent="0.2">
      <c r="A31017" t="s">
        <v>10219</v>
      </c>
      <c r="B31017" t="str">
        <f>HYPERLINK("https://lindat.mff.cuni.cz/services/teitok/pdtc10/index.php?action=vallex&amp;frame=v-w4253f1", "prasknout (v-w4253f1)")</f>
        <v>prasknout (v-w4253f1)</v>
      </c>
    </row>
    <row r="31018" spans="1:4" x14ac:dyDescent="0.2">
      <c r="B31018" t="s">
        <v>1</v>
      </c>
      <c r="C31018" t="s">
        <v>127</v>
      </c>
      <c r="D31018" t="s">
        <v>9773</v>
      </c>
    </row>
    <row r="31020" spans="1:4" x14ac:dyDescent="0.2">
      <c r="A31020" t="s">
        <v>10220</v>
      </c>
      <c r="B31020" t="str">
        <f>HYPERLINK("https://lindat.mff.cuni.cz/services/teitok/pdtc10/index.php?action=vallex&amp;frame=v-w4253f3_ZU", "prasknout (v-w4253f3_ZU)")</f>
        <v>prasknout (v-w4253f3_ZU)</v>
      </c>
    </row>
    <row r="31021" spans="1:4" x14ac:dyDescent="0.2">
      <c r="B31021" t="s">
        <v>488</v>
      </c>
    </row>
    <row r="31023" spans="1:4" x14ac:dyDescent="0.2">
      <c r="A31023" t="s">
        <v>10220</v>
      </c>
      <c r="B31023" t="str">
        <f>HYPERLINK("https://lindat.mff.cuni.cz/services/teitok/pdtc10/index.php?action=vallex&amp;frame=v-w4253f2_ZU", "prasknout (v-w4253f2_ZU) - substituted with v-w4253f3_ZU")</f>
        <v>prasknout (v-w4253f2_ZU) - substituted with v-w4253f3_ZU</v>
      </c>
    </row>
    <row r="31024" spans="1:4" x14ac:dyDescent="0.2">
      <c r="B31024" t="s">
        <v>488</v>
      </c>
    </row>
    <row r="31026" spans="1:4" x14ac:dyDescent="0.2">
      <c r="A31026" t="s">
        <v>10221</v>
      </c>
      <c r="B31026" t="str">
        <f>HYPERLINK("https://lindat.mff.cuni.cz/services/teitok/pdtc10/index.php?action=vallex&amp;frame=v-w4260f3", "pravit (v-w4260f3)")</f>
        <v>pravit (v-w4260f3)</v>
      </c>
    </row>
    <row r="31027" spans="1:4" x14ac:dyDescent="0.2">
      <c r="B31027" t="s">
        <v>1</v>
      </c>
    </row>
    <row r="31028" spans="1:4" x14ac:dyDescent="0.2">
      <c r="B31028" t="s">
        <v>183</v>
      </c>
    </row>
    <row r="31029" spans="1:4" x14ac:dyDescent="0.2">
      <c r="B31029" t="s">
        <v>35</v>
      </c>
    </row>
    <row r="31031" spans="1:4" x14ac:dyDescent="0.2">
      <c r="A31031" t="s">
        <v>10222</v>
      </c>
      <c r="B31031" t="str">
        <f>HYPERLINK("https://lindat.mff.cuni.cz/services/teitok/pdtc10/index.php?action=vallex&amp;frame=v-w4260f2", "pravit (v-w4260f2)")</f>
        <v>pravit (v-w4260f2)</v>
      </c>
    </row>
    <row r="31032" spans="1:4" x14ac:dyDescent="0.2">
      <c r="B31032" t="s">
        <v>1</v>
      </c>
    </row>
    <row r="31033" spans="1:4" x14ac:dyDescent="0.2">
      <c r="B31033" t="s">
        <v>10223</v>
      </c>
    </row>
    <row r="31034" spans="1:4" x14ac:dyDescent="0.2">
      <c r="B31034" t="s">
        <v>78</v>
      </c>
    </row>
    <row r="31036" spans="1:4" x14ac:dyDescent="0.2">
      <c r="A31036" t="s">
        <v>10224</v>
      </c>
      <c r="B31036" t="str">
        <f>HYPERLINK("https://lindat.mff.cuni.cz/services/teitok/pdtc10/index.php?action=vallex&amp;frame=v-w4260f1", "pravit (v-w4260f1)")</f>
        <v>pravit (v-w4260f1)</v>
      </c>
    </row>
    <row r="31037" spans="1:4" x14ac:dyDescent="0.2">
      <c r="B31037" t="s">
        <v>1</v>
      </c>
      <c r="C31037" t="s">
        <v>3413</v>
      </c>
      <c r="D31037" t="s">
        <v>22967</v>
      </c>
    </row>
    <row r="31038" spans="1:4" x14ac:dyDescent="0.2">
      <c r="B31038" t="s">
        <v>35</v>
      </c>
      <c r="C31038" t="s">
        <v>3280</v>
      </c>
      <c r="D31038" t="s">
        <v>22969</v>
      </c>
    </row>
    <row r="31039" spans="1:4" x14ac:dyDescent="0.2">
      <c r="B31039" t="s">
        <v>10225</v>
      </c>
      <c r="C31039" t="s">
        <v>3415</v>
      </c>
      <c r="D31039" t="s">
        <v>23120</v>
      </c>
    </row>
    <row r="31040" spans="1:4" x14ac:dyDescent="0.2">
      <c r="B31040" t="s">
        <v>269</v>
      </c>
      <c r="C31040" t="s">
        <v>1472</v>
      </c>
      <c r="D31040" t="s">
        <v>22968</v>
      </c>
    </row>
    <row r="31042" spans="1:4" x14ac:dyDescent="0.2">
      <c r="A31042" t="s">
        <v>10226</v>
      </c>
      <c r="B31042" t="str">
        <f>HYPERLINK("https://lindat.mff.cuni.cz/services/teitok/pdtc10/index.php?action=vallex&amp;frame=v-w4255f1", "praštit (v-w4255f1)")</f>
        <v>praštit (v-w4255f1)</v>
      </c>
    </row>
    <row r="31043" spans="1:4" x14ac:dyDescent="0.2">
      <c r="B31043" t="s">
        <v>1</v>
      </c>
    </row>
    <row r="31044" spans="1:4" x14ac:dyDescent="0.2">
      <c r="B31044" t="s">
        <v>8</v>
      </c>
    </row>
    <row r="31046" spans="1:4" x14ac:dyDescent="0.2">
      <c r="A31046" t="s">
        <v>10227</v>
      </c>
      <c r="B31046" t="str">
        <f>HYPERLINK("https://lindat.mff.cuni.cz/services/teitok/pdtc10/index.php?action=vallex&amp;frame=v-w4255f6_MM", "praštit (v-w4255f6_MM)")</f>
        <v>praštit (v-w4255f6_MM)</v>
      </c>
    </row>
    <row r="31047" spans="1:4" x14ac:dyDescent="0.2">
      <c r="B31047" t="s">
        <v>1</v>
      </c>
    </row>
    <row r="31048" spans="1:4" x14ac:dyDescent="0.2">
      <c r="B31048" t="s">
        <v>3215</v>
      </c>
    </row>
    <row r="31050" spans="1:4" x14ac:dyDescent="0.2">
      <c r="A31050" t="s">
        <v>10227</v>
      </c>
      <c r="B31050" t="str">
        <f>HYPERLINK("https://lindat.mff.cuni.cz/services/teitok/pdtc10/index.php?action=vallex&amp;frame=v-w4255f3", "praštit (v-w4255f3) - substituted with v-w4255f6_MM")</f>
        <v>praštit (v-w4255f3) - substituted with v-w4255f6_MM</v>
      </c>
    </row>
    <row r="31051" spans="1:4" x14ac:dyDescent="0.2">
      <c r="B31051" t="s">
        <v>1</v>
      </c>
      <c r="C31051" t="s">
        <v>140</v>
      </c>
      <c r="D31051" t="s">
        <v>33</v>
      </c>
    </row>
    <row r="31052" spans="1:4" x14ac:dyDescent="0.2">
      <c r="B31052" t="s">
        <v>3215</v>
      </c>
      <c r="D31052" t="s">
        <v>113</v>
      </c>
    </row>
    <row r="31054" spans="1:4" x14ac:dyDescent="0.2">
      <c r="A31054" t="s">
        <v>10228</v>
      </c>
      <c r="B31054" t="str">
        <f>HYPERLINK("https://lindat.mff.cuni.cz/services/teitok/pdtc10/index.php?action=vallex&amp;frame=v-w4255f5_ZU", "praštit (v-w4255f5_ZU)")</f>
        <v>praštit (v-w4255f5_ZU)</v>
      </c>
    </row>
    <row r="31055" spans="1:4" x14ac:dyDescent="0.2">
      <c r="B31055" t="s">
        <v>1</v>
      </c>
    </row>
    <row r="31056" spans="1:4" x14ac:dyDescent="0.2">
      <c r="B31056" t="s">
        <v>411</v>
      </c>
    </row>
    <row r="31058" spans="1:3" x14ac:dyDescent="0.2">
      <c r="A31058" t="s">
        <v>10228</v>
      </c>
      <c r="B31058" t="str">
        <f>HYPERLINK("https://lindat.mff.cuni.cz/services/teitok/pdtc10/index.php?action=vallex&amp;frame=v-w4255f4_ZU", "praštit (v-w4255f4_ZU) - substituted with v-w4255f5_ZU")</f>
        <v>praštit (v-w4255f4_ZU) - substituted with v-w4255f5_ZU</v>
      </c>
    </row>
    <row r="31059" spans="1:3" x14ac:dyDescent="0.2">
      <c r="B31059" t="s">
        <v>1</v>
      </c>
    </row>
    <row r="31060" spans="1:3" x14ac:dyDescent="0.2">
      <c r="B31060" t="s">
        <v>411</v>
      </c>
    </row>
    <row r="31062" spans="1:3" x14ac:dyDescent="0.2">
      <c r="A31062" t="s">
        <v>10229</v>
      </c>
      <c r="B31062" t="str">
        <f>HYPERLINK("https://lindat.mff.cuni.cz/services/teitok/pdtc10/index.php?action=vallex&amp;frame=v-w4254f1", "praštět (v-w4254f1)")</f>
        <v>praštět (v-w4254f1)</v>
      </c>
    </row>
    <row r="31064" spans="1:3" x14ac:dyDescent="0.2">
      <c r="A31064" t="s">
        <v>10230</v>
      </c>
      <c r="B31064" t="str">
        <f>HYPERLINK("https://lindat.mff.cuni.cz/services/teitok/pdtc10/index.php?action=vallex&amp;frame=v-whsb_1142hsa_1143", "pražit (v-whsb_1142hsa_1143)")</f>
        <v>pražit (v-whsb_1142hsa_1143)</v>
      </c>
    </row>
    <row r="31065" spans="1:3" x14ac:dyDescent="0.2">
      <c r="B31065" t="s">
        <v>1</v>
      </c>
    </row>
    <row r="31067" spans="1:3" x14ac:dyDescent="0.2">
      <c r="A31067" t="s">
        <v>10231</v>
      </c>
      <c r="B31067" t="str">
        <f>HYPERLINK("https://lindat.mff.cuni.cz/services/teitok/pdtc10/index.php?action=vallex&amp;frame=v-w4279f1", "prchat (v-w4279f1)")</f>
        <v>prchat (v-w4279f1)</v>
      </c>
    </row>
    <row r="31068" spans="1:3" x14ac:dyDescent="0.2">
      <c r="B31068" t="s">
        <v>1</v>
      </c>
      <c r="C31068" t="s">
        <v>990</v>
      </c>
    </row>
    <row r="31069" spans="1:3" x14ac:dyDescent="0.2">
      <c r="B31069" t="s">
        <v>10232</v>
      </c>
    </row>
    <row r="31071" spans="1:3" x14ac:dyDescent="0.2">
      <c r="A31071" t="s">
        <v>10233</v>
      </c>
      <c r="B31071" t="str">
        <f>HYPERLINK("https://lindat.mff.cuni.cz/services/teitok/pdtc10/index.php?action=vallex&amp;frame=v-w4279f2_ZU", "prchat (v-w4279f2_ZU)")</f>
        <v>prchat (v-w4279f2_ZU)</v>
      </c>
    </row>
    <row r="31072" spans="1:3" x14ac:dyDescent="0.2">
      <c r="B31072" t="s">
        <v>1</v>
      </c>
    </row>
    <row r="31074" spans="1:3" x14ac:dyDescent="0.2">
      <c r="A31074" t="s">
        <v>10234</v>
      </c>
      <c r="B31074" t="str">
        <f>HYPERLINK("https://lindat.mff.cuni.cz/services/teitok/pdtc10/index.php?action=vallex&amp;frame=v-whsa_324f1_ZU", "prchnout (v-whsa_324f1_ZU)")</f>
        <v>prchnout (v-whsa_324f1_ZU)</v>
      </c>
    </row>
    <row r="31075" spans="1:3" x14ac:dyDescent="0.2">
      <c r="B31075" t="s">
        <v>1</v>
      </c>
      <c r="C31075" t="s">
        <v>109</v>
      </c>
    </row>
    <row r="31076" spans="1:3" x14ac:dyDescent="0.2">
      <c r="B31076" t="s">
        <v>10232</v>
      </c>
    </row>
    <row r="31078" spans="1:3" x14ac:dyDescent="0.2">
      <c r="A31078" t="s">
        <v>10234</v>
      </c>
      <c r="B31078" t="str">
        <f>HYPERLINK("https://lindat.mff.cuni.cz/services/teitok/pdtc10/index.php?action=vallex&amp;frame=v-whsa_324hsa_325", "prchnout (v-whsa_324hsa_325) - substituted with v-whsa_324f1_ZU")</f>
        <v>prchnout (v-whsa_324hsa_325) - substituted with v-whsa_324f1_ZU</v>
      </c>
    </row>
    <row r="31079" spans="1:3" x14ac:dyDescent="0.2">
      <c r="B31079" t="s">
        <v>1</v>
      </c>
    </row>
    <row r="31080" spans="1:3" x14ac:dyDescent="0.2">
      <c r="B31080" t="s">
        <v>10232</v>
      </c>
    </row>
    <row r="31082" spans="1:3" x14ac:dyDescent="0.2">
      <c r="A31082" t="s">
        <v>10235</v>
      </c>
      <c r="B31082" t="str">
        <f>HYPERLINK("https://lindat.mff.cuni.cz/services/teitok/pdtc10/index.php?action=vallex&amp;frame=v-w10351f3_ZU", "predisponovat (v-w10351f3_ZU)")</f>
        <v>predisponovat (v-w10351f3_ZU)</v>
      </c>
    </row>
    <row r="31083" spans="1:3" x14ac:dyDescent="0.2">
      <c r="B31083" t="s">
        <v>1</v>
      </c>
      <c r="C31083" t="s">
        <v>33</v>
      </c>
    </row>
    <row r="31084" spans="1:3" x14ac:dyDescent="0.2">
      <c r="B31084" t="s">
        <v>8</v>
      </c>
      <c r="C31084" t="s">
        <v>34</v>
      </c>
    </row>
    <row r="31086" spans="1:3" x14ac:dyDescent="0.2">
      <c r="A31086" t="s">
        <v>10235</v>
      </c>
      <c r="B31086" t="str">
        <f>HYPERLINK("https://lindat.mff.cuni.cz/services/teitok/pdtc10/index.php?action=vallex&amp;frame=v-w10351f2", "predisponovat (v-w10351f2) - substituted with v-w10351f3_ZU")</f>
        <v>predisponovat (v-w10351f2) - substituted with v-w10351f3_ZU</v>
      </c>
    </row>
    <row r="31087" spans="1:3" x14ac:dyDescent="0.2">
      <c r="B31087" t="s">
        <v>1</v>
      </c>
    </row>
    <row r="31088" spans="1:3" x14ac:dyDescent="0.2">
      <c r="B31088" t="s">
        <v>8</v>
      </c>
    </row>
    <row r="31090" spans="1:4" x14ac:dyDescent="0.2">
      <c r="A31090" t="s">
        <v>10236</v>
      </c>
      <c r="B31090" t="str">
        <f>HYPERLINK("https://lindat.mff.cuni.cz/services/teitok/pdtc10/index.php?action=vallex&amp;frame=v-w4267f1", "preferovat (v-w4267f1)")</f>
        <v>preferovat (v-w4267f1)</v>
      </c>
    </row>
    <row r="31091" spans="1:4" x14ac:dyDescent="0.2">
      <c r="B31091" t="s">
        <v>1</v>
      </c>
      <c r="C31091" t="s">
        <v>9656</v>
      </c>
      <c r="D31091" t="s">
        <v>23274</v>
      </c>
    </row>
    <row r="31092" spans="1:4" x14ac:dyDescent="0.2">
      <c r="B31092" t="s">
        <v>8</v>
      </c>
      <c r="C31092" t="s">
        <v>10237</v>
      </c>
      <c r="D31092" t="s">
        <v>3736</v>
      </c>
    </row>
    <row r="31093" spans="1:4" x14ac:dyDescent="0.2">
      <c r="B31093" t="s">
        <v>10238</v>
      </c>
      <c r="C31093" t="s">
        <v>9620</v>
      </c>
      <c r="D31093" t="s">
        <v>9620</v>
      </c>
    </row>
    <row r="31095" spans="1:4" x14ac:dyDescent="0.2">
      <c r="A31095" t="s">
        <v>10239</v>
      </c>
      <c r="B31095" t="str">
        <f>HYPERLINK("https://lindat.mff.cuni.cz/services/teitok/pdtc10/index.php?action=vallex&amp;frame=v-w4277f2", "prezentovat (v-w4277f2)")</f>
        <v>prezentovat (v-w4277f2)</v>
      </c>
    </row>
    <row r="31096" spans="1:4" x14ac:dyDescent="0.2">
      <c r="B31096" t="s">
        <v>1</v>
      </c>
      <c r="C31096" t="s">
        <v>6672</v>
      </c>
      <c r="D31096" t="s">
        <v>23089</v>
      </c>
    </row>
    <row r="31097" spans="1:4" x14ac:dyDescent="0.2">
      <c r="B31097" t="s">
        <v>273</v>
      </c>
      <c r="C31097" t="s">
        <v>81</v>
      </c>
      <c r="D31097" t="s">
        <v>8880</v>
      </c>
    </row>
    <row r="31098" spans="1:4" x14ac:dyDescent="0.2">
      <c r="B31098" t="s">
        <v>35</v>
      </c>
      <c r="C31098" t="s">
        <v>10240</v>
      </c>
      <c r="D31098" t="s">
        <v>11069</v>
      </c>
    </row>
    <row r="31100" spans="1:4" x14ac:dyDescent="0.2">
      <c r="A31100" t="s">
        <v>10241</v>
      </c>
      <c r="B31100" t="str">
        <f>HYPERLINK("https://lindat.mff.cuni.cz/services/teitok/pdtc10/index.php?action=vallex&amp;frame=v-w4277f1", "prezentovat (v-w4277f1)")</f>
        <v>prezentovat (v-w4277f1)</v>
      </c>
    </row>
    <row r="31101" spans="1:4" x14ac:dyDescent="0.2">
      <c r="B31101" t="s">
        <v>1</v>
      </c>
      <c r="C31101" t="s">
        <v>3765</v>
      </c>
      <c r="D31101" t="s">
        <v>23089</v>
      </c>
    </row>
    <row r="31102" spans="1:4" x14ac:dyDescent="0.2">
      <c r="B31102" t="s">
        <v>8</v>
      </c>
      <c r="C31102" t="s">
        <v>10242</v>
      </c>
      <c r="D31102" t="s">
        <v>8880</v>
      </c>
    </row>
    <row r="31103" spans="1:4" x14ac:dyDescent="0.2">
      <c r="B31103" t="s">
        <v>216</v>
      </c>
      <c r="C31103" t="s">
        <v>10240</v>
      </c>
      <c r="D31103" t="s">
        <v>11069</v>
      </c>
    </row>
    <row r="31105" spans="1:4" x14ac:dyDescent="0.2">
      <c r="A31105" t="s">
        <v>10243</v>
      </c>
      <c r="B31105" t="str">
        <f>HYPERLINK("https://lindat.mff.cuni.cz/services/teitok/pdtc10/index.php?action=vallex&amp;frame=v-w4278f2", "prezentovat se (v-w4278f2)")</f>
        <v>prezentovat se (v-w4278f2)</v>
      </c>
    </row>
    <row r="31106" spans="1:4" x14ac:dyDescent="0.2">
      <c r="B31106" t="s">
        <v>1</v>
      </c>
      <c r="C31106" t="s">
        <v>249</v>
      </c>
      <c r="D31106" t="s">
        <v>133</v>
      </c>
    </row>
    <row r="31107" spans="1:4" x14ac:dyDescent="0.2">
      <c r="B31107" t="s">
        <v>86</v>
      </c>
      <c r="D31107" t="s">
        <v>991</v>
      </c>
    </row>
    <row r="31109" spans="1:4" x14ac:dyDescent="0.2">
      <c r="A31109" t="s">
        <v>10244</v>
      </c>
      <c r="B31109" t="str">
        <f>HYPERLINK("https://lindat.mff.cuni.cz/services/teitok/pdtc10/index.php?action=vallex&amp;frame=v-w4278f1", "prezentovat se (v-w4278f1)")</f>
        <v>prezentovat se (v-w4278f1)</v>
      </c>
    </row>
    <row r="31110" spans="1:4" x14ac:dyDescent="0.2">
      <c r="B31110" t="s">
        <v>1</v>
      </c>
      <c r="C31110" t="s">
        <v>2749</v>
      </c>
      <c r="D31110" t="s">
        <v>23029</v>
      </c>
    </row>
    <row r="31111" spans="1:4" x14ac:dyDescent="0.2">
      <c r="B31111" t="s">
        <v>346</v>
      </c>
      <c r="C31111" t="s">
        <v>10245</v>
      </c>
      <c r="D31111" t="s">
        <v>23030</v>
      </c>
    </row>
    <row r="31112" spans="1:4" x14ac:dyDescent="0.2">
      <c r="B31112" t="s">
        <v>348</v>
      </c>
      <c r="D31112" t="s">
        <v>23907</v>
      </c>
    </row>
    <row r="31113" spans="1:4" x14ac:dyDescent="0.2">
      <c r="B31113" t="s">
        <v>349</v>
      </c>
      <c r="D31113" t="s">
        <v>23908</v>
      </c>
    </row>
    <row r="31114" spans="1:4" x14ac:dyDescent="0.2">
      <c r="B31114" t="s">
        <v>350</v>
      </c>
      <c r="D31114" t="s">
        <v>23909</v>
      </c>
    </row>
    <row r="31115" spans="1:4" x14ac:dyDescent="0.2">
      <c r="B31115" t="s">
        <v>351</v>
      </c>
      <c r="D31115" t="s">
        <v>23910</v>
      </c>
    </row>
    <row r="31117" spans="1:4" x14ac:dyDescent="0.2">
      <c r="A31117" t="s">
        <v>10246</v>
      </c>
      <c r="B31117" t="str">
        <f>HYPERLINK("https://lindat.mff.cuni.cz/services/teitok/pdtc10/index.php?action=vallex&amp;frame=v-w4284f1", "privatizovat (v-w4284f1)")</f>
        <v>privatizovat (v-w4284f1)</v>
      </c>
    </row>
    <row r="31118" spans="1:4" x14ac:dyDescent="0.2">
      <c r="B31118" t="s">
        <v>1</v>
      </c>
      <c r="C31118" t="s">
        <v>33</v>
      </c>
      <c r="D31118" t="s">
        <v>133</v>
      </c>
    </row>
    <row r="31119" spans="1:4" x14ac:dyDescent="0.2">
      <c r="B31119" t="s">
        <v>8</v>
      </c>
      <c r="C31119" t="s">
        <v>1128</v>
      </c>
      <c r="D31119" t="s">
        <v>23</v>
      </c>
    </row>
    <row r="31121" spans="1:4" x14ac:dyDescent="0.2">
      <c r="A31121" t="s">
        <v>10247</v>
      </c>
      <c r="B31121" t="str">
        <f>HYPERLINK("https://lindat.mff.cuni.cz/services/teitok/pdtc10/index.php?action=vallex&amp;frame=v-w12359_MMf1_MM", "probarvovat (v-w12359_MMf1_MM)")</f>
        <v>probarvovat (v-w12359_MMf1_MM)</v>
      </c>
    </row>
    <row r="31122" spans="1:4" x14ac:dyDescent="0.2">
      <c r="B31122" t="s">
        <v>1</v>
      </c>
    </row>
    <row r="31123" spans="1:4" x14ac:dyDescent="0.2">
      <c r="B31123" t="s">
        <v>8</v>
      </c>
    </row>
    <row r="31125" spans="1:4" x14ac:dyDescent="0.2">
      <c r="A31125" t="s">
        <v>10248</v>
      </c>
      <c r="B31125" t="str">
        <f>HYPERLINK("https://lindat.mff.cuni.cz/services/teitok/pdtc10/index.php?action=vallex&amp;frame=v-whsa_506hsa_507", "probdít (v-whsa_506hsa_507)")</f>
        <v>probdít (v-whsa_506hsa_507)</v>
      </c>
    </row>
    <row r="31126" spans="1:4" x14ac:dyDescent="0.2">
      <c r="B31126" t="s">
        <v>1</v>
      </c>
    </row>
    <row r="31127" spans="1:4" x14ac:dyDescent="0.2">
      <c r="B31127" t="s">
        <v>8</v>
      </c>
    </row>
    <row r="31129" spans="1:4" x14ac:dyDescent="0.2">
      <c r="A31129" t="s">
        <v>10249</v>
      </c>
      <c r="B31129" t="str">
        <f>HYPERLINK("https://lindat.mff.cuni.cz/services/teitok/pdtc10/index.php?action=vallex&amp;frame=v-w4293f1", "problematizovat (v-w4293f1)")</f>
        <v>problematizovat (v-w4293f1)</v>
      </c>
    </row>
    <row r="31130" spans="1:4" x14ac:dyDescent="0.2">
      <c r="B31130" t="s">
        <v>1</v>
      </c>
    </row>
    <row r="31131" spans="1:4" x14ac:dyDescent="0.2">
      <c r="B31131" t="s">
        <v>8</v>
      </c>
    </row>
    <row r="31133" spans="1:4" x14ac:dyDescent="0.2">
      <c r="A31133" t="s">
        <v>10250</v>
      </c>
      <c r="B31133" t="str">
        <f>HYPERLINK("https://lindat.mff.cuni.cz/services/teitok/pdtc10/index.php?action=vallex&amp;frame=v-w10055f2", "problesknout (v-w10055f2)")</f>
        <v>problesknout (v-w10055f2)</v>
      </c>
    </row>
    <row r="31134" spans="1:4" x14ac:dyDescent="0.2">
      <c r="B31134" t="s">
        <v>1</v>
      </c>
      <c r="D31134" t="s">
        <v>23921</v>
      </c>
    </row>
    <row r="31136" spans="1:4" x14ac:dyDescent="0.2">
      <c r="A31136" t="s">
        <v>10251</v>
      </c>
      <c r="B31136" t="str">
        <f>HYPERLINK("https://lindat.mff.cuni.cz/services/teitok/pdtc10/index.php?action=vallex&amp;frame=v-w4294f1", "probleskovat (v-w4294f1)")</f>
        <v>probleskovat (v-w4294f1)</v>
      </c>
    </row>
    <row r="31137" spans="1:4" x14ac:dyDescent="0.2">
      <c r="B31137" t="s">
        <v>1</v>
      </c>
      <c r="D31137" t="s">
        <v>23921</v>
      </c>
    </row>
    <row r="31139" spans="1:4" x14ac:dyDescent="0.2">
      <c r="A31139" t="s">
        <v>10252</v>
      </c>
      <c r="B31139" t="str">
        <f>HYPERLINK("https://lindat.mff.cuni.cz/services/teitok/pdtc10/index.php?action=vallex&amp;frame=v-w4295f1", "probodnout (v-w4295f1)")</f>
        <v>probodnout (v-w4295f1)</v>
      </c>
    </row>
    <row r="31140" spans="1:4" x14ac:dyDescent="0.2">
      <c r="B31140" t="s">
        <v>1</v>
      </c>
    </row>
    <row r="31141" spans="1:4" x14ac:dyDescent="0.2">
      <c r="B31141" t="s">
        <v>8</v>
      </c>
    </row>
    <row r="31143" spans="1:4" x14ac:dyDescent="0.2">
      <c r="A31143" t="s">
        <v>10253</v>
      </c>
      <c r="B31143" t="str">
        <f>HYPERLINK("https://lindat.mff.cuni.cz/services/teitok/pdtc10/index.php?action=vallex&amp;frame=v-w4296f1", "probojovat se (v-w4296f1)")</f>
        <v>probojovat se (v-w4296f1)</v>
      </c>
    </row>
    <row r="31144" spans="1:4" x14ac:dyDescent="0.2">
      <c r="B31144" t="s">
        <v>1</v>
      </c>
      <c r="C31144" t="s">
        <v>133</v>
      </c>
    </row>
    <row r="31145" spans="1:4" x14ac:dyDescent="0.2">
      <c r="B31145" t="s">
        <v>90</v>
      </c>
    </row>
    <row r="31147" spans="1:4" x14ac:dyDescent="0.2">
      <c r="A31147" t="s">
        <v>10254</v>
      </c>
      <c r="B31147" t="str">
        <f>HYPERLINK("https://lindat.mff.cuni.cz/services/teitok/pdtc10/index.php?action=vallex&amp;frame=v-w4297f2_ZU", "probouzet (v-w4297f2_ZU)")</f>
        <v>probouzet (v-w4297f2_ZU)</v>
      </c>
    </row>
    <row r="31148" spans="1:4" x14ac:dyDescent="0.2">
      <c r="B31148" t="s">
        <v>1</v>
      </c>
    </row>
    <row r="31149" spans="1:4" x14ac:dyDescent="0.2">
      <c r="B31149" t="s">
        <v>10255</v>
      </c>
    </row>
    <row r="31151" spans="1:4" x14ac:dyDescent="0.2">
      <c r="A31151" t="s">
        <v>10254</v>
      </c>
      <c r="B31151" t="str">
        <f>HYPERLINK("https://lindat.mff.cuni.cz/services/teitok/pdtc10/index.php?action=vallex&amp;frame=v-w4297f1", "probouzet (v-w4297f1) - substituted with v-w4297f2_ZU")</f>
        <v>probouzet (v-w4297f1) - substituted with v-w4297f2_ZU</v>
      </c>
    </row>
    <row r="31152" spans="1:4" x14ac:dyDescent="0.2">
      <c r="B31152" t="s">
        <v>1</v>
      </c>
    </row>
    <row r="31153" spans="1:4" x14ac:dyDescent="0.2">
      <c r="B31153" t="s">
        <v>10255</v>
      </c>
    </row>
    <row r="31155" spans="1:4" x14ac:dyDescent="0.2">
      <c r="A31155" t="s">
        <v>10256</v>
      </c>
      <c r="B31155" t="str">
        <f>HYPERLINK("https://lindat.mff.cuni.cz/services/teitok/pdtc10/index.php?action=vallex&amp;frame=v-w4297f3_ZU", "probouzet (v-w4297f3_ZU)")</f>
        <v>probouzet (v-w4297f3_ZU)</v>
      </c>
    </row>
    <row r="31156" spans="1:4" x14ac:dyDescent="0.2">
      <c r="B31156" t="s">
        <v>1</v>
      </c>
    </row>
    <row r="31157" spans="1:4" x14ac:dyDescent="0.2">
      <c r="B31157" t="s">
        <v>8</v>
      </c>
    </row>
    <row r="31158" spans="1:4" x14ac:dyDescent="0.2">
      <c r="B31158" t="s">
        <v>24</v>
      </c>
    </row>
    <row r="31160" spans="1:4" x14ac:dyDescent="0.2">
      <c r="A31160" t="s">
        <v>10257</v>
      </c>
      <c r="B31160" t="str">
        <f>HYPERLINK("https://lindat.mff.cuni.cz/services/teitok/pdtc10/index.php?action=vallex&amp;frame=v-w4298f1", "probouzet se (v-w4298f1)")</f>
        <v>probouzet se (v-w4298f1)</v>
      </c>
    </row>
    <row r="31161" spans="1:4" x14ac:dyDescent="0.2">
      <c r="B31161" t="s">
        <v>1</v>
      </c>
      <c r="C31161" t="s">
        <v>10258</v>
      </c>
      <c r="D31161" t="s">
        <v>2008</v>
      </c>
    </row>
    <row r="31162" spans="1:4" x14ac:dyDescent="0.2">
      <c r="B31162" t="s">
        <v>438</v>
      </c>
    </row>
    <row r="31164" spans="1:4" x14ac:dyDescent="0.2">
      <c r="A31164" t="s">
        <v>10259</v>
      </c>
      <c r="B31164" t="str">
        <f>HYPERLINK("https://lindat.mff.cuni.cz/services/teitok/pdtc10/index.php?action=vallex&amp;frame=v-whsa_1647hsa_1648", "probořit se (v-whsa_1647hsa_1648)")</f>
        <v>probořit se (v-whsa_1647hsa_1648)</v>
      </c>
    </row>
    <row r="31165" spans="1:4" x14ac:dyDescent="0.2">
      <c r="B31165" t="s">
        <v>1</v>
      </c>
    </row>
    <row r="31167" spans="1:4" x14ac:dyDescent="0.2">
      <c r="A31167" t="s">
        <v>10260</v>
      </c>
      <c r="B31167" t="str">
        <f>HYPERLINK("https://lindat.mff.cuni.cz/services/teitok/pdtc10/index.php?action=vallex&amp;frame=v-w4299f1", "probrat (v-w4299f1)")</f>
        <v>probrat (v-w4299f1)</v>
      </c>
    </row>
    <row r="31168" spans="1:4" x14ac:dyDescent="0.2">
      <c r="B31168" t="s">
        <v>1</v>
      </c>
      <c r="C31168" t="s">
        <v>10261</v>
      </c>
      <c r="D31168" t="s">
        <v>22973</v>
      </c>
    </row>
    <row r="31169" spans="1:4" x14ac:dyDescent="0.2">
      <c r="B31169" t="s">
        <v>124</v>
      </c>
      <c r="C31169" t="s">
        <v>2368</v>
      </c>
      <c r="D31169" t="s">
        <v>22974</v>
      </c>
    </row>
    <row r="31170" spans="1:4" x14ac:dyDescent="0.2">
      <c r="B31170" t="s">
        <v>153</v>
      </c>
      <c r="C31170" t="s">
        <v>1278</v>
      </c>
      <c r="D31170" t="s">
        <v>22975</v>
      </c>
    </row>
    <row r="31172" spans="1:4" x14ac:dyDescent="0.2">
      <c r="A31172" t="s">
        <v>10262</v>
      </c>
      <c r="B31172" t="str">
        <f>HYPERLINK("https://lindat.mff.cuni.cz/services/teitok/pdtc10/index.php?action=vallex&amp;frame=v-w4299f3", "probrat (v-w4299f3)")</f>
        <v>probrat (v-w4299f3)</v>
      </c>
    </row>
    <row r="31173" spans="1:4" x14ac:dyDescent="0.2">
      <c r="B31173" t="s">
        <v>1</v>
      </c>
      <c r="D31173" t="s">
        <v>33</v>
      </c>
    </row>
    <row r="31174" spans="1:4" x14ac:dyDescent="0.2">
      <c r="B31174" t="s">
        <v>8</v>
      </c>
      <c r="D31174" t="s">
        <v>991</v>
      </c>
    </row>
    <row r="31175" spans="1:4" x14ac:dyDescent="0.2">
      <c r="B31175" t="s">
        <v>24</v>
      </c>
    </row>
    <row r="31177" spans="1:4" x14ac:dyDescent="0.2">
      <c r="A31177" t="s">
        <v>10263</v>
      </c>
      <c r="B31177" t="str">
        <f>HYPERLINK("https://lindat.mff.cuni.cz/services/teitok/pdtc10/index.php?action=vallex&amp;frame=v-w4299f2", "probrat (v-w4299f2)")</f>
        <v>probrat (v-w4299f2)</v>
      </c>
    </row>
    <row r="31178" spans="1:4" x14ac:dyDescent="0.2">
      <c r="B31178" t="s">
        <v>1</v>
      </c>
    </row>
    <row r="31179" spans="1:4" x14ac:dyDescent="0.2">
      <c r="B31179" t="s">
        <v>8</v>
      </c>
    </row>
    <row r="31181" spans="1:4" x14ac:dyDescent="0.2">
      <c r="A31181" t="s">
        <v>10264</v>
      </c>
      <c r="B31181" t="str">
        <f>HYPERLINK("https://lindat.mff.cuni.cz/services/teitok/pdtc10/index.php?action=vallex&amp;frame=v-w4299f4_ZU", "probrat (v-w4299f4_ZU)")</f>
        <v>probrat (v-w4299f4_ZU)</v>
      </c>
    </row>
    <row r="31182" spans="1:4" x14ac:dyDescent="0.2">
      <c r="B31182" t="s">
        <v>1</v>
      </c>
      <c r="D31182" t="s">
        <v>140</v>
      </c>
    </row>
    <row r="31183" spans="1:4" x14ac:dyDescent="0.2">
      <c r="B31183" t="s">
        <v>8</v>
      </c>
      <c r="D31183" t="s">
        <v>23</v>
      </c>
    </row>
    <row r="31185" spans="1:4" x14ac:dyDescent="0.2">
      <c r="A31185" t="s">
        <v>10265</v>
      </c>
      <c r="B31185" t="str">
        <f>HYPERLINK("https://lindat.mff.cuni.cz/services/teitok/pdtc10/index.php?action=vallex&amp;frame=v-w4300f1", "probrat se (v-w4300f1)")</f>
        <v>probrat se (v-w4300f1)</v>
      </c>
    </row>
    <row r="31186" spans="1:4" x14ac:dyDescent="0.2">
      <c r="B31186" t="s">
        <v>1</v>
      </c>
      <c r="C31186" t="s">
        <v>201</v>
      </c>
      <c r="D31186" t="s">
        <v>2008</v>
      </c>
    </row>
    <row r="31187" spans="1:4" x14ac:dyDescent="0.2">
      <c r="B31187" t="s">
        <v>438</v>
      </c>
    </row>
    <row r="31189" spans="1:4" x14ac:dyDescent="0.2">
      <c r="A31189" t="s">
        <v>10266</v>
      </c>
      <c r="B31189" t="str">
        <f>HYPERLINK("https://lindat.mff.cuni.cz/services/teitok/pdtc10/index.php?action=vallex&amp;frame=v-w4300f2_ZU", "probrat se (v-w4300f2_ZU)")</f>
        <v>probrat se (v-w4300f2_ZU)</v>
      </c>
    </row>
    <row r="31190" spans="1:4" x14ac:dyDescent="0.2">
      <c r="B31190" t="s">
        <v>1</v>
      </c>
      <c r="C31190" t="s">
        <v>140</v>
      </c>
      <c r="D31190" t="s">
        <v>140</v>
      </c>
    </row>
    <row r="31191" spans="1:4" x14ac:dyDescent="0.2">
      <c r="B31191" t="s">
        <v>3716</v>
      </c>
      <c r="C31191" t="s">
        <v>10267</v>
      </c>
      <c r="D31191" t="s">
        <v>10267</v>
      </c>
    </row>
    <row r="31193" spans="1:4" x14ac:dyDescent="0.2">
      <c r="A31193" t="s">
        <v>10268</v>
      </c>
      <c r="B31193" t="str">
        <f>HYPERLINK("https://lindat.mff.cuni.cz/services/teitok/pdtc10/index.php?action=vallex&amp;frame=v-w4301f4_ZU", "probudit (v-w4301f4_ZU)")</f>
        <v>probudit (v-w4301f4_ZU)</v>
      </c>
    </row>
    <row r="31194" spans="1:4" x14ac:dyDescent="0.2">
      <c r="B31194" t="s">
        <v>811</v>
      </c>
    </row>
    <row r="31195" spans="1:4" x14ac:dyDescent="0.2">
      <c r="B31195" t="s">
        <v>8</v>
      </c>
    </row>
    <row r="31196" spans="1:4" x14ac:dyDescent="0.2">
      <c r="B31196" t="s">
        <v>24</v>
      </c>
    </row>
    <row r="31198" spans="1:4" x14ac:dyDescent="0.2">
      <c r="A31198" t="s">
        <v>10268</v>
      </c>
      <c r="B31198" t="str">
        <f>HYPERLINK("https://lindat.mff.cuni.cz/services/teitok/pdtc10/index.php?action=vallex&amp;frame=v-w4301f2", "probudit (v-w4301f2) - substituted with v-w4301f4_ZU")</f>
        <v>probudit (v-w4301f2) - substituted with v-w4301f4_ZU</v>
      </c>
    </row>
    <row r="31199" spans="1:4" x14ac:dyDescent="0.2">
      <c r="B31199" t="s">
        <v>811</v>
      </c>
      <c r="C31199" t="s">
        <v>140</v>
      </c>
      <c r="D31199" t="s">
        <v>23922</v>
      </c>
    </row>
    <row r="31200" spans="1:4" x14ac:dyDescent="0.2">
      <c r="B31200" t="s">
        <v>8</v>
      </c>
      <c r="C31200" t="s">
        <v>23</v>
      </c>
      <c r="D31200" t="s">
        <v>23923</v>
      </c>
    </row>
    <row r="31201" spans="1:3" x14ac:dyDescent="0.2">
      <c r="B31201" t="s">
        <v>24</v>
      </c>
    </row>
    <row r="31203" spans="1:3" x14ac:dyDescent="0.2">
      <c r="A31203" t="s">
        <v>10269</v>
      </c>
      <c r="B31203" t="str">
        <f>HYPERLINK("https://lindat.mff.cuni.cz/services/teitok/pdtc10/index.php?action=vallex&amp;frame=v-w4301f3", "probudit (v-w4301f3)")</f>
        <v>probudit (v-w4301f3)</v>
      </c>
    </row>
    <row r="31204" spans="1:3" x14ac:dyDescent="0.2">
      <c r="B31204" t="s">
        <v>1</v>
      </c>
    </row>
    <row r="31205" spans="1:3" x14ac:dyDescent="0.2">
      <c r="B31205" t="s">
        <v>8</v>
      </c>
    </row>
    <row r="31206" spans="1:3" x14ac:dyDescent="0.2">
      <c r="B31206" t="s">
        <v>5</v>
      </c>
    </row>
    <row r="31208" spans="1:3" x14ac:dyDescent="0.2">
      <c r="A31208" t="s">
        <v>10270</v>
      </c>
      <c r="B31208" t="str">
        <f>HYPERLINK("https://lindat.mff.cuni.cz/services/teitok/pdtc10/index.php?action=vallex&amp;frame=v-w4301hsa_1035", "probudit (v-w4301hsa_1035)")</f>
        <v>probudit (v-w4301hsa_1035)</v>
      </c>
    </row>
    <row r="31209" spans="1:3" x14ac:dyDescent="0.2">
      <c r="B31209" t="s">
        <v>1</v>
      </c>
      <c r="C31209" t="s">
        <v>2303</v>
      </c>
    </row>
    <row r="31210" spans="1:3" x14ac:dyDescent="0.2">
      <c r="B31210" t="s">
        <v>10271</v>
      </c>
    </row>
    <row r="31211" spans="1:3" x14ac:dyDescent="0.2">
      <c r="B31211" t="s">
        <v>5</v>
      </c>
      <c r="C31211" t="s">
        <v>10272</v>
      </c>
    </row>
    <row r="31213" spans="1:3" x14ac:dyDescent="0.2">
      <c r="A31213" t="s">
        <v>10270</v>
      </c>
      <c r="B31213" t="str">
        <f>HYPERLINK("https://lindat.mff.cuni.cz/services/teitok/pdtc10/index.php?action=vallex&amp;frame=v-w4301f1", "probudit (v-w4301f1) - substituted with v-w4301hsa_1035")</f>
        <v>probudit (v-w4301f1) - substituted with v-w4301hsa_1035</v>
      </c>
    </row>
    <row r="31214" spans="1:3" x14ac:dyDescent="0.2">
      <c r="B31214" t="s">
        <v>1</v>
      </c>
    </row>
    <row r="31215" spans="1:3" x14ac:dyDescent="0.2">
      <c r="B31215" t="s">
        <v>10271</v>
      </c>
    </row>
    <row r="31216" spans="1:3" x14ac:dyDescent="0.2">
      <c r="B31216" t="s">
        <v>5</v>
      </c>
    </row>
    <row r="31218" spans="1:4" x14ac:dyDescent="0.2">
      <c r="A31218" t="s">
        <v>10273</v>
      </c>
      <c r="B31218" t="str">
        <f>HYPERLINK("https://lindat.mff.cuni.cz/services/teitok/pdtc10/index.php?action=vallex&amp;frame=v-w4302f1", "probudit se (v-w4302f1)")</f>
        <v>probudit se (v-w4302f1)</v>
      </c>
    </row>
    <row r="31219" spans="1:4" x14ac:dyDescent="0.2">
      <c r="B31219" t="s">
        <v>1</v>
      </c>
      <c r="C31219" t="s">
        <v>201</v>
      </c>
      <c r="D31219" t="s">
        <v>2008</v>
      </c>
    </row>
    <row r="31220" spans="1:4" x14ac:dyDescent="0.2">
      <c r="B31220" t="s">
        <v>438</v>
      </c>
    </row>
    <row r="31222" spans="1:4" x14ac:dyDescent="0.2">
      <c r="A31222" t="s">
        <v>10274</v>
      </c>
      <c r="B31222" t="str">
        <f>HYPERLINK("https://lindat.mff.cuni.cz/services/teitok/pdtc10/index.php?action=vallex&amp;frame=v-w4302f2", "probudit se (v-w4302f2)")</f>
        <v>probudit se (v-w4302f2)</v>
      </c>
    </row>
    <row r="31223" spans="1:4" x14ac:dyDescent="0.2">
      <c r="B31223" t="s">
        <v>1</v>
      </c>
      <c r="C31223" t="s">
        <v>201</v>
      </c>
      <c r="D31223" t="s">
        <v>2008</v>
      </c>
    </row>
    <row r="31224" spans="1:4" x14ac:dyDescent="0.2">
      <c r="B31224" t="s">
        <v>438</v>
      </c>
    </row>
    <row r="31226" spans="1:4" x14ac:dyDescent="0.2">
      <c r="A31226" t="s">
        <v>10275</v>
      </c>
      <c r="B31226" t="str">
        <f>HYPERLINK("https://lindat.mff.cuni.cz/services/teitok/pdtc10/index.php?action=vallex&amp;frame=v-w4302f3_ZU", "probudit se (v-w4302f3_ZU)")</f>
        <v>probudit se (v-w4302f3_ZU)</v>
      </c>
    </row>
    <row r="31227" spans="1:4" x14ac:dyDescent="0.2">
      <c r="B31227" t="s">
        <v>1</v>
      </c>
      <c r="C31227" t="s">
        <v>147</v>
      </c>
      <c r="D31227" t="s">
        <v>22988</v>
      </c>
    </row>
    <row r="31228" spans="1:4" x14ac:dyDescent="0.2">
      <c r="B31228" t="s">
        <v>10276</v>
      </c>
      <c r="C31228" t="s">
        <v>6839</v>
      </c>
    </row>
    <row r="31230" spans="1:4" x14ac:dyDescent="0.2">
      <c r="A31230" t="s">
        <v>10277</v>
      </c>
      <c r="B31230" t="str">
        <f>HYPERLINK("https://lindat.mff.cuni.cz/services/teitok/pdtc10/index.php?action=vallex&amp;frame=v-w11665_ZUf1_ZU", "probádat (v-w11665_ZUf1_ZU)")</f>
        <v>probádat (v-w11665_ZUf1_ZU)</v>
      </c>
    </row>
    <row r="31231" spans="1:4" x14ac:dyDescent="0.2">
      <c r="B31231" t="s">
        <v>1</v>
      </c>
      <c r="C31231" t="s">
        <v>2303</v>
      </c>
      <c r="D31231" t="s">
        <v>22952</v>
      </c>
    </row>
    <row r="31232" spans="1:4" x14ac:dyDescent="0.2">
      <c r="B31232" t="s">
        <v>8</v>
      </c>
      <c r="C31232" t="s">
        <v>3433</v>
      </c>
      <c r="D31232" t="s">
        <v>22953</v>
      </c>
    </row>
    <row r="31234" spans="1:4" x14ac:dyDescent="0.2">
      <c r="A31234" t="s">
        <v>10278</v>
      </c>
      <c r="B31234" t="str">
        <f>HYPERLINK("https://lindat.mff.cuni.cz/services/teitok/pdtc10/index.php?action=vallex&amp;frame=v-w4287f2", "probíhat (v-w4287f2)")</f>
        <v>probíhat (v-w4287f2)</v>
      </c>
    </row>
    <row r="31235" spans="1:4" x14ac:dyDescent="0.2">
      <c r="B31235" t="s">
        <v>1</v>
      </c>
    </row>
    <row r="31236" spans="1:4" x14ac:dyDescent="0.2">
      <c r="B31236" t="s">
        <v>192</v>
      </c>
    </row>
    <row r="31238" spans="1:4" x14ac:dyDescent="0.2">
      <c r="A31238" t="s">
        <v>10279</v>
      </c>
      <c r="B31238" t="str">
        <f>HYPERLINK("https://lindat.mff.cuni.cz/services/teitok/pdtc10/index.php?action=vallex&amp;frame=v-w4287f1", "probíhat (v-w4287f1)")</f>
        <v>probíhat (v-w4287f1)</v>
      </c>
    </row>
    <row r="31239" spans="1:4" x14ac:dyDescent="0.2">
      <c r="B31239" t="s">
        <v>1</v>
      </c>
      <c r="C31239" t="s">
        <v>10280</v>
      </c>
      <c r="D31239" t="s">
        <v>23041</v>
      </c>
    </row>
    <row r="31241" spans="1:4" x14ac:dyDescent="0.2">
      <c r="A31241" t="s">
        <v>10281</v>
      </c>
      <c r="B31241" t="str">
        <f>HYPERLINK("https://lindat.mff.cuni.cz/services/teitok/pdtc10/index.php?action=vallex&amp;frame=v-w4287f3", "probíhat (v-w4287f3)")</f>
        <v>probíhat (v-w4287f3)</v>
      </c>
    </row>
    <row r="31242" spans="1:4" x14ac:dyDescent="0.2">
      <c r="B31242" t="s">
        <v>1</v>
      </c>
    </row>
    <row r="31243" spans="1:4" x14ac:dyDescent="0.2">
      <c r="B31243" t="s">
        <v>10282</v>
      </c>
    </row>
    <row r="31245" spans="1:4" x14ac:dyDescent="0.2">
      <c r="A31245" t="s">
        <v>10283</v>
      </c>
      <c r="B31245" t="str">
        <f>HYPERLINK("https://lindat.mff.cuni.cz/services/teitok/pdtc10/index.php?action=vallex&amp;frame=v-w4287f4_ZU", "probíhat (v-w4287f4_ZU)")</f>
        <v>probíhat (v-w4287f4_ZU)</v>
      </c>
    </row>
    <row r="31246" spans="1:4" x14ac:dyDescent="0.2">
      <c r="B31246" t="s">
        <v>1</v>
      </c>
    </row>
    <row r="31248" spans="1:4" x14ac:dyDescent="0.2">
      <c r="A31248" t="s">
        <v>10284</v>
      </c>
      <c r="B31248" t="str">
        <f>HYPERLINK("https://lindat.mff.cuni.cz/services/teitok/pdtc10/index.php?action=vallex&amp;frame=v-w4289f2", "probírat (v-w4289f2)")</f>
        <v>probírat (v-w4289f2)</v>
      </c>
    </row>
    <row r="31249" spans="1:4" x14ac:dyDescent="0.2">
      <c r="B31249" t="s">
        <v>1</v>
      </c>
      <c r="C31249" t="s">
        <v>1275</v>
      </c>
      <c r="D31249" t="s">
        <v>22973</v>
      </c>
    </row>
    <row r="31250" spans="1:4" x14ac:dyDescent="0.2">
      <c r="B31250" t="s">
        <v>41</v>
      </c>
      <c r="C31250" t="s">
        <v>1277</v>
      </c>
      <c r="D31250" t="s">
        <v>22974</v>
      </c>
    </row>
    <row r="31251" spans="1:4" x14ac:dyDescent="0.2">
      <c r="B31251" t="s">
        <v>153</v>
      </c>
      <c r="C31251" t="s">
        <v>1278</v>
      </c>
      <c r="D31251" t="s">
        <v>22975</v>
      </c>
    </row>
    <row r="31253" spans="1:4" x14ac:dyDescent="0.2">
      <c r="A31253" t="s">
        <v>10285</v>
      </c>
      <c r="B31253" t="str">
        <f>HYPERLINK("https://lindat.mff.cuni.cz/services/teitok/pdtc10/index.php?action=vallex&amp;frame=v-w4289f3", "probírat (v-w4289f3)")</f>
        <v>probírat (v-w4289f3)</v>
      </c>
    </row>
    <row r="31254" spans="1:4" x14ac:dyDescent="0.2">
      <c r="B31254" t="s">
        <v>1</v>
      </c>
      <c r="D31254" t="s">
        <v>33</v>
      </c>
    </row>
    <row r="31255" spans="1:4" x14ac:dyDescent="0.2">
      <c r="B31255" t="s">
        <v>8</v>
      </c>
      <c r="D31255" t="s">
        <v>991</v>
      </c>
    </row>
    <row r="31256" spans="1:4" x14ac:dyDescent="0.2">
      <c r="B31256" t="s">
        <v>24</v>
      </c>
    </row>
    <row r="31258" spans="1:4" x14ac:dyDescent="0.2">
      <c r="A31258" t="s">
        <v>10286</v>
      </c>
      <c r="B31258" t="str">
        <f>HYPERLINK("https://lindat.mff.cuni.cz/services/teitok/pdtc10/index.php?action=vallex&amp;frame=v-w4289f1", "probírat (v-w4289f1)")</f>
        <v>probírat (v-w4289f1)</v>
      </c>
    </row>
    <row r="31259" spans="1:4" x14ac:dyDescent="0.2">
      <c r="B31259" t="s">
        <v>1</v>
      </c>
      <c r="D31259" t="s">
        <v>140</v>
      </c>
    </row>
    <row r="31260" spans="1:4" x14ac:dyDescent="0.2">
      <c r="B31260" t="s">
        <v>8</v>
      </c>
      <c r="C31260" t="s">
        <v>991</v>
      </c>
      <c r="D31260" t="s">
        <v>23</v>
      </c>
    </row>
    <row r="31262" spans="1:4" x14ac:dyDescent="0.2">
      <c r="A31262" t="s">
        <v>10287</v>
      </c>
      <c r="B31262" t="str">
        <f>HYPERLINK("https://lindat.mff.cuni.cz/services/teitok/pdtc10/index.php?action=vallex&amp;frame=v-w4289f4_ZU", "probírat (v-w4289f4_ZU)")</f>
        <v>probírat (v-w4289f4_ZU)</v>
      </c>
    </row>
    <row r="31263" spans="1:4" x14ac:dyDescent="0.2">
      <c r="B31263" t="s">
        <v>1</v>
      </c>
      <c r="C31263" t="s">
        <v>2555</v>
      </c>
    </row>
    <row r="31264" spans="1:4" x14ac:dyDescent="0.2">
      <c r="B31264" t="s">
        <v>8</v>
      </c>
      <c r="C31264" t="s">
        <v>240</v>
      </c>
    </row>
    <row r="31266" spans="1:4" x14ac:dyDescent="0.2">
      <c r="A31266" t="s">
        <v>10287</v>
      </c>
      <c r="B31266" t="str">
        <f>HYPERLINK("https://lindat.mff.cuni.cz/services/teitok/pdtc10/index.php?action=vallex&amp;frame=v-w4289hsa_982", "probírat (v-w4289hsa_982) - substituted with v-w4289f4_ZU")</f>
        <v>probírat (v-w4289hsa_982) - substituted with v-w4289f4_ZU</v>
      </c>
    </row>
    <row r="31267" spans="1:4" x14ac:dyDescent="0.2">
      <c r="B31267" t="s">
        <v>1</v>
      </c>
    </row>
    <row r="31268" spans="1:4" x14ac:dyDescent="0.2">
      <c r="B31268" t="s">
        <v>8</v>
      </c>
    </row>
    <row r="31270" spans="1:4" x14ac:dyDescent="0.2">
      <c r="A31270" t="s">
        <v>10288</v>
      </c>
      <c r="B31270" t="str">
        <f>HYPERLINK("https://lindat.mff.cuni.cz/services/teitok/pdtc10/index.php?action=vallex&amp;frame=v-w4290f1", "probírat se (v-w4290f1)")</f>
        <v>probírat se (v-w4290f1)</v>
      </c>
    </row>
    <row r="31271" spans="1:4" x14ac:dyDescent="0.2">
      <c r="B31271" t="s">
        <v>1</v>
      </c>
    </row>
    <row r="31272" spans="1:4" x14ac:dyDescent="0.2">
      <c r="B31272" t="s">
        <v>158</v>
      </c>
    </row>
    <row r="31274" spans="1:4" x14ac:dyDescent="0.2">
      <c r="A31274" t="s">
        <v>10289</v>
      </c>
      <c r="B31274" t="str">
        <f>HYPERLINK("https://lindat.mff.cuni.cz/services/teitok/pdtc10/index.php?action=vallex&amp;frame=v-w4290hsa_947", "probírat se (v-w4290hsa_947)")</f>
        <v>probírat se (v-w4290hsa_947)</v>
      </c>
    </row>
    <row r="31275" spans="1:4" x14ac:dyDescent="0.2">
      <c r="B31275" t="s">
        <v>1</v>
      </c>
      <c r="D31275" t="s">
        <v>140</v>
      </c>
    </row>
    <row r="31276" spans="1:4" x14ac:dyDescent="0.2">
      <c r="B31276" t="s">
        <v>192</v>
      </c>
      <c r="D31276" t="s">
        <v>10267</v>
      </c>
    </row>
    <row r="31278" spans="1:4" x14ac:dyDescent="0.2">
      <c r="A31278" t="s">
        <v>10290</v>
      </c>
      <c r="B31278" t="str">
        <f>HYPERLINK("https://lindat.mff.cuni.cz/services/teitok/pdtc10/index.php?action=vallex&amp;frame=v-w4291f1", "probít se (v-w4291f1)")</f>
        <v>probít se (v-w4291f1)</v>
      </c>
    </row>
    <row r="31279" spans="1:4" x14ac:dyDescent="0.2">
      <c r="B31279" t="s">
        <v>1</v>
      </c>
    </row>
    <row r="31280" spans="1:4" x14ac:dyDescent="0.2">
      <c r="B31280" t="s">
        <v>192</v>
      </c>
    </row>
    <row r="31282" spans="1:4" x14ac:dyDescent="0.2">
      <c r="A31282" t="s">
        <v>10291</v>
      </c>
      <c r="B31282" t="str">
        <f>HYPERLINK("https://lindat.mff.cuni.cz/services/teitok/pdtc10/index.php?action=vallex&amp;frame=v-w4286f3_ZU", "proběhnout (v-w4286f3_ZU)")</f>
        <v>proběhnout (v-w4286f3_ZU)</v>
      </c>
    </row>
    <row r="31283" spans="1:4" x14ac:dyDescent="0.2">
      <c r="B31283" t="s">
        <v>1</v>
      </c>
      <c r="C31283" t="s">
        <v>8806</v>
      </c>
    </row>
    <row r="31284" spans="1:4" x14ac:dyDescent="0.2">
      <c r="B31284" t="s">
        <v>8</v>
      </c>
      <c r="C31284" t="s">
        <v>1892</v>
      </c>
    </row>
    <row r="31286" spans="1:4" x14ac:dyDescent="0.2">
      <c r="A31286" t="s">
        <v>10292</v>
      </c>
      <c r="B31286" t="str">
        <f>HYPERLINK("https://lindat.mff.cuni.cz/services/teitok/pdtc10/index.php?action=vallex&amp;frame=v-w4286f2", "proběhnout (v-w4286f2)")</f>
        <v>proběhnout (v-w4286f2)</v>
      </c>
    </row>
    <row r="31287" spans="1:4" x14ac:dyDescent="0.2">
      <c r="B31287" t="s">
        <v>1</v>
      </c>
      <c r="C31287" t="s">
        <v>133</v>
      </c>
    </row>
    <row r="31288" spans="1:4" x14ac:dyDescent="0.2">
      <c r="B31288" t="s">
        <v>192</v>
      </c>
    </row>
    <row r="31290" spans="1:4" x14ac:dyDescent="0.2">
      <c r="A31290" t="s">
        <v>10293</v>
      </c>
      <c r="B31290" t="str">
        <f>HYPERLINK("https://lindat.mff.cuni.cz/services/teitok/pdtc10/index.php?action=vallex&amp;frame=v-w4286f1", "proběhnout (v-w4286f1)")</f>
        <v>proběhnout (v-w4286f1)</v>
      </c>
    </row>
    <row r="31291" spans="1:4" x14ac:dyDescent="0.2">
      <c r="B31291" t="s">
        <v>1</v>
      </c>
      <c r="C31291" t="s">
        <v>10294</v>
      </c>
      <c r="D31291" t="s">
        <v>22988</v>
      </c>
    </row>
    <row r="31293" spans="1:4" x14ac:dyDescent="0.2">
      <c r="A31293" t="s">
        <v>10295</v>
      </c>
      <c r="B31293" t="str">
        <f>HYPERLINK("https://lindat.mff.cuni.cz/services/teitok/pdtc10/index.php?action=vallex&amp;frame=v-w4286hsa_1675", "proběhnout (v-w4286hsa_1675)")</f>
        <v>proběhnout (v-w4286hsa_1675)</v>
      </c>
    </row>
    <row r="31294" spans="1:4" x14ac:dyDescent="0.2">
      <c r="B31294" t="s">
        <v>1</v>
      </c>
    </row>
    <row r="31295" spans="1:4" x14ac:dyDescent="0.2">
      <c r="B31295" t="s">
        <v>192</v>
      </c>
    </row>
    <row r="31297" spans="1:2" x14ac:dyDescent="0.2">
      <c r="A31297" t="s">
        <v>10296</v>
      </c>
      <c r="B31297" t="str">
        <f>HYPERLINK("https://lindat.mff.cuni.cz/services/teitok/pdtc10/index.php?action=vallex&amp;frame=v-whsa_1712hsa_1713", "proběhnout se (v-whsa_1712hsa_1713)")</f>
        <v>proběhnout se (v-whsa_1712hsa_1713)</v>
      </c>
    </row>
    <row r="31298" spans="1:2" x14ac:dyDescent="0.2">
      <c r="B31298" t="s">
        <v>1</v>
      </c>
    </row>
    <row r="31300" spans="1:2" x14ac:dyDescent="0.2">
      <c r="A31300" t="s">
        <v>10297</v>
      </c>
      <c r="B31300" t="str">
        <f>HYPERLINK("https://lindat.mff.cuni.cz/services/teitok/pdtc10/index.php?action=vallex&amp;frame=v-w4304f1", "procedit (v-w4304f1)")</f>
        <v>procedit (v-w4304f1)</v>
      </c>
    </row>
    <row r="31301" spans="1:2" x14ac:dyDescent="0.2">
      <c r="B31301" t="s">
        <v>1</v>
      </c>
    </row>
    <row r="31302" spans="1:2" x14ac:dyDescent="0.2">
      <c r="B31302" t="s">
        <v>8</v>
      </c>
    </row>
    <row r="31303" spans="1:2" x14ac:dyDescent="0.2">
      <c r="B31303" t="s">
        <v>78</v>
      </c>
    </row>
    <row r="31305" spans="1:2" x14ac:dyDescent="0.2">
      <c r="A31305" t="s">
        <v>10298</v>
      </c>
      <c r="B31305" t="str">
        <f>HYPERLINK("https://lindat.mff.cuni.cz/services/teitok/pdtc10/index.php?action=vallex&amp;frame=v-w4304f2", "procedit (v-w4304f2)")</f>
        <v>procedit (v-w4304f2)</v>
      </c>
    </row>
    <row r="31306" spans="1:2" x14ac:dyDescent="0.2">
      <c r="B31306" t="s">
        <v>1</v>
      </c>
    </row>
    <row r="31307" spans="1:2" x14ac:dyDescent="0.2">
      <c r="B31307" t="s">
        <v>8</v>
      </c>
    </row>
    <row r="31309" spans="1:2" x14ac:dyDescent="0.2">
      <c r="A31309" t="s">
        <v>10299</v>
      </c>
      <c r="B31309" t="str">
        <f>HYPERLINK("https://lindat.mff.cuni.cz/services/teitok/pdtc10/index.php?action=vallex&amp;frame=v-whsb_48hsa_49", "procestovat (v-whsb_48hsa_49)")</f>
        <v>procestovat (v-whsb_48hsa_49)</v>
      </c>
    </row>
    <row r="31310" spans="1:2" x14ac:dyDescent="0.2">
      <c r="B31310" t="s">
        <v>1</v>
      </c>
    </row>
    <row r="31311" spans="1:2" x14ac:dyDescent="0.2">
      <c r="B31311" t="s">
        <v>8</v>
      </c>
    </row>
    <row r="31313" spans="1:4" x14ac:dyDescent="0.2">
      <c r="A31313" t="s">
        <v>10300</v>
      </c>
      <c r="B31313" t="str">
        <f>HYPERLINK("https://lindat.mff.cuni.cz/services/teitok/pdtc10/index.php?action=vallex&amp;frame=v-whsa_1944hsa_1945", "prochodit (v-whsa_1944hsa_1945)")</f>
        <v>prochodit (v-whsa_1944hsa_1945)</v>
      </c>
    </row>
    <row r="31314" spans="1:4" x14ac:dyDescent="0.2">
      <c r="B31314" t="s">
        <v>1</v>
      </c>
    </row>
    <row r="31315" spans="1:4" x14ac:dyDescent="0.2">
      <c r="B31315" t="s">
        <v>8</v>
      </c>
    </row>
    <row r="31317" spans="1:4" x14ac:dyDescent="0.2">
      <c r="A31317" t="s">
        <v>10301</v>
      </c>
      <c r="B31317" t="str">
        <f>HYPERLINK("https://lindat.mff.cuni.cz/services/teitok/pdtc10/index.php?action=vallex&amp;frame=v-w4377f2", "procházet (v-w4377f2)")</f>
        <v>procházet (v-w4377f2)</v>
      </c>
    </row>
    <row r="31318" spans="1:4" x14ac:dyDescent="0.2">
      <c r="B31318" t="s">
        <v>1</v>
      </c>
    </row>
    <row r="31319" spans="1:4" x14ac:dyDescent="0.2">
      <c r="B31319" t="s">
        <v>8</v>
      </c>
    </row>
    <row r="31321" spans="1:4" x14ac:dyDescent="0.2">
      <c r="A31321" t="s">
        <v>10302</v>
      </c>
      <c r="B31321" t="str">
        <f>HYPERLINK("https://lindat.mff.cuni.cz/services/teitok/pdtc10/index.php?action=vallex&amp;frame=v-w4377f4_ZU", "procházet (v-w4377f4_ZU)")</f>
        <v>procházet (v-w4377f4_ZU)</v>
      </c>
    </row>
    <row r="31322" spans="1:4" x14ac:dyDescent="0.2">
      <c r="B31322" t="s">
        <v>1</v>
      </c>
      <c r="C31322" t="s">
        <v>3307</v>
      </c>
      <c r="D31322" t="s">
        <v>990</v>
      </c>
    </row>
    <row r="31323" spans="1:4" x14ac:dyDescent="0.2">
      <c r="B31323" t="s">
        <v>8</v>
      </c>
      <c r="C31323" t="s">
        <v>969</v>
      </c>
      <c r="D31323" t="s">
        <v>1340</v>
      </c>
    </row>
    <row r="31325" spans="1:4" x14ac:dyDescent="0.2">
      <c r="A31325" t="s">
        <v>10303</v>
      </c>
      <c r="B31325" t="str">
        <f>HYPERLINK("https://lindat.mff.cuni.cz/services/teitok/pdtc10/index.php?action=vallex&amp;frame=v-w4377f1", "procházet (v-w4377f1)")</f>
        <v>procházet (v-w4377f1)</v>
      </c>
    </row>
    <row r="31326" spans="1:4" x14ac:dyDescent="0.2">
      <c r="B31326" t="s">
        <v>1</v>
      </c>
      <c r="C31326" t="s">
        <v>10304</v>
      </c>
      <c r="D31326" t="s">
        <v>23818</v>
      </c>
    </row>
    <row r="31327" spans="1:4" x14ac:dyDescent="0.2">
      <c r="B31327" t="s">
        <v>192</v>
      </c>
      <c r="C31327" t="s">
        <v>10305</v>
      </c>
      <c r="D31327" t="s">
        <v>23924</v>
      </c>
    </row>
    <row r="31329" spans="1:4" x14ac:dyDescent="0.2">
      <c r="A31329" t="s">
        <v>10306</v>
      </c>
      <c r="B31329" t="str">
        <f>HYPERLINK("https://lindat.mff.cuni.cz/services/teitok/pdtc10/index.php?action=vallex&amp;frame=v-w4377f3", "procházet (v-w4377f3)")</f>
        <v>procházet (v-w4377f3)</v>
      </c>
    </row>
    <row r="31330" spans="1:4" x14ac:dyDescent="0.2">
      <c r="B31330" t="s">
        <v>1</v>
      </c>
      <c r="C31330" t="s">
        <v>10307</v>
      </c>
      <c r="D31330" t="s">
        <v>23925</v>
      </c>
    </row>
    <row r="31331" spans="1:4" x14ac:dyDescent="0.2">
      <c r="B31331" t="s">
        <v>192</v>
      </c>
    </row>
    <row r="31333" spans="1:4" x14ac:dyDescent="0.2">
      <c r="A31333" t="s">
        <v>10308</v>
      </c>
      <c r="B31333" t="str">
        <f>HYPERLINK("https://lindat.mff.cuni.cz/services/teitok/pdtc10/index.php?action=vallex&amp;frame=v-w4377f5_ZU", "procházet (v-w4377f5_ZU)")</f>
        <v>procházet (v-w4377f5_ZU)</v>
      </c>
    </row>
    <row r="31334" spans="1:4" x14ac:dyDescent="0.2">
      <c r="B31334" t="s">
        <v>1</v>
      </c>
      <c r="C31334" t="s">
        <v>127</v>
      </c>
      <c r="D31334" t="s">
        <v>23818</v>
      </c>
    </row>
    <row r="31335" spans="1:4" x14ac:dyDescent="0.2">
      <c r="B31335" t="s">
        <v>10309</v>
      </c>
      <c r="C31335" t="s">
        <v>10310</v>
      </c>
      <c r="D31335" t="s">
        <v>23926</v>
      </c>
    </row>
    <row r="31337" spans="1:4" x14ac:dyDescent="0.2">
      <c r="A31337" t="s">
        <v>10308</v>
      </c>
      <c r="B31337" t="str">
        <f>HYPERLINK("https://lindat.mff.cuni.cz/services/teitok/pdtc10/index.php?action=vallex&amp;frame=v-w4377hsa_125", "procházet (v-w4377hsa_125) - substituted with v-w4377f5_ZU")</f>
        <v>procházet (v-w4377hsa_125) - substituted with v-w4377f5_ZU</v>
      </c>
    </row>
    <row r="31338" spans="1:4" x14ac:dyDescent="0.2">
      <c r="B31338" t="s">
        <v>1</v>
      </c>
    </row>
    <row r="31339" spans="1:4" x14ac:dyDescent="0.2">
      <c r="B31339" t="s">
        <v>10309</v>
      </c>
    </row>
    <row r="31341" spans="1:4" x14ac:dyDescent="0.2">
      <c r="A31341" t="s">
        <v>10311</v>
      </c>
      <c r="B31341" t="str">
        <f>HYPERLINK("https://lindat.mff.cuni.cz/services/teitok/pdtc10/index.php?action=vallex&amp;frame=v-w4377f6_ZU", "procházet (v-w4377f6_ZU)")</f>
        <v>procházet (v-w4377f6_ZU)</v>
      </c>
    </row>
    <row r="31342" spans="1:4" x14ac:dyDescent="0.2">
      <c r="B31342" t="s">
        <v>1</v>
      </c>
    </row>
    <row r="31343" spans="1:4" x14ac:dyDescent="0.2">
      <c r="B31343" t="s">
        <v>103</v>
      </c>
    </row>
    <row r="31345" spans="1:4" x14ac:dyDescent="0.2">
      <c r="A31345" t="s">
        <v>10312</v>
      </c>
      <c r="B31345" t="str">
        <f>HYPERLINK("https://lindat.mff.cuni.cz/services/teitok/pdtc10/index.php?action=vallex&amp;frame=v-w4378f1", "procházet se (v-w4378f1)")</f>
        <v>procházet se (v-w4378f1)</v>
      </c>
    </row>
    <row r="31346" spans="1:4" x14ac:dyDescent="0.2">
      <c r="B31346" t="s">
        <v>1</v>
      </c>
      <c r="C31346" t="s">
        <v>140</v>
      </c>
      <c r="D31346" t="s">
        <v>92</v>
      </c>
    </row>
    <row r="31348" spans="1:4" x14ac:dyDescent="0.2">
      <c r="A31348" t="s">
        <v>10313</v>
      </c>
      <c r="B31348" t="str">
        <f>HYPERLINK("https://lindat.mff.cuni.cz/services/teitok/pdtc10/index.php?action=vallex&amp;frame=v-w4307f1", "procitnout (v-w4307f1)")</f>
        <v>procitnout (v-w4307f1)</v>
      </c>
    </row>
    <row r="31349" spans="1:4" x14ac:dyDescent="0.2">
      <c r="B31349" t="s">
        <v>1</v>
      </c>
    </row>
    <row r="31350" spans="1:4" x14ac:dyDescent="0.2">
      <c r="B31350" t="s">
        <v>438</v>
      </c>
    </row>
    <row r="31352" spans="1:4" x14ac:dyDescent="0.2">
      <c r="A31352" t="s">
        <v>10314</v>
      </c>
      <c r="B31352" t="str">
        <f>HYPERLINK("https://lindat.mff.cuni.cz/services/teitok/pdtc10/index.php?action=vallex&amp;frame=v-w4308f1", "proclít (v-w4308f1)")</f>
        <v>proclít (v-w4308f1)</v>
      </c>
    </row>
    <row r="31353" spans="1:4" x14ac:dyDescent="0.2">
      <c r="B31353" t="s">
        <v>1</v>
      </c>
    </row>
    <row r="31354" spans="1:4" x14ac:dyDescent="0.2">
      <c r="B31354" t="s">
        <v>8</v>
      </c>
    </row>
    <row r="31356" spans="1:4" x14ac:dyDescent="0.2">
      <c r="A31356" t="s">
        <v>10315</v>
      </c>
      <c r="B31356" t="str">
        <f>HYPERLINK("https://lindat.mff.cuni.cz/services/teitok/pdtc10/index.php?action=vallex&amp;frame=v-w4309f1", "proclívat (v-w4309f1)")</f>
        <v>proclívat (v-w4309f1)</v>
      </c>
    </row>
    <row r="31357" spans="1:4" x14ac:dyDescent="0.2">
      <c r="B31357" t="s">
        <v>1</v>
      </c>
    </row>
    <row r="31358" spans="1:4" x14ac:dyDescent="0.2">
      <c r="B31358" t="s">
        <v>8</v>
      </c>
    </row>
    <row r="31360" spans="1:4" x14ac:dyDescent="0.2">
      <c r="A31360" t="s">
        <v>10316</v>
      </c>
      <c r="B31360" t="str">
        <f>HYPERLINK("https://lindat.mff.cuni.cz/services/teitok/pdtc10/index.php?action=vallex&amp;frame=v-whsa_690f1_ZU", "procvičit (v-whsa_690f1_ZU)")</f>
        <v>procvičit (v-whsa_690f1_ZU)</v>
      </c>
    </row>
    <row r="31361" spans="1:3" x14ac:dyDescent="0.2">
      <c r="B31361" t="s">
        <v>1</v>
      </c>
    </row>
    <row r="31362" spans="1:3" x14ac:dyDescent="0.2">
      <c r="B31362" t="s">
        <v>8</v>
      </c>
    </row>
    <row r="31364" spans="1:3" x14ac:dyDescent="0.2">
      <c r="A31364" t="s">
        <v>10317</v>
      </c>
      <c r="B31364" t="str">
        <f>HYPERLINK("https://lindat.mff.cuni.cz/services/teitok/pdtc10/index.php?action=vallex&amp;frame=v-whsa_690hsa_691", "procvičit (v-whsa_690hsa_691)")</f>
        <v>procvičit (v-whsa_690hsa_691)</v>
      </c>
    </row>
    <row r="31365" spans="1:3" x14ac:dyDescent="0.2">
      <c r="B31365" t="s">
        <v>1</v>
      </c>
    </row>
    <row r="31366" spans="1:3" x14ac:dyDescent="0.2">
      <c r="B31366" t="s">
        <v>8</v>
      </c>
    </row>
    <row r="31368" spans="1:3" x14ac:dyDescent="0.2">
      <c r="A31368" t="s">
        <v>10318</v>
      </c>
      <c r="B31368" t="str">
        <f>HYPERLINK("https://lindat.mff.cuni.cz/services/teitok/pdtc10/index.php?action=vallex&amp;frame=v-w4310f1", "procvičovat (v-w4310f1)")</f>
        <v>procvičovat (v-w4310f1)</v>
      </c>
    </row>
    <row r="31369" spans="1:3" x14ac:dyDescent="0.2">
      <c r="B31369" t="s">
        <v>1</v>
      </c>
      <c r="C31369" t="s">
        <v>133</v>
      </c>
    </row>
    <row r="31370" spans="1:3" x14ac:dyDescent="0.2">
      <c r="B31370" t="s">
        <v>8</v>
      </c>
      <c r="C31370" t="s">
        <v>1025</v>
      </c>
    </row>
    <row r="31372" spans="1:3" x14ac:dyDescent="0.2">
      <c r="A31372" t="s">
        <v>10319</v>
      </c>
      <c r="B31372" t="str">
        <f>HYPERLINK("https://lindat.mff.cuni.cz/services/teitok/pdtc10/index.php?action=vallex&amp;frame=v-w4310hsa_1477", "procvičovat (v-w4310hsa_1477)")</f>
        <v>procvičovat (v-w4310hsa_1477)</v>
      </c>
    </row>
    <row r="31373" spans="1:3" x14ac:dyDescent="0.2">
      <c r="B31373" t="s">
        <v>1</v>
      </c>
    </row>
    <row r="31374" spans="1:3" x14ac:dyDescent="0.2">
      <c r="B31374" t="s">
        <v>8</v>
      </c>
    </row>
    <row r="31376" spans="1:3" x14ac:dyDescent="0.2">
      <c r="A31376" t="s">
        <v>10320</v>
      </c>
      <c r="B31376" t="str">
        <f>HYPERLINK("https://lindat.mff.cuni.cz/services/teitok/pdtc10/index.php?action=vallex&amp;frame=v-w4313f1", "prodat (v-w4313f1)")</f>
        <v>prodat (v-w4313f1)</v>
      </c>
    </row>
    <row r="31377" spans="1:4" x14ac:dyDescent="0.2">
      <c r="B31377" t="s">
        <v>1</v>
      </c>
      <c r="C31377" t="s">
        <v>10321</v>
      </c>
      <c r="D31377" t="s">
        <v>23665</v>
      </c>
    </row>
    <row r="31378" spans="1:4" x14ac:dyDescent="0.2">
      <c r="B31378" t="s">
        <v>8</v>
      </c>
      <c r="C31378" t="s">
        <v>10322</v>
      </c>
      <c r="D31378" t="s">
        <v>23666</v>
      </c>
    </row>
    <row r="31379" spans="1:4" x14ac:dyDescent="0.2">
      <c r="B31379" t="s">
        <v>35</v>
      </c>
      <c r="C31379" t="s">
        <v>10323</v>
      </c>
      <c r="D31379" t="s">
        <v>7394</v>
      </c>
    </row>
    <row r="31381" spans="1:4" x14ac:dyDescent="0.2">
      <c r="A31381" t="s">
        <v>10324</v>
      </c>
      <c r="B31381" t="str">
        <f>HYPERLINK("https://lindat.mff.cuni.cz/services/teitok/pdtc10/index.php?action=vallex&amp;frame=v-whsa_552f1_ZU", "prodchnout (v-whsa_552f1_ZU)")</f>
        <v>prodchnout (v-whsa_552f1_ZU)</v>
      </c>
    </row>
    <row r="31382" spans="1:4" x14ac:dyDescent="0.2">
      <c r="B31382" t="s">
        <v>1</v>
      </c>
      <c r="D31382" t="s">
        <v>3542</v>
      </c>
    </row>
    <row r="31383" spans="1:4" x14ac:dyDescent="0.2">
      <c r="B31383" t="s">
        <v>8</v>
      </c>
      <c r="D31383" t="s">
        <v>23927</v>
      </c>
    </row>
    <row r="31385" spans="1:4" x14ac:dyDescent="0.2">
      <c r="A31385" t="s">
        <v>10324</v>
      </c>
      <c r="B31385" t="str">
        <f>HYPERLINK("https://lindat.mff.cuni.cz/services/teitok/pdtc10/index.php?action=vallex&amp;frame=v-whsa_552hsa_553", "prodchnout (v-whsa_552hsa_553) - substituted with v-whsa_552f1_ZU")</f>
        <v>prodchnout (v-whsa_552hsa_553) - substituted with v-whsa_552f1_ZU</v>
      </c>
    </row>
    <row r="31386" spans="1:4" x14ac:dyDescent="0.2">
      <c r="B31386" t="s">
        <v>1</v>
      </c>
    </row>
    <row r="31387" spans="1:4" x14ac:dyDescent="0.2">
      <c r="B31387" t="s">
        <v>8</v>
      </c>
    </row>
    <row r="31389" spans="1:4" x14ac:dyDescent="0.2">
      <c r="A31389" t="s">
        <v>10325</v>
      </c>
      <c r="B31389" t="str">
        <f>HYPERLINK("https://lindat.mff.cuni.cz/services/teitok/pdtc10/index.php?action=vallex&amp;frame=v-w4324f1", "prodiskutovat (v-w4324f1)")</f>
        <v>prodiskutovat (v-w4324f1)</v>
      </c>
    </row>
    <row r="31390" spans="1:4" x14ac:dyDescent="0.2">
      <c r="B31390" t="s">
        <v>1</v>
      </c>
      <c r="C31390" t="s">
        <v>1275</v>
      </c>
      <c r="D31390" t="s">
        <v>22973</v>
      </c>
    </row>
    <row r="31391" spans="1:4" x14ac:dyDescent="0.2">
      <c r="B31391" t="s">
        <v>8</v>
      </c>
      <c r="C31391" t="s">
        <v>1277</v>
      </c>
      <c r="D31391" t="s">
        <v>22974</v>
      </c>
    </row>
    <row r="31392" spans="1:4" x14ac:dyDescent="0.2">
      <c r="B31392" t="s">
        <v>153</v>
      </c>
      <c r="C31392" t="s">
        <v>1278</v>
      </c>
      <c r="D31392" t="s">
        <v>22975</v>
      </c>
    </row>
    <row r="31394" spans="1:4" x14ac:dyDescent="0.2">
      <c r="A31394" t="s">
        <v>10326</v>
      </c>
      <c r="B31394" t="str">
        <f>HYPERLINK("https://lindat.mff.cuni.cz/services/teitok/pdtc10/index.php?action=vallex&amp;frame=v-w11564_ZUf1_ZU", "prodiskutovávat (v-w11564_ZUf1_ZU)")</f>
        <v>prodiskutovávat (v-w11564_ZUf1_ZU)</v>
      </c>
    </row>
    <row r="31395" spans="1:4" x14ac:dyDescent="0.2">
      <c r="B31395" t="s">
        <v>1</v>
      </c>
      <c r="C31395" t="s">
        <v>1275</v>
      </c>
      <c r="D31395" t="s">
        <v>22973</v>
      </c>
    </row>
    <row r="31396" spans="1:4" x14ac:dyDescent="0.2">
      <c r="B31396" t="s">
        <v>8</v>
      </c>
      <c r="C31396" t="s">
        <v>1277</v>
      </c>
      <c r="D31396" t="s">
        <v>22974</v>
      </c>
    </row>
    <row r="31397" spans="1:4" x14ac:dyDescent="0.2">
      <c r="B31397" t="s">
        <v>153</v>
      </c>
      <c r="C31397" t="s">
        <v>1278</v>
      </c>
      <c r="D31397" t="s">
        <v>22975</v>
      </c>
    </row>
    <row r="31399" spans="1:4" x14ac:dyDescent="0.2">
      <c r="A31399" t="s">
        <v>10327</v>
      </c>
      <c r="B31399" t="str">
        <f>HYPERLINK("https://lindat.mff.cuni.cz/services/teitok/pdtc10/index.php?action=vallex&amp;frame=v-w4326f1", "prodloužit (v-w4326f1)")</f>
        <v>prodloužit (v-w4326f1)</v>
      </c>
    </row>
    <row r="31400" spans="1:4" x14ac:dyDescent="0.2">
      <c r="B31400" t="s">
        <v>1</v>
      </c>
      <c r="C31400" t="s">
        <v>10328</v>
      </c>
      <c r="D31400" t="s">
        <v>7346</v>
      </c>
    </row>
    <row r="31401" spans="1:4" x14ac:dyDescent="0.2">
      <c r="B31401" t="s">
        <v>8</v>
      </c>
      <c r="C31401" t="s">
        <v>10329</v>
      </c>
      <c r="D31401" t="s">
        <v>341</v>
      </c>
    </row>
    <row r="31402" spans="1:4" x14ac:dyDescent="0.2">
      <c r="B31402" t="s">
        <v>24</v>
      </c>
      <c r="C31402" t="s">
        <v>10330</v>
      </c>
      <c r="D31402" t="s">
        <v>1289</v>
      </c>
    </row>
    <row r="31403" spans="1:4" x14ac:dyDescent="0.2">
      <c r="B31403" t="s">
        <v>61</v>
      </c>
      <c r="C31403" t="s">
        <v>10331</v>
      </c>
      <c r="D31403" t="s">
        <v>10334</v>
      </c>
    </row>
    <row r="31405" spans="1:4" x14ac:dyDescent="0.2">
      <c r="A31405" t="s">
        <v>10332</v>
      </c>
      <c r="B31405" t="str">
        <f>HYPERLINK("https://lindat.mff.cuni.cz/services/teitok/pdtc10/index.php?action=vallex&amp;frame=v-w4327f1", "prodloužit se (v-w4327f1)")</f>
        <v>prodloužit se (v-w4327f1)</v>
      </c>
    </row>
    <row r="31406" spans="1:4" x14ac:dyDescent="0.2">
      <c r="B31406" t="s">
        <v>1</v>
      </c>
      <c r="D31406" t="s">
        <v>2172</v>
      </c>
    </row>
    <row r="31408" spans="1:4" x14ac:dyDescent="0.2">
      <c r="A31408" t="s">
        <v>10333</v>
      </c>
      <c r="B31408" t="str">
        <f>HYPERLINK("https://lindat.mff.cuni.cz/services/teitok/pdtc10/index.php?action=vallex&amp;frame=v-w4329f1", "prodlužovat (v-w4329f1)")</f>
        <v>prodlužovat (v-w4329f1)</v>
      </c>
    </row>
    <row r="31409" spans="1:4" x14ac:dyDescent="0.2">
      <c r="B31409" t="s">
        <v>1</v>
      </c>
      <c r="C31409" t="s">
        <v>3292</v>
      </c>
      <c r="D31409" t="s">
        <v>7346</v>
      </c>
    </row>
    <row r="31410" spans="1:4" x14ac:dyDescent="0.2">
      <c r="B31410" t="s">
        <v>8</v>
      </c>
      <c r="C31410" t="s">
        <v>732</v>
      </c>
      <c r="D31410" t="s">
        <v>341</v>
      </c>
    </row>
    <row r="31411" spans="1:4" x14ac:dyDescent="0.2">
      <c r="B31411" t="s">
        <v>24</v>
      </c>
      <c r="C31411" t="s">
        <v>1289</v>
      </c>
      <c r="D31411" t="s">
        <v>1289</v>
      </c>
    </row>
    <row r="31412" spans="1:4" x14ac:dyDescent="0.2">
      <c r="B31412" t="s">
        <v>61</v>
      </c>
      <c r="C31412" t="s">
        <v>10334</v>
      </c>
      <c r="D31412" t="s">
        <v>10334</v>
      </c>
    </row>
    <row r="31414" spans="1:4" x14ac:dyDescent="0.2">
      <c r="A31414" t="s">
        <v>10335</v>
      </c>
      <c r="B31414" t="str">
        <f>HYPERLINK("https://lindat.mff.cuni.cz/services/teitok/pdtc10/index.php?action=vallex&amp;frame=v-w4330f1", "prodlužovat se (v-w4330f1)")</f>
        <v>prodlužovat se (v-w4330f1)</v>
      </c>
    </row>
    <row r="31415" spans="1:4" x14ac:dyDescent="0.2">
      <c r="B31415" t="s">
        <v>1</v>
      </c>
      <c r="C31415" t="s">
        <v>6669</v>
      </c>
    </row>
    <row r="31417" spans="1:4" x14ac:dyDescent="0.2">
      <c r="A31417" t="s">
        <v>10336</v>
      </c>
      <c r="B31417" t="str">
        <f>HYPERLINK("https://lindat.mff.cuni.cz/services/teitok/pdtc10/index.php?action=vallex&amp;frame=v-w4331f2", "prodrat se (v-w4331f2)")</f>
        <v>prodrat se (v-w4331f2)</v>
      </c>
    </row>
    <row r="31418" spans="1:4" x14ac:dyDescent="0.2">
      <c r="B31418" t="s">
        <v>1</v>
      </c>
      <c r="D31418" t="s">
        <v>14822</v>
      </c>
    </row>
    <row r="31419" spans="1:4" x14ac:dyDescent="0.2">
      <c r="B31419" t="s">
        <v>192</v>
      </c>
      <c r="D31419" t="s">
        <v>23928</v>
      </c>
    </row>
    <row r="31421" spans="1:4" x14ac:dyDescent="0.2">
      <c r="A31421" t="s">
        <v>10337</v>
      </c>
      <c r="B31421" t="str">
        <f>HYPERLINK("https://lindat.mff.cuni.cz/services/teitok/pdtc10/index.php?action=vallex&amp;frame=v-w4331f1", "prodrat se (v-w4331f1)")</f>
        <v>prodrat se (v-w4331f1)</v>
      </c>
    </row>
    <row r="31422" spans="1:4" x14ac:dyDescent="0.2">
      <c r="B31422" t="s">
        <v>1</v>
      </c>
    </row>
    <row r="31423" spans="1:4" x14ac:dyDescent="0.2">
      <c r="B31423" t="s">
        <v>90</v>
      </c>
    </row>
    <row r="31425" spans="1:4" x14ac:dyDescent="0.2">
      <c r="A31425" t="s">
        <v>10338</v>
      </c>
      <c r="B31425" t="str">
        <f>HYPERLINK("https://lindat.mff.cuni.cz/services/teitok/pdtc10/index.php?action=vallex&amp;frame=v-w4332f1", "prodražit (v-w4332f1)")</f>
        <v>prodražit (v-w4332f1)</v>
      </c>
    </row>
    <row r="31426" spans="1:4" x14ac:dyDescent="0.2">
      <c r="B31426" t="s">
        <v>1</v>
      </c>
    </row>
    <row r="31427" spans="1:4" x14ac:dyDescent="0.2">
      <c r="B31427" t="s">
        <v>8</v>
      </c>
    </row>
    <row r="31429" spans="1:4" x14ac:dyDescent="0.2">
      <c r="A31429" t="s">
        <v>10339</v>
      </c>
      <c r="B31429" t="str">
        <f>HYPERLINK("https://lindat.mff.cuni.cz/services/teitok/pdtc10/index.php?action=vallex&amp;frame=v-w4333f1", "prodražit se (v-w4333f1)")</f>
        <v>prodražit se (v-w4333f1)</v>
      </c>
    </row>
    <row r="31430" spans="1:4" x14ac:dyDescent="0.2">
      <c r="B31430" t="s">
        <v>1</v>
      </c>
    </row>
    <row r="31432" spans="1:4" x14ac:dyDescent="0.2">
      <c r="A31432" t="s">
        <v>10340</v>
      </c>
      <c r="B31432" t="str">
        <f>HYPERLINK("https://lindat.mff.cuni.cz/services/teitok/pdtc10/index.php?action=vallex&amp;frame=v-w4334f1", "prodražovat (v-w4334f1)")</f>
        <v>prodražovat (v-w4334f1)</v>
      </c>
    </row>
    <row r="31433" spans="1:4" x14ac:dyDescent="0.2">
      <c r="B31433" t="s">
        <v>1</v>
      </c>
    </row>
    <row r="31434" spans="1:4" x14ac:dyDescent="0.2">
      <c r="B31434" t="s">
        <v>8</v>
      </c>
    </row>
    <row r="31436" spans="1:4" x14ac:dyDescent="0.2">
      <c r="A31436" t="s">
        <v>10341</v>
      </c>
      <c r="B31436" t="str">
        <f>HYPERLINK("https://lindat.mff.cuni.cz/services/teitok/pdtc10/index.php?action=vallex&amp;frame=v-w4335f1", "prodražovat se (v-w4335f1)")</f>
        <v>prodražovat se (v-w4335f1)</v>
      </c>
    </row>
    <row r="31437" spans="1:4" x14ac:dyDescent="0.2">
      <c r="B31437" t="s">
        <v>1</v>
      </c>
    </row>
    <row r="31439" spans="1:4" x14ac:dyDescent="0.2">
      <c r="A31439" t="s">
        <v>10342</v>
      </c>
      <c r="B31439" t="str">
        <f>HYPERLINK("https://lindat.mff.cuni.cz/services/teitok/pdtc10/index.php?action=vallex&amp;frame=v-w4338f1", "produkovat (v-w4338f1)")</f>
        <v>produkovat (v-w4338f1)</v>
      </c>
    </row>
    <row r="31440" spans="1:4" x14ac:dyDescent="0.2">
      <c r="B31440" t="s">
        <v>1</v>
      </c>
      <c r="C31440" t="s">
        <v>10343</v>
      </c>
      <c r="D31440" t="s">
        <v>23929</v>
      </c>
    </row>
    <row r="31441" spans="1:4" x14ac:dyDescent="0.2">
      <c r="B31441" t="s">
        <v>8</v>
      </c>
      <c r="C31441" t="s">
        <v>10344</v>
      </c>
      <c r="D31441" t="s">
        <v>23930</v>
      </c>
    </row>
    <row r="31442" spans="1:4" x14ac:dyDescent="0.2">
      <c r="B31442" t="s">
        <v>24</v>
      </c>
      <c r="C31442" t="s">
        <v>10345</v>
      </c>
      <c r="D31442" t="s">
        <v>15554</v>
      </c>
    </row>
    <row r="31444" spans="1:4" x14ac:dyDescent="0.2">
      <c r="A31444" t="s">
        <v>10346</v>
      </c>
      <c r="B31444" t="str">
        <f>HYPERLINK("https://lindat.mff.cuni.cz/services/teitok/pdtc10/index.php?action=vallex&amp;frame=v-w4316f1", "prodávat (v-w4316f1)")</f>
        <v>prodávat (v-w4316f1)</v>
      </c>
    </row>
    <row r="31445" spans="1:4" x14ac:dyDescent="0.2">
      <c r="B31445" t="s">
        <v>1</v>
      </c>
      <c r="C31445" t="s">
        <v>10347</v>
      </c>
      <c r="D31445" t="s">
        <v>23665</v>
      </c>
    </row>
    <row r="31446" spans="1:4" x14ac:dyDescent="0.2">
      <c r="B31446" t="s">
        <v>8</v>
      </c>
      <c r="C31446" t="s">
        <v>10348</v>
      </c>
      <c r="D31446" t="s">
        <v>23666</v>
      </c>
    </row>
    <row r="31447" spans="1:4" x14ac:dyDescent="0.2">
      <c r="B31447" t="s">
        <v>35</v>
      </c>
      <c r="C31447" t="s">
        <v>10349</v>
      </c>
      <c r="D31447" t="s">
        <v>7394</v>
      </c>
    </row>
    <row r="31449" spans="1:4" x14ac:dyDescent="0.2">
      <c r="A31449" t="s">
        <v>10350</v>
      </c>
      <c r="B31449" t="str">
        <f>HYPERLINK("https://lindat.mff.cuni.cz/services/teitok/pdtc10/index.php?action=vallex&amp;frame=v-w4323f1", "prodírat se (v-w4323f1)")</f>
        <v>prodírat se (v-w4323f1)</v>
      </c>
    </row>
    <row r="31450" spans="1:4" x14ac:dyDescent="0.2">
      <c r="B31450" t="s">
        <v>1</v>
      </c>
    </row>
    <row r="31452" spans="1:4" x14ac:dyDescent="0.2">
      <c r="A31452" t="s">
        <v>10351</v>
      </c>
      <c r="B31452" t="str">
        <f>HYPERLINK("https://lindat.mff.cuni.cz/services/teitok/pdtc10/index.php?action=vallex&amp;frame=v-w4320f2", "prodělat (v-w4320f2)")</f>
        <v>prodělat (v-w4320f2)</v>
      </c>
    </row>
    <row r="31453" spans="1:4" x14ac:dyDescent="0.2">
      <c r="B31453" t="s">
        <v>1</v>
      </c>
      <c r="C31453" t="s">
        <v>10352</v>
      </c>
      <c r="D31453" t="s">
        <v>83</v>
      </c>
    </row>
    <row r="31454" spans="1:4" x14ac:dyDescent="0.2">
      <c r="B31454" t="s">
        <v>8</v>
      </c>
      <c r="C31454" t="s">
        <v>10353</v>
      </c>
      <c r="D31454" t="s">
        <v>1331</v>
      </c>
    </row>
    <row r="31455" spans="1:4" x14ac:dyDescent="0.2">
      <c r="B31455" t="s">
        <v>442</v>
      </c>
    </row>
    <row r="31457" spans="1:4" x14ac:dyDescent="0.2">
      <c r="A31457" t="s">
        <v>10354</v>
      </c>
      <c r="B31457" t="str">
        <f>HYPERLINK("https://lindat.mff.cuni.cz/services/teitok/pdtc10/index.php?action=vallex&amp;frame=v-w4320f1", "prodělat (v-w4320f1)")</f>
        <v>prodělat (v-w4320f1)</v>
      </c>
    </row>
    <row r="31458" spans="1:4" x14ac:dyDescent="0.2">
      <c r="B31458" t="s">
        <v>1</v>
      </c>
      <c r="C31458" t="s">
        <v>10355</v>
      </c>
      <c r="D31458" t="s">
        <v>23818</v>
      </c>
    </row>
    <row r="31459" spans="1:4" x14ac:dyDescent="0.2">
      <c r="B31459" t="s">
        <v>8</v>
      </c>
      <c r="C31459" t="s">
        <v>10356</v>
      </c>
      <c r="D31459" t="s">
        <v>23819</v>
      </c>
    </row>
    <row r="31461" spans="1:4" x14ac:dyDescent="0.2">
      <c r="A31461" t="s">
        <v>10357</v>
      </c>
      <c r="B31461" t="str">
        <f>HYPERLINK("https://lindat.mff.cuni.cz/services/teitok/pdtc10/index.php?action=vallex&amp;frame=v-w4321f1", "prodělávat (v-w4321f1)")</f>
        <v>prodělávat (v-w4321f1)</v>
      </c>
    </row>
    <row r="31462" spans="1:4" x14ac:dyDescent="0.2">
      <c r="B31462" t="s">
        <v>1</v>
      </c>
      <c r="C31462" t="s">
        <v>6902</v>
      </c>
      <c r="D31462" t="s">
        <v>83</v>
      </c>
    </row>
    <row r="31463" spans="1:4" x14ac:dyDescent="0.2">
      <c r="B31463" t="s">
        <v>8</v>
      </c>
      <c r="C31463" t="s">
        <v>9714</v>
      </c>
      <c r="D31463" t="s">
        <v>1331</v>
      </c>
    </row>
    <row r="31464" spans="1:4" x14ac:dyDescent="0.2">
      <c r="B31464" t="s">
        <v>442</v>
      </c>
    </row>
    <row r="31466" spans="1:4" x14ac:dyDescent="0.2">
      <c r="A31466" t="s">
        <v>10358</v>
      </c>
      <c r="B31466" t="str">
        <f>HYPERLINK("https://lindat.mff.cuni.cz/services/teitok/pdtc10/index.php?action=vallex&amp;frame=v-w4321f2", "prodělávat (v-w4321f2)")</f>
        <v>prodělávat (v-w4321f2)</v>
      </c>
    </row>
    <row r="31467" spans="1:4" x14ac:dyDescent="0.2">
      <c r="B31467" t="s">
        <v>1</v>
      </c>
      <c r="D31467" t="s">
        <v>23818</v>
      </c>
    </row>
    <row r="31468" spans="1:4" x14ac:dyDescent="0.2">
      <c r="B31468" t="s">
        <v>8</v>
      </c>
      <c r="D31468" t="s">
        <v>23819</v>
      </c>
    </row>
    <row r="31470" spans="1:4" x14ac:dyDescent="0.2">
      <c r="A31470" t="s">
        <v>10359</v>
      </c>
      <c r="B31470" t="str">
        <f>HYPERLINK("https://lindat.mff.cuni.cz/services/teitok/pdtc10/index.php?action=vallex&amp;frame=v-w4342f1", "profanovat (v-w4342f1)")</f>
        <v>profanovat (v-w4342f1)</v>
      </c>
    </row>
    <row r="31471" spans="1:4" x14ac:dyDescent="0.2">
      <c r="B31471" t="s">
        <v>1</v>
      </c>
    </row>
    <row r="31472" spans="1:4" x14ac:dyDescent="0.2">
      <c r="B31472" t="s">
        <v>8</v>
      </c>
    </row>
    <row r="31474" spans="1:4" x14ac:dyDescent="0.2">
      <c r="A31474" t="s">
        <v>10360</v>
      </c>
      <c r="B31474" t="str">
        <f>HYPERLINK("https://lindat.mff.cuni.cz/services/teitok/pdtc10/index.php?action=vallex&amp;frame=v-w4344f1", "profesionalizovat (v-w4344f1)")</f>
        <v>profesionalizovat (v-w4344f1)</v>
      </c>
    </row>
    <row r="31475" spans="1:4" x14ac:dyDescent="0.2">
      <c r="B31475" t="s">
        <v>1</v>
      </c>
    </row>
    <row r="31476" spans="1:4" x14ac:dyDescent="0.2">
      <c r="B31476" t="s">
        <v>8</v>
      </c>
    </row>
    <row r="31478" spans="1:4" x14ac:dyDescent="0.2">
      <c r="A31478" t="s">
        <v>10361</v>
      </c>
      <c r="B31478" t="str">
        <f>HYPERLINK("https://lindat.mff.cuni.cz/services/teitok/pdtc10/index.php?action=vallex&amp;frame=v-w4346f1", "profilovat (v-w4346f1)")</f>
        <v>profilovat (v-w4346f1)</v>
      </c>
    </row>
    <row r="31479" spans="1:4" x14ac:dyDescent="0.2">
      <c r="B31479" t="s">
        <v>1</v>
      </c>
    </row>
    <row r="31480" spans="1:4" x14ac:dyDescent="0.2">
      <c r="B31480" t="s">
        <v>8</v>
      </c>
    </row>
    <row r="31482" spans="1:4" x14ac:dyDescent="0.2">
      <c r="A31482" t="s">
        <v>10362</v>
      </c>
      <c r="B31482" t="str">
        <f>HYPERLINK("https://lindat.mff.cuni.cz/services/teitok/pdtc10/index.php?action=vallex&amp;frame=v-w4347f3_ZU", "profitovat (v-w4347f3_ZU)")</f>
        <v>profitovat (v-w4347f3_ZU)</v>
      </c>
    </row>
    <row r="31483" spans="1:4" x14ac:dyDescent="0.2">
      <c r="B31483" t="s">
        <v>1</v>
      </c>
      <c r="C31483" t="s">
        <v>10363</v>
      </c>
      <c r="D31483" t="s">
        <v>23931</v>
      </c>
    </row>
    <row r="31484" spans="1:4" x14ac:dyDescent="0.2">
      <c r="B31484" t="s">
        <v>10364</v>
      </c>
      <c r="C31484" t="s">
        <v>10365</v>
      </c>
      <c r="D31484" t="s">
        <v>23932</v>
      </c>
    </row>
    <row r="31486" spans="1:4" x14ac:dyDescent="0.2">
      <c r="A31486" t="s">
        <v>10362</v>
      </c>
      <c r="B31486" t="str">
        <f>HYPERLINK("https://lindat.mff.cuni.cz/services/teitok/pdtc10/index.php?action=vallex&amp;frame=v-w4347f1", "profitovat (v-w4347f1) - substituted with v-w4347f3_ZU")</f>
        <v>profitovat (v-w4347f1) - substituted with v-w4347f3_ZU</v>
      </c>
    </row>
    <row r="31487" spans="1:4" x14ac:dyDescent="0.2">
      <c r="B31487" t="s">
        <v>1</v>
      </c>
      <c r="C31487" t="s">
        <v>10366</v>
      </c>
    </row>
    <row r="31488" spans="1:4" x14ac:dyDescent="0.2">
      <c r="B31488" t="s">
        <v>10364</v>
      </c>
      <c r="C31488" t="s">
        <v>10367</v>
      </c>
    </row>
    <row r="31490" spans="1:4" x14ac:dyDescent="0.2">
      <c r="A31490" t="s">
        <v>10362</v>
      </c>
      <c r="B31490" t="str">
        <f>HYPERLINK("https://lindat.mff.cuni.cz/services/teitok/pdtc10/index.php?action=vallex&amp;frame=v-w4347f2_ZU", "profitovat (v-w4347f2_ZU) - substituted with v-w4347f3_ZU")</f>
        <v>profitovat (v-w4347f2_ZU) - substituted with v-w4347f3_ZU</v>
      </c>
    </row>
    <row r="31491" spans="1:4" x14ac:dyDescent="0.2">
      <c r="B31491" t="s">
        <v>1</v>
      </c>
    </row>
    <row r="31492" spans="1:4" x14ac:dyDescent="0.2">
      <c r="B31492" t="s">
        <v>10364</v>
      </c>
    </row>
    <row r="31494" spans="1:4" x14ac:dyDescent="0.2">
      <c r="A31494" t="s">
        <v>10368</v>
      </c>
      <c r="B31494" t="str">
        <f>HYPERLINK("https://lindat.mff.cuni.cz/services/teitok/pdtc10/index.php?action=vallex&amp;frame=v-w4348f1", "profrčet (v-w4348f1)")</f>
        <v>profrčet (v-w4348f1)</v>
      </c>
    </row>
    <row r="31495" spans="1:4" x14ac:dyDescent="0.2">
      <c r="B31495" t="s">
        <v>1</v>
      </c>
    </row>
    <row r="31496" spans="1:4" x14ac:dyDescent="0.2">
      <c r="B31496" t="s">
        <v>192</v>
      </c>
    </row>
    <row r="31498" spans="1:4" x14ac:dyDescent="0.2">
      <c r="A31498" t="s">
        <v>10369</v>
      </c>
      <c r="B31498" t="str">
        <f>HYPERLINK("https://lindat.mff.cuni.cz/services/teitok/pdtc10/index.php?action=vallex&amp;frame=v-w4350f1", "prognózovat (v-w4350f1)")</f>
        <v>prognózovat (v-w4350f1)</v>
      </c>
    </row>
    <row r="31499" spans="1:4" x14ac:dyDescent="0.2">
      <c r="B31499" t="s">
        <v>1</v>
      </c>
    </row>
    <row r="31500" spans="1:4" x14ac:dyDescent="0.2">
      <c r="B31500" t="s">
        <v>41</v>
      </c>
    </row>
    <row r="31502" spans="1:4" x14ac:dyDescent="0.2">
      <c r="A31502" t="s">
        <v>10370</v>
      </c>
      <c r="B31502" t="str">
        <f>HYPERLINK("https://lindat.mff.cuni.cz/services/teitok/pdtc10/index.php?action=vallex&amp;frame=v-w10110f2", "programovat (v-w10110f2)")</f>
        <v>programovat (v-w10110f2)</v>
      </c>
    </row>
    <row r="31503" spans="1:4" x14ac:dyDescent="0.2">
      <c r="B31503" t="s">
        <v>1</v>
      </c>
      <c r="C31503" t="s">
        <v>140</v>
      </c>
      <c r="D31503" t="s">
        <v>140</v>
      </c>
    </row>
    <row r="31504" spans="1:4" x14ac:dyDescent="0.2">
      <c r="B31504" t="s">
        <v>8</v>
      </c>
      <c r="C31504" t="s">
        <v>7745</v>
      </c>
      <c r="D31504" t="s">
        <v>7745</v>
      </c>
    </row>
    <row r="31506" spans="1:4" x14ac:dyDescent="0.2">
      <c r="A31506" t="s">
        <v>10371</v>
      </c>
      <c r="B31506" t="str">
        <f>HYPERLINK("https://lindat.mff.cuni.cz/services/teitok/pdtc10/index.php?action=vallex&amp;frame=v-w4353f1", "prohazovat (v-w4353f1)")</f>
        <v>prohazovat (v-w4353f1)</v>
      </c>
    </row>
    <row r="31507" spans="1:4" x14ac:dyDescent="0.2">
      <c r="B31507" t="s">
        <v>1</v>
      </c>
    </row>
    <row r="31508" spans="1:4" x14ac:dyDescent="0.2">
      <c r="B31508" t="s">
        <v>8</v>
      </c>
    </row>
    <row r="31510" spans="1:4" x14ac:dyDescent="0.2">
      <c r="A31510" t="s">
        <v>10372</v>
      </c>
      <c r="B31510" t="str">
        <f>HYPERLINK("https://lindat.mff.cuni.cz/services/teitok/pdtc10/index.php?action=vallex&amp;frame=v-w4353hsa_1610", "prohazovat (v-w4353hsa_1610)")</f>
        <v>prohazovat (v-w4353hsa_1610)</v>
      </c>
    </row>
    <row r="31511" spans="1:4" x14ac:dyDescent="0.2">
      <c r="B31511" t="s">
        <v>1</v>
      </c>
    </row>
    <row r="31512" spans="1:4" x14ac:dyDescent="0.2">
      <c r="B31512" t="s">
        <v>8</v>
      </c>
    </row>
    <row r="31514" spans="1:4" x14ac:dyDescent="0.2">
      <c r="A31514" t="s">
        <v>10373</v>
      </c>
      <c r="B31514" t="str">
        <f>HYPERLINK("https://lindat.mff.cuni.cz/services/teitok/pdtc10/index.php?action=vallex&amp;frame=v-w4357f2", "prohlašovat (v-w4357f2)")</f>
        <v>prohlašovat (v-w4357f2)</v>
      </c>
    </row>
    <row r="31515" spans="1:4" x14ac:dyDescent="0.2">
      <c r="B31515" t="s">
        <v>1</v>
      </c>
      <c r="C31515" t="s">
        <v>10374</v>
      </c>
      <c r="D31515" t="s">
        <v>306</v>
      </c>
    </row>
    <row r="31516" spans="1:4" x14ac:dyDescent="0.2">
      <c r="B31516" t="s">
        <v>8</v>
      </c>
      <c r="C31516" t="s">
        <v>1044</v>
      </c>
      <c r="D31516" t="s">
        <v>3184</v>
      </c>
    </row>
    <row r="31517" spans="1:4" x14ac:dyDescent="0.2">
      <c r="B31517" t="s">
        <v>10375</v>
      </c>
      <c r="C31517" t="s">
        <v>10376</v>
      </c>
      <c r="D31517" t="s">
        <v>23933</v>
      </c>
    </row>
    <row r="31519" spans="1:4" x14ac:dyDescent="0.2">
      <c r="A31519" t="s">
        <v>10377</v>
      </c>
      <c r="B31519" t="str">
        <f>HYPERLINK("https://lindat.mff.cuni.cz/services/teitok/pdtc10/index.php?action=vallex&amp;frame=v-w4357f3", "prohlašovat (v-w4357f3)")</f>
        <v>prohlašovat (v-w4357f3)</v>
      </c>
    </row>
    <row r="31520" spans="1:4" x14ac:dyDescent="0.2">
      <c r="B31520" t="s">
        <v>1</v>
      </c>
    </row>
    <row r="31521" spans="1:4" x14ac:dyDescent="0.2">
      <c r="B31521" t="s">
        <v>8</v>
      </c>
    </row>
    <row r="31523" spans="1:4" x14ac:dyDescent="0.2">
      <c r="A31523" t="s">
        <v>10378</v>
      </c>
      <c r="B31523" t="str">
        <f>HYPERLINK("https://lindat.mff.cuni.cz/services/teitok/pdtc10/index.php?action=vallex&amp;frame=v-w4357f1", "prohlašovat (v-w4357f1)")</f>
        <v>prohlašovat (v-w4357f1)</v>
      </c>
    </row>
    <row r="31524" spans="1:4" x14ac:dyDescent="0.2">
      <c r="B31524" t="s">
        <v>1</v>
      </c>
      <c r="C31524" t="s">
        <v>10379</v>
      </c>
      <c r="D31524" t="s">
        <v>22967</v>
      </c>
    </row>
    <row r="31525" spans="1:4" x14ac:dyDescent="0.2">
      <c r="B31525" t="s">
        <v>4749</v>
      </c>
      <c r="C31525" t="s">
        <v>10380</v>
      </c>
      <c r="D31525" t="s">
        <v>23120</v>
      </c>
    </row>
    <row r="31526" spans="1:4" x14ac:dyDescent="0.2">
      <c r="B31526" t="s">
        <v>8854</v>
      </c>
      <c r="C31526" t="s">
        <v>1472</v>
      </c>
      <c r="D31526" t="s">
        <v>22968</v>
      </c>
    </row>
    <row r="31528" spans="1:4" x14ac:dyDescent="0.2">
      <c r="A31528" t="s">
        <v>10381</v>
      </c>
      <c r="B31528" t="str">
        <f>HYPERLINK("https://lindat.mff.cuni.cz/services/teitok/pdtc10/index.php?action=vallex&amp;frame=v-w4358f1", "prohledat (v-w4358f1)")</f>
        <v>prohledat (v-w4358f1)</v>
      </c>
    </row>
    <row r="31529" spans="1:4" x14ac:dyDescent="0.2">
      <c r="B31529" t="s">
        <v>1</v>
      </c>
      <c r="C31529" t="s">
        <v>33</v>
      </c>
      <c r="D31529" t="s">
        <v>990</v>
      </c>
    </row>
    <row r="31530" spans="1:4" x14ac:dyDescent="0.2">
      <c r="B31530" t="s">
        <v>8</v>
      </c>
      <c r="C31530" t="s">
        <v>991</v>
      </c>
      <c r="D31530" t="s">
        <v>1340</v>
      </c>
    </row>
    <row r="31532" spans="1:4" x14ac:dyDescent="0.2">
      <c r="A31532" t="s">
        <v>10382</v>
      </c>
      <c r="B31532" t="str">
        <f>HYPERLINK("https://lindat.mff.cuni.cz/services/teitok/pdtc10/index.php?action=vallex&amp;frame=v-w10979f2", "prohledávat (v-w10979f2)")</f>
        <v>prohledávat (v-w10979f2)</v>
      </c>
    </row>
    <row r="31533" spans="1:4" x14ac:dyDescent="0.2">
      <c r="B31533" t="s">
        <v>1</v>
      </c>
      <c r="C31533" t="s">
        <v>83</v>
      </c>
      <c r="D31533" t="s">
        <v>3358</v>
      </c>
    </row>
    <row r="31534" spans="1:4" x14ac:dyDescent="0.2">
      <c r="B31534" t="s">
        <v>8</v>
      </c>
      <c r="C31534" t="s">
        <v>991</v>
      </c>
      <c r="D31534" t="s">
        <v>354</v>
      </c>
    </row>
    <row r="31536" spans="1:4" x14ac:dyDescent="0.2">
      <c r="A31536" t="s">
        <v>10383</v>
      </c>
      <c r="B31536" t="str">
        <f>HYPERLINK("https://lindat.mff.cuni.cz/services/teitok/pdtc10/index.php?action=vallex&amp;frame=v-w4366f1", "prohloubit (v-w4366f1)")</f>
        <v>prohloubit (v-w4366f1)</v>
      </c>
    </row>
    <row r="31537" spans="1:4" x14ac:dyDescent="0.2">
      <c r="B31537" t="s">
        <v>1</v>
      </c>
      <c r="C31537" t="s">
        <v>10384</v>
      </c>
      <c r="D31537" t="s">
        <v>1680</v>
      </c>
    </row>
    <row r="31538" spans="1:4" x14ac:dyDescent="0.2">
      <c r="B31538" t="s">
        <v>8</v>
      </c>
      <c r="C31538" t="s">
        <v>10385</v>
      </c>
      <c r="D31538" t="s">
        <v>17650</v>
      </c>
    </row>
    <row r="31540" spans="1:4" x14ac:dyDescent="0.2">
      <c r="A31540" t="s">
        <v>10386</v>
      </c>
      <c r="B31540" t="str">
        <f>HYPERLINK("https://lindat.mff.cuni.cz/services/teitok/pdtc10/index.php?action=vallex&amp;frame=v-w4366f2", "prohloubit (v-w4366f2)")</f>
        <v>prohloubit (v-w4366f2)</v>
      </c>
    </row>
    <row r="31541" spans="1:4" x14ac:dyDescent="0.2">
      <c r="B31541" t="s">
        <v>1</v>
      </c>
    </row>
    <row r="31542" spans="1:4" x14ac:dyDescent="0.2">
      <c r="B31542" t="s">
        <v>8</v>
      </c>
    </row>
    <row r="31544" spans="1:4" x14ac:dyDescent="0.2">
      <c r="A31544" t="s">
        <v>10387</v>
      </c>
      <c r="B31544" t="str">
        <f>HYPERLINK("https://lindat.mff.cuni.cz/services/teitok/pdtc10/index.php?action=vallex&amp;frame=v-w4367f1", "prohloubit se (v-w4367f1)")</f>
        <v>prohloubit se (v-w4367f1)</v>
      </c>
    </row>
    <row r="31545" spans="1:4" x14ac:dyDescent="0.2">
      <c r="B31545" t="s">
        <v>1</v>
      </c>
      <c r="C31545" t="s">
        <v>10388</v>
      </c>
    </row>
    <row r="31546" spans="1:4" x14ac:dyDescent="0.2">
      <c r="B31546" t="s">
        <v>46</v>
      </c>
      <c r="C31546" t="s">
        <v>10389</v>
      </c>
    </row>
    <row r="31547" spans="1:4" x14ac:dyDescent="0.2">
      <c r="B31547" t="s">
        <v>24</v>
      </c>
      <c r="C31547" t="s">
        <v>10390</v>
      </c>
    </row>
    <row r="31549" spans="1:4" x14ac:dyDescent="0.2">
      <c r="A31549" t="s">
        <v>10391</v>
      </c>
      <c r="B31549" t="str">
        <f>HYPERLINK("https://lindat.mff.cuni.cz/services/teitok/pdtc10/index.php?action=vallex&amp;frame=v-w4367f2_ZU", "prohloubit se (v-w4367f2_ZU)")</f>
        <v>prohloubit se (v-w4367f2_ZU)</v>
      </c>
    </row>
    <row r="31550" spans="1:4" x14ac:dyDescent="0.2">
      <c r="B31550" t="s">
        <v>1</v>
      </c>
    </row>
    <row r="31552" spans="1:4" x14ac:dyDescent="0.2">
      <c r="A31552" t="s">
        <v>10392</v>
      </c>
      <c r="B31552" t="str">
        <f>HYPERLINK("https://lindat.mff.cuni.cz/services/teitok/pdtc10/index.php?action=vallex&amp;frame=v-w4369f1", "prohlubovat (v-w4369f1)")</f>
        <v>prohlubovat (v-w4369f1)</v>
      </c>
    </row>
    <row r="31553" spans="1:4" x14ac:dyDescent="0.2">
      <c r="B31553" t="s">
        <v>1</v>
      </c>
      <c r="D31553" t="s">
        <v>1680</v>
      </c>
    </row>
    <row r="31554" spans="1:4" x14ac:dyDescent="0.2">
      <c r="B31554" t="s">
        <v>8</v>
      </c>
      <c r="D31554" t="s">
        <v>17650</v>
      </c>
    </row>
    <row r="31556" spans="1:4" x14ac:dyDescent="0.2">
      <c r="A31556" t="s">
        <v>10393</v>
      </c>
      <c r="B31556" t="str">
        <f>HYPERLINK("https://lindat.mff.cuni.cz/services/teitok/pdtc10/index.php?action=vallex&amp;frame=v-w4369f2", "prohlubovat (v-w4369f2)")</f>
        <v>prohlubovat (v-w4369f2)</v>
      </c>
    </row>
    <row r="31557" spans="1:4" x14ac:dyDescent="0.2">
      <c r="B31557" t="s">
        <v>1</v>
      </c>
    </row>
    <row r="31558" spans="1:4" x14ac:dyDescent="0.2">
      <c r="B31558" t="s">
        <v>8</v>
      </c>
    </row>
    <row r="31560" spans="1:4" x14ac:dyDescent="0.2">
      <c r="A31560" t="s">
        <v>10394</v>
      </c>
      <c r="B31560" t="str">
        <f>HYPERLINK("https://lindat.mff.cuni.cz/services/teitok/pdtc10/index.php?action=vallex&amp;frame=v-w4370f1", "prohlubovat se (v-w4370f1)")</f>
        <v>prohlubovat se (v-w4370f1)</v>
      </c>
    </row>
    <row r="31561" spans="1:4" x14ac:dyDescent="0.2">
      <c r="B31561" t="s">
        <v>1</v>
      </c>
      <c r="C31561" t="s">
        <v>9809</v>
      </c>
    </row>
    <row r="31562" spans="1:4" x14ac:dyDescent="0.2">
      <c r="B31562" t="s">
        <v>46</v>
      </c>
      <c r="C31562" t="s">
        <v>10395</v>
      </c>
    </row>
    <row r="31563" spans="1:4" x14ac:dyDescent="0.2">
      <c r="B31563" t="s">
        <v>24</v>
      </c>
      <c r="C31563" t="s">
        <v>10396</v>
      </c>
    </row>
    <row r="31565" spans="1:4" x14ac:dyDescent="0.2">
      <c r="A31565" t="s">
        <v>10397</v>
      </c>
      <c r="B31565" t="str">
        <f>HYPERLINK("https://lindat.mff.cuni.cz/services/teitok/pdtc10/index.php?action=vallex&amp;frame=v-w4354f4_ZU", "prohlásit (v-w4354f4_ZU)")</f>
        <v>prohlásit (v-w4354f4_ZU)</v>
      </c>
    </row>
    <row r="31566" spans="1:4" x14ac:dyDescent="0.2">
      <c r="B31566" t="s">
        <v>1</v>
      </c>
      <c r="C31566" t="s">
        <v>80</v>
      </c>
      <c r="D31566" t="s">
        <v>306</v>
      </c>
    </row>
    <row r="31567" spans="1:4" x14ac:dyDescent="0.2">
      <c r="B31567" t="s">
        <v>8</v>
      </c>
      <c r="C31567" t="s">
        <v>1340</v>
      </c>
      <c r="D31567" t="s">
        <v>3184</v>
      </c>
    </row>
    <row r="31568" spans="1:4" x14ac:dyDescent="0.2">
      <c r="B31568" t="s">
        <v>10398</v>
      </c>
      <c r="C31568" t="s">
        <v>10399</v>
      </c>
      <c r="D31568" t="s">
        <v>23933</v>
      </c>
    </row>
    <row r="31570" spans="1:4" x14ac:dyDescent="0.2">
      <c r="A31570" t="s">
        <v>10397</v>
      </c>
      <c r="B31570" t="str">
        <f>HYPERLINK("https://lindat.mff.cuni.cz/services/teitok/pdtc10/index.php?action=vallex&amp;frame=v-w4354f2", "prohlásit (v-w4354f2) - substituted with v-w4354f4_ZU")</f>
        <v>prohlásit (v-w4354f2) - substituted with v-w4354f4_ZU</v>
      </c>
    </row>
    <row r="31571" spans="1:4" x14ac:dyDescent="0.2">
      <c r="B31571" t="s">
        <v>1</v>
      </c>
      <c r="C31571" t="s">
        <v>10400</v>
      </c>
    </row>
    <row r="31572" spans="1:4" x14ac:dyDescent="0.2">
      <c r="B31572" t="s">
        <v>8</v>
      </c>
      <c r="C31572" t="s">
        <v>10401</v>
      </c>
    </row>
    <row r="31573" spans="1:4" x14ac:dyDescent="0.2">
      <c r="B31573" t="s">
        <v>10398</v>
      </c>
      <c r="C31573" t="s">
        <v>10402</v>
      </c>
    </row>
    <row r="31575" spans="1:4" x14ac:dyDescent="0.2">
      <c r="A31575" t="s">
        <v>10403</v>
      </c>
      <c r="B31575" t="str">
        <f>HYPERLINK("https://lindat.mff.cuni.cz/services/teitok/pdtc10/index.php?action=vallex&amp;frame=v-w4354f3", "prohlásit (v-w4354f3)")</f>
        <v>prohlásit (v-w4354f3)</v>
      </c>
    </row>
    <row r="31576" spans="1:4" x14ac:dyDescent="0.2">
      <c r="B31576" t="s">
        <v>1</v>
      </c>
    </row>
    <row r="31577" spans="1:4" x14ac:dyDescent="0.2">
      <c r="B31577" t="s">
        <v>8</v>
      </c>
    </row>
    <row r="31579" spans="1:4" x14ac:dyDescent="0.2">
      <c r="A31579" t="s">
        <v>10404</v>
      </c>
      <c r="B31579" t="str">
        <f>HYPERLINK("https://lindat.mff.cuni.cz/services/teitok/pdtc10/index.php?action=vallex&amp;frame=v-w4354f1", "prohlásit (v-w4354f1)")</f>
        <v>prohlásit (v-w4354f1)</v>
      </c>
    </row>
    <row r="31580" spans="1:4" x14ac:dyDescent="0.2">
      <c r="B31580" t="s">
        <v>1</v>
      </c>
      <c r="C31580" t="s">
        <v>10405</v>
      </c>
      <c r="D31580" t="s">
        <v>22967</v>
      </c>
    </row>
    <row r="31581" spans="1:4" x14ac:dyDescent="0.2">
      <c r="B31581" t="s">
        <v>4749</v>
      </c>
      <c r="C31581" t="s">
        <v>10406</v>
      </c>
      <c r="D31581" t="s">
        <v>23120</v>
      </c>
    </row>
    <row r="31582" spans="1:4" x14ac:dyDescent="0.2">
      <c r="B31582" t="s">
        <v>8854</v>
      </c>
      <c r="C31582" t="s">
        <v>8311</v>
      </c>
      <c r="D31582" t="s">
        <v>22968</v>
      </c>
    </row>
    <row r="31584" spans="1:4" x14ac:dyDescent="0.2">
      <c r="A31584" t="s">
        <v>10407</v>
      </c>
      <c r="B31584" t="str">
        <f>HYPERLINK("https://lindat.mff.cuni.cz/services/teitok/pdtc10/index.php?action=vallex&amp;frame=v-w4360f1", "prohlédnout (v-w4360f1)")</f>
        <v>prohlédnout (v-w4360f1)</v>
      </c>
    </row>
    <row r="31585" spans="1:4" x14ac:dyDescent="0.2">
      <c r="B31585" t="s">
        <v>1</v>
      </c>
    </row>
    <row r="31586" spans="1:4" x14ac:dyDescent="0.2">
      <c r="B31586" t="s">
        <v>1514</v>
      </c>
    </row>
    <row r="31588" spans="1:4" x14ac:dyDescent="0.2">
      <c r="A31588" t="s">
        <v>10408</v>
      </c>
      <c r="B31588" t="str">
        <f>HYPERLINK("https://lindat.mff.cuni.cz/services/teitok/pdtc10/index.php?action=vallex&amp;frame=v-w4361hsa_563", "prohlédnout si (v-w4361hsa_563)")</f>
        <v>prohlédnout si (v-w4361hsa_563)</v>
      </c>
    </row>
    <row r="31589" spans="1:4" x14ac:dyDescent="0.2">
      <c r="B31589" t="s">
        <v>1</v>
      </c>
    </row>
    <row r="31590" spans="1:4" x14ac:dyDescent="0.2">
      <c r="B31590" t="s">
        <v>172</v>
      </c>
    </row>
    <row r="31592" spans="1:4" x14ac:dyDescent="0.2">
      <c r="A31592" t="s">
        <v>10408</v>
      </c>
      <c r="B31592" t="str">
        <f>HYPERLINK("https://lindat.mff.cuni.cz/services/teitok/pdtc10/index.php?action=vallex&amp;frame=v-w4361f1", "prohlédnout si (v-w4361f1) - substituted with v-w4361hsa_563")</f>
        <v>prohlédnout si (v-w4361f1) - substituted with v-w4361hsa_563</v>
      </c>
    </row>
    <row r="31593" spans="1:4" x14ac:dyDescent="0.2">
      <c r="B31593" t="s">
        <v>1</v>
      </c>
      <c r="C31593" t="s">
        <v>340</v>
      </c>
      <c r="D31593" t="s">
        <v>5974</v>
      </c>
    </row>
    <row r="31594" spans="1:4" x14ac:dyDescent="0.2">
      <c r="B31594" t="s">
        <v>172</v>
      </c>
      <c r="C31594" t="s">
        <v>991</v>
      </c>
      <c r="D31594" t="s">
        <v>23934</v>
      </c>
    </row>
    <row r="31596" spans="1:4" x14ac:dyDescent="0.2">
      <c r="A31596" t="s">
        <v>10409</v>
      </c>
      <c r="B31596" t="str">
        <f>HYPERLINK("https://lindat.mff.cuni.cz/services/teitok/pdtc10/index.php?action=vallex&amp;frame=v-whsa_1911f1_ZU", "prohlídnout (v-whsa_1911f1_ZU)")</f>
        <v>prohlídnout (v-whsa_1911f1_ZU)</v>
      </c>
    </row>
    <row r="31597" spans="1:4" x14ac:dyDescent="0.2">
      <c r="B31597" t="s">
        <v>1</v>
      </c>
    </row>
    <row r="31598" spans="1:4" x14ac:dyDescent="0.2">
      <c r="B31598" t="s">
        <v>1514</v>
      </c>
    </row>
    <row r="31600" spans="1:4" x14ac:dyDescent="0.2">
      <c r="A31600" t="s">
        <v>10409</v>
      </c>
      <c r="B31600" t="str">
        <f>HYPERLINK("https://lindat.mff.cuni.cz/services/teitok/pdtc10/index.php?action=vallex&amp;frame=v-whsa_1911hsa_1912", "prohlídnout (v-whsa_1911hsa_1912) - substituted with v-whsa_1911f1_ZU")</f>
        <v>prohlídnout (v-whsa_1911hsa_1912) - substituted with v-whsa_1911f1_ZU</v>
      </c>
    </row>
    <row r="31601" spans="1:3" x14ac:dyDescent="0.2">
      <c r="B31601" t="s">
        <v>1</v>
      </c>
    </row>
    <row r="31602" spans="1:3" x14ac:dyDescent="0.2">
      <c r="B31602" t="s">
        <v>1514</v>
      </c>
    </row>
    <row r="31604" spans="1:3" x14ac:dyDescent="0.2">
      <c r="A31604" t="s">
        <v>10410</v>
      </c>
      <c r="B31604" t="str">
        <f>HYPERLINK("https://lindat.mff.cuni.cz/services/teitok/pdtc10/index.php?action=vallex&amp;frame=v-whsa_1209hsa_1210", "prohlídnout si (v-whsa_1209hsa_1210)")</f>
        <v>prohlídnout si (v-whsa_1209hsa_1210)</v>
      </c>
    </row>
    <row r="31605" spans="1:3" x14ac:dyDescent="0.2">
      <c r="B31605" t="s">
        <v>1</v>
      </c>
    </row>
    <row r="31606" spans="1:3" x14ac:dyDescent="0.2">
      <c r="B31606" t="s">
        <v>8</v>
      </c>
    </row>
    <row r="31608" spans="1:3" x14ac:dyDescent="0.2">
      <c r="A31608" t="s">
        <v>10411</v>
      </c>
      <c r="B31608" t="str">
        <f>HYPERLINK("https://lindat.mff.cuni.cz/services/teitok/pdtc10/index.php?action=vallex&amp;frame=v-w4363f1", "prohlížet (v-w4363f1)")</f>
        <v>prohlížet (v-w4363f1)</v>
      </c>
    </row>
    <row r="31609" spans="1:3" x14ac:dyDescent="0.2">
      <c r="B31609" t="s">
        <v>1</v>
      </c>
    </row>
    <row r="31610" spans="1:3" x14ac:dyDescent="0.2">
      <c r="B31610" t="s">
        <v>8</v>
      </c>
    </row>
    <row r="31612" spans="1:3" x14ac:dyDescent="0.2">
      <c r="A31612" t="s">
        <v>10412</v>
      </c>
      <c r="B31612" t="str">
        <f>HYPERLINK("https://lindat.mff.cuni.cz/services/teitok/pdtc10/index.php?action=vallex&amp;frame=v-w4363f2", "prohlížet (v-w4363f2)")</f>
        <v>prohlížet (v-w4363f2)</v>
      </c>
    </row>
    <row r="31613" spans="1:3" x14ac:dyDescent="0.2">
      <c r="B31613" t="s">
        <v>1</v>
      </c>
      <c r="C31613" t="s">
        <v>682</v>
      </c>
    </row>
    <row r="31614" spans="1:3" x14ac:dyDescent="0.2">
      <c r="B31614" t="s">
        <v>8</v>
      </c>
      <c r="C31614" t="s">
        <v>2293</v>
      </c>
    </row>
    <row r="31616" spans="1:3" x14ac:dyDescent="0.2">
      <c r="A31616" t="s">
        <v>10413</v>
      </c>
      <c r="B31616" t="str">
        <f>HYPERLINK("https://lindat.mff.cuni.cz/services/teitok/pdtc10/index.php?action=vallex&amp;frame=v-w4364f1", "prohlížet si (v-w4364f1)")</f>
        <v>prohlížet si (v-w4364f1)</v>
      </c>
    </row>
    <row r="31617" spans="1:4" x14ac:dyDescent="0.2">
      <c r="B31617" t="s">
        <v>1</v>
      </c>
      <c r="C31617" t="s">
        <v>119</v>
      </c>
      <c r="D31617" t="s">
        <v>317</v>
      </c>
    </row>
    <row r="31618" spans="1:4" x14ac:dyDescent="0.2">
      <c r="B31618" t="s">
        <v>8</v>
      </c>
      <c r="C31618" t="s">
        <v>10414</v>
      </c>
      <c r="D31618" t="s">
        <v>23935</v>
      </c>
    </row>
    <row r="31620" spans="1:4" x14ac:dyDescent="0.2">
      <c r="A31620" t="s">
        <v>10415</v>
      </c>
      <c r="B31620" t="str">
        <f>HYPERLINK("https://lindat.mff.cuni.cz/services/teitok/pdtc10/index.php?action=vallex&amp;frame=v-w11385f2", "prohnat se (v-w11385f2)")</f>
        <v>prohnat se (v-w11385f2)</v>
      </c>
    </row>
    <row r="31621" spans="1:4" x14ac:dyDescent="0.2">
      <c r="B31621" t="s">
        <v>1</v>
      </c>
      <c r="C31621" t="s">
        <v>83</v>
      </c>
      <c r="D31621" t="s">
        <v>23936</v>
      </c>
    </row>
    <row r="31622" spans="1:4" x14ac:dyDescent="0.2">
      <c r="B31622" t="s">
        <v>192</v>
      </c>
    </row>
    <row r="31624" spans="1:4" x14ac:dyDescent="0.2">
      <c r="A31624" t="s">
        <v>10416</v>
      </c>
      <c r="B31624" t="str">
        <f>HYPERLINK("https://lindat.mff.cuni.cz/services/teitok/pdtc10/index.php?action=vallex&amp;frame=v-whsa_425hsa_426", "prohnout (v-whsa_425hsa_426)")</f>
        <v>prohnout (v-whsa_425hsa_426)</v>
      </c>
    </row>
    <row r="31625" spans="1:4" x14ac:dyDescent="0.2">
      <c r="B31625" t="s">
        <v>1</v>
      </c>
    </row>
    <row r="31626" spans="1:4" x14ac:dyDescent="0.2">
      <c r="B31626" t="s">
        <v>8</v>
      </c>
    </row>
    <row r="31628" spans="1:4" x14ac:dyDescent="0.2">
      <c r="A31628" t="s">
        <v>10417</v>
      </c>
      <c r="B31628" t="str">
        <f>HYPERLINK("https://lindat.mff.cuni.cz/services/teitok/pdtc10/index.php?action=vallex&amp;frame=v-w11391f1", "prohnout se (v-w11391f1)")</f>
        <v>prohnout se (v-w11391f1)</v>
      </c>
    </row>
    <row r="31629" spans="1:4" x14ac:dyDescent="0.2">
      <c r="B31629" t="s">
        <v>1</v>
      </c>
      <c r="C31629" t="s">
        <v>4011</v>
      </c>
      <c r="D31629" t="s">
        <v>553</v>
      </c>
    </row>
    <row r="31631" spans="1:4" x14ac:dyDescent="0.2">
      <c r="A31631" t="s">
        <v>10418</v>
      </c>
      <c r="B31631" t="str">
        <f>HYPERLINK("https://lindat.mff.cuni.cz/services/teitok/pdtc10/index.php?action=vallex&amp;frame=v-w11391hsa_1854", "prohnout se (v-w11391hsa_1854)")</f>
        <v>prohnout se (v-w11391hsa_1854)</v>
      </c>
    </row>
    <row r="31632" spans="1:4" x14ac:dyDescent="0.2">
      <c r="B31632" t="s">
        <v>1</v>
      </c>
    </row>
    <row r="31634" spans="1:2" x14ac:dyDescent="0.2">
      <c r="A31634" t="s">
        <v>10419</v>
      </c>
      <c r="B31634" t="str">
        <f>HYPERLINK("https://lindat.mff.cuni.cz/services/teitok/pdtc10/index.php?action=vallex&amp;frame=v-w4371f1", "prohodit (v-w4371f1)")</f>
        <v>prohodit (v-w4371f1)</v>
      </c>
    </row>
    <row r="31635" spans="1:2" x14ac:dyDescent="0.2">
      <c r="B31635" t="s">
        <v>1</v>
      </c>
    </row>
    <row r="31636" spans="1:2" x14ac:dyDescent="0.2">
      <c r="B31636" t="s">
        <v>8</v>
      </c>
    </row>
    <row r="31637" spans="1:2" x14ac:dyDescent="0.2">
      <c r="B31637" t="s">
        <v>153</v>
      </c>
    </row>
    <row r="31639" spans="1:2" x14ac:dyDescent="0.2">
      <c r="A31639" t="s">
        <v>10420</v>
      </c>
      <c r="B31639" t="str">
        <f>HYPERLINK("https://lindat.mff.cuni.cz/services/teitok/pdtc10/index.php?action=vallex&amp;frame=v-w4371f2", "prohodit (v-w4371f2)")</f>
        <v>prohodit (v-w4371f2)</v>
      </c>
    </row>
    <row r="31640" spans="1:2" x14ac:dyDescent="0.2">
      <c r="B31640" t="s">
        <v>1</v>
      </c>
    </row>
    <row r="31641" spans="1:2" x14ac:dyDescent="0.2">
      <c r="B31641" t="s">
        <v>8</v>
      </c>
    </row>
    <row r="31642" spans="1:2" x14ac:dyDescent="0.2">
      <c r="B31642" t="s">
        <v>8593</v>
      </c>
    </row>
    <row r="31644" spans="1:2" x14ac:dyDescent="0.2">
      <c r="A31644" t="s">
        <v>10421</v>
      </c>
      <c r="B31644" t="str">
        <f>HYPERLINK("https://lindat.mff.cuni.cz/services/teitok/pdtc10/index.php?action=vallex&amp;frame=v-w4371f3", "prohodit (v-w4371f3)")</f>
        <v>prohodit (v-w4371f3)</v>
      </c>
    </row>
    <row r="31645" spans="1:2" x14ac:dyDescent="0.2">
      <c r="B31645" t="s">
        <v>1</v>
      </c>
    </row>
    <row r="31646" spans="1:2" x14ac:dyDescent="0.2">
      <c r="B31646" t="s">
        <v>8</v>
      </c>
    </row>
    <row r="31648" spans="1:2" x14ac:dyDescent="0.2">
      <c r="A31648" t="s">
        <v>10422</v>
      </c>
      <c r="B31648" t="str">
        <f>HYPERLINK("https://lindat.mff.cuni.cz/services/teitok/pdtc10/index.php?action=vallex&amp;frame=v-w4371f5_ZU", "prohodit (v-w4371f5_ZU)")</f>
        <v>prohodit (v-w4371f5_ZU)</v>
      </c>
    </row>
    <row r="31649" spans="1:2" x14ac:dyDescent="0.2">
      <c r="B31649" t="s">
        <v>1</v>
      </c>
    </row>
    <row r="31650" spans="1:2" x14ac:dyDescent="0.2">
      <c r="B31650" t="s">
        <v>948</v>
      </c>
    </row>
    <row r="31652" spans="1:2" x14ac:dyDescent="0.2">
      <c r="A31652" t="s">
        <v>10422</v>
      </c>
      <c r="B31652" t="str">
        <f>HYPERLINK("https://lindat.mff.cuni.cz/services/teitok/pdtc10/index.php?action=vallex&amp;frame=v-w4371f4_ZU", "prohodit (v-w4371f4_ZU) - substituted with v-w4371f5_ZU")</f>
        <v>prohodit (v-w4371f4_ZU) - substituted with v-w4371f5_ZU</v>
      </c>
    </row>
    <row r="31653" spans="1:2" x14ac:dyDescent="0.2">
      <c r="B31653" t="s">
        <v>1</v>
      </c>
    </row>
    <row r="31654" spans="1:2" x14ac:dyDescent="0.2">
      <c r="B31654" t="s">
        <v>948</v>
      </c>
    </row>
    <row r="31656" spans="1:2" x14ac:dyDescent="0.2">
      <c r="A31656" t="s">
        <v>10423</v>
      </c>
      <c r="B31656" t="str">
        <f>HYPERLINK("https://lindat.mff.cuni.cz/services/teitok/pdtc10/index.php?action=vallex&amp;frame=v-w11455f2", "prohodit si (v-w11455f2)")</f>
        <v>prohodit si (v-w11455f2)</v>
      </c>
    </row>
    <row r="31657" spans="1:2" x14ac:dyDescent="0.2">
      <c r="B31657" t="s">
        <v>1</v>
      </c>
    </row>
    <row r="31658" spans="1:2" x14ac:dyDescent="0.2">
      <c r="B31658" t="s">
        <v>8</v>
      </c>
    </row>
    <row r="31659" spans="1:2" x14ac:dyDescent="0.2">
      <c r="B31659" t="s">
        <v>2328</v>
      </c>
    </row>
    <row r="31660" spans="1:2" x14ac:dyDescent="0.2">
      <c r="B31660" t="s">
        <v>413</v>
      </c>
    </row>
    <row r="31662" spans="1:2" x14ac:dyDescent="0.2">
      <c r="A31662" t="s">
        <v>10424</v>
      </c>
      <c r="B31662" t="str">
        <f>HYPERLINK("https://lindat.mff.cuni.cz/services/teitok/pdtc10/index.php?action=vallex&amp;frame=v-w11686_ZUf1_ZU", "prohovořit (v-w11686_ZUf1_ZU)")</f>
        <v>prohovořit (v-w11686_ZUf1_ZU)</v>
      </c>
    </row>
    <row r="31663" spans="1:2" x14ac:dyDescent="0.2">
      <c r="B31663" t="s">
        <v>1</v>
      </c>
    </row>
    <row r="31664" spans="1:2" x14ac:dyDescent="0.2">
      <c r="B31664" t="s">
        <v>8</v>
      </c>
    </row>
    <row r="31665" spans="1:4" x14ac:dyDescent="0.2">
      <c r="B31665" t="s">
        <v>153</v>
      </c>
    </row>
    <row r="31667" spans="1:4" x14ac:dyDescent="0.2">
      <c r="A31667" t="s">
        <v>10425</v>
      </c>
      <c r="B31667" t="str">
        <f>HYPERLINK("https://lindat.mff.cuni.cz/services/teitok/pdtc10/index.php?action=vallex&amp;frame=v-w12240_ZUf1_ZU", "prohrabovat (v-w12240_ZUf1_ZU)")</f>
        <v>prohrabovat (v-w12240_ZUf1_ZU)</v>
      </c>
    </row>
    <row r="31668" spans="1:4" x14ac:dyDescent="0.2">
      <c r="B31668" t="s">
        <v>1</v>
      </c>
    </row>
    <row r="31669" spans="1:4" x14ac:dyDescent="0.2">
      <c r="B31669" t="s">
        <v>8</v>
      </c>
    </row>
    <row r="31671" spans="1:4" x14ac:dyDescent="0.2">
      <c r="A31671" t="s">
        <v>10426</v>
      </c>
      <c r="B31671" t="str">
        <f>HYPERLINK("https://lindat.mff.cuni.cz/services/teitok/pdtc10/index.php?action=vallex&amp;frame=v-w10455f2", "prohrabávat (v-w10455f2)")</f>
        <v>prohrabávat (v-w10455f2)</v>
      </c>
    </row>
    <row r="31672" spans="1:4" x14ac:dyDescent="0.2">
      <c r="B31672" t="s">
        <v>1</v>
      </c>
      <c r="D31672" t="s">
        <v>33</v>
      </c>
    </row>
    <row r="31673" spans="1:4" x14ac:dyDescent="0.2">
      <c r="B31673" t="s">
        <v>8</v>
      </c>
      <c r="D31673" t="s">
        <v>23</v>
      </c>
    </row>
    <row r="31675" spans="1:4" x14ac:dyDescent="0.2">
      <c r="A31675" t="s">
        <v>10427</v>
      </c>
      <c r="B31675" t="str">
        <f>HYPERLINK("https://lindat.mff.cuni.cz/services/teitok/pdtc10/index.php?action=vallex&amp;frame=v-w11929_ZUf1_ZU", "prohrabávat se (v-w11929_ZUf1_ZU)")</f>
        <v>prohrabávat se (v-w11929_ZUf1_ZU)</v>
      </c>
    </row>
    <row r="31676" spans="1:4" x14ac:dyDescent="0.2">
      <c r="B31676" t="s">
        <v>1</v>
      </c>
    </row>
    <row r="31677" spans="1:4" x14ac:dyDescent="0.2">
      <c r="B31677" t="s">
        <v>3716</v>
      </c>
    </row>
    <row r="31679" spans="1:4" x14ac:dyDescent="0.2">
      <c r="A31679" t="s">
        <v>10428</v>
      </c>
      <c r="B31679" t="str">
        <f>HYPERLINK("https://lindat.mff.cuni.cz/services/teitok/pdtc10/index.php?action=vallex&amp;frame=v-w4374f2_ZU", "prohrát (v-w4374f2_ZU)")</f>
        <v>prohrát (v-w4374f2_ZU)</v>
      </c>
    </row>
    <row r="31680" spans="1:4" x14ac:dyDescent="0.2">
      <c r="B31680" t="s">
        <v>1</v>
      </c>
    </row>
    <row r="31681" spans="1:4" x14ac:dyDescent="0.2">
      <c r="B31681" t="s">
        <v>10429</v>
      </c>
    </row>
    <row r="31682" spans="1:4" x14ac:dyDescent="0.2">
      <c r="B31682" t="s">
        <v>2288</v>
      </c>
    </row>
    <row r="31684" spans="1:4" x14ac:dyDescent="0.2">
      <c r="A31684" t="s">
        <v>10428</v>
      </c>
      <c r="B31684" t="str">
        <f>HYPERLINK("https://lindat.mff.cuni.cz/services/teitok/pdtc10/index.php?action=vallex&amp;frame=v-w4374f1", "prohrát (v-w4374f1) - substituted with v-w4374f2_ZU")</f>
        <v>prohrát (v-w4374f1) - substituted with v-w4374f2_ZU</v>
      </c>
    </row>
    <row r="31685" spans="1:4" x14ac:dyDescent="0.2">
      <c r="B31685" t="s">
        <v>1</v>
      </c>
      <c r="C31685" t="s">
        <v>10430</v>
      </c>
      <c r="D31685" t="s">
        <v>230</v>
      </c>
    </row>
    <row r="31686" spans="1:4" x14ac:dyDescent="0.2">
      <c r="B31686" t="s">
        <v>10429</v>
      </c>
      <c r="C31686" t="s">
        <v>10431</v>
      </c>
      <c r="D31686" t="s">
        <v>11730</v>
      </c>
    </row>
    <row r="31687" spans="1:4" x14ac:dyDescent="0.2">
      <c r="B31687" t="s">
        <v>2288</v>
      </c>
      <c r="C31687" t="s">
        <v>10432</v>
      </c>
      <c r="D31687" t="s">
        <v>987</v>
      </c>
    </row>
    <row r="31689" spans="1:4" x14ac:dyDescent="0.2">
      <c r="A31689" t="s">
        <v>10433</v>
      </c>
      <c r="B31689" t="str">
        <f>HYPERLINK("https://lindat.mff.cuni.cz/services/teitok/pdtc10/index.php?action=vallex&amp;frame=v-w4375f1", "prohrávat (v-w4375f1)")</f>
        <v>prohrávat (v-w4375f1)</v>
      </c>
    </row>
    <row r="31690" spans="1:4" x14ac:dyDescent="0.2">
      <c r="B31690" t="s">
        <v>1</v>
      </c>
      <c r="C31690" t="s">
        <v>976</v>
      </c>
      <c r="D31690" t="s">
        <v>230</v>
      </c>
    </row>
    <row r="31691" spans="1:4" x14ac:dyDescent="0.2">
      <c r="B31691" t="s">
        <v>10429</v>
      </c>
      <c r="C31691" t="s">
        <v>10434</v>
      </c>
      <c r="D31691" t="s">
        <v>11730</v>
      </c>
    </row>
    <row r="31692" spans="1:4" x14ac:dyDescent="0.2">
      <c r="B31692" t="s">
        <v>2288</v>
      </c>
      <c r="C31692" t="s">
        <v>987</v>
      </c>
      <c r="D31692" t="s">
        <v>987</v>
      </c>
    </row>
    <row r="31694" spans="1:4" x14ac:dyDescent="0.2">
      <c r="A31694" t="s">
        <v>10435</v>
      </c>
      <c r="B31694" t="str">
        <f>HYPERLINK("https://lindat.mff.cuni.cz/services/teitok/pdtc10/index.php?action=vallex&amp;frame=v-whsa_1562hsa_1563", "prohánět (v-whsa_1562hsa_1563)")</f>
        <v>prohánět (v-whsa_1562hsa_1563)</v>
      </c>
    </row>
    <row r="31695" spans="1:4" x14ac:dyDescent="0.2">
      <c r="B31695" t="s">
        <v>1</v>
      </c>
    </row>
    <row r="31696" spans="1:4" x14ac:dyDescent="0.2">
      <c r="B31696" t="s">
        <v>8</v>
      </c>
    </row>
    <row r="31698" spans="1:2" x14ac:dyDescent="0.2">
      <c r="A31698" t="s">
        <v>10436</v>
      </c>
      <c r="B31698" t="str">
        <f>HYPERLINK("https://lindat.mff.cuni.cz/services/teitok/pdtc10/index.php?action=vallex&amp;frame=v-whsa_443f1_ZU", "prohánět se (v-whsa_443f1_ZU)")</f>
        <v>prohánět se (v-whsa_443f1_ZU)</v>
      </c>
    </row>
    <row r="31699" spans="1:2" x14ac:dyDescent="0.2">
      <c r="B31699" t="s">
        <v>1</v>
      </c>
    </row>
    <row r="31701" spans="1:2" x14ac:dyDescent="0.2">
      <c r="A31701" t="s">
        <v>10437</v>
      </c>
      <c r="B31701" t="str">
        <f>HYPERLINK("https://lindat.mff.cuni.cz/services/teitok/pdtc10/index.php?action=vallex&amp;frame=v-whsa_443hsa_444", "prohánět se (v-whsa_443hsa_444)")</f>
        <v>prohánět se (v-whsa_443hsa_444)</v>
      </c>
    </row>
    <row r="31702" spans="1:2" x14ac:dyDescent="0.2">
      <c r="B31702" t="s">
        <v>1</v>
      </c>
    </row>
    <row r="31703" spans="1:2" x14ac:dyDescent="0.2">
      <c r="B31703" t="s">
        <v>192</v>
      </c>
    </row>
    <row r="31705" spans="1:2" x14ac:dyDescent="0.2">
      <c r="A31705" t="s">
        <v>10438</v>
      </c>
      <c r="B31705" t="str">
        <f>HYPERLINK("https://lindat.mff.cuni.cz/services/teitok/pdtc10/index.php?action=vallex&amp;frame=v-whsb_618hsa_619", "proházet (v-whsb_618hsa_619)")</f>
        <v>proházet (v-whsb_618hsa_619)</v>
      </c>
    </row>
    <row r="31706" spans="1:2" x14ac:dyDescent="0.2">
      <c r="B31706" t="s">
        <v>1</v>
      </c>
    </row>
    <row r="31707" spans="1:2" x14ac:dyDescent="0.2">
      <c r="B31707" t="s">
        <v>8</v>
      </c>
    </row>
    <row r="31709" spans="1:2" x14ac:dyDescent="0.2">
      <c r="A31709" t="s">
        <v>10439</v>
      </c>
      <c r="B31709" t="str">
        <f>HYPERLINK("https://lindat.mff.cuni.cz/services/teitok/pdtc10/index.php?action=vallex&amp;frame=v-w4376f1", "prohřešit se (v-w4376f1)")</f>
        <v>prohřešit se (v-w4376f1)</v>
      </c>
    </row>
    <row r="31710" spans="1:2" x14ac:dyDescent="0.2">
      <c r="B31710" t="s">
        <v>1</v>
      </c>
    </row>
    <row r="31712" spans="1:2" x14ac:dyDescent="0.2">
      <c r="A31712" t="s">
        <v>10440</v>
      </c>
      <c r="B31712" t="str">
        <f>HYPERLINK("https://lindat.mff.cuni.cz/services/teitok/pdtc10/index.php?action=vallex&amp;frame=v-w12115_ZUf1_ZU", "prohřívat (v-w12115_ZUf1_ZU)")</f>
        <v>prohřívat (v-w12115_ZUf1_ZU)</v>
      </c>
    </row>
    <row r="31713" spans="1:4" x14ac:dyDescent="0.2">
      <c r="B31713" t="s">
        <v>1</v>
      </c>
    </row>
    <row r="31714" spans="1:4" x14ac:dyDescent="0.2">
      <c r="B31714" t="s">
        <v>8</v>
      </c>
    </row>
    <row r="31716" spans="1:4" x14ac:dyDescent="0.2">
      <c r="A31716" t="s">
        <v>10441</v>
      </c>
      <c r="B31716" t="str">
        <f>HYPERLINK("https://lindat.mff.cuni.cz/services/teitok/pdtc10/index.php?action=vallex&amp;frame=v-w11130f2", "proinvestovat (v-w11130f2)")</f>
        <v>proinvestovat (v-w11130f2)</v>
      </c>
    </row>
    <row r="31717" spans="1:4" x14ac:dyDescent="0.2">
      <c r="B31717" t="s">
        <v>1</v>
      </c>
      <c r="C31717" t="s">
        <v>7589</v>
      </c>
    </row>
    <row r="31718" spans="1:4" x14ac:dyDescent="0.2">
      <c r="B31718" t="s">
        <v>8</v>
      </c>
      <c r="C31718" t="s">
        <v>10442</v>
      </c>
    </row>
    <row r="31720" spans="1:4" x14ac:dyDescent="0.2">
      <c r="A31720" t="s">
        <v>10443</v>
      </c>
      <c r="B31720" t="str">
        <f>HYPERLINK("https://lindat.mff.cuni.cz/services/teitok/pdtc10/index.php?action=vallex&amp;frame=v-w4381f2", "projednat (v-w4381f2)")</f>
        <v>projednat (v-w4381f2)</v>
      </c>
    </row>
    <row r="31721" spans="1:4" x14ac:dyDescent="0.2">
      <c r="B31721" t="s">
        <v>1</v>
      </c>
      <c r="C31721" t="s">
        <v>10444</v>
      </c>
      <c r="D31721" t="s">
        <v>23937</v>
      </c>
    </row>
    <row r="31722" spans="1:4" x14ac:dyDescent="0.2">
      <c r="B31722" t="s">
        <v>8</v>
      </c>
      <c r="C31722" t="s">
        <v>10445</v>
      </c>
      <c r="D31722" t="s">
        <v>23938</v>
      </c>
    </row>
    <row r="31723" spans="1:4" x14ac:dyDescent="0.2">
      <c r="B31723" t="s">
        <v>153</v>
      </c>
      <c r="C31723" t="s">
        <v>1563</v>
      </c>
      <c r="D31723" t="s">
        <v>23939</v>
      </c>
    </row>
    <row r="31725" spans="1:4" x14ac:dyDescent="0.2">
      <c r="A31725" t="s">
        <v>10446</v>
      </c>
      <c r="B31725" t="str">
        <f>HYPERLINK("https://lindat.mff.cuni.cz/services/teitok/pdtc10/index.php?action=vallex&amp;frame=v-w4381f1", "projednat (v-w4381f1)")</f>
        <v>projednat (v-w4381f1)</v>
      </c>
    </row>
    <row r="31726" spans="1:4" x14ac:dyDescent="0.2">
      <c r="B31726" t="s">
        <v>1</v>
      </c>
      <c r="C31726" t="s">
        <v>10447</v>
      </c>
      <c r="D31726" t="s">
        <v>6039</v>
      </c>
    </row>
    <row r="31727" spans="1:4" x14ac:dyDescent="0.2">
      <c r="B31727" t="s">
        <v>10448</v>
      </c>
      <c r="C31727" t="s">
        <v>10449</v>
      </c>
      <c r="D31727" t="s">
        <v>23123</v>
      </c>
    </row>
    <row r="31729" spans="1:4" x14ac:dyDescent="0.2">
      <c r="A31729" t="s">
        <v>10450</v>
      </c>
      <c r="B31729" t="str">
        <f>HYPERLINK("https://lindat.mff.cuni.cz/services/teitok/pdtc10/index.php?action=vallex&amp;frame=v-w4384f2", "projednávat (v-w4384f2)")</f>
        <v>projednávat (v-w4384f2)</v>
      </c>
    </row>
    <row r="31730" spans="1:4" x14ac:dyDescent="0.2">
      <c r="B31730" t="s">
        <v>1</v>
      </c>
      <c r="C31730" t="s">
        <v>1792</v>
      </c>
      <c r="D31730" t="s">
        <v>23937</v>
      </c>
    </row>
    <row r="31731" spans="1:4" x14ac:dyDescent="0.2">
      <c r="B31731" t="s">
        <v>8</v>
      </c>
      <c r="C31731" t="s">
        <v>10451</v>
      </c>
      <c r="D31731" t="s">
        <v>23938</v>
      </c>
    </row>
    <row r="31732" spans="1:4" x14ac:dyDescent="0.2">
      <c r="B31732" t="s">
        <v>153</v>
      </c>
      <c r="C31732" t="s">
        <v>10452</v>
      </c>
      <c r="D31732" t="s">
        <v>23939</v>
      </c>
    </row>
    <row r="31734" spans="1:4" x14ac:dyDescent="0.2">
      <c r="A31734" t="s">
        <v>10453</v>
      </c>
      <c r="B31734" t="str">
        <f>HYPERLINK("https://lindat.mff.cuni.cz/services/teitok/pdtc10/index.php?action=vallex&amp;frame=v-w4384f1", "projednávat (v-w4384f1)")</f>
        <v>projednávat (v-w4384f1)</v>
      </c>
    </row>
    <row r="31735" spans="1:4" x14ac:dyDescent="0.2">
      <c r="B31735" t="s">
        <v>1</v>
      </c>
      <c r="C31735" t="s">
        <v>10454</v>
      </c>
      <c r="D31735" t="s">
        <v>6039</v>
      </c>
    </row>
    <row r="31736" spans="1:4" x14ac:dyDescent="0.2">
      <c r="B31736" t="s">
        <v>10448</v>
      </c>
      <c r="C31736" t="s">
        <v>10455</v>
      </c>
      <c r="D31736" t="s">
        <v>23123</v>
      </c>
    </row>
    <row r="31738" spans="1:4" x14ac:dyDescent="0.2">
      <c r="A31738" t="s">
        <v>10456</v>
      </c>
      <c r="B31738" t="str">
        <f>HYPERLINK("https://lindat.mff.cuni.cz/services/teitok/pdtc10/index.php?action=vallex&amp;frame=v-w4388f1", "projektovat (v-w4388f1)")</f>
        <v>projektovat (v-w4388f1)</v>
      </c>
    </row>
    <row r="31739" spans="1:4" x14ac:dyDescent="0.2">
      <c r="B31739" t="s">
        <v>1</v>
      </c>
      <c r="C31739" t="s">
        <v>294</v>
      </c>
    </row>
    <row r="31740" spans="1:4" x14ac:dyDescent="0.2">
      <c r="B31740" t="s">
        <v>8</v>
      </c>
      <c r="C31740" t="s">
        <v>2213</v>
      </c>
    </row>
    <row r="31742" spans="1:4" x14ac:dyDescent="0.2">
      <c r="A31742" t="s">
        <v>10457</v>
      </c>
      <c r="B31742" t="str">
        <f>HYPERLINK("https://lindat.mff.cuni.cz/services/teitok/pdtc10/index.php?action=vallex&amp;frame=v-w4389f6_ZU", "projet (v-w4389f6_ZU)")</f>
        <v>projet (v-w4389f6_ZU)</v>
      </c>
    </row>
    <row r="31743" spans="1:4" x14ac:dyDescent="0.2">
      <c r="B31743" t="s">
        <v>1</v>
      </c>
    </row>
    <row r="31744" spans="1:4" x14ac:dyDescent="0.2">
      <c r="B31744" t="s">
        <v>172</v>
      </c>
    </row>
    <row r="31746" spans="1:4" x14ac:dyDescent="0.2">
      <c r="A31746" t="s">
        <v>10457</v>
      </c>
      <c r="B31746" t="str">
        <f>HYPERLINK("https://lindat.mff.cuni.cz/services/teitok/pdtc10/index.php?action=vallex&amp;frame=v-w4389f3", "projet (v-w4389f3) - substituted with v-w4389f6_ZU")</f>
        <v>projet (v-w4389f3) - substituted with v-w4389f6_ZU</v>
      </c>
    </row>
    <row r="31747" spans="1:4" x14ac:dyDescent="0.2">
      <c r="B31747" t="s">
        <v>1</v>
      </c>
      <c r="C31747" t="s">
        <v>133</v>
      </c>
    </row>
    <row r="31748" spans="1:4" x14ac:dyDescent="0.2">
      <c r="B31748" t="s">
        <v>172</v>
      </c>
      <c r="C31748" t="s">
        <v>23</v>
      </c>
    </row>
    <row r="31750" spans="1:4" x14ac:dyDescent="0.2">
      <c r="A31750" t="s">
        <v>10458</v>
      </c>
      <c r="B31750" t="str">
        <f>HYPERLINK("https://lindat.mff.cuni.cz/services/teitok/pdtc10/index.php?action=vallex&amp;frame=v-w4389f2", "projet (v-w4389f2)")</f>
        <v>projet (v-w4389f2)</v>
      </c>
    </row>
    <row r="31751" spans="1:4" x14ac:dyDescent="0.2">
      <c r="B31751" t="s">
        <v>1</v>
      </c>
    </row>
    <row r="31752" spans="1:4" x14ac:dyDescent="0.2">
      <c r="B31752" t="s">
        <v>8</v>
      </c>
    </row>
    <row r="31754" spans="1:4" x14ac:dyDescent="0.2">
      <c r="A31754" t="s">
        <v>10459</v>
      </c>
      <c r="B31754" t="str">
        <f>HYPERLINK("https://lindat.mff.cuni.cz/services/teitok/pdtc10/index.php?action=vallex&amp;frame=v-w4389f1", "projet (v-w4389f1)")</f>
        <v>projet (v-w4389f1)</v>
      </c>
    </row>
    <row r="31755" spans="1:4" x14ac:dyDescent="0.2">
      <c r="B31755" t="s">
        <v>1</v>
      </c>
      <c r="C31755" t="s">
        <v>10460</v>
      </c>
      <c r="D31755" t="s">
        <v>1805</v>
      </c>
    </row>
    <row r="31756" spans="1:4" x14ac:dyDescent="0.2">
      <c r="B31756" t="s">
        <v>192</v>
      </c>
      <c r="C31756" t="s">
        <v>10461</v>
      </c>
      <c r="D31756" t="s">
        <v>23940</v>
      </c>
    </row>
    <row r="31758" spans="1:4" x14ac:dyDescent="0.2">
      <c r="A31758" t="s">
        <v>10462</v>
      </c>
      <c r="B31758" t="str">
        <f>HYPERLINK("https://lindat.mff.cuni.cz/services/teitok/pdtc10/index.php?action=vallex&amp;frame=v-w4389f4_ZU", "projet (v-w4389f4_ZU)")</f>
        <v>projet (v-w4389f4_ZU)</v>
      </c>
    </row>
    <row r="31759" spans="1:4" x14ac:dyDescent="0.2">
      <c r="B31759" t="s">
        <v>1</v>
      </c>
    </row>
    <row r="31760" spans="1:4" x14ac:dyDescent="0.2">
      <c r="B31760" t="s">
        <v>8</v>
      </c>
    </row>
    <row r="31762" spans="1:3" x14ac:dyDescent="0.2">
      <c r="A31762" t="s">
        <v>10462</v>
      </c>
      <c r="B31762" t="str">
        <f>HYPERLINK("https://lindat.mff.cuni.cz/services/teitok/pdtc10/index.php?action=vallex&amp;frame=v-w4389hsa_798", "projet (v-w4389hsa_798) - substituted with v-w4389f4_ZU")</f>
        <v>projet (v-w4389hsa_798) - substituted with v-w4389f4_ZU</v>
      </c>
    </row>
    <row r="31763" spans="1:3" x14ac:dyDescent="0.2">
      <c r="B31763" t="s">
        <v>1</v>
      </c>
    </row>
    <row r="31764" spans="1:3" x14ac:dyDescent="0.2">
      <c r="B31764" t="s">
        <v>8</v>
      </c>
    </row>
    <row r="31766" spans="1:3" x14ac:dyDescent="0.2">
      <c r="A31766" t="s">
        <v>10463</v>
      </c>
      <c r="B31766" t="str">
        <f>HYPERLINK("https://lindat.mff.cuni.cz/services/teitok/pdtc10/index.php?action=vallex&amp;frame=v-w4389f5_ZU", "projet (v-w4389f5_ZU)")</f>
        <v>projet (v-w4389f5_ZU)</v>
      </c>
    </row>
    <row r="31767" spans="1:3" x14ac:dyDescent="0.2">
      <c r="B31767" t="s">
        <v>1</v>
      </c>
    </row>
    <row r="31768" spans="1:3" x14ac:dyDescent="0.2">
      <c r="B31768" t="s">
        <v>158</v>
      </c>
    </row>
    <row r="31770" spans="1:3" x14ac:dyDescent="0.2">
      <c r="A31770" t="s">
        <v>10464</v>
      </c>
      <c r="B31770" t="str">
        <f>HYPERLINK("https://lindat.mff.cuni.cz/services/teitok/pdtc10/index.php?action=vallex&amp;frame=v-w4390f1", "projet se (v-w4390f1)")</f>
        <v>projet se (v-w4390f1)</v>
      </c>
    </row>
    <row r="31771" spans="1:3" x14ac:dyDescent="0.2">
      <c r="B31771" t="s">
        <v>1</v>
      </c>
    </row>
    <row r="31773" spans="1:3" x14ac:dyDescent="0.2">
      <c r="A31773" t="s">
        <v>10465</v>
      </c>
      <c r="B31773" t="str">
        <f>HYPERLINK("https://lindat.mff.cuni.cz/services/teitok/pdtc10/index.php?action=vallex&amp;frame=v-w4392f3", "projevit (v-w4392f3)")</f>
        <v>projevit (v-w4392f3)</v>
      </c>
    </row>
    <row r="31774" spans="1:3" x14ac:dyDescent="0.2">
      <c r="B31774" t="s">
        <v>1</v>
      </c>
      <c r="C31774" t="s">
        <v>230</v>
      </c>
    </row>
    <row r="31775" spans="1:3" x14ac:dyDescent="0.2">
      <c r="B31775" t="s">
        <v>172</v>
      </c>
      <c r="C31775" t="s">
        <v>10466</v>
      </c>
    </row>
    <row r="31777" spans="1:4" x14ac:dyDescent="0.2">
      <c r="A31777" t="s">
        <v>10467</v>
      </c>
      <c r="B31777" t="str">
        <f>HYPERLINK("https://lindat.mff.cuni.cz/services/teitok/pdtc10/index.php?action=vallex&amp;frame=v-w4392f6_ZU", "projevit (v-w4392f6_ZU)")</f>
        <v>projevit (v-w4392f6_ZU)</v>
      </c>
    </row>
    <row r="31778" spans="1:4" x14ac:dyDescent="0.2">
      <c r="B31778" t="s">
        <v>1</v>
      </c>
      <c r="C31778" t="s">
        <v>7995</v>
      </c>
    </row>
    <row r="31779" spans="1:4" x14ac:dyDescent="0.2">
      <c r="B31779" t="s">
        <v>10468</v>
      </c>
      <c r="C31779" t="s">
        <v>10469</v>
      </c>
    </row>
    <row r="31780" spans="1:4" x14ac:dyDescent="0.2">
      <c r="B31780" t="s">
        <v>78</v>
      </c>
      <c r="C31780" t="s">
        <v>7119</v>
      </c>
    </row>
    <row r="31782" spans="1:4" x14ac:dyDescent="0.2">
      <c r="A31782" t="s">
        <v>10467</v>
      </c>
      <c r="B31782" t="str">
        <f>HYPERLINK("https://lindat.mff.cuni.cz/services/teitok/pdtc10/index.php?action=vallex&amp;frame=v-w4392f2", "projevit (v-w4392f2) - substituted with v-w4392f6_ZU")</f>
        <v>projevit (v-w4392f2) - substituted with v-w4392f6_ZU</v>
      </c>
    </row>
    <row r="31783" spans="1:4" x14ac:dyDescent="0.2">
      <c r="B31783" t="s">
        <v>1</v>
      </c>
    </row>
    <row r="31784" spans="1:4" x14ac:dyDescent="0.2">
      <c r="B31784" t="s">
        <v>10468</v>
      </c>
    </row>
    <row r="31785" spans="1:4" x14ac:dyDescent="0.2">
      <c r="B31785" t="s">
        <v>78</v>
      </c>
    </row>
    <row r="31787" spans="1:4" x14ac:dyDescent="0.2">
      <c r="A31787" t="s">
        <v>10470</v>
      </c>
      <c r="B31787" t="str">
        <f>HYPERLINK("https://lindat.mff.cuni.cz/services/teitok/pdtc10/index.php?action=vallex&amp;frame=v-w4392hsa_443", "projevit (v-w4392hsa_443)")</f>
        <v>projevit (v-w4392hsa_443)</v>
      </c>
    </row>
    <row r="31788" spans="1:4" x14ac:dyDescent="0.2">
      <c r="B31788" t="s">
        <v>1</v>
      </c>
      <c r="D31788" t="s">
        <v>23941</v>
      </c>
    </row>
    <row r="31789" spans="1:4" x14ac:dyDescent="0.2">
      <c r="B31789" t="s">
        <v>10471</v>
      </c>
      <c r="C31789" t="s">
        <v>10469</v>
      </c>
      <c r="D31789" t="s">
        <v>10945</v>
      </c>
    </row>
    <row r="31791" spans="1:4" x14ac:dyDescent="0.2">
      <c r="A31791" t="s">
        <v>10470</v>
      </c>
      <c r="B31791" t="str">
        <f>HYPERLINK("https://lindat.mff.cuni.cz/services/teitok/pdtc10/index.php?action=vallex&amp;frame=v-w4392f1", "projevit (v-w4392f1) - substituted with v-w4392hsa_443")</f>
        <v>projevit (v-w4392f1) - substituted with v-w4392hsa_443</v>
      </c>
    </row>
    <row r="31792" spans="1:4" x14ac:dyDescent="0.2">
      <c r="B31792" t="s">
        <v>1</v>
      </c>
      <c r="C31792" t="s">
        <v>10472</v>
      </c>
    </row>
    <row r="31793" spans="1:4" x14ac:dyDescent="0.2">
      <c r="B31793" t="s">
        <v>10471</v>
      </c>
      <c r="C31793" t="s">
        <v>10473</v>
      </c>
    </row>
    <row r="31795" spans="1:4" x14ac:dyDescent="0.2">
      <c r="A31795" t="s">
        <v>10470</v>
      </c>
      <c r="B31795" t="str">
        <f>HYPERLINK("https://lindat.mff.cuni.cz/services/teitok/pdtc10/index.php?action=vallex&amp;frame=v-w4392f4_ZU", "projevit (v-w4392f4_ZU) - substituted with v-w4392hsa_443")</f>
        <v>projevit (v-w4392f4_ZU) - substituted with v-w4392hsa_443</v>
      </c>
    </row>
    <row r="31796" spans="1:4" x14ac:dyDescent="0.2">
      <c r="B31796" t="s">
        <v>1</v>
      </c>
    </row>
    <row r="31797" spans="1:4" x14ac:dyDescent="0.2">
      <c r="B31797" t="s">
        <v>10471</v>
      </c>
    </row>
    <row r="31799" spans="1:4" x14ac:dyDescent="0.2">
      <c r="A31799" t="s">
        <v>10470</v>
      </c>
      <c r="B31799" t="str">
        <f>HYPERLINK("https://lindat.mff.cuni.cz/services/teitok/pdtc10/index.php?action=vallex&amp;frame=v-w4392f5_ZU", "projevit (v-w4392f5_ZU) - substituted with v-w4392hsa_443")</f>
        <v>projevit (v-w4392f5_ZU) - substituted with v-w4392hsa_443</v>
      </c>
    </row>
    <row r="31800" spans="1:4" x14ac:dyDescent="0.2">
      <c r="B31800" t="s">
        <v>1</v>
      </c>
      <c r="C31800" t="s">
        <v>10474</v>
      </c>
    </row>
    <row r="31801" spans="1:4" x14ac:dyDescent="0.2">
      <c r="B31801" t="s">
        <v>10471</v>
      </c>
      <c r="C31801" t="s">
        <v>10475</v>
      </c>
    </row>
    <row r="31803" spans="1:4" x14ac:dyDescent="0.2">
      <c r="A31803" t="s">
        <v>10476</v>
      </c>
      <c r="B31803" t="str">
        <f>HYPERLINK("https://lindat.mff.cuni.cz/services/teitok/pdtc10/index.php?action=vallex&amp;frame=v-w4393f2", "projevit se (v-w4393f2)")</f>
        <v>projevit se (v-w4393f2)</v>
      </c>
    </row>
    <row r="31804" spans="1:4" x14ac:dyDescent="0.2">
      <c r="B31804" t="s">
        <v>1</v>
      </c>
      <c r="C31804" t="s">
        <v>10477</v>
      </c>
    </row>
    <row r="31805" spans="1:4" x14ac:dyDescent="0.2">
      <c r="B31805" t="s">
        <v>10478</v>
      </c>
      <c r="C31805" t="s">
        <v>1128</v>
      </c>
    </row>
    <row r="31807" spans="1:4" x14ac:dyDescent="0.2">
      <c r="A31807" t="s">
        <v>10479</v>
      </c>
      <c r="B31807" t="str">
        <f>HYPERLINK("https://lindat.mff.cuni.cz/services/teitok/pdtc10/index.php?action=vallex&amp;frame=v-w4393f1", "projevit se (v-w4393f1)")</f>
        <v>projevit se (v-w4393f1)</v>
      </c>
    </row>
    <row r="31808" spans="1:4" x14ac:dyDescent="0.2">
      <c r="B31808" t="s">
        <v>1</v>
      </c>
      <c r="C31808" t="s">
        <v>10480</v>
      </c>
      <c r="D31808" t="s">
        <v>7870</v>
      </c>
    </row>
    <row r="31810" spans="1:4" x14ac:dyDescent="0.2">
      <c r="A31810" t="s">
        <v>10481</v>
      </c>
      <c r="B31810" t="str">
        <f>HYPERLINK("https://lindat.mff.cuni.cz/services/teitok/pdtc10/index.php?action=vallex&amp;frame=v-w4393f3", "projevit se (v-w4393f3)")</f>
        <v>projevit se (v-w4393f3)</v>
      </c>
    </row>
    <row r="31811" spans="1:4" x14ac:dyDescent="0.2">
      <c r="B31811" t="s">
        <v>1</v>
      </c>
      <c r="D31811" t="s">
        <v>23373</v>
      </c>
    </row>
    <row r="31812" spans="1:4" x14ac:dyDescent="0.2">
      <c r="B31812" t="s">
        <v>415</v>
      </c>
      <c r="D31812" t="s">
        <v>23942</v>
      </c>
    </row>
    <row r="31813" spans="1:4" x14ac:dyDescent="0.2">
      <c r="B31813" t="s">
        <v>346</v>
      </c>
      <c r="C31813" t="s">
        <v>10482</v>
      </c>
      <c r="D31813" t="s">
        <v>23378</v>
      </c>
    </row>
    <row r="31814" spans="1:4" x14ac:dyDescent="0.2">
      <c r="B31814" t="s">
        <v>348</v>
      </c>
      <c r="D31814" t="s">
        <v>23943</v>
      </c>
    </row>
    <row r="31815" spans="1:4" x14ac:dyDescent="0.2">
      <c r="B31815" t="s">
        <v>349</v>
      </c>
      <c r="D31815" t="s">
        <v>23944</v>
      </c>
    </row>
    <row r="31816" spans="1:4" x14ac:dyDescent="0.2">
      <c r="B31816" t="s">
        <v>350</v>
      </c>
      <c r="D31816" t="s">
        <v>23945</v>
      </c>
    </row>
    <row r="31817" spans="1:4" x14ac:dyDescent="0.2">
      <c r="B31817" t="s">
        <v>351</v>
      </c>
      <c r="D31817" t="s">
        <v>23946</v>
      </c>
    </row>
    <row r="31819" spans="1:4" x14ac:dyDescent="0.2">
      <c r="A31819" t="s">
        <v>10483</v>
      </c>
      <c r="B31819" t="str">
        <f>HYPERLINK("https://lindat.mff.cuni.cz/services/teitok/pdtc10/index.php?action=vallex&amp;frame=v-w4394f2", "projevovat (v-w4394f2)")</f>
        <v>projevovat (v-w4394f2)</v>
      </c>
    </row>
    <row r="31820" spans="1:4" x14ac:dyDescent="0.2">
      <c r="B31820" t="s">
        <v>1</v>
      </c>
      <c r="C31820" t="s">
        <v>7589</v>
      </c>
      <c r="D31820" t="s">
        <v>23360</v>
      </c>
    </row>
    <row r="31821" spans="1:4" x14ac:dyDescent="0.2">
      <c r="B31821" t="s">
        <v>172</v>
      </c>
      <c r="C31821" t="s">
        <v>10484</v>
      </c>
      <c r="D31821" t="s">
        <v>23361</v>
      </c>
    </row>
    <row r="31823" spans="1:4" x14ac:dyDescent="0.2">
      <c r="A31823" t="s">
        <v>10485</v>
      </c>
      <c r="B31823" t="str">
        <f>HYPERLINK("https://lindat.mff.cuni.cz/services/teitok/pdtc10/index.php?action=vallex&amp;frame=v-w4394f3", "projevovat (v-w4394f3)")</f>
        <v>projevovat (v-w4394f3)</v>
      </c>
    </row>
    <row r="31824" spans="1:4" x14ac:dyDescent="0.2">
      <c r="B31824" t="s">
        <v>1</v>
      </c>
    </row>
    <row r="31825" spans="1:4" x14ac:dyDescent="0.2">
      <c r="B31825" t="s">
        <v>10486</v>
      </c>
    </row>
    <row r="31826" spans="1:4" x14ac:dyDescent="0.2">
      <c r="B31826" t="s">
        <v>35</v>
      </c>
    </row>
    <row r="31828" spans="1:4" x14ac:dyDescent="0.2">
      <c r="A31828" t="s">
        <v>10487</v>
      </c>
      <c r="B31828" t="str">
        <f>HYPERLINK("https://lindat.mff.cuni.cz/services/teitok/pdtc10/index.php?action=vallex&amp;frame=v-w4394hsa_723", "projevovat (v-w4394hsa_723)")</f>
        <v>projevovat (v-w4394hsa_723)</v>
      </c>
    </row>
    <row r="31829" spans="1:4" x14ac:dyDescent="0.2">
      <c r="B31829" t="s">
        <v>1</v>
      </c>
      <c r="D31829" t="s">
        <v>23024</v>
      </c>
    </row>
    <row r="31830" spans="1:4" x14ac:dyDescent="0.2">
      <c r="B31830" t="s">
        <v>10488</v>
      </c>
      <c r="C31830" t="s">
        <v>3699</v>
      </c>
    </row>
    <row r="31832" spans="1:4" x14ac:dyDescent="0.2">
      <c r="A31832" t="s">
        <v>10487</v>
      </c>
      <c r="B31832" t="str">
        <f>HYPERLINK("https://lindat.mff.cuni.cz/services/teitok/pdtc10/index.php?action=vallex&amp;frame=v-w4394f1", "projevovat (v-w4394f1) - substituted with v-w4394hsa_723")</f>
        <v>projevovat (v-w4394f1) - substituted with v-w4394hsa_723</v>
      </c>
    </row>
    <row r="31833" spans="1:4" x14ac:dyDescent="0.2">
      <c r="B31833" t="s">
        <v>1</v>
      </c>
      <c r="C31833" t="s">
        <v>115</v>
      </c>
    </row>
    <row r="31834" spans="1:4" x14ac:dyDescent="0.2">
      <c r="B31834" t="s">
        <v>10488</v>
      </c>
      <c r="C31834" t="s">
        <v>10489</v>
      </c>
    </row>
    <row r="31836" spans="1:4" x14ac:dyDescent="0.2">
      <c r="A31836" t="s">
        <v>10490</v>
      </c>
      <c r="B31836" t="str">
        <f>HYPERLINK("https://lindat.mff.cuni.cz/services/teitok/pdtc10/index.php?action=vallex&amp;frame=v-w4395f2", "projevovat se (v-w4395f2)")</f>
        <v>projevovat se (v-w4395f2)</v>
      </c>
    </row>
    <row r="31837" spans="1:4" x14ac:dyDescent="0.2">
      <c r="B31837" t="s">
        <v>1</v>
      </c>
    </row>
    <row r="31838" spans="1:4" x14ac:dyDescent="0.2">
      <c r="B31838" t="s">
        <v>10491</v>
      </c>
    </row>
    <row r="31840" spans="1:4" x14ac:dyDescent="0.2">
      <c r="A31840" t="s">
        <v>10492</v>
      </c>
      <c r="B31840" t="str">
        <f>HYPERLINK("https://lindat.mff.cuni.cz/services/teitok/pdtc10/index.php?action=vallex&amp;frame=v-w4395f1", "projevovat se (v-w4395f1)")</f>
        <v>projevovat se (v-w4395f1)</v>
      </c>
    </row>
    <row r="31841" spans="1:4" x14ac:dyDescent="0.2">
      <c r="B31841" t="s">
        <v>488</v>
      </c>
      <c r="C31841" t="s">
        <v>10493</v>
      </c>
      <c r="D31841" t="s">
        <v>7870</v>
      </c>
    </row>
    <row r="31843" spans="1:4" x14ac:dyDescent="0.2">
      <c r="A31843" t="s">
        <v>10494</v>
      </c>
      <c r="B31843" t="str">
        <f>HYPERLINK("https://lindat.mff.cuni.cz/services/teitok/pdtc10/index.php?action=vallex&amp;frame=v-w4395f3", "projevovat se (v-w4395f3)")</f>
        <v>projevovat se (v-w4395f3)</v>
      </c>
    </row>
    <row r="31844" spans="1:4" x14ac:dyDescent="0.2">
      <c r="B31844" t="s">
        <v>1</v>
      </c>
      <c r="C31844" t="s">
        <v>10495</v>
      </c>
      <c r="D31844" t="s">
        <v>23373</v>
      </c>
    </row>
    <row r="31845" spans="1:4" x14ac:dyDescent="0.2">
      <c r="B31845" t="s">
        <v>415</v>
      </c>
      <c r="D31845" t="s">
        <v>23942</v>
      </c>
    </row>
    <row r="31846" spans="1:4" x14ac:dyDescent="0.2">
      <c r="B31846" t="s">
        <v>346</v>
      </c>
      <c r="C31846" t="s">
        <v>10496</v>
      </c>
      <c r="D31846" t="s">
        <v>23378</v>
      </c>
    </row>
    <row r="31847" spans="1:4" x14ac:dyDescent="0.2">
      <c r="B31847" t="s">
        <v>349</v>
      </c>
      <c r="D31847" t="s">
        <v>23944</v>
      </c>
    </row>
    <row r="31848" spans="1:4" x14ac:dyDescent="0.2">
      <c r="B31848" t="s">
        <v>350</v>
      </c>
      <c r="D31848" t="s">
        <v>23947</v>
      </c>
    </row>
    <row r="31849" spans="1:4" x14ac:dyDescent="0.2">
      <c r="B31849" t="s">
        <v>351</v>
      </c>
      <c r="D31849" t="s">
        <v>23946</v>
      </c>
    </row>
    <row r="31850" spans="1:4" x14ac:dyDescent="0.2">
      <c r="B31850" t="s">
        <v>2009</v>
      </c>
      <c r="D31850" t="s">
        <v>23948</v>
      </c>
    </row>
    <row r="31852" spans="1:4" x14ac:dyDescent="0.2">
      <c r="A31852" t="s">
        <v>10497</v>
      </c>
      <c r="B31852" t="str">
        <f>HYPERLINK("https://lindat.mff.cuni.cz/services/teitok/pdtc10/index.php?action=vallex&amp;frame=v-whsa_173f1_ZU", "projezdit (v-whsa_173f1_ZU)")</f>
        <v>projezdit (v-whsa_173f1_ZU)</v>
      </c>
    </row>
    <row r="31853" spans="1:4" x14ac:dyDescent="0.2">
      <c r="B31853" t="s">
        <v>1</v>
      </c>
    </row>
    <row r="31854" spans="1:4" x14ac:dyDescent="0.2">
      <c r="B31854" t="s">
        <v>8</v>
      </c>
    </row>
    <row r="31856" spans="1:4" x14ac:dyDescent="0.2">
      <c r="A31856" t="s">
        <v>10497</v>
      </c>
      <c r="B31856" t="str">
        <f>HYPERLINK("https://lindat.mff.cuni.cz/services/teitok/pdtc10/index.php?action=vallex&amp;frame=v-whsa_173hsa_174", "projezdit (v-whsa_173hsa_174) - substituted with v-whsa_173f1_ZU")</f>
        <v>projezdit (v-whsa_173hsa_174) - substituted with v-whsa_173f1_ZU</v>
      </c>
    </row>
    <row r="31857" spans="1:4" x14ac:dyDescent="0.2">
      <c r="B31857" t="s">
        <v>1</v>
      </c>
    </row>
    <row r="31858" spans="1:4" x14ac:dyDescent="0.2">
      <c r="B31858" t="s">
        <v>8</v>
      </c>
    </row>
    <row r="31860" spans="1:4" x14ac:dyDescent="0.2">
      <c r="A31860" t="s">
        <v>10498</v>
      </c>
      <c r="B31860" t="str">
        <f>HYPERLINK("https://lindat.mff.cuni.cz/services/teitok/pdtc10/index.php?action=vallex&amp;frame=v-w4396f4", "projít (v-w4396f4)")</f>
        <v>projít (v-w4396f4)</v>
      </c>
    </row>
    <row r="31861" spans="1:4" x14ac:dyDescent="0.2">
      <c r="B31861" t="s">
        <v>1</v>
      </c>
    </row>
    <row r="31862" spans="1:4" x14ac:dyDescent="0.2">
      <c r="B31862" t="s">
        <v>8</v>
      </c>
    </row>
    <row r="31864" spans="1:4" x14ac:dyDescent="0.2">
      <c r="A31864" t="s">
        <v>10499</v>
      </c>
      <c r="B31864" t="str">
        <f>HYPERLINK("https://lindat.mff.cuni.cz/services/teitok/pdtc10/index.php?action=vallex&amp;frame=v-w4396f5", "projít (v-w4396f5)")</f>
        <v>projít (v-w4396f5)</v>
      </c>
    </row>
    <row r="31865" spans="1:4" x14ac:dyDescent="0.2">
      <c r="B31865" t="s">
        <v>1</v>
      </c>
      <c r="C31865" t="s">
        <v>127</v>
      </c>
      <c r="D31865" t="s">
        <v>990</v>
      </c>
    </row>
    <row r="31866" spans="1:4" x14ac:dyDescent="0.2">
      <c r="B31866" t="s">
        <v>8</v>
      </c>
      <c r="C31866" t="s">
        <v>10500</v>
      </c>
      <c r="D31866" t="s">
        <v>1340</v>
      </c>
    </row>
    <row r="31868" spans="1:4" x14ac:dyDescent="0.2">
      <c r="A31868" t="s">
        <v>10501</v>
      </c>
      <c r="B31868" t="str">
        <f>HYPERLINK("https://lindat.mff.cuni.cz/services/teitok/pdtc10/index.php?action=vallex&amp;frame=v-w4396f11_ZU", "projít (v-w4396f11_ZU)")</f>
        <v>projít (v-w4396f11_ZU)</v>
      </c>
    </row>
    <row r="31869" spans="1:4" x14ac:dyDescent="0.2">
      <c r="B31869" t="s">
        <v>1</v>
      </c>
    </row>
    <row r="31870" spans="1:4" x14ac:dyDescent="0.2">
      <c r="B31870" t="s">
        <v>8220</v>
      </c>
    </row>
    <row r="31872" spans="1:4" x14ac:dyDescent="0.2">
      <c r="A31872" t="s">
        <v>10501</v>
      </c>
      <c r="B31872" t="str">
        <f>HYPERLINK("https://lindat.mff.cuni.cz/services/teitok/pdtc10/index.php?action=vallex&amp;frame=v-w4396f10_ZU", "projít (v-w4396f10_ZU) - substituted with v-w4396f11_ZU")</f>
        <v>projít (v-w4396f10_ZU) - substituted with v-w4396f11_ZU</v>
      </c>
    </row>
    <row r="31873" spans="1:4" x14ac:dyDescent="0.2">
      <c r="B31873" t="s">
        <v>1</v>
      </c>
    </row>
    <row r="31874" spans="1:4" x14ac:dyDescent="0.2">
      <c r="B31874" t="s">
        <v>8220</v>
      </c>
    </row>
    <row r="31876" spans="1:4" x14ac:dyDescent="0.2">
      <c r="A31876" t="s">
        <v>10501</v>
      </c>
      <c r="B31876" t="str">
        <f>HYPERLINK("https://lindat.mff.cuni.cz/services/teitok/pdtc10/index.php?action=vallex&amp;frame=v-w4396f7", "projít (v-w4396f7) - substituted with v-w4396f11_ZU")</f>
        <v>projít (v-w4396f7) - substituted with v-w4396f11_ZU</v>
      </c>
    </row>
    <row r="31877" spans="1:4" x14ac:dyDescent="0.2">
      <c r="B31877" t="s">
        <v>1</v>
      </c>
      <c r="C31877" t="s">
        <v>10502</v>
      </c>
      <c r="D31877" t="s">
        <v>23818</v>
      </c>
    </row>
    <row r="31878" spans="1:4" x14ac:dyDescent="0.2">
      <c r="B31878" t="s">
        <v>8220</v>
      </c>
      <c r="C31878" t="s">
        <v>10503</v>
      </c>
      <c r="D31878" t="s">
        <v>23819</v>
      </c>
    </row>
    <row r="31880" spans="1:4" x14ac:dyDescent="0.2">
      <c r="A31880" t="s">
        <v>10501</v>
      </c>
      <c r="B31880" t="str">
        <f>HYPERLINK("https://lindat.mff.cuni.cz/services/teitok/pdtc10/index.php?action=vallex&amp;frame=v-w4396hsa_1956", "projít (v-w4396hsa_1956) - substituted with v-w4396f11_ZU")</f>
        <v>projít (v-w4396hsa_1956) - substituted with v-w4396f11_ZU</v>
      </c>
    </row>
    <row r="31881" spans="1:4" x14ac:dyDescent="0.2">
      <c r="B31881" t="s">
        <v>1</v>
      </c>
    </row>
    <row r="31882" spans="1:4" x14ac:dyDescent="0.2">
      <c r="B31882" t="s">
        <v>8220</v>
      </c>
    </row>
    <row r="31884" spans="1:4" x14ac:dyDescent="0.2">
      <c r="A31884" t="s">
        <v>10504</v>
      </c>
      <c r="B31884" t="str">
        <f>HYPERLINK("https://lindat.mff.cuni.cz/services/teitok/pdtc10/index.php?action=vallex&amp;frame=v-w4396f3", "projít (v-w4396f3)")</f>
        <v>projít (v-w4396f3)</v>
      </c>
    </row>
    <row r="31885" spans="1:4" x14ac:dyDescent="0.2">
      <c r="B31885" t="s">
        <v>488</v>
      </c>
      <c r="C31885" t="s">
        <v>10505</v>
      </c>
      <c r="D31885" t="s">
        <v>2172</v>
      </c>
    </row>
    <row r="31886" spans="1:4" x14ac:dyDescent="0.2">
      <c r="B31886" t="s">
        <v>86</v>
      </c>
      <c r="C31886" t="s">
        <v>1712</v>
      </c>
      <c r="D31886" t="s">
        <v>1712</v>
      </c>
    </row>
    <row r="31888" spans="1:4" x14ac:dyDescent="0.2">
      <c r="A31888" t="s">
        <v>10506</v>
      </c>
      <c r="B31888" t="str">
        <f>HYPERLINK("https://lindat.mff.cuni.cz/services/teitok/pdtc10/index.php?action=vallex&amp;frame=v-w4396f1", "projít (v-w4396f1)")</f>
        <v>projít (v-w4396f1)</v>
      </c>
    </row>
    <row r="31889" spans="1:4" x14ac:dyDescent="0.2">
      <c r="B31889" t="s">
        <v>1</v>
      </c>
      <c r="C31889" t="s">
        <v>10507</v>
      </c>
      <c r="D31889" t="s">
        <v>10645</v>
      </c>
    </row>
    <row r="31890" spans="1:4" x14ac:dyDescent="0.2">
      <c r="B31890" t="s">
        <v>192</v>
      </c>
      <c r="C31890" t="s">
        <v>10508</v>
      </c>
    </row>
    <row r="31892" spans="1:4" x14ac:dyDescent="0.2">
      <c r="A31892" t="s">
        <v>10509</v>
      </c>
      <c r="B31892" t="str">
        <f>HYPERLINK("https://lindat.mff.cuni.cz/services/teitok/pdtc10/index.php?action=vallex&amp;frame=v-w4396f2", "projít (v-w4396f2)")</f>
        <v>projít (v-w4396f2)</v>
      </c>
    </row>
    <row r="31893" spans="1:4" x14ac:dyDescent="0.2">
      <c r="B31893" t="s">
        <v>1</v>
      </c>
      <c r="C31893" t="s">
        <v>10510</v>
      </c>
      <c r="D31893" t="s">
        <v>23949</v>
      </c>
    </row>
    <row r="31895" spans="1:4" x14ac:dyDescent="0.2">
      <c r="A31895" t="s">
        <v>10511</v>
      </c>
      <c r="B31895" t="str">
        <f>HYPERLINK("https://lindat.mff.cuni.cz/services/teitok/pdtc10/index.php?action=vallex&amp;frame=v-w4396f9", "projít (v-w4396f9)")</f>
        <v>projít (v-w4396f9)</v>
      </c>
    </row>
    <row r="31896" spans="1:4" x14ac:dyDescent="0.2">
      <c r="B31896" t="s">
        <v>1</v>
      </c>
    </row>
    <row r="31898" spans="1:4" x14ac:dyDescent="0.2">
      <c r="A31898" t="s">
        <v>10512</v>
      </c>
      <c r="B31898" t="str">
        <f>HYPERLINK("https://lindat.mff.cuni.cz/services/teitok/pdtc10/index.php?action=vallex&amp;frame=v-w4396f8", "projít (v-w4396f8)")</f>
        <v>projít (v-w4396f8)</v>
      </c>
    </row>
    <row r="31899" spans="1:4" x14ac:dyDescent="0.2">
      <c r="B31899" t="s">
        <v>1</v>
      </c>
    </row>
    <row r="31901" spans="1:4" x14ac:dyDescent="0.2">
      <c r="A31901" t="s">
        <v>10513</v>
      </c>
      <c r="B31901" t="str">
        <f>HYPERLINK("https://lindat.mff.cuni.cz/services/teitok/pdtc10/index.php?action=vallex&amp;frame=v-w4396f6", "projít (v-w4396f6)")</f>
        <v>projít (v-w4396f6)</v>
      </c>
    </row>
    <row r="31902" spans="1:4" x14ac:dyDescent="0.2">
      <c r="B31902" t="s">
        <v>1</v>
      </c>
    </row>
    <row r="31903" spans="1:4" x14ac:dyDescent="0.2">
      <c r="B31903" t="s">
        <v>4486</v>
      </c>
    </row>
    <row r="31904" spans="1:4" x14ac:dyDescent="0.2">
      <c r="B31904" t="s">
        <v>103</v>
      </c>
    </row>
    <row r="31906" spans="1:2" x14ac:dyDescent="0.2">
      <c r="A31906" t="s">
        <v>10514</v>
      </c>
      <c r="B31906" t="str">
        <f>HYPERLINK("https://lindat.mff.cuni.cz/services/teitok/pdtc10/index.php?action=vallex&amp;frame=v-w4396f12_ZU", "projít (v-w4396f12_ZU)")</f>
        <v>projít (v-w4396f12_ZU)</v>
      </c>
    </row>
    <row r="31907" spans="1:2" x14ac:dyDescent="0.2">
      <c r="B31907" t="s">
        <v>1</v>
      </c>
    </row>
    <row r="31908" spans="1:2" x14ac:dyDescent="0.2">
      <c r="B31908" t="s">
        <v>3716</v>
      </c>
    </row>
    <row r="31910" spans="1:2" x14ac:dyDescent="0.2">
      <c r="A31910" t="s">
        <v>10515</v>
      </c>
      <c r="B31910" t="str">
        <f>HYPERLINK("https://lindat.mff.cuni.cz/services/teitok/pdtc10/index.php?action=vallex&amp;frame=v-w4397f1", "projít se (v-w4397f1)")</f>
        <v>projít se (v-w4397f1)</v>
      </c>
    </row>
    <row r="31911" spans="1:2" x14ac:dyDescent="0.2">
      <c r="B31911" t="s">
        <v>1</v>
      </c>
    </row>
    <row r="31913" spans="1:2" x14ac:dyDescent="0.2">
      <c r="A31913" t="s">
        <v>10516</v>
      </c>
      <c r="B31913" t="str">
        <f>HYPERLINK("https://lindat.mff.cuni.cz/services/teitok/pdtc10/index.php?action=vallex&amp;frame=v-w11565_ZUf3_ZU", "projít si (v-w11565_ZUf3_ZU)")</f>
        <v>projít si (v-w11565_ZUf3_ZU)</v>
      </c>
    </row>
    <row r="31914" spans="1:2" x14ac:dyDescent="0.2">
      <c r="B31914" t="s">
        <v>1</v>
      </c>
    </row>
    <row r="31915" spans="1:2" x14ac:dyDescent="0.2">
      <c r="B31915" t="s">
        <v>158</v>
      </c>
    </row>
    <row r="31917" spans="1:2" x14ac:dyDescent="0.2">
      <c r="A31917" t="s">
        <v>10516</v>
      </c>
      <c r="B31917" t="str">
        <f>HYPERLINK("https://lindat.mff.cuni.cz/services/teitok/pdtc10/index.php?action=vallex&amp;frame=v-w11565_ZUf1_ZU", "projít si (v-w11565_ZUf1_ZU) - substituted with v-w11565_ZUf3_ZU")</f>
        <v>projít si (v-w11565_ZUf1_ZU) - substituted with v-w11565_ZUf3_ZU</v>
      </c>
    </row>
    <row r="31918" spans="1:2" x14ac:dyDescent="0.2">
      <c r="B31918" t="s">
        <v>1</v>
      </c>
    </row>
    <row r="31919" spans="1:2" x14ac:dyDescent="0.2">
      <c r="B31919" t="s">
        <v>158</v>
      </c>
    </row>
    <row r="31921" spans="1:4" x14ac:dyDescent="0.2">
      <c r="A31921" t="s">
        <v>10517</v>
      </c>
      <c r="B31921" t="str">
        <f>HYPERLINK("https://lindat.mff.cuni.cz/services/teitok/pdtc10/index.php?action=vallex&amp;frame=v-w11565_ZUf2_ZU", "projít si (v-w11565_ZUf2_ZU)")</f>
        <v>projít si (v-w11565_ZUf2_ZU)</v>
      </c>
    </row>
    <row r="31922" spans="1:4" x14ac:dyDescent="0.2">
      <c r="B31922" t="s">
        <v>1</v>
      </c>
    </row>
    <row r="31923" spans="1:4" x14ac:dyDescent="0.2">
      <c r="B31923" t="s">
        <v>8</v>
      </c>
    </row>
    <row r="31925" spans="1:4" x14ac:dyDescent="0.2">
      <c r="A31925" t="s">
        <v>10518</v>
      </c>
      <c r="B31925" t="str">
        <f>HYPERLINK("https://lindat.mff.cuni.cz/services/teitok/pdtc10/index.php?action=vallex&amp;frame=v-w4398f1", "projíždět (v-w4398f1)")</f>
        <v>projíždět (v-w4398f1)</v>
      </c>
    </row>
    <row r="31926" spans="1:4" x14ac:dyDescent="0.2">
      <c r="B31926" t="s">
        <v>1</v>
      </c>
      <c r="C31926" t="s">
        <v>10519</v>
      </c>
      <c r="D31926" t="s">
        <v>1805</v>
      </c>
    </row>
    <row r="31927" spans="1:4" x14ac:dyDescent="0.2">
      <c r="B31927" t="s">
        <v>192</v>
      </c>
      <c r="D31927" t="s">
        <v>23940</v>
      </c>
    </row>
    <row r="31929" spans="1:4" x14ac:dyDescent="0.2">
      <c r="A31929" t="s">
        <v>10520</v>
      </c>
      <c r="B31929" t="str">
        <f>HYPERLINK("https://lindat.mff.cuni.cz/services/teitok/pdtc10/index.php?action=vallex&amp;frame=v-w4398f2_ZU", "projíždět (v-w4398f2_ZU)")</f>
        <v>projíždět (v-w4398f2_ZU)</v>
      </c>
    </row>
    <row r="31930" spans="1:4" x14ac:dyDescent="0.2">
      <c r="B31930" t="s">
        <v>1</v>
      </c>
      <c r="C31930" t="s">
        <v>140</v>
      </c>
      <c r="D31930" t="s">
        <v>2353</v>
      </c>
    </row>
    <row r="31931" spans="1:4" x14ac:dyDescent="0.2">
      <c r="B31931" t="s">
        <v>8</v>
      </c>
      <c r="C31931" t="s">
        <v>113</v>
      </c>
      <c r="D31931" t="s">
        <v>1025</v>
      </c>
    </row>
    <row r="31933" spans="1:4" x14ac:dyDescent="0.2">
      <c r="A31933" t="s">
        <v>10520</v>
      </c>
      <c r="B31933" t="str">
        <f>HYPERLINK("https://lindat.mff.cuni.cz/services/teitok/pdtc10/index.php?action=vallex&amp;frame=v-w4398hsa_359", "projíždět (v-w4398hsa_359) - substituted with v-w4398f2_ZU")</f>
        <v>projíždět (v-w4398hsa_359) - substituted with v-w4398f2_ZU</v>
      </c>
    </row>
    <row r="31934" spans="1:4" x14ac:dyDescent="0.2">
      <c r="B31934" t="s">
        <v>1</v>
      </c>
    </row>
    <row r="31935" spans="1:4" x14ac:dyDescent="0.2">
      <c r="B31935" t="s">
        <v>8</v>
      </c>
    </row>
    <row r="31937" spans="1:4" x14ac:dyDescent="0.2">
      <c r="A31937" t="s">
        <v>10521</v>
      </c>
      <c r="B31937" t="str">
        <f>HYPERLINK("https://lindat.mff.cuni.cz/services/teitok/pdtc10/index.php?action=vallex&amp;frame=v-whsa_1810hsa_1811", "projíždět se (v-whsa_1810hsa_1811)")</f>
        <v>projíždět se (v-whsa_1810hsa_1811)</v>
      </c>
    </row>
    <row r="31938" spans="1:4" x14ac:dyDescent="0.2">
      <c r="B31938" t="s">
        <v>1</v>
      </c>
    </row>
    <row r="31940" spans="1:4" x14ac:dyDescent="0.2">
      <c r="A31940" t="s">
        <v>10522</v>
      </c>
      <c r="B31940" t="str">
        <f>HYPERLINK("https://lindat.mff.cuni.cz/services/teitok/pdtc10/index.php?action=vallex&amp;frame=v-w4402f3_ZU", "prokazovat (v-w4402f3_ZU)")</f>
        <v>prokazovat (v-w4402f3_ZU)</v>
      </c>
    </row>
    <row r="31941" spans="1:4" x14ac:dyDescent="0.2">
      <c r="B31941" t="s">
        <v>1</v>
      </c>
    </row>
    <row r="31942" spans="1:4" x14ac:dyDescent="0.2">
      <c r="B31942" t="s">
        <v>8</v>
      </c>
    </row>
    <row r="31943" spans="1:4" x14ac:dyDescent="0.2">
      <c r="B31943" t="s">
        <v>35</v>
      </c>
    </row>
    <row r="31945" spans="1:4" x14ac:dyDescent="0.2">
      <c r="A31945" t="s">
        <v>10523</v>
      </c>
      <c r="B31945" t="str">
        <f>HYPERLINK("https://lindat.mff.cuni.cz/services/teitok/pdtc10/index.php?action=vallex&amp;frame=v-w4402f4_ZU", "prokazovat (v-w4402f4_ZU)")</f>
        <v>prokazovat (v-w4402f4_ZU)</v>
      </c>
    </row>
    <row r="31946" spans="1:4" x14ac:dyDescent="0.2">
      <c r="B31946" t="s">
        <v>1</v>
      </c>
      <c r="D31946" t="s">
        <v>294</v>
      </c>
    </row>
    <row r="31947" spans="1:4" x14ac:dyDescent="0.2">
      <c r="B31947" t="s">
        <v>7150</v>
      </c>
      <c r="C31947" t="s">
        <v>7055</v>
      </c>
      <c r="D31947" t="s">
        <v>5666</v>
      </c>
    </row>
    <row r="31948" spans="1:4" x14ac:dyDescent="0.2">
      <c r="B31948" t="s">
        <v>78</v>
      </c>
    </row>
    <row r="31950" spans="1:4" x14ac:dyDescent="0.2">
      <c r="A31950" t="s">
        <v>10523</v>
      </c>
      <c r="B31950" t="str">
        <f>HYPERLINK("https://lindat.mff.cuni.cz/services/teitok/pdtc10/index.php?action=vallex&amp;frame=v-w4402f1", "prokazovat (v-w4402f1) - substituted with v-w4402f4_ZU")</f>
        <v>prokazovat (v-w4402f1) - substituted with v-w4402f4_ZU</v>
      </c>
    </row>
    <row r="31951" spans="1:4" x14ac:dyDescent="0.2">
      <c r="B31951" t="s">
        <v>1</v>
      </c>
      <c r="C31951" t="s">
        <v>2530</v>
      </c>
    </row>
    <row r="31952" spans="1:4" x14ac:dyDescent="0.2">
      <c r="B31952" t="s">
        <v>7150</v>
      </c>
      <c r="C31952" t="s">
        <v>10524</v>
      </c>
    </row>
    <row r="31953" spans="1:4" x14ac:dyDescent="0.2">
      <c r="B31953" t="s">
        <v>78</v>
      </c>
      <c r="C31953" t="s">
        <v>2546</v>
      </c>
    </row>
    <row r="31955" spans="1:4" x14ac:dyDescent="0.2">
      <c r="A31955" t="s">
        <v>10525</v>
      </c>
      <c r="B31955" t="str">
        <f>HYPERLINK("https://lindat.mff.cuni.cz/services/teitok/pdtc10/index.php?action=vallex&amp;frame=v-w4402f2", "prokazovat (v-w4402f2)")</f>
        <v>prokazovat (v-w4402f2)</v>
      </c>
    </row>
    <row r="31956" spans="1:4" x14ac:dyDescent="0.2">
      <c r="B31956" t="s">
        <v>1</v>
      </c>
      <c r="D31956" t="s">
        <v>23136</v>
      </c>
    </row>
    <row r="31957" spans="1:4" x14ac:dyDescent="0.2">
      <c r="B31957" t="s">
        <v>41</v>
      </c>
      <c r="C31957" t="s">
        <v>10526</v>
      </c>
      <c r="D31957" t="s">
        <v>732</v>
      </c>
    </row>
    <row r="31959" spans="1:4" x14ac:dyDescent="0.2">
      <c r="A31959" t="s">
        <v>10527</v>
      </c>
      <c r="B31959" t="str">
        <f>HYPERLINK("https://lindat.mff.cuni.cz/services/teitok/pdtc10/index.php?action=vallex&amp;frame=v-w4407f1", "proklamovat (v-w4407f1)")</f>
        <v>proklamovat (v-w4407f1)</v>
      </c>
    </row>
    <row r="31960" spans="1:4" x14ac:dyDescent="0.2">
      <c r="B31960" t="s">
        <v>1</v>
      </c>
    </row>
    <row r="31961" spans="1:4" x14ac:dyDescent="0.2">
      <c r="B31961" t="s">
        <v>41</v>
      </c>
    </row>
    <row r="31963" spans="1:4" x14ac:dyDescent="0.2">
      <c r="A31963" t="s">
        <v>10528</v>
      </c>
      <c r="B31963" t="str">
        <f>HYPERLINK("https://lindat.mff.cuni.cz/services/teitok/pdtc10/index.php?action=vallex&amp;frame=v-w4408f1", "proklestit (v-w4408f1)")</f>
        <v>proklestit (v-w4408f1)</v>
      </c>
    </row>
    <row r="31964" spans="1:4" x14ac:dyDescent="0.2">
      <c r="B31964" t="s">
        <v>1</v>
      </c>
      <c r="C31964" t="s">
        <v>33</v>
      </c>
      <c r="D31964" t="s">
        <v>83</v>
      </c>
    </row>
    <row r="31965" spans="1:4" x14ac:dyDescent="0.2">
      <c r="B31965" t="s">
        <v>8</v>
      </c>
      <c r="C31965" t="s">
        <v>34</v>
      </c>
      <c r="D31965" t="s">
        <v>34</v>
      </c>
    </row>
    <row r="31967" spans="1:4" x14ac:dyDescent="0.2">
      <c r="A31967" t="s">
        <v>10529</v>
      </c>
      <c r="B31967" t="str">
        <f>HYPERLINK("https://lindat.mff.cuni.cz/services/teitok/pdtc10/index.php?action=vallex&amp;frame=v-w12237_ZUf1_ZU", "proklimbat (v-w12237_ZUf1_ZU)")</f>
        <v>proklimbat (v-w12237_ZUf1_ZU)</v>
      </c>
    </row>
    <row r="31968" spans="1:4" x14ac:dyDescent="0.2">
      <c r="B31968" t="s">
        <v>1</v>
      </c>
    </row>
    <row r="31969" spans="1:4" x14ac:dyDescent="0.2">
      <c r="B31969" t="s">
        <v>8</v>
      </c>
    </row>
    <row r="31971" spans="1:4" x14ac:dyDescent="0.2">
      <c r="A31971" t="s">
        <v>10530</v>
      </c>
      <c r="B31971" t="str">
        <f>HYPERLINK("https://lindat.mff.cuni.cz/services/teitok/pdtc10/index.php?action=vallex&amp;frame=v-w10619f2", "prokličkovat (v-w10619f2)")</f>
        <v>prokličkovat (v-w10619f2)</v>
      </c>
    </row>
    <row r="31972" spans="1:4" x14ac:dyDescent="0.2">
      <c r="B31972" t="s">
        <v>1</v>
      </c>
    </row>
    <row r="31973" spans="1:4" x14ac:dyDescent="0.2">
      <c r="B31973" t="s">
        <v>192</v>
      </c>
    </row>
    <row r="31975" spans="1:4" x14ac:dyDescent="0.2">
      <c r="A31975" t="s">
        <v>10531</v>
      </c>
      <c r="B31975" t="str">
        <f>HYPERLINK("https://lindat.mff.cuni.cz/services/teitok/pdtc10/index.php?action=vallex&amp;frame=v-w10135f2", "proklouznout (v-w10135f2)")</f>
        <v>proklouznout (v-w10135f2)</v>
      </c>
    </row>
    <row r="31976" spans="1:4" x14ac:dyDescent="0.2">
      <c r="B31976" t="s">
        <v>1</v>
      </c>
      <c r="C31976" t="s">
        <v>133</v>
      </c>
      <c r="D31976" t="s">
        <v>23107</v>
      </c>
    </row>
    <row r="31977" spans="1:4" x14ac:dyDescent="0.2">
      <c r="B31977" t="s">
        <v>90</v>
      </c>
      <c r="D31977" t="s">
        <v>23108</v>
      </c>
    </row>
    <row r="31979" spans="1:4" x14ac:dyDescent="0.2">
      <c r="A31979" t="s">
        <v>10532</v>
      </c>
      <c r="B31979" t="str">
        <f>HYPERLINK("https://lindat.mff.cuni.cz/services/teitok/pdtc10/index.php?action=vallex&amp;frame=v-w10220f2", "prokládat (v-w10220f2)")</f>
        <v>prokládat (v-w10220f2)</v>
      </c>
    </row>
    <row r="31980" spans="1:4" x14ac:dyDescent="0.2">
      <c r="B31980" t="s">
        <v>1</v>
      </c>
      <c r="C31980" t="s">
        <v>140</v>
      </c>
    </row>
    <row r="31981" spans="1:4" x14ac:dyDescent="0.2">
      <c r="B31981" t="s">
        <v>8</v>
      </c>
      <c r="C31981" t="s">
        <v>113</v>
      </c>
    </row>
    <row r="31982" spans="1:4" x14ac:dyDescent="0.2">
      <c r="B31982" t="s">
        <v>5479</v>
      </c>
    </row>
    <row r="31984" spans="1:4" x14ac:dyDescent="0.2">
      <c r="A31984" t="s">
        <v>10533</v>
      </c>
      <c r="B31984" t="str">
        <f>HYPERLINK("https://lindat.mff.cuni.cz/services/teitok/pdtc10/index.php?action=vallex&amp;frame=v-whsa_1964hsa_1965", "proklít (v-whsa_1964hsa_1965)")</f>
        <v>proklít (v-whsa_1964hsa_1965)</v>
      </c>
    </row>
    <row r="31985" spans="1:4" x14ac:dyDescent="0.2">
      <c r="B31985" t="s">
        <v>1</v>
      </c>
    </row>
    <row r="31986" spans="1:4" x14ac:dyDescent="0.2">
      <c r="B31986" t="s">
        <v>8</v>
      </c>
    </row>
    <row r="31988" spans="1:4" x14ac:dyDescent="0.2">
      <c r="A31988" t="s">
        <v>10534</v>
      </c>
      <c r="B31988" t="str">
        <f>HYPERLINK("https://lindat.mff.cuni.cz/services/teitok/pdtc10/index.php?action=vallex&amp;frame=v-whsa_818f1_ZU", "prokopat se (v-whsa_818f1_ZU)")</f>
        <v>prokopat se (v-whsa_818f1_ZU)</v>
      </c>
    </row>
    <row r="31989" spans="1:4" x14ac:dyDescent="0.2">
      <c r="B31989" t="s">
        <v>1</v>
      </c>
      <c r="C31989" t="s">
        <v>140</v>
      </c>
    </row>
    <row r="31991" spans="1:4" x14ac:dyDescent="0.2">
      <c r="A31991" t="s">
        <v>10534</v>
      </c>
      <c r="B31991" t="str">
        <f>HYPERLINK("https://lindat.mff.cuni.cz/services/teitok/pdtc10/index.php?action=vallex&amp;frame=v-whsa_818hsa_819", "prokopat se (v-whsa_818hsa_819) - substituted with v-whsa_818f1_ZU")</f>
        <v>prokopat se (v-whsa_818hsa_819) - substituted with v-whsa_818f1_ZU</v>
      </c>
    </row>
    <row r="31992" spans="1:4" x14ac:dyDescent="0.2">
      <c r="B31992" t="s">
        <v>1</v>
      </c>
    </row>
    <row r="31994" spans="1:4" x14ac:dyDescent="0.2">
      <c r="A31994" t="s">
        <v>10535</v>
      </c>
      <c r="B31994" t="str">
        <f>HYPERLINK("https://lindat.mff.cuni.cz/services/teitok/pdtc10/index.php?action=vallex&amp;frame=v-w11406f2", "prokopnout se (v-w11406f2)")</f>
        <v>prokopnout se (v-w11406f2)</v>
      </c>
    </row>
    <row r="31995" spans="1:4" x14ac:dyDescent="0.2">
      <c r="B31995" t="s">
        <v>1</v>
      </c>
    </row>
    <row r="31997" spans="1:4" x14ac:dyDescent="0.2">
      <c r="A31997" t="s">
        <v>10536</v>
      </c>
      <c r="B31997" t="str">
        <f>HYPERLINK("https://lindat.mff.cuni.cz/services/teitok/pdtc10/index.php?action=vallex&amp;frame=v-w4410f1", "prokouknout (v-w4410f1)")</f>
        <v>prokouknout (v-w4410f1)</v>
      </c>
    </row>
    <row r="31998" spans="1:4" x14ac:dyDescent="0.2">
      <c r="B31998" t="s">
        <v>1</v>
      </c>
      <c r="C31998" t="s">
        <v>140</v>
      </c>
      <c r="D31998" t="s">
        <v>2749</v>
      </c>
    </row>
    <row r="31999" spans="1:4" x14ac:dyDescent="0.2">
      <c r="B31999" t="s">
        <v>8</v>
      </c>
      <c r="D31999" t="s">
        <v>23358</v>
      </c>
    </row>
    <row r="32001" spans="1:4" x14ac:dyDescent="0.2">
      <c r="A32001" t="s">
        <v>10537</v>
      </c>
      <c r="B32001" t="str">
        <f>HYPERLINK("https://lindat.mff.cuni.cz/services/teitok/pdtc10/index.php?action=vallex&amp;frame=v-w4411f1", "prokousat se (v-w4411f1)")</f>
        <v>prokousat se (v-w4411f1)</v>
      </c>
    </row>
    <row r="32002" spans="1:4" x14ac:dyDescent="0.2">
      <c r="B32002" t="s">
        <v>1</v>
      </c>
      <c r="C32002" t="s">
        <v>133</v>
      </c>
      <c r="D32002" t="s">
        <v>14822</v>
      </c>
    </row>
    <row r="32003" spans="1:4" x14ac:dyDescent="0.2">
      <c r="B32003" t="s">
        <v>192</v>
      </c>
      <c r="D32003" t="s">
        <v>23928</v>
      </c>
    </row>
    <row r="32005" spans="1:4" x14ac:dyDescent="0.2">
      <c r="A32005" t="s">
        <v>10538</v>
      </c>
      <c r="B32005" t="str">
        <f>HYPERLINK("https://lindat.mff.cuni.cz/services/teitok/pdtc10/index.php?action=vallex&amp;frame=v-w11396f1", "prokousávat se (v-w11396f1)")</f>
        <v>prokousávat se (v-w11396f1)</v>
      </c>
    </row>
    <row r="32006" spans="1:4" x14ac:dyDescent="0.2">
      <c r="B32006" t="s">
        <v>1</v>
      </c>
      <c r="D32006" t="s">
        <v>14822</v>
      </c>
    </row>
    <row r="32007" spans="1:4" x14ac:dyDescent="0.2">
      <c r="B32007" t="s">
        <v>192</v>
      </c>
      <c r="D32007" t="s">
        <v>23928</v>
      </c>
    </row>
    <row r="32009" spans="1:4" x14ac:dyDescent="0.2">
      <c r="A32009" t="s">
        <v>10539</v>
      </c>
      <c r="B32009" t="str">
        <f>HYPERLINK("https://lindat.mff.cuni.cz/services/teitok/pdtc10/index.php?action=vallex&amp;frame=v-w11357f1", "prokrvovat se (v-w11357f1)")</f>
        <v>prokrvovat se (v-w11357f1)</v>
      </c>
    </row>
    <row r="32010" spans="1:4" x14ac:dyDescent="0.2">
      <c r="B32010" t="s">
        <v>1</v>
      </c>
    </row>
    <row r="32012" spans="1:4" x14ac:dyDescent="0.2">
      <c r="A32012" t="s">
        <v>10540</v>
      </c>
      <c r="B32012" t="str">
        <f>HYPERLINK("https://lindat.mff.cuni.cz/services/teitok/pdtc10/index.php?action=vallex&amp;frame=v-w4400f3_ZU", "prokázat (v-w4400f3_ZU)")</f>
        <v>prokázat (v-w4400f3_ZU)</v>
      </c>
    </row>
    <row r="32013" spans="1:4" x14ac:dyDescent="0.2">
      <c r="B32013" t="s">
        <v>1</v>
      </c>
      <c r="C32013" t="s">
        <v>10541</v>
      </c>
      <c r="D32013" t="s">
        <v>23136</v>
      </c>
    </row>
    <row r="32014" spans="1:4" x14ac:dyDescent="0.2">
      <c r="B32014" t="s">
        <v>7150</v>
      </c>
      <c r="C32014" t="s">
        <v>10542</v>
      </c>
      <c r="D32014" t="s">
        <v>732</v>
      </c>
    </row>
    <row r="32015" spans="1:4" x14ac:dyDescent="0.2">
      <c r="B32015" t="s">
        <v>78</v>
      </c>
      <c r="C32015" t="s">
        <v>4440</v>
      </c>
      <c r="D32015" t="s">
        <v>10545</v>
      </c>
    </row>
    <row r="32017" spans="1:4" x14ac:dyDescent="0.2">
      <c r="A32017" t="s">
        <v>10540</v>
      </c>
      <c r="B32017" t="str">
        <f>HYPERLINK("https://lindat.mff.cuni.cz/services/teitok/pdtc10/index.php?action=vallex&amp;frame=v-w4400f1", "prokázat (v-w4400f1) - substituted with v-w4400f3_ZU")</f>
        <v>prokázat (v-w4400f1) - substituted with v-w4400f3_ZU</v>
      </c>
    </row>
    <row r="32018" spans="1:4" x14ac:dyDescent="0.2">
      <c r="B32018" t="s">
        <v>1</v>
      </c>
      <c r="C32018" t="s">
        <v>10543</v>
      </c>
    </row>
    <row r="32019" spans="1:4" x14ac:dyDescent="0.2">
      <c r="B32019" t="s">
        <v>7150</v>
      </c>
      <c r="C32019" t="s">
        <v>10544</v>
      </c>
    </row>
    <row r="32020" spans="1:4" x14ac:dyDescent="0.2">
      <c r="B32020" t="s">
        <v>78</v>
      </c>
      <c r="C32020" t="s">
        <v>10545</v>
      </c>
    </row>
    <row r="32022" spans="1:4" x14ac:dyDescent="0.2">
      <c r="A32022" t="s">
        <v>10546</v>
      </c>
      <c r="B32022" t="str">
        <f>HYPERLINK("https://lindat.mff.cuni.cz/services/teitok/pdtc10/index.php?action=vallex&amp;frame=v-w4400f2", "prokázat (v-w4400f2)")</f>
        <v>prokázat (v-w4400f2)</v>
      </c>
    </row>
    <row r="32023" spans="1:4" x14ac:dyDescent="0.2">
      <c r="B32023" t="s">
        <v>1</v>
      </c>
      <c r="C32023" t="s">
        <v>10547</v>
      </c>
      <c r="D32023" t="s">
        <v>23136</v>
      </c>
    </row>
    <row r="32024" spans="1:4" x14ac:dyDescent="0.2">
      <c r="B32024" t="s">
        <v>41</v>
      </c>
      <c r="C32024" t="s">
        <v>10548</v>
      </c>
      <c r="D32024" t="s">
        <v>732</v>
      </c>
    </row>
    <row r="32026" spans="1:4" x14ac:dyDescent="0.2">
      <c r="A32026" t="s">
        <v>10549</v>
      </c>
      <c r="B32026" t="str">
        <f>HYPERLINK("https://lindat.mff.cuni.cz/services/teitok/pdtc10/index.php?action=vallex&amp;frame=v-w4400hsa_1241", "prokázat (v-w4400hsa_1241)")</f>
        <v>prokázat (v-w4400hsa_1241)</v>
      </c>
    </row>
    <row r="32027" spans="1:4" x14ac:dyDescent="0.2">
      <c r="B32027" t="s">
        <v>1</v>
      </c>
    </row>
    <row r="32028" spans="1:4" x14ac:dyDescent="0.2">
      <c r="B32028" t="s">
        <v>8</v>
      </c>
    </row>
    <row r="32029" spans="1:4" x14ac:dyDescent="0.2">
      <c r="B32029" t="s">
        <v>35</v>
      </c>
    </row>
    <row r="32031" spans="1:4" x14ac:dyDescent="0.2">
      <c r="A32031" t="s">
        <v>10550</v>
      </c>
      <c r="B32031" t="str">
        <f>HYPERLINK("https://lindat.mff.cuni.cz/services/teitok/pdtc10/index.php?action=vallex&amp;frame=v-w4401f2", "prokázat se (v-w4401f2)")</f>
        <v>prokázat se (v-w4401f2)</v>
      </c>
    </row>
    <row r="32032" spans="1:4" x14ac:dyDescent="0.2">
      <c r="B32032" t="s">
        <v>1</v>
      </c>
    </row>
    <row r="32033" spans="1:3" x14ac:dyDescent="0.2">
      <c r="B32033" t="s">
        <v>158</v>
      </c>
    </row>
    <row r="32035" spans="1:3" x14ac:dyDescent="0.2">
      <c r="A32035" t="s">
        <v>10551</v>
      </c>
      <c r="B32035" t="str">
        <f>HYPERLINK("https://lindat.mff.cuni.cz/services/teitok/pdtc10/index.php?action=vallex&amp;frame=v-w4401f3_ZU", "prokázat se (v-w4401f3_ZU)")</f>
        <v>prokázat se (v-w4401f3_ZU)</v>
      </c>
    </row>
    <row r="32036" spans="1:3" x14ac:dyDescent="0.2">
      <c r="B32036" t="s">
        <v>1</v>
      </c>
      <c r="C32036" t="s">
        <v>430</v>
      </c>
    </row>
    <row r="32037" spans="1:3" x14ac:dyDescent="0.2">
      <c r="B32037" t="s">
        <v>10552</v>
      </c>
      <c r="C32037" t="s">
        <v>4060</v>
      </c>
    </row>
    <row r="32039" spans="1:3" x14ac:dyDescent="0.2">
      <c r="A32039" t="s">
        <v>10553</v>
      </c>
      <c r="B32039" t="str">
        <f>HYPERLINK("https://lindat.mff.cuni.cz/services/teitok/pdtc10/index.php?action=vallex&amp;frame=v-w4401f1", "prokázat se (v-w4401f1)")</f>
        <v>prokázat se (v-w4401f1)</v>
      </c>
    </row>
    <row r="32040" spans="1:3" x14ac:dyDescent="0.2">
      <c r="B32040" t="s">
        <v>10554</v>
      </c>
      <c r="C32040" t="s">
        <v>10555</v>
      </c>
    </row>
    <row r="32042" spans="1:3" x14ac:dyDescent="0.2">
      <c r="A32042" t="s">
        <v>10556</v>
      </c>
      <c r="B32042" t="str">
        <f>HYPERLINK("https://lindat.mff.cuni.cz/services/teitok/pdtc10/index.php?action=vallex&amp;frame=v-w4409f1", "prokňučet (v-w4409f1)")</f>
        <v>prokňučet (v-w4409f1)</v>
      </c>
    </row>
    <row r="32043" spans="1:3" x14ac:dyDescent="0.2">
      <c r="B32043" t="s">
        <v>1</v>
      </c>
    </row>
    <row r="32044" spans="1:3" x14ac:dyDescent="0.2">
      <c r="B32044" t="s">
        <v>8</v>
      </c>
    </row>
    <row r="32046" spans="1:3" x14ac:dyDescent="0.2">
      <c r="A32046" t="s">
        <v>10557</v>
      </c>
      <c r="B32046" t="str">
        <f>HYPERLINK("https://lindat.mff.cuni.cz/services/teitok/pdtc10/index.php?action=vallex&amp;frame=v-w11321f1", "prokřičet se (v-w11321f1)")</f>
        <v>prokřičet se (v-w11321f1)</v>
      </c>
    </row>
    <row r="32047" spans="1:3" x14ac:dyDescent="0.2">
      <c r="B32047" t="s">
        <v>1</v>
      </c>
    </row>
    <row r="32048" spans="1:3" x14ac:dyDescent="0.2">
      <c r="B32048" t="s">
        <v>192</v>
      </c>
    </row>
    <row r="32050" spans="1:4" x14ac:dyDescent="0.2">
      <c r="A32050" t="s">
        <v>10558</v>
      </c>
      <c r="B32050" t="str">
        <f>HYPERLINK("https://lindat.mff.cuni.cz/services/teitok/pdtc10/index.php?action=vallex&amp;frame=v-w4413f1", "prolamovat (v-w4413f1)")</f>
        <v>prolamovat (v-w4413f1)</v>
      </c>
    </row>
    <row r="32051" spans="1:4" x14ac:dyDescent="0.2">
      <c r="B32051" t="s">
        <v>1</v>
      </c>
      <c r="C32051" t="s">
        <v>115</v>
      </c>
      <c r="D32051" t="s">
        <v>249</v>
      </c>
    </row>
    <row r="32052" spans="1:4" x14ac:dyDescent="0.2">
      <c r="B32052" t="s">
        <v>8</v>
      </c>
      <c r="C32052" t="s">
        <v>1798</v>
      </c>
      <c r="D32052" t="s">
        <v>1044</v>
      </c>
    </row>
    <row r="32054" spans="1:4" x14ac:dyDescent="0.2">
      <c r="A32054" t="s">
        <v>10559</v>
      </c>
      <c r="B32054" t="str">
        <f>HYPERLINK("https://lindat.mff.cuni.cz/services/teitok/pdtc10/index.php?action=vallex&amp;frame=v-w11566_ZUf1_ZU", "proletět (v-w11566_ZUf1_ZU)")</f>
        <v>proletět (v-w11566_ZUf1_ZU)</v>
      </c>
    </row>
    <row r="32055" spans="1:4" x14ac:dyDescent="0.2">
      <c r="B32055" t="s">
        <v>1</v>
      </c>
    </row>
    <row r="32056" spans="1:4" x14ac:dyDescent="0.2">
      <c r="B32056" t="s">
        <v>3716</v>
      </c>
    </row>
    <row r="32058" spans="1:4" x14ac:dyDescent="0.2">
      <c r="A32058" t="s">
        <v>10560</v>
      </c>
      <c r="B32058" t="str">
        <f>HYPERLINK("https://lindat.mff.cuni.cz/services/teitok/pdtc10/index.php?action=vallex&amp;frame=v-whsb_882hsa_883", "proletět se (v-whsb_882hsa_883)")</f>
        <v>proletět se (v-whsb_882hsa_883)</v>
      </c>
    </row>
    <row r="32059" spans="1:4" x14ac:dyDescent="0.2">
      <c r="B32059" t="s">
        <v>1</v>
      </c>
    </row>
    <row r="32061" spans="1:4" x14ac:dyDescent="0.2">
      <c r="A32061" t="s">
        <v>10561</v>
      </c>
      <c r="B32061" t="str">
        <f>HYPERLINK("https://lindat.mff.cuni.cz/services/teitok/pdtc10/index.php?action=vallex&amp;frame=v-w4414f1", "proležet (v-w4414f1)")</f>
        <v>proležet (v-w4414f1)</v>
      </c>
    </row>
    <row r="32062" spans="1:4" x14ac:dyDescent="0.2">
      <c r="B32062" t="s">
        <v>1</v>
      </c>
    </row>
    <row r="32063" spans="1:4" x14ac:dyDescent="0.2">
      <c r="B32063" t="s">
        <v>8</v>
      </c>
    </row>
    <row r="32065" spans="1:4" x14ac:dyDescent="0.2">
      <c r="A32065" t="s">
        <v>10562</v>
      </c>
      <c r="B32065" t="str">
        <f>HYPERLINK("https://lindat.mff.cuni.cz/services/teitok/pdtc10/index.php?action=vallex&amp;frame=v-w4414f2", "proležet (v-w4414f2)")</f>
        <v>proležet (v-w4414f2)</v>
      </c>
    </row>
    <row r="32066" spans="1:4" x14ac:dyDescent="0.2">
      <c r="B32066" t="s">
        <v>1</v>
      </c>
    </row>
    <row r="32067" spans="1:4" x14ac:dyDescent="0.2">
      <c r="B32067" t="s">
        <v>8</v>
      </c>
    </row>
    <row r="32069" spans="1:4" x14ac:dyDescent="0.2">
      <c r="A32069" t="s">
        <v>10563</v>
      </c>
      <c r="B32069" t="str">
        <f>HYPERLINK("https://lindat.mff.cuni.cz/services/teitok/pdtc10/index.php?action=vallex&amp;frame=v-w4417f1", "prolistovat (v-w4417f1)")</f>
        <v>prolistovat (v-w4417f1)</v>
      </c>
    </row>
    <row r="32070" spans="1:4" x14ac:dyDescent="0.2">
      <c r="B32070" t="s">
        <v>1</v>
      </c>
    </row>
    <row r="32071" spans="1:4" x14ac:dyDescent="0.2">
      <c r="B32071" t="s">
        <v>8</v>
      </c>
    </row>
    <row r="32073" spans="1:4" x14ac:dyDescent="0.2">
      <c r="A32073" t="s">
        <v>10564</v>
      </c>
      <c r="B32073" t="str">
        <f>HYPERLINK("https://lindat.mff.cuni.cz/services/teitok/pdtc10/index.php?action=vallex&amp;frame=v-w4418f1", "prolnout (v-w4418f1)")</f>
        <v>prolnout (v-w4418f1)</v>
      </c>
    </row>
    <row r="32074" spans="1:4" x14ac:dyDescent="0.2">
      <c r="B32074" t="s">
        <v>1</v>
      </c>
    </row>
    <row r="32075" spans="1:4" x14ac:dyDescent="0.2">
      <c r="B32075" t="s">
        <v>8</v>
      </c>
    </row>
    <row r="32077" spans="1:4" x14ac:dyDescent="0.2">
      <c r="A32077" t="s">
        <v>10565</v>
      </c>
      <c r="B32077" t="str">
        <f>HYPERLINK("https://lindat.mff.cuni.cz/services/teitok/pdtc10/index.php?action=vallex&amp;frame=v-w4421f1", "prolomit (v-w4421f1)")</f>
        <v>prolomit (v-w4421f1)</v>
      </c>
    </row>
    <row r="32078" spans="1:4" x14ac:dyDescent="0.2">
      <c r="B32078" t="s">
        <v>1</v>
      </c>
      <c r="C32078" t="s">
        <v>5475</v>
      </c>
      <c r="D32078" t="s">
        <v>249</v>
      </c>
    </row>
    <row r="32079" spans="1:4" x14ac:dyDescent="0.2">
      <c r="B32079" t="s">
        <v>8</v>
      </c>
      <c r="C32079" t="s">
        <v>240</v>
      </c>
      <c r="D32079" t="s">
        <v>1044</v>
      </c>
    </row>
    <row r="32081" spans="1:4" x14ac:dyDescent="0.2">
      <c r="A32081" t="s">
        <v>10566</v>
      </c>
      <c r="B32081" t="str">
        <f>HYPERLINK("https://lindat.mff.cuni.cz/services/teitok/pdtc10/index.php?action=vallex&amp;frame=v-w4421hsa_5", "prolomit (v-w4421hsa_5)")</f>
        <v>prolomit (v-w4421hsa_5)</v>
      </c>
    </row>
    <row r="32082" spans="1:4" x14ac:dyDescent="0.2">
      <c r="B32082" t="s">
        <v>1</v>
      </c>
      <c r="C32082" t="s">
        <v>115</v>
      </c>
      <c r="D32082" t="s">
        <v>249</v>
      </c>
    </row>
    <row r="32083" spans="1:4" x14ac:dyDescent="0.2">
      <c r="B32083" t="s">
        <v>8</v>
      </c>
      <c r="C32083" t="s">
        <v>1798</v>
      </c>
      <c r="D32083" t="s">
        <v>1044</v>
      </c>
    </row>
    <row r="32085" spans="1:4" x14ac:dyDescent="0.2">
      <c r="A32085" t="s">
        <v>10567</v>
      </c>
      <c r="B32085" t="str">
        <f>HYPERLINK("https://lindat.mff.cuni.cz/services/teitok/pdtc10/index.php?action=vallex&amp;frame=v-whsa_1234hsa_1235", "prolomit se (v-whsa_1234hsa_1235)")</f>
        <v>prolomit se (v-whsa_1234hsa_1235)</v>
      </c>
    </row>
    <row r="32086" spans="1:4" x14ac:dyDescent="0.2">
      <c r="B32086" t="s">
        <v>1</v>
      </c>
      <c r="C32086" t="s">
        <v>10568</v>
      </c>
    </row>
    <row r="32087" spans="1:4" x14ac:dyDescent="0.2">
      <c r="B32087" t="s">
        <v>90</v>
      </c>
    </row>
    <row r="32089" spans="1:4" x14ac:dyDescent="0.2">
      <c r="A32089" t="s">
        <v>10569</v>
      </c>
      <c r="B32089" t="str">
        <f>HYPERLINK("https://lindat.mff.cuni.cz/services/teitok/pdtc10/index.php?action=vallex&amp;frame=v-whsa_1234f1_ZU", "prolomit se (v-whsa_1234f1_ZU)")</f>
        <v>prolomit se (v-whsa_1234f1_ZU)</v>
      </c>
    </row>
    <row r="32090" spans="1:4" x14ac:dyDescent="0.2">
      <c r="B32090" t="s">
        <v>1</v>
      </c>
    </row>
    <row r="32092" spans="1:4" x14ac:dyDescent="0.2">
      <c r="A32092" t="s">
        <v>10570</v>
      </c>
      <c r="B32092" t="str">
        <f>HYPERLINK("https://lindat.mff.cuni.cz/services/teitok/pdtc10/index.php?action=vallex&amp;frame=v-w11179f2", "prolongovat (v-w11179f2)")</f>
        <v>prolongovat (v-w11179f2)</v>
      </c>
    </row>
    <row r="32093" spans="1:4" x14ac:dyDescent="0.2">
      <c r="B32093" t="s">
        <v>1</v>
      </c>
    </row>
    <row r="32094" spans="1:4" x14ac:dyDescent="0.2">
      <c r="B32094" t="s">
        <v>8</v>
      </c>
    </row>
    <row r="32096" spans="1:4" x14ac:dyDescent="0.2">
      <c r="A32096" t="s">
        <v>10571</v>
      </c>
      <c r="B32096" t="str">
        <f>HYPERLINK("https://lindat.mff.cuni.cz/services/teitok/pdtc10/index.php?action=vallex&amp;frame=v-whsa_486hsa_487", "prolétnout (v-whsa_486hsa_487)")</f>
        <v>prolétnout (v-whsa_486hsa_487)</v>
      </c>
    </row>
    <row r="32097" spans="1:2" x14ac:dyDescent="0.2">
      <c r="B32097" t="s">
        <v>1</v>
      </c>
    </row>
    <row r="32098" spans="1:2" x14ac:dyDescent="0.2">
      <c r="B32098" t="s">
        <v>90</v>
      </c>
    </row>
    <row r="32100" spans="1:2" x14ac:dyDescent="0.2">
      <c r="A32100" t="s">
        <v>10572</v>
      </c>
      <c r="B32100" t="str">
        <f>HYPERLINK("https://lindat.mff.cuni.cz/services/teitok/pdtc10/index.php?action=vallex&amp;frame=v-whsb_663f2_ZU", "prolévat (v-whsb_663f2_ZU)")</f>
        <v>prolévat (v-whsb_663f2_ZU)</v>
      </c>
    </row>
    <row r="32101" spans="1:2" x14ac:dyDescent="0.2">
      <c r="B32101" t="s">
        <v>1</v>
      </c>
    </row>
    <row r="32102" spans="1:2" x14ac:dyDescent="0.2">
      <c r="B32102" t="s">
        <v>9787</v>
      </c>
    </row>
    <row r="32104" spans="1:2" x14ac:dyDescent="0.2">
      <c r="A32104" t="s">
        <v>10572</v>
      </c>
      <c r="B32104" t="str">
        <f>HYPERLINK("https://lindat.mff.cuni.cz/services/teitok/pdtc10/index.php?action=vallex&amp;frame=v-whsb_663f1_ZU", "prolévat (v-whsb_663f1_ZU) - substituted with v-whsb_663f2_ZU")</f>
        <v>prolévat (v-whsb_663f1_ZU) - substituted with v-whsb_663f2_ZU</v>
      </c>
    </row>
    <row r="32105" spans="1:2" x14ac:dyDescent="0.2">
      <c r="B32105" t="s">
        <v>1</v>
      </c>
    </row>
    <row r="32106" spans="1:2" x14ac:dyDescent="0.2">
      <c r="B32106" t="s">
        <v>9787</v>
      </c>
    </row>
    <row r="32108" spans="1:2" x14ac:dyDescent="0.2">
      <c r="A32108" t="s">
        <v>10572</v>
      </c>
      <c r="B32108" t="str">
        <f>HYPERLINK("https://lindat.mff.cuni.cz/services/teitok/pdtc10/index.php?action=vallex&amp;frame=v-whsb_663hsa_664", "prolévat (v-whsb_663hsa_664) - substituted with v-whsb_663f2_ZU")</f>
        <v>prolévat (v-whsb_663hsa_664) - substituted with v-whsb_663f2_ZU</v>
      </c>
    </row>
    <row r="32109" spans="1:2" x14ac:dyDescent="0.2">
      <c r="B32109" t="s">
        <v>1</v>
      </c>
    </row>
    <row r="32110" spans="1:2" x14ac:dyDescent="0.2">
      <c r="B32110" t="s">
        <v>9787</v>
      </c>
    </row>
    <row r="32112" spans="1:2" x14ac:dyDescent="0.2">
      <c r="A32112" t="s">
        <v>10573</v>
      </c>
      <c r="B32112" t="str">
        <f>HYPERLINK("https://lindat.mff.cuni.cz/services/teitok/pdtc10/index.php?action=vallex&amp;frame=v-whsb_1278hsa_1279", "prolézat (v-whsb_1278hsa_1279)")</f>
        <v>prolézat (v-whsb_1278hsa_1279)</v>
      </c>
    </row>
    <row r="32113" spans="1:2" x14ac:dyDescent="0.2">
      <c r="B32113" t="s">
        <v>1</v>
      </c>
    </row>
    <row r="32114" spans="1:2" x14ac:dyDescent="0.2">
      <c r="B32114" t="s">
        <v>8</v>
      </c>
    </row>
    <row r="32116" spans="1:2" x14ac:dyDescent="0.2">
      <c r="A32116" t="s">
        <v>10574</v>
      </c>
      <c r="B32116" t="str">
        <f>HYPERLINK("https://lindat.mff.cuni.cz/services/teitok/pdtc10/index.php?action=vallex&amp;frame=v-whsb_676hsa_677", "prolézt (v-whsb_676hsa_677)")</f>
        <v>prolézt (v-whsb_676hsa_677)</v>
      </c>
    </row>
    <row r="32117" spans="1:2" x14ac:dyDescent="0.2">
      <c r="B32117" t="s">
        <v>1</v>
      </c>
    </row>
    <row r="32118" spans="1:2" x14ac:dyDescent="0.2">
      <c r="B32118" t="s">
        <v>90</v>
      </c>
    </row>
    <row r="32120" spans="1:2" x14ac:dyDescent="0.2">
      <c r="A32120" t="s">
        <v>10575</v>
      </c>
      <c r="B32120" t="str">
        <f>HYPERLINK("https://lindat.mff.cuni.cz/services/teitok/pdtc10/index.php?action=vallex&amp;frame=v-w4416f1", "prolínat se (v-w4416f1)")</f>
        <v>prolínat se (v-w4416f1)</v>
      </c>
    </row>
    <row r="32121" spans="1:2" x14ac:dyDescent="0.2">
      <c r="B32121" t="s">
        <v>1</v>
      </c>
    </row>
    <row r="32122" spans="1:2" x14ac:dyDescent="0.2">
      <c r="B32122" t="s">
        <v>411</v>
      </c>
    </row>
    <row r="32124" spans="1:2" x14ac:dyDescent="0.2">
      <c r="A32124" t="s">
        <v>10576</v>
      </c>
      <c r="B32124" t="str">
        <f>HYPERLINK("https://lindat.mff.cuni.cz/services/teitok/pdtc10/index.php?action=vallex&amp;frame=v-w4416f2_MM", "prolínat se (v-w4416f2_MM)")</f>
        <v>prolínat se (v-w4416f2_MM)</v>
      </c>
    </row>
    <row r="32125" spans="1:2" x14ac:dyDescent="0.2">
      <c r="B32125" t="s">
        <v>1</v>
      </c>
    </row>
    <row r="32126" spans="1:2" x14ac:dyDescent="0.2">
      <c r="B32126" t="s">
        <v>192</v>
      </c>
    </row>
    <row r="32128" spans="1:2" x14ac:dyDescent="0.2">
      <c r="A32128" t="s">
        <v>10577</v>
      </c>
      <c r="B32128" t="str">
        <f>HYPERLINK("https://lindat.mff.cuni.cz/services/teitok/pdtc10/index.php?action=vallex&amp;frame=v-w12281_ZUf1_ZU", "prolítnout (v-w12281_ZUf1_ZU)")</f>
        <v>prolítnout (v-w12281_ZUf1_ZU)</v>
      </c>
    </row>
    <row r="32129" spans="1:4" x14ac:dyDescent="0.2">
      <c r="B32129" t="s">
        <v>1</v>
      </c>
    </row>
    <row r="32130" spans="1:4" x14ac:dyDescent="0.2">
      <c r="B32130" t="s">
        <v>10578</v>
      </c>
    </row>
    <row r="32131" spans="1:4" x14ac:dyDescent="0.2">
      <c r="B32131" t="s">
        <v>103</v>
      </c>
    </row>
    <row r="32133" spans="1:4" x14ac:dyDescent="0.2">
      <c r="A32133" t="s">
        <v>10579</v>
      </c>
      <c r="B32133" t="str">
        <f>HYPERLINK("https://lindat.mff.cuni.cz/services/teitok/pdtc10/index.php?action=vallex&amp;frame=v-w4422f1", "promarnit (v-w4422f1)")</f>
        <v>promarnit (v-w4422f1)</v>
      </c>
    </row>
    <row r="32134" spans="1:4" x14ac:dyDescent="0.2">
      <c r="B32134" t="s">
        <v>1</v>
      </c>
      <c r="C32134" t="s">
        <v>5385</v>
      </c>
      <c r="D32134" t="s">
        <v>1065</v>
      </c>
    </row>
    <row r="32135" spans="1:4" x14ac:dyDescent="0.2">
      <c r="B32135" t="s">
        <v>8</v>
      </c>
      <c r="C32135" t="s">
        <v>10580</v>
      </c>
      <c r="D32135" t="s">
        <v>116</v>
      </c>
    </row>
    <row r="32137" spans="1:4" x14ac:dyDescent="0.2">
      <c r="A32137" t="s">
        <v>10581</v>
      </c>
      <c r="B32137" t="str">
        <f>HYPERLINK("https://lindat.mff.cuni.cz/services/teitok/pdtc10/index.php?action=vallex&amp;frame=v-w4423f1", "promarodit (v-w4423f1)")</f>
        <v>promarodit (v-w4423f1)</v>
      </c>
    </row>
    <row r="32138" spans="1:4" x14ac:dyDescent="0.2">
      <c r="B32138" t="s">
        <v>1</v>
      </c>
    </row>
    <row r="32139" spans="1:4" x14ac:dyDescent="0.2">
      <c r="B32139" t="s">
        <v>8</v>
      </c>
    </row>
    <row r="32141" spans="1:4" x14ac:dyDescent="0.2">
      <c r="A32141" t="s">
        <v>10582</v>
      </c>
      <c r="B32141" t="str">
        <f>HYPERLINK("https://lindat.mff.cuni.cz/services/teitok/pdtc10/index.php?action=vallex&amp;frame=v-w12162_ZUf1_ZU", "promenádovat se (v-w12162_ZUf1_ZU)")</f>
        <v>promenádovat se (v-w12162_ZUf1_ZU)</v>
      </c>
    </row>
    <row r="32142" spans="1:4" x14ac:dyDescent="0.2">
      <c r="B32142" t="s">
        <v>1</v>
      </c>
    </row>
    <row r="32144" spans="1:4" x14ac:dyDescent="0.2">
      <c r="A32144" t="s">
        <v>10583</v>
      </c>
      <c r="B32144" t="str">
        <f>HYPERLINK("https://lindat.mff.cuni.cz/services/teitok/pdtc10/index.php?action=vallex&amp;frame=v-w10778f2", "promeškat (v-w10778f2)")</f>
        <v>promeškat (v-w10778f2)</v>
      </c>
    </row>
    <row r="32145" spans="1:4" x14ac:dyDescent="0.2">
      <c r="B32145" t="s">
        <v>1</v>
      </c>
      <c r="C32145" t="s">
        <v>553</v>
      </c>
      <c r="D32145" t="s">
        <v>23950</v>
      </c>
    </row>
    <row r="32146" spans="1:4" x14ac:dyDescent="0.2">
      <c r="B32146" t="s">
        <v>8</v>
      </c>
      <c r="C32146" t="s">
        <v>4060</v>
      </c>
      <c r="D32146" t="s">
        <v>17796</v>
      </c>
    </row>
    <row r="32148" spans="1:4" x14ac:dyDescent="0.2">
      <c r="A32148" t="s">
        <v>10584</v>
      </c>
      <c r="B32148" t="str">
        <f>HYPERLINK("https://lindat.mff.cuni.cz/services/teitok/pdtc10/index.php?action=vallex&amp;frame=v-w4433f1", "prominout (v-w4433f1)")</f>
        <v>prominout (v-w4433f1)</v>
      </c>
    </row>
    <row r="32149" spans="1:4" x14ac:dyDescent="0.2">
      <c r="B32149" t="s">
        <v>1</v>
      </c>
      <c r="C32149" t="s">
        <v>109</v>
      </c>
      <c r="D32149" t="s">
        <v>33</v>
      </c>
    </row>
    <row r="32150" spans="1:4" x14ac:dyDescent="0.2">
      <c r="B32150" t="s">
        <v>41</v>
      </c>
      <c r="C32150" t="s">
        <v>10585</v>
      </c>
      <c r="D32150" t="s">
        <v>202</v>
      </c>
    </row>
    <row r="32151" spans="1:4" x14ac:dyDescent="0.2">
      <c r="B32151" t="s">
        <v>35</v>
      </c>
      <c r="C32151" t="s">
        <v>297</v>
      </c>
      <c r="D32151" t="s">
        <v>297</v>
      </c>
    </row>
    <row r="32153" spans="1:4" x14ac:dyDescent="0.2">
      <c r="A32153" t="s">
        <v>10586</v>
      </c>
      <c r="B32153" t="str">
        <f>HYPERLINK("https://lindat.mff.cuni.cz/services/teitok/pdtc10/index.php?action=vallex&amp;frame=v-w4442f1", "promlouvat (v-w4442f1)")</f>
        <v>promlouvat (v-w4442f1)</v>
      </c>
    </row>
    <row r="32154" spans="1:4" x14ac:dyDescent="0.2">
      <c r="B32154" t="s">
        <v>1</v>
      </c>
      <c r="C32154" t="s">
        <v>133</v>
      </c>
      <c r="D32154" t="s">
        <v>22973</v>
      </c>
    </row>
    <row r="32155" spans="1:4" x14ac:dyDescent="0.2">
      <c r="B32155" t="s">
        <v>9211</v>
      </c>
      <c r="D32155" t="s">
        <v>22974</v>
      </c>
    </row>
    <row r="32156" spans="1:4" x14ac:dyDescent="0.2">
      <c r="B32156" t="s">
        <v>10587</v>
      </c>
      <c r="D32156" t="s">
        <v>22975</v>
      </c>
    </row>
    <row r="32158" spans="1:4" x14ac:dyDescent="0.2">
      <c r="A32158" t="s">
        <v>10588</v>
      </c>
      <c r="B32158" t="str">
        <f>HYPERLINK("https://lindat.mff.cuni.cz/services/teitok/pdtc10/index.php?action=vallex&amp;frame=v-w4444f1", "promluvit (v-w4444f1)")</f>
        <v>promluvit (v-w4444f1)</v>
      </c>
    </row>
    <row r="32159" spans="1:4" x14ac:dyDescent="0.2">
      <c r="B32159" t="s">
        <v>1</v>
      </c>
      <c r="C32159" t="s">
        <v>10589</v>
      </c>
      <c r="D32159" t="s">
        <v>22973</v>
      </c>
    </row>
    <row r="32160" spans="1:4" x14ac:dyDescent="0.2">
      <c r="B32160" t="s">
        <v>269</v>
      </c>
      <c r="C32160" t="s">
        <v>3233</v>
      </c>
      <c r="D32160" t="s">
        <v>22974</v>
      </c>
    </row>
    <row r="32161" spans="1:4" x14ac:dyDescent="0.2">
      <c r="B32161" t="s">
        <v>10587</v>
      </c>
      <c r="C32161" t="s">
        <v>4632</v>
      </c>
      <c r="D32161" t="s">
        <v>22975</v>
      </c>
    </row>
    <row r="32163" spans="1:4" x14ac:dyDescent="0.2">
      <c r="A32163" t="s">
        <v>10590</v>
      </c>
      <c r="B32163" t="str">
        <f>HYPERLINK("https://lindat.mff.cuni.cz/services/teitok/pdtc10/index.php?action=vallex&amp;frame=v-w4444f2", "promluvit (v-w4444f2)")</f>
        <v>promluvit (v-w4444f2)</v>
      </c>
    </row>
    <row r="32164" spans="1:4" x14ac:dyDescent="0.2">
      <c r="B32164" t="s">
        <v>1</v>
      </c>
    </row>
    <row r="32165" spans="1:4" x14ac:dyDescent="0.2">
      <c r="B32165" t="s">
        <v>817</v>
      </c>
    </row>
    <row r="32167" spans="1:4" x14ac:dyDescent="0.2">
      <c r="A32167" t="s">
        <v>10591</v>
      </c>
      <c r="B32167" t="str">
        <f>HYPERLINK("https://lindat.mff.cuni.cz/services/teitok/pdtc10/index.php?action=vallex&amp;frame=v-w4444f3", "promluvit (v-w4444f3)")</f>
        <v>promluvit (v-w4444f3)</v>
      </c>
    </row>
    <row r="32168" spans="1:4" x14ac:dyDescent="0.2">
      <c r="B32168" t="s">
        <v>1</v>
      </c>
    </row>
    <row r="32169" spans="1:4" x14ac:dyDescent="0.2">
      <c r="B32169" t="s">
        <v>28</v>
      </c>
    </row>
    <row r="32171" spans="1:4" x14ac:dyDescent="0.2">
      <c r="A32171" t="s">
        <v>10592</v>
      </c>
      <c r="B32171" t="str">
        <f>HYPERLINK("https://lindat.mff.cuni.cz/services/teitok/pdtc10/index.php?action=vallex&amp;frame=v-w4444f4", "promluvit (v-w4444f4)")</f>
        <v>promluvit (v-w4444f4)</v>
      </c>
    </row>
    <row r="32172" spans="1:4" x14ac:dyDescent="0.2">
      <c r="B32172" t="s">
        <v>1</v>
      </c>
    </row>
    <row r="32174" spans="1:4" x14ac:dyDescent="0.2">
      <c r="A32174" t="s">
        <v>10593</v>
      </c>
      <c r="B32174" t="str">
        <f>HYPERLINK("https://lindat.mff.cuni.cz/services/teitok/pdtc10/index.php?action=vallex&amp;frame=v-w4445f1", "promluvit si (v-w4445f1)")</f>
        <v>promluvit si (v-w4445f1)</v>
      </c>
    </row>
    <row r="32175" spans="1:4" x14ac:dyDescent="0.2">
      <c r="B32175" t="s">
        <v>1</v>
      </c>
      <c r="C32175" t="s">
        <v>1680</v>
      </c>
      <c r="D32175" t="s">
        <v>22973</v>
      </c>
    </row>
    <row r="32176" spans="1:4" x14ac:dyDescent="0.2">
      <c r="B32176" t="s">
        <v>183</v>
      </c>
      <c r="C32176" t="s">
        <v>1681</v>
      </c>
      <c r="D32176" t="s">
        <v>22974</v>
      </c>
    </row>
    <row r="32177" spans="1:4" x14ac:dyDescent="0.2">
      <c r="B32177" t="s">
        <v>153</v>
      </c>
      <c r="C32177" t="s">
        <v>156</v>
      </c>
      <c r="D32177" t="s">
        <v>22975</v>
      </c>
    </row>
    <row r="32179" spans="1:4" x14ac:dyDescent="0.2">
      <c r="A32179" t="s">
        <v>10594</v>
      </c>
      <c r="B32179" t="str">
        <f>HYPERLINK("https://lindat.mff.cuni.cz/services/teitok/pdtc10/index.php?action=vallex&amp;frame=v-w4441f1", "promlčet (v-w4441f1)")</f>
        <v>promlčet (v-w4441f1)</v>
      </c>
    </row>
    <row r="32180" spans="1:4" x14ac:dyDescent="0.2">
      <c r="B32180" t="s">
        <v>1</v>
      </c>
    </row>
    <row r="32181" spans="1:4" x14ac:dyDescent="0.2">
      <c r="B32181" t="s">
        <v>10595</v>
      </c>
    </row>
    <row r="32183" spans="1:4" x14ac:dyDescent="0.2">
      <c r="A32183" t="s">
        <v>10596</v>
      </c>
      <c r="B32183" t="str">
        <f>HYPERLINK("https://lindat.mff.cuni.cz/services/teitok/pdtc10/index.php?action=vallex&amp;frame=v-w11986_ZUf1_ZU", "promnout (v-w11986_ZUf1_ZU)")</f>
        <v>promnout (v-w11986_ZUf1_ZU)</v>
      </c>
    </row>
    <row r="32184" spans="1:4" x14ac:dyDescent="0.2">
      <c r="B32184" t="s">
        <v>1</v>
      </c>
    </row>
    <row r="32185" spans="1:4" x14ac:dyDescent="0.2">
      <c r="B32185" t="s">
        <v>8</v>
      </c>
    </row>
    <row r="32187" spans="1:4" x14ac:dyDescent="0.2">
      <c r="A32187" t="s">
        <v>10597</v>
      </c>
      <c r="B32187" t="str">
        <f>HYPERLINK("https://lindat.mff.cuni.cz/services/teitok/pdtc10/index.php?action=vallex&amp;frame=v-w11987_ZUf1_ZU", "promnout se (v-w11987_ZUf1_ZU)")</f>
        <v>promnout se (v-w11987_ZUf1_ZU)</v>
      </c>
    </row>
    <row r="32188" spans="1:4" x14ac:dyDescent="0.2">
      <c r="B32188" t="s">
        <v>1</v>
      </c>
    </row>
    <row r="32189" spans="1:4" x14ac:dyDescent="0.2">
      <c r="B32189" t="s">
        <v>411</v>
      </c>
    </row>
    <row r="32191" spans="1:4" x14ac:dyDescent="0.2">
      <c r="A32191" t="s">
        <v>10598</v>
      </c>
      <c r="B32191" t="str">
        <f>HYPERLINK("https://lindat.mff.cuni.cz/services/teitok/pdtc10/index.php?action=vallex&amp;frame=v-whsa_196hsa_197", "promovat (v-whsa_196hsa_197)")</f>
        <v>promovat (v-whsa_196hsa_197)</v>
      </c>
    </row>
    <row r="32192" spans="1:4" x14ac:dyDescent="0.2">
      <c r="B32192" t="s">
        <v>1</v>
      </c>
    </row>
    <row r="32194" spans="1:4" x14ac:dyDescent="0.2">
      <c r="A32194" t="s">
        <v>10599</v>
      </c>
      <c r="B32194" t="str">
        <f>HYPERLINK("https://lindat.mff.cuni.cz/services/teitok/pdtc10/index.php?action=vallex&amp;frame=v-whsa_368hsa_369", "promočit (v-whsa_368hsa_369)")</f>
        <v>promočit (v-whsa_368hsa_369)</v>
      </c>
    </row>
    <row r="32195" spans="1:4" x14ac:dyDescent="0.2">
      <c r="B32195" t="s">
        <v>1</v>
      </c>
    </row>
    <row r="32196" spans="1:4" x14ac:dyDescent="0.2">
      <c r="B32196" t="s">
        <v>8</v>
      </c>
    </row>
    <row r="32198" spans="1:4" x14ac:dyDescent="0.2">
      <c r="A32198" t="s">
        <v>10600</v>
      </c>
      <c r="B32198" t="str">
        <f>HYPERLINK("https://lindat.mff.cuni.cz/services/teitok/pdtc10/index.php?action=vallex&amp;frame=v-w11104f2", "promrhat (v-w11104f2)")</f>
        <v>promrhat (v-w11104f2)</v>
      </c>
    </row>
    <row r="32199" spans="1:4" x14ac:dyDescent="0.2">
      <c r="B32199" t="s">
        <v>1</v>
      </c>
      <c r="C32199" t="s">
        <v>430</v>
      </c>
      <c r="D32199" t="s">
        <v>1065</v>
      </c>
    </row>
    <row r="32200" spans="1:4" x14ac:dyDescent="0.2">
      <c r="B32200" t="s">
        <v>8</v>
      </c>
      <c r="C32200" t="s">
        <v>1025</v>
      </c>
      <c r="D32200" t="s">
        <v>116</v>
      </c>
    </row>
    <row r="32202" spans="1:4" x14ac:dyDescent="0.2">
      <c r="A32202" t="s">
        <v>10601</v>
      </c>
      <c r="B32202" t="str">
        <f>HYPERLINK("https://lindat.mff.cuni.cz/services/teitok/pdtc10/index.php?action=vallex&amp;frame=v-w10360f2", "promrhávat (v-w10360f2)")</f>
        <v>promrhávat (v-w10360f2)</v>
      </c>
    </row>
    <row r="32203" spans="1:4" x14ac:dyDescent="0.2">
      <c r="B32203" t="s">
        <v>1</v>
      </c>
      <c r="C32203" t="s">
        <v>83</v>
      </c>
      <c r="D32203" t="s">
        <v>1065</v>
      </c>
    </row>
    <row r="32204" spans="1:4" x14ac:dyDescent="0.2">
      <c r="B32204" t="s">
        <v>8</v>
      </c>
      <c r="C32204" t="s">
        <v>54</v>
      </c>
      <c r="D32204" t="s">
        <v>116</v>
      </c>
    </row>
    <row r="32206" spans="1:4" x14ac:dyDescent="0.2">
      <c r="A32206" t="s">
        <v>10602</v>
      </c>
      <c r="B32206" t="str">
        <f>HYPERLINK("https://lindat.mff.cuni.cz/services/teitok/pdtc10/index.php?action=vallex&amp;frame=v-w11951_ZUf1_ZU", "promrzat (v-w11951_ZUf1_ZU)")</f>
        <v>promrzat (v-w11951_ZUf1_ZU)</v>
      </c>
    </row>
    <row r="32207" spans="1:4" x14ac:dyDescent="0.2">
      <c r="B32207" t="s">
        <v>1</v>
      </c>
    </row>
    <row r="32209" spans="1:4" x14ac:dyDescent="0.2">
      <c r="A32209" t="s">
        <v>10603</v>
      </c>
      <c r="B32209" t="str">
        <f>HYPERLINK("https://lindat.mff.cuni.cz/services/teitok/pdtc10/index.php?action=vallex&amp;frame=v-w4446f1", "promyslet (v-w4446f1)")</f>
        <v>promyslet (v-w4446f1)</v>
      </c>
    </row>
    <row r="32210" spans="1:4" x14ac:dyDescent="0.2">
      <c r="B32210" t="s">
        <v>1</v>
      </c>
      <c r="D32210" t="s">
        <v>33</v>
      </c>
    </row>
    <row r="32211" spans="1:4" x14ac:dyDescent="0.2">
      <c r="B32211" t="s">
        <v>1693</v>
      </c>
      <c r="D32211" t="s">
        <v>1128</v>
      </c>
    </row>
    <row r="32213" spans="1:4" x14ac:dyDescent="0.2">
      <c r="A32213" t="s">
        <v>10604</v>
      </c>
      <c r="B32213" t="str">
        <f>HYPERLINK("https://lindat.mff.cuni.cz/services/teitok/pdtc10/index.php?action=vallex&amp;frame=v-w4447f1", "promyslit (v-w4447f1)")</f>
        <v>promyslit (v-w4447f1)</v>
      </c>
    </row>
    <row r="32214" spans="1:4" x14ac:dyDescent="0.2">
      <c r="B32214" t="s">
        <v>1</v>
      </c>
    </row>
    <row r="32215" spans="1:4" x14ac:dyDescent="0.2">
      <c r="B32215" t="s">
        <v>1693</v>
      </c>
    </row>
    <row r="32217" spans="1:4" x14ac:dyDescent="0.2">
      <c r="A32217" t="s">
        <v>10605</v>
      </c>
      <c r="B32217" t="str">
        <f>HYPERLINK("https://lindat.mff.cuni.cz/services/teitok/pdtc10/index.php?action=vallex&amp;frame=v-w10984f2", "promáčet (v-w10984f2)")</f>
        <v>promáčet (v-w10984f2)</v>
      </c>
    </row>
    <row r="32218" spans="1:4" x14ac:dyDescent="0.2">
      <c r="B32218" t="s">
        <v>1</v>
      </c>
    </row>
    <row r="32219" spans="1:4" x14ac:dyDescent="0.2">
      <c r="B32219" t="s">
        <v>8</v>
      </c>
    </row>
    <row r="32221" spans="1:4" x14ac:dyDescent="0.2">
      <c r="A32221" t="s">
        <v>10606</v>
      </c>
      <c r="B32221" t="str">
        <f>HYPERLINK("https://lindat.mff.cuni.cz/services/teitok/pdtc10/index.php?action=vallex&amp;frame=v-w4430f1", "promíchat (v-w4430f1)")</f>
        <v>promíchat (v-w4430f1)</v>
      </c>
    </row>
    <row r="32222" spans="1:4" x14ac:dyDescent="0.2">
      <c r="B32222" t="s">
        <v>1</v>
      </c>
      <c r="C32222" t="s">
        <v>249</v>
      </c>
      <c r="D32222" t="s">
        <v>23403</v>
      </c>
    </row>
    <row r="32223" spans="1:4" x14ac:dyDescent="0.2">
      <c r="B32223" t="s">
        <v>8</v>
      </c>
      <c r="C32223" t="s">
        <v>1128</v>
      </c>
      <c r="D32223" t="s">
        <v>23951</v>
      </c>
    </row>
    <row r="32225" spans="1:4" x14ac:dyDescent="0.2">
      <c r="A32225" t="s">
        <v>10607</v>
      </c>
      <c r="B32225" t="str">
        <f>HYPERLINK("https://lindat.mff.cuni.cz/services/teitok/pdtc10/index.php?action=vallex&amp;frame=v-w4430hsa_1941", "promíchat (v-w4430hsa_1941)")</f>
        <v>promíchat (v-w4430hsa_1941)</v>
      </c>
    </row>
    <row r="32226" spans="1:4" x14ac:dyDescent="0.2">
      <c r="B32226" t="s">
        <v>1</v>
      </c>
    </row>
    <row r="32227" spans="1:4" x14ac:dyDescent="0.2">
      <c r="B32227" t="s">
        <v>8</v>
      </c>
    </row>
    <row r="32229" spans="1:4" x14ac:dyDescent="0.2">
      <c r="A32229" t="s">
        <v>10608</v>
      </c>
      <c r="B32229" t="str">
        <f>HYPERLINK("https://lindat.mff.cuni.cz/services/teitok/pdtc10/index.php?action=vallex&amp;frame=v-w10224f3", "promíjet (v-w10224f3)")</f>
        <v>promíjet (v-w10224f3)</v>
      </c>
    </row>
    <row r="32230" spans="1:4" x14ac:dyDescent="0.2">
      <c r="B32230" t="s">
        <v>1</v>
      </c>
      <c r="C32230" t="s">
        <v>33</v>
      </c>
      <c r="D32230" t="s">
        <v>33</v>
      </c>
    </row>
    <row r="32231" spans="1:4" x14ac:dyDescent="0.2">
      <c r="B32231" t="s">
        <v>41</v>
      </c>
      <c r="C32231" t="s">
        <v>202</v>
      </c>
      <c r="D32231" t="s">
        <v>202</v>
      </c>
    </row>
    <row r="32232" spans="1:4" x14ac:dyDescent="0.2">
      <c r="B32232" t="s">
        <v>35</v>
      </c>
      <c r="C32232" t="s">
        <v>297</v>
      </c>
      <c r="D32232" t="s">
        <v>297</v>
      </c>
    </row>
    <row r="32234" spans="1:4" x14ac:dyDescent="0.2">
      <c r="A32234" t="s">
        <v>10609</v>
      </c>
      <c r="B32234" t="str">
        <f>HYPERLINK("https://lindat.mff.cuni.cz/services/teitok/pdtc10/index.php?action=vallex&amp;frame=v-w4436f1", "promítat (v-w4436f1)")</f>
        <v>promítat (v-w4436f1)</v>
      </c>
    </row>
    <row r="32235" spans="1:4" x14ac:dyDescent="0.2">
      <c r="B32235" t="s">
        <v>1</v>
      </c>
      <c r="C32235" t="s">
        <v>10610</v>
      </c>
      <c r="D32235" t="s">
        <v>23690</v>
      </c>
    </row>
    <row r="32236" spans="1:4" x14ac:dyDescent="0.2">
      <c r="B32236" t="s">
        <v>8</v>
      </c>
      <c r="C32236" t="s">
        <v>10611</v>
      </c>
      <c r="D32236" t="s">
        <v>1798</v>
      </c>
    </row>
    <row r="32238" spans="1:4" x14ac:dyDescent="0.2">
      <c r="A32238" t="s">
        <v>10612</v>
      </c>
      <c r="B32238" t="str">
        <f>HYPERLINK("https://lindat.mff.cuni.cz/services/teitok/pdtc10/index.php?action=vallex&amp;frame=v-w4437f2", "promítat se (v-w4437f2)")</f>
        <v>promítat se (v-w4437f2)</v>
      </c>
    </row>
    <row r="32239" spans="1:4" x14ac:dyDescent="0.2">
      <c r="B32239" t="s">
        <v>1</v>
      </c>
    </row>
    <row r="32240" spans="1:4" x14ac:dyDescent="0.2">
      <c r="B32240" t="s">
        <v>5</v>
      </c>
    </row>
    <row r="32242" spans="1:4" x14ac:dyDescent="0.2">
      <c r="A32242" t="s">
        <v>10613</v>
      </c>
      <c r="B32242" t="str">
        <f>HYPERLINK("https://lindat.mff.cuni.cz/services/teitok/pdtc10/index.php?action=vallex&amp;frame=v-w4437f1", "promítat se (v-w4437f1)")</f>
        <v>promítat se (v-w4437f1)</v>
      </c>
    </row>
    <row r="32243" spans="1:4" x14ac:dyDescent="0.2">
      <c r="B32243" t="s">
        <v>1</v>
      </c>
      <c r="C32243" t="s">
        <v>10614</v>
      </c>
      <c r="D32243" t="s">
        <v>4011</v>
      </c>
    </row>
    <row r="32244" spans="1:4" x14ac:dyDescent="0.2">
      <c r="B32244" t="s">
        <v>90</v>
      </c>
      <c r="C32244" t="s">
        <v>10615</v>
      </c>
      <c r="D32244" t="s">
        <v>20822</v>
      </c>
    </row>
    <row r="32246" spans="1:4" x14ac:dyDescent="0.2">
      <c r="A32246" t="s">
        <v>10616</v>
      </c>
      <c r="B32246" t="str">
        <f>HYPERLINK("https://lindat.mff.cuni.cz/services/teitok/pdtc10/index.php?action=vallex&amp;frame=v-w4438f3", "promítnout (v-w4438f3)")</f>
        <v>promítnout (v-w4438f3)</v>
      </c>
    </row>
    <row r="32247" spans="1:4" x14ac:dyDescent="0.2">
      <c r="B32247" t="s">
        <v>1</v>
      </c>
    </row>
    <row r="32248" spans="1:4" x14ac:dyDescent="0.2">
      <c r="B32248" t="s">
        <v>8</v>
      </c>
    </row>
    <row r="32249" spans="1:4" x14ac:dyDescent="0.2">
      <c r="B32249" t="s">
        <v>5</v>
      </c>
    </row>
    <row r="32251" spans="1:4" x14ac:dyDescent="0.2">
      <c r="A32251" t="s">
        <v>10617</v>
      </c>
      <c r="B32251" t="str">
        <f>HYPERLINK("https://lindat.mff.cuni.cz/services/teitok/pdtc10/index.php?action=vallex&amp;frame=v-w4438f1", "promítnout (v-w4438f1)")</f>
        <v>promítnout (v-w4438f1)</v>
      </c>
    </row>
    <row r="32252" spans="1:4" x14ac:dyDescent="0.2">
      <c r="B32252" t="s">
        <v>1</v>
      </c>
    </row>
    <row r="32253" spans="1:4" x14ac:dyDescent="0.2">
      <c r="B32253" t="s">
        <v>8</v>
      </c>
    </row>
    <row r="32254" spans="1:4" x14ac:dyDescent="0.2">
      <c r="B32254" t="s">
        <v>90</v>
      </c>
    </row>
    <row r="32256" spans="1:4" x14ac:dyDescent="0.2">
      <c r="A32256" t="s">
        <v>10618</v>
      </c>
      <c r="B32256" t="str">
        <f>HYPERLINK("https://lindat.mff.cuni.cz/services/teitok/pdtc10/index.php?action=vallex&amp;frame=v-w4438f2", "promítnout (v-w4438f2)")</f>
        <v>promítnout (v-w4438f2)</v>
      </c>
    </row>
    <row r="32257" spans="1:4" x14ac:dyDescent="0.2">
      <c r="B32257" t="s">
        <v>1</v>
      </c>
      <c r="C32257" t="s">
        <v>373</v>
      </c>
    </row>
    <row r="32258" spans="1:4" x14ac:dyDescent="0.2">
      <c r="B32258" t="s">
        <v>8</v>
      </c>
      <c r="C32258" t="s">
        <v>359</v>
      </c>
    </row>
    <row r="32260" spans="1:4" x14ac:dyDescent="0.2">
      <c r="A32260" t="s">
        <v>10619</v>
      </c>
      <c r="B32260" t="str">
        <f>HYPERLINK("https://lindat.mff.cuni.cz/services/teitok/pdtc10/index.php?action=vallex&amp;frame=v-w4439f2", "promítnout se (v-w4439f2)")</f>
        <v>promítnout se (v-w4439f2)</v>
      </c>
    </row>
    <row r="32261" spans="1:4" x14ac:dyDescent="0.2">
      <c r="B32261" t="s">
        <v>1</v>
      </c>
      <c r="C32261" t="s">
        <v>4011</v>
      </c>
      <c r="D32261" t="s">
        <v>4011</v>
      </c>
    </row>
    <row r="32262" spans="1:4" x14ac:dyDescent="0.2">
      <c r="B32262" t="s">
        <v>5</v>
      </c>
      <c r="C32262" t="s">
        <v>10620</v>
      </c>
      <c r="D32262" t="s">
        <v>10620</v>
      </c>
    </row>
    <row r="32264" spans="1:4" x14ac:dyDescent="0.2">
      <c r="A32264" t="s">
        <v>10621</v>
      </c>
      <c r="B32264" t="str">
        <f>HYPERLINK("https://lindat.mff.cuni.cz/services/teitok/pdtc10/index.php?action=vallex&amp;frame=v-w4439f1", "promítnout se (v-w4439f1)")</f>
        <v>promítnout se (v-w4439f1)</v>
      </c>
    </row>
    <row r="32265" spans="1:4" x14ac:dyDescent="0.2">
      <c r="B32265" t="s">
        <v>1</v>
      </c>
      <c r="C32265" t="s">
        <v>10622</v>
      </c>
      <c r="D32265" t="s">
        <v>4011</v>
      </c>
    </row>
    <row r="32266" spans="1:4" x14ac:dyDescent="0.2">
      <c r="B32266" t="s">
        <v>90</v>
      </c>
      <c r="C32266" t="s">
        <v>10623</v>
      </c>
      <c r="D32266" t="s">
        <v>20822</v>
      </c>
    </row>
    <row r="32268" spans="1:4" x14ac:dyDescent="0.2">
      <c r="A32268" t="s">
        <v>10624</v>
      </c>
      <c r="B32268" t="str">
        <f>HYPERLINK("https://lindat.mff.cuni.cz/services/teitok/pdtc10/index.php?action=vallex&amp;frame=v-w12180_ZUf1_ZU", "promítnout si (v-w12180_ZUf1_ZU)")</f>
        <v>promítnout si (v-w12180_ZUf1_ZU)</v>
      </c>
    </row>
    <row r="32269" spans="1:4" x14ac:dyDescent="0.2">
      <c r="B32269" t="s">
        <v>1</v>
      </c>
    </row>
    <row r="32270" spans="1:4" x14ac:dyDescent="0.2">
      <c r="B32270" t="s">
        <v>8</v>
      </c>
    </row>
    <row r="32272" spans="1:4" x14ac:dyDescent="0.2">
      <c r="A32272" t="s">
        <v>10625</v>
      </c>
      <c r="B32272" t="str">
        <f>HYPERLINK("https://lindat.mff.cuni.cz/services/teitok/pdtc10/index.php?action=vallex&amp;frame=v-w4449f1", "promýšlet (v-w4449f1)")</f>
        <v>promýšlet (v-w4449f1)</v>
      </c>
    </row>
    <row r="32273" spans="1:4" x14ac:dyDescent="0.2">
      <c r="B32273" t="s">
        <v>1</v>
      </c>
      <c r="C32273" t="s">
        <v>33</v>
      </c>
      <c r="D32273" t="s">
        <v>33</v>
      </c>
    </row>
    <row r="32274" spans="1:4" x14ac:dyDescent="0.2">
      <c r="B32274" t="s">
        <v>10626</v>
      </c>
      <c r="C32274" t="s">
        <v>1128</v>
      </c>
      <c r="D32274" t="s">
        <v>1128</v>
      </c>
    </row>
    <row r="32276" spans="1:4" x14ac:dyDescent="0.2">
      <c r="A32276" t="s">
        <v>10627</v>
      </c>
      <c r="B32276" t="str">
        <f>HYPERLINK("https://lindat.mff.cuni.cz/services/teitok/pdtc10/index.php?action=vallex&amp;frame=v-w4426f2", "proměnit (v-w4426f2)")</f>
        <v>proměnit (v-w4426f2)</v>
      </c>
    </row>
    <row r="32277" spans="1:4" x14ac:dyDescent="0.2">
      <c r="B32277" t="s">
        <v>1</v>
      </c>
      <c r="C32277" t="s">
        <v>10628</v>
      </c>
      <c r="D32277" t="s">
        <v>22944</v>
      </c>
    </row>
    <row r="32278" spans="1:4" x14ac:dyDescent="0.2">
      <c r="B32278" t="s">
        <v>8</v>
      </c>
      <c r="C32278" t="s">
        <v>10629</v>
      </c>
      <c r="D32278" t="s">
        <v>22945</v>
      </c>
    </row>
    <row r="32279" spans="1:4" x14ac:dyDescent="0.2">
      <c r="B32279" t="s">
        <v>24</v>
      </c>
      <c r="C32279" t="s">
        <v>10630</v>
      </c>
      <c r="D32279" t="s">
        <v>22946</v>
      </c>
    </row>
    <row r="32280" spans="1:4" x14ac:dyDescent="0.2">
      <c r="B32280" t="s">
        <v>4155</v>
      </c>
      <c r="C32280" t="s">
        <v>10631</v>
      </c>
      <c r="D32280" t="s">
        <v>22947</v>
      </c>
    </row>
    <row r="32282" spans="1:4" x14ac:dyDescent="0.2">
      <c r="A32282" t="s">
        <v>10632</v>
      </c>
      <c r="B32282" t="str">
        <f>HYPERLINK("https://lindat.mff.cuni.cz/services/teitok/pdtc10/index.php?action=vallex&amp;frame=v-w4426f1", "proměnit (v-w4426f1)")</f>
        <v>proměnit (v-w4426f1)</v>
      </c>
    </row>
    <row r="32283" spans="1:4" x14ac:dyDescent="0.2">
      <c r="B32283" t="s">
        <v>1</v>
      </c>
      <c r="C32283" t="s">
        <v>10633</v>
      </c>
      <c r="D32283" t="s">
        <v>22944</v>
      </c>
    </row>
    <row r="32284" spans="1:4" x14ac:dyDescent="0.2">
      <c r="B32284" t="s">
        <v>8</v>
      </c>
      <c r="C32284" t="s">
        <v>10035</v>
      </c>
      <c r="D32284" t="s">
        <v>22945</v>
      </c>
    </row>
    <row r="32285" spans="1:4" x14ac:dyDescent="0.2">
      <c r="B32285" t="s">
        <v>10634</v>
      </c>
      <c r="C32285" t="s">
        <v>10635</v>
      </c>
      <c r="D32285" t="s">
        <v>22947</v>
      </c>
    </row>
    <row r="32287" spans="1:4" x14ac:dyDescent="0.2">
      <c r="A32287" t="s">
        <v>10636</v>
      </c>
      <c r="B32287" t="str">
        <f>HYPERLINK("https://lindat.mff.cuni.cz/services/teitok/pdtc10/index.php?action=vallex&amp;frame=v-w4426f3_ZU", "proměnit (v-w4426f3_ZU)")</f>
        <v>proměnit (v-w4426f3_ZU)</v>
      </c>
    </row>
    <row r="32288" spans="1:4" x14ac:dyDescent="0.2">
      <c r="B32288" t="s">
        <v>1</v>
      </c>
      <c r="D32288" t="s">
        <v>16642</v>
      </c>
    </row>
    <row r="32289" spans="1:4" x14ac:dyDescent="0.2">
      <c r="B32289" t="s">
        <v>8</v>
      </c>
      <c r="D32289" t="s">
        <v>23503</v>
      </c>
    </row>
    <row r="32290" spans="1:4" x14ac:dyDescent="0.2">
      <c r="B32290" t="s">
        <v>2328</v>
      </c>
      <c r="D32290" t="s">
        <v>6378</v>
      </c>
    </row>
    <row r="32291" spans="1:4" x14ac:dyDescent="0.2">
      <c r="B32291" t="s">
        <v>10637</v>
      </c>
      <c r="D32291" t="s">
        <v>23504</v>
      </c>
    </row>
    <row r="32293" spans="1:4" x14ac:dyDescent="0.2">
      <c r="A32293" t="s">
        <v>10636</v>
      </c>
      <c r="B32293" t="str">
        <f>HYPERLINK("https://lindat.mff.cuni.cz/services/teitok/pdtc10/index.php?action=vallex&amp;frame=v-w4426hsa_386", "proměnit (v-w4426hsa_386) - substituted with v-w4426f3_ZU")</f>
        <v>proměnit (v-w4426hsa_386) - substituted with v-w4426f3_ZU</v>
      </c>
    </row>
    <row r="32294" spans="1:4" x14ac:dyDescent="0.2">
      <c r="B32294" t="s">
        <v>1</v>
      </c>
    </row>
    <row r="32295" spans="1:4" x14ac:dyDescent="0.2">
      <c r="B32295" t="s">
        <v>8</v>
      </c>
    </row>
    <row r="32296" spans="1:4" x14ac:dyDescent="0.2">
      <c r="B32296" t="s">
        <v>2328</v>
      </c>
    </row>
    <row r="32297" spans="1:4" x14ac:dyDescent="0.2">
      <c r="B32297" t="s">
        <v>10637</v>
      </c>
    </row>
    <row r="32299" spans="1:4" x14ac:dyDescent="0.2">
      <c r="A32299" t="s">
        <v>10638</v>
      </c>
      <c r="B32299" t="str">
        <f>HYPERLINK("https://lindat.mff.cuni.cz/services/teitok/pdtc10/index.php?action=vallex&amp;frame=v-w4427f1", "proměnit se (v-w4427f1)")</f>
        <v>proměnit se (v-w4427f1)</v>
      </c>
    </row>
    <row r="32300" spans="1:4" x14ac:dyDescent="0.2">
      <c r="B32300" t="s">
        <v>1</v>
      </c>
      <c r="C32300" t="s">
        <v>10639</v>
      </c>
      <c r="D32300" t="s">
        <v>23506</v>
      </c>
    </row>
    <row r="32301" spans="1:4" x14ac:dyDescent="0.2">
      <c r="B32301" t="s">
        <v>10640</v>
      </c>
      <c r="C32301" t="s">
        <v>10641</v>
      </c>
      <c r="D32301" t="s">
        <v>23507</v>
      </c>
    </row>
    <row r="32302" spans="1:4" x14ac:dyDescent="0.2">
      <c r="B32302" t="s">
        <v>24</v>
      </c>
      <c r="C32302" t="s">
        <v>10630</v>
      </c>
      <c r="D32302" t="s">
        <v>11827</v>
      </c>
    </row>
    <row r="32304" spans="1:4" x14ac:dyDescent="0.2">
      <c r="A32304" t="s">
        <v>10642</v>
      </c>
      <c r="B32304" t="str">
        <f>HYPERLINK("https://lindat.mff.cuni.cz/services/teitok/pdtc10/index.php?action=vallex&amp;frame=v-w4428f2", "proměňovat (v-w4428f2)")</f>
        <v>proměňovat (v-w4428f2)</v>
      </c>
    </row>
    <row r="32305" spans="1:4" x14ac:dyDescent="0.2">
      <c r="B32305" t="s">
        <v>1</v>
      </c>
      <c r="C32305" t="s">
        <v>4110</v>
      </c>
      <c r="D32305" t="s">
        <v>22944</v>
      </c>
    </row>
    <row r="32306" spans="1:4" x14ac:dyDescent="0.2">
      <c r="B32306" t="s">
        <v>8</v>
      </c>
      <c r="C32306" t="s">
        <v>6776</v>
      </c>
      <c r="D32306" t="s">
        <v>22945</v>
      </c>
    </row>
    <row r="32307" spans="1:4" x14ac:dyDescent="0.2">
      <c r="B32307" t="s">
        <v>24</v>
      </c>
      <c r="D32307" t="s">
        <v>22946</v>
      </c>
    </row>
    <row r="32308" spans="1:4" x14ac:dyDescent="0.2">
      <c r="B32308" t="s">
        <v>4155</v>
      </c>
      <c r="C32308" t="s">
        <v>6778</v>
      </c>
      <c r="D32308" t="s">
        <v>22947</v>
      </c>
    </row>
    <row r="32310" spans="1:4" x14ac:dyDescent="0.2">
      <c r="A32310" t="s">
        <v>10643</v>
      </c>
      <c r="B32310" t="str">
        <f>HYPERLINK("https://lindat.mff.cuni.cz/services/teitok/pdtc10/index.php?action=vallex&amp;frame=v-w4428f1", "proměňovat (v-w4428f1)")</f>
        <v>proměňovat (v-w4428f1)</v>
      </c>
    </row>
    <row r="32311" spans="1:4" x14ac:dyDescent="0.2">
      <c r="B32311" t="s">
        <v>1</v>
      </c>
    </row>
    <row r="32312" spans="1:4" x14ac:dyDescent="0.2">
      <c r="B32312" t="s">
        <v>8</v>
      </c>
    </row>
    <row r="32313" spans="1:4" x14ac:dyDescent="0.2">
      <c r="B32313" t="s">
        <v>6777</v>
      </c>
    </row>
    <row r="32315" spans="1:4" x14ac:dyDescent="0.2">
      <c r="A32315" t="s">
        <v>10644</v>
      </c>
      <c r="B32315" t="str">
        <f>HYPERLINK("https://lindat.mff.cuni.cz/services/teitok/pdtc10/index.php?action=vallex&amp;frame=v-w4429f1", "proměňovat se (v-w4429f1)")</f>
        <v>proměňovat se (v-w4429f1)</v>
      </c>
    </row>
    <row r="32316" spans="1:4" x14ac:dyDescent="0.2">
      <c r="B32316" t="s">
        <v>1</v>
      </c>
      <c r="C32316" t="s">
        <v>10645</v>
      </c>
      <c r="D32316" t="s">
        <v>23506</v>
      </c>
    </row>
    <row r="32317" spans="1:4" x14ac:dyDescent="0.2">
      <c r="B32317" t="s">
        <v>10640</v>
      </c>
      <c r="D32317" t="s">
        <v>23507</v>
      </c>
    </row>
    <row r="32318" spans="1:4" x14ac:dyDescent="0.2">
      <c r="B32318" t="s">
        <v>24</v>
      </c>
      <c r="D32318" t="s">
        <v>11827</v>
      </c>
    </row>
    <row r="32320" spans="1:4" x14ac:dyDescent="0.2">
      <c r="A32320" t="s">
        <v>10646</v>
      </c>
      <c r="B32320" t="str">
        <f>HYPERLINK("https://lindat.mff.cuni.cz/services/teitok/pdtc10/index.php?action=vallex&amp;frame=v-w4454f1", "pronajmout (v-w4454f1)")</f>
        <v>pronajmout (v-w4454f1)</v>
      </c>
    </row>
    <row r="32321" spans="1:4" x14ac:dyDescent="0.2">
      <c r="B32321" t="s">
        <v>1</v>
      </c>
      <c r="C32321" t="s">
        <v>3358</v>
      </c>
      <c r="D32321" t="s">
        <v>2239</v>
      </c>
    </row>
    <row r="32322" spans="1:4" x14ac:dyDescent="0.2">
      <c r="B32322" t="s">
        <v>8</v>
      </c>
      <c r="C32322" t="s">
        <v>17</v>
      </c>
      <c r="D32322" t="s">
        <v>1510</v>
      </c>
    </row>
    <row r="32323" spans="1:4" x14ac:dyDescent="0.2">
      <c r="B32323" t="s">
        <v>35</v>
      </c>
      <c r="C32323" t="s">
        <v>6645</v>
      </c>
      <c r="D32323" t="s">
        <v>4765</v>
      </c>
    </row>
    <row r="32325" spans="1:4" x14ac:dyDescent="0.2">
      <c r="A32325" t="s">
        <v>10647</v>
      </c>
      <c r="B32325" t="str">
        <f>HYPERLINK("https://lindat.mff.cuni.cz/services/teitok/pdtc10/index.php?action=vallex&amp;frame=v-w4454f2", "pronajmout (v-w4454f2)")</f>
        <v>pronajmout (v-w4454f2)</v>
      </c>
    </row>
    <row r="32326" spans="1:4" x14ac:dyDescent="0.2">
      <c r="B32326" t="s">
        <v>1</v>
      </c>
      <c r="C32326" t="s">
        <v>430</v>
      </c>
      <c r="D32326" t="s">
        <v>430</v>
      </c>
    </row>
    <row r="32327" spans="1:4" x14ac:dyDescent="0.2">
      <c r="B32327" t="s">
        <v>8</v>
      </c>
      <c r="C32327" t="s">
        <v>54</v>
      </c>
      <c r="D32327" t="s">
        <v>54</v>
      </c>
    </row>
    <row r="32328" spans="1:4" x14ac:dyDescent="0.2">
      <c r="B32328" t="s">
        <v>321</v>
      </c>
      <c r="C32328" t="s">
        <v>3656</v>
      </c>
      <c r="D32328" t="s">
        <v>3656</v>
      </c>
    </row>
    <row r="32330" spans="1:4" x14ac:dyDescent="0.2">
      <c r="A32330" t="s">
        <v>10648</v>
      </c>
      <c r="B32330" t="str">
        <f>HYPERLINK("https://lindat.mff.cuni.cz/services/teitok/pdtc10/index.php?action=vallex&amp;frame=v-w4452f1", "pronajímat (v-w4452f1)")</f>
        <v>pronajímat (v-w4452f1)</v>
      </c>
    </row>
    <row r="32331" spans="1:4" x14ac:dyDescent="0.2">
      <c r="B32331" t="s">
        <v>1</v>
      </c>
      <c r="C32331" t="s">
        <v>2239</v>
      </c>
      <c r="D32331" t="s">
        <v>2239</v>
      </c>
    </row>
    <row r="32332" spans="1:4" x14ac:dyDescent="0.2">
      <c r="B32332" t="s">
        <v>8</v>
      </c>
      <c r="C32332" t="s">
        <v>1109</v>
      </c>
      <c r="D32332" t="s">
        <v>1510</v>
      </c>
    </row>
    <row r="32333" spans="1:4" x14ac:dyDescent="0.2">
      <c r="B32333" t="s">
        <v>35</v>
      </c>
      <c r="C32333" t="s">
        <v>6645</v>
      </c>
      <c r="D32333" t="s">
        <v>4765</v>
      </c>
    </row>
    <row r="32335" spans="1:4" x14ac:dyDescent="0.2">
      <c r="A32335" t="s">
        <v>10649</v>
      </c>
      <c r="B32335" t="str">
        <f>HYPERLINK("https://lindat.mff.cuni.cz/services/teitok/pdtc10/index.php?action=vallex&amp;frame=v-w4452f2", "pronajímat (v-w4452f2)")</f>
        <v>pronajímat (v-w4452f2)</v>
      </c>
    </row>
    <row r="32336" spans="1:4" x14ac:dyDescent="0.2">
      <c r="B32336" t="s">
        <v>1</v>
      </c>
      <c r="C32336" t="s">
        <v>2303</v>
      </c>
      <c r="D32336" t="s">
        <v>430</v>
      </c>
    </row>
    <row r="32337" spans="1:4" x14ac:dyDescent="0.2">
      <c r="B32337" t="s">
        <v>8</v>
      </c>
      <c r="C32337" t="s">
        <v>125</v>
      </c>
      <c r="D32337" t="s">
        <v>54</v>
      </c>
    </row>
    <row r="32338" spans="1:4" x14ac:dyDescent="0.2">
      <c r="B32338" t="s">
        <v>321</v>
      </c>
      <c r="C32338" t="s">
        <v>3656</v>
      </c>
      <c r="D32338" t="s">
        <v>3656</v>
      </c>
    </row>
    <row r="32340" spans="1:4" x14ac:dyDescent="0.2">
      <c r="A32340" t="s">
        <v>10650</v>
      </c>
      <c r="B32340" t="str">
        <f>HYPERLINK("https://lindat.mff.cuni.cz/services/teitok/pdtc10/index.php?action=vallex&amp;frame=v-w4461f1", "pronikat (v-w4461f1)")</f>
        <v>pronikat (v-w4461f1)</v>
      </c>
    </row>
    <row r="32341" spans="1:4" x14ac:dyDescent="0.2">
      <c r="B32341" t="s">
        <v>1</v>
      </c>
      <c r="C32341" t="s">
        <v>10651</v>
      </c>
      <c r="D32341" t="s">
        <v>23107</v>
      </c>
    </row>
    <row r="32342" spans="1:4" x14ac:dyDescent="0.2">
      <c r="B32342" t="s">
        <v>90</v>
      </c>
      <c r="C32342" t="s">
        <v>10652</v>
      </c>
      <c r="D32342" t="s">
        <v>23108</v>
      </c>
    </row>
    <row r="32344" spans="1:4" x14ac:dyDescent="0.2">
      <c r="A32344" t="s">
        <v>10653</v>
      </c>
      <c r="B32344" t="str">
        <f>HYPERLINK("https://lindat.mff.cuni.cz/services/teitok/pdtc10/index.php?action=vallex&amp;frame=v-w4462f2", "proniknout (v-w4462f2)")</f>
        <v>proniknout (v-w4462f2)</v>
      </c>
    </row>
    <row r="32345" spans="1:4" x14ac:dyDescent="0.2">
      <c r="B32345" t="s">
        <v>1</v>
      </c>
    </row>
    <row r="32346" spans="1:4" x14ac:dyDescent="0.2">
      <c r="B32346" t="s">
        <v>8</v>
      </c>
    </row>
    <row r="32348" spans="1:4" x14ac:dyDescent="0.2">
      <c r="A32348" t="s">
        <v>10654</v>
      </c>
      <c r="B32348" t="str">
        <f>HYPERLINK("https://lindat.mff.cuni.cz/services/teitok/pdtc10/index.php?action=vallex&amp;frame=v-w4462f3", "proniknout (v-w4462f3)")</f>
        <v>proniknout (v-w4462f3)</v>
      </c>
    </row>
    <row r="32349" spans="1:4" x14ac:dyDescent="0.2">
      <c r="B32349" t="s">
        <v>1</v>
      </c>
    </row>
    <row r="32350" spans="1:4" x14ac:dyDescent="0.2">
      <c r="B32350" t="s">
        <v>192</v>
      </c>
    </row>
    <row r="32352" spans="1:4" x14ac:dyDescent="0.2">
      <c r="A32352" t="s">
        <v>10655</v>
      </c>
      <c r="B32352" t="str">
        <f>HYPERLINK("https://lindat.mff.cuni.cz/services/teitok/pdtc10/index.php?action=vallex&amp;frame=v-w4462f1", "proniknout (v-w4462f1)")</f>
        <v>proniknout (v-w4462f1)</v>
      </c>
    </row>
    <row r="32353" spans="1:4" x14ac:dyDescent="0.2">
      <c r="B32353" t="s">
        <v>1</v>
      </c>
      <c r="C32353" t="s">
        <v>10656</v>
      </c>
      <c r="D32353" t="s">
        <v>23107</v>
      </c>
    </row>
    <row r="32354" spans="1:4" x14ac:dyDescent="0.2">
      <c r="B32354" t="s">
        <v>90</v>
      </c>
      <c r="C32354" t="s">
        <v>10657</v>
      </c>
      <c r="D32354" t="s">
        <v>23108</v>
      </c>
    </row>
    <row r="32356" spans="1:4" x14ac:dyDescent="0.2">
      <c r="A32356" t="s">
        <v>10658</v>
      </c>
      <c r="B32356" t="str">
        <f>HYPERLINK("https://lindat.mff.cuni.cz/services/teitok/pdtc10/index.php?action=vallex&amp;frame=v-w4462hsa_187", "proniknout (v-w4462hsa_187)")</f>
        <v>proniknout (v-w4462hsa_187)</v>
      </c>
    </row>
    <row r="32357" spans="1:4" x14ac:dyDescent="0.2">
      <c r="B32357" t="s">
        <v>1</v>
      </c>
      <c r="C32357" t="s">
        <v>133</v>
      </c>
    </row>
    <row r="32358" spans="1:4" x14ac:dyDescent="0.2">
      <c r="B32358" t="s">
        <v>817</v>
      </c>
    </row>
    <row r="32360" spans="1:4" x14ac:dyDescent="0.2">
      <c r="A32360" t="s">
        <v>10659</v>
      </c>
      <c r="B32360" t="str">
        <f>HYPERLINK("https://lindat.mff.cuni.cz/services/teitok/pdtc10/index.php?action=vallex&amp;frame=v-w4457f1", "pronásledovat (v-w4457f1)")</f>
        <v>pronásledovat (v-w4457f1)</v>
      </c>
    </row>
    <row r="32361" spans="1:4" x14ac:dyDescent="0.2">
      <c r="B32361" t="s">
        <v>1</v>
      </c>
      <c r="C32361" t="s">
        <v>230</v>
      </c>
      <c r="D32361" t="s">
        <v>109</v>
      </c>
    </row>
    <row r="32362" spans="1:4" x14ac:dyDescent="0.2">
      <c r="B32362" t="s">
        <v>8</v>
      </c>
      <c r="C32362" t="s">
        <v>10660</v>
      </c>
      <c r="D32362" t="s">
        <v>1190</v>
      </c>
    </row>
    <row r="32364" spans="1:4" x14ac:dyDescent="0.2">
      <c r="A32364" t="s">
        <v>10661</v>
      </c>
      <c r="B32364" t="str">
        <f>HYPERLINK("https://lindat.mff.cuni.cz/services/teitok/pdtc10/index.php?action=vallex&amp;frame=v-w4458f1", "pronášet (v-w4458f1)")</f>
        <v>pronášet (v-w4458f1)</v>
      </c>
    </row>
    <row r="32365" spans="1:4" x14ac:dyDescent="0.2">
      <c r="B32365" t="s">
        <v>1</v>
      </c>
    </row>
    <row r="32366" spans="1:4" x14ac:dyDescent="0.2">
      <c r="B32366" t="s">
        <v>8</v>
      </c>
    </row>
    <row r="32368" spans="1:4" x14ac:dyDescent="0.2">
      <c r="A32368" t="s">
        <v>10662</v>
      </c>
      <c r="B32368" t="str">
        <f>HYPERLINK("https://lindat.mff.cuni.cz/services/teitok/pdtc10/index.php?action=vallex&amp;frame=v-w4458f2", "pronášet (v-w4458f2)")</f>
        <v>pronášet (v-w4458f2)</v>
      </c>
    </row>
    <row r="32369" spans="1:4" x14ac:dyDescent="0.2">
      <c r="B32369" t="s">
        <v>1</v>
      </c>
      <c r="C32369" t="s">
        <v>1366</v>
      </c>
      <c r="D32369" t="s">
        <v>22967</v>
      </c>
    </row>
    <row r="32370" spans="1:4" x14ac:dyDescent="0.2">
      <c r="B32370" t="s">
        <v>4749</v>
      </c>
      <c r="C32370" t="s">
        <v>10663</v>
      </c>
      <c r="D32370" t="s">
        <v>23120</v>
      </c>
    </row>
    <row r="32371" spans="1:4" x14ac:dyDescent="0.2">
      <c r="B32371" t="s">
        <v>269</v>
      </c>
      <c r="D32371" t="s">
        <v>22968</v>
      </c>
    </row>
    <row r="32373" spans="1:4" x14ac:dyDescent="0.2">
      <c r="A32373" t="s">
        <v>10664</v>
      </c>
      <c r="B32373" t="str">
        <f>HYPERLINK("https://lindat.mff.cuni.cz/services/teitok/pdtc10/index.php?action=vallex&amp;frame=v-w4459f1", "pronést (v-w4459f1)")</f>
        <v>pronést (v-w4459f1)</v>
      </c>
    </row>
    <row r="32374" spans="1:4" x14ac:dyDescent="0.2">
      <c r="B32374" t="s">
        <v>1</v>
      </c>
      <c r="C32374" t="s">
        <v>10665</v>
      </c>
    </row>
    <row r="32375" spans="1:4" x14ac:dyDescent="0.2">
      <c r="B32375" t="s">
        <v>8</v>
      </c>
      <c r="C32375" t="s">
        <v>10666</v>
      </c>
    </row>
    <row r="32376" spans="1:4" x14ac:dyDescent="0.2">
      <c r="B32376" t="s">
        <v>9035</v>
      </c>
      <c r="C32376" t="s">
        <v>3280</v>
      </c>
    </row>
    <row r="32378" spans="1:4" x14ac:dyDescent="0.2">
      <c r="A32378" t="s">
        <v>10667</v>
      </c>
      <c r="B32378" t="str">
        <f>HYPERLINK("https://lindat.mff.cuni.cz/services/teitok/pdtc10/index.php?action=vallex&amp;frame=v-w4459f2", "pronést (v-w4459f2)")</f>
        <v>pronést (v-w4459f2)</v>
      </c>
    </row>
    <row r="32379" spans="1:4" x14ac:dyDescent="0.2">
      <c r="B32379" t="s">
        <v>1</v>
      </c>
      <c r="C32379" t="s">
        <v>10668</v>
      </c>
      <c r="D32379" t="s">
        <v>22967</v>
      </c>
    </row>
    <row r="32380" spans="1:4" x14ac:dyDescent="0.2">
      <c r="B32380" t="s">
        <v>4749</v>
      </c>
      <c r="C32380" t="s">
        <v>10669</v>
      </c>
      <c r="D32380" t="s">
        <v>23120</v>
      </c>
    </row>
    <row r="32381" spans="1:4" x14ac:dyDescent="0.2">
      <c r="B32381" t="s">
        <v>269</v>
      </c>
      <c r="C32381" t="s">
        <v>1472</v>
      </c>
      <c r="D32381" t="s">
        <v>22968</v>
      </c>
    </row>
    <row r="32383" spans="1:4" x14ac:dyDescent="0.2">
      <c r="A32383" t="s">
        <v>10670</v>
      </c>
      <c r="B32383" t="str">
        <f>HYPERLINK("https://lindat.mff.cuni.cz/services/teitok/pdtc10/index.php?action=vallex&amp;frame=v-w4466f1", "propadat (v-w4466f1)")</f>
        <v>propadat (v-w4466f1)</v>
      </c>
    </row>
    <row r="32384" spans="1:4" x14ac:dyDescent="0.2">
      <c r="B32384" t="s">
        <v>1</v>
      </c>
      <c r="C32384" t="s">
        <v>1895</v>
      </c>
    </row>
    <row r="32385" spans="1:4" x14ac:dyDescent="0.2">
      <c r="B32385" t="s">
        <v>103</v>
      </c>
      <c r="C32385" t="s">
        <v>10671</v>
      </c>
    </row>
    <row r="32387" spans="1:4" x14ac:dyDescent="0.2">
      <c r="A32387" t="s">
        <v>10672</v>
      </c>
      <c r="B32387" t="str">
        <f>HYPERLINK("https://lindat.mff.cuni.cz/services/teitok/pdtc10/index.php?action=vallex&amp;frame=v-w4466f2", "propadat (v-w4466f2)")</f>
        <v>propadat (v-w4466f2)</v>
      </c>
    </row>
    <row r="32388" spans="1:4" x14ac:dyDescent="0.2">
      <c r="B32388" t="s">
        <v>1</v>
      </c>
    </row>
    <row r="32390" spans="1:4" x14ac:dyDescent="0.2">
      <c r="A32390" t="s">
        <v>10673</v>
      </c>
      <c r="B32390" t="str">
        <f>HYPERLINK("https://lindat.mff.cuni.cz/services/teitok/pdtc10/index.php?action=vallex&amp;frame=v-w4466hsa_621", "propadat (v-w4466hsa_621)")</f>
        <v>propadat (v-w4466hsa_621)</v>
      </c>
    </row>
    <row r="32391" spans="1:4" x14ac:dyDescent="0.2">
      <c r="B32391" t="s">
        <v>1</v>
      </c>
      <c r="D32391" t="s">
        <v>1593</v>
      </c>
    </row>
    <row r="32393" spans="1:4" x14ac:dyDescent="0.2">
      <c r="A32393" t="s">
        <v>10674</v>
      </c>
      <c r="B32393" t="str">
        <f>HYPERLINK("https://lindat.mff.cuni.cz/services/teitok/pdtc10/index.php?action=vallex&amp;frame=v-w4466hsa_622", "propadat (v-w4466hsa_622)")</f>
        <v>propadat (v-w4466hsa_622)</v>
      </c>
    </row>
    <row r="32394" spans="1:4" x14ac:dyDescent="0.2">
      <c r="B32394" t="s">
        <v>1</v>
      </c>
    </row>
    <row r="32396" spans="1:4" x14ac:dyDescent="0.2">
      <c r="A32396" t="s">
        <v>10675</v>
      </c>
      <c r="B32396" t="str">
        <f>HYPERLINK("https://lindat.mff.cuni.cz/services/teitok/pdtc10/index.php?action=vallex&amp;frame=v-w11567_ZUf3_ZU", "propadat se (v-w11567_ZUf3_ZU)")</f>
        <v>propadat se (v-w11567_ZUf3_ZU)</v>
      </c>
    </row>
    <row r="32397" spans="1:4" x14ac:dyDescent="0.2">
      <c r="B32397" t="s">
        <v>1</v>
      </c>
      <c r="C32397" t="s">
        <v>10676</v>
      </c>
      <c r="D32397" t="s">
        <v>23396</v>
      </c>
    </row>
    <row r="32398" spans="1:4" x14ac:dyDescent="0.2">
      <c r="B32398" t="s">
        <v>3044</v>
      </c>
      <c r="C32398" t="s">
        <v>10677</v>
      </c>
      <c r="D32398" t="s">
        <v>23397</v>
      </c>
    </row>
    <row r="32399" spans="1:4" x14ac:dyDescent="0.2">
      <c r="B32399" t="s">
        <v>24</v>
      </c>
      <c r="C32399" t="s">
        <v>10678</v>
      </c>
      <c r="D32399" t="s">
        <v>23398</v>
      </c>
    </row>
    <row r="32401" spans="1:4" x14ac:dyDescent="0.2">
      <c r="A32401" t="s">
        <v>10675</v>
      </c>
      <c r="B32401" t="str">
        <f>HYPERLINK("https://lindat.mff.cuni.cz/services/teitok/pdtc10/index.php?action=vallex&amp;frame=v-w11567_ZUf1_ZU", "propadat se (v-w11567_ZUf1_ZU) - substituted with v-w11567_ZUf3_ZU")</f>
        <v>propadat se (v-w11567_ZUf1_ZU) - substituted with v-w11567_ZUf3_ZU</v>
      </c>
    </row>
    <row r="32402" spans="1:4" x14ac:dyDescent="0.2">
      <c r="B32402" t="s">
        <v>1</v>
      </c>
      <c r="C32402" t="s">
        <v>10679</v>
      </c>
    </row>
    <row r="32403" spans="1:4" x14ac:dyDescent="0.2">
      <c r="B32403" t="s">
        <v>3044</v>
      </c>
      <c r="C32403" t="s">
        <v>10680</v>
      </c>
    </row>
    <row r="32404" spans="1:4" x14ac:dyDescent="0.2">
      <c r="B32404" t="s">
        <v>24</v>
      </c>
      <c r="C32404" t="s">
        <v>10681</v>
      </c>
    </row>
    <row r="32406" spans="1:4" x14ac:dyDescent="0.2">
      <c r="A32406" t="s">
        <v>10675</v>
      </c>
      <c r="B32406" t="str">
        <f>HYPERLINK("https://lindat.mff.cuni.cz/services/teitok/pdtc10/index.php?action=vallex&amp;frame=v-w11567_ZUf2_ZU", "propadat se (v-w11567_ZUf2_ZU) - substituted with v-w11567_ZUf3_ZU")</f>
        <v>propadat se (v-w11567_ZUf2_ZU) - substituted with v-w11567_ZUf3_ZU</v>
      </c>
    </row>
    <row r="32407" spans="1:4" x14ac:dyDescent="0.2">
      <c r="B32407" t="s">
        <v>1</v>
      </c>
    </row>
    <row r="32408" spans="1:4" x14ac:dyDescent="0.2">
      <c r="B32408" t="s">
        <v>3044</v>
      </c>
    </row>
    <row r="32409" spans="1:4" x14ac:dyDescent="0.2">
      <c r="B32409" t="s">
        <v>24</v>
      </c>
    </row>
    <row r="32411" spans="1:4" x14ac:dyDescent="0.2">
      <c r="A32411" t="s">
        <v>10682</v>
      </c>
      <c r="B32411" t="str">
        <f>HYPERLINK("https://lindat.mff.cuni.cz/services/teitok/pdtc10/index.php?action=vallex&amp;frame=v-w11567_ZUf4_ZU", "propadat se (v-w11567_ZUf4_ZU)")</f>
        <v>propadat se (v-w11567_ZUf4_ZU)</v>
      </c>
    </row>
    <row r="32412" spans="1:4" x14ac:dyDescent="0.2">
      <c r="B32412" t="s">
        <v>1</v>
      </c>
      <c r="C32412" t="s">
        <v>715</v>
      </c>
      <c r="D32412" t="s">
        <v>23868</v>
      </c>
    </row>
    <row r="32414" spans="1:4" x14ac:dyDescent="0.2">
      <c r="A32414" t="s">
        <v>10683</v>
      </c>
      <c r="B32414" t="str">
        <f>HYPERLINK("https://lindat.mff.cuni.cz/services/teitok/pdtc10/index.php?action=vallex&amp;frame=v-w4467f5_ZU", "propadnout (v-w4467f5_ZU)")</f>
        <v>propadnout (v-w4467f5_ZU)</v>
      </c>
    </row>
    <row r="32415" spans="1:4" x14ac:dyDescent="0.2">
      <c r="B32415" t="s">
        <v>1</v>
      </c>
      <c r="C32415" t="s">
        <v>10684</v>
      </c>
      <c r="D32415" t="s">
        <v>23736</v>
      </c>
    </row>
    <row r="32416" spans="1:4" x14ac:dyDescent="0.2">
      <c r="B32416" t="s">
        <v>46</v>
      </c>
      <c r="C32416" t="s">
        <v>10685</v>
      </c>
      <c r="D32416" t="s">
        <v>23737</v>
      </c>
    </row>
    <row r="32417" spans="1:4" x14ac:dyDescent="0.2">
      <c r="B32417" t="s">
        <v>24</v>
      </c>
      <c r="C32417" t="s">
        <v>10686</v>
      </c>
      <c r="D32417" t="s">
        <v>23738</v>
      </c>
    </row>
    <row r="32419" spans="1:4" x14ac:dyDescent="0.2">
      <c r="A32419" t="s">
        <v>10687</v>
      </c>
      <c r="B32419" t="str">
        <f>HYPERLINK("https://lindat.mff.cuni.cz/services/teitok/pdtc10/index.php?action=vallex&amp;frame=v-w4467f2", "propadnout (v-w4467f2)")</f>
        <v>propadnout (v-w4467f2)</v>
      </c>
    </row>
    <row r="32420" spans="1:4" x14ac:dyDescent="0.2">
      <c r="B32420" t="s">
        <v>1</v>
      </c>
    </row>
    <row r="32421" spans="1:4" x14ac:dyDescent="0.2">
      <c r="B32421" t="s">
        <v>103</v>
      </c>
    </row>
    <row r="32423" spans="1:4" x14ac:dyDescent="0.2">
      <c r="A32423" t="s">
        <v>10688</v>
      </c>
      <c r="B32423" t="str">
        <f>HYPERLINK("https://lindat.mff.cuni.cz/services/teitok/pdtc10/index.php?action=vallex&amp;frame=v-w4467f1", "propadnout (v-w4467f1)")</f>
        <v>propadnout (v-w4467f1)</v>
      </c>
    </row>
    <row r="32424" spans="1:4" x14ac:dyDescent="0.2">
      <c r="B32424" t="s">
        <v>1</v>
      </c>
      <c r="C32424" t="s">
        <v>3155</v>
      </c>
    </row>
    <row r="32426" spans="1:4" x14ac:dyDescent="0.2">
      <c r="A32426" t="s">
        <v>10689</v>
      </c>
      <c r="B32426" t="str">
        <f>HYPERLINK("https://lindat.mff.cuni.cz/services/teitok/pdtc10/index.php?action=vallex&amp;frame=v-w4467f3", "propadnout (v-w4467f3)")</f>
        <v>propadnout (v-w4467f3)</v>
      </c>
    </row>
    <row r="32427" spans="1:4" x14ac:dyDescent="0.2">
      <c r="B32427" t="s">
        <v>1</v>
      </c>
      <c r="C32427" t="s">
        <v>10690</v>
      </c>
    </row>
    <row r="32429" spans="1:4" x14ac:dyDescent="0.2">
      <c r="A32429" t="s">
        <v>10691</v>
      </c>
      <c r="B32429" t="str">
        <f>HYPERLINK("https://lindat.mff.cuni.cz/services/teitok/pdtc10/index.php?action=vallex&amp;frame=v-w4467f4_ZU", "propadnout (v-w4467f4_ZU)")</f>
        <v>propadnout (v-w4467f4_ZU)</v>
      </c>
    </row>
    <row r="32430" spans="1:4" x14ac:dyDescent="0.2">
      <c r="B32430" t="s">
        <v>1</v>
      </c>
      <c r="C32430" t="s">
        <v>6729</v>
      </c>
      <c r="D32430" t="s">
        <v>23775</v>
      </c>
    </row>
    <row r="32432" spans="1:4" x14ac:dyDescent="0.2">
      <c r="A32432" t="s">
        <v>10692</v>
      </c>
      <c r="B32432" t="str">
        <f>HYPERLINK("https://lindat.mff.cuni.cz/services/teitok/pdtc10/index.php?action=vallex&amp;frame=v-w4468f5_ZU", "propadnout se (v-w4468f5_ZU)")</f>
        <v>propadnout se (v-w4468f5_ZU)</v>
      </c>
    </row>
    <row r="32433" spans="1:4" x14ac:dyDescent="0.2">
      <c r="B32433" t="s">
        <v>1</v>
      </c>
      <c r="C32433" t="s">
        <v>10693</v>
      </c>
      <c r="D32433" t="s">
        <v>23396</v>
      </c>
    </row>
    <row r="32434" spans="1:4" x14ac:dyDescent="0.2">
      <c r="B32434" t="s">
        <v>46</v>
      </c>
      <c r="C32434" t="s">
        <v>10694</v>
      </c>
      <c r="D32434" t="s">
        <v>23397</v>
      </c>
    </row>
    <row r="32435" spans="1:4" x14ac:dyDescent="0.2">
      <c r="B32435" t="s">
        <v>24</v>
      </c>
      <c r="C32435" t="s">
        <v>10695</v>
      </c>
      <c r="D32435" t="s">
        <v>23398</v>
      </c>
    </row>
    <row r="32437" spans="1:4" x14ac:dyDescent="0.2">
      <c r="A32437" t="s">
        <v>10692</v>
      </c>
      <c r="B32437" t="str">
        <f>HYPERLINK("https://lindat.mff.cuni.cz/services/teitok/pdtc10/index.php?action=vallex&amp;frame=v-w4468f1", "propadnout se (v-w4468f1) - substituted with v-w4468f5_ZU")</f>
        <v>propadnout se (v-w4468f1) - substituted with v-w4468f5_ZU</v>
      </c>
    </row>
    <row r="32438" spans="1:4" x14ac:dyDescent="0.2">
      <c r="B32438" t="s">
        <v>1</v>
      </c>
      <c r="C32438" t="s">
        <v>10696</v>
      </c>
    </row>
    <row r="32439" spans="1:4" x14ac:dyDescent="0.2">
      <c r="B32439" t="s">
        <v>46</v>
      </c>
      <c r="C32439" t="s">
        <v>3993</v>
      </c>
    </row>
    <row r="32440" spans="1:4" x14ac:dyDescent="0.2">
      <c r="B32440" t="s">
        <v>24</v>
      </c>
      <c r="C32440" t="s">
        <v>3994</v>
      </c>
    </row>
    <row r="32442" spans="1:4" x14ac:dyDescent="0.2">
      <c r="A32442" t="s">
        <v>10692</v>
      </c>
      <c r="B32442" t="str">
        <f>HYPERLINK("https://lindat.mff.cuni.cz/services/teitok/pdtc10/index.php?action=vallex&amp;frame=v-w4468f2_ZU", "propadnout se (v-w4468f2_ZU) - substituted with v-w4468f5_ZU")</f>
        <v>propadnout se (v-w4468f2_ZU) - substituted with v-w4468f5_ZU</v>
      </c>
    </row>
    <row r="32443" spans="1:4" x14ac:dyDescent="0.2">
      <c r="B32443" t="s">
        <v>1</v>
      </c>
      <c r="C32443" t="s">
        <v>10697</v>
      </c>
    </row>
    <row r="32444" spans="1:4" x14ac:dyDescent="0.2">
      <c r="B32444" t="s">
        <v>46</v>
      </c>
      <c r="C32444" t="s">
        <v>10698</v>
      </c>
    </row>
    <row r="32445" spans="1:4" x14ac:dyDescent="0.2">
      <c r="B32445" t="s">
        <v>24</v>
      </c>
      <c r="C32445" t="s">
        <v>10699</v>
      </c>
    </row>
    <row r="32447" spans="1:4" x14ac:dyDescent="0.2">
      <c r="A32447" t="s">
        <v>10692</v>
      </c>
      <c r="B32447" t="str">
        <f>HYPERLINK("https://lindat.mff.cuni.cz/services/teitok/pdtc10/index.php?action=vallex&amp;frame=v-w4468f3_ZU", "propadnout se (v-w4468f3_ZU) - substituted with v-w4468f5_ZU")</f>
        <v>propadnout se (v-w4468f3_ZU) - substituted with v-w4468f5_ZU</v>
      </c>
    </row>
    <row r="32448" spans="1:4" x14ac:dyDescent="0.2">
      <c r="B32448" t="s">
        <v>1</v>
      </c>
      <c r="C32448" t="s">
        <v>10690</v>
      </c>
    </row>
    <row r="32449" spans="1:4" x14ac:dyDescent="0.2">
      <c r="B32449" t="s">
        <v>46</v>
      </c>
      <c r="C32449" t="s">
        <v>10700</v>
      </c>
    </row>
    <row r="32450" spans="1:4" x14ac:dyDescent="0.2">
      <c r="B32450" t="s">
        <v>24</v>
      </c>
      <c r="C32450" t="s">
        <v>10701</v>
      </c>
    </row>
    <row r="32452" spans="1:4" x14ac:dyDescent="0.2">
      <c r="A32452" t="s">
        <v>10692</v>
      </c>
      <c r="B32452" t="str">
        <f>HYPERLINK("https://lindat.mff.cuni.cz/services/teitok/pdtc10/index.php?action=vallex&amp;frame=v-w4468f4_ZU", "propadnout se (v-w4468f4_ZU) - substituted with v-w4468f5_ZU")</f>
        <v>propadnout se (v-w4468f4_ZU) - substituted with v-w4468f5_ZU</v>
      </c>
    </row>
    <row r="32453" spans="1:4" x14ac:dyDescent="0.2">
      <c r="B32453" t="s">
        <v>1</v>
      </c>
    </row>
    <row r="32454" spans="1:4" x14ac:dyDescent="0.2">
      <c r="B32454" t="s">
        <v>46</v>
      </c>
    </row>
    <row r="32455" spans="1:4" x14ac:dyDescent="0.2">
      <c r="B32455" t="s">
        <v>24</v>
      </c>
    </row>
    <row r="32457" spans="1:4" x14ac:dyDescent="0.2">
      <c r="A32457" t="s">
        <v>10702</v>
      </c>
      <c r="B32457" t="str">
        <f>HYPERLINK("https://lindat.mff.cuni.cz/services/teitok/pdtc10/index.php?action=vallex&amp;frame=v-w4468f6_MM", "propadnout se (v-w4468f6_MM)")</f>
        <v>propadnout se (v-w4468f6_MM)</v>
      </c>
    </row>
    <row r="32458" spans="1:4" x14ac:dyDescent="0.2">
      <c r="B32458" t="s">
        <v>1</v>
      </c>
    </row>
    <row r="32460" spans="1:4" x14ac:dyDescent="0.2">
      <c r="A32460" t="s">
        <v>10703</v>
      </c>
      <c r="B32460" t="str">
        <f>HYPERLINK("https://lindat.mff.cuni.cz/services/teitok/pdtc10/index.php?action=vallex&amp;frame=v-w4474f1", "propagovat (v-w4474f1)")</f>
        <v>propagovat (v-w4474f1)</v>
      </c>
    </row>
    <row r="32461" spans="1:4" x14ac:dyDescent="0.2">
      <c r="B32461" t="s">
        <v>1</v>
      </c>
      <c r="C32461" t="s">
        <v>10704</v>
      </c>
      <c r="D32461" t="s">
        <v>115</v>
      </c>
    </row>
    <row r="32462" spans="1:4" x14ac:dyDescent="0.2">
      <c r="B32462" t="s">
        <v>41</v>
      </c>
      <c r="C32462" t="s">
        <v>10705</v>
      </c>
      <c r="D32462" t="s">
        <v>2402</v>
      </c>
    </row>
    <row r="32464" spans="1:4" x14ac:dyDescent="0.2">
      <c r="A32464" t="s">
        <v>10706</v>
      </c>
      <c r="B32464" t="str">
        <f>HYPERLINK("https://lindat.mff.cuni.cz/services/teitok/pdtc10/index.php?action=vallex&amp;frame=v-w4479f1", "propašovat (v-w4479f1)")</f>
        <v>propašovat (v-w4479f1)</v>
      </c>
    </row>
    <row r="32465" spans="1:4" x14ac:dyDescent="0.2">
      <c r="B32465" t="s">
        <v>1</v>
      </c>
      <c r="D32465" t="s">
        <v>23952</v>
      </c>
    </row>
    <row r="32466" spans="1:4" x14ac:dyDescent="0.2">
      <c r="B32466" t="s">
        <v>8</v>
      </c>
      <c r="C32466" t="s">
        <v>34</v>
      </c>
      <c r="D32466" t="s">
        <v>23953</v>
      </c>
    </row>
    <row r="32467" spans="1:4" x14ac:dyDescent="0.2">
      <c r="B32467" t="s">
        <v>90</v>
      </c>
      <c r="D32467" t="s">
        <v>23954</v>
      </c>
    </row>
    <row r="32469" spans="1:4" x14ac:dyDescent="0.2">
      <c r="A32469" t="s">
        <v>10707</v>
      </c>
      <c r="B32469" t="str">
        <f>HYPERLINK("https://lindat.mff.cuni.cz/services/teitok/pdtc10/index.php?action=vallex&amp;frame=v-whsa_597hsa_598", "proplachovat (v-whsa_597hsa_598)")</f>
        <v>proplachovat (v-whsa_597hsa_598)</v>
      </c>
    </row>
    <row r="32470" spans="1:4" x14ac:dyDescent="0.2">
      <c r="B32470" t="s">
        <v>1</v>
      </c>
    </row>
    <row r="32471" spans="1:4" x14ac:dyDescent="0.2">
      <c r="B32471" t="s">
        <v>8</v>
      </c>
    </row>
    <row r="32473" spans="1:4" x14ac:dyDescent="0.2">
      <c r="A32473" t="s">
        <v>10708</v>
      </c>
      <c r="B32473" t="str">
        <f>HYPERLINK("https://lindat.mff.cuni.cz/services/teitok/pdtc10/index.php?action=vallex&amp;frame=v-w11954_ZUf1_ZU", "proplakat (v-w11954_ZUf1_ZU)")</f>
        <v>proplakat (v-w11954_ZUf1_ZU)</v>
      </c>
    </row>
    <row r="32474" spans="1:4" x14ac:dyDescent="0.2">
      <c r="B32474" t="s">
        <v>1</v>
      </c>
    </row>
    <row r="32475" spans="1:4" x14ac:dyDescent="0.2">
      <c r="B32475" t="s">
        <v>8</v>
      </c>
    </row>
    <row r="32477" spans="1:4" x14ac:dyDescent="0.2">
      <c r="A32477" t="s">
        <v>10709</v>
      </c>
      <c r="B32477" t="str">
        <f>HYPERLINK("https://lindat.mff.cuni.cz/services/teitok/pdtc10/index.php?action=vallex&amp;frame=v-w4485f1", "proplatit (v-w4485f1)")</f>
        <v>proplatit (v-w4485f1)</v>
      </c>
    </row>
    <row r="32478" spans="1:4" x14ac:dyDescent="0.2">
      <c r="B32478" t="s">
        <v>1</v>
      </c>
      <c r="C32478" t="s">
        <v>2239</v>
      </c>
    </row>
    <row r="32479" spans="1:4" x14ac:dyDescent="0.2">
      <c r="B32479" t="s">
        <v>8</v>
      </c>
      <c r="C32479" t="s">
        <v>10710</v>
      </c>
    </row>
    <row r="32480" spans="1:4" x14ac:dyDescent="0.2">
      <c r="B32480" t="s">
        <v>35</v>
      </c>
    </row>
    <row r="32482" spans="1:4" x14ac:dyDescent="0.2">
      <c r="A32482" t="s">
        <v>10711</v>
      </c>
      <c r="B32482" t="str">
        <f>HYPERLINK("https://lindat.mff.cuni.cz/services/teitok/pdtc10/index.php?action=vallex&amp;frame=v-whsa_1820hsa_1821", "proplout (v-whsa_1820hsa_1821)")</f>
        <v>proplout (v-whsa_1820hsa_1821)</v>
      </c>
    </row>
    <row r="32483" spans="1:4" x14ac:dyDescent="0.2">
      <c r="B32483" t="s">
        <v>1</v>
      </c>
    </row>
    <row r="32484" spans="1:4" x14ac:dyDescent="0.2">
      <c r="B32484" t="s">
        <v>192</v>
      </c>
    </row>
    <row r="32486" spans="1:4" x14ac:dyDescent="0.2">
      <c r="A32486" t="s">
        <v>10712</v>
      </c>
      <c r="B32486" t="str">
        <f>HYPERLINK("https://lindat.mff.cuni.cz/services/teitok/pdtc10/index.php?action=vallex&amp;frame=v-whsa_1736hsa_1737", "proplouvat (v-whsa_1736hsa_1737)")</f>
        <v>proplouvat (v-whsa_1736hsa_1737)</v>
      </c>
    </row>
    <row r="32487" spans="1:4" x14ac:dyDescent="0.2">
      <c r="B32487" t="s">
        <v>1</v>
      </c>
    </row>
    <row r="32488" spans="1:4" x14ac:dyDescent="0.2">
      <c r="B32488" t="s">
        <v>192</v>
      </c>
    </row>
    <row r="32490" spans="1:4" x14ac:dyDescent="0.2">
      <c r="A32490" t="s">
        <v>10713</v>
      </c>
      <c r="B32490" t="str">
        <f>HYPERLINK("https://lindat.mff.cuni.cz/services/teitok/pdtc10/index.php?action=vallex&amp;frame=v-w4484f1", "proplácet (v-w4484f1)")</f>
        <v>proplácet (v-w4484f1)</v>
      </c>
    </row>
    <row r="32491" spans="1:4" x14ac:dyDescent="0.2">
      <c r="B32491" t="s">
        <v>1</v>
      </c>
      <c r="C32491" t="s">
        <v>10714</v>
      </c>
    </row>
    <row r="32492" spans="1:4" x14ac:dyDescent="0.2">
      <c r="B32492" t="s">
        <v>8</v>
      </c>
      <c r="C32492" t="s">
        <v>10715</v>
      </c>
    </row>
    <row r="32493" spans="1:4" x14ac:dyDescent="0.2">
      <c r="B32493" t="s">
        <v>35</v>
      </c>
      <c r="C32493" t="s">
        <v>10240</v>
      </c>
    </row>
    <row r="32495" spans="1:4" x14ac:dyDescent="0.2">
      <c r="A32495" t="s">
        <v>10716</v>
      </c>
      <c r="B32495" t="str">
        <f>HYPERLINK("https://lindat.mff.cuni.cz/services/teitok/pdtc10/index.php?action=vallex&amp;frame=v-w11183f2", "proplést (v-w11183f2)")</f>
        <v>proplést (v-w11183f2)</v>
      </c>
    </row>
    <row r="32496" spans="1:4" x14ac:dyDescent="0.2">
      <c r="B32496" t="s">
        <v>1</v>
      </c>
      <c r="D32496" t="s">
        <v>373</v>
      </c>
    </row>
    <row r="32497" spans="1:4" x14ac:dyDescent="0.2">
      <c r="B32497" t="s">
        <v>8</v>
      </c>
      <c r="C32497" t="s">
        <v>34</v>
      </c>
      <c r="D32497" t="s">
        <v>17</v>
      </c>
    </row>
    <row r="32498" spans="1:4" x14ac:dyDescent="0.2">
      <c r="B32498" t="s">
        <v>153</v>
      </c>
      <c r="C32498" t="s">
        <v>4440</v>
      </c>
      <c r="D32498" t="s">
        <v>23364</v>
      </c>
    </row>
    <row r="32499" spans="1:4" x14ac:dyDescent="0.2">
      <c r="B32499" t="s">
        <v>2156</v>
      </c>
    </row>
    <row r="32501" spans="1:4" x14ac:dyDescent="0.2">
      <c r="A32501" t="s">
        <v>10717</v>
      </c>
      <c r="B32501" t="str">
        <f>HYPERLINK("https://lindat.mff.cuni.cz/services/teitok/pdtc10/index.php?action=vallex&amp;frame=v-w4486f1", "proplétat (v-w4486f1)")</f>
        <v>proplétat (v-w4486f1)</v>
      </c>
    </row>
    <row r="32502" spans="1:4" x14ac:dyDescent="0.2">
      <c r="B32502" t="s">
        <v>1</v>
      </c>
    </row>
    <row r="32503" spans="1:4" x14ac:dyDescent="0.2">
      <c r="B32503" t="s">
        <v>8</v>
      </c>
    </row>
    <row r="32504" spans="1:4" x14ac:dyDescent="0.2">
      <c r="B32504" t="s">
        <v>2604</v>
      </c>
    </row>
    <row r="32506" spans="1:4" x14ac:dyDescent="0.2">
      <c r="A32506" t="s">
        <v>10718</v>
      </c>
      <c r="B32506" t="str">
        <f>HYPERLINK("https://lindat.mff.cuni.cz/services/teitok/pdtc10/index.php?action=vallex&amp;frame=v-w4487f1", "proplétat se (v-w4487f1)")</f>
        <v>proplétat se (v-w4487f1)</v>
      </c>
    </row>
    <row r="32507" spans="1:4" x14ac:dyDescent="0.2">
      <c r="B32507" t="s">
        <v>1</v>
      </c>
    </row>
    <row r="32508" spans="1:4" x14ac:dyDescent="0.2">
      <c r="B32508" t="s">
        <v>192</v>
      </c>
    </row>
    <row r="32510" spans="1:4" x14ac:dyDescent="0.2">
      <c r="A32510" t="s">
        <v>10719</v>
      </c>
      <c r="B32510" t="str">
        <f>HYPERLINK("https://lindat.mff.cuni.cz/services/teitok/pdtc10/index.php?action=vallex&amp;frame=v-w4487f2_ZU", "proplétat se (v-w4487f2_ZU)")</f>
        <v>proplétat se (v-w4487f2_ZU)</v>
      </c>
    </row>
    <row r="32511" spans="1:4" x14ac:dyDescent="0.2">
      <c r="B32511" t="s">
        <v>1</v>
      </c>
    </row>
    <row r="32512" spans="1:4" x14ac:dyDescent="0.2">
      <c r="B32512" t="s">
        <v>889</v>
      </c>
    </row>
    <row r="32514" spans="1:4" x14ac:dyDescent="0.2">
      <c r="A32514" t="s">
        <v>10720</v>
      </c>
      <c r="B32514" t="str">
        <f>HYPERLINK("https://lindat.mff.cuni.cz/services/teitok/pdtc10/index.php?action=vallex&amp;frame=v-w4487f3_ZU", "proplétat se (v-w4487f3_ZU)")</f>
        <v>proplétat se (v-w4487f3_ZU)</v>
      </c>
    </row>
    <row r="32515" spans="1:4" x14ac:dyDescent="0.2">
      <c r="B32515" t="s">
        <v>1</v>
      </c>
    </row>
    <row r="32516" spans="1:4" x14ac:dyDescent="0.2">
      <c r="B32516" t="s">
        <v>411</v>
      </c>
    </row>
    <row r="32518" spans="1:4" x14ac:dyDescent="0.2">
      <c r="A32518" t="s">
        <v>10721</v>
      </c>
      <c r="B32518" t="str">
        <f>HYPERLINK("https://lindat.mff.cuni.cz/services/teitok/pdtc10/index.php?action=vallex&amp;frame=v-whsa_1784hsa_1785", "proplít (v-whsa_1784hsa_1785)")</f>
        <v>proplít (v-whsa_1784hsa_1785)</v>
      </c>
    </row>
    <row r="32519" spans="1:4" x14ac:dyDescent="0.2">
      <c r="B32519" t="s">
        <v>1</v>
      </c>
    </row>
    <row r="32520" spans="1:4" x14ac:dyDescent="0.2">
      <c r="B32520" t="s">
        <v>8</v>
      </c>
    </row>
    <row r="32522" spans="1:4" x14ac:dyDescent="0.2">
      <c r="A32522" t="s">
        <v>10722</v>
      </c>
      <c r="B32522" t="str">
        <f>HYPERLINK("https://lindat.mff.cuni.cz/services/teitok/pdtc10/index.php?action=vallex&amp;frame=v-w11382f1", "proplížit se (v-w11382f1)")</f>
        <v>proplížit se (v-w11382f1)</v>
      </c>
    </row>
    <row r="32523" spans="1:4" x14ac:dyDescent="0.2">
      <c r="B32523" t="s">
        <v>1</v>
      </c>
      <c r="C32523" t="s">
        <v>133</v>
      </c>
      <c r="D32523" t="s">
        <v>115</v>
      </c>
    </row>
    <row r="32524" spans="1:4" x14ac:dyDescent="0.2">
      <c r="B32524" t="s">
        <v>205</v>
      </c>
      <c r="D32524" t="s">
        <v>23955</v>
      </c>
    </row>
    <row r="32526" spans="1:4" x14ac:dyDescent="0.2">
      <c r="A32526" t="s">
        <v>10723</v>
      </c>
      <c r="B32526" t="str">
        <f>HYPERLINK("https://lindat.mff.cuni.cz/services/teitok/pdtc10/index.php?action=vallex&amp;frame=v-w10540f2", "proplýtvat (v-w10540f2)")</f>
        <v>proplýtvat (v-w10540f2)</v>
      </c>
    </row>
    <row r="32527" spans="1:4" x14ac:dyDescent="0.2">
      <c r="B32527" t="s">
        <v>1</v>
      </c>
    </row>
    <row r="32528" spans="1:4" x14ac:dyDescent="0.2">
      <c r="B32528" t="s">
        <v>8</v>
      </c>
    </row>
    <row r="32530" spans="1:4" x14ac:dyDescent="0.2">
      <c r="A32530" t="s">
        <v>10724</v>
      </c>
      <c r="B32530" t="str">
        <f>HYPERLINK("https://lindat.mff.cuni.cz/services/teitok/pdtc10/index.php?action=vallex&amp;frame=v-w4493f3", "propojit (v-w4493f3)")</f>
        <v>propojit (v-w4493f3)</v>
      </c>
    </row>
    <row r="32531" spans="1:4" x14ac:dyDescent="0.2">
      <c r="B32531" t="s">
        <v>1</v>
      </c>
      <c r="C32531" t="s">
        <v>2303</v>
      </c>
      <c r="D32531" t="s">
        <v>340</v>
      </c>
    </row>
    <row r="32532" spans="1:4" x14ac:dyDescent="0.2">
      <c r="B32532" t="s">
        <v>8</v>
      </c>
      <c r="C32532" t="s">
        <v>338</v>
      </c>
      <c r="D32532" t="s">
        <v>23956</v>
      </c>
    </row>
    <row r="32533" spans="1:4" x14ac:dyDescent="0.2">
      <c r="B32533" t="s">
        <v>153</v>
      </c>
      <c r="C32533" t="s">
        <v>10725</v>
      </c>
      <c r="D32533" t="s">
        <v>23957</v>
      </c>
    </row>
    <row r="32534" spans="1:4" x14ac:dyDescent="0.2">
      <c r="B32534" t="s">
        <v>10726</v>
      </c>
      <c r="D32534" t="s">
        <v>14051</v>
      </c>
    </row>
    <row r="32536" spans="1:4" x14ac:dyDescent="0.2">
      <c r="A32536" t="s">
        <v>10727</v>
      </c>
      <c r="B32536" t="str">
        <f>HYPERLINK("https://lindat.mff.cuni.cz/services/teitok/pdtc10/index.php?action=vallex&amp;frame=v-w4493f4_ZU", "propojit (v-w4493f4_ZU)")</f>
        <v>propojit (v-w4493f4_ZU)</v>
      </c>
    </row>
    <row r="32537" spans="1:4" x14ac:dyDescent="0.2">
      <c r="B32537" t="s">
        <v>1</v>
      </c>
    </row>
    <row r="32538" spans="1:4" x14ac:dyDescent="0.2">
      <c r="B32538" t="s">
        <v>8</v>
      </c>
    </row>
    <row r="32539" spans="1:4" x14ac:dyDescent="0.2">
      <c r="B32539" t="s">
        <v>10728</v>
      </c>
    </row>
    <row r="32541" spans="1:4" x14ac:dyDescent="0.2">
      <c r="A32541" t="s">
        <v>10727</v>
      </c>
      <c r="B32541" t="str">
        <f>HYPERLINK("https://lindat.mff.cuni.cz/services/teitok/pdtc10/index.php?action=vallex&amp;frame=v-w4493f2", "propojit (v-w4493f2) - substituted with v-w4493f4_ZU")</f>
        <v>propojit (v-w4493f2) - substituted with v-w4493f4_ZU</v>
      </c>
    </row>
    <row r="32542" spans="1:4" x14ac:dyDescent="0.2">
      <c r="B32542" t="s">
        <v>1</v>
      </c>
      <c r="C32542" t="s">
        <v>109</v>
      </c>
      <c r="D32542" t="s">
        <v>3542</v>
      </c>
    </row>
    <row r="32543" spans="1:4" x14ac:dyDescent="0.2">
      <c r="B32543" t="s">
        <v>8</v>
      </c>
      <c r="C32543" t="s">
        <v>2290</v>
      </c>
      <c r="D32543" t="s">
        <v>23927</v>
      </c>
    </row>
    <row r="32544" spans="1:4" x14ac:dyDescent="0.2">
      <c r="B32544" t="s">
        <v>10728</v>
      </c>
      <c r="C32544" t="s">
        <v>10729</v>
      </c>
      <c r="D32544" t="s">
        <v>23958</v>
      </c>
    </row>
    <row r="32546" spans="1:2" x14ac:dyDescent="0.2">
      <c r="A32546" t="s">
        <v>10730</v>
      </c>
      <c r="B32546" t="str">
        <f>HYPERLINK("https://lindat.mff.cuni.cz/services/teitok/pdtc10/index.php?action=vallex&amp;frame=v-w4493f1", "propojit (v-w4493f1)")</f>
        <v>propojit (v-w4493f1)</v>
      </c>
    </row>
    <row r="32547" spans="1:2" x14ac:dyDescent="0.2">
      <c r="B32547" t="s">
        <v>1</v>
      </c>
    </row>
    <row r="32548" spans="1:2" x14ac:dyDescent="0.2">
      <c r="B32548" t="s">
        <v>8</v>
      </c>
    </row>
    <row r="32549" spans="1:2" x14ac:dyDescent="0.2">
      <c r="B32549" t="s">
        <v>2604</v>
      </c>
    </row>
    <row r="32551" spans="1:2" x14ac:dyDescent="0.2">
      <c r="A32551" t="s">
        <v>10731</v>
      </c>
      <c r="B32551" t="str">
        <f>HYPERLINK("https://lindat.mff.cuni.cz/services/teitok/pdtc10/index.php?action=vallex&amp;frame=v-w4493hsa_1948", "propojit (v-w4493hsa_1948)")</f>
        <v>propojit (v-w4493hsa_1948)</v>
      </c>
    </row>
    <row r="32552" spans="1:2" x14ac:dyDescent="0.2">
      <c r="B32552" t="s">
        <v>1</v>
      </c>
    </row>
    <row r="32553" spans="1:2" x14ac:dyDescent="0.2">
      <c r="B32553" t="s">
        <v>8</v>
      </c>
    </row>
    <row r="32554" spans="1:2" x14ac:dyDescent="0.2">
      <c r="B32554" t="s">
        <v>333</v>
      </c>
    </row>
    <row r="32555" spans="1:2" x14ac:dyDescent="0.2">
      <c r="B32555" t="s">
        <v>90</v>
      </c>
    </row>
    <row r="32557" spans="1:2" x14ac:dyDescent="0.2">
      <c r="A32557" t="s">
        <v>10732</v>
      </c>
      <c r="B32557" t="str">
        <f>HYPERLINK("https://lindat.mff.cuni.cz/services/teitok/pdtc10/index.php?action=vallex&amp;frame=v-w4494f1", "propojit se (v-w4494f1)")</f>
        <v>propojit se (v-w4494f1)</v>
      </c>
    </row>
    <row r="32558" spans="1:2" x14ac:dyDescent="0.2">
      <c r="B32558" t="s">
        <v>1</v>
      </c>
    </row>
    <row r="32559" spans="1:2" x14ac:dyDescent="0.2">
      <c r="B32559" t="s">
        <v>411</v>
      </c>
    </row>
    <row r="32561" spans="1:4" x14ac:dyDescent="0.2">
      <c r="A32561" t="s">
        <v>10733</v>
      </c>
      <c r="B32561" t="str">
        <f>HYPERLINK("https://lindat.mff.cuni.cz/services/teitok/pdtc10/index.php?action=vallex&amp;frame=v-w4496f2", "propojovat (v-w4496f2)")</f>
        <v>propojovat (v-w4496f2)</v>
      </c>
    </row>
    <row r="32562" spans="1:4" x14ac:dyDescent="0.2">
      <c r="B32562" t="s">
        <v>1</v>
      </c>
      <c r="D32562" t="s">
        <v>373</v>
      </c>
    </row>
    <row r="32563" spans="1:4" x14ac:dyDescent="0.2">
      <c r="B32563" t="s">
        <v>8</v>
      </c>
      <c r="D32563" t="s">
        <v>17</v>
      </c>
    </row>
    <row r="32564" spans="1:4" x14ac:dyDescent="0.2">
      <c r="B32564" t="s">
        <v>153</v>
      </c>
      <c r="D32564" t="s">
        <v>23364</v>
      </c>
    </row>
    <row r="32565" spans="1:4" x14ac:dyDescent="0.2">
      <c r="B32565" t="s">
        <v>2156</v>
      </c>
      <c r="D32565" t="s">
        <v>14051</v>
      </c>
    </row>
    <row r="32567" spans="1:4" x14ac:dyDescent="0.2">
      <c r="A32567" t="s">
        <v>10734</v>
      </c>
      <c r="B32567" t="str">
        <f>HYPERLINK("https://lindat.mff.cuni.cz/services/teitok/pdtc10/index.php?action=vallex&amp;frame=v-w4496f1", "propojovat (v-w4496f1)")</f>
        <v>propojovat (v-w4496f1)</v>
      </c>
    </row>
    <row r="32568" spans="1:4" x14ac:dyDescent="0.2">
      <c r="B32568" t="s">
        <v>1</v>
      </c>
      <c r="D32568" t="s">
        <v>3542</v>
      </c>
    </row>
    <row r="32569" spans="1:4" x14ac:dyDescent="0.2">
      <c r="B32569" t="s">
        <v>8</v>
      </c>
      <c r="D32569" t="s">
        <v>23927</v>
      </c>
    </row>
    <row r="32570" spans="1:4" x14ac:dyDescent="0.2">
      <c r="B32570" t="s">
        <v>153</v>
      </c>
      <c r="D32570" t="s">
        <v>23958</v>
      </c>
    </row>
    <row r="32572" spans="1:4" x14ac:dyDescent="0.2">
      <c r="A32572" t="s">
        <v>10735</v>
      </c>
      <c r="B32572" t="str">
        <f>HYPERLINK("https://lindat.mff.cuni.cz/services/teitok/pdtc10/index.php?action=vallex&amp;frame=v-w4498f3_ZU", "propouštět (v-w4498f3_ZU)")</f>
        <v>propouštět (v-w4498f3_ZU)</v>
      </c>
    </row>
    <row r="32573" spans="1:4" x14ac:dyDescent="0.2">
      <c r="B32573" t="s">
        <v>1</v>
      </c>
    </row>
    <row r="32574" spans="1:4" x14ac:dyDescent="0.2">
      <c r="B32574" t="s">
        <v>8</v>
      </c>
    </row>
    <row r="32575" spans="1:4" x14ac:dyDescent="0.2">
      <c r="B32575" t="s">
        <v>4622</v>
      </c>
    </row>
    <row r="32577" spans="1:4" x14ac:dyDescent="0.2">
      <c r="A32577" t="s">
        <v>10735</v>
      </c>
      <c r="B32577" t="str">
        <f>HYPERLINK("https://lindat.mff.cuni.cz/services/teitok/pdtc10/index.php?action=vallex&amp;frame=v-w4498f1", "propouštět (v-w4498f1) - substituted with v-w4498f3_ZU")</f>
        <v>propouštět (v-w4498f1) - substituted with v-w4498f3_ZU</v>
      </c>
    </row>
    <row r="32578" spans="1:4" x14ac:dyDescent="0.2">
      <c r="B32578" t="s">
        <v>1</v>
      </c>
      <c r="C32578" t="s">
        <v>3081</v>
      </c>
      <c r="D32578" t="s">
        <v>6131</v>
      </c>
    </row>
    <row r="32579" spans="1:4" x14ac:dyDescent="0.2">
      <c r="B32579" t="s">
        <v>8</v>
      </c>
      <c r="C32579" t="s">
        <v>6702</v>
      </c>
      <c r="D32579" t="s">
        <v>18247</v>
      </c>
    </row>
    <row r="32580" spans="1:4" x14ac:dyDescent="0.2">
      <c r="B32580" t="s">
        <v>4622</v>
      </c>
    </row>
    <row r="32582" spans="1:4" x14ac:dyDescent="0.2">
      <c r="A32582" t="s">
        <v>10736</v>
      </c>
      <c r="B32582" t="str">
        <f>HYPERLINK("https://lindat.mff.cuni.cz/services/teitok/pdtc10/index.php?action=vallex&amp;frame=v-w4498f2_ZU", "propouštět (v-w4498f2_ZU)")</f>
        <v>propouštět (v-w4498f2_ZU)</v>
      </c>
    </row>
    <row r="32583" spans="1:4" x14ac:dyDescent="0.2">
      <c r="B32583" t="s">
        <v>1</v>
      </c>
    </row>
    <row r="32584" spans="1:4" x14ac:dyDescent="0.2">
      <c r="B32584" t="s">
        <v>8</v>
      </c>
    </row>
    <row r="32586" spans="1:4" x14ac:dyDescent="0.2">
      <c r="A32586" t="s">
        <v>10737</v>
      </c>
      <c r="B32586" t="str">
        <f>HYPERLINK("https://lindat.mff.cuni.cz/services/teitok/pdtc10/index.php?action=vallex&amp;frame=v-w4490f1", "propočíst (v-w4490f1)")</f>
        <v>propočíst (v-w4490f1)</v>
      </c>
    </row>
    <row r="32587" spans="1:4" x14ac:dyDescent="0.2">
      <c r="B32587" t="s">
        <v>1</v>
      </c>
    </row>
    <row r="32588" spans="1:4" x14ac:dyDescent="0.2">
      <c r="B32588" t="s">
        <v>1284</v>
      </c>
    </row>
    <row r="32589" spans="1:4" x14ac:dyDescent="0.2">
      <c r="B32589" t="s">
        <v>24</v>
      </c>
    </row>
    <row r="32590" spans="1:4" x14ac:dyDescent="0.2">
      <c r="B32590" t="s">
        <v>61</v>
      </c>
    </row>
    <row r="32592" spans="1:4" x14ac:dyDescent="0.2">
      <c r="A32592" t="s">
        <v>10738</v>
      </c>
      <c r="B32592" t="str">
        <f>HYPERLINK("https://lindat.mff.cuni.cz/services/teitok/pdtc10/index.php?action=vallex&amp;frame=v-w4491f1", "propočítávat (v-w4491f1)")</f>
        <v>propočítávat (v-w4491f1)</v>
      </c>
    </row>
    <row r="32593" spans="1:3" x14ac:dyDescent="0.2">
      <c r="B32593" t="s">
        <v>1</v>
      </c>
    </row>
    <row r="32594" spans="1:3" x14ac:dyDescent="0.2">
      <c r="B32594" t="s">
        <v>1284</v>
      </c>
    </row>
    <row r="32595" spans="1:3" x14ac:dyDescent="0.2">
      <c r="B32595" t="s">
        <v>24</v>
      </c>
    </row>
    <row r="32597" spans="1:3" x14ac:dyDescent="0.2">
      <c r="A32597" t="s">
        <v>10739</v>
      </c>
      <c r="B32597" t="str">
        <f>HYPERLINK("https://lindat.mff.cuni.cz/services/teitok/pdtc10/index.php?action=vallex&amp;frame=v-w4501f1", "propracovat (v-w4501f1)")</f>
        <v>propracovat (v-w4501f1)</v>
      </c>
    </row>
    <row r="32598" spans="1:3" x14ac:dyDescent="0.2">
      <c r="B32598" t="s">
        <v>1</v>
      </c>
      <c r="C32598" t="s">
        <v>140</v>
      </c>
    </row>
    <row r="32599" spans="1:3" x14ac:dyDescent="0.2">
      <c r="B32599" t="s">
        <v>8</v>
      </c>
      <c r="C32599" t="s">
        <v>991</v>
      </c>
    </row>
    <row r="32601" spans="1:3" x14ac:dyDescent="0.2">
      <c r="A32601" t="s">
        <v>10740</v>
      </c>
      <c r="B32601" t="str">
        <f>HYPERLINK("https://lindat.mff.cuni.cz/services/teitok/pdtc10/index.php?action=vallex&amp;frame=v-w4502f2", "propracovat se (v-w4502f2)")</f>
        <v>propracovat se (v-w4502f2)</v>
      </c>
    </row>
    <row r="32602" spans="1:3" x14ac:dyDescent="0.2">
      <c r="B32602" t="s">
        <v>1</v>
      </c>
    </row>
    <row r="32603" spans="1:3" x14ac:dyDescent="0.2">
      <c r="B32603" t="s">
        <v>28</v>
      </c>
    </row>
    <row r="32605" spans="1:3" x14ac:dyDescent="0.2">
      <c r="A32605" t="s">
        <v>10741</v>
      </c>
      <c r="B32605" t="str">
        <f>HYPERLINK("https://lindat.mff.cuni.cz/services/teitok/pdtc10/index.php?action=vallex&amp;frame=v-w4502f1", "propracovat se (v-w4502f1)")</f>
        <v>propracovat se (v-w4502f1)</v>
      </c>
    </row>
    <row r="32606" spans="1:3" x14ac:dyDescent="0.2">
      <c r="B32606" t="s">
        <v>1</v>
      </c>
    </row>
    <row r="32607" spans="1:3" x14ac:dyDescent="0.2">
      <c r="B32607" t="s">
        <v>90</v>
      </c>
    </row>
    <row r="32609" spans="1:4" x14ac:dyDescent="0.2">
      <c r="A32609" t="s">
        <v>10742</v>
      </c>
      <c r="B32609" t="str">
        <f>HYPERLINK("https://lindat.mff.cuni.cz/services/teitok/pdtc10/index.php?action=vallex&amp;frame=v-w4503f1", "propracovávat se (v-w4503f1)")</f>
        <v>propracovávat se (v-w4503f1)</v>
      </c>
    </row>
    <row r="32610" spans="1:4" x14ac:dyDescent="0.2">
      <c r="B32610" t="s">
        <v>1</v>
      </c>
    </row>
    <row r="32611" spans="1:4" x14ac:dyDescent="0.2">
      <c r="B32611" t="s">
        <v>90</v>
      </c>
    </row>
    <row r="32613" spans="1:4" x14ac:dyDescent="0.2">
      <c r="A32613" t="s">
        <v>10743</v>
      </c>
      <c r="B32613" t="str">
        <f>HYPERLINK("https://lindat.mff.cuni.cz/services/teitok/pdtc10/index.php?action=vallex&amp;frame=v-w11972_ZUf1_ZU", "propršet (v-w11972_ZUf1_ZU)")</f>
        <v>propršet (v-w11972_ZUf1_ZU)</v>
      </c>
    </row>
    <row r="32614" spans="1:4" x14ac:dyDescent="0.2">
      <c r="B32614" t="s">
        <v>1</v>
      </c>
    </row>
    <row r="32616" spans="1:4" x14ac:dyDescent="0.2">
      <c r="A32616" t="s">
        <v>10744</v>
      </c>
      <c r="B32616" t="str">
        <f>HYPERLINK("https://lindat.mff.cuni.cz/services/teitok/pdtc10/index.php?action=vallex&amp;frame=v-whsa_2039hsa_2040", "propsat (v-whsa_2039hsa_2040)")</f>
        <v>propsat (v-whsa_2039hsa_2040)</v>
      </c>
    </row>
    <row r="32617" spans="1:4" x14ac:dyDescent="0.2">
      <c r="B32617" t="s">
        <v>1</v>
      </c>
    </row>
    <row r="32618" spans="1:4" x14ac:dyDescent="0.2">
      <c r="B32618" t="s">
        <v>8</v>
      </c>
    </row>
    <row r="32620" spans="1:4" x14ac:dyDescent="0.2">
      <c r="A32620" t="s">
        <v>10745</v>
      </c>
      <c r="B32620" t="str">
        <f>HYPERLINK("https://lindat.mff.cuni.cz/services/teitok/pdtc10/index.php?action=vallex&amp;frame=v-whsa_980hsa_981", "propukat (v-whsa_980hsa_981)")</f>
        <v>propukat (v-whsa_980hsa_981)</v>
      </c>
    </row>
    <row r="32621" spans="1:4" x14ac:dyDescent="0.2">
      <c r="B32621" t="s">
        <v>1</v>
      </c>
      <c r="C32621" t="s">
        <v>186</v>
      </c>
      <c r="D32621" t="s">
        <v>23208</v>
      </c>
    </row>
    <row r="32623" spans="1:4" x14ac:dyDescent="0.2">
      <c r="A32623" t="s">
        <v>10746</v>
      </c>
      <c r="B32623" t="str">
        <f>HYPERLINK("https://lindat.mff.cuni.cz/services/teitok/pdtc10/index.php?action=vallex&amp;frame=v-w4506f1", "propuknout (v-w4506f1)")</f>
        <v>propuknout (v-w4506f1)</v>
      </c>
    </row>
    <row r="32624" spans="1:4" x14ac:dyDescent="0.2">
      <c r="B32624" t="s">
        <v>1</v>
      </c>
      <c r="C32624" t="s">
        <v>10747</v>
      </c>
      <c r="D32624" t="s">
        <v>23959</v>
      </c>
    </row>
    <row r="32626" spans="1:4" x14ac:dyDescent="0.2">
      <c r="A32626" t="s">
        <v>10748</v>
      </c>
      <c r="B32626" t="str">
        <f>HYPERLINK("https://lindat.mff.cuni.cz/services/teitok/pdtc10/index.php?action=vallex&amp;frame=v-w4506hsa_1773", "propuknout (v-w4506hsa_1773)")</f>
        <v>propuknout (v-w4506hsa_1773)</v>
      </c>
    </row>
    <row r="32627" spans="1:4" x14ac:dyDescent="0.2">
      <c r="B32627" t="s">
        <v>1</v>
      </c>
    </row>
    <row r="32628" spans="1:4" x14ac:dyDescent="0.2">
      <c r="B32628" t="s">
        <v>1889</v>
      </c>
    </row>
    <row r="32630" spans="1:4" x14ac:dyDescent="0.2">
      <c r="A32630" t="s">
        <v>10749</v>
      </c>
      <c r="B32630" t="str">
        <f>HYPERLINK("https://lindat.mff.cuni.cz/services/teitok/pdtc10/index.php?action=vallex&amp;frame=v-w4508f1", "propustit (v-w4508f1)")</f>
        <v>propustit (v-w4508f1)</v>
      </c>
    </row>
    <row r="32631" spans="1:4" x14ac:dyDescent="0.2">
      <c r="B32631" t="s">
        <v>1</v>
      </c>
      <c r="C32631" t="s">
        <v>10750</v>
      </c>
      <c r="D32631" t="s">
        <v>6131</v>
      </c>
    </row>
    <row r="32632" spans="1:4" x14ac:dyDescent="0.2">
      <c r="B32632" t="s">
        <v>8</v>
      </c>
      <c r="C32632" t="s">
        <v>10751</v>
      </c>
      <c r="D32632" t="s">
        <v>18247</v>
      </c>
    </row>
    <row r="32633" spans="1:4" x14ac:dyDescent="0.2">
      <c r="B32633" t="s">
        <v>333</v>
      </c>
      <c r="C32633" t="s">
        <v>7495</v>
      </c>
      <c r="D32633" t="s">
        <v>23090</v>
      </c>
    </row>
    <row r="32635" spans="1:4" x14ac:dyDescent="0.2">
      <c r="A32635" t="s">
        <v>10752</v>
      </c>
      <c r="B32635" t="str">
        <f>HYPERLINK("https://lindat.mff.cuni.cz/services/teitok/pdtc10/index.php?action=vallex&amp;frame=v-w4508f2", "propustit (v-w4508f2)")</f>
        <v>propustit (v-w4508f2)</v>
      </c>
    </row>
    <row r="32636" spans="1:4" x14ac:dyDescent="0.2">
      <c r="B32636" t="s">
        <v>1</v>
      </c>
    </row>
    <row r="32637" spans="1:4" x14ac:dyDescent="0.2">
      <c r="B32637" t="s">
        <v>8</v>
      </c>
    </row>
    <row r="32639" spans="1:4" x14ac:dyDescent="0.2">
      <c r="A32639" t="s">
        <v>10753</v>
      </c>
      <c r="B32639" t="str">
        <f>HYPERLINK("https://lindat.mff.cuni.cz/services/teitok/pdtc10/index.php?action=vallex&amp;frame=v-w4476f1", "propálit (v-w4476f1)")</f>
        <v>propálit (v-w4476f1)</v>
      </c>
    </row>
    <row r="32640" spans="1:4" x14ac:dyDescent="0.2">
      <c r="B32640" t="s">
        <v>1</v>
      </c>
    </row>
    <row r="32641" spans="1:4" x14ac:dyDescent="0.2">
      <c r="B32641" t="s">
        <v>8</v>
      </c>
    </row>
    <row r="32643" spans="1:4" x14ac:dyDescent="0.2">
      <c r="A32643" t="s">
        <v>10754</v>
      </c>
      <c r="B32643" t="str">
        <f>HYPERLINK("https://lindat.mff.cuni.cz/services/teitok/pdtc10/index.php?action=vallex&amp;frame=v-w4477f1", "propálit se (v-w4477f1)")</f>
        <v>propálit se (v-w4477f1)</v>
      </c>
    </row>
    <row r="32644" spans="1:4" x14ac:dyDescent="0.2">
      <c r="B32644" t="s">
        <v>1</v>
      </c>
    </row>
    <row r="32646" spans="1:4" x14ac:dyDescent="0.2">
      <c r="A32646" t="s">
        <v>10755</v>
      </c>
      <c r="B32646" t="str">
        <f>HYPERLINK("https://lindat.mff.cuni.cz/services/teitok/pdtc10/index.php?action=vallex&amp;frame=v-w4477f2", "propálit se (v-w4477f2)")</f>
        <v>propálit se (v-w4477f2)</v>
      </c>
    </row>
    <row r="32647" spans="1:4" x14ac:dyDescent="0.2">
      <c r="B32647" t="s">
        <v>1</v>
      </c>
    </row>
    <row r="32649" spans="1:4" x14ac:dyDescent="0.2">
      <c r="A32649" t="s">
        <v>10756</v>
      </c>
      <c r="B32649" t="str">
        <f>HYPERLINK("https://lindat.mff.cuni.cz/services/teitok/pdtc10/index.php?action=vallex&amp;frame=v-w4478f1", "propásnout (v-w4478f1)")</f>
        <v>propásnout (v-w4478f1)</v>
      </c>
    </row>
    <row r="32650" spans="1:4" x14ac:dyDescent="0.2">
      <c r="B32650" t="s">
        <v>1</v>
      </c>
      <c r="D32650" t="s">
        <v>23950</v>
      </c>
    </row>
    <row r="32651" spans="1:4" x14ac:dyDescent="0.2">
      <c r="B32651" t="s">
        <v>8</v>
      </c>
      <c r="D32651" t="s">
        <v>17796</v>
      </c>
    </row>
    <row r="32653" spans="1:4" x14ac:dyDescent="0.2">
      <c r="A32653" t="s">
        <v>10757</v>
      </c>
      <c r="B32653" t="str">
        <f>HYPERLINK("https://lindat.mff.cuni.cz/services/teitok/pdtc10/index.php?action=vallex&amp;frame=v-w10108f2", "propást (v-w10108f2)")</f>
        <v>propást (v-w10108f2)</v>
      </c>
    </row>
    <row r="32654" spans="1:4" x14ac:dyDescent="0.2">
      <c r="B32654" t="s">
        <v>1</v>
      </c>
      <c r="D32654" t="s">
        <v>23950</v>
      </c>
    </row>
    <row r="32655" spans="1:4" x14ac:dyDescent="0.2">
      <c r="B32655" t="s">
        <v>8</v>
      </c>
      <c r="D32655" t="s">
        <v>17796</v>
      </c>
    </row>
    <row r="32657" spans="1:4" x14ac:dyDescent="0.2">
      <c r="A32657" t="s">
        <v>10758</v>
      </c>
      <c r="B32657" t="str">
        <f>HYPERLINK("https://lindat.mff.cuni.cz/services/teitok/pdtc10/index.php?action=vallex&amp;frame=v-w4480f1", "propíchat (v-w4480f1)")</f>
        <v>propíchat (v-w4480f1)</v>
      </c>
    </row>
    <row r="32658" spans="1:4" x14ac:dyDescent="0.2">
      <c r="B32658" t="s">
        <v>1</v>
      </c>
    </row>
    <row r="32659" spans="1:4" x14ac:dyDescent="0.2">
      <c r="B32659" t="s">
        <v>8</v>
      </c>
    </row>
    <row r="32661" spans="1:4" x14ac:dyDescent="0.2">
      <c r="A32661" t="s">
        <v>10759</v>
      </c>
      <c r="B32661" t="str">
        <f>HYPERLINK("https://lindat.mff.cuni.cz/services/teitok/pdtc10/index.php?action=vallex&amp;frame=v-w4481f1", "propíchnout (v-w4481f1)")</f>
        <v>propíchnout (v-w4481f1)</v>
      </c>
    </row>
    <row r="32662" spans="1:4" x14ac:dyDescent="0.2">
      <c r="B32662" t="s">
        <v>1</v>
      </c>
      <c r="C32662" t="s">
        <v>140</v>
      </c>
      <c r="D32662" t="s">
        <v>140</v>
      </c>
    </row>
    <row r="32663" spans="1:4" x14ac:dyDescent="0.2">
      <c r="B32663" t="s">
        <v>8</v>
      </c>
      <c r="C32663" t="s">
        <v>113</v>
      </c>
      <c r="D32663" t="s">
        <v>113</v>
      </c>
    </row>
    <row r="32665" spans="1:4" x14ac:dyDescent="0.2">
      <c r="A32665" t="s">
        <v>10760</v>
      </c>
      <c r="B32665" t="str">
        <f>HYPERLINK("https://lindat.mff.cuni.cz/services/teitok/pdtc10/index.php?action=vallex&amp;frame=v-w10625f2", "propírat (v-w10625f2)")</f>
        <v>propírat (v-w10625f2)</v>
      </c>
    </row>
    <row r="32666" spans="1:4" x14ac:dyDescent="0.2">
      <c r="B32666" t="s">
        <v>1</v>
      </c>
    </row>
    <row r="32667" spans="1:4" x14ac:dyDescent="0.2">
      <c r="B32667" t="s">
        <v>124</v>
      </c>
    </row>
    <row r="32669" spans="1:4" x14ac:dyDescent="0.2">
      <c r="A32669" t="s">
        <v>10761</v>
      </c>
      <c r="B32669" t="str">
        <f>HYPERLINK("https://lindat.mff.cuni.cz/services/teitok/pdtc10/index.php?action=vallex&amp;frame=v-w4482f1", "propít (v-w4482f1)")</f>
        <v>propít (v-w4482f1)</v>
      </c>
    </row>
    <row r="32670" spans="1:4" x14ac:dyDescent="0.2">
      <c r="B32670" t="s">
        <v>1</v>
      </c>
    </row>
    <row r="32671" spans="1:4" x14ac:dyDescent="0.2">
      <c r="B32671" t="s">
        <v>8</v>
      </c>
    </row>
    <row r="32673" spans="1:4" x14ac:dyDescent="0.2">
      <c r="A32673" t="s">
        <v>10762</v>
      </c>
      <c r="B32673" t="str">
        <f>HYPERLINK("https://lindat.mff.cuni.cz/services/teitok/pdtc10/index.php?action=vallex&amp;frame=v-w4505f1", "propůjčit (v-w4505f1)")</f>
        <v>propůjčit (v-w4505f1)</v>
      </c>
    </row>
    <row r="32674" spans="1:4" x14ac:dyDescent="0.2">
      <c r="B32674" t="s">
        <v>1</v>
      </c>
      <c r="C32674" t="s">
        <v>964</v>
      </c>
      <c r="D32674" t="s">
        <v>23076</v>
      </c>
    </row>
    <row r="32675" spans="1:4" x14ac:dyDescent="0.2">
      <c r="B32675" t="s">
        <v>8</v>
      </c>
      <c r="C32675" t="s">
        <v>6990</v>
      </c>
      <c r="D32675" t="s">
        <v>23077</v>
      </c>
    </row>
    <row r="32676" spans="1:4" x14ac:dyDescent="0.2">
      <c r="B32676" t="s">
        <v>35</v>
      </c>
      <c r="C32676" t="s">
        <v>10763</v>
      </c>
      <c r="D32676" t="s">
        <v>23078</v>
      </c>
    </row>
    <row r="32678" spans="1:4" x14ac:dyDescent="0.2">
      <c r="A32678" t="s">
        <v>10764</v>
      </c>
      <c r="B32678" t="str">
        <f>HYPERLINK("https://lindat.mff.cuni.cz/services/teitok/pdtc10/index.php?action=vallex&amp;frame=v-w10735f2", "propůjčovat (v-w10735f2)")</f>
        <v>propůjčovat (v-w10735f2)</v>
      </c>
    </row>
    <row r="32679" spans="1:4" x14ac:dyDescent="0.2">
      <c r="B32679" t="s">
        <v>1</v>
      </c>
      <c r="C32679" t="s">
        <v>5974</v>
      </c>
      <c r="D32679" t="s">
        <v>23960</v>
      </c>
    </row>
    <row r="32680" spans="1:4" x14ac:dyDescent="0.2">
      <c r="B32680" t="s">
        <v>8</v>
      </c>
      <c r="C32680" t="s">
        <v>10765</v>
      </c>
      <c r="D32680" t="s">
        <v>23961</v>
      </c>
    </row>
    <row r="32681" spans="1:4" x14ac:dyDescent="0.2">
      <c r="B32681" t="s">
        <v>35</v>
      </c>
      <c r="C32681" t="s">
        <v>10766</v>
      </c>
      <c r="D32681" t="s">
        <v>23962</v>
      </c>
    </row>
    <row r="32683" spans="1:4" x14ac:dyDescent="0.2">
      <c r="A32683" t="s">
        <v>10767</v>
      </c>
      <c r="B32683" t="str">
        <f>HYPERLINK("https://lindat.mff.cuni.cz/services/teitok/pdtc10/index.php?action=vallex&amp;frame=v-w4510f1", "prorazit (v-w4510f1)")</f>
        <v>prorazit (v-w4510f1)</v>
      </c>
    </row>
    <row r="32684" spans="1:4" x14ac:dyDescent="0.2">
      <c r="B32684" t="s">
        <v>1</v>
      </c>
      <c r="C32684" t="s">
        <v>115</v>
      </c>
    </row>
    <row r="32685" spans="1:4" x14ac:dyDescent="0.2">
      <c r="B32685" t="s">
        <v>8</v>
      </c>
      <c r="C32685" t="s">
        <v>1798</v>
      </c>
    </row>
    <row r="32687" spans="1:4" x14ac:dyDescent="0.2">
      <c r="A32687" t="s">
        <v>10768</v>
      </c>
      <c r="B32687" t="str">
        <f>HYPERLINK("https://lindat.mff.cuni.cz/services/teitok/pdtc10/index.php?action=vallex&amp;frame=v-w4510f4", "prorazit (v-w4510f4)")</f>
        <v>prorazit (v-w4510f4)</v>
      </c>
    </row>
    <row r="32688" spans="1:4" x14ac:dyDescent="0.2">
      <c r="B32688" t="s">
        <v>1</v>
      </c>
    </row>
    <row r="32689" spans="1:4" x14ac:dyDescent="0.2">
      <c r="B32689" t="s">
        <v>8</v>
      </c>
    </row>
    <row r="32691" spans="1:4" x14ac:dyDescent="0.2">
      <c r="A32691" t="s">
        <v>10769</v>
      </c>
      <c r="B32691" t="str">
        <f>HYPERLINK("https://lindat.mff.cuni.cz/services/teitok/pdtc10/index.php?action=vallex&amp;frame=v-w4510f2", "prorazit (v-w4510f2)")</f>
        <v>prorazit (v-w4510f2)</v>
      </c>
    </row>
    <row r="32692" spans="1:4" x14ac:dyDescent="0.2">
      <c r="B32692" t="s">
        <v>1</v>
      </c>
      <c r="C32692" t="s">
        <v>10770</v>
      </c>
      <c r="D32692" t="s">
        <v>249</v>
      </c>
    </row>
    <row r="32693" spans="1:4" x14ac:dyDescent="0.2">
      <c r="B32693" t="s">
        <v>3215</v>
      </c>
      <c r="C32693" t="s">
        <v>1044</v>
      </c>
      <c r="D32693" t="s">
        <v>1044</v>
      </c>
    </row>
    <row r="32695" spans="1:4" x14ac:dyDescent="0.2">
      <c r="A32695" t="s">
        <v>10771</v>
      </c>
      <c r="B32695" t="str">
        <f>HYPERLINK("https://lindat.mff.cuni.cz/services/teitok/pdtc10/index.php?action=vallex&amp;frame=v-w4510f3", "prorazit (v-w4510f3)")</f>
        <v>prorazit (v-w4510f3)</v>
      </c>
    </row>
    <row r="32696" spans="1:4" x14ac:dyDescent="0.2">
      <c r="B32696" t="s">
        <v>1</v>
      </c>
    </row>
    <row r="32697" spans="1:4" x14ac:dyDescent="0.2">
      <c r="B32697" t="s">
        <v>192</v>
      </c>
    </row>
    <row r="32699" spans="1:4" x14ac:dyDescent="0.2">
      <c r="A32699" t="s">
        <v>10772</v>
      </c>
      <c r="B32699" t="str">
        <f>HYPERLINK("https://lindat.mff.cuni.cz/services/teitok/pdtc10/index.php?action=vallex&amp;frame=v-w4510f5", "prorazit (v-w4510f5)")</f>
        <v>prorazit (v-w4510f5)</v>
      </c>
    </row>
    <row r="32700" spans="1:4" x14ac:dyDescent="0.2">
      <c r="B32700" t="s">
        <v>1</v>
      </c>
    </row>
    <row r="32701" spans="1:4" x14ac:dyDescent="0.2">
      <c r="B32701" t="s">
        <v>90</v>
      </c>
    </row>
    <row r="32703" spans="1:4" x14ac:dyDescent="0.2">
      <c r="A32703" t="s">
        <v>10773</v>
      </c>
      <c r="B32703" t="str">
        <f>HYPERLINK("https://lindat.mff.cuni.cz/services/teitok/pdtc10/index.php?action=vallex&amp;frame=v-w4514f1", "prorezavět (v-w4514f1)")</f>
        <v>prorezavět (v-w4514f1)</v>
      </c>
    </row>
    <row r="32704" spans="1:4" x14ac:dyDescent="0.2">
      <c r="B32704" t="s">
        <v>1</v>
      </c>
    </row>
    <row r="32706" spans="1:4" x14ac:dyDescent="0.2">
      <c r="A32706" t="s">
        <v>10774</v>
      </c>
      <c r="B32706" t="str">
        <f>HYPERLINK("https://lindat.mff.cuni.cz/services/teitok/pdtc10/index.php?action=vallex&amp;frame=v-w10555f2", "prorokovat (v-w10555f2)")</f>
        <v>prorokovat (v-w10555f2)</v>
      </c>
    </row>
    <row r="32707" spans="1:4" x14ac:dyDescent="0.2">
      <c r="B32707" t="s">
        <v>1</v>
      </c>
      <c r="C32707" t="s">
        <v>10775</v>
      </c>
      <c r="D32707" t="s">
        <v>7388</v>
      </c>
    </row>
    <row r="32708" spans="1:4" x14ac:dyDescent="0.2">
      <c r="B32708" t="s">
        <v>2158</v>
      </c>
      <c r="C32708" t="s">
        <v>1437</v>
      </c>
      <c r="D32708" t="s">
        <v>5591</v>
      </c>
    </row>
    <row r="32710" spans="1:4" x14ac:dyDescent="0.2">
      <c r="A32710" t="s">
        <v>10776</v>
      </c>
      <c r="B32710" t="str">
        <f>HYPERLINK("https://lindat.mff.cuni.cz/services/teitok/pdtc10/index.php?action=vallex&amp;frame=v-w4512f1", "prorážet (v-w4512f1)")</f>
        <v>prorážet (v-w4512f1)</v>
      </c>
    </row>
    <row r="32711" spans="1:4" x14ac:dyDescent="0.2">
      <c r="B32711" t="s">
        <v>1</v>
      </c>
    </row>
    <row r="32712" spans="1:4" x14ac:dyDescent="0.2">
      <c r="B32712" t="s">
        <v>8</v>
      </c>
    </row>
    <row r="32714" spans="1:4" x14ac:dyDescent="0.2">
      <c r="A32714" t="s">
        <v>10777</v>
      </c>
      <c r="B32714" t="str">
        <f>HYPERLINK("https://lindat.mff.cuni.cz/services/teitok/pdtc10/index.php?action=vallex&amp;frame=v-w4512f2", "prorážet (v-w4512f2)")</f>
        <v>prorážet (v-w4512f2)</v>
      </c>
    </row>
    <row r="32715" spans="1:4" x14ac:dyDescent="0.2">
      <c r="B32715" t="s">
        <v>1</v>
      </c>
    </row>
    <row r="32717" spans="1:4" x14ac:dyDescent="0.2">
      <c r="A32717" t="s">
        <v>10778</v>
      </c>
      <c r="B32717" t="str">
        <f>HYPERLINK("https://lindat.mff.cuni.cz/services/teitok/pdtc10/index.php?action=vallex&amp;frame=v-w4517f2", "prorůstat (v-w4517f2)")</f>
        <v>prorůstat (v-w4517f2)</v>
      </c>
    </row>
    <row r="32718" spans="1:4" x14ac:dyDescent="0.2">
      <c r="B32718" t="s">
        <v>1</v>
      </c>
    </row>
    <row r="32719" spans="1:4" x14ac:dyDescent="0.2">
      <c r="B32719" t="s">
        <v>8</v>
      </c>
    </row>
    <row r="32721" spans="1:4" x14ac:dyDescent="0.2">
      <c r="A32721" t="s">
        <v>10779</v>
      </c>
      <c r="B32721" t="str">
        <f>HYPERLINK("https://lindat.mff.cuni.cz/services/teitok/pdtc10/index.php?action=vallex&amp;frame=v-w4517f1", "prorůstat (v-w4517f1)")</f>
        <v>prorůstat (v-w4517f1)</v>
      </c>
    </row>
    <row r="32722" spans="1:4" x14ac:dyDescent="0.2">
      <c r="B32722" t="s">
        <v>1</v>
      </c>
    </row>
    <row r="32723" spans="1:4" x14ac:dyDescent="0.2">
      <c r="B32723" t="s">
        <v>90</v>
      </c>
    </row>
    <row r="32725" spans="1:4" x14ac:dyDescent="0.2">
      <c r="A32725" t="s">
        <v>10780</v>
      </c>
      <c r="B32725" t="str">
        <f>HYPERLINK("https://lindat.mff.cuni.cz/services/teitok/pdtc10/index.php?action=vallex&amp;frame=v-w4517f3_ZU", "prorůstat (v-w4517f3_ZU)")</f>
        <v>prorůstat (v-w4517f3_ZU)</v>
      </c>
    </row>
    <row r="32726" spans="1:4" x14ac:dyDescent="0.2">
      <c r="B32726" t="s">
        <v>1</v>
      </c>
    </row>
    <row r="32727" spans="1:4" x14ac:dyDescent="0.2">
      <c r="B32727" t="s">
        <v>3716</v>
      </c>
    </row>
    <row r="32729" spans="1:4" x14ac:dyDescent="0.2">
      <c r="A32729" t="s">
        <v>10781</v>
      </c>
      <c r="B32729" t="str">
        <f>HYPERLINK("https://lindat.mff.cuni.cz/services/teitok/pdtc10/index.php?action=vallex&amp;frame=v-w4519f2", "prosadit (v-w4519f2)")</f>
        <v>prosadit (v-w4519f2)</v>
      </c>
    </row>
    <row r="32730" spans="1:4" x14ac:dyDescent="0.2">
      <c r="B32730" t="s">
        <v>1</v>
      </c>
      <c r="C32730" t="s">
        <v>2239</v>
      </c>
    </row>
    <row r="32731" spans="1:4" x14ac:dyDescent="0.2">
      <c r="B32731" t="s">
        <v>8</v>
      </c>
      <c r="C32731" t="s">
        <v>2240</v>
      </c>
    </row>
    <row r="32732" spans="1:4" x14ac:dyDescent="0.2">
      <c r="B32732" t="s">
        <v>90</v>
      </c>
    </row>
    <row r="32734" spans="1:4" x14ac:dyDescent="0.2">
      <c r="A32734" t="s">
        <v>10782</v>
      </c>
      <c r="B32734" t="str">
        <f>HYPERLINK("https://lindat.mff.cuni.cz/services/teitok/pdtc10/index.php?action=vallex&amp;frame=v-w4519f1", "prosadit (v-w4519f1)")</f>
        <v>prosadit (v-w4519f1)</v>
      </c>
    </row>
    <row r="32735" spans="1:4" x14ac:dyDescent="0.2">
      <c r="B32735" t="s">
        <v>1</v>
      </c>
      <c r="C32735" t="s">
        <v>10783</v>
      </c>
      <c r="D32735" t="s">
        <v>23815</v>
      </c>
    </row>
    <row r="32736" spans="1:4" x14ac:dyDescent="0.2">
      <c r="B32736" t="s">
        <v>120</v>
      </c>
      <c r="C32736" t="s">
        <v>10784</v>
      </c>
      <c r="D32736" t="s">
        <v>23816</v>
      </c>
    </row>
    <row r="32738" spans="1:4" x14ac:dyDescent="0.2">
      <c r="A32738" t="s">
        <v>10785</v>
      </c>
      <c r="B32738" t="str">
        <f>HYPERLINK("https://lindat.mff.cuni.cz/services/teitok/pdtc10/index.php?action=vallex&amp;frame=v-w4519f3", "prosadit (v-w4519f3)")</f>
        <v>prosadit (v-w4519f3)</v>
      </c>
    </row>
    <row r="32739" spans="1:4" x14ac:dyDescent="0.2">
      <c r="B32739" t="s">
        <v>1</v>
      </c>
      <c r="C32739" t="s">
        <v>10786</v>
      </c>
      <c r="D32739" t="s">
        <v>23963</v>
      </c>
    </row>
    <row r="32740" spans="1:4" x14ac:dyDescent="0.2">
      <c r="B32740" t="s">
        <v>10787</v>
      </c>
      <c r="C32740" t="s">
        <v>5195</v>
      </c>
      <c r="D32740" t="s">
        <v>23964</v>
      </c>
    </row>
    <row r="32742" spans="1:4" x14ac:dyDescent="0.2">
      <c r="A32742" t="s">
        <v>10788</v>
      </c>
      <c r="B32742" t="str">
        <f>HYPERLINK("https://lindat.mff.cuni.cz/services/teitok/pdtc10/index.php?action=vallex&amp;frame=v-w4520f1", "prosadit se (v-w4520f1)")</f>
        <v>prosadit se (v-w4520f1)</v>
      </c>
    </row>
    <row r="32743" spans="1:4" x14ac:dyDescent="0.2">
      <c r="B32743" t="s">
        <v>1</v>
      </c>
      <c r="C32743" t="s">
        <v>3358</v>
      </c>
      <c r="D32743" t="s">
        <v>6204</v>
      </c>
    </row>
    <row r="32745" spans="1:4" x14ac:dyDescent="0.2">
      <c r="A32745" t="s">
        <v>10789</v>
      </c>
      <c r="B32745" t="str">
        <f>HYPERLINK("https://lindat.mff.cuni.cz/services/teitok/pdtc10/index.php?action=vallex&amp;frame=v-w10892f3", "prosakovat (v-w10892f3)")</f>
        <v>prosakovat (v-w10892f3)</v>
      </c>
    </row>
    <row r="32746" spans="1:4" x14ac:dyDescent="0.2">
      <c r="B32746" t="s">
        <v>1</v>
      </c>
      <c r="C32746" t="s">
        <v>2172</v>
      </c>
    </row>
    <row r="32747" spans="1:4" x14ac:dyDescent="0.2">
      <c r="B32747" t="s">
        <v>5</v>
      </c>
    </row>
    <row r="32749" spans="1:4" x14ac:dyDescent="0.2">
      <c r="A32749" t="s">
        <v>10790</v>
      </c>
      <c r="B32749" t="str">
        <f>HYPERLINK("https://lindat.mff.cuni.cz/services/teitok/pdtc10/index.php?action=vallex&amp;frame=v-w10892f4_MM", "prosakovat (v-w10892f4_MM)")</f>
        <v>prosakovat (v-w10892f4_MM)</v>
      </c>
    </row>
    <row r="32750" spans="1:4" x14ac:dyDescent="0.2">
      <c r="B32750" t="s">
        <v>1</v>
      </c>
    </row>
    <row r="32752" spans="1:4" x14ac:dyDescent="0.2">
      <c r="A32752" t="s">
        <v>10791</v>
      </c>
      <c r="B32752" t="str">
        <f>HYPERLINK("https://lindat.mff.cuni.cz/services/teitok/pdtc10/index.php?action=vallex&amp;frame=v-w10892hsa_1234", "prosakovat (v-w10892hsa_1234)")</f>
        <v>prosakovat (v-w10892hsa_1234)</v>
      </c>
    </row>
    <row r="32753" spans="1:4" x14ac:dyDescent="0.2">
      <c r="B32753" t="s">
        <v>1</v>
      </c>
    </row>
    <row r="32754" spans="1:4" x14ac:dyDescent="0.2">
      <c r="B32754" t="s">
        <v>90</v>
      </c>
    </row>
    <row r="32756" spans="1:4" x14ac:dyDescent="0.2">
      <c r="A32756" t="s">
        <v>10792</v>
      </c>
      <c r="B32756" t="str">
        <f>HYPERLINK("https://lindat.mff.cuni.cz/services/teitok/pdtc10/index.php?action=vallex&amp;frame=v-w4527f1", "prosazovat (v-w4527f1)")</f>
        <v>prosazovat (v-w4527f1)</v>
      </c>
    </row>
    <row r="32757" spans="1:4" x14ac:dyDescent="0.2">
      <c r="B32757" t="s">
        <v>1</v>
      </c>
      <c r="C32757" t="s">
        <v>10793</v>
      </c>
      <c r="D32757" t="s">
        <v>23815</v>
      </c>
    </row>
    <row r="32758" spans="1:4" x14ac:dyDescent="0.2">
      <c r="B32758" t="s">
        <v>10794</v>
      </c>
      <c r="C32758" t="s">
        <v>10795</v>
      </c>
      <c r="D32758" t="s">
        <v>23816</v>
      </c>
    </row>
    <row r="32760" spans="1:4" x14ac:dyDescent="0.2">
      <c r="A32760" t="s">
        <v>10796</v>
      </c>
      <c r="B32760" t="str">
        <f>HYPERLINK("https://lindat.mff.cuni.cz/services/teitok/pdtc10/index.php?action=vallex&amp;frame=v-w4528f1", "prosazovat se (v-w4528f1)")</f>
        <v>prosazovat se (v-w4528f1)</v>
      </c>
    </row>
    <row r="32761" spans="1:4" x14ac:dyDescent="0.2">
      <c r="B32761" t="s">
        <v>1</v>
      </c>
      <c r="C32761" t="s">
        <v>10797</v>
      </c>
      <c r="D32761" t="s">
        <v>6204</v>
      </c>
    </row>
    <row r="32763" spans="1:4" x14ac:dyDescent="0.2">
      <c r="A32763" t="s">
        <v>10798</v>
      </c>
      <c r="B32763" t="str">
        <f>HYPERLINK("https://lindat.mff.cuni.cz/services/teitok/pdtc10/index.php?action=vallex&amp;frame=v-w10885f2", "prosedět (v-w10885f2)")</f>
        <v>prosedět (v-w10885f2)</v>
      </c>
    </row>
    <row r="32764" spans="1:4" x14ac:dyDescent="0.2">
      <c r="B32764" t="s">
        <v>1</v>
      </c>
    </row>
    <row r="32765" spans="1:4" x14ac:dyDescent="0.2">
      <c r="B32765" t="s">
        <v>8</v>
      </c>
    </row>
    <row r="32767" spans="1:4" x14ac:dyDescent="0.2">
      <c r="A32767" t="s">
        <v>10799</v>
      </c>
      <c r="B32767" t="str">
        <f>HYPERLINK("https://lindat.mff.cuni.cz/services/teitok/pdtc10/index.php?action=vallex&amp;frame=v-w11257f1", "prosekat (v-w11257f1)")</f>
        <v>prosekat (v-w11257f1)</v>
      </c>
    </row>
    <row r="32768" spans="1:4" x14ac:dyDescent="0.2">
      <c r="B32768" t="s">
        <v>1</v>
      </c>
    </row>
    <row r="32769" spans="1:4" x14ac:dyDescent="0.2">
      <c r="B32769" t="s">
        <v>8</v>
      </c>
    </row>
    <row r="32771" spans="1:4" x14ac:dyDescent="0.2">
      <c r="A32771" t="s">
        <v>10800</v>
      </c>
      <c r="B32771" t="str">
        <f>HYPERLINK("https://lindat.mff.cuni.cz/services/teitok/pdtc10/index.php?action=vallex&amp;frame=v-w4531f1", "prosekat se (v-w4531f1)")</f>
        <v>prosekat se (v-w4531f1)</v>
      </c>
    </row>
    <row r="32772" spans="1:4" x14ac:dyDescent="0.2">
      <c r="B32772" t="s">
        <v>1</v>
      </c>
      <c r="C32772" t="s">
        <v>133</v>
      </c>
      <c r="D32772" t="s">
        <v>373</v>
      </c>
    </row>
    <row r="32773" spans="1:4" x14ac:dyDescent="0.2">
      <c r="B32773" t="s">
        <v>192</v>
      </c>
      <c r="D32773" t="s">
        <v>23965</v>
      </c>
    </row>
    <row r="32775" spans="1:4" x14ac:dyDescent="0.2">
      <c r="A32775" t="s">
        <v>10801</v>
      </c>
      <c r="B32775" t="str">
        <f>HYPERLINK("https://lindat.mff.cuni.cz/services/teitok/pdtc10/index.php?action=vallex&amp;frame=v-w10322f3", "prosekávat (v-w10322f3)")</f>
        <v>prosekávat (v-w10322f3)</v>
      </c>
    </row>
    <row r="32776" spans="1:4" x14ac:dyDescent="0.2">
      <c r="B32776" t="s">
        <v>1</v>
      </c>
      <c r="C32776" t="s">
        <v>140</v>
      </c>
    </row>
    <row r="32777" spans="1:4" x14ac:dyDescent="0.2">
      <c r="B32777" t="s">
        <v>8</v>
      </c>
      <c r="C32777" t="s">
        <v>991</v>
      </c>
    </row>
    <row r="32779" spans="1:4" x14ac:dyDescent="0.2">
      <c r="A32779" t="s">
        <v>10802</v>
      </c>
      <c r="B32779" t="str">
        <f>HYPERLINK("https://lindat.mff.cuni.cz/services/teitok/pdtc10/index.php?action=vallex&amp;frame=v-w4532f3_ZU", "prosit (v-w4532f3_ZU)")</f>
        <v>prosit (v-w4532f3_ZU)</v>
      </c>
    </row>
    <row r="32780" spans="1:4" x14ac:dyDescent="0.2">
      <c r="B32780" t="s">
        <v>1</v>
      </c>
    </row>
    <row r="32781" spans="1:4" x14ac:dyDescent="0.2">
      <c r="B32781" t="s">
        <v>10803</v>
      </c>
    </row>
    <row r="32782" spans="1:4" x14ac:dyDescent="0.2">
      <c r="B32782" t="s">
        <v>58</v>
      </c>
    </row>
    <row r="32784" spans="1:4" x14ac:dyDescent="0.2">
      <c r="A32784" t="s">
        <v>10802</v>
      </c>
      <c r="B32784" t="str">
        <f>HYPERLINK("https://lindat.mff.cuni.cz/services/teitok/pdtc10/index.php?action=vallex&amp;frame=v-w4532f1", "prosit (v-w4532f1) - substituted with v-w4532f3_ZU")</f>
        <v>prosit (v-w4532f1) - substituted with v-w4532f3_ZU</v>
      </c>
    </row>
    <row r="32785" spans="1:4" x14ac:dyDescent="0.2">
      <c r="B32785" t="s">
        <v>1</v>
      </c>
      <c r="C32785" t="s">
        <v>10804</v>
      </c>
      <c r="D32785" t="s">
        <v>23483</v>
      </c>
    </row>
    <row r="32786" spans="1:4" x14ac:dyDescent="0.2">
      <c r="B32786" t="s">
        <v>10803</v>
      </c>
      <c r="C32786" t="s">
        <v>10805</v>
      </c>
      <c r="D32786" t="s">
        <v>23484</v>
      </c>
    </row>
    <row r="32787" spans="1:4" x14ac:dyDescent="0.2">
      <c r="B32787" t="s">
        <v>58</v>
      </c>
      <c r="C32787" t="s">
        <v>10806</v>
      </c>
      <c r="D32787" t="s">
        <v>23838</v>
      </c>
    </row>
    <row r="32789" spans="1:4" x14ac:dyDescent="0.2">
      <c r="A32789" t="s">
        <v>10802</v>
      </c>
      <c r="B32789" t="str">
        <f>HYPERLINK("https://lindat.mff.cuni.cz/services/teitok/pdtc10/index.php?action=vallex&amp;frame=v-w4532f2_ZU", "prosit (v-w4532f2_ZU) - substituted with v-w4532f3_ZU")</f>
        <v>prosit (v-w4532f2_ZU) - substituted with v-w4532f3_ZU</v>
      </c>
    </row>
    <row r="32790" spans="1:4" x14ac:dyDescent="0.2">
      <c r="B32790" t="s">
        <v>1</v>
      </c>
    </row>
    <row r="32791" spans="1:4" x14ac:dyDescent="0.2">
      <c r="B32791" t="s">
        <v>10803</v>
      </c>
    </row>
    <row r="32792" spans="1:4" x14ac:dyDescent="0.2">
      <c r="B32792" t="s">
        <v>58</v>
      </c>
    </row>
    <row r="32794" spans="1:4" x14ac:dyDescent="0.2">
      <c r="A32794" t="s">
        <v>10802</v>
      </c>
      <c r="B32794" t="str">
        <f>HYPERLINK("https://lindat.mff.cuni.cz/services/teitok/pdtc10/index.php?action=vallex&amp;frame=v-w4532hsa_1404", "prosit (v-w4532hsa_1404) - substituted with v-w4532f3_ZU")</f>
        <v>prosit (v-w4532hsa_1404) - substituted with v-w4532f3_ZU</v>
      </c>
    </row>
    <row r="32795" spans="1:4" x14ac:dyDescent="0.2">
      <c r="B32795" t="s">
        <v>1</v>
      </c>
    </row>
    <row r="32796" spans="1:4" x14ac:dyDescent="0.2">
      <c r="B32796" t="s">
        <v>10803</v>
      </c>
    </row>
    <row r="32797" spans="1:4" x14ac:dyDescent="0.2">
      <c r="B32797" t="s">
        <v>58</v>
      </c>
    </row>
    <row r="32799" spans="1:4" x14ac:dyDescent="0.2">
      <c r="A32799" t="s">
        <v>10807</v>
      </c>
      <c r="B32799" t="str">
        <f>HYPERLINK("https://lindat.mff.cuni.cz/services/teitok/pdtc10/index.php?action=vallex&amp;frame=v-w4533f2", "proskočit (v-w4533f2)")</f>
        <v>proskočit (v-w4533f2)</v>
      </c>
    </row>
    <row r="32800" spans="1:4" x14ac:dyDescent="0.2">
      <c r="B32800" t="s">
        <v>1</v>
      </c>
    </row>
    <row r="32801" spans="1:3" x14ac:dyDescent="0.2">
      <c r="B32801" t="s">
        <v>8</v>
      </c>
    </row>
    <row r="32803" spans="1:3" x14ac:dyDescent="0.2">
      <c r="A32803" t="s">
        <v>10808</v>
      </c>
      <c r="B32803" t="str">
        <f>HYPERLINK("https://lindat.mff.cuni.cz/services/teitok/pdtc10/index.php?action=vallex&amp;frame=v-w4533f1", "proskočit (v-w4533f1)")</f>
        <v>proskočit (v-w4533f1)</v>
      </c>
    </row>
    <row r="32804" spans="1:3" x14ac:dyDescent="0.2">
      <c r="B32804" t="s">
        <v>1</v>
      </c>
    </row>
    <row r="32805" spans="1:3" x14ac:dyDescent="0.2">
      <c r="B32805" t="s">
        <v>192</v>
      </c>
    </row>
    <row r="32807" spans="1:3" x14ac:dyDescent="0.2">
      <c r="A32807" t="s">
        <v>10809</v>
      </c>
      <c r="B32807" t="str">
        <f>HYPERLINK("https://lindat.mff.cuni.cz/services/teitok/pdtc10/index.php?action=vallex&amp;frame=v-w4534f1", "proslavit (v-w4534f1)")</f>
        <v>proslavit (v-w4534f1)</v>
      </c>
    </row>
    <row r="32808" spans="1:3" x14ac:dyDescent="0.2">
      <c r="B32808" t="s">
        <v>1</v>
      </c>
      <c r="C32808" t="s">
        <v>2787</v>
      </c>
    </row>
    <row r="32809" spans="1:3" x14ac:dyDescent="0.2">
      <c r="B32809" t="s">
        <v>8</v>
      </c>
      <c r="C32809" t="s">
        <v>2788</v>
      </c>
    </row>
    <row r="32811" spans="1:3" x14ac:dyDescent="0.2">
      <c r="A32811" t="s">
        <v>10810</v>
      </c>
      <c r="B32811" t="str">
        <f>HYPERLINK("https://lindat.mff.cuni.cz/services/teitok/pdtc10/index.php?action=vallex&amp;frame=v-w4535f1", "proslavit se (v-w4535f1)")</f>
        <v>proslavit se (v-w4535f1)</v>
      </c>
    </row>
    <row r="32812" spans="1:3" x14ac:dyDescent="0.2">
      <c r="B32812" t="s">
        <v>1</v>
      </c>
      <c r="C32812" t="s">
        <v>5499</v>
      </c>
    </row>
    <row r="32814" spans="1:3" x14ac:dyDescent="0.2">
      <c r="A32814" t="s">
        <v>10811</v>
      </c>
      <c r="B32814" t="str">
        <f>HYPERLINK("https://lindat.mff.cuni.cz/services/teitok/pdtc10/index.php?action=vallex&amp;frame=v-w11375f1", "proslechnout se (v-w11375f1)")</f>
        <v>proslechnout se (v-w11375f1)</v>
      </c>
    </row>
    <row r="32815" spans="1:3" x14ac:dyDescent="0.2">
      <c r="B32815" t="s">
        <v>738</v>
      </c>
    </row>
    <row r="32817" spans="1:3" x14ac:dyDescent="0.2">
      <c r="A32817" t="s">
        <v>10812</v>
      </c>
      <c r="B32817" t="str">
        <f>HYPERLINK("https://lindat.mff.cuni.cz/services/teitok/pdtc10/index.php?action=vallex&amp;frame=v-w4536f1", "proslout (v-w4536f1)")</f>
        <v>proslout (v-w4536f1)</v>
      </c>
    </row>
    <row r="32818" spans="1:3" x14ac:dyDescent="0.2">
      <c r="B32818" t="s">
        <v>1</v>
      </c>
    </row>
    <row r="32820" spans="1:3" x14ac:dyDescent="0.2">
      <c r="A32820" t="s">
        <v>10813</v>
      </c>
      <c r="B32820" t="str">
        <f>HYPERLINK("https://lindat.mff.cuni.cz/services/teitok/pdtc10/index.php?action=vallex&amp;frame=v-w4537f1", "proslovit (v-w4537f1)")</f>
        <v>proslovit (v-w4537f1)</v>
      </c>
    </row>
    <row r="32821" spans="1:3" x14ac:dyDescent="0.2">
      <c r="B32821" t="s">
        <v>1</v>
      </c>
    </row>
    <row r="32822" spans="1:3" x14ac:dyDescent="0.2">
      <c r="B32822" t="s">
        <v>8</v>
      </c>
    </row>
    <row r="32823" spans="1:3" x14ac:dyDescent="0.2">
      <c r="B32823" t="s">
        <v>9035</v>
      </c>
    </row>
    <row r="32825" spans="1:3" x14ac:dyDescent="0.2">
      <c r="A32825" t="s">
        <v>10814</v>
      </c>
      <c r="B32825" t="str">
        <f>HYPERLINK("https://lindat.mff.cuni.cz/services/teitok/pdtc10/index.php?action=vallex&amp;frame=v-w4539f2_ZU", "proslýchat se (v-w4539f2_ZU)")</f>
        <v>proslýchat se (v-w4539f2_ZU)</v>
      </c>
    </row>
    <row r="32826" spans="1:3" x14ac:dyDescent="0.2">
      <c r="B32826" t="s">
        <v>488</v>
      </c>
      <c r="C32826" t="s">
        <v>10815</v>
      </c>
    </row>
    <row r="32827" spans="1:3" x14ac:dyDescent="0.2">
      <c r="B32827" t="s">
        <v>269</v>
      </c>
      <c r="C32827" t="s">
        <v>1369</v>
      </c>
    </row>
    <row r="32829" spans="1:3" x14ac:dyDescent="0.2">
      <c r="A32829" t="s">
        <v>10814</v>
      </c>
      <c r="B32829" t="str">
        <f>HYPERLINK("https://lindat.mff.cuni.cz/services/teitok/pdtc10/index.php?action=vallex&amp;frame=v-w4539f1", "proslýchat se (v-w4539f1) - substituted with v-w4539f2_ZU")</f>
        <v>proslýchat se (v-w4539f1) - substituted with v-w4539f2_ZU</v>
      </c>
    </row>
    <row r="32830" spans="1:3" x14ac:dyDescent="0.2">
      <c r="B32830" t="s">
        <v>488</v>
      </c>
    </row>
    <row r="32831" spans="1:3" x14ac:dyDescent="0.2">
      <c r="B32831" t="s">
        <v>269</v>
      </c>
    </row>
    <row r="32833" spans="1:3" x14ac:dyDescent="0.2">
      <c r="A32833" t="s">
        <v>10816</v>
      </c>
      <c r="B32833" t="str">
        <f>HYPERLINK("https://lindat.mff.cuni.cz/services/teitok/pdtc10/index.php?action=vallex&amp;frame=v-whsa_410f1_ZU", "prosmát (v-whsa_410f1_ZU)")</f>
        <v>prosmát (v-whsa_410f1_ZU)</v>
      </c>
    </row>
    <row r="32834" spans="1:3" x14ac:dyDescent="0.2">
      <c r="B32834" t="s">
        <v>1</v>
      </c>
    </row>
    <row r="32835" spans="1:3" x14ac:dyDescent="0.2">
      <c r="B32835" t="s">
        <v>8</v>
      </c>
    </row>
    <row r="32837" spans="1:3" x14ac:dyDescent="0.2">
      <c r="A32837" t="s">
        <v>10816</v>
      </c>
      <c r="B32837" t="str">
        <f>HYPERLINK("https://lindat.mff.cuni.cz/services/teitok/pdtc10/index.php?action=vallex&amp;frame=v-whsa_410hsa_411", "prosmát (v-whsa_410hsa_411) - substituted with v-whsa_410f1_ZU")</f>
        <v>prosmát (v-whsa_410hsa_411) - substituted with v-whsa_410f1_ZU</v>
      </c>
    </row>
    <row r="32838" spans="1:3" x14ac:dyDescent="0.2">
      <c r="B32838" t="s">
        <v>1</v>
      </c>
    </row>
    <row r="32839" spans="1:3" x14ac:dyDescent="0.2">
      <c r="B32839" t="s">
        <v>8</v>
      </c>
    </row>
    <row r="32841" spans="1:3" x14ac:dyDescent="0.2">
      <c r="A32841" t="s">
        <v>10817</v>
      </c>
      <c r="B32841" t="str">
        <f>HYPERLINK("https://lindat.mff.cuni.cz/services/teitok/pdtc10/index.php?action=vallex&amp;frame=v-w11569_ZUf1_ZU", "prosmát se (v-w11569_ZUf1_ZU)")</f>
        <v>prosmát se (v-w11569_ZUf1_ZU)</v>
      </c>
    </row>
    <row r="32842" spans="1:3" x14ac:dyDescent="0.2">
      <c r="B32842" t="s">
        <v>1</v>
      </c>
      <c r="C32842" t="s">
        <v>140</v>
      </c>
    </row>
    <row r="32843" spans="1:3" x14ac:dyDescent="0.2">
      <c r="B32843" t="s">
        <v>3716</v>
      </c>
    </row>
    <row r="32845" spans="1:3" x14ac:dyDescent="0.2">
      <c r="A32845" t="s">
        <v>10818</v>
      </c>
      <c r="B32845" t="str">
        <f>HYPERLINK("https://lindat.mff.cuni.cz/services/teitok/pdtc10/index.php?action=vallex&amp;frame=v-w11569_ZUhsa_293", "prosmát se (v-w11569_ZUhsa_293)")</f>
        <v>prosmát se (v-w11569_ZUhsa_293)</v>
      </c>
    </row>
    <row r="32846" spans="1:3" x14ac:dyDescent="0.2">
      <c r="B32846" t="s">
        <v>1</v>
      </c>
    </row>
    <row r="32847" spans="1:3" x14ac:dyDescent="0.2">
      <c r="B32847" t="s">
        <v>90</v>
      </c>
    </row>
    <row r="32849" spans="1:4" x14ac:dyDescent="0.2">
      <c r="A32849" t="s">
        <v>10819</v>
      </c>
      <c r="B32849" t="str">
        <f>HYPERLINK("https://lindat.mff.cuni.cz/services/teitok/pdtc10/index.php?action=vallex&amp;frame=v-w11691_ZUf1_ZU", "prosolovat (v-w11691_ZUf1_ZU)")</f>
        <v>prosolovat (v-w11691_ZUf1_ZU)</v>
      </c>
    </row>
    <row r="32850" spans="1:4" x14ac:dyDescent="0.2">
      <c r="B32850" t="s">
        <v>1</v>
      </c>
    </row>
    <row r="32851" spans="1:4" x14ac:dyDescent="0.2">
      <c r="B32851" t="s">
        <v>8</v>
      </c>
    </row>
    <row r="32853" spans="1:4" x14ac:dyDescent="0.2">
      <c r="A32853" t="s">
        <v>10820</v>
      </c>
      <c r="B32853" t="str">
        <f>HYPERLINK("https://lindat.mff.cuni.cz/services/teitok/pdtc10/index.php?action=vallex&amp;frame=v-w11471f1", "prospat (v-w11471f1)")</f>
        <v>prospat (v-w11471f1)</v>
      </c>
    </row>
    <row r="32854" spans="1:4" x14ac:dyDescent="0.2">
      <c r="B32854" t="s">
        <v>1</v>
      </c>
      <c r="C32854" t="s">
        <v>140</v>
      </c>
      <c r="D32854" t="s">
        <v>140</v>
      </c>
    </row>
    <row r="32855" spans="1:4" x14ac:dyDescent="0.2">
      <c r="B32855" t="s">
        <v>8</v>
      </c>
    </row>
    <row r="32857" spans="1:4" x14ac:dyDescent="0.2">
      <c r="A32857" t="s">
        <v>10821</v>
      </c>
      <c r="B32857" t="str">
        <f>HYPERLINK("https://lindat.mff.cuni.cz/services/teitok/pdtc10/index.php?action=vallex&amp;frame=v-w4540f1", "prospat se (v-w4540f1)")</f>
        <v>prospat se (v-w4540f1)</v>
      </c>
    </row>
    <row r="32858" spans="1:4" x14ac:dyDescent="0.2">
      <c r="B32858" t="s">
        <v>1</v>
      </c>
    </row>
    <row r="32860" spans="1:4" x14ac:dyDescent="0.2">
      <c r="A32860" t="s">
        <v>10822</v>
      </c>
      <c r="B32860" t="str">
        <f>HYPERLINK("https://lindat.mff.cuni.cz/services/teitok/pdtc10/index.php?action=vallex&amp;frame=v-w4543f2_ZU", "prosperovat (v-w4543f2_ZU)")</f>
        <v>prosperovat (v-w4543f2_ZU)</v>
      </c>
    </row>
    <row r="32861" spans="1:4" x14ac:dyDescent="0.2">
      <c r="B32861" t="s">
        <v>1</v>
      </c>
      <c r="C32861" t="s">
        <v>1168</v>
      </c>
      <c r="D32861" t="s">
        <v>23449</v>
      </c>
    </row>
    <row r="32862" spans="1:4" x14ac:dyDescent="0.2">
      <c r="B32862" t="s">
        <v>10823</v>
      </c>
      <c r="C32862" t="s">
        <v>7577</v>
      </c>
    </row>
    <row r="32864" spans="1:4" x14ac:dyDescent="0.2">
      <c r="A32864" t="s">
        <v>10822</v>
      </c>
      <c r="B32864" t="str">
        <f>HYPERLINK("https://lindat.mff.cuni.cz/services/teitok/pdtc10/index.php?action=vallex&amp;frame=v-w4543f1", "prosperovat (v-w4543f1) - substituted with v-w4543f2_ZU")</f>
        <v>prosperovat (v-w4543f1) - substituted with v-w4543f2_ZU</v>
      </c>
    </row>
    <row r="32865" spans="1:3" x14ac:dyDescent="0.2">
      <c r="B32865" t="s">
        <v>1</v>
      </c>
      <c r="C32865" t="s">
        <v>10824</v>
      </c>
    </row>
    <row r="32866" spans="1:3" x14ac:dyDescent="0.2">
      <c r="B32866" t="s">
        <v>10823</v>
      </c>
    </row>
    <row r="32868" spans="1:3" x14ac:dyDescent="0.2">
      <c r="A32868" t="s">
        <v>10822</v>
      </c>
      <c r="B32868" t="str">
        <f>HYPERLINK("https://lindat.mff.cuni.cz/services/teitok/pdtc10/index.php?action=vallex&amp;frame=v-w4543hsa_983", "prosperovat (v-w4543hsa_983) - substituted with v-w4543f2_ZU")</f>
        <v>prosperovat (v-w4543hsa_983) - substituted with v-w4543f2_ZU</v>
      </c>
    </row>
    <row r="32869" spans="1:3" x14ac:dyDescent="0.2">
      <c r="B32869" t="s">
        <v>1</v>
      </c>
    </row>
    <row r="32870" spans="1:3" x14ac:dyDescent="0.2">
      <c r="B32870" t="s">
        <v>10823</v>
      </c>
    </row>
    <row r="32872" spans="1:3" x14ac:dyDescent="0.2">
      <c r="A32872" t="s">
        <v>10825</v>
      </c>
      <c r="B32872" t="str">
        <f>HYPERLINK("https://lindat.mff.cuni.cz/services/teitok/pdtc10/index.php?action=vallex&amp;frame=v-w4547f1", "prospívat (v-w4547f1)")</f>
        <v>prospívat (v-w4547f1)</v>
      </c>
    </row>
    <row r="32873" spans="1:3" x14ac:dyDescent="0.2">
      <c r="B32873" t="s">
        <v>811</v>
      </c>
    </row>
    <row r="32874" spans="1:3" x14ac:dyDescent="0.2">
      <c r="B32874" t="s">
        <v>103</v>
      </c>
    </row>
    <row r="32876" spans="1:3" x14ac:dyDescent="0.2">
      <c r="A32876" t="s">
        <v>10826</v>
      </c>
      <c r="B32876" t="str">
        <f>HYPERLINK("https://lindat.mff.cuni.cz/services/teitok/pdtc10/index.php?action=vallex&amp;frame=v-w4547f2", "prospívat (v-w4547f2)")</f>
        <v>prospívat (v-w4547f2)</v>
      </c>
    </row>
    <row r="32877" spans="1:3" x14ac:dyDescent="0.2">
      <c r="B32877" t="s">
        <v>1</v>
      </c>
    </row>
    <row r="32879" spans="1:3" x14ac:dyDescent="0.2">
      <c r="A32879" t="s">
        <v>10827</v>
      </c>
      <c r="B32879" t="str">
        <f>HYPERLINK("https://lindat.mff.cuni.cz/services/teitok/pdtc10/index.php?action=vallex&amp;frame=v-w4545f1", "prospět (v-w4545f1)")</f>
        <v>prospět (v-w4545f1)</v>
      </c>
    </row>
    <row r="32880" spans="1:3" x14ac:dyDescent="0.2">
      <c r="B32880" t="s">
        <v>811</v>
      </c>
      <c r="C32880" t="s">
        <v>10828</v>
      </c>
    </row>
    <row r="32881" spans="1:3" x14ac:dyDescent="0.2">
      <c r="B32881" t="s">
        <v>103</v>
      </c>
      <c r="C32881" t="s">
        <v>3638</v>
      </c>
    </row>
    <row r="32883" spans="1:3" x14ac:dyDescent="0.2">
      <c r="A32883" t="s">
        <v>10829</v>
      </c>
      <c r="B32883" t="str">
        <f>HYPERLINK("https://lindat.mff.cuni.cz/services/teitok/pdtc10/index.php?action=vallex&amp;frame=v-w4545f2", "prospět (v-w4545f2)")</f>
        <v>prospět (v-w4545f2)</v>
      </c>
    </row>
    <row r="32884" spans="1:3" x14ac:dyDescent="0.2">
      <c r="B32884" t="s">
        <v>1</v>
      </c>
    </row>
    <row r="32886" spans="1:3" x14ac:dyDescent="0.2">
      <c r="A32886" t="s">
        <v>10830</v>
      </c>
      <c r="B32886" t="str">
        <f>HYPERLINK("https://lindat.mff.cuni.cz/services/teitok/pdtc10/index.php?action=vallex&amp;frame=v-w4548f2", "prostavět (v-w4548f2)")</f>
        <v>prostavět (v-w4548f2)</v>
      </c>
    </row>
    <row r="32887" spans="1:3" x14ac:dyDescent="0.2">
      <c r="B32887" t="s">
        <v>1</v>
      </c>
    </row>
    <row r="32888" spans="1:3" x14ac:dyDescent="0.2">
      <c r="B32888" t="s">
        <v>8</v>
      </c>
    </row>
    <row r="32889" spans="1:3" x14ac:dyDescent="0.2">
      <c r="B32889" t="s">
        <v>413</v>
      </c>
    </row>
    <row r="32891" spans="1:3" x14ac:dyDescent="0.2">
      <c r="A32891" t="s">
        <v>10831</v>
      </c>
      <c r="B32891" t="str">
        <f>HYPERLINK("https://lindat.mff.cuni.cz/services/teitok/pdtc10/index.php?action=vallex&amp;frame=v-w4548f1", "prostavět (v-w4548f1)")</f>
        <v>prostavět (v-w4548f1)</v>
      </c>
    </row>
    <row r="32892" spans="1:3" x14ac:dyDescent="0.2">
      <c r="B32892" t="s">
        <v>1</v>
      </c>
    </row>
    <row r="32893" spans="1:3" x14ac:dyDescent="0.2">
      <c r="B32893" t="s">
        <v>524</v>
      </c>
    </row>
    <row r="32894" spans="1:3" x14ac:dyDescent="0.2">
      <c r="B32894" t="s">
        <v>1382</v>
      </c>
    </row>
    <row r="32896" spans="1:3" x14ac:dyDescent="0.2">
      <c r="A32896" t="s">
        <v>10832</v>
      </c>
      <c r="B32896" t="str">
        <f>HYPERLINK("https://lindat.mff.cuni.cz/services/teitok/pdtc10/index.php?action=vallex&amp;frame=v-w4548hsa_1661", "prostavět (v-w4548hsa_1661)")</f>
        <v>prostavět (v-w4548hsa_1661)</v>
      </c>
    </row>
    <row r="32897" spans="1:4" x14ac:dyDescent="0.2">
      <c r="B32897" t="s">
        <v>1</v>
      </c>
    </row>
    <row r="32898" spans="1:4" x14ac:dyDescent="0.2">
      <c r="B32898" t="s">
        <v>8</v>
      </c>
    </row>
    <row r="32900" spans="1:4" x14ac:dyDescent="0.2">
      <c r="A32900" t="s">
        <v>10833</v>
      </c>
      <c r="B32900" t="str">
        <f>HYPERLINK("https://lindat.mff.cuni.cz/services/teitok/pdtc10/index.php?action=vallex&amp;frame=v-w4549f1", "prostavět se (v-w4549f1)")</f>
        <v>prostavět se (v-w4549f1)</v>
      </c>
    </row>
    <row r="32901" spans="1:4" x14ac:dyDescent="0.2">
      <c r="B32901" t="s">
        <v>1</v>
      </c>
    </row>
    <row r="32902" spans="1:4" x14ac:dyDescent="0.2">
      <c r="B32902" t="s">
        <v>90</v>
      </c>
    </row>
    <row r="32904" spans="1:4" x14ac:dyDescent="0.2">
      <c r="A32904" t="s">
        <v>10834</v>
      </c>
      <c r="B32904" t="str">
        <f>HYPERLINK("https://lindat.mff.cuni.cz/services/teitok/pdtc10/index.php?action=vallex&amp;frame=v-w4550f1", "prostituovat se (v-w4550f1)")</f>
        <v>prostituovat se (v-w4550f1)</v>
      </c>
    </row>
    <row r="32905" spans="1:4" x14ac:dyDescent="0.2">
      <c r="B32905" t="s">
        <v>1</v>
      </c>
    </row>
    <row r="32907" spans="1:4" x14ac:dyDescent="0.2">
      <c r="A32907" t="s">
        <v>10835</v>
      </c>
      <c r="B32907" t="str">
        <f>HYPERLINK("https://lindat.mff.cuni.cz/services/teitok/pdtc10/index.php?action=vallex&amp;frame=v-w4553f1", "prostoupit (v-w4553f1)")</f>
        <v>prostoupit (v-w4553f1)</v>
      </c>
    </row>
    <row r="32908" spans="1:4" x14ac:dyDescent="0.2">
      <c r="B32908" t="s">
        <v>1</v>
      </c>
      <c r="C32908" t="s">
        <v>10836</v>
      </c>
      <c r="D32908" t="s">
        <v>23631</v>
      </c>
    </row>
    <row r="32909" spans="1:4" x14ac:dyDescent="0.2">
      <c r="B32909" t="s">
        <v>8</v>
      </c>
      <c r="C32909" t="s">
        <v>10837</v>
      </c>
      <c r="D32909" t="s">
        <v>23632</v>
      </c>
    </row>
    <row r="32911" spans="1:4" x14ac:dyDescent="0.2">
      <c r="A32911" t="s">
        <v>10838</v>
      </c>
      <c r="B32911" t="str">
        <f>HYPERLINK("https://lindat.mff.cuni.cz/services/teitok/pdtc10/index.php?action=vallex&amp;frame=v-w4553f2", "prostoupit (v-w4553f2)")</f>
        <v>prostoupit (v-w4553f2)</v>
      </c>
    </row>
    <row r="32912" spans="1:4" x14ac:dyDescent="0.2">
      <c r="B32912" t="s">
        <v>1</v>
      </c>
    </row>
    <row r="32913" spans="1:2" x14ac:dyDescent="0.2">
      <c r="B32913" t="s">
        <v>192</v>
      </c>
    </row>
    <row r="32915" spans="1:2" x14ac:dyDescent="0.2">
      <c r="A32915" t="s">
        <v>10839</v>
      </c>
      <c r="B32915" t="str">
        <f>HYPERLINK("https://lindat.mff.cuni.cz/services/teitok/pdtc10/index.php?action=vallex&amp;frame=v-w10526f2", "prostrkat (v-w10526f2)")</f>
        <v>prostrkat (v-w10526f2)</v>
      </c>
    </row>
    <row r="32916" spans="1:2" x14ac:dyDescent="0.2">
      <c r="B32916" t="s">
        <v>1</v>
      </c>
    </row>
    <row r="32917" spans="1:2" x14ac:dyDescent="0.2">
      <c r="B32917" t="s">
        <v>8</v>
      </c>
    </row>
    <row r="32918" spans="1:2" x14ac:dyDescent="0.2">
      <c r="B32918" t="s">
        <v>192</v>
      </c>
    </row>
    <row r="32920" spans="1:2" x14ac:dyDescent="0.2">
      <c r="A32920" t="s">
        <v>10840</v>
      </c>
      <c r="B32920" t="str">
        <f>HYPERLINK("https://lindat.mff.cuni.cz/services/teitok/pdtc10/index.php?action=vallex&amp;frame=v-w4554f2", "prostrčit (v-w4554f2)")</f>
        <v>prostrčit (v-w4554f2)</v>
      </c>
    </row>
    <row r="32921" spans="1:2" x14ac:dyDescent="0.2">
      <c r="B32921" t="s">
        <v>1</v>
      </c>
    </row>
    <row r="32922" spans="1:2" x14ac:dyDescent="0.2">
      <c r="B32922" t="s">
        <v>8</v>
      </c>
    </row>
    <row r="32923" spans="1:2" x14ac:dyDescent="0.2">
      <c r="B32923" t="s">
        <v>35</v>
      </c>
    </row>
    <row r="32925" spans="1:2" x14ac:dyDescent="0.2">
      <c r="A32925" t="s">
        <v>10841</v>
      </c>
      <c r="B32925" t="str">
        <f>HYPERLINK("https://lindat.mff.cuni.cz/services/teitok/pdtc10/index.php?action=vallex&amp;frame=v-w4554f1", "prostrčit (v-w4554f1)")</f>
        <v>prostrčit (v-w4554f1)</v>
      </c>
    </row>
    <row r="32926" spans="1:2" x14ac:dyDescent="0.2">
      <c r="B32926" t="s">
        <v>1</v>
      </c>
    </row>
    <row r="32927" spans="1:2" x14ac:dyDescent="0.2">
      <c r="B32927" t="s">
        <v>8</v>
      </c>
    </row>
    <row r="32928" spans="1:2" x14ac:dyDescent="0.2">
      <c r="B32928" t="s">
        <v>192</v>
      </c>
    </row>
    <row r="32930" spans="1:4" x14ac:dyDescent="0.2">
      <c r="A32930" t="s">
        <v>10842</v>
      </c>
      <c r="B32930" t="str">
        <f>HYPERLINK("https://lindat.mff.cuni.cz/services/teitok/pdtc10/index.php?action=vallex&amp;frame=v-w4559f1", "prostudovat (v-w4559f1)")</f>
        <v>prostudovat (v-w4559f1)</v>
      </c>
    </row>
    <row r="32931" spans="1:4" x14ac:dyDescent="0.2">
      <c r="B32931" t="s">
        <v>1</v>
      </c>
      <c r="C32931" t="s">
        <v>154</v>
      </c>
      <c r="D32931" t="s">
        <v>22952</v>
      </c>
    </row>
    <row r="32932" spans="1:4" x14ac:dyDescent="0.2">
      <c r="B32932" t="s">
        <v>8</v>
      </c>
      <c r="C32932" t="s">
        <v>1815</v>
      </c>
      <c r="D32932" t="s">
        <v>22953</v>
      </c>
    </row>
    <row r="32934" spans="1:4" x14ac:dyDescent="0.2">
      <c r="A32934" t="s">
        <v>10843</v>
      </c>
      <c r="B32934" t="str">
        <f>HYPERLINK("https://lindat.mff.cuni.cz/services/teitok/pdtc10/index.php?action=vallex&amp;frame=v-whsa_992hsa_993", "prostudovávat (v-whsa_992hsa_993)")</f>
        <v>prostudovávat (v-whsa_992hsa_993)</v>
      </c>
    </row>
    <row r="32935" spans="1:4" x14ac:dyDescent="0.2">
      <c r="B32935" t="s">
        <v>1</v>
      </c>
      <c r="D32935" t="s">
        <v>22952</v>
      </c>
    </row>
    <row r="32936" spans="1:4" x14ac:dyDescent="0.2">
      <c r="B32936" t="s">
        <v>8</v>
      </c>
      <c r="D32936" t="s">
        <v>22953</v>
      </c>
    </row>
    <row r="32938" spans="1:4" x14ac:dyDescent="0.2">
      <c r="A32938" t="s">
        <v>10844</v>
      </c>
      <c r="B32938" t="str">
        <f>HYPERLINK("https://lindat.mff.cuni.cz/services/teitok/pdtc10/index.php?action=vallex&amp;frame=v-w4561f2", "prostupovat (v-w4561f2)")</f>
        <v>prostupovat (v-w4561f2)</v>
      </c>
    </row>
    <row r="32939" spans="1:4" x14ac:dyDescent="0.2">
      <c r="B32939" t="s">
        <v>1</v>
      </c>
    </row>
    <row r="32940" spans="1:4" x14ac:dyDescent="0.2">
      <c r="B32940" t="s">
        <v>8</v>
      </c>
    </row>
    <row r="32942" spans="1:4" x14ac:dyDescent="0.2">
      <c r="A32942" t="s">
        <v>10845</v>
      </c>
      <c r="B32942" t="str">
        <f>HYPERLINK("https://lindat.mff.cuni.cz/services/teitok/pdtc10/index.php?action=vallex&amp;frame=v-w4561f1", "prostupovat (v-w4561f1)")</f>
        <v>prostupovat (v-w4561f1)</v>
      </c>
    </row>
    <row r="32943" spans="1:4" x14ac:dyDescent="0.2">
      <c r="B32943" t="s">
        <v>1</v>
      </c>
    </row>
    <row r="32944" spans="1:4" x14ac:dyDescent="0.2">
      <c r="B32944" t="s">
        <v>192</v>
      </c>
    </row>
    <row r="32946" spans="1:2" x14ac:dyDescent="0.2">
      <c r="A32946" t="s">
        <v>10846</v>
      </c>
      <c r="B32946" t="str">
        <f>HYPERLINK("https://lindat.mff.cuni.cz/services/teitok/pdtc10/index.php?action=vallex&amp;frame=v-w4556f1", "prostřelit (v-w4556f1)")</f>
        <v>prostřelit (v-w4556f1)</v>
      </c>
    </row>
    <row r="32947" spans="1:2" x14ac:dyDescent="0.2">
      <c r="B32947" t="s">
        <v>1</v>
      </c>
    </row>
    <row r="32948" spans="1:2" x14ac:dyDescent="0.2">
      <c r="B32948" t="s">
        <v>8</v>
      </c>
    </row>
    <row r="32950" spans="1:2" x14ac:dyDescent="0.2">
      <c r="A32950" t="s">
        <v>10847</v>
      </c>
      <c r="B32950" t="str">
        <f>HYPERLINK("https://lindat.mff.cuni.cz/services/teitok/pdtc10/index.php?action=vallex&amp;frame=v-whsb_529hsa_530", "prostřihnout (v-whsb_529hsa_530)")</f>
        <v>prostřihnout (v-whsb_529hsa_530)</v>
      </c>
    </row>
    <row r="32951" spans="1:2" x14ac:dyDescent="0.2">
      <c r="B32951" t="s">
        <v>1</v>
      </c>
    </row>
    <row r="32952" spans="1:2" x14ac:dyDescent="0.2">
      <c r="B32952" t="s">
        <v>8</v>
      </c>
    </row>
    <row r="32954" spans="1:2" x14ac:dyDescent="0.2">
      <c r="A32954" t="s">
        <v>10848</v>
      </c>
      <c r="B32954" t="str">
        <f>HYPERLINK("https://lindat.mff.cuni.cz/services/teitok/pdtc10/index.php?action=vallex&amp;frame=v-w11378f1", "prostřídat se (v-w11378f1)")</f>
        <v>prostřídat se (v-w11378f1)</v>
      </c>
    </row>
    <row r="32955" spans="1:2" x14ac:dyDescent="0.2">
      <c r="B32955" t="s">
        <v>1</v>
      </c>
    </row>
    <row r="32956" spans="1:2" x14ac:dyDescent="0.2">
      <c r="B32956" t="s">
        <v>411</v>
      </c>
    </row>
    <row r="32958" spans="1:2" x14ac:dyDescent="0.2">
      <c r="A32958" t="s">
        <v>10849</v>
      </c>
      <c r="B32958" t="str">
        <f>HYPERLINK("https://lindat.mff.cuni.cz/services/teitok/pdtc10/index.php?action=vallex&amp;frame=v-w4557f1", "prostříhat (v-w4557f1)")</f>
        <v>prostříhat (v-w4557f1)</v>
      </c>
    </row>
    <row r="32959" spans="1:2" x14ac:dyDescent="0.2">
      <c r="B32959" t="s">
        <v>1</v>
      </c>
    </row>
    <row r="32960" spans="1:2" x14ac:dyDescent="0.2">
      <c r="B32960" t="s">
        <v>8</v>
      </c>
    </row>
    <row r="32962" spans="1:3" x14ac:dyDescent="0.2">
      <c r="A32962" t="s">
        <v>10850</v>
      </c>
      <c r="B32962" t="str">
        <f>HYPERLINK("https://lindat.mff.cuni.cz/services/teitok/pdtc10/index.php?action=vallex&amp;frame=v-w4557hsa_535", "prostříhat (v-w4557hsa_535)")</f>
        <v>prostříhat (v-w4557hsa_535)</v>
      </c>
    </row>
    <row r="32963" spans="1:3" x14ac:dyDescent="0.2">
      <c r="B32963" t="s">
        <v>1</v>
      </c>
      <c r="C32963" t="s">
        <v>140</v>
      </c>
    </row>
    <row r="32964" spans="1:3" x14ac:dyDescent="0.2">
      <c r="B32964" t="s">
        <v>8</v>
      </c>
      <c r="C32964" t="s">
        <v>113</v>
      </c>
    </row>
    <row r="32966" spans="1:3" x14ac:dyDescent="0.2">
      <c r="A32966" t="s">
        <v>10851</v>
      </c>
      <c r="B32966" t="str">
        <f>HYPERLINK("https://lindat.mff.cuni.cz/services/teitok/pdtc10/index.php?action=vallex&amp;frame=v-whsa_374hsa_375", "prostřít (v-whsa_374hsa_375)")</f>
        <v>prostřít (v-whsa_374hsa_375)</v>
      </c>
    </row>
    <row r="32967" spans="1:3" x14ac:dyDescent="0.2">
      <c r="B32967" t="s">
        <v>1</v>
      </c>
    </row>
    <row r="32968" spans="1:3" x14ac:dyDescent="0.2">
      <c r="B32968" t="s">
        <v>8</v>
      </c>
    </row>
    <row r="32970" spans="1:3" x14ac:dyDescent="0.2">
      <c r="A32970" t="s">
        <v>10852</v>
      </c>
      <c r="B32970" t="str">
        <f>HYPERLINK("https://lindat.mff.cuni.cz/services/teitok/pdtc10/index.php?action=vallex&amp;frame=v-w10329f2", "prosvištět (v-w10329f2)")</f>
        <v>prosvištět (v-w10329f2)</v>
      </c>
    </row>
    <row r="32971" spans="1:3" x14ac:dyDescent="0.2">
      <c r="B32971" t="s">
        <v>1</v>
      </c>
    </row>
    <row r="32972" spans="1:3" x14ac:dyDescent="0.2">
      <c r="B32972" t="s">
        <v>192</v>
      </c>
    </row>
    <row r="32974" spans="1:3" x14ac:dyDescent="0.2">
      <c r="A32974" t="s">
        <v>10853</v>
      </c>
      <c r="B32974" t="str">
        <f>HYPERLINK("https://lindat.mff.cuni.cz/services/teitok/pdtc10/index.php?action=vallex&amp;frame=v-w4563f1", "prosvítat (v-w4563f1)")</f>
        <v>prosvítat (v-w4563f1)</v>
      </c>
    </row>
    <row r="32975" spans="1:3" x14ac:dyDescent="0.2">
      <c r="B32975" t="s">
        <v>1</v>
      </c>
    </row>
    <row r="32976" spans="1:3" x14ac:dyDescent="0.2">
      <c r="B32976" t="s">
        <v>192</v>
      </c>
    </row>
    <row r="32978" spans="1:2" x14ac:dyDescent="0.2">
      <c r="A32978" t="s">
        <v>10854</v>
      </c>
      <c r="B32978" t="str">
        <f>HYPERLINK("https://lindat.mff.cuni.cz/services/teitok/pdtc10/index.php?action=vallex&amp;frame=v-whsa_934hsa_935", "prosvítit (v-whsa_934hsa_935)")</f>
        <v>prosvítit (v-whsa_934hsa_935)</v>
      </c>
    </row>
    <row r="32979" spans="1:2" x14ac:dyDescent="0.2">
      <c r="B32979" t="s">
        <v>1</v>
      </c>
    </row>
    <row r="32980" spans="1:2" x14ac:dyDescent="0.2">
      <c r="B32980" t="s">
        <v>8</v>
      </c>
    </row>
    <row r="32982" spans="1:2" x14ac:dyDescent="0.2">
      <c r="A32982" t="s">
        <v>10855</v>
      </c>
      <c r="B32982" t="str">
        <f>HYPERLINK("https://lindat.mff.cuni.cz/services/teitok/pdtc10/index.php?action=vallex&amp;frame=v-w10427f2", "prosvětlit (v-w10427f2)")</f>
        <v>prosvětlit (v-w10427f2)</v>
      </c>
    </row>
    <row r="32983" spans="1:2" x14ac:dyDescent="0.2">
      <c r="B32983" t="s">
        <v>1</v>
      </c>
    </row>
    <row r="32984" spans="1:2" x14ac:dyDescent="0.2">
      <c r="B32984" t="s">
        <v>8</v>
      </c>
    </row>
    <row r="32986" spans="1:2" x14ac:dyDescent="0.2">
      <c r="A32986" t="s">
        <v>10856</v>
      </c>
      <c r="B32986" t="str">
        <f>HYPERLINK("https://lindat.mff.cuni.cz/services/teitok/pdtc10/index.php?action=vallex&amp;frame=v-w12358_MMf1_MM", "prosvětlovat (v-w12358_MMf1_MM)")</f>
        <v>prosvětlovat (v-w12358_MMf1_MM)</v>
      </c>
    </row>
    <row r="32987" spans="1:2" x14ac:dyDescent="0.2">
      <c r="B32987" t="s">
        <v>1</v>
      </c>
    </row>
    <row r="32988" spans="1:2" x14ac:dyDescent="0.2">
      <c r="B32988" t="s">
        <v>8</v>
      </c>
    </row>
    <row r="32990" spans="1:2" x14ac:dyDescent="0.2">
      <c r="A32990" t="s">
        <v>10857</v>
      </c>
      <c r="B32990" t="str">
        <f>HYPERLINK("https://lindat.mff.cuni.cz/services/teitok/pdtc10/index.php?action=vallex&amp;frame=v-w11759_ZUf1_ZU", "prosychat (v-w11759_ZUf1_ZU)")</f>
        <v>prosychat (v-w11759_ZUf1_ZU)</v>
      </c>
    </row>
    <row r="32991" spans="1:2" x14ac:dyDescent="0.2">
      <c r="B32991" t="s">
        <v>1</v>
      </c>
    </row>
    <row r="32993" spans="1:4" x14ac:dyDescent="0.2">
      <c r="A32993" t="s">
        <v>10858</v>
      </c>
      <c r="B32993" t="str">
        <f>HYPERLINK("https://lindat.mff.cuni.cz/services/teitok/pdtc10/index.php?action=vallex&amp;frame=v-w4522f3", "prosáknout (v-w4522f3)")</f>
        <v>prosáknout (v-w4522f3)</v>
      </c>
    </row>
    <row r="32994" spans="1:4" x14ac:dyDescent="0.2">
      <c r="B32994" t="s">
        <v>1</v>
      </c>
    </row>
    <row r="32995" spans="1:4" x14ac:dyDescent="0.2">
      <c r="B32995" t="s">
        <v>158</v>
      </c>
    </row>
    <row r="32997" spans="1:4" x14ac:dyDescent="0.2">
      <c r="A32997" t="s">
        <v>10859</v>
      </c>
      <c r="B32997" t="str">
        <f>HYPERLINK("https://lindat.mff.cuni.cz/services/teitok/pdtc10/index.php?action=vallex&amp;frame=v-w4522f2", "prosáknout (v-w4522f2)")</f>
        <v>prosáknout (v-w4522f2)</v>
      </c>
    </row>
    <row r="32998" spans="1:4" x14ac:dyDescent="0.2">
      <c r="B32998" t="s">
        <v>1</v>
      </c>
    </row>
    <row r="32999" spans="1:4" x14ac:dyDescent="0.2">
      <c r="B32999" t="s">
        <v>192</v>
      </c>
    </row>
    <row r="33001" spans="1:4" x14ac:dyDescent="0.2">
      <c r="A33001" t="s">
        <v>10860</v>
      </c>
      <c r="B33001" t="str">
        <f>HYPERLINK("https://lindat.mff.cuni.cz/services/teitok/pdtc10/index.php?action=vallex&amp;frame=v-w4522f1", "prosáknout (v-w4522f1)")</f>
        <v>prosáknout (v-w4522f1)</v>
      </c>
    </row>
    <row r="33002" spans="1:4" x14ac:dyDescent="0.2">
      <c r="B33002" t="s">
        <v>1</v>
      </c>
      <c r="C33002" t="s">
        <v>2172</v>
      </c>
      <c r="D33002" t="s">
        <v>23107</v>
      </c>
    </row>
    <row r="33003" spans="1:4" x14ac:dyDescent="0.2">
      <c r="B33003" t="s">
        <v>90</v>
      </c>
      <c r="D33003" t="s">
        <v>23108</v>
      </c>
    </row>
    <row r="33005" spans="1:4" x14ac:dyDescent="0.2">
      <c r="A33005" t="s">
        <v>10861</v>
      </c>
      <c r="B33005" t="str">
        <f>HYPERLINK("https://lindat.mff.cuni.cz/services/teitok/pdtc10/index.php?action=vallex&amp;frame=v-whsa_1318hsa_1319", "prosít (v-whsa_1318hsa_1319)")</f>
        <v>prosít (v-whsa_1318hsa_1319)</v>
      </c>
    </row>
    <row r="33006" spans="1:4" x14ac:dyDescent="0.2">
      <c r="B33006" t="s">
        <v>1</v>
      </c>
      <c r="C33006" t="s">
        <v>140</v>
      </c>
    </row>
    <row r="33007" spans="1:4" x14ac:dyDescent="0.2">
      <c r="B33007" t="s">
        <v>8</v>
      </c>
      <c r="C33007" t="s">
        <v>991</v>
      </c>
    </row>
    <row r="33009" spans="1:4" x14ac:dyDescent="0.2">
      <c r="A33009" t="s">
        <v>10862</v>
      </c>
      <c r="B33009" t="str">
        <f>HYPERLINK("https://lindat.mff.cuni.cz/services/teitok/pdtc10/index.php?action=vallex&amp;frame=v-w4571f1", "protahovat (v-w4571f1)")</f>
        <v>protahovat (v-w4571f1)</v>
      </c>
    </row>
    <row r="33010" spans="1:4" x14ac:dyDescent="0.2">
      <c r="B33010" t="s">
        <v>1</v>
      </c>
      <c r="D33010" t="s">
        <v>7346</v>
      </c>
    </row>
    <row r="33011" spans="1:4" x14ac:dyDescent="0.2">
      <c r="B33011" t="s">
        <v>8</v>
      </c>
      <c r="D33011" t="s">
        <v>341</v>
      </c>
    </row>
    <row r="33012" spans="1:4" x14ac:dyDescent="0.2">
      <c r="B33012" t="s">
        <v>24</v>
      </c>
      <c r="D33012" t="s">
        <v>1289</v>
      </c>
    </row>
    <row r="33013" spans="1:4" x14ac:dyDescent="0.2">
      <c r="B33013" t="s">
        <v>61</v>
      </c>
      <c r="D33013" t="s">
        <v>10334</v>
      </c>
    </row>
    <row r="33015" spans="1:4" x14ac:dyDescent="0.2">
      <c r="A33015" t="s">
        <v>10863</v>
      </c>
      <c r="B33015" t="str">
        <f>HYPERLINK("https://lindat.mff.cuni.cz/services/teitok/pdtc10/index.php?action=vallex&amp;frame=v-w4571hsa_1292", "protahovat (v-w4571hsa_1292)")</f>
        <v>protahovat (v-w4571hsa_1292)</v>
      </c>
    </row>
    <row r="33016" spans="1:4" x14ac:dyDescent="0.2">
      <c r="B33016" t="s">
        <v>1</v>
      </c>
      <c r="C33016" t="s">
        <v>249</v>
      </c>
    </row>
    <row r="33017" spans="1:4" x14ac:dyDescent="0.2">
      <c r="B33017" t="s">
        <v>8</v>
      </c>
      <c r="C33017" t="s">
        <v>335</v>
      </c>
    </row>
    <row r="33019" spans="1:4" x14ac:dyDescent="0.2">
      <c r="A33019" t="s">
        <v>10864</v>
      </c>
      <c r="B33019" t="str">
        <f>HYPERLINK("https://lindat.mff.cuni.cz/services/teitok/pdtc10/index.php?action=vallex&amp;frame=v-w4571f2_ZU", "protahovat (v-w4571f2_ZU)")</f>
        <v>protahovat (v-w4571f2_ZU)</v>
      </c>
    </row>
    <row r="33020" spans="1:4" x14ac:dyDescent="0.2">
      <c r="B33020" t="s">
        <v>1</v>
      </c>
    </row>
    <row r="33021" spans="1:4" x14ac:dyDescent="0.2">
      <c r="B33021" t="s">
        <v>8</v>
      </c>
    </row>
    <row r="33023" spans="1:4" x14ac:dyDescent="0.2">
      <c r="A33023" t="s">
        <v>10865</v>
      </c>
      <c r="B33023" t="str">
        <f>HYPERLINK("https://lindat.mff.cuni.cz/services/teitok/pdtc10/index.php?action=vallex&amp;frame=v-w12034_ZUf1_ZU", "protancovat (v-w12034_ZUf1_ZU)")</f>
        <v>protancovat (v-w12034_ZUf1_ZU)</v>
      </c>
    </row>
    <row r="33024" spans="1:4" x14ac:dyDescent="0.2">
      <c r="B33024" t="s">
        <v>1</v>
      </c>
    </row>
    <row r="33025" spans="1:4" x14ac:dyDescent="0.2">
      <c r="B33025" t="s">
        <v>8</v>
      </c>
    </row>
    <row r="33027" spans="1:4" x14ac:dyDescent="0.2">
      <c r="A33027" t="s">
        <v>10866</v>
      </c>
      <c r="B33027" t="str">
        <f>HYPERLINK("https://lindat.mff.cuni.cz/services/teitok/pdtc10/index.php?action=vallex&amp;frame=v-whsb_153hsa_154", "protavit se (v-whsb_153hsa_154)")</f>
        <v>protavit se (v-whsb_153hsa_154)</v>
      </c>
    </row>
    <row r="33028" spans="1:4" x14ac:dyDescent="0.2">
      <c r="B33028" t="s">
        <v>1</v>
      </c>
    </row>
    <row r="33030" spans="1:4" x14ac:dyDescent="0.2">
      <c r="A33030" t="s">
        <v>10867</v>
      </c>
      <c r="B33030" t="str">
        <f>HYPERLINK("https://lindat.mff.cuni.cz/services/teitok/pdtc10/index.php?action=vallex&amp;frame=v-w4575f3_ZU", "protestovat (v-w4575f3_ZU)")</f>
        <v>protestovat (v-w4575f3_ZU)</v>
      </c>
    </row>
    <row r="33031" spans="1:4" x14ac:dyDescent="0.2">
      <c r="B33031" t="s">
        <v>1</v>
      </c>
      <c r="D33031" t="s">
        <v>9341</v>
      </c>
    </row>
    <row r="33032" spans="1:4" x14ac:dyDescent="0.2">
      <c r="B33032" t="s">
        <v>10868</v>
      </c>
      <c r="D33032" t="s">
        <v>6702</v>
      </c>
    </row>
    <row r="33034" spans="1:4" x14ac:dyDescent="0.2">
      <c r="A33034" t="s">
        <v>10867</v>
      </c>
      <c r="B33034" t="str">
        <f>HYPERLINK("https://lindat.mff.cuni.cz/services/teitok/pdtc10/index.php?action=vallex&amp;frame=v-w4575f1", "protestovat (v-w4575f1) - substituted with v-w4575f3_ZU")</f>
        <v>protestovat (v-w4575f1) - substituted with v-w4575f3_ZU</v>
      </c>
    </row>
    <row r="33035" spans="1:4" x14ac:dyDescent="0.2">
      <c r="B33035" t="s">
        <v>1</v>
      </c>
      <c r="C33035" t="s">
        <v>10869</v>
      </c>
    </row>
    <row r="33036" spans="1:4" x14ac:dyDescent="0.2">
      <c r="B33036" t="s">
        <v>10868</v>
      </c>
      <c r="C33036" t="s">
        <v>10870</v>
      </c>
    </row>
    <row r="33038" spans="1:4" x14ac:dyDescent="0.2">
      <c r="A33038" t="s">
        <v>10867</v>
      </c>
      <c r="B33038" t="str">
        <f>HYPERLINK("https://lindat.mff.cuni.cz/services/teitok/pdtc10/index.php?action=vallex&amp;frame=v-w4575f2_ZU", "protestovat (v-w4575f2_ZU) - substituted with v-w4575f3_ZU")</f>
        <v>protestovat (v-w4575f2_ZU) - substituted with v-w4575f3_ZU</v>
      </c>
    </row>
    <row r="33039" spans="1:4" x14ac:dyDescent="0.2">
      <c r="B33039" t="s">
        <v>1</v>
      </c>
      <c r="C33039" t="s">
        <v>10871</v>
      </c>
    </row>
    <row r="33040" spans="1:4" x14ac:dyDescent="0.2">
      <c r="B33040" t="s">
        <v>10868</v>
      </c>
      <c r="C33040" t="s">
        <v>6523</v>
      </c>
    </row>
    <row r="33042" spans="1:4" x14ac:dyDescent="0.2">
      <c r="A33042" t="s">
        <v>10872</v>
      </c>
      <c r="B33042" t="str">
        <f>HYPERLINK("https://lindat.mff.cuni.cz/services/teitok/pdtc10/index.php?action=vallex&amp;frame=v-w4577f1", "protežovat (v-w4577f1)")</f>
        <v>protežovat (v-w4577f1)</v>
      </c>
    </row>
    <row r="33043" spans="1:4" x14ac:dyDescent="0.2">
      <c r="B33043" t="s">
        <v>1</v>
      </c>
    </row>
    <row r="33044" spans="1:4" x14ac:dyDescent="0.2">
      <c r="B33044" t="s">
        <v>8</v>
      </c>
    </row>
    <row r="33046" spans="1:4" x14ac:dyDescent="0.2">
      <c r="A33046" t="s">
        <v>10873</v>
      </c>
      <c r="B33046" t="str">
        <f>HYPERLINK("https://lindat.mff.cuni.cz/services/teitok/pdtc10/index.php?action=vallex&amp;frame=v-w11092f2", "protiřečit (v-w11092f2)")</f>
        <v>protiřečit (v-w11092f2)</v>
      </c>
    </row>
    <row r="33047" spans="1:4" x14ac:dyDescent="0.2">
      <c r="B33047" t="s">
        <v>1</v>
      </c>
      <c r="C33047" t="s">
        <v>133</v>
      </c>
      <c r="D33047" t="s">
        <v>133</v>
      </c>
    </row>
    <row r="33048" spans="1:4" x14ac:dyDescent="0.2">
      <c r="B33048" t="s">
        <v>103</v>
      </c>
      <c r="C33048" t="s">
        <v>23</v>
      </c>
      <c r="D33048" t="s">
        <v>23</v>
      </c>
    </row>
    <row r="33050" spans="1:4" x14ac:dyDescent="0.2">
      <c r="A33050" t="s">
        <v>10874</v>
      </c>
      <c r="B33050" t="str">
        <f>HYPERLINK("https://lindat.mff.cuni.cz/services/teitok/pdtc10/index.php?action=vallex&amp;frame=v-w4588f1", "protkat (v-w4588f1)")</f>
        <v>protkat (v-w4588f1)</v>
      </c>
    </row>
    <row r="33051" spans="1:4" x14ac:dyDescent="0.2">
      <c r="B33051" t="s">
        <v>1</v>
      </c>
    </row>
    <row r="33052" spans="1:4" x14ac:dyDescent="0.2">
      <c r="B33052" t="s">
        <v>8</v>
      </c>
    </row>
    <row r="33054" spans="1:4" x14ac:dyDescent="0.2">
      <c r="A33054" t="s">
        <v>10875</v>
      </c>
      <c r="B33054" t="str">
        <f>HYPERLINK("https://lindat.mff.cuni.cz/services/teitok/pdtc10/index.php?action=vallex&amp;frame=v-w10694f2", "protkávat (v-w10694f2)")</f>
        <v>protkávat (v-w10694f2)</v>
      </c>
    </row>
    <row r="33055" spans="1:4" x14ac:dyDescent="0.2">
      <c r="B33055" t="s">
        <v>1</v>
      </c>
      <c r="D33055" t="s">
        <v>3542</v>
      </c>
    </row>
    <row r="33056" spans="1:4" x14ac:dyDescent="0.2">
      <c r="B33056" t="s">
        <v>8</v>
      </c>
      <c r="D33056" t="s">
        <v>23927</v>
      </c>
    </row>
    <row r="33058" spans="1:4" x14ac:dyDescent="0.2">
      <c r="A33058" t="s">
        <v>10876</v>
      </c>
      <c r="B33058" t="str">
        <f>HYPERLINK("https://lindat.mff.cuni.cz/services/teitok/pdtc10/index.php?action=vallex&amp;frame=v-w11070f3", "protlačit (v-w11070f3)")</f>
        <v>protlačit (v-w11070f3)</v>
      </c>
    </row>
    <row r="33059" spans="1:4" x14ac:dyDescent="0.2">
      <c r="B33059" t="s">
        <v>1</v>
      </c>
      <c r="C33059" t="s">
        <v>1504</v>
      </c>
      <c r="D33059" t="s">
        <v>430</v>
      </c>
    </row>
    <row r="33060" spans="1:4" x14ac:dyDescent="0.2">
      <c r="B33060" t="s">
        <v>8</v>
      </c>
      <c r="C33060" t="s">
        <v>10877</v>
      </c>
      <c r="D33060" t="s">
        <v>969</v>
      </c>
    </row>
    <row r="33062" spans="1:4" x14ac:dyDescent="0.2">
      <c r="A33062" t="s">
        <v>10878</v>
      </c>
      <c r="B33062" t="str">
        <f>HYPERLINK("https://lindat.mff.cuni.cz/services/teitok/pdtc10/index.php?action=vallex&amp;frame=v-w11099f2", "protlačovat (v-w11099f2)")</f>
        <v>protlačovat (v-w11099f2)</v>
      </c>
    </row>
    <row r="33063" spans="1:4" x14ac:dyDescent="0.2">
      <c r="B33063" t="s">
        <v>1</v>
      </c>
      <c r="D33063" t="s">
        <v>430</v>
      </c>
    </row>
    <row r="33064" spans="1:4" x14ac:dyDescent="0.2">
      <c r="B33064" t="s">
        <v>8</v>
      </c>
      <c r="D33064" t="s">
        <v>969</v>
      </c>
    </row>
    <row r="33066" spans="1:4" x14ac:dyDescent="0.2">
      <c r="A33066" t="s">
        <v>10879</v>
      </c>
      <c r="B33066" t="str">
        <f>HYPERLINK("https://lindat.mff.cuni.cz/services/teitok/pdtc10/index.php?action=vallex&amp;frame=v-w12266_ZUf1_ZU", "protloukat (v-w12266_ZUf1_ZU)")</f>
        <v>protloukat (v-w12266_ZUf1_ZU)</v>
      </c>
    </row>
    <row r="33067" spans="1:4" x14ac:dyDescent="0.2">
      <c r="B33067" t="s">
        <v>1</v>
      </c>
    </row>
    <row r="33068" spans="1:4" x14ac:dyDescent="0.2">
      <c r="B33068" t="s">
        <v>8</v>
      </c>
    </row>
    <row r="33070" spans="1:4" x14ac:dyDescent="0.2">
      <c r="A33070" t="s">
        <v>10880</v>
      </c>
      <c r="B33070" t="str">
        <f>HYPERLINK("https://lindat.mff.cuni.cz/services/teitok/pdtc10/index.php?action=vallex&amp;frame=v-w11704_ZUf3_MM", "protloukat se (v-w11704_ZUf3_MM)")</f>
        <v>protloukat se (v-w11704_ZUf3_MM)</v>
      </c>
    </row>
    <row r="33071" spans="1:4" x14ac:dyDescent="0.2">
      <c r="B33071" t="s">
        <v>1</v>
      </c>
    </row>
    <row r="33072" spans="1:4" x14ac:dyDescent="0.2">
      <c r="B33072" t="s">
        <v>3716</v>
      </c>
    </row>
    <row r="33074" spans="1:4" x14ac:dyDescent="0.2">
      <c r="A33074" t="s">
        <v>10880</v>
      </c>
      <c r="B33074" t="str">
        <f>HYPERLINK("https://lindat.mff.cuni.cz/services/teitok/pdtc10/index.php?action=vallex&amp;frame=v-w11704_ZUf1_ZU", "protloukat se (v-w11704_ZUf1_ZU) - substituted with v-w11704_ZUf3_MM")</f>
        <v>protloukat se (v-w11704_ZUf1_ZU) - substituted with v-w11704_ZUf3_MM</v>
      </c>
    </row>
    <row r="33075" spans="1:4" x14ac:dyDescent="0.2">
      <c r="B33075" t="s">
        <v>1</v>
      </c>
    </row>
    <row r="33076" spans="1:4" x14ac:dyDescent="0.2">
      <c r="B33076" t="s">
        <v>3716</v>
      </c>
    </row>
    <row r="33078" spans="1:4" x14ac:dyDescent="0.2">
      <c r="A33078" t="s">
        <v>10880</v>
      </c>
      <c r="B33078" t="str">
        <f>HYPERLINK("https://lindat.mff.cuni.cz/services/teitok/pdtc10/index.php?action=vallex&amp;frame=v-w11704_ZUf2_ZU", "protloukat se (v-w11704_ZUf2_ZU) - substituted with v-w11704_ZUf3_MM")</f>
        <v>protloukat se (v-w11704_ZUf2_ZU) - substituted with v-w11704_ZUf3_MM</v>
      </c>
    </row>
    <row r="33079" spans="1:4" x14ac:dyDescent="0.2">
      <c r="B33079" t="s">
        <v>1</v>
      </c>
    </row>
    <row r="33080" spans="1:4" x14ac:dyDescent="0.2">
      <c r="B33080" t="s">
        <v>3716</v>
      </c>
    </row>
    <row r="33082" spans="1:4" x14ac:dyDescent="0.2">
      <c r="A33082" t="s">
        <v>10881</v>
      </c>
      <c r="B33082" t="str">
        <f>HYPERLINK("https://lindat.mff.cuni.cz/services/teitok/pdtc10/index.php?action=vallex&amp;frame=v-w10396f2", "protnout (v-w10396f2)")</f>
        <v>protnout (v-w10396f2)</v>
      </c>
    </row>
    <row r="33083" spans="1:4" x14ac:dyDescent="0.2">
      <c r="B33083" t="s">
        <v>1</v>
      </c>
    </row>
    <row r="33084" spans="1:4" x14ac:dyDescent="0.2">
      <c r="B33084" t="s">
        <v>8</v>
      </c>
    </row>
    <row r="33086" spans="1:4" x14ac:dyDescent="0.2">
      <c r="A33086" t="s">
        <v>10882</v>
      </c>
      <c r="B33086" t="str">
        <f>HYPERLINK("https://lindat.mff.cuni.cz/services/teitok/pdtc10/index.php?action=vallex&amp;frame=v-w10396f3_ZU", "protnout (v-w10396f3_ZU)")</f>
        <v>protnout (v-w10396f3_ZU)</v>
      </c>
    </row>
    <row r="33087" spans="1:4" x14ac:dyDescent="0.2">
      <c r="B33087" t="s">
        <v>1</v>
      </c>
      <c r="C33087" t="s">
        <v>147</v>
      </c>
      <c r="D33087" t="s">
        <v>23966</v>
      </c>
    </row>
    <row r="33088" spans="1:4" x14ac:dyDescent="0.2">
      <c r="B33088" t="s">
        <v>8</v>
      </c>
      <c r="D33088" t="s">
        <v>23967</v>
      </c>
    </row>
    <row r="33090" spans="1:2" x14ac:dyDescent="0.2">
      <c r="A33090" t="s">
        <v>10883</v>
      </c>
      <c r="B33090" t="str">
        <f>HYPERLINK("https://lindat.mff.cuni.cz/services/teitok/pdtc10/index.php?action=vallex&amp;frame=v-whsa_754hsa_755", "protnout se (v-whsa_754hsa_755)")</f>
        <v>protnout se (v-whsa_754hsa_755)</v>
      </c>
    </row>
    <row r="33091" spans="1:2" x14ac:dyDescent="0.2">
      <c r="B33091" t="s">
        <v>1</v>
      </c>
    </row>
    <row r="33092" spans="1:2" x14ac:dyDescent="0.2">
      <c r="B33092" t="s">
        <v>411</v>
      </c>
    </row>
    <row r="33094" spans="1:2" x14ac:dyDescent="0.2">
      <c r="A33094" t="s">
        <v>10884</v>
      </c>
      <c r="B33094" t="str">
        <f>HYPERLINK("https://lindat.mff.cuni.cz/services/teitok/pdtc10/index.php?action=vallex&amp;frame=v-whsa_228hsa_229", "protrhat se (v-whsa_228hsa_229)")</f>
        <v>protrhat se (v-whsa_228hsa_229)</v>
      </c>
    </row>
    <row r="33095" spans="1:2" x14ac:dyDescent="0.2">
      <c r="B33095" t="s">
        <v>1</v>
      </c>
    </row>
    <row r="33097" spans="1:2" x14ac:dyDescent="0.2">
      <c r="A33097" t="s">
        <v>10885</v>
      </c>
      <c r="B33097" t="str">
        <f>HYPERLINK("https://lindat.mff.cuni.cz/services/teitok/pdtc10/index.php?action=vallex&amp;frame=v-w4592f1", "protrhnout (v-w4592f1)")</f>
        <v>protrhnout (v-w4592f1)</v>
      </c>
    </row>
    <row r="33098" spans="1:2" x14ac:dyDescent="0.2">
      <c r="B33098" t="s">
        <v>1</v>
      </c>
    </row>
    <row r="33099" spans="1:2" x14ac:dyDescent="0.2">
      <c r="B33099" t="s">
        <v>8</v>
      </c>
    </row>
    <row r="33101" spans="1:2" x14ac:dyDescent="0.2">
      <c r="A33101" t="s">
        <v>10886</v>
      </c>
      <c r="B33101" t="str">
        <f>HYPERLINK("https://lindat.mff.cuni.cz/services/teitok/pdtc10/index.php?action=vallex&amp;frame=v-w4592f3", "protrhnout (v-w4592f3)")</f>
        <v>protrhnout (v-w4592f3)</v>
      </c>
    </row>
    <row r="33102" spans="1:2" x14ac:dyDescent="0.2">
      <c r="B33102" t="s">
        <v>1</v>
      </c>
    </row>
    <row r="33103" spans="1:2" x14ac:dyDescent="0.2">
      <c r="B33103" t="s">
        <v>8</v>
      </c>
    </row>
    <row r="33105" spans="1:4" x14ac:dyDescent="0.2">
      <c r="A33105" t="s">
        <v>10887</v>
      </c>
      <c r="B33105" t="str">
        <f>HYPERLINK("https://lindat.mff.cuni.cz/services/teitok/pdtc10/index.php?action=vallex&amp;frame=v-w4592f2", "protrhnout (v-w4592f2)")</f>
        <v>protrhnout (v-w4592f2)</v>
      </c>
    </row>
    <row r="33106" spans="1:4" x14ac:dyDescent="0.2">
      <c r="B33106" t="s">
        <v>1</v>
      </c>
    </row>
    <row r="33107" spans="1:4" x14ac:dyDescent="0.2">
      <c r="B33107" t="s">
        <v>8</v>
      </c>
    </row>
    <row r="33109" spans="1:4" x14ac:dyDescent="0.2">
      <c r="A33109" t="s">
        <v>10888</v>
      </c>
      <c r="B33109" t="str">
        <f>HYPERLINK("https://lindat.mff.cuni.cz/services/teitok/pdtc10/index.php?action=vallex&amp;frame=v-w4593f1", "protrhnout se (v-w4593f1)")</f>
        <v>protrhnout se (v-w4593f1)</v>
      </c>
    </row>
    <row r="33110" spans="1:4" x14ac:dyDescent="0.2">
      <c r="B33110" t="s">
        <v>1</v>
      </c>
    </row>
    <row r="33112" spans="1:4" x14ac:dyDescent="0.2">
      <c r="A33112" t="s">
        <v>10889</v>
      </c>
      <c r="B33112" t="str">
        <f>HYPERLINK("https://lindat.mff.cuni.cz/services/teitok/pdtc10/index.php?action=vallex&amp;frame=v-w4590f1", "protrhávat (v-w4590f1)")</f>
        <v>protrhávat (v-w4590f1)</v>
      </c>
    </row>
    <row r="33113" spans="1:4" x14ac:dyDescent="0.2">
      <c r="B33113" t="s">
        <v>1</v>
      </c>
      <c r="D33113" t="s">
        <v>249</v>
      </c>
    </row>
    <row r="33114" spans="1:4" x14ac:dyDescent="0.2">
      <c r="B33114" t="s">
        <v>8</v>
      </c>
      <c r="D33114" t="s">
        <v>1044</v>
      </c>
    </row>
    <row r="33116" spans="1:4" x14ac:dyDescent="0.2">
      <c r="A33116" t="s">
        <v>10890</v>
      </c>
      <c r="B33116" t="str">
        <f>HYPERLINK("https://lindat.mff.cuni.cz/services/teitok/pdtc10/index.php?action=vallex&amp;frame=v-w4591f1", "protrhávat se (v-w4591f1)")</f>
        <v>protrhávat se (v-w4591f1)</v>
      </c>
    </row>
    <row r="33117" spans="1:4" x14ac:dyDescent="0.2">
      <c r="B33117" t="s">
        <v>1</v>
      </c>
    </row>
    <row r="33119" spans="1:4" x14ac:dyDescent="0.2">
      <c r="A33119" t="s">
        <v>10891</v>
      </c>
      <c r="B33119" t="str">
        <f>HYPERLINK("https://lindat.mff.cuni.cz/services/teitok/pdtc10/index.php?action=vallex&amp;frame=v-w4594f1", "protrpět (v-w4594f1)")</f>
        <v>protrpět (v-w4594f1)</v>
      </c>
    </row>
    <row r="33120" spans="1:4" x14ac:dyDescent="0.2">
      <c r="B33120" t="s">
        <v>1</v>
      </c>
      <c r="C33120" t="s">
        <v>127</v>
      </c>
      <c r="D33120" t="s">
        <v>23968</v>
      </c>
    </row>
    <row r="33121" spans="1:4" x14ac:dyDescent="0.2">
      <c r="B33121" t="s">
        <v>8</v>
      </c>
      <c r="C33121" t="s">
        <v>10500</v>
      </c>
      <c r="D33121" t="s">
        <v>23969</v>
      </c>
    </row>
    <row r="33123" spans="1:4" x14ac:dyDescent="0.2">
      <c r="A33123" t="s">
        <v>10892</v>
      </c>
      <c r="B33123" t="str">
        <f>HYPERLINK("https://lindat.mff.cuni.cz/services/teitok/pdtc10/index.php?action=vallex&amp;frame=v-w4568f1", "protáhnout (v-w4568f1)")</f>
        <v>protáhnout (v-w4568f1)</v>
      </c>
    </row>
    <row r="33124" spans="1:4" x14ac:dyDescent="0.2">
      <c r="B33124" t="s">
        <v>1</v>
      </c>
      <c r="C33124" t="s">
        <v>7313</v>
      </c>
      <c r="D33124" t="s">
        <v>7346</v>
      </c>
    </row>
    <row r="33125" spans="1:4" x14ac:dyDescent="0.2">
      <c r="B33125" t="s">
        <v>8</v>
      </c>
      <c r="C33125" t="s">
        <v>10893</v>
      </c>
      <c r="D33125" t="s">
        <v>341</v>
      </c>
    </row>
    <row r="33126" spans="1:4" x14ac:dyDescent="0.2">
      <c r="B33126" t="s">
        <v>24</v>
      </c>
      <c r="C33126" t="s">
        <v>1289</v>
      </c>
      <c r="D33126" t="s">
        <v>1289</v>
      </c>
    </row>
    <row r="33127" spans="1:4" x14ac:dyDescent="0.2">
      <c r="B33127" t="s">
        <v>61</v>
      </c>
      <c r="D33127" t="s">
        <v>10334</v>
      </c>
    </row>
    <row r="33129" spans="1:4" x14ac:dyDescent="0.2">
      <c r="A33129" t="s">
        <v>10894</v>
      </c>
      <c r="B33129" t="str">
        <f>HYPERLINK("https://lindat.mff.cuni.cz/services/teitok/pdtc10/index.php?action=vallex&amp;frame=v-w4568f2", "protáhnout (v-w4568f2)")</f>
        <v>protáhnout (v-w4568f2)</v>
      </c>
    </row>
    <row r="33130" spans="1:4" x14ac:dyDescent="0.2">
      <c r="B33130" t="s">
        <v>1</v>
      </c>
    </row>
    <row r="33131" spans="1:4" x14ac:dyDescent="0.2">
      <c r="B33131" t="s">
        <v>8</v>
      </c>
    </row>
    <row r="33132" spans="1:4" x14ac:dyDescent="0.2">
      <c r="B33132" t="s">
        <v>192</v>
      </c>
    </row>
    <row r="33134" spans="1:4" x14ac:dyDescent="0.2">
      <c r="A33134" t="s">
        <v>10895</v>
      </c>
      <c r="B33134" t="str">
        <f>HYPERLINK("https://lindat.mff.cuni.cz/services/teitok/pdtc10/index.php?action=vallex&amp;frame=v-w4568f3_ZU", "protáhnout (v-w4568f3_ZU)")</f>
        <v>protáhnout (v-w4568f3_ZU)</v>
      </c>
    </row>
    <row r="33135" spans="1:4" x14ac:dyDescent="0.2">
      <c r="B33135" t="s">
        <v>1</v>
      </c>
    </row>
    <row r="33136" spans="1:4" x14ac:dyDescent="0.2">
      <c r="B33136" t="s">
        <v>8</v>
      </c>
    </row>
    <row r="33138" spans="1:4" x14ac:dyDescent="0.2">
      <c r="A33138" t="s">
        <v>10896</v>
      </c>
      <c r="B33138" t="str">
        <f>HYPERLINK("https://lindat.mff.cuni.cz/services/teitok/pdtc10/index.php?action=vallex&amp;frame=v-w4569f5_ZU", "protáhnout se (v-w4569f5_ZU)")</f>
        <v>protáhnout se (v-w4569f5_ZU)</v>
      </c>
    </row>
    <row r="33139" spans="1:4" x14ac:dyDescent="0.2">
      <c r="B33139" t="s">
        <v>1</v>
      </c>
      <c r="D33139" t="s">
        <v>23970</v>
      </c>
    </row>
    <row r="33140" spans="1:4" x14ac:dyDescent="0.2">
      <c r="B33140" t="s">
        <v>438</v>
      </c>
    </row>
    <row r="33141" spans="1:4" x14ac:dyDescent="0.2">
      <c r="B33141" t="s">
        <v>61</v>
      </c>
    </row>
    <row r="33143" spans="1:4" x14ac:dyDescent="0.2">
      <c r="A33143" t="s">
        <v>10896</v>
      </c>
      <c r="B33143" t="str">
        <f>HYPERLINK("https://lindat.mff.cuni.cz/services/teitok/pdtc10/index.php?action=vallex&amp;frame=v-w4569f1", "protáhnout se (v-w4569f1) - substituted with v-w4569f5_ZU")</f>
        <v>protáhnout se (v-w4569f1) - substituted with v-w4569f5_ZU</v>
      </c>
    </row>
    <row r="33144" spans="1:4" x14ac:dyDescent="0.2">
      <c r="B33144" t="s">
        <v>1</v>
      </c>
      <c r="C33144" t="s">
        <v>10897</v>
      </c>
    </row>
    <row r="33145" spans="1:4" x14ac:dyDescent="0.2">
      <c r="B33145" t="s">
        <v>438</v>
      </c>
    </row>
    <row r="33146" spans="1:4" x14ac:dyDescent="0.2">
      <c r="B33146" t="s">
        <v>61</v>
      </c>
    </row>
    <row r="33148" spans="1:4" x14ac:dyDescent="0.2">
      <c r="A33148" t="s">
        <v>10896</v>
      </c>
      <c r="B33148" t="str">
        <f>HYPERLINK("https://lindat.mff.cuni.cz/services/teitok/pdtc10/index.php?action=vallex&amp;frame=v-w4569f3_ZU", "protáhnout se (v-w4569f3_ZU) - substituted with v-w4569f5_ZU")</f>
        <v>protáhnout se (v-w4569f3_ZU) - substituted with v-w4569f5_ZU</v>
      </c>
    </row>
    <row r="33149" spans="1:4" x14ac:dyDescent="0.2">
      <c r="B33149" t="s">
        <v>1</v>
      </c>
    </row>
    <row r="33150" spans="1:4" x14ac:dyDescent="0.2">
      <c r="B33150" t="s">
        <v>438</v>
      </c>
    </row>
    <row r="33151" spans="1:4" x14ac:dyDescent="0.2">
      <c r="B33151" t="s">
        <v>61</v>
      </c>
    </row>
    <row r="33153" spans="1:2" x14ac:dyDescent="0.2">
      <c r="A33153" t="s">
        <v>10896</v>
      </c>
      <c r="B33153" t="str">
        <f>HYPERLINK("https://lindat.mff.cuni.cz/services/teitok/pdtc10/index.php?action=vallex&amp;frame=v-w4569f4_ZU", "protáhnout se (v-w4569f4_ZU) - substituted with v-w4569f5_ZU")</f>
        <v>protáhnout se (v-w4569f4_ZU) - substituted with v-w4569f5_ZU</v>
      </c>
    </row>
    <row r="33154" spans="1:2" x14ac:dyDescent="0.2">
      <c r="B33154" t="s">
        <v>1</v>
      </c>
    </row>
    <row r="33155" spans="1:2" x14ac:dyDescent="0.2">
      <c r="B33155" t="s">
        <v>438</v>
      </c>
    </row>
    <row r="33156" spans="1:2" x14ac:dyDescent="0.2">
      <c r="B33156" t="s">
        <v>61</v>
      </c>
    </row>
    <row r="33158" spans="1:2" x14ac:dyDescent="0.2">
      <c r="A33158" t="s">
        <v>10898</v>
      </c>
      <c r="B33158" t="str">
        <f>HYPERLINK("https://lindat.mff.cuni.cz/services/teitok/pdtc10/index.php?action=vallex&amp;frame=v-w4569f2", "protáhnout se (v-w4569f2)")</f>
        <v>protáhnout se (v-w4569f2)</v>
      </c>
    </row>
    <row r="33159" spans="1:2" x14ac:dyDescent="0.2">
      <c r="B33159" t="s">
        <v>1</v>
      </c>
    </row>
    <row r="33161" spans="1:2" x14ac:dyDescent="0.2">
      <c r="A33161" t="s">
        <v>10899</v>
      </c>
      <c r="B33161" t="str">
        <f>HYPERLINK("https://lindat.mff.cuni.cz/services/teitok/pdtc10/index.php?action=vallex&amp;frame=v-w4569f6_ZU", "protáhnout se (v-w4569f6_ZU)")</f>
        <v>protáhnout se (v-w4569f6_ZU)</v>
      </c>
    </row>
    <row r="33162" spans="1:2" x14ac:dyDescent="0.2">
      <c r="B33162" t="s">
        <v>1</v>
      </c>
    </row>
    <row r="33163" spans="1:2" x14ac:dyDescent="0.2">
      <c r="B33163" t="s">
        <v>438</v>
      </c>
    </row>
    <row r="33164" spans="1:2" x14ac:dyDescent="0.2">
      <c r="B33164" t="s">
        <v>61</v>
      </c>
    </row>
    <row r="33166" spans="1:2" x14ac:dyDescent="0.2">
      <c r="A33166" t="s">
        <v>10900</v>
      </c>
      <c r="B33166" t="str">
        <f>HYPERLINK("https://lindat.mff.cuni.cz/services/teitok/pdtc10/index.php?action=vallex&amp;frame=v-w4569f7_ZU", "protáhnout se (v-w4569f7_ZU)")</f>
        <v>protáhnout se (v-w4569f7_ZU)</v>
      </c>
    </row>
    <row r="33167" spans="1:2" x14ac:dyDescent="0.2">
      <c r="B33167" t="s">
        <v>1</v>
      </c>
    </row>
    <row r="33169" spans="1:4" x14ac:dyDescent="0.2">
      <c r="A33169" t="s">
        <v>10901</v>
      </c>
      <c r="B33169" t="str">
        <f>HYPERLINK("https://lindat.mff.cuni.cz/services/teitok/pdtc10/index.php?action=vallex&amp;frame=v-w4569hsa_850", "protáhnout se (v-w4569hsa_850)")</f>
        <v>protáhnout se (v-w4569hsa_850)</v>
      </c>
    </row>
    <row r="33170" spans="1:4" x14ac:dyDescent="0.2">
      <c r="B33170" t="s">
        <v>1</v>
      </c>
    </row>
    <row r="33171" spans="1:4" x14ac:dyDescent="0.2">
      <c r="B33171" t="s">
        <v>192</v>
      </c>
    </row>
    <row r="33173" spans="1:4" x14ac:dyDescent="0.2">
      <c r="A33173" t="s">
        <v>10902</v>
      </c>
      <c r="B33173" t="str">
        <f>HYPERLINK("https://lindat.mff.cuni.cz/services/teitok/pdtc10/index.php?action=vallex&amp;frame=v-w4572f1", "protéci (v-w4572f1)")</f>
        <v>protéci (v-w4572f1)</v>
      </c>
    </row>
    <row r="33174" spans="1:4" x14ac:dyDescent="0.2">
      <c r="B33174" t="s">
        <v>1</v>
      </c>
    </row>
    <row r="33175" spans="1:4" x14ac:dyDescent="0.2">
      <c r="B33175" t="s">
        <v>192</v>
      </c>
    </row>
    <row r="33177" spans="1:4" x14ac:dyDescent="0.2">
      <c r="A33177" t="s">
        <v>10903</v>
      </c>
      <c r="B33177" t="str">
        <f>HYPERLINK("https://lindat.mff.cuni.cz/services/teitok/pdtc10/index.php?action=vallex&amp;frame=v-w4573f1", "protékat (v-w4573f1)")</f>
        <v>protékat (v-w4573f1)</v>
      </c>
    </row>
    <row r="33178" spans="1:4" x14ac:dyDescent="0.2">
      <c r="B33178" t="s">
        <v>1</v>
      </c>
      <c r="D33178" t="s">
        <v>1805</v>
      </c>
    </row>
    <row r="33179" spans="1:4" x14ac:dyDescent="0.2">
      <c r="B33179" t="s">
        <v>192</v>
      </c>
      <c r="D33179" t="s">
        <v>23940</v>
      </c>
    </row>
    <row r="33181" spans="1:4" x14ac:dyDescent="0.2">
      <c r="A33181" t="s">
        <v>10904</v>
      </c>
      <c r="B33181" t="str">
        <f>HYPERLINK("https://lindat.mff.cuni.cz/services/teitok/pdtc10/index.php?action=vallex&amp;frame=v-w4573hsa_1262", "protékat (v-w4573hsa_1262)")</f>
        <v>protékat (v-w4573hsa_1262)</v>
      </c>
    </row>
    <row r="33182" spans="1:4" x14ac:dyDescent="0.2">
      <c r="B33182" t="s">
        <v>1</v>
      </c>
    </row>
    <row r="33183" spans="1:4" x14ac:dyDescent="0.2">
      <c r="B33183" t="s">
        <v>8</v>
      </c>
    </row>
    <row r="33185" spans="1:4" x14ac:dyDescent="0.2">
      <c r="A33185" t="s">
        <v>10905</v>
      </c>
      <c r="B33185" t="str">
        <f>HYPERLINK("https://lindat.mff.cuni.cz/services/teitok/pdtc10/index.php?action=vallex&amp;frame=v-w4581f1", "protínat (v-w4581f1)")</f>
        <v>protínat (v-w4581f1)</v>
      </c>
    </row>
    <row r="33186" spans="1:4" x14ac:dyDescent="0.2">
      <c r="B33186" t="s">
        <v>1</v>
      </c>
    </row>
    <row r="33187" spans="1:4" x14ac:dyDescent="0.2">
      <c r="B33187" t="s">
        <v>8</v>
      </c>
    </row>
    <row r="33189" spans="1:4" x14ac:dyDescent="0.2">
      <c r="A33189" t="s">
        <v>10906</v>
      </c>
      <c r="B33189" t="str">
        <f>HYPERLINK("https://lindat.mff.cuni.cz/services/teitok/pdtc10/index.php?action=vallex&amp;frame=v-whsb_499hsa_500", "protínat se (v-whsb_499hsa_500)")</f>
        <v>protínat se (v-whsb_499hsa_500)</v>
      </c>
    </row>
    <row r="33190" spans="1:4" x14ac:dyDescent="0.2">
      <c r="B33190" t="s">
        <v>1</v>
      </c>
    </row>
    <row r="33191" spans="1:4" x14ac:dyDescent="0.2">
      <c r="B33191" t="s">
        <v>411</v>
      </c>
    </row>
    <row r="33193" spans="1:4" x14ac:dyDescent="0.2">
      <c r="A33193" t="s">
        <v>10907</v>
      </c>
      <c r="B33193" t="str">
        <f>HYPERLINK("https://lindat.mff.cuni.cz/services/teitok/pdtc10/index.php?action=vallex&amp;frame=v-whsa_1738hsa_1739", "protřást (v-whsa_1738hsa_1739)")</f>
        <v>protřást (v-whsa_1738hsa_1739)</v>
      </c>
    </row>
    <row r="33194" spans="1:4" x14ac:dyDescent="0.2">
      <c r="B33194" t="s">
        <v>1</v>
      </c>
    </row>
    <row r="33195" spans="1:4" x14ac:dyDescent="0.2">
      <c r="B33195" t="s">
        <v>8</v>
      </c>
    </row>
    <row r="33197" spans="1:4" x14ac:dyDescent="0.2">
      <c r="A33197" t="s">
        <v>10908</v>
      </c>
      <c r="B33197" t="str">
        <f>HYPERLINK("https://lindat.mff.cuni.cz/services/teitok/pdtc10/index.php?action=vallex&amp;frame=v-whsa_1223hsa_1224", "protřídit (v-whsa_1223hsa_1224)")</f>
        <v>protřídit (v-whsa_1223hsa_1224)</v>
      </c>
    </row>
    <row r="33198" spans="1:4" x14ac:dyDescent="0.2">
      <c r="B33198" t="s">
        <v>1</v>
      </c>
      <c r="C33198" t="s">
        <v>140</v>
      </c>
      <c r="D33198" t="s">
        <v>140</v>
      </c>
    </row>
    <row r="33199" spans="1:4" x14ac:dyDescent="0.2">
      <c r="B33199" t="s">
        <v>8</v>
      </c>
      <c r="C33199" t="s">
        <v>991</v>
      </c>
      <c r="D33199" t="s">
        <v>23</v>
      </c>
    </row>
    <row r="33201" spans="1:4" x14ac:dyDescent="0.2">
      <c r="A33201" t="s">
        <v>10909</v>
      </c>
      <c r="B33201" t="str">
        <f>HYPERLINK("https://lindat.mff.cuni.cz/services/teitok/pdtc10/index.php?action=vallex&amp;frame=v-w4597f1", "proudit (v-w4597f1)")</f>
        <v>proudit (v-w4597f1)</v>
      </c>
    </row>
    <row r="33202" spans="1:4" x14ac:dyDescent="0.2">
      <c r="B33202" t="s">
        <v>1</v>
      </c>
      <c r="C33202" t="s">
        <v>10910</v>
      </c>
      <c r="D33202" t="s">
        <v>14625</v>
      </c>
    </row>
    <row r="33204" spans="1:4" x14ac:dyDescent="0.2">
      <c r="A33204" t="s">
        <v>10911</v>
      </c>
      <c r="B33204" t="str">
        <f>HYPERLINK("https://lindat.mff.cuni.cz/services/teitok/pdtc10/index.php?action=vallex&amp;frame=v-w4598f1", "proukázat (v-w4598f1)")</f>
        <v>proukázat (v-w4598f1)</v>
      </c>
    </row>
    <row r="33205" spans="1:4" x14ac:dyDescent="0.2">
      <c r="B33205" t="s">
        <v>1</v>
      </c>
    </row>
    <row r="33206" spans="1:4" x14ac:dyDescent="0.2">
      <c r="B33206" t="s">
        <v>1307</v>
      </c>
    </row>
    <row r="33207" spans="1:4" x14ac:dyDescent="0.2">
      <c r="B33207" t="s">
        <v>35</v>
      </c>
    </row>
    <row r="33209" spans="1:4" x14ac:dyDescent="0.2">
      <c r="A33209" t="s">
        <v>10912</v>
      </c>
      <c r="B33209" t="str">
        <f>HYPERLINK("https://lindat.mff.cuni.cz/services/teitok/pdtc10/index.php?action=vallex&amp;frame=v-w4602f1", "provalit (v-w4602f1)")</f>
        <v>provalit (v-w4602f1)</v>
      </c>
    </row>
    <row r="33210" spans="1:4" x14ac:dyDescent="0.2">
      <c r="B33210" t="s">
        <v>1</v>
      </c>
    </row>
    <row r="33211" spans="1:4" x14ac:dyDescent="0.2">
      <c r="B33211" t="s">
        <v>8</v>
      </c>
    </row>
    <row r="33213" spans="1:4" x14ac:dyDescent="0.2">
      <c r="A33213" t="s">
        <v>10913</v>
      </c>
      <c r="B33213" t="str">
        <f>HYPERLINK("https://lindat.mff.cuni.cz/services/teitok/pdtc10/index.php?action=vallex&amp;frame=v-w11392f1", "provalit se (v-w11392f1)")</f>
        <v>provalit se (v-w11392f1)</v>
      </c>
    </row>
    <row r="33214" spans="1:4" x14ac:dyDescent="0.2">
      <c r="B33214" t="s">
        <v>1</v>
      </c>
      <c r="C33214" t="s">
        <v>127</v>
      </c>
    </row>
    <row r="33216" spans="1:4" x14ac:dyDescent="0.2">
      <c r="A33216" t="s">
        <v>10914</v>
      </c>
      <c r="B33216" t="str">
        <f>HYPERLINK("https://lindat.mff.cuni.cz/services/teitok/pdtc10/index.php?action=vallex&amp;frame=v-w11392hsa_1660", "provalit se (v-w11392hsa_1660)")</f>
        <v>provalit se (v-w11392hsa_1660)</v>
      </c>
    </row>
    <row r="33217" spans="1:4" x14ac:dyDescent="0.2">
      <c r="B33217" t="s">
        <v>1</v>
      </c>
    </row>
    <row r="33219" spans="1:4" x14ac:dyDescent="0.2">
      <c r="A33219" t="s">
        <v>10915</v>
      </c>
      <c r="B33219" t="str">
        <f>HYPERLINK("https://lindat.mff.cuni.cz/services/teitok/pdtc10/index.php?action=vallex&amp;frame=v-w4606f1", "provdat (v-w4606f1)")</f>
        <v>provdat (v-w4606f1)</v>
      </c>
    </row>
    <row r="33220" spans="1:4" x14ac:dyDescent="0.2">
      <c r="B33220" t="s">
        <v>1</v>
      </c>
    </row>
    <row r="33221" spans="1:4" x14ac:dyDescent="0.2">
      <c r="B33221" t="s">
        <v>8</v>
      </c>
    </row>
    <row r="33222" spans="1:4" x14ac:dyDescent="0.2">
      <c r="B33222" t="s">
        <v>10916</v>
      </c>
    </row>
    <row r="33224" spans="1:4" x14ac:dyDescent="0.2">
      <c r="A33224" t="s">
        <v>10917</v>
      </c>
      <c r="B33224" t="str">
        <f>HYPERLINK("https://lindat.mff.cuni.cz/services/teitok/pdtc10/index.php?action=vallex&amp;frame=v-w4607f1", "provdat se (v-w4607f1)")</f>
        <v>provdat se (v-w4607f1)</v>
      </c>
    </row>
    <row r="33225" spans="1:4" x14ac:dyDescent="0.2">
      <c r="B33225" t="s">
        <v>1</v>
      </c>
    </row>
    <row r="33226" spans="1:4" x14ac:dyDescent="0.2">
      <c r="B33226" t="s">
        <v>1382</v>
      </c>
    </row>
    <row r="33228" spans="1:4" x14ac:dyDescent="0.2">
      <c r="A33228" t="s">
        <v>10918</v>
      </c>
      <c r="B33228" t="str">
        <f>HYPERLINK("https://lindat.mff.cuni.cz/services/teitok/pdtc10/index.php?action=vallex&amp;frame=v-w4621f1", "provinit se (v-w4621f1)")</f>
        <v>provinit se (v-w4621f1)</v>
      </c>
    </row>
    <row r="33229" spans="1:4" x14ac:dyDescent="0.2">
      <c r="B33229" t="s">
        <v>1</v>
      </c>
      <c r="D33229" t="s">
        <v>23478</v>
      </c>
    </row>
    <row r="33231" spans="1:4" x14ac:dyDescent="0.2">
      <c r="A33231" t="s">
        <v>10919</v>
      </c>
      <c r="B33231" t="str">
        <f>HYPERLINK("https://lindat.mff.cuni.cz/services/teitok/pdtc10/index.php?action=vallex&amp;frame=v-w4624f2_ZU", "provokovat (v-w4624f2_ZU)")</f>
        <v>provokovat (v-w4624f2_ZU)</v>
      </c>
    </row>
    <row r="33232" spans="1:4" x14ac:dyDescent="0.2">
      <c r="B33232" t="s">
        <v>1</v>
      </c>
    </row>
    <row r="33233" spans="1:3" x14ac:dyDescent="0.2">
      <c r="B33233" t="s">
        <v>8</v>
      </c>
    </row>
    <row r="33234" spans="1:3" x14ac:dyDescent="0.2">
      <c r="B33234" t="s">
        <v>1753</v>
      </c>
    </row>
    <row r="33236" spans="1:3" x14ac:dyDescent="0.2">
      <c r="A33236" t="s">
        <v>10919</v>
      </c>
      <c r="B33236" t="str">
        <f>HYPERLINK("https://lindat.mff.cuni.cz/services/teitok/pdtc10/index.php?action=vallex&amp;frame=v-w4624f1", "provokovat (v-w4624f1) - substituted with v-w4624f2_ZU")</f>
        <v>provokovat (v-w4624f1) - substituted with v-w4624f2_ZU</v>
      </c>
    </row>
    <row r="33237" spans="1:3" x14ac:dyDescent="0.2">
      <c r="B33237" t="s">
        <v>1</v>
      </c>
      <c r="C33237" t="s">
        <v>10920</v>
      </c>
    </row>
    <row r="33238" spans="1:3" x14ac:dyDescent="0.2">
      <c r="B33238" t="s">
        <v>8</v>
      </c>
      <c r="C33238" t="s">
        <v>1798</v>
      </c>
    </row>
    <row r="33239" spans="1:3" x14ac:dyDescent="0.2">
      <c r="B33239" t="s">
        <v>1753</v>
      </c>
    </row>
    <row r="33241" spans="1:3" x14ac:dyDescent="0.2">
      <c r="A33241" t="s">
        <v>10921</v>
      </c>
      <c r="B33241" t="str">
        <f>HYPERLINK("https://lindat.mff.cuni.cz/services/teitok/pdtc10/index.php?action=vallex&amp;frame=v-w10837f3_ZU", "provolat (v-w10837f3_ZU)")</f>
        <v>provolat (v-w10837f3_ZU)</v>
      </c>
    </row>
    <row r="33242" spans="1:3" x14ac:dyDescent="0.2">
      <c r="B33242" t="s">
        <v>1</v>
      </c>
    </row>
    <row r="33243" spans="1:3" x14ac:dyDescent="0.2">
      <c r="B33243" t="s">
        <v>8</v>
      </c>
    </row>
    <row r="33244" spans="1:3" x14ac:dyDescent="0.2">
      <c r="B33244" t="s">
        <v>35</v>
      </c>
    </row>
    <row r="33246" spans="1:3" x14ac:dyDescent="0.2">
      <c r="A33246" t="s">
        <v>10922</v>
      </c>
      <c r="B33246" t="str">
        <f>HYPERLINK("https://lindat.mff.cuni.cz/services/teitok/pdtc10/index.php?action=vallex&amp;frame=v-w10837f2", "provolat (v-w10837f2)")</f>
        <v>provolat (v-w10837f2)</v>
      </c>
    </row>
    <row r="33247" spans="1:3" x14ac:dyDescent="0.2">
      <c r="B33247" t="s">
        <v>1</v>
      </c>
      <c r="C33247" t="s">
        <v>80</v>
      </c>
    </row>
    <row r="33248" spans="1:3" x14ac:dyDescent="0.2">
      <c r="B33248" t="s">
        <v>4749</v>
      </c>
    </row>
    <row r="33249" spans="1:4" x14ac:dyDescent="0.2">
      <c r="B33249" t="s">
        <v>1471</v>
      </c>
      <c r="C33249" t="s">
        <v>10923</v>
      </c>
    </row>
    <row r="33251" spans="1:4" x14ac:dyDescent="0.2">
      <c r="A33251" t="s">
        <v>10924</v>
      </c>
      <c r="B33251" t="str">
        <f>HYPERLINK("https://lindat.mff.cuni.cz/services/teitok/pdtc10/index.php?action=vallex&amp;frame=v-w4625f2", "provolávat (v-w4625f2)")</f>
        <v>provolávat (v-w4625f2)</v>
      </c>
    </row>
    <row r="33252" spans="1:4" x14ac:dyDescent="0.2">
      <c r="B33252" t="s">
        <v>1</v>
      </c>
      <c r="C33252" t="s">
        <v>22</v>
      </c>
      <c r="D33252" t="s">
        <v>80</v>
      </c>
    </row>
    <row r="33253" spans="1:4" x14ac:dyDescent="0.2">
      <c r="B33253" t="s">
        <v>172</v>
      </c>
      <c r="C33253" t="s">
        <v>56</v>
      </c>
      <c r="D33253" t="s">
        <v>1025</v>
      </c>
    </row>
    <row r="33255" spans="1:4" x14ac:dyDescent="0.2">
      <c r="A33255" t="s">
        <v>10924</v>
      </c>
      <c r="B33255" t="str">
        <f>HYPERLINK("https://lindat.mff.cuni.cz/services/teitok/pdtc10/index.php?action=vallex&amp;frame=v-w4625f1", "provolávat (v-w4625f1) - substituted with v-w4625f2")</f>
        <v>provolávat (v-w4625f1) - substituted with v-w4625f2</v>
      </c>
    </row>
    <row r="33256" spans="1:4" x14ac:dyDescent="0.2">
      <c r="B33256" t="s">
        <v>1</v>
      </c>
    </row>
    <row r="33257" spans="1:4" x14ac:dyDescent="0.2">
      <c r="B33257" t="s">
        <v>172</v>
      </c>
    </row>
    <row r="33259" spans="1:4" x14ac:dyDescent="0.2">
      <c r="A33259" t="s">
        <v>10925</v>
      </c>
      <c r="B33259" t="str">
        <f>HYPERLINK("https://lindat.mff.cuni.cz/services/teitok/pdtc10/index.php?action=vallex&amp;frame=v-w4628f1", "provozovat (v-w4628f1)")</f>
        <v>provozovat (v-w4628f1)</v>
      </c>
    </row>
    <row r="33260" spans="1:4" x14ac:dyDescent="0.2">
      <c r="B33260" t="s">
        <v>1</v>
      </c>
      <c r="C33260" t="s">
        <v>10926</v>
      </c>
      <c r="D33260" t="s">
        <v>23971</v>
      </c>
    </row>
    <row r="33261" spans="1:4" x14ac:dyDescent="0.2">
      <c r="B33261" t="s">
        <v>8</v>
      </c>
      <c r="C33261" t="s">
        <v>10927</v>
      </c>
      <c r="D33261" t="s">
        <v>23972</v>
      </c>
    </row>
    <row r="33263" spans="1:4" x14ac:dyDescent="0.2">
      <c r="A33263" t="s">
        <v>10928</v>
      </c>
      <c r="B33263" t="str">
        <f>HYPERLINK("https://lindat.mff.cuni.cz/services/teitok/pdtc10/index.php?action=vallex&amp;frame=v-w4628f2_ZU", "provozovat (v-w4628f2_ZU)")</f>
        <v>provozovat (v-w4628f2_ZU)</v>
      </c>
    </row>
    <row r="33264" spans="1:4" x14ac:dyDescent="0.2">
      <c r="B33264" t="s">
        <v>1</v>
      </c>
    </row>
    <row r="33265" spans="1:4" x14ac:dyDescent="0.2">
      <c r="B33265" t="s">
        <v>10929</v>
      </c>
    </row>
    <row r="33267" spans="1:4" x14ac:dyDescent="0.2">
      <c r="A33267" t="s">
        <v>10930</v>
      </c>
      <c r="B33267" t="str">
        <f>HYPERLINK("https://lindat.mff.cuni.cz/services/teitok/pdtc10/index.php?action=vallex&amp;frame=v-w4628hsa_1626", "provozovat (v-w4628hsa_1626)")</f>
        <v>provozovat (v-w4628hsa_1626)</v>
      </c>
    </row>
    <row r="33268" spans="1:4" x14ac:dyDescent="0.2">
      <c r="B33268" t="s">
        <v>1</v>
      </c>
    </row>
    <row r="33269" spans="1:4" x14ac:dyDescent="0.2">
      <c r="B33269" t="s">
        <v>8</v>
      </c>
    </row>
    <row r="33271" spans="1:4" x14ac:dyDescent="0.2">
      <c r="A33271" t="s">
        <v>10931</v>
      </c>
      <c r="B33271" t="str">
        <f>HYPERLINK("https://lindat.mff.cuni.cz/services/teitok/pdtc10/index.php?action=vallex&amp;frame=v-w10099f2", "provrtat (v-w10099f2)")</f>
        <v>provrtat (v-w10099f2)</v>
      </c>
    </row>
    <row r="33272" spans="1:4" x14ac:dyDescent="0.2">
      <c r="B33272" t="s">
        <v>1</v>
      </c>
    </row>
    <row r="33273" spans="1:4" x14ac:dyDescent="0.2">
      <c r="B33273" t="s">
        <v>8</v>
      </c>
    </row>
    <row r="33275" spans="1:4" x14ac:dyDescent="0.2">
      <c r="A33275" t="s">
        <v>10932</v>
      </c>
      <c r="B33275" t="str">
        <f>HYPERLINK("https://lindat.mff.cuni.cz/services/teitok/pdtc10/index.php?action=vallex&amp;frame=v-w4601f2", "provádět (v-w4601f2)")</f>
        <v>provádět (v-w4601f2)</v>
      </c>
    </row>
    <row r="33276" spans="1:4" x14ac:dyDescent="0.2">
      <c r="B33276" t="s">
        <v>1</v>
      </c>
      <c r="C33276" t="s">
        <v>2946</v>
      </c>
      <c r="D33276" t="s">
        <v>381</v>
      </c>
    </row>
    <row r="33277" spans="1:4" x14ac:dyDescent="0.2">
      <c r="B33277" t="s">
        <v>8</v>
      </c>
      <c r="C33277" t="s">
        <v>7625</v>
      </c>
      <c r="D33277" t="s">
        <v>1362</v>
      </c>
    </row>
    <row r="33278" spans="1:4" x14ac:dyDescent="0.2">
      <c r="B33278" t="s">
        <v>10933</v>
      </c>
      <c r="D33278" t="s">
        <v>2911</v>
      </c>
    </row>
    <row r="33280" spans="1:4" x14ac:dyDescent="0.2">
      <c r="A33280" t="s">
        <v>10934</v>
      </c>
      <c r="B33280" t="str">
        <f>HYPERLINK("https://lindat.mff.cuni.cz/services/teitok/pdtc10/index.php?action=vallex&amp;frame=v-w4601f4", "provádět (v-w4601f4)")</f>
        <v>provádět (v-w4601f4)</v>
      </c>
    </row>
    <row r="33281" spans="1:4" x14ac:dyDescent="0.2">
      <c r="B33281" t="s">
        <v>1</v>
      </c>
    </row>
    <row r="33282" spans="1:4" x14ac:dyDescent="0.2">
      <c r="B33282" t="s">
        <v>8</v>
      </c>
    </row>
    <row r="33283" spans="1:4" x14ac:dyDescent="0.2">
      <c r="B33283" t="s">
        <v>192</v>
      </c>
    </row>
    <row r="33285" spans="1:4" x14ac:dyDescent="0.2">
      <c r="A33285" t="s">
        <v>10935</v>
      </c>
      <c r="B33285" t="str">
        <f>HYPERLINK("https://lindat.mff.cuni.cz/services/teitok/pdtc10/index.php?action=vallex&amp;frame=v-w4601f1", "provádět (v-w4601f1)")</f>
        <v>provádět (v-w4601f1)</v>
      </c>
    </row>
    <row r="33286" spans="1:4" x14ac:dyDescent="0.2">
      <c r="B33286" t="s">
        <v>1</v>
      </c>
      <c r="C33286" t="s">
        <v>10936</v>
      </c>
      <c r="D33286" t="s">
        <v>23973</v>
      </c>
    </row>
    <row r="33287" spans="1:4" x14ac:dyDescent="0.2">
      <c r="B33287" t="s">
        <v>8</v>
      </c>
      <c r="C33287" t="s">
        <v>10937</v>
      </c>
      <c r="D33287" t="s">
        <v>23974</v>
      </c>
    </row>
    <row r="33289" spans="1:4" x14ac:dyDescent="0.2">
      <c r="A33289" t="s">
        <v>10938</v>
      </c>
      <c r="B33289" t="str">
        <f>HYPERLINK("https://lindat.mff.cuni.cz/services/teitok/pdtc10/index.php?action=vallex&amp;frame=v-w4601f6", "provádět (v-w4601f6)")</f>
        <v>provádět (v-w4601f6)</v>
      </c>
    </row>
    <row r="33290" spans="1:4" x14ac:dyDescent="0.2">
      <c r="B33290" t="s">
        <v>1</v>
      </c>
      <c r="C33290" t="s">
        <v>109</v>
      </c>
    </row>
    <row r="33291" spans="1:4" x14ac:dyDescent="0.2">
      <c r="B33291" t="s">
        <v>10939</v>
      </c>
      <c r="C33291" t="s">
        <v>10940</v>
      </c>
    </row>
    <row r="33292" spans="1:4" x14ac:dyDescent="0.2">
      <c r="B33292" t="s">
        <v>78</v>
      </c>
    </row>
    <row r="33294" spans="1:4" x14ac:dyDescent="0.2">
      <c r="A33294" t="s">
        <v>10941</v>
      </c>
      <c r="B33294" t="str">
        <f>HYPERLINK("https://lindat.mff.cuni.cz/services/teitok/pdtc10/index.php?action=vallex&amp;frame=v-w4601f5", "provádět (v-w4601f5)")</f>
        <v>provádět (v-w4601f5)</v>
      </c>
    </row>
    <row r="33295" spans="1:4" x14ac:dyDescent="0.2">
      <c r="B33295" t="s">
        <v>1</v>
      </c>
      <c r="C33295" t="s">
        <v>133</v>
      </c>
      <c r="D33295" t="s">
        <v>1792</v>
      </c>
    </row>
    <row r="33296" spans="1:4" x14ac:dyDescent="0.2">
      <c r="B33296" t="s">
        <v>10942</v>
      </c>
      <c r="D33296" t="s">
        <v>23804</v>
      </c>
    </row>
    <row r="33298" spans="1:3" x14ac:dyDescent="0.2">
      <c r="A33298" t="s">
        <v>10943</v>
      </c>
      <c r="B33298" t="str">
        <f>HYPERLINK("https://lindat.mff.cuni.cz/services/teitok/pdtc10/index.php?action=vallex&amp;frame=v-w4601f19_MM", "provádět (v-w4601f19_MM)")</f>
        <v>provádět (v-w4601f19_MM)</v>
      </c>
    </row>
    <row r="33299" spans="1:3" x14ac:dyDescent="0.2">
      <c r="B33299" t="s">
        <v>1</v>
      </c>
    </row>
    <row r="33300" spans="1:3" x14ac:dyDescent="0.2">
      <c r="B33300" t="s">
        <v>10944</v>
      </c>
    </row>
    <row r="33302" spans="1:3" x14ac:dyDescent="0.2">
      <c r="A33302" t="s">
        <v>10943</v>
      </c>
      <c r="B33302" t="str">
        <f>HYPERLINK("https://lindat.mff.cuni.cz/services/teitok/pdtc10/index.php?action=vallex&amp;frame=v-w4601f10_ZU", "provádět (v-w4601f10_ZU) - substituted with v-w4601f19_MM")</f>
        <v>provádět (v-w4601f10_ZU) - substituted with v-w4601f19_MM</v>
      </c>
    </row>
    <row r="33303" spans="1:3" x14ac:dyDescent="0.2">
      <c r="B33303" t="s">
        <v>1</v>
      </c>
      <c r="C33303" t="s">
        <v>3307</v>
      </c>
    </row>
    <row r="33304" spans="1:3" x14ac:dyDescent="0.2">
      <c r="B33304" t="s">
        <v>10944</v>
      </c>
      <c r="C33304" t="s">
        <v>10945</v>
      </c>
    </row>
    <row r="33306" spans="1:3" x14ac:dyDescent="0.2">
      <c r="A33306" t="s">
        <v>10943</v>
      </c>
      <c r="B33306" t="str">
        <f>HYPERLINK("https://lindat.mff.cuni.cz/services/teitok/pdtc10/index.php?action=vallex&amp;frame=v-w4601f11_ZU", "provádět (v-w4601f11_ZU) - substituted with v-w4601f19_MM")</f>
        <v>provádět (v-w4601f11_ZU) - substituted with v-w4601f19_MM</v>
      </c>
    </row>
    <row r="33307" spans="1:3" x14ac:dyDescent="0.2">
      <c r="B33307" t="s">
        <v>1</v>
      </c>
      <c r="C33307" t="s">
        <v>10946</v>
      </c>
    </row>
    <row r="33308" spans="1:3" x14ac:dyDescent="0.2">
      <c r="B33308" t="s">
        <v>10944</v>
      </c>
      <c r="C33308" t="s">
        <v>10947</v>
      </c>
    </row>
    <row r="33310" spans="1:3" x14ac:dyDescent="0.2">
      <c r="A33310" t="s">
        <v>10943</v>
      </c>
      <c r="B33310" t="str">
        <f>HYPERLINK("https://lindat.mff.cuni.cz/services/teitok/pdtc10/index.php?action=vallex&amp;frame=v-w4601f12_ZU", "provádět (v-w4601f12_ZU) - substituted with v-w4601f19_MM")</f>
        <v>provádět (v-w4601f12_ZU) - substituted with v-w4601f19_MM</v>
      </c>
    </row>
    <row r="33311" spans="1:3" x14ac:dyDescent="0.2">
      <c r="B33311" t="s">
        <v>1</v>
      </c>
    </row>
    <row r="33312" spans="1:3" x14ac:dyDescent="0.2">
      <c r="B33312" t="s">
        <v>10944</v>
      </c>
    </row>
    <row r="33314" spans="1:2" x14ac:dyDescent="0.2">
      <c r="A33314" t="s">
        <v>10943</v>
      </c>
      <c r="B33314" t="str">
        <f>HYPERLINK("https://lindat.mff.cuni.cz/services/teitok/pdtc10/index.php?action=vallex&amp;frame=v-w4601f14_ZU", "provádět (v-w4601f14_ZU) - substituted with v-w4601f19_MM")</f>
        <v>provádět (v-w4601f14_ZU) - substituted with v-w4601f19_MM</v>
      </c>
    </row>
    <row r="33315" spans="1:2" x14ac:dyDescent="0.2">
      <c r="B33315" t="s">
        <v>1</v>
      </c>
    </row>
    <row r="33316" spans="1:2" x14ac:dyDescent="0.2">
      <c r="B33316" t="s">
        <v>10944</v>
      </c>
    </row>
    <row r="33318" spans="1:2" x14ac:dyDescent="0.2">
      <c r="A33318" t="s">
        <v>10943</v>
      </c>
      <c r="B33318" t="str">
        <f>HYPERLINK("https://lindat.mff.cuni.cz/services/teitok/pdtc10/index.php?action=vallex&amp;frame=v-w4601f15_ZU", "provádět (v-w4601f15_ZU) - substituted with v-w4601f19_MM")</f>
        <v>provádět (v-w4601f15_ZU) - substituted with v-w4601f19_MM</v>
      </c>
    </row>
    <row r="33319" spans="1:2" x14ac:dyDescent="0.2">
      <c r="B33319" t="s">
        <v>1</v>
      </c>
    </row>
    <row r="33320" spans="1:2" x14ac:dyDescent="0.2">
      <c r="B33320" t="s">
        <v>10944</v>
      </c>
    </row>
    <row r="33322" spans="1:2" x14ac:dyDescent="0.2">
      <c r="A33322" t="s">
        <v>10943</v>
      </c>
      <c r="B33322" t="str">
        <f>HYPERLINK("https://lindat.mff.cuni.cz/services/teitok/pdtc10/index.php?action=vallex&amp;frame=v-w4601f16_ZU", "provádět (v-w4601f16_ZU) - substituted with v-w4601f19_MM")</f>
        <v>provádět (v-w4601f16_ZU) - substituted with v-w4601f19_MM</v>
      </c>
    </row>
    <row r="33323" spans="1:2" x14ac:dyDescent="0.2">
      <c r="B33323" t="s">
        <v>1</v>
      </c>
    </row>
    <row r="33324" spans="1:2" x14ac:dyDescent="0.2">
      <c r="B33324" t="s">
        <v>10944</v>
      </c>
    </row>
    <row r="33326" spans="1:2" x14ac:dyDescent="0.2">
      <c r="A33326" t="s">
        <v>10943</v>
      </c>
      <c r="B33326" t="str">
        <f>HYPERLINK("https://lindat.mff.cuni.cz/services/teitok/pdtc10/index.php?action=vallex&amp;frame=v-w4601f17_ZU", "provádět (v-w4601f17_ZU) - substituted with v-w4601f19_MM")</f>
        <v>provádět (v-w4601f17_ZU) - substituted with v-w4601f19_MM</v>
      </c>
    </row>
    <row r="33327" spans="1:2" x14ac:dyDescent="0.2">
      <c r="B33327" t="s">
        <v>1</v>
      </c>
    </row>
    <row r="33328" spans="1:2" x14ac:dyDescent="0.2">
      <c r="B33328" t="s">
        <v>10944</v>
      </c>
    </row>
    <row r="33330" spans="1:3" x14ac:dyDescent="0.2">
      <c r="A33330" t="s">
        <v>10943</v>
      </c>
      <c r="B33330" t="str">
        <f>HYPERLINK("https://lindat.mff.cuni.cz/services/teitok/pdtc10/index.php?action=vallex&amp;frame=v-w4601f18_ZU", "provádět (v-w4601f18_ZU) - substituted with v-w4601f19_MM")</f>
        <v>provádět (v-w4601f18_ZU) - substituted with v-w4601f19_MM</v>
      </c>
    </row>
    <row r="33331" spans="1:3" x14ac:dyDescent="0.2">
      <c r="B33331" t="s">
        <v>1</v>
      </c>
    </row>
    <row r="33332" spans="1:3" x14ac:dyDescent="0.2">
      <c r="B33332" t="s">
        <v>10944</v>
      </c>
    </row>
    <row r="33334" spans="1:3" x14ac:dyDescent="0.2">
      <c r="A33334" t="s">
        <v>10943</v>
      </c>
      <c r="B33334" t="str">
        <f>HYPERLINK("https://lindat.mff.cuni.cz/services/teitok/pdtc10/index.php?action=vallex&amp;frame=v-w4601f3", "provádět (v-w4601f3) - substituted with v-w4601f19_MM")</f>
        <v>provádět (v-w4601f3) - substituted with v-w4601f19_MM</v>
      </c>
    </row>
    <row r="33335" spans="1:3" x14ac:dyDescent="0.2">
      <c r="B33335" t="s">
        <v>1</v>
      </c>
      <c r="C33335" t="s">
        <v>10948</v>
      </c>
    </row>
    <row r="33336" spans="1:3" x14ac:dyDescent="0.2">
      <c r="B33336" t="s">
        <v>10944</v>
      </c>
      <c r="C33336" t="s">
        <v>10949</v>
      </c>
    </row>
    <row r="33338" spans="1:3" x14ac:dyDescent="0.2">
      <c r="A33338" t="s">
        <v>10943</v>
      </c>
      <c r="B33338" t="str">
        <f>HYPERLINK("https://lindat.mff.cuni.cz/services/teitok/pdtc10/index.php?action=vallex&amp;frame=v-w4601f7_ZU", "provádět (v-w4601f7_ZU) - substituted with v-w4601f19_MM")</f>
        <v>provádět (v-w4601f7_ZU) - substituted with v-w4601f19_MM</v>
      </c>
    </row>
    <row r="33339" spans="1:3" x14ac:dyDescent="0.2">
      <c r="B33339" t="s">
        <v>1</v>
      </c>
      <c r="C33339" t="s">
        <v>2946</v>
      </c>
    </row>
    <row r="33340" spans="1:3" x14ac:dyDescent="0.2">
      <c r="B33340" t="s">
        <v>10944</v>
      </c>
      <c r="C33340" t="s">
        <v>10950</v>
      </c>
    </row>
    <row r="33342" spans="1:3" x14ac:dyDescent="0.2">
      <c r="A33342" t="s">
        <v>10943</v>
      </c>
      <c r="B33342" t="str">
        <f>HYPERLINK("https://lindat.mff.cuni.cz/services/teitok/pdtc10/index.php?action=vallex&amp;frame=v-w4601f8_ZU", "provádět (v-w4601f8_ZU) - substituted with v-w4601f19_MM")</f>
        <v>provádět (v-w4601f8_ZU) - substituted with v-w4601f19_MM</v>
      </c>
    </row>
    <row r="33343" spans="1:3" x14ac:dyDescent="0.2">
      <c r="B33343" t="s">
        <v>1</v>
      </c>
      <c r="C33343" t="s">
        <v>2031</v>
      </c>
    </row>
    <row r="33344" spans="1:3" x14ac:dyDescent="0.2">
      <c r="B33344" t="s">
        <v>10944</v>
      </c>
      <c r="C33344" t="s">
        <v>2952</v>
      </c>
    </row>
    <row r="33346" spans="1:4" x14ac:dyDescent="0.2">
      <c r="A33346" t="s">
        <v>10943</v>
      </c>
      <c r="B33346" t="str">
        <f>HYPERLINK("https://lindat.mff.cuni.cz/services/teitok/pdtc10/index.php?action=vallex&amp;frame=v-w4601f9_ZU", "provádět (v-w4601f9_ZU) - substituted with v-w4601f19_MM")</f>
        <v>provádět (v-w4601f9_ZU) - substituted with v-w4601f19_MM</v>
      </c>
    </row>
    <row r="33347" spans="1:4" x14ac:dyDescent="0.2">
      <c r="B33347" t="s">
        <v>1</v>
      </c>
      <c r="C33347" t="s">
        <v>2946</v>
      </c>
    </row>
    <row r="33348" spans="1:4" x14ac:dyDescent="0.2">
      <c r="B33348" t="s">
        <v>10944</v>
      </c>
      <c r="C33348" t="s">
        <v>10950</v>
      </c>
    </row>
    <row r="33350" spans="1:4" x14ac:dyDescent="0.2">
      <c r="A33350" t="s">
        <v>10943</v>
      </c>
      <c r="B33350" t="str">
        <f>HYPERLINK("https://lindat.mff.cuni.cz/services/teitok/pdtc10/index.php?action=vallex&amp;frame=v-w4601hsa_175", "provádět (v-w4601hsa_175) - substituted with v-w4601f19_MM")</f>
        <v>provádět (v-w4601hsa_175) - substituted with v-w4601f19_MM</v>
      </c>
    </row>
    <row r="33351" spans="1:4" x14ac:dyDescent="0.2">
      <c r="B33351" t="s">
        <v>1</v>
      </c>
      <c r="C33351" t="s">
        <v>10951</v>
      </c>
      <c r="D33351" t="s">
        <v>23975</v>
      </c>
    </row>
    <row r="33352" spans="1:4" x14ac:dyDescent="0.2">
      <c r="B33352" t="s">
        <v>10944</v>
      </c>
      <c r="C33352" t="s">
        <v>10952</v>
      </c>
      <c r="D33352" t="s">
        <v>23976</v>
      </c>
    </row>
    <row r="33354" spans="1:4" x14ac:dyDescent="0.2">
      <c r="A33354" t="s">
        <v>10953</v>
      </c>
      <c r="B33354" t="str">
        <f>HYPERLINK("https://lindat.mff.cuni.cz/services/teitok/pdtc10/index.php?action=vallex&amp;frame=v-w4601hsa_176", "provádět (v-w4601hsa_176)")</f>
        <v>provádět (v-w4601hsa_176)</v>
      </c>
    </row>
    <row r="33355" spans="1:4" x14ac:dyDescent="0.2">
      <c r="B33355" t="s">
        <v>1</v>
      </c>
      <c r="C33355" t="s">
        <v>2031</v>
      </c>
      <c r="D33355" t="s">
        <v>6686</v>
      </c>
    </row>
    <row r="33356" spans="1:4" x14ac:dyDescent="0.2">
      <c r="B33356" t="s">
        <v>10954</v>
      </c>
      <c r="C33356" t="s">
        <v>2952</v>
      </c>
      <c r="D33356" t="s">
        <v>23409</v>
      </c>
    </row>
    <row r="33358" spans="1:4" x14ac:dyDescent="0.2">
      <c r="A33358" t="s">
        <v>10955</v>
      </c>
      <c r="B33358" t="str">
        <f>HYPERLINK("https://lindat.mff.cuni.cz/services/teitok/pdtc10/index.php?action=vallex&amp;frame=v-w4601f13_ZU", "provádět (v-w4601f13_ZU)")</f>
        <v>provádět (v-w4601f13_ZU)</v>
      </c>
    </row>
    <row r="33359" spans="1:4" x14ac:dyDescent="0.2">
      <c r="B33359" t="s">
        <v>1</v>
      </c>
    </row>
    <row r="33360" spans="1:4" x14ac:dyDescent="0.2">
      <c r="B33360" t="s">
        <v>10956</v>
      </c>
    </row>
    <row r="33362" spans="1:2" x14ac:dyDescent="0.2">
      <c r="A33362" t="s">
        <v>10957</v>
      </c>
      <c r="B33362" t="str">
        <f>HYPERLINK("https://lindat.mff.cuni.cz/services/teitok/pdtc10/index.php?action=vallex&amp;frame=v-whsa_338f1_ZU", "proválčit (v-whsa_338f1_ZU)")</f>
        <v>proválčit (v-whsa_338f1_ZU)</v>
      </c>
    </row>
    <row r="33363" spans="1:2" x14ac:dyDescent="0.2">
      <c r="B33363" t="s">
        <v>1</v>
      </c>
    </row>
    <row r="33364" spans="1:2" x14ac:dyDescent="0.2">
      <c r="B33364" t="s">
        <v>8</v>
      </c>
    </row>
    <row r="33366" spans="1:2" x14ac:dyDescent="0.2">
      <c r="A33366" t="s">
        <v>10957</v>
      </c>
      <c r="B33366" t="str">
        <f>HYPERLINK("https://lindat.mff.cuni.cz/services/teitok/pdtc10/index.php?action=vallex&amp;frame=v-whsa_338hsa_339", "proválčit (v-whsa_338hsa_339) - substituted with v-whsa_338f1_ZU")</f>
        <v>proválčit (v-whsa_338hsa_339) - substituted with v-whsa_338f1_ZU</v>
      </c>
    </row>
    <row r="33367" spans="1:2" x14ac:dyDescent="0.2">
      <c r="B33367" t="s">
        <v>1</v>
      </c>
    </row>
    <row r="33368" spans="1:2" x14ac:dyDescent="0.2">
      <c r="B33368" t="s">
        <v>8</v>
      </c>
    </row>
    <row r="33370" spans="1:2" x14ac:dyDescent="0.2">
      <c r="A33370" t="s">
        <v>10958</v>
      </c>
      <c r="B33370" t="str">
        <f>HYPERLINK("https://lindat.mff.cuni.cz/services/teitok/pdtc10/index.php?action=vallex&amp;frame=v-whsa_338f2_ZU", "proválčit (v-whsa_338f2_ZU)")</f>
        <v>proválčit (v-whsa_338f2_ZU)</v>
      </c>
    </row>
    <row r="33371" spans="1:2" x14ac:dyDescent="0.2">
      <c r="B33371" t="s">
        <v>1</v>
      </c>
    </row>
    <row r="33372" spans="1:2" x14ac:dyDescent="0.2">
      <c r="B33372" t="s">
        <v>8</v>
      </c>
    </row>
    <row r="33373" spans="1:2" x14ac:dyDescent="0.2">
      <c r="B33373" t="s">
        <v>2288</v>
      </c>
    </row>
    <row r="33375" spans="1:2" x14ac:dyDescent="0.2">
      <c r="A33375" t="s">
        <v>10958</v>
      </c>
      <c r="B33375" t="str">
        <f>HYPERLINK("https://lindat.mff.cuni.cz/services/teitok/pdtc10/index.php?action=vallex&amp;frame=v-whsa_338hsa_340", "proválčit (v-whsa_338hsa_340) - substituted with v-whsa_338f2_ZU")</f>
        <v>proválčit (v-whsa_338hsa_340) - substituted with v-whsa_338f2_ZU</v>
      </c>
    </row>
    <row r="33376" spans="1:2" x14ac:dyDescent="0.2">
      <c r="B33376" t="s">
        <v>1</v>
      </c>
    </row>
    <row r="33377" spans="1:4" x14ac:dyDescent="0.2">
      <c r="B33377" t="s">
        <v>8</v>
      </c>
    </row>
    <row r="33378" spans="1:4" x14ac:dyDescent="0.2">
      <c r="B33378" t="s">
        <v>2288</v>
      </c>
    </row>
    <row r="33380" spans="1:4" x14ac:dyDescent="0.2">
      <c r="A33380" t="s">
        <v>10959</v>
      </c>
      <c r="B33380" t="str">
        <f>HYPERLINK("https://lindat.mff.cuni.cz/services/teitok/pdtc10/index.php?action=vallex&amp;frame=v-w4605f1", "provázet (v-w4605f1)")</f>
        <v>provázet (v-w4605f1)</v>
      </c>
    </row>
    <row r="33381" spans="1:4" x14ac:dyDescent="0.2">
      <c r="B33381" t="s">
        <v>1</v>
      </c>
      <c r="C33381" t="s">
        <v>10960</v>
      </c>
    </row>
    <row r="33382" spans="1:4" x14ac:dyDescent="0.2">
      <c r="B33382" t="s">
        <v>8</v>
      </c>
      <c r="C33382" t="s">
        <v>969</v>
      </c>
    </row>
    <row r="33384" spans="1:4" x14ac:dyDescent="0.2">
      <c r="A33384" t="s">
        <v>10961</v>
      </c>
      <c r="B33384" t="str">
        <f>HYPERLINK("https://lindat.mff.cuni.cz/services/teitok/pdtc10/index.php?action=vallex&amp;frame=v-w4605f2", "provázet (v-w4605f2)")</f>
        <v>provázet (v-w4605f2)</v>
      </c>
    </row>
    <row r="33385" spans="1:4" x14ac:dyDescent="0.2">
      <c r="B33385" t="s">
        <v>1</v>
      </c>
      <c r="C33385" t="s">
        <v>10962</v>
      </c>
      <c r="D33385" t="s">
        <v>1349</v>
      </c>
    </row>
    <row r="33386" spans="1:4" x14ac:dyDescent="0.2">
      <c r="B33386" t="s">
        <v>8</v>
      </c>
      <c r="C33386" t="s">
        <v>116</v>
      </c>
      <c r="D33386" t="s">
        <v>93</v>
      </c>
    </row>
    <row r="33388" spans="1:4" x14ac:dyDescent="0.2">
      <c r="A33388" t="s">
        <v>10963</v>
      </c>
      <c r="B33388" t="str">
        <f>HYPERLINK("https://lindat.mff.cuni.cz/services/teitok/pdtc10/index.php?action=vallex&amp;frame=v-w12097_ZUf1_ZU", "provážet (v-w12097_ZUf1_ZU)")</f>
        <v>provážet (v-w12097_ZUf1_ZU)</v>
      </c>
    </row>
    <row r="33389" spans="1:4" x14ac:dyDescent="0.2">
      <c r="B33389" t="s">
        <v>1</v>
      </c>
    </row>
    <row r="33390" spans="1:4" x14ac:dyDescent="0.2">
      <c r="B33390" t="s">
        <v>8</v>
      </c>
    </row>
    <row r="33392" spans="1:4" x14ac:dyDescent="0.2">
      <c r="A33392" t="s">
        <v>10964</v>
      </c>
      <c r="B33392" t="str">
        <f>HYPERLINK("https://lindat.mff.cuni.cz/services/teitok/pdtc10/index.php?action=vallex&amp;frame=v-w4616f4", "provést (v-w4616f4)")</f>
        <v>provést (v-w4616f4)</v>
      </c>
    </row>
    <row r="33393" spans="1:4" x14ac:dyDescent="0.2">
      <c r="B33393" t="s">
        <v>1</v>
      </c>
      <c r="C33393" t="s">
        <v>1504</v>
      </c>
      <c r="D33393" t="s">
        <v>1805</v>
      </c>
    </row>
    <row r="33394" spans="1:4" x14ac:dyDescent="0.2">
      <c r="B33394" t="s">
        <v>8</v>
      </c>
      <c r="C33394" t="s">
        <v>232</v>
      </c>
      <c r="D33394" t="s">
        <v>116</v>
      </c>
    </row>
    <row r="33395" spans="1:4" x14ac:dyDescent="0.2">
      <c r="B33395" t="s">
        <v>192</v>
      </c>
    </row>
    <row r="33397" spans="1:4" x14ac:dyDescent="0.2">
      <c r="A33397" t="s">
        <v>10965</v>
      </c>
      <c r="B33397" t="str">
        <f>HYPERLINK("https://lindat.mff.cuni.cz/services/teitok/pdtc10/index.php?action=vallex&amp;frame=v-w4616f1", "provést (v-w4616f1)")</f>
        <v>provést (v-w4616f1)</v>
      </c>
    </row>
    <row r="33398" spans="1:4" x14ac:dyDescent="0.2">
      <c r="B33398" t="s">
        <v>1</v>
      </c>
      <c r="C33398" t="s">
        <v>10966</v>
      </c>
      <c r="D33398" t="s">
        <v>23977</v>
      </c>
    </row>
    <row r="33399" spans="1:4" x14ac:dyDescent="0.2">
      <c r="B33399" t="s">
        <v>8</v>
      </c>
      <c r="C33399" t="s">
        <v>10967</v>
      </c>
      <c r="D33399" t="s">
        <v>23978</v>
      </c>
    </row>
    <row r="33401" spans="1:4" x14ac:dyDescent="0.2">
      <c r="A33401" t="s">
        <v>10968</v>
      </c>
      <c r="B33401" t="str">
        <f>HYPERLINK("https://lindat.mff.cuni.cz/services/teitok/pdtc10/index.php?action=vallex&amp;frame=v-w4616f3", "provést (v-w4616f3)")</f>
        <v>provést (v-w4616f3)</v>
      </c>
    </row>
    <row r="33402" spans="1:4" x14ac:dyDescent="0.2">
      <c r="B33402" t="s">
        <v>1</v>
      </c>
    </row>
    <row r="33403" spans="1:4" x14ac:dyDescent="0.2">
      <c r="B33403" t="s">
        <v>10939</v>
      </c>
    </row>
    <row r="33404" spans="1:4" x14ac:dyDescent="0.2">
      <c r="B33404" t="s">
        <v>78</v>
      </c>
    </row>
    <row r="33406" spans="1:4" x14ac:dyDescent="0.2">
      <c r="A33406" t="s">
        <v>10969</v>
      </c>
      <c r="B33406" t="str">
        <f>HYPERLINK("https://lindat.mff.cuni.cz/services/teitok/pdtc10/index.php?action=vallex&amp;frame=v-w4616f25_MM", "provést (v-w4616f25_MM)")</f>
        <v>provést (v-w4616f25_MM)</v>
      </c>
    </row>
    <row r="33407" spans="1:4" x14ac:dyDescent="0.2">
      <c r="B33407" t="s">
        <v>1</v>
      </c>
    </row>
    <row r="33408" spans="1:4" x14ac:dyDescent="0.2">
      <c r="B33408" t="s">
        <v>10970</v>
      </c>
    </row>
    <row r="33410" spans="1:3" x14ac:dyDescent="0.2">
      <c r="A33410" t="s">
        <v>10969</v>
      </c>
      <c r="B33410" t="str">
        <f>HYPERLINK("https://lindat.mff.cuni.cz/services/teitok/pdtc10/index.php?action=vallex&amp;frame=v-w4616f10_ZU", "provést (v-w4616f10_ZU) - substituted with v-w4616f25_MM")</f>
        <v>provést (v-w4616f10_ZU) - substituted with v-w4616f25_MM</v>
      </c>
    </row>
    <row r="33411" spans="1:3" x14ac:dyDescent="0.2">
      <c r="B33411" t="s">
        <v>1</v>
      </c>
      <c r="C33411" t="s">
        <v>2566</v>
      </c>
    </row>
    <row r="33412" spans="1:3" x14ac:dyDescent="0.2">
      <c r="B33412" t="s">
        <v>10970</v>
      </c>
      <c r="C33412" t="s">
        <v>2567</v>
      </c>
    </row>
    <row r="33414" spans="1:3" x14ac:dyDescent="0.2">
      <c r="A33414" t="s">
        <v>10969</v>
      </c>
      <c r="B33414" t="str">
        <f>HYPERLINK("https://lindat.mff.cuni.cz/services/teitok/pdtc10/index.php?action=vallex&amp;frame=v-w4616f11_ZU", "provést (v-w4616f11_ZU) - substituted with v-w4616f25_MM")</f>
        <v>provést (v-w4616f11_ZU) - substituted with v-w4616f25_MM</v>
      </c>
    </row>
    <row r="33415" spans="1:3" x14ac:dyDescent="0.2">
      <c r="B33415" t="s">
        <v>1</v>
      </c>
    </row>
    <row r="33416" spans="1:3" x14ac:dyDescent="0.2">
      <c r="B33416" t="s">
        <v>10970</v>
      </c>
    </row>
    <row r="33418" spans="1:3" x14ac:dyDescent="0.2">
      <c r="A33418" t="s">
        <v>10969</v>
      </c>
      <c r="B33418" t="str">
        <f>HYPERLINK("https://lindat.mff.cuni.cz/services/teitok/pdtc10/index.php?action=vallex&amp;frame=v-w4616f12_ZU", "provést (v-w4616f12_ZU) - substituted with v-w4616f25_MM")</f>
        <v>provést (v-w4616f12_ZU) - substituted with v-w4616f25_MM</v>
      </c>
    </row>
    <row r="33419" spans="1:3" x14ac:dyDescent="0.2">
      <c r="B33419" t="s">
        <v>1</v>
      </c>
      <c r="C33419" t="s">
        <v>1065</v>
      </c>
    </row>
    <row r="33420" spans="1:3" x14ac:dyDescent="0.2">
      <c r="B33420" t="s">
        <v>10970</v>
      </c>
      <c r="C33420" t="s">
        <v>4896</v>
      </c>
    </row>
    <row r="33422" spans="1:3" x14ac:dyDescent="0.2">
      <c r="A33422" t="s">
        <v>10969</v>
      </c>
      <c r="B33422" t="str">
        <f>HYPERLINK("https://lindat.mff.cuni.cz/services/teitok/pdtc10/index.php?action=vallex&amp;frame=v-w4616f13_ZU", "provést (v-w4616f13_ZU) - substituted with v-w4616f25_MM")</f>
        <v>provést (v-w4616f13_ZU) - substituted with v-w4616f25_MM</v>
      </c>
    </row>
    <row r="33423" spans="1:3" x14ac:dyDescent="0.2">
      <c r="B33423" t="s">
        <v>1</v>
      </c>
      <c r="C33423" t="s">
        <v>2125</v>
      </c>
    </row>
    <row r="33424" spans="1:3" x14ac:dyDescent="0.2">
      <c r="B33424" t="s">
        <v>10970</v>
      </c>
      <c r="C33424" t="s">
        <v>10971</v>
      </c>
    </row>
    <row r="33426" spans="1:3" x14ac:dyDescent="0.2">
      <c r="A33426" t="s">
        <v>10969</v>
      </c>
      <c r="B33426" t="str">
        <f>HYPERLINK("https://lindat.mff.cuni.cz/services/teitok/pdtc10/index.php?action=vallex&amp;frame=v-w4616f14_ZU", "provést (v-w4616f14_ZU) - substituted with v-w4616f25_MM")</f>
        <v>provést (v-w4616f14_ZU) - substituted with v-w4616f25_MM</v>
      </c>
    </row>
    <row r="33427" spans="1:3" x14ac:dyDescent="0.2">
      <c r="B33427" t="s">
        <v>1</v>
      </c>
      <c r="C33427" t="s">
        <v>7777</v>
      </c>
    </row>
    <row r="33428" spans="1:3" x14ac:dyDescent="0.2">
      <c r="B33428" t="s">
        <v>10970</v>
      </c>
      <c r="C33428" t="s">
        <v>10972</v>
      </c>
    </row>
    <row r="33430" spans="1:3" x14ac:dyDescent="0.2">
      <c r="A33430" t="s">
        <v>10969</v>
      </c>
      <c r="B33430" t="str">
        <f>HYPERLINK("https://lindat.mff.cuni.cz/services/teitok/pdtc10/index.php?action=vallex&amp;frame=v-w4616f16_ZU", "provést (v-w4616f16_ZU) - substituted with v-w4616f25_MM")</f>
        <v>provést (v-w4616f16_ZU) - substituted with v-w4616f25_MM</v>
      </c>
    </row>
    <row r="33431" spans="1:3" x14ac:dyDescent="0.2">
      <c r="B33431" t="s">
        <v>1</v>
      </c>
    </row>
    <row r="33432" spans="1:3" x14ac:dyDescent="0.2">
      <c r="B33432" t="s">
        <v>10970</v>
      </c>
    </row>
    <row r="33434" spans="1:3" x14ac:dyDescent="0.2">
      <c r="A33434" t="s">
        <v>10969</v>
      </c>
      <c r="B33434" t="str">
        <f>HYPERLINK("https://lindat.mff.cuni.cz/services/teitok/pdtc10/index.php?action=vallex&amp;frame=v-w4616f17_ZU", "provést (v-w4616f17_ZU) - substituted with v-w4616f25_MM")</f>
        <v>provést (v-w4616f17_ZU) - substituted with v-w4616f25_MM</v>
      </c>
    </row>
    <row r="33435" spans="1:3" x14ac:dyDescent="0.2">
      <c r="B33435" t="s">
        <v>1</v>
      </c>
      <c r="C33435" t="s">
        <v>10973</v>
      </c>
    </row>
    <row r="33436" spans="1:3" x14ac:dyDescent="0.2">
      <c r="B33436" t="s">
        <v>10970</v>
      </c>
      <c r="C33436" t="s">
        <v>10974</v>
      </c>
    </row>
    <row r="33438" spans="1:3" x14ac:dyDescent="0.2">
      <c r="A33438" t="s">
        <v>10969</v>
      </c>
      <c r="B33438" t="str">
        <f>HYPERLINK("https://lindat.mff.cuni.cz/services/teitok/pdtc10/index.php?action=vallex&amp;frame=v-w4616f18_ZU", "provést (v-w4616f18_ZU) - substituted with v-w4616f25_MM")</f>
        <v>provést (v-w4616f18_ZU) - substituted with v-w4616f25_MM</v>
      </c>
    </row>
    <row r="33439" spans="1:3" x14ac:dyDescent="0.2">
      <c r="B33439" t="s">
        <v>1</v>
      </c>
      <c r="C33439" t="s">
        <v>10975</v>
      </c>
    </row>
    <row r="33440" spans="1:3" x14ac:dyDescent="0.2">
      <c r="B33440" t="s">
        <v>10970</v>
      </c>
      <c r="C33440" t="s">
        <v>10976</v>
      </c>
    </row>
    <row r="33442" spans="1:4" x14ac:dyDescent="0.2">
      <c r="A33442" t="s">
        <v>10969</v>
      </c>
      <c r="B33442" t="str">
        <f>HYPERLINK("https://lindat.mff.cuni.cz/services/teitok/pdtc10/index.php?action=vallex&amp;frame=v-w4616f19_ZU", "provést (v-w4616f19_ZU) - substituted with v-w4616f25_MM")</f>
        <v>provést (v-w4616f19_ZU) - substituted with v-w4616f25_MM</v>
      </c>
    </row>
    <row r="33443" spans="1:4" x14ac:dyDescent="0.2">
      <c r="B33443" t="s">
        <v>1</v>
      </c>
      <c r="C33443" t="s">
        <v>10977</v>
      </c>
    </row>
    <row r="33444" spans="1:4" x14ac:dyDescent="0.2">
      <c r="B33444" t="s">
        <v>10970</v>
      </c>
      <c r="C33444" t="s">
        <v>10978</v>
      </c>
    </row>
    <row r="33446" spans="1:4" x14ac:dyDescent="0.2">
      <c r="A33446" t="s">
        <v>10969</v>
      </c>
      <c r="B33446" t="str">
        <f>HYPERLINK("https://lindat.mff.cuni.cz/services/teitok/pdtc10/index.php?action=vallex&amp;frame=v-w4616f2", "provést (v-w4616f2) - substituted with v-w4616f25_MM")</f>
        <v>provést (v-w4616f2) - substituted with v-w4616f25_MM</v>
      </c>
    </row>
    <row r="33447" spans="1:4" x14ac:dyDescent="0.2">
      <c r="B33447" t="s">
        <v>1</v>
      </c>
      <c r="C33447" t="s">
        <v>109</v>
      </c>
    </row>
    <row r="33448" spans="1:4" x14ac:dyDescent="0.2">
      <c r="B33448" t="s">
        <v>10970</v>
      </c>
      <c r="C33448" t="s">
        <v>10940</v>
      </c>
    </row>
    <row r="33450" spans="1:4" x14ac:dyDescent="0.2">
      <c r="A33450" t="s">
        <v>10969</v>
      </c>
      <c r="B33450" t="str">
        <f>HYPERLINK("https://lindat.mff.cuni.cz/services/teitok/pdtc10/index.php?action=vallex&amp;frame=v-w4616f20_ZU", "provést (v-w4616f20_ZU) - substituted with v-w4616f25_MM")</f>
        <v>provést (v-w4616f20_ZU) - substituted with v-w4616f25_MM</v>
      </c>
    </row>
    <row r="33451" spans="1:4" x14ac:dyDescent="0.2">
      <c r="B33451" t="s">
        <v>1</v>
      </c>
      <c r="C33451" t="s">
        <v>10633</v>
      </c>
    </row>
    <row r="33452" spans="1:4" x14ac:dyDescent="0.2">
      <c r="B33452" t="s">
        <v>10970</v>
      </c>
      <c r="C33452" t="s">
        <v>10979</v>
      </c>
    </row>
    <row r="33454" spans="1:4" x14ac:dyDescent="0.2">
      <c r="A33454" t="s">
        <v>10969</v>
      </c>
      <c r="B33454" t="str">
        <f>HYPERLINK("https://lindat.mff.cuni.cz/services/teitok/pdtc10/index.php?action=vallex&amp;frame=v-w4616f21_ZU", "provést (v-w4616f21_ZU) - substituted with v-w4616f25_MM")</f>
        <v>provést (v-w4616f21_ZU) - substituted with v-w4616f25_MM</v>
      </c>
    </row>
    <row r="33455" spans="1:4" x14ac:dyDescent="0.2">
      <c r="B33455" t="s">
        <v>1</v>
      </c>
      <c r="C33455" t="s">
        <v>3358</v>
      </c>
      <c r="D33455" t="s">
        <v>23979</v>
      </c>
    </row>
    <row r="33456" spans="1:4" x14ac:dyDescent="0.2">
      <c r="B33456" t="s">
        <v>10970</v>
      </c>
      <c r="C33456" t="s">
        <v>10980</v>
      </c>
      <c r="D33456" t="s">
        <v>23980</v>
      </c>
    </row>
    <row r="33458" spans="1:3" x14ac:dyDescent="0.2">
      <c r="A33458" t="s">
        <v>10969</v>
      </c>
      <c r="B33458" t="str">
        <f>HYPERLINK("https://lindat.mff.cuni.cz/services/teitok/pdtc10/index.php?action=vallex&amp;frame=v-w4616f23_ZU", "provést (v-w4616f23_ZU) - substituted with v-w4616f25_MM")</f>
        <v>provést (v-w4616f23_ZU) - substituted with v-w4616f25_MM</v>
      </c>
    </row>
    <row r="33459" spans="1:3" x14ac:dyDescent="0.2">
      <c r="B33459" t="s">
        <v>1</v>
      </c>
    </row>
    <row r="33460" spans="1:3" x14ac:dyDescent="0.2">
      <c r="B33460" t="s">
        <v>10970</v>
      </c>
    </row>
    <row r="33462" spans="1:3" x14ac:dyDescent="0.2">
      <c r="A33462" t="s">
        <v>10969</v>
      </c>
      <c r="B33462" t="str">
        <f>HYPERLINK("https://lindat.mff.cuni.cz/services/teitok/pdtc10/index.php?action=vallex&amp;frame=v-w4616f24_ZU", "provést (v-w4616f24_ZU) - substituted with v-w4616f25_MM")</f>
        <v>provést (v-w4616f24_ZU) - substituted with v-w4616f25_MM</v>
      </c>
    </row>
    <row r="33463" spans="1:3" x14ac:dyDescent="0.2">
      <c r="B33463" t="s">
        <v>1</v>
      </c>
    </row>
    <row r="33464" spans="1:3" x14ac:dyDescent="0.2">
      <c r="B33464" t="s">
        <v>10970</v>
      </c>
    </row>
    <row r="33466" spans="1:3" x14ac:dyDescent="0.2">
      <c r="A33466" t="s">
        <v>10969</v>
      </c>
      <c r="B33466" t="str">
        <f>HYPERLINK("https://lindat.mff.cuni.cz/services/teitok/pdtc10/index.php?action=vallex&amp;frame=v-w4616f6", "provést (v-w4616f6) - substituted with v-w4616f25_MM")</f>
        <v>provést (v-w4616f6) - substituted with v-w4616f25_MM</v>
      </c>
    </row>
    <row r="33467" spans="1:3" x14ac:dyDescent="0.2">
      <c r="B33467" t="s">
        <v>1</v>
      </c>
      <c r="C33467" t="s">
        <v>10981</v>
      </c>
    </row>
    <row r="33468" spans="1:3" x14ac:dyDescent="0.2">
      <c r="B33468" t="s">
        <v>10970</v>
      </c>
      <c r="C33468" t="s">
        <v>10982</v>
      </c>
    </row>
    <row r="33470" spans="1:3" x14ac:dyDescent="0.2">
      <c r="A33470" t="s">
        <v>10969</v>
      </c>
      <c r="B33470" t="str">
        <f>HYPERLINK("https://lindat.mff.cuni.cz/services/teitok/pdtc10/index.php?action=vallex&amp;frame=v-w4616f7_ZU", "provést (v-w4616f7_ZU) - substituted with v-w4616f25_MM")</f>
        <v>provést (v-w4616f7_ZU) - substituted with v-w4616f25_MM</v>
      </c>
    </row>
    <row r="33471" spans="1:3" x14ac:dyDescent="0.2">
      <c r="B33471" t="s">
        <v>1</v>
      </c>
      <c r="C33471" t="s">
        <v>9234</v>
      </c>
    </row>
    <row r="33472" spans="1:3" x14ac:dyDescent="0.2">
      <c r="B33472" t="s">
        <v>10970</v>
      </c>
      <c r="C33472" t="s">
        <v>10983</v>
      </c>
    </row>
    <row r="33474" spans="1:3" x14ac:dyDescent="0.2">
      <c r="A33474" t="s">
        <v>10969</v>
      </c>
      <c r="B33474" t="str">
        <f>HYPERLINK("https://lindat.mff.cuni.cz/services/teitok/pdtc10/index.php?action=vallex&amp;frame=v-w4616f8_ZU", "provést (v-w4616f8_ZU) - substituted with v-w4616f25_MM")</f>
        <v>provést (v-w4616f8_ZU) - substituted with v-w4616f25_MM</v>
      </c>
    </row>
    <row r="33475" spans="1:3" x14ac:dyDescent="0.2">
      <c r="B33475" t="s">
        <v>1</v>
      </c>
      <c r="C33475" t="s">
        <v>2566</v>
      </c>
    </row>
    <row r="33476" spans="1:3" x14ac:dyDescent="0.2">
      <c r="B33476" t="s">
        <v>10970</v>
      </c>
      <c r="C33476" t="s">
        <v>2567</v>
      </c>
    </row>
    <row r="33478" spans="1:3" x14ac:dyDescent="0.2">
      <c r="A33478" t="s">
        <v>10969</v>
      </c>
      <c r="B33478" t="str">
        <f>HYPERLINK("https://lindat.mff.cuni.cz/services/teitok/pdtc10/index.php?action=vallex&amp;frame=v-w4616f9_ZU", "provést (v-w4616f9_ZU) - substituted with v-w4616f25_MM")</f>
        <v>provést (v-w4616f9_ZU) - substituted with v-w4616f25_MM</v>
      </c>
    </row>
    <row r="33479" spans="1:3" x14ac:dyDescent="0.2">
      <c r="B33479" t="s">
        <v>1</v>
      </c>
      <c r="C33479" t="s">
        <v>3384</v>
      </c>
    </row>
    <row r="33480" spans="1:3" x14ac:dyDescent="0.2">
      <c r="B33480" t="s">
        <v>10970</v>
      </c>
      <c r="C33480" t="s">
        <v>10984</v>
      </c>
    </row>
    <row r="33482" spans="1:3" x14ac:dyDescent="0.2">
      <c r="A33482" t="s">
        <v>10969</v>
      </c>
      <c r="B33482" t="str">
        <f>HYPERLINK("https://lindat.mff.cuni.cz/services/teitok/pdtc10/index.php?action=vallex&amp;frame=v-w4616hsa_133", "provést (v-w4616hsa_133) - substituted with v-w4616f25_MM")</f>
        <v>provést (v-w4616hsa_133) - substituted with v-w4616f25_MM</v>
      </c>
    </row>
    <row r="33483" spans="1:3" x14ac:dyDescent="0.2">
      <c r="B33483" t="s">
        <v>1</v>
      </c>
    </row>
    <row r="33484" spans="1:3" x14ac:dyDescent="0.2">
      <c r="B33484" t="s">
        <v>10970</v>
      </c>
    </row>
    <row r="33486" spans="1:3" x14ac:dyDescent="0.2">
      <c r="A33486" t="s">
        <v>10969</v>
      </c>
      <c r="B33486" t="str">
        <f>HYPERLINK("https://lindat.mff.cuni.cz/services/teitok/pdtc10/index.php?action=vallex&amp;frame=v-w4616hsa_93", "provést (v-w4616hsa_93) - substituted with v-w4616f25_MM")</f>
        <v>provést (v-w4616hsa_93) - substituted with v-w4616f25_MM</v>
      </c>
    </row>
    <row r="33487" spans="1:3" x14ac:dyDescent="0.2">
      <c r="B33487" t="s">
        <v>1</v>
      </c>
    </row>
    <row r="33488" spans="1:3" x14ac:dyDescent="0.2">
      <c r="B33488" t="s">
        <v>10970</v>
      </c>
    </row>
    <row r="33490" spans="1:3" x14ac:dyDescent="0.2">
      <c r="A33490" t="s">
        <v>10985</v>
      </c>
      <c r="B33490" t="str">
        <f>HYPERLINK("https://lindat.mff.cuni.cz/services/teitok/pdtc10/index.php?action=vallex&amp;frame=v-w4616f15_ZU", "provést (v-w4616f15_ZU)")</f>
        <v>provést (v-w4616f15_ZU)</v>
      </c>
    </row>
    <row r="33491" spans="1:3" x14ac:dyDescent="0.2">
      <c r="B33491" t="s">
        <v>1</v>
      </c>
      <c r="C33491" t="s">
        <v>2400</v>
      </c>
    </row>
    <row r="33492" spans="1:3" x14ac:dyDescent="0.2">
      <c r="B33492" t="s">
        <v>10986</v>
      </c>
      <c r="C33492" t="s">
        <v>4096</v>
      </c>
    </row>
    <row r="33494" spans="1:3" x14ac:dyDescent="0.2">
      <c r="A33494" t="s">
        <v>10985</v>
      </c>
      <c r="B33494" t="str">
        <f>HYPERLINK("https://lindat.mff.cuni.cz/services/teitok/pdtc10/index.php?action=vallex&amp;frame=v-w4616f5", "provést (v-w4616f5) - substituted with v-w4616f15_ZU")</f>
        <v>provést (v-w4616f5) - substituted with v-w4616f15_ZU</v>
      </c>
    </row>
    <row r="33495" spans="1:3" x14ac:dyDescent="0.2">
      <c r="B33495" t="s">
        <v>1</v>
      </c>
    </row>
    <row r="33496" spans="1:3" x14ac:dyDescent="0.2">
      <c r="B33496" t="s">
        <v>10986</v>
      </c>
    </row>
    <row r="33498" spans="1:3" x14ac:dyDescent="0.2">
      <c r="A33498" t="s">
        <v>10987</v>
      </c>
      <c r="B33498" t="str">
        <f>HYPERLINK("https://lindat.mff.cuni.cz/services/teitok/pdtc10/index.php?action=vallex&amp;frame=v-w4616f22_ZU", "provést (v-w4616f22_ZU)")</f>
        <v>provést (v-w4616f22_ZU)</v>
      </c>
    </row>
    <row r="33499" spans="1:3" x14ac:dyDescent="0.2">
      <c r="B33499" t="s">
        <v>1</v>
      </c>
    </row>
    <row r="33500" spans="1:3" x14ac:dyDescent="0.2">
      <c r="B33500" t="s">
        <v>10988</v>
      </c>
    </row>
    <row r="33502" spans="1:3" x14ac:dyDescent="0.2">
      <c r="A33502" t="s">
        <v>10989</v>
      </c>
      <c r="B33502" t="str">
        <f>HYPERLINK("https://lindat.mff.cuni.cz/services/teitok/pdtc10/index.php?action=vallex&amp;frame=v-w4616f26_MM", "provést (v-w4616f26_MM)")</f>
        <v>provést (v-w4616f26_MM)</v>
      </c>
    </row>
    <row r="33503" spans="1:3" x14ac:dyDescent="0.2">
      <c r="B33503" t="s">
        <v>1</v>
      </c>
    </row>
    <row r="33504" spans="1:3" x14ac:dyDescent="0.2">
      <c r="B33504" t="s">
        <v>41</v>
      </c>
    </row>
    <row r="33505" spans="1:3" x14ac:dyDescent="0.2">
      <c r="B33505" t="s">
        <v>35</v>
      </c>
    </row>
    <row r="33507" spans="1:3" x14ac:dyDescent="0.2">
      <c r="A33507" t="s">
        <v>10989</v>
      </c>
      <c r="B33507" t="str">
        <f>HYPERLINK("https://lindat.mff.cuni.cz/services/teitok/pdtc10/index.php?action=vallex&amp;frame=v-w4616hsa_92", "provést (v-w4616hsa_92) - substituted with v-w4616f26_MM")</f>
        <v>provést (v-w4616hsa_92) - substituted with v-w4616f26_MM</v>
      </c>
    </row>
    <row r="33508" spans="1:3" x14ac:dyDescent="0.2">
      <c r="B33508" t="s">
        <v>1</v>
      </c>
    </row>
    <row r="33509" spans="1:3" x14ac:dyDescent="0.2">
      <c r="B33509" t="s">
        <v>41</v>
      </c>
    </row>
    <row r="33510" spans="1:3" x14ac:dyDescent="0.2">
      <c r="B33510" t="s">
        <v>35</v>
      </c>
    </row>
    <row r="33512" spans="1:3" x14ac:dyDescent="0.2">
      <c r="A33512" t="s">
        <v>10990</v>
      </c>
      <c r="B33512" t="str">
        <f>HYPERLINK("https://lindat.mff.cuni.cz/services/teitok/pdtc10/index.php?action=vallex&amp;frame=v-w4619f1", "provézt (v-w4619f1)")</f>
        <v>provézt (v-w4619f1)</v>
      </c>
    </row>
    <row r="33513" spans="1:3" x14ac:dyDescent="0.2">
      <c r="B33513" t="s">
        <v>1</v>
      </c>
    </row>
    <row r="33514" spans="1:3" x14ac:dyDescent="0.2">
      <c r="B33514" t="s">
        <v>8</v>
      </c>
    </row>
    <row r="33516" spans="1:3" x14ac:dyDescent="0.2">
      <c r="A33516" t="s">
        <v>10991</v>
      </c>
      <c r="B33516" t="str">
        <f>HYPERLINK("https://lindat.mff.cuni.cz/services/teitok/pdtc10/index.php?action=vallex&amp;frame=v-w4617f1", "provětrat (v-w4617f1)")</f>
        <v>provětrat (v-w4617f1)</v>
      </c>
    </row>
    <row r="33517" spans="1:3" x14ac:dyDescent="0.2">
      <c r="B33517" t="s">
        <v>1</v>
      </c>
      <c r="C33517" t="s">
        <v>1566</v>
      </c>
    </row>
    <row r="33518" spans="1:3" x14ac:dyDescent="0.2">
      <c r="B33518" t="s">
        <v>8</v>
      </c>
      <c r="C33518" t="s">
        <v>1750</v>
      </c>
    </row>
    <row r="33520" spans="1:3" x14ac:dyDescent="0.2">
      <c r="A33520" t="s">
        <v>10992</v>
      </c>
      <c r="B33520" t="str">
        <f>HYPERLINK("https://lindat.mff.cuni.cz/services/teitok/pdtc10/index.php?action=vallex&amp;frame=v-w4617f2_ZU", "provětrat (v-w4617f2_ZU)")</f>
        <v>provětrat (v-w4617f2_ZU)</v>
      </c>
    </row>
    <row r="33521" spans="1:4" x14ac:dyDescent="0.2">
      <c r="B33521" t="s">
        <v>1</v>
      </c>
    </row>
    <row r="33522" spans="1:4" x14ac:dyDescent="0.2">
      <c r="B33522" t="s">
        <v>8</v>
      </c>
    </row>
    <row r="33524" spans="1:4" x14ac:dyDescent="0.2">
      <c r="A33524" t="s">
        <v>10993</v>
      </c>
      <c r="B33524" t="str">
        <f>HYPERLINK("https://lindat.mff.cuni.cz/services/teitok/pdtc10/index.php?action=vallex&amp;frame=v-w10545f2", "provětrávat (v-w10545f2)")</f>
        <v>provětrávat (v-w10545f2)</v>
      </c>
    </row>
    <row r="33525" spans="1:4" x14ac:dyDescent="0.2">
      <c r="B33525" t="s">
        <v>1</v>
      </c>
    </row>
    <row r="33526" spans="1:4" x14ac:dyDescent="0.2">
      <c r="B33526" t="s">
        <v>8</v>
      </c>
    </row>
    <row r="33528" spans="1:4" x14ac:dyDescent="0.2">
      <c r="A33528" t="s">
        <v>10994</v>
      </c>
      <c r="B33528" t="str">
        <f>HYPERLINK("https://lindat.mff.cuni.cz/services/teitok/pdtc10/index.php?action=vallex&amp;frame=v-w4613f1", "prověřit (v-w4613f1)")</f>
        <v>prověřit (v-w4613f1)</v>
      </c>
    </row>
    <row r="33529" spans="1:4" x14ac:dyDescent="0.2">
      <c r="B33529" t="s">
        <v>1</v>
      </c>
      <c r="C33529" t="s">
        <v>3637</v>
      </c>
      <c r="D33529" t="s">
        <v>22952</v>
      </c>
    </row>
    <row r="33530" spans="1:4" x14ac:dyDescent="0.2">
      <c r="B33530" t="s">
        <v>1693</v>
      </c>
      <c r="C33530" t="s">
        <v>2253</v>
      </c>
      <c r="D33530" t="s">
        <v>22953</v>
      </c>
    </row>
    <row r="33532" spans="1:4" x14ac:dyDescent="0.2">
      <c r="A33532" t="s">
        <v>10995</v>
      </c>
      <c r="B33532" t="str">
        <f>HYPERLINK("https://lindat.mff.cuni.cz/services/teitok/pdtc10/index.php?action=vallex&amp;frame=v-w4615f1", "prověřovat (v-w4615f1)")</f>
        <v>prověřovat (v-w4615f1)</v>
      </c>
    </row>
    <row r="33533" spans="1:4" x14ac:dyDescent="0.2">
      <c r="B33533" t="s">
        <v>1</v>
      </c>
      <c r="C33533" t="s">
        <v>4958</v>
      </c>
      <c r="D33533" t="s">
        <v>22952</v>
      </c>
    </row>
    <row r="33534" spans="1:4" x14ac:dyDescent="0.2">
      <c r="B33534" t="s">
        <v>1693</v>
      </c>
      <c r="C33534" t="s">
        <v>5868</v>
      </c>
      <c r="D33534" t="s">
        <v>22953</v>
      </c>
    </row>
    <row r="33536" spans="1:4" x14ac:dyDescent="0.2">
      <c r="A33536" t="s">
        <v>10996</v>
      </c>
      <c r="B33536" t="str">
        <f>HYPERLINK("https://lindat.mff.cuni.cz/services/teitok/pdtc10/index.php?action=vallex&amp;frame=v-w4633f1", "prozkoumat (v-w4633f1)")</f>
        <v>prozkoumat (v-w4633f1)</v>
      </c>
    </row>
    <row r="33537" spans="1:4" x14ac:dyDescent="0.2">
      <c r="B33537" t="s">
        <v>1</v>
      </c>
      <c r="C33537" t="s">
        <v>96</v>
      </c>
      <c r="D33537" t="s">
        <v>14474</v>
      </c>
    </row>
    <row r="33538" spans="1:4" x14ac:dyDescent="0.2">
      <c r="B33538" t="s">
        <v>8</v>
      </c>
      <c r="C33538" t="s">
        <v>10997</v>
      </c>
      <c r="D33538" t="s">
        <v>23981</v>
      </c>
    </row>
    <row r="33540" spans="1:4" x14ac:dyDescent="0.2">
      <c r="A33540" t="s">
        <v>10998</v>
      </c>
      <c r="B33540" t="str">
        <f>HYPERLINK("https://lindat.mff.cuni.cz/services/teitok/pdtc10/index.php?action=vallex&amp;frame=v-w4633f4_ZU", "prozkoumat (v-w4633f4_ZU)")</f>
        <v>prozkoumat (v-w4633f4_ZU)</v>
      </c>
    </row>
    <row r="33541" spans="1:4" x14ac:dyDescent="0.2">
      <c r="B33541" t="s">
        <v>1</v>
      </c>
    </row>
    <row r="33542" spans="1:4" x14ac:dyDescent="0.2">
      <c r="B33542" t="s">
        <v>10999</v>
      </c>
    </row>
    <row r="33544" spans="1:4" x14ac:dyDescent="0.2">
      <c r="A33544" t="s">
        <v>10998</v>
      </c>
      <c r="B33544" t="str">
        <f>HYPERLINK("https://lindat.mff.cuni.cz/services/teitok/pdtc10/index.php?action=vallex&amp;frame=v-w4633f2_ZU", "prozkoumat (v-w4633f2_ZU) - substituted with v-w4633f4_ZU")</f>
        <v>prozkoumat (v-w4633f2_ZU) - substituted with v-w4633f4_ZU</v>
      </c>
    </row>
    <row r="33545" spans="1:4" x14ac:dyDescent="0.2">
      <c r="B33545" t="s">
        <v>1</v>
      </c>
      <c r="C33545" t="s">
        <v>2749</v>
      </c>
    </row>
    <row r="33546" spans="1:4" x14ac:dyDescent="0.2">
      <c r="B33546" t="s">
        <v>10999</v>
      </c>
      <c r="C33546" t="s">
        <v>1362</v>
      </c>
    </row>
    <row r="33548" spans="1:4" x14ac:dyDescent="0.2">
      <c r="A33548" t="s">
        <v>10998</v>
      </c>
      <c r="B33548" t="str">
        <f>HYPERLINK("https://lindat.mff.cuni.cz/services/teitok/pdtc10/index.php?action=vallex&amp;frame=v-w4633f3_ZU", "prozkoumat (v-w4633f3_ZU) - substituted with v-w4633f4_ZU")</f>
        <v>prozkoumat (v-w4633f3_ZU) - substituted with v-w4633f4_ZU</v>
      </c>
    </row>
    <row r="33549" spans="1:4" x14ac:dyDescent="0.2">
      <c r="B33549" t="s">
        <v>1</v>
      </c>
      <c r="C33549" t="s">
        <v>16</v>
      </c>
      <c r="D33549" t="s">
        <v>22952</v>
      </c>
    </row>
    <row r="33550" spans="1:4" x14ac:dyDescent="0.2">
      <c r="B33550" t="s">
        <v>10999</v>
      </c>
      <c r="C33550" t="s">
        <v>2344</v>
      </c>
      <c r="D33550" t="s">
        <v>22953</v>
      </c>
    </row>
    <row r="33552" spans="1:4" x14ac:dyDescent="0.2">
      <c r="A33552" t="s">
        <v>10998</v>
      </c>
      <c r="B33552" t="str">
        <f>HYPERLINK("https://lindat.mff.cuni.cz/services/teitok/pdtc10/index.php?action=vallex&amp;frame=v-w4633hsa_505", "prozkoumat (v-w4633hsa_505) - substituted with v-w4633f4_ZU")</f>
        <v>prozkoumat (v-w4633hsa_505) - substituted with v-w4633f4_ZU</v>
      </c>
    </row>
    <row r="33553" spans="1:4" x14ac:dyDescent="0.2">
      <c r="B33553" t="s">
        <v>1</v>
      </c>
    </row>
    <row r="33554" spans="1:4" x14ac:dyDescent="0.2">
      <c r="B33554" t="s">
        <v>10999</v>
      </c>
    </row>
    <row r="33556" spans="1:4" x14ac:dyDescent="0.2">
      <c r="A33556" t="s">
        <v>11000</v>
      </c>
      <c r="B33556" t="str">
        <f>HYPERLINK("https://lindat.mff.cuni.cz/services/teitok/pdtc10/index.php?action=vallex&amp;frame=v-w10743f2", "prozkoumávat (v-w10743f2)")</f>
        <v>prozkoumávat (v-w10743f2)</v>
      </c>
    </row>
    <row r="33557" spans="1:4" x14ac:dyDescent="0.2">
      <c r="B33557" t="s">
        <v>1</v>
      </c>
      <c r="C33557" t="s">
        <v>2303</v>
      </c>
      <c r="D33557" t="s">
        <v>22952</v>
      </c>
    </row>
    <row r="33558" spans="1:4" x14ac:dyDescent="0.2">
      <c r="B33558" t="s">
        <v>8</v>
      </c>
      <c r="C33558" t="s">
        <v>3433</v>
      </c>
      <c r="D33558" t="s">
        <v>22953</v>
      </c>
    </row>
    <row r="33560" spans="1:4" x14ac:dyDescent="0.2">
      <c r="A33560" t="s">
        <v>11001</v>
      </c>
      <c r="B33560" t="str">
        <f>HYPERLINK("https://lindat.mff.cuni.cz/services/teitok/pdtc10/index.php?action=vallex&amp;frame=v-whsa_508f2_ZU", "prozpívat (v-whsa_508f2_ZU)")</f>
        <v>prozpívat (v-whsa_508f2_ZU)</v>
      </c>
    </row>
    <row r="33561" spans="1:4" x14ac:dyDescent="0.2">
      <c r="B33561" t="s">
        <v>1</v>
      </c>
    </row>
    <row r="33562" spans="1:4" x14ac:dyDescent="0.2">
      <c r="B33562" t="s">
        <v>8</v>
      </c>
    </row>
    <row r="33564" spans="1:4" x14ac:dyDescent="0.2">
      <c r="A33564" t="s">
        <v>11001</v>
      </c>
      <c r="B33564" t="str">
        <f>HYPERLINK("https://lindat.mff.cuni.cz/services/teitok/pdtc10/index.php?action=vallex&amp;frame=v-whsa_508f1_ZU", "prozpívat (v-whsa_508f1_ZU) - substituted with v-whsa_508f2_ZU")</f>
        <v>prozpívat (v-whsa_508f1_ZU) - substituted with v-whsa_508f2_ZU</v>
      </c>
    </row>
    <row r="33565" spans="1:4" x14ac:dyDescent="0.2">
      <c r="B33565" t="s">
        <v>1</v>
      </c>
    </row>
    <row r="33566" spans="1:4" x14ac:dyDescent="0.2">
      <c r="B33566" t="s">
        <v>8</v>
      </c>
    </row>
    <row r="33568" spans="1:4" x14ac:dyDescent="0.2">
      <c r="A33568" t="s">
        <v>11001</v>
      </c>
      <c r="B33568" t="str">
        <f>HYPERLINK("https://lindat.mff.cuni.cz/services/teitok/pdtc10/index.php?action=vallex&amp;frame=v-whsa_508hsa_509", "prozpívat (v-whsa_508hsa_509) - substituted with v-whsa_508f2_ZU")</f>
        <v>prozpívat (v-whsa_508hsa_509) - substituted with v-whsa_508f2_ZU</v>
      </c>
    </row>
    <row r="33569" spans="1:3" x14ac:dyDescent="0.2">
      <c r="B33569" t="s">
        <v>1</v>
      </c>
    </row>
    <row r="33570" spans="1:3" x14ac:dyDescent="0.2">
      <c r="B33570" t="s">
        <v>8</v>
      </c>
    </row>
    <row r="33572" spans="1:3" x14ac:dyDescent="0.2">
      <c r="A33572" t="s">
        <v>11002</v>
      </c>
      <c r="B33572" t="str">
        <f>HYPERLINK("https://lindat.mff.cuni.cz/services/teitok/pdtc10/index.php?action=vallex&amp;frame=v-w11570_ZUf1_ZU", "prozpívat se (v-w11570_ZUf1_ZU)")</f>
        <v>prozpívat se (v-w11570_ZUf1_ZU)</v>
      </c>
    </row>
    <row r="33573" spans="1:3" x14ac:dyDescent="0.2">
      <c r="B33573" t="s">
        <v>1</v>
      </c>
      <c r="C33573" t="s">
        <v>249</v>
      </c>
    </row>
    <row r="33574" spans="1:3" x14ac:dyDescent="0.2">
      <c r="B33574" t="s">
        <v>3716</v>
      </c>
    </row>
    <row r="33576" spans="1:3" x14ac:dyDescent="0.2">
      <c r="A33576" t="s">
        <v>11003</v>
      </c>
      <c r="B33576" t="str">
        <f>HYPERLINK("https://lindat.mff.cuni.cz/services/teitok/pdtc10/index.php?action=vallex&amp;frame=v-w11570_ZUf2_ZU", "prozpívat se (v-w11570_ZUf2_ZU)")</f>
        <v>prozpívat se (v-w11570_ZUf2_ZU)</v>
      </c>
    </row>
    <row r="33577" spans="1:3" x14ac:dyDescent="0.2">
      <c r="B33577" t="s">
        <v>1</v>
      </c>
    </row>
    <row r="33578" spans="1:3" x14ac:dyDescent="0.2">
      <c r="B33578" t="s">
        <v>90</v>
      </c>
    </row>
    <row r="33580" spans="1:3" x14ac:dyDescent="0.2">
      <c r="A33580" t="s">
        <v>11003</v>
      </c>
      <c r="B33580" t="str">
        <f>HYPERLINK("https://lindat.mff.cuni.cz/services/teitok/pdtc10/index.php?action=vallex&amp;frame=v-w11570_ZUhsa_513", "prozpívat se (v-w11570_ZUhsa_513) - substituted with v-w11570_ZUf2_ZU")</f>
        <v>prozpívat se (v-w11570_ZUhsa_513) - substituted with v-w11570_ZUf2_ZU</v>
      </c>
    </row>
    <row r="33581" spans="1:3" x14ac:dyDescent="0.2">
      <c r="B33581" t="s">
        <v>1</v>
      </c>
    </row>
    <row r="33582" spans="1:3" x14ac:dyDescent="0.2">
      <c r="B33582" t="s">
        <v>90</v>
      </c>
    </row>
    <row r="33584" spans="1:3" x14ac:dyDescent="0.2">
      <c r="A33584" t="s">
        <v>11004</v>
      </c>
      <c r="B33584" t="str">
        <f>HYPERLINK("https://lindat.mff.cuni.cz/services/teitok/pdtc10/index.php?action=vallex&amp;frame=v-w10559f2", "prozpěvovat (v-w10559f2)")</f>
        <v>prozpěvovat (v-w10559f2)</v>
      </c>
    </row>
    <row r="33585" spans="1:4" x14ac:dyDescent="0.2">
      <c r="B33585" t="s">
        <v>1</v>
      </c>
    </row>
    <row r="33586" spans="1:4" x14ac:dyDescent="0.2">
      <c r="B33586" t="s">
        <v>11005</v>
      </c>
    </row>
    <row r="33587" spans="1:4" x14ac:dyDescent="0.2">
      <c r="B33587" t="s">
        <v>269</v>
      </c>
    </row>
    <row r="33588" spans="1:4" x14ac:dyDescent="0.2">
      <c r="B33588" t="s">
        <v>78</v>
      </c>
    </row>
    <row r="33590" spans="1:4" x14ac:dyDescent="0.2">
      <c r="A33590" t="s">
        <v>11006</v>
      </c>
      <c r="B33590" t="str">
        <f>HYPERLINK("https://lindat.mff.cuni.cz/services/teitok/pdtc10/index.php?action=vallex&amp;frame=v-w4634f1", "prozradit (v-w4634f1)")</f>
        <v>prozradit (v-w4634f1)</v>
      </c>
    </row>
    <row r="33591" spans="1:4" x14ac:dyDescent="0.2">
      <c r="B33591" t="s">
        <v>1</v>
      </c>
      <c r="C33591" t="s">
        <v>4625</v>
      </c>
      <c r="D33591" t="s">
        <v>22967</v>
      </c>
    </row>
    <row r="33592" spans="1:4" x14ac:dyDescent="0.2">
      <c r="B33592" t="s">
        <v>35</v>
      </c>
      <c r="C33592" t="s">
        <v>11007</v>
      </c>
      <c r="D33592" t="s">
        <v>22969</v>
      </c>
    </row>
    <row r="33593" spans="1:4" x14ac:dyDescent="0.2">
      <c r="B33593" t="s">
        <v>11008</v>
      </c>
      <c r="C33593" t="s">
        <v>11009</v>
      </c>
      <c r="D33593" t="s">
        <v>23120</v>
      </c>
    </row>
    <row r="33594" spans="1:4" x14ac:dyDescent="0.2">
      <c r="B33594" t="s">
        <v>11010</v>
      </c>
      <c r="C33594" t="s">
        <v>1472</v>
      </c>
      <c r="D33594" t="s">
        <v>22968</v>
      </c>
    </row>
    <row r="33596" spans="1:4" x14ac:dyDescent="0.2">
      <c r="A33596" t="s">
        <v>11011</v>
      </c>
      <c r="B33596" t="str">
        <f>HYPERLINK("https://lindat.mff.cuni.cz/services/teitok/pdtc10/index.php?action=vallex&amp;frame=v-whsa_1299f1_ZU", "prozradit se (v-whsa_1299f1_ZU)")</f>
        <v>prozradit se (v-whsa_1299f1_ZU)</v>
      </c>
    </row>
    <row r="33597" spans="1:4" x14ac:dyDescent="0.2">
      <c r="B33597" t="s">
        <v>1</v>
      </c>
      <c r="D33597" t="s">
        <v>1709</v>
      </c>
    </row>
    <row r="33598" spans="1:4" x14ac:dyDescent="0.2">
      <c r="B33598" t="s">
        <v>587</v>
      </c>
      <c r="D33598" t="s">
        <v>1128</v>
      </c>
    </row>
    <row r="33600" spans="1:4" x14ac:dyDescent="0.2">
      <c r="A33600" t="s">
        <v>11011</v>
      </c>
      <c r="B33600" t="str">
        <f>HYPERLINK("https://lindat.mff.cuni.cz/services/teitok/pdtc10/index.php?action=vallex&amp;frame=v-whsa_1299hsa_1300", "prozradit se (v-whsa_1299hsa_1300) - substituted with v-whsa_1299f1_ZU")</f>
        <v>prozradit se (v-whsa_1299hsa_1300) - substituted with v-whsa_1299f1_ZU</v>
      </c>
    </row>
    <row r="33601" spans="1:4" x14ac:dyDescent="0.2">
      <c r="B33601" t="s">
        <v>1</v>
      </c>
    </row>
    <row r="33602" spans="1:4" x14ac:dyDescent="0.2">
      <c r="B33602" t="s">
        <v>587</v>
      </c>
    </row>
    <row r="33604" spans="1:4" x14ac:dyDescent="0.2">
      <c r="A33604" t="s">
        <v>11012</v>
      </c>
      <c r="B33604" t="str">
        <f>HYPERLINK("https://lindat.mff.cuni.cz/services/teitok/pdtc10/index.php?action=vallex&amp;frame=v-w4636f1", "prozrazovat (v-w4636f1)")</f>
        <v>prozrazovat (v-w4636f1)</v>
      </c>
    </row>
    <row r="33605" spans="1:4" x14ac:dyDescent="0.2">
      <c r="B33605" t="s">
        <v>1</v>
      </c>
      <c r="C33605" t="s">
        <v>11013</v>
      </c>
      <c r="D33605" t="s">
        <v>22967</v>
      </c>
    </row>
    <row r="33606" spans="1:4" x14ac:dyDescent="0.2">
      <c r="B33606" t="s">
        <v>35</v>
      </c>
      <c r="C33606" t="s">
        <v>4765</v>
      </c>
      <c r="D33606" t="s">
        <v>22969</v>
      </c>
    </row>
    <row r="33607" spans="1:4" x14ac:dyDescent="0.2">
      <c r="B33607" t="s">
        <v>11005</v>
      </c>
      <c r="C33607" t="s">
        <v>11014</v>
      </c>
      <c r="D33607" t="s">
        <v>23120</v>
      </c>
    </row>
    <row r="33608" spans="1:4" x14ac:dyDescent="0.2">
      <c r="B33608" t="s">
        <v>11010</v>
      </c>
      <c r="D33608" t="s">
        <v>22968</v>
      </c>
    </row>
    <row r="33610" spans="1:4" x14ac:dyDescent="0.2">
      <c r="A33610" t="s">
        <v>11015</v>
      </c>
      <c r="B33610" t="str">
        <f>HYPERLINK("https://lindat.mff.cuni.cz/services/teitok/pdtc10/index.php?action=vallex&amp;frame=v-w10269f2", "pročesat (v-w10269f2)")</f>
        <v>pročesat (v-w10269f2)</v>
      </c>
    </row>
    <row r="33611" spans="1:4" x14ac:dyDescent="0.2">
      <c r="B33611" t="s">
        <v>1</v>
      </c>
      <c r="C33611" t="s">
        <v>249</v>
      </c>
      <c r="D33611" t="s">
        <v>990</v>
      </c>
    </row>
    <row r="33612" spans="1:4" x14ac:dyDescent="0.2">
      <c r="B33612" t="s">
        <v>8</v>
      </c>
      <c r="C33612" t="s">
        <v>84</v>
      </c>
      <c r="D33612" t="s">
        <v>1340</v>
      </c>
    </row>
    <row r="33614" spans="1:4" x14ac:dyDescent="0.2">
      <c r="A33614" t="s">
        <v>11016</v>
      </c>
      <c r="B33614" t="str">
        <f>HYPERLINK("https://lindat.mff.cuni.cz/services/teitok/pdtc10/index.php?action=vallex&amp;frame=v-w10269f3", "pročesat (v-w10269f3)")</f>
        <v>pročesat (v-w10269f3)</v>
      </c>
    </row>
    <row r="33615" spans="1:4" x14ac:dyDescent="0.2">
      <c r="B33615" t="s">
        <v>1</v>
      </c>
    </row>
    <row r="33616" spans="1:4" x14ac:dyDescent="0.2">
      <c r="B33616" t="s">
        <v>8</v>
      </c>
    </row>
    <row r="33618" spans="1:4" x14ac:dyDescent="0.2">
      <c r="A33618" t="s">
        <v>11017</v>
      </c>
      <c r="B33618" t="str">
        <f>HYPERLINK("https://lindat.mff.cuni.cz/services/teitok/pdtc10/index.php?action=vallex&amp;frame=v-w4311f1", "pročesávat (v-w4311f1)")</f>
        <v>pročesávat (v-w4311f1)</v>
      </c>
    </row>
    <row r="33619" spans="1:4" x14ac:dyDescent="0.2">
      <c r="B33619" t="s">
        <v>1</v>
      </c>
      <c r="C33619" t="s">
        <v>430</v>
      </c>
      <c r="D33619" t="s">
        <v>990</v>
      </c>
    </row>
    <row r="33620" spans="1:4" x14ac:dyDescent="0.2">
      <c r="B33620" t="s">
        <v>8</v>
      </c>
      <c r="C33620" t="s">
        <v>1044</v>
      </c>
      <c r="D33620" t="s">
        <v>1340</v>
      </c>
    </row>
    <row r="33622" spans="1:4" x14ac:dyDescent="0.2">
      <c r="A33622" t="s">
        <v>11018</v>
      </c>
      <c r="B33622" t="str">
        <f>HYPERLINK("https://lindat.mff.cuni.cz/services/teitok/pdtc10/index.php?action=vallex&amp;frame=v-w4311f2", "pročesávat (v-w4311f2)")</f>
        <v>pročesávat (v-w4311f2)</v>
      </c>
    </row>
    <row r="33623" spans="1:4" x14ac:dyDescent="0.2">
      <c r="B33623" t="s">
        <v>1</v>
      </c>
    </row>
    <row r="33624" spans="1:4" x14ac:dyDescent="0.2">
      <c r="B33624" t="s">
        <v>8</v>
      </c>
    </row>
    <row r="33626" spans="1:4" x14ac:dyDescent="0.2">
      <c r="A33626" t="s">
        <v>11019</v>
      </c>
      <c r="B33626" t="str">
        <f>HYPERLINK("https://lindat.mff.cuni.cz/services/teitok/pdtc10/index.php?action=vallex&amp;frame=v-w10059f2", "pročistit (v-w10059f2)")</f>
        <v>pročistit (v-w10059f2)</v>
      </c>
    </row>
    <row r="33627" spans="1:4" x14ac:dyDescent="0.2">
      <c r="B33627" t="s">
        <v>1</v>
      </c>
      <c r="C33627" t="s">
        <v>133</v>
      </c>
      <c r="D33627" t="s">
        <v>80</v>
      </c>
    </row>
    <row r="33628" spans="1:4" x14ac:dyDescent="0.2">
      <c r="B33628" t="s">
        <v>8</v>
      </c>
      <c r="C33628" t="s">
        <v>1190</v>
      </c>
      <c r="D33628" t="s">
        <v>23455</v>
      </c>
    </row>
    <row r="33629" spans="1:4" x14ac:dyDescent="0.2">
      <c r="B33629" t="s">
        <v>321</v>
      </c>
      <c r="D33629" t="s">
        <v>8349</v>
      </c>
    </row>
    <row r="33631" spans="1:4" x14ac:dyDescent="0.2">
      <c r="A33631" t="s">
        <v>11020</v>
      </c>
      <c r="B33631" t="str">
        <f>HYPERLINK("https://lindat.mff.cuni.cz/services/teitok/pdtc10/index.php?action=vallex&amp;frame=v-whsa_1763hsa_1764", "pročíst (v-whsa_1763hsa_1764)")</f>
        <v>pročíst (v-whsa_1763hsa_1764)</v>
      </c>
    </row>
    <row r="33632" spans="1:4" x14ac:dyDescent="0.2">
      <c r="B33632" t="s">
        <v>1</v>
      </c>
    </row>
    <row r="33633" spans="1:3" x14ac:dyDescent="0.2">
      <c r="B33633" t="s">
        <v>8</v>
      </c>
    </row>
    <row r="33635" spans="1:3" x14ac:dyDescent="0.2">
      <c r="A33635" t="s">
        <v>11021</v>
      </c>
      <c r="B33635" t="str">
        <f>HYPERLINK("https://lindat.mff.cuni.cz/services/teitok/pdtc10/index.php?action=vallex&amp;frame=v-whsa_1216hsa_1217", "pročítat (v-whsa_1216hsa_1217)")</f>
        <v>pročítat (v-whsa_1216hsa_1217)</v>
      </c>
    </row>
    <row r="33636" spans="1:3" x14ac:dyDescent="0.2">
      <c r="B33636" t="s">
        <v>1</v>
      </c>
      <c r="C33636" t="s">
        <v>2237</v>
      </c>
    </row>
    <row r="33637" spans="1:3" x14ac:dyDescent="0.2">
      <c r="B33637" t="s">
        <v>8</v>
      </c>
      <c r="C33637" t="s">
        <v>11022</v>
      </c>
    </row>
    <row r="33639" spans="1:3" x14ac:dyDescent="0.2">
      <c r="A33639" t="s">
        <v>11023</v>
      </c>
      <c r="B33639" t="str">
        <f>HYPERLINK("https://lindat.mff.cuni.cz/services/teitok/pdtc10/index.php?action=vallex&amp;frame=v-whsa_1216f1_ZU", "pročítat (v-whsa_1216f1_ZU)")</f>
        <v>pročítat (v-whsa_1216f1_ZU)</v>
      </c>
    </row>
    <row r="33640" spans="1:3" x14ac:dyDescent="0.2">
      <c r="B33640" t="s">
        <v>1</v>
      </c>
    </row>
    <row r="33641" spans="1:3" x14ac:dyDescent="0.2">
      <c r="B33641" t="s">
        <v>184</v>
      </c>
    </row>
    <row r="33642" spans="1:3" x14ac:dyDescent="0.2">
      <c r="B33642" t="s">
        <v>269</v>
      </c>
    </row>
    <row r="33643" spans="1:3" x14ac:dyDescent="0.2">
      <c r="B33643" t="s">
        <v>78</v>
      </c>
    </row>
    <row r="33645" spans="1:3" x14ac:dyDescent="0.2">
      <c r="A33645" t="s">
        <v>11024</v>
      </c>
      <c r="B33645" t="str">
        <f>HYPERLINK("https://lindat.mff.cuni.cz/services/teitok/pdtc10/index.php?action=vallex&amp;frame=v-whsa_1029f1_ZU", "prořeknout (v-whsa_1029f1_ZU)")</f>
        <v>prořeknout (v-whsa_1029f1_ZU)</v>
      </c>
    </row>
    <row r="33646" spans="1:3" x14ac:dyDescent="0.2">
      <c r="B33646" t="s">
        <v>1</v>
      </c>
    </row>
    <row r="33647" spans="1:3" x14ac:dyDescent="0.2">
      <c r="B33647" t="s">
        <v>8</v>
      </c>
    </row>
    <row r="33649" spans="1:4" x14ac:dyDescent="0.2">
      <c r="A33649" t="s">
        <v>11024</v>
      </c>
      <c r="B33649" t="str">
        <f>HYPERLINK("https://lindat.mff.cuni.cz/services/teitok/pdtc10/index.php?action=vallex&amp;frame=v-whsa_1029hsa_1030", "prořeknout (v-whsa_1029hsa_1030) - substituted with v-whsa_1029f1_ZU")</f>
        <v>prořeknout (v-whsa_1029hsa_1030) - substituted with v-whsa_1029f1_ZU</v>
      </c>
    </row>
    <row r="33650" spans="1:4" x14ac:dyDescent="0.2">
      <c r="B33650" t="s">
        <v>1</v>
      </c>
    </row>
    <row r="33651" spans="1:4" x14ac:dyDescent="0.2">
      <c r="B33651" t="s">
        <v>8</v>
      </c>
    </row>
    <row r="33653" spans="1:4" x14ac:dyDescent="0.2">
      <c r="A33653" t="s">
        <v>11025</v>
      </c>
      <c r="B33653" t="str">
        <f>HYPERLINK("https://lindat.mff.cuni.cz/services/teitok/pdtc10/index.php?action=vallex&amp;frame=v-w4518f1", "prořeknout se (v-w4518f1)")</f>
        <v>prořeknout se (v-w4518f1)</v>
      </c>
    </row>
    <row r="33654" spans="1:4" x14ac:dyDescent="0.2">
      <c r="B33654" t="s">
        <v>1</v>
      </c>
      <c r="C33654" t="s">
        <v>33</v>
      </c>
      <c r="D33654" t="s">
        <v>1709</v>
      </c>
    </row>
    <row r="33656" spans="1:4" x14ac:dyDescent="0.2">
      <c r="A33656" t="s">
        <v>11026</v>
      </c>
      <c r="B33656" t="str">
        <f>HYPERLINK("https://lindat.mff.cuni.cz/services/teitok/pdtc10/index.php?action=vallex&amp;frame=v-whsa_1060f2_ZU", "prořídnout (v-whsa_1060f2_ZU)")</f>
        <v>prořídnout (v-whsa_1060f2_ZU)</v>
      </c>
    </row>
    <row r="33657" spans="1:4" x14ac:dyDescent="0.2">
      <c r="B33657" t="s">
        <v>1</v>
      </c>
    </row>
    <row r="33659" spans="1:4" x14ac:dyDescent="0.2">
      <c r="A33659" t="s">
        <v>11026</v>
      </c>
      <c r="B33659" t="str">
        <f>HYPERLINK("https://lindat.mff.cuni.cz/services/teitok/pdtc10/index.php?action=vallex&amp;frame=v-whsa_1060f1_ZU", "prořídnout (v-whsa_1060f1_ZU) - substituted with v-whsa_1060f2_ZU")</f>
        <v>prořídnout (v-whsa_1060f1_ZU) - substituted with v-whsa_1060f2_ZU</v>
      </c>
    </row>
    <row r="33660" spans="1:4" x14ac:dyDescent="0.2">
      <c r="B33660" t="s">
        <v>1</v>
      </c>
    </row>
    <row r="33662" spans="1:4" x14ac:dyDescent="0.2">
      <c r="A33662" t="s">
        <v>11026</v>
      </c>
      <c r="B33662" t="str">
        <f>HYPERLINK("https://lindat.mff.cuni.cz/services/teitok/pdtc10/index.php?action=vallex&amp;frame=v-whsa_1060hsa_1061", "prořídnout (v-whsa_1060hsa_1061) - substituted with v-whsa_1060f2_ZU")</f>
        <v>prořídnout (v-whsa_1060hsa_1061) - substituted with v-whsa_1060f2_ZU</v>
      </c>
    </row>
    <row r="33663" spans="1:4" x14ac:dyDescent="0.2">
      <c r="B33663" t="s">
        <v>1</v>
      </c>
    </row>
    <row r="33665" spans="1:4" x14ac:dyDescent="0.2">
      <c r="A33665" t="s">
        <v>11027</v>
      </c>
      <c r="B33665" t="str">
        <f>HYPERLINK("https://lindat.mff.cuni.cz/services/teitok/pdtc10/index.php?action=vallex&amp;frame=v-w11424f1", "prořítit se (v-w11424f1)")</f>
        <v>prořítit se (v-w11424f1)</v>
      </c>
    </row>
    <row r="33666" spans="1:4" x14ac:dyDescent="0.2">
      <c r="B33666" t="s">
        <v>1</v>
      </c>
    </row>
    <row r="33667" spans="1:4" x14ac:dyDescent="0.2">
      <c r="B33667" t="s">
        <v>192</v>
      </c>
    </row>
    <row r="33669" spans="1:4" x14ac:dyDescent="0.2">
      <c r="A33669" t="s">
        <v>11028</v>
      </c>
      <c r="B33669" t="str">
        <f>HYPERLINK("https://lindat.mff.cuni.cz/services/teitok/pdtc10/index.php?action=vallex&amp;frame=v-w4565f1", "prošetřit (v-w4565f1)")</f>
        <v>prošetřit (v-w4565f1)</v>
      </c>
    </row>
    <row r="33670" spans="1:4" x14ac:dyDescent="0.2">
      <c r="B33670" t="s">
        <v>1</v>
      </c>
      <c r="C33670" t="s">
        <v>7589</v>
      </c>
      <c r="D33670" t="s">
        <v>22952</v>
      </c>
    </row>
    <row r="33671" spans="1:4" x14ac:dyDescent="0.2">
      <c r="B33671" t="s">
        <v>1693</v>
      </c>
      <c r="C33671" t="s">
        <v>7055</v>
      </c>
      <c r="D33671" t="s">
        <v>22953</v>
      </c>
    </row>
    <row r="33673" spans="1:4" x14ac:dyDescent="0.2">
      <c r="A33673" t="s">
        <v>11029</v>
      </c>
      <c r="B33673" t="str">
        <f>HYPERLINK("https://lindat.mff.cuni.cz/services/teitok/pdtc10/index.php?action=vallex&amp;frame=v-w4566f1", "prošetřovat (v-w4566f1)")</f>
        <v>prošetřovat (v-w4566f1)</v>
      </c>
    </row>
    <row r="33674" spans="1:4" x14ac:dyDescent="0.2">
      <c r="B33674" t="s">
        <v>1</v>
      </c>
      <c r="C33674" t="s">
        <v>1077</v>
      </c>
      <c r="D33674" t="s">
        <v>22952</v>
      </c>
    </row>
    <row r="33675" spans="1:4" x14ac:dyDescent="0.2">
      <c r="B33675" t="s">
        <v>1693</v>
      </c>
      <c r="C33675" t="s">
        <v>5666</v>
      </c>
      <c r="D33675" t="s">
        <v>22953</v>
      </c>
    </row>
    <row r="33677" spans="1:4" x14ac:dyDescent="0.2">
      <c r="A33677" t="s">
        <v>11030</v>
      </c>
      <c r="B33677" t="str">
        <f>HYPERLINK("https://lindat.mff.cuni.cz/services/teitok/pdtc10/index.php?action=vallex&amp;frame=v-w4567f1", "proškolit (v-w4567f1)")</f>
        <v>proškolit (v-w4567f1)</v>
      </c>
    </row>
    <row r="33678" spans="1:4" x14ac:dyDescent="0.2">
      <c r="B33678" t="s">
        <v>1</v>
      </c>
    </row>
    <row r="33679" spans="1:4" x14ac:dyDescent="0.2">
      <c r="B33679" t="s">
        <v>8</v>
      </c>
    </row>
    <row r="33681" spans="1:2" x14ac:dyDescent="0.2">
      <c r="A33681" t="s">
        <v>11031</v>
      </c>
      <c r="B33681" t="str">
        <f>HYPERLINK("https://lindat.mff.cuni.cz/services/teitok/pdtc10/index.php?action=vallex&amp;frame=v-w12243_ZUf1_ZU", "proškolovat (v-w12243_ZUf1_ZU)")</f>
        <v>proškolovat (v-w12243_ZUf1_ZU)</v>
      </c>
    </row>
    <row r="33682" spans="1:2" x14ac:dyDescent="0.2">
      <c r="B33682" t="s">
        <v>1</v>
      </c>
    </row>
    <row r="33683" spans="1:2" x14ac:dyDescent="0.2">
      <c r="B33683" t="s">
        <v>8</v>
      </c>
    </row>
    <row r="33685" spans="1:2" x14ac:dyDescent="0.2">
      <c r="A33685" t="s">
        <v>11032</v>
      </c>
      <c r="B33685" t="str">
        <f>HYPERLINK("https://lindat.mff.cuni.cz/services/teitok/pdtc10/index.php?action=vallex&amp;frame=v-w11568_ZUf1_ZU", "prošlapat (v-w11568_ZUf1_ZU)")</f>
        <v>prošlapat (v-w11568_ZUf1_ZU)</v>
      </c>
    </row>
    <row r="33686" spans="1:2" x14ac:dyDescent="0.2">
      <c r="B33686" t="s">
        <v>1</v>
      </c>
    </row>
    <row r="33687" spans="1:2" x14ac:dyDescent="0.2">
      <c r="B33687" t="s">
        <v>8</v>
      </c>
    </row>
    <row r="33689" spans="1:2" x14ac:dyDescent="0.2">
      <c r="A33689" t="s">
        <v>11033</v>
      </c>
      <c r="B33689" t="str">
        <f>HYPERLINK("https://lindat.mff.cuni.cz/services/teitok/pdtc10/index.php?action=vallex&amp;frame=v-w11928_ZUf1_ZU", "prošlapávat (v-w11928_ZUf1_ZU)")</f>
        <v>prošlapávat (v-w11928_ZUf1_ZU)</v>
      </c>
    </row>
    <row r="33690" spans="1:2" x14ac:dyDescent="0.2">
      <c r="B33690" t="s">
        <v>1</v>
      </c>
    </row>
    <row r="33691" spans="1:2" x14ac:dyDescent="0.2">
      <c r="B33691" t="s">
        <v>8</v>
      </c>
    </row>
    <row r="33693" spans="1:2" x14ac:dyDescent="0.2">
      <c r="A33693" t="s">
        <v>11034</v>
      </c>
      <c r="B33693" t="str">
        <f>HYPERLINK("https://lindat.mff.cuni.cz/services/teitok/pdtc10/index.php?action=vallex&amp;frame=v-whsa_1582hsa_1583", "prošlechťovat (v-whsa_1582hsa_1583)")</f>
        <v>prošlechťovat (v-whsa_1582hsa_1583)</v>
      </c>
    </row>
    <row r="33694" spans="1:2" x14ac:dyDescent="0.2">
      <c r="B33694" t="s">
        <v>1</v>
      </c>
    </row>
    <row r="33695" spans="1:2" x14ac:dyDescent="0.2">
      <c r="B33695" t="s">
        <v>8</v>
      </c>
    </row>
    <row r="33697" spans="1:4" x14ac:dyDescent="0.2">
      <c r="A33697" t="s">
        <v>11035</v>
      </c>
      <c r="B33697" t="str">
        <f>HYPERLINK("https://lindat.mff.cuni.cz/services/teitok/pdtc10/index.php?action=vallex&amp;frame=v-whsa_2043hsa_2044", "prošlápnout (v-whsa_2043hsa_2044)")</f>
        <v>prošlápnout (v-whsa_2043hsa_2044)</v>
      </c>
    </row>
    <row r="33698" spans="1:4" x14ac:dyDescent="0.2">
      <c r="B33698" t="s">
        <v>1</v>
      </c>
    </row>
    <row r="33699" spans="1:4" x14ac:dyDescent="0.2">
      <c r="B33699" t="s">
        <v>8</v>
      </c>
    </row>
    <row r="33701" spans="1:4" x14ac:dyDescent="0.2">
      <c r="A33701" t="s">
        <v>11036</v>
      </c>
      <c r="B33701" t="str">
        <f>HYPERLINK("https://lindat.mff.cuni.cz/services/teitok/pdtc10/index.php?action=vallex&amp;frame=v-w10371f2", "prošoupat (v-w10371f2)")</f>
        <v>prošoupat (v-w10371f2)</v>
      </c>
    </row>
    <row r="33702" spans="1:4" x14ac:dyDescent="0.2">
      <c r="B33702" t="s">
        <v>1</v>
      </c>
      <c r="C33702" t="s">
        <v>140</v>
      </c>
      <c r="D33702" t="s">
        <v>140</v>
      </c>
    </row>
    <row r="33703" spans="1:4" x14ac:dyDescent="0.2">
      <c r="B33703" t="s">
        <v>8</v>
      </c>
      <c r="C33703" t="s">
        <v>113</v>
      </c>
      <c r="D33703" t="s">
        <v>113</v>
      </c>
    </row>
    <row r="33705" spans="1:4" x14ac:dyDescent="0.2">
      <c r="A33705" t="s">
        <v>11037</v>
      </c>
      <c r="B33705" t="str">
        <f>HYPERLINK("https://lindat.mff.cuni.cz/services/teitok/pdtc10/index.php?action=vallex&amp;frame=v-w10202f2", "prošoupávat (v-w10202f2)")</f>
        <v>prošoupávat (v-w10202f2)</v>
      </c>
    </row>
    <row r="33706" spans="1:4" x14ac:dyDescent="0.2">
      <c r="B33706" t="s">
        <v>1</v>
      </c>
    </row>
    <row r="33707" spans="1:4" x14ac:dyDescent="0.2">
      <c r="B33707" t="s">
        <v>8</v>
      </c>
    </row>
    <row r="33709" spans="1:4" x14ac:dyDescent="0.2">
      <c r="A33709" t="s">
        <v>11038</v>
      </c>
      <c r="B33709" t="str">
        <f>HYPERLINK("https://lindat.mff.cuni.cz/services/teitok/pdtc10/index.php?action=vallex&amp;frame=v-w11784_ZUf1_ZU", "prošpikovat (v-w11784_ZUf1_ZU)")</f>
        <v>prošpikovat (v-w11784_ZUf1_ZU)</v>
      </c>
    </row>
    <row r="33710" spans="1:4" x14ac:dyDescent="0.2">
      <c r="B33710" t="s">
        <v>1</v>
      </c>
    </row>
    <row r="33711" spans="1:4" x14ac:dyDescent="0.2">
      <c r="B33711" t="s">
        <v>8</v>
      </c>
    </row>
    <row r="33712" spans="1:4" x14ac:dyDescent="0.2">
      <c r="B33712" t="s">
        <v>5479</v>
      </c>
    </row>
    <row r="33714" spans="1:2" x14ac:dyDescent="0.2">
      <c r="A33714" t="s">
        <v>11039</v>
      </c>
      <c r="B33714" t="str">
        <f>HYPERLINK("https://lindat.mff.cuni.cz/services/teitok/pdtc10/index.php?action=vallex&amp;frame=v-whsa_345hsa_346", "prošťouchávat (v-whsa_345hsa_346)")</f>
        <v>prošťouchávat (v-whsa_345hsa_346)</v>
      </c>
    </row>
    <row r="33715" spans="1:2" x14ac:dyDescent="0.2">
      <c r="B33715" t="s">
        <v>1</v>
      </c>
    </row>
    <row r="33716" spans="1:2" x14ac:dyDescent="0.2">
      <c r="B33716" t="s">
        <v>8</v>
      </c>
    </row>
    <row r="33718" spans="1:2" x14ac:dyDescent="0.2">
      <c r="A33718" t="s">
        <v>11040</v>
      </c>
      <c r="B33718" t="str">
        <f>HYPERLINK("https://lindat.mff.cuni.cz/services/teitok/pdtc10/index.php?action=vallex&amp;frame=v-w4643f1", "prožrat (v-w4643f1)")</f>
        <v>prožrat (v-w4643f1)</v>
      </c>
    </row>
    <row r="33719" spans="1:2" x14ac:dyDescent="0.2">
      <c r="B33719" t="s">
        <v>1</v>
      </c>
    </row>
    <row r="33720" spans="1:2" x14ac:dyDescent="0.2">
      <c r="B33720" t="s">
        <v>8</v>
      </c>
    </row>
    <row r="33722" spans="1:2" x14ac:dyDescent="0.2">
      <c r="A33722" t="s">
        <v>11041</v>
      </c>
      <c r="B33722" t="str">
        <f>HYPERLINK("https://lindat.mff.cuni.cz/services/teitok/pdtc10/index.php?action=vallex&amp;frame=v-w4637f2", "prožít (v-w4637f2)")</f>
        <v>prožít (v-w4637f2)</v>
      </c>
    </row>
    <row r="33723" spans="1:2" x14ac:dyDescent="0.2">
      <c r="B33723" t="s">
        <v>1</v>
      </c>
    </row>
    <row r="33724" spans="1:2" x14ac:dyDescent="0.2">
      <c r="B33724" t="s">
        <v>8</v>
      </c>
    </row>
    <row r="33725" spans="1:2" x14ac:dyDescent="0.2">
      <c r="B33725" t="s">
        <v>5</v>
      </c>
    </row>
    <row r="33727" spans="1:2" x14ac:dyDescent="0.2">
      <c r="A33727" t="s">
        <v>11042</v>
      </c>
      <c r="B33727" t="str">
        <f>HYPERLINK("https://lindat.mff.cuni.cz/services/teitok/pdtc10/index.php?action=vallex&amp;frame=v-w4637f5_ZU", "prožít (v-w4637f5_ZU)")</f>
        <v>prožít (v-w4637f5_ZU)</v>
      </c>
    </row>
    <row r="33728" spans="1:2" x14ac:dyDescent="0.2">
      <c r="B33728" t="s">
        <v>1</v>
      </c>
    </row>
    <row r="33729" spans="1:4" x14ac:dyDescent="0.2">
      <c r="B33729" t="s">
        <v>41</v>
      </c>
    </row>
    <row r="33731" spans="1:4" x14ac:dyDescent="0.2">
      <c r="A33731" t="s">
        <v>11042</v>
      </c>
      <c r="B33731" t="str">
        <f>HYPERLINK("https://lindat.mff.cuni.cz/services/teitok/pdtc10/index.php?action=vallex&amp;frame=v-w4637f1", "prožít (v-w4637f1) - substituted with v-w4637f5_ZU")</f>
        <v>prožít (v-w4637f1) - substituted with v-w4637f5_ZU</v>
      </c>
    </row>
    <row r="33732" spans="1:4" x14ac:dyDescent="0.2">
      <c r="B33732" t="s">
        <v>1</v>
      </c>
      <c r="C33732" t="s">
        <v>11043</v>
      </c>
      <c r="D33732" t="s">
        <v>23818</v>
      </c>
    </row>
    <row r="33733" spans="1:4" x14ac:dyDescent="0.2">
      <c r="B33733" t="s">
        <v>41</v>
      </c>
      <c r="C33733" t="s">
        <v>11044</v>
      </c>
      <c r="D33733" t="s">
        <v>23819</v>
      </c>
    </row>
    <row r="33735" spans="1:4" x14ac:dyDescent="0.2">
      <c r="A33735" t="s">
        <v>11045</v>
      </c>
      <c r="B33735" t="str">
        <f>HYPERLINK("https://lindat.mff.cuni.cz/services/teitok/pdtc10/index.php?action=vallex&amp;frame=v-w4637f4", "prožít (v-w4637f4)")</f>
        <v>prožít (v-w4637f4)</v>
      </c>
    </row>
    <row r="33736" spans="1:4" x14ac:dyDescent="0.2">
      <c r="B33736" t="s">
        <v>1</v>
      </c>
    </row>
    <row r="33737" spans="1:4" x14ac:dyDescent="0.2">
      <c r="B33737" t="s">
        <v>8</v>
      </c>
    </row>
    <row r="33738" spans="1:4" x14ac:dyDescent="0.2">
      <c r="B33738" t="s">
        <v>415</v>
      </c>
    </row>
    <row r="33739" spans="1:4" x14ac:dyDescent="0.2">
      <c r="B33739" t="s">
        <v>4836</v>
      </c>
    </row>
    <row r="33740" spans="1:4" x14ac:dyDescent="0.2">
      <c r="B33740" t="s">
        <v>346</v>
      </c>
    </row>
    <row r="33741" spans="1:4" x14ac:dyDescent="0.2">
      <c r="B33741" t="s">
        <v>348</v>
      </c>
    </row>
    <row r="33742" spans="1:4" x14ac:dyDescent="0.2">
      <c r="B33742" t="s">
        <v>349</v>
      </c>
    </row>
    <row r="33743" spans="1:4" x14ac:dyDescent="0.2">
      <c r="B33743" t="s">
        <v>350</v>
      </c>
    </row>
    <row r="33744" spans="1:4" x14ac:dyDescent="0.2">
      <c r="B33744" t="s">
        <v>351</v>
      </c>
    </row>
    <row r="33746" spans="1:4" x14ac:dyDescent="0.2">
      <c r="A33746" t="s">
        <v>11046</v>
      </c>
      <c r="B33746" t="str">
        <f>HYPERLINK("https://lindat.mff.cuni.cz/services/teitok/pdtc10/index.php?action=vallex&amp;frame=v-w4637f3", "prožít (v-w4637f3)")</f>
        <v>prožít (v-w4637f3)</v>
      </c>
    </row>
    <row r="33747" spans="1:4" x14ac:dyDescent="0.2">
      <c r="B33747" t="s">
        <v>604</v>
      </c>
    </row>
    <row r="33748" spans="1:4" x14ac:dyDescent="0.2">
      <c r="B33748" t="s">
        <v>11047</v>
      </c>
    </row>
    <row r="33749" spans="1:4" x14ac:dyDescent="0.2">
      <c r="B33749" t="s">
        <v>124</v>
      </c>
    </row>
    <row r="33751" spans="1:4" x14ac:dyDescent="0.2">
      <c r="A33751" t="s">
        <v>11048</v>
      </c>
      <c r="B33751" t="str">
        <f>HYPERLINK("https://lindat.mff.cuni.cz/services/teitok/pdtc10/index.php?action=vallex&amp;frame=v-w12349_MMf1_MM", "prožít si (v-w12349_MMf1_MM)")</f>
        <v>prožít si (v-w12349_MMf1_MM)</v>
      </c>
    </row>
    <row r="33752" spans="1:4" x14ac:dyDescent="0.2">
      <c r="B33752" t="s">
        <v>1</v>
      </c>
    </row>
    <row r="33753" spans="1:4" x14ac:dyDescent="0.2">
      <c r="B33753" t="s">
        <v>8</v>
      </c>
    </row>
    <row r="33755" spans="1:4" x14ac:dyDescent="0.2">
      <c r="A33755" t="s">
        <v>11049</v>
      </c>
      <c r="B33755" t="str">
        <f>HYPERLINK("https://lindat.mff.cuni.cz/services/teitok/pdtc10/index.php?action=vallex&amp;frame=v-w4641f1", "prožívat (v-w4641f1)")</f>
        <v>prožívat (v-w4641f1)</v>
      </c>
    </row>
    <row r="33756" spans="1:4" x14ac:dyDescent="0.2">
      <c r="B33756" t="s">
        <v>1</v>
      </c>
      <c r="C33756" t="s">
        <v>11050</v>
      </c>
      <c r="D33756" t="s">
        <v>23818</v>
      </c>
    </row>
    <row r="33757" spans="1:4" x14ac:dyDescent="0.2">
      <c r="B33757" t="s">
        <v>172</v>
      </c>
      <c r="C33757" t="s">
        <v>11051</v>
      </c>
      <c r="D33757" t="s">
        <v>23819</v>
      </c>
    </row>
    <row r="33759" spans="1:4" x14ac:dyDescent="0.2">
      <c r="A33759" t="s">
        <v>11052</v>
      </c>
      <c r="B33759" t="str">
        <f>HYPERLINK("https://lindat.mff.cuni.cz/services/teitok/pdtc10/index.php?action=vallex&amp;frame=v-w4641f4_ZU", "prožívat (v-w4641f4_ZU)")</f>
        <v>prožívat (v-w4641f4_ZU)</v>
      </c>
    </row>
    <row r="33760" spans="1:4" x14ac:dyDescent="0.2">
      <c r="B33760" t="s">
        <v>1</v>
      </c>
    </row>
    <row r="33761" spans="1:3" x14ac:dyDescent="0.2">
      <c r="B33761" t="s">
        <v>8</v>
      </c>
    </row>
    <row r="33763" spans="1:3" x14ac:dyDescent="0.2">
      <c r="A33763" t="s">
        <v>11052</v>
      </c>
      <c r="B33763" t="str">
        <f>HYPERLINK("https://lindat.mff.cuni.cz/services/teitok/pdtc10/index.php?action=vallex&amp;frame=v-w4641f2_ZU", "prožívat (v-w4641f2_ZU) - substituted with v-w4641f4_ZU")</f>
        <v>prožívat (v-w4641f2_ZU) - substituted with v-w4641f4_ZU</v>
      </c>
    </row>
    <row r="33764" spans="1:3" x14ac:dyDescent="0.2">
      <c r="B33764" t="s">
        <v>1</v>
      </c>
    </row>
    <row r="33765" spans="1:3" x14ac:dyDescent="0.2">
      <c r="B33765" t="s">
        <v>8</v>
      </c>
    </row>
    <row r="33767" spans="1:3" x14ac:dyDescent="0.2">
      <c r="A33767" t="s">
        <v>11052</v>
      </c>
      <c r="B33767" t="str">
        <f>HYPERLINK("https://lindat.mff.cuni.cz/services/teitok/pdtc10/index.php?action=vallex&amp;frame=v-w4641f3_ZU", "prožívat (v-w4641f3_ZU) - substituted with v-w4641f4_ZU")</f>
        <v>prožívat (v-w4641f3_ZU) - substituted with v-w4641f4_ZU</v>
      </c>
    </row>
    <row r="33768" spans="1:3" x14ac:dyDescent="0.2">
      <c r="B33768" t="s">
        <v>1</v>
      </c>
    </row>
    <row r="33769" spans="1:3" x14ac:dyDescent="0.2">
      <c r="B33769" t="s">
        <v>8</v>
      </c>
    </row>
    <row r="33771" spans="1:3" x14ac:dyDescent="0.2">
      <c r="A33771" t="s">
        <v>11053</v>
      </c>
      <c r="B33771" t="str">
        <f>HYPERLINK("https://lindat.mff.cuni.cz/services/teitok/pdtc10/index.php?action=vallex&amp;frame=v-whsa_1290f2_ZU", "prát (v-whsa_1290f2_ZU)")</f>
        <v>prát (v-whsa_1290f2_ZU)</v>
      </c>
    </row>
    <row r="33772" spans="1:3" x14ac:dyDescent="0.2">
      <c r="B33772" t="s">
        <v>1</v>
      </c>
    </row>
    <row r="33773" spans="1:3" x14ac:dyDescent="0.2">
      <c r="B33773" t="s">
        <v>11054</v>
      </c>
    </row>
    <row r="33775" spans="1:3" x14ac:dyDescent="0.2">
      <c r="A33775" t="s">
        <v>11053</v>
      </c>
      <c r="B33775" t="str">
        <f>HYPERLINK("https://lindat.mff.cuni.cz/services/teitok/pdtc10/index.php?action=vallex&amp;frame=v-whsa_1290f1_ZU", "prát (v-whsa_1290f1_ZU) - substituted with v-whsa_1290f2_ZU")</f>
        <v>prát (v-whsa_1290f1_ZU) - substituted with v-whsa_1290f2_ZU</v>
      </c>
    </row>
    <row r="33776" spans="1:3" x14ac:dyDescent="0.2">
      <c r="B33776" t="s">
        <v>1</v>
      </c>
      <c r="C33776" t="s">
        <v>33</v>
      </c>
    </row>
    <row r="33777" spans="1:3" x14ac:dyDescent="0.2">
      <c r="B33777" t="s">
        <v>11054</v>
      </c>
      <c r="C33777" t="s">
        <v>3062</v>
      </c>
    </row>
    <row r="33779" spans="1:3" x14ac:dyDescent="0.2">
      <c r="A33779" t="s">
        <v>11053</v>
      </c>
      <c r="B33779" t="str">
        <f>HYPERLINK("https://lindat.mff.cuni.cz/services/teitok/pdtc10/index.php?action=vallex&amp;frame=v-whsa_1290hsa_1291", "prát (v-whsa_1290hsa_1291) - substituted with v-whsa_1290f2_ZU")</f>
        <v>prát (v-whsa_1290hsa_1291) - substituted with v-whsa_1290f2_ZU</v>
      </c>
    </row>
    <row r="33780" spans="1:3" x14ac:dyDescent="0.2">
      <c r="B33780" t="s">
        <v>1</v>
      </c>
    </row>
    <row r="33781" spans="1:3" x14ac:dyDescent="0.2">
      <c r="B33781" t="s">
        <v>11054</v>
      </c>
    </row>
    <row r="33783" spans="1:3" x14ac:dyDescent="0.2">
      <c r="A33783" t="s">
        <v>11055</v>
      </c>
      <c r="B33783" t="str">
        <f>HYPERLINK("https://lindat.mff.cuni.cz/services/teitok/pdtc10/index.php?action=vallex&amp;frame=v-whsa_1290f3_ZU", "prát (v-whsa_1290f3_ZU)")</f>
        <v>prát (v-whsa_1290f3_ZU)</v>
      </c>
    </row>
    <row r="33784" spans="1:3" x14ac:dyDescent="0.2">
      <c r="B33784" t="s">
        <v>1</v>
      </c>
      <c r="C33784" t="s">
        <v>964</v>
      </c>
    </row>
    <row r="33785" spans="1:3" x14ac:dyDescent="0.2">
      <c r="B33785" t="s">
        <v>8</v>
      </c>
      <c r="C33785" t="s">
        <v>5674</v>
      </c>
    </row>
    <row r="33787" spans="1:3" x14ac:dyDescent="0.2">
      <c r="A33787" t="s">
        <v>11056</v>
      </c>
      <c r="B33787" t="str">
        <f>HYPERLINK("https://lindat.mff.cuni.cz/services/teitok/pdtc10/index.php?action=vallex&amp;frame=v-whsa_1286hsa_1287", "prát (v-whsa_1286hsa_1287)")</f>
        <v>prát (v-whsa_1286hsa_1287)</v>
      </c>
    </row>
    <row r="33788" spans="1:3" x14ac:dyDescent="0.2">
      <c r="B33788" t="s">
        <v>1</v>
      </c>
    </row>
    <row r="33789" spans="1:3" x14ac:dyDescent="0.2">
      <c r="B33789" t="s">
        <v>8</v>
      </c>
    </row>
    <row r="33791" spans="1:3" x14ac:dyDescent="0.2">
      <c r="A33791" t="s">
        <v>11057</v>
      </c>
      <c r="B33791" t="str">
        <f>HYPERLINK("https://lindat.mff.cuni.cz/services/teitok/pdtc10/index.php?action=vallex&amp;frame=v-whsa_1288hsa_1289", "prát (v-whsa_1288hsa_1289)")</f>
        <v>prát (v-whsa_1288hsa_1289)</v>
      </c>
    </row>
    <row r="33792" spans="1:3" x14ac:dyDescent="0.2">
      <c r="B33792" t="s">
        <v>1</v>
      </c>
    </row>
    <row r="33793" spans="1:4" x14ac:dyDescent="0.2">
      <c r="B33793" t="s">
        <v>11058</v>
      </c>
    </row>
    <row r="33795" spans="1:4" x14ac:dyDescent="0.2">
      <c r="A33795" t="s">
        <v>11059</v>
      </c>
      <c r="B33795" t="str">
        <f>HYPERLINK("https://lindat.mff.cuni.cz/services/teitok/pdtc10/index.php?action=vallex&amp;frame=v-w4256f1", "prát se (v-w4256f1)")</f>
        <v>prát se (v-w4256f1)</v>
      </c>
    </row>
    <row r="33796" spans="1:4" x14ac:dyDescent="0.2">
      <c r="B33796" t="s">
        <v>1</v>
      </c>
      <c r="C33796" t="s">
        <v>294</v>
      </c>
      <c r="D33796" t="s">
        <v>1992</v>
      </c>
    </row>
    <row r="33797" spans="1:4" x14ac:dyDescent="0.2">
      <c r="B33797" t="s">
        <v>153</v>
      </c>
      <c r="D33797" t="s">
        <v>22991</v>
      </c>
    </row>
    <row r="33798" spans="1:4" x14ac:dyDescent="0.2">
      <c r="B33798" t="s">
        <v>2287</v>
      </c>
      <c r="C33798" t="s">
        <v>54</v>
      </c>
      <c r="D33798" t="s">
        <v>22992</v>
      </c>
    </row>
    <row r="33800" spans="1:4" x14ac:dyDescent="0.2">
      <c r="A33800" t="s">
        <v>11060</v>
      </c>
      <c r="B33800" t="str">
        <f>HYPERLINK("https://lindat.mff.cuni.cz/services/teitok/pdtc10/index.php?action=vallex&amp;frame=v-w4660f1", "prýštit (v-w4660f1)")</f>
        <v>prýštit (v-w4660f1)</v>
      </c>
    </row>
    <row r="33801" spans="1:4" x14ac:dyDescent="0.2">
      <c r="B33801" t="s">
        <v>1</v>
      </c>
    </row>
    <row r="33803" spans="1:4" x14ac:dyDescent="0.2">
      <c r="A33803" t="s">
        <v>11061</v>
      </c>
      <c r="B33803" t="str">
        <f>HYPERLINK("https://lindat.mff.cuni.cz/services/teitok/pdtc10/index.php?action=vallex&amp;frame=v-w4644f2", "pršet (v-w4644f2)")</f>
        <v>pršet (v-w4644f2)</v>
      </c>
    </row>
    <row r="33804" spans="1:4" x14ac:dyDescent="0.2">
      <c r="B33804" t="s">
        <v>1</v>
      </c>
      <c r="C33804" t="s">
        <v>186</v>
      </c>
      <c r="D33804" t="s">
        <v>9222</v>
      </c>
    </row>
    <row r="33806" spans="1:4" x14ac:dyDescent="0.2">
      <c r="A33806" t="s">
        <v>11062</v>
      </c>
      <c r="B33806" t="str">
        <f>HYPERLINK("https://lindat.mff.cuni.cz/services/teitok/pdtc10/index.php?action=vallex&amp;frame=v-w4644f1", "pršet (v-w4644f1)")</f>
        <v>pršet (v-w4644f1)</v>
      </c>
    </row>
    <row r="33808" spans="1:4" x14ac:dyDescent="0.2">
      <c r="A33808" t="s">
        <v>11063</v>
      </c>
      <c r="B33808" t="str">
        <f>HYPERLINK("https://lindat.mff.cuni.cz/services/teitok/pdtc10/index.php?action=vallex&amp;frame=v-w5369f8", "psát (v-w5369f8)")</f>
        <v>psát (v-w5369f8)</v>
      </c>
    </row>
    <row r="33809" spans="1:4" x14ac:dyDescent="0.2">
      <c r="B33809" t="s">
        <v>1</v>
      </c>
    </row>
    <row r="33810" spans="1:4" x14ac:dyDescent="0.2">
      <c r="B33810" t="s">
        <v>467</v>
      </c>
    </row>
    <row r="33811" spans="1:4" x14ac:dyDescent="0.2">
      <c r="B33811" t="s">
        <v>35</v>
      </c>
    </row>
    <row r="33813" spans="1:4" x14ac:dyDescent="0.2">
      <c r="A33813" t="s">
        <v>11064</v>
      </c>
      <c r="B33813" t="str">
        <f>HYPERLINK("https://lindat.mff.cuni.cz/services/teitok/pdtc10/index.php?action=vallex&amp;frame=v-w5369f9_ZU", "psát (v-w5369f9_ZU)")</f>
        <v>psát (v-w5369f9_ZU)</v>
      </c>
    </row>
    <row r="33814" spans="1:4" x14ac:dyDescent="0.2">
      <c r="B33814" t="s">
        <v>8318</v>
      </c>
      <c r="D33814" t="s">
        <v>2303</v>
      </c>
    </row>
    <row r="33815" spans="1:4" x14ac:dyDescent="0.2">
      <c r="B33815" t="s">
        <v>11065</v>
      </c>
      <c r="D33815" t="s">
        <v>23561</v>
      </c>
    </row>
    <row r="33816" spans="1:4" x14ac:dyDescent="0.2">
      <c r="B33816" t="s">
        <v>5</v>
      </c>
    </row>
    <row r="33818" spans="1:4" x14ac:dyDescent="0.2">
      <c r="A33818" t="s">
        <v>11064</v>
      </c>
      <c r="B33818" t="str">
        <f>HYPERLINK("https://lindat.mff.cuni.cz/services/teitok/pdtc10/index.php?action=vallex&amp;frame=v-w5369f6", "psát (v-w5369f6) - substituted with v-w5369f9_ZU")</f>
        <v>psát (v-w5369f6) - substituted with v-w5369f9_ZU</v>
      </c>
    </row>
    <row r="33819" spans="1:4" x14ac:dyDescent="0.2">
      <c r="B33819" t="s">
        <v>8318</v>
      </c>
    </row>
    <row r="33820" spans="1:4" x14ac:dyDescent="0.2">
      <c r="B33820" t="s">
        <v>11065</v>
      </c>
    </row>
    <row r="33821" spans="1:4" x14ac:dyDescent="0.2">
      <c r="B33821" t="s">
        <v>5</v>
      </c>
    </row>
    <row r="33823" spans="1:4" x14ac:dyDescent="0.2">
      <c r="A33823" t="s">
        <v>11064</v>
      </c>
      <c r="B33823" t="str">
        <f>HYPERLINK("https://lindat.mff.cuni.cz/services/teitok/pdtc10/index.php?action=vallex&amp;frame=v-w5369hsa_343", "psát (v-w5369hsa_343) - substituted with v-w5369f9_ZU")</f>
        <v>psát (v-w5369hsa_343) - substituted with v-w5369f9_ZU</v>
      </c>
    </row>
    <row r="33824" spans="1:4" x14ac:dyDescent="0.2">
      <c r="B33824" t="s">
        <v>8318</v>
      </c>
    </row>
    <row r="33825" spans="1:4" x14ac:dyDescent="0.2">
      <c r="B33825" t="s">
        <v>11065</v>
      </c>
    </row>
    <row r="33826" spans="1:4" x14ac:dyDescent="0.2">
      <c r="B33826" t="s">
        <v>5</v>
      </c>
    </row>
    <row r="33828" spans="1:4" x14ac:dyDescent="0.2">
      <c r="A33828" t="s">
        <v>11066</v>
      </c>
      <c r="B33828" t="str">
        <f>HYPERLINK("https://lindat.mff.cuni.cz/services/teitok/pdtc10/index.php?action=vallex&amp;frame=v-w5369f3", "psát (v-w5369f3)")</f>
        <v>psát (v-w5369f3)</v>
      </c>
    </row>
    <row r="33829" spans="1:4" x14ac:dyDescent="0.2">
      <c r="B33829" t="s">
        <v>1</v>
      </c>
      <c r="C33829" t="s">
        <v>11067</v>
      </c>
      <c r="D33829" t="s">
        <v>22967</v>
      </c>
    </row>
    <row r="33830" spans="1:4" x14ac:dyDescent="0.2">
      <c r="B33830" t="s">
        <v>183</v>
      </c>
      <c r="C33830" t="s">
        <v>11068</v>
      </c>
      <c r="D33830" t="s">
        <v>22968</v>
      </c>
    </row>
    <row r="33831" spans="1:4" x14ac:dyDescent="0.2">
      <c r="B33831" t="s">
        <v>78</v>
      </c>
      <c r="C33831" t="s">
        <v>11069</v>
      </c>
      <c r="D33831" t="s">
        <v>22969</v>
      </c>
    </row>
    <row r="33833" spans="1:4" x14ac:dyDescent="0.2">
      <c r="A33833" t="s">
        <v>11070</v>
      </c>
      <c r="B33833" t="str">
        <f>HYPERLINK("https://lindat.mff.cuni.cz/services/teitok/pdtc10/index.php?action=vallex&amp;frame=v-w5369f5", "psát (v-w5369f5)")</f>
        <v>psát (v-w5369f5)</v>
      </c>
    </row>
    <row r="33834" spans="1:4" x14ac:dyDescent="0.2">
      <c r="B33834" t="s">
        <v>1</v>
      </c>
    </row>
    <row r="33835" spans="1:4" x14ac:dyDescent="0.2">
      <c r="B33835" t="s">
        <v>5970</v>
      </c>
    </row>
    <row r="33836" spans="1:4" x14ac:dyDescent="0.2">
      <c r="B33836" t="s">
        <v>90</v>
      </c>
    </row>
    <row r="33838" spans="1:4" x14ac:dyDescent="0.2">
      <c r="A33838" t="s">
        <v>11071</v>
      </c>
      <c r="B33838" t="str">
        <f>HYPERLINK("https://lindat.mff.cuni.cz/services/teitok/pdtc10/index.php?action=vallex&amp;frame=v-w5369f7", "psát (v-w5369f7)")</f>
        <v>psát (v-w5369f7)</v>
      </c>
    </row>
    <row r="33839" spans="1:4" x14ac:dyDescent="0.2">
      <c r="B33839" t="s">
        <v>1</v>
      </c>
    </row>
    <row r="33840" spans="1:4" x14ac:dyDescent="0.2">
      <c r="B33840" t="s">
        <v>467</v>
      </c>
    </row>
    <row r="33841" spans="1:4" x14ac:dyDescent="0.2">
      <c r="B33841" t="s">
        <v>90</v>
      </c>
    </row>
    <row r="33843" spans="1:4" x14ac:dyDescent="0.2">
      <c r="A33843" t="s">
        <v>11072</v>
      </c>
      <c r="B33843" t="str">
        <f>HYPERLINK("https://lindat.mff.cuni.cz/services/teitok/pdtc10/index.php?action=vallex&amp;frame=v-w5369f13_ZU", "psát (v-w5369f13_ZU)")</f>
        <v>psát (v-w5369f13_ZU)</v>
      </c>
    </row>
    <row r="33844" spans="1:4" x14ac:dyDescent="0.2">
      <c r="B33844" t="s">
        <v>1</v>
      </c>
    </row>
    <row r="33845" spans="1:4" x14ac:dyDescent="0.2">
      <c r="B33845" t="s">
        <v>172</v>
      </c>
    </row>
    <row r="33847" spans="1:4" x14ac:dyDescent="0.2">
      <c r="A33847" t="s">
        <v>11072</v>
      </c>
      <c r="B33847" t="str">
        <f>HYPERLINK("https://lindat.mff.cuni.cz/services/teitok/pdtc10/index.php?action=vallex&amp;frame=v-w5369f10_ZU", "psát (v-w5369f10_ZU) - substituted with v-w5369f13_ZU")</f>
        <v>psát (v-w5369f10_ZU) - substituted with v-w5369f13_ZU</v>
      </c>
    </row>
    <row r="33848" spans="1:4" x14ac:dyDescent="0.2">
      <c r="B33848" t="s">
        <v>1</v>
      </c>
    </row>
    <row r="33849" spans="1:4" x14ac:dyDescent="0.2">
      <c r="B33849" t="s">
        <v>172</v>
      </c>
    </row>
    <row r="33851" spans="1:4" x14ac:dyDescent="0.2">
      <c r="A33851" t="s">
        <v>11072</v>
      </c>
      <c r="B33851" t="str">
        <f>HYPERLINK("https://lindat.mff.cuni.cz/services/teitok/pdtc10/index.php?action=vallex&amp;frame=v-w5369f2", "psát (v-w5369f2) - substituted with v-w5369f13_ZU")</f>
        <v>psát (v-w5369f2) - substituted with v-w5369f13_ZU</v>
      </c>
    </row>
    <row r="33852" spans="1:4" x14ac:dyDescent="0.2">
      <c r="B33852" t="s">
        <v>1</v>
      </c>
      <c r="C33852" t="s">
        <v>6902</v>
      </c>
      <c r="D33852" t="s">
        <v>1566</v>
      </c>
    </row>
    <row r="33853" spans="1:4" x14ac:dyDescent="0.2">
      <c r="B33853" t="s">
        <v>172</v>
      </c>
      <c r="C33853" t="s">
        <v>1107</v>
      </c>
      <c r="D33853" t="s">
        <v>125</v>
      </c>
    </row>
    <row r="33855" spans="1:4" x14ac:dyDescent="0.2">
      <c r="A33855" t="s">
        <v>11073</v>
      </c>
      <c r="B33855" t="str">
        <f>HYPERLINK("https://lindat.mff.cuni.cz/services/teitok/pdtc10/index.php?action=vallex&amp;frame=v-w5369f14_ZU", "psát (v-w5369f14_ZU)")</f>
        <v>psát (v-w5369f14_ZU)</v>
      </c>
    </row>
    <row r="33856" spans="1:4" x14ac:dyDescent="0.2">
      <c r="B33856" t="s">
        <v>1</v>
      </c>
    </row>
    <row r="33857" spans="1:4" x14ac:dyDescent="0.2">
      <c r="B33857" t="s">
        <v>11074</v>
      </c>
    </row>
    <row r="33858" spans="1:4" x14ac:dyDescent="0.2">
      <c r="B33858" t="s">
        <v>269</v>
      </c>
    </row>
    <row r="33859" spans="1:4" x14ac:dyDescent="0.2">
      <c r="B33859" t="s">
        <v>78</v>
      </c>
    </row>
    <row r="33861" spans="1:4" x14ac:dyDescent="0.2">
      <c r="A33861" t="s">
        <v>11073</v>
      </c>
      <c r="B33861" t="str">
        <f>HYPERLINK("https://lindat.mff.cuni.cz/services/teitok/pdtc10/index.php?action=vallex&amp;frame=v-w5369f1", "psát (v-w5369f1) - substituted with v-w5369f14_ZU")</f>
        <v>psát (v-w5369f1) - substituted with v-w5369f14_ZU</v>
      </c>
    </row>
    <row r="33862" spans="1:4" x14ac:dyDescent="0.2">
      <c r="B33862" t="s">
        <v>1</v>
      </c>
      <c r="C33862" t="s">
        <v>11075</v>
      </c>
      <c r="D33862" t="s">
        <v>22967</v>
      </c>
    </row>
    <row r="33863" spans="1:4" x14ac:dyDescent="0.2">
      <c r="B33863" t="s">
        <v>11074</v>
      </c>
      <c r="C33863" t="s">
        <v>11076</v>
      </c>
      <c r="D33863" t="s">
        <v>23120</v>
      </c>
    </row>
    <row r="33864" spans="1:4" x14ac:dyDescent="0.2">
      <c r="B33864" t="s">
        <v>269</v>
      </c>
      <c r="C33864" t="s">
        <v>11077</v>
      </c>
      <c r="D33864" t="s">
        <v>22968</v>
      </c>
    </row>
    <row r="33865" spans="1:4" x14ac:dyDescent="0.2">
      <c r="B33865" t="s">
        <v>78</v>
      </c>
      <c r="C33865" t="s">
        <v>5980</v>
      </c>
      <c r="D33865" t="s">
        <v>22969</v>
      </c>
    </row>
    <row r="33867" spans="1:4" x14ac:dyDescent="0.2">
      <c r="A33867" t="s">
        <v>11073</v>
      </c>
      <c r="B33867" t="str">
        <f>HYPERLINK("https://lindat.mff.cuni.cz/services/teitok/pdtc10/index.php?action=vallex&amp;frame=v-w5369f11_ZU", "psát (v-w5369f11_ZU) - substituted with v-w5369f14_ZU")</f>
        <v>psát (v-w5369f11_ZU) - substituted with v-w5369f14_ZU</v>
      </c>
    </row>
    <row r="33868" spans="1:4" x14ac:dyDescent="0.2">
      <c r="B33868" t="s">
        <v>1</v>
      </c>
    </row>
    <row r="33869" spans="1:4" x14ac:dyDescent="0.2">
      <c r="B33869" t="s">
        <v>11074</v>
      </c>
    </row>
    <row r="33870" spans="1:4" x14ac:dyDescent="0.2">
      <c r="B33870" t="s">
        <v>269</v>
      </c>
    </row>
    <row r="33871" spans="1:4" x14ac:dyDescent="0.2">
      <c r="B33871" t="s">
        <v>78</v>
      </c>
    </row>
    <row r="33873" spans="1:3" x14ac:dyDescent="0.2">
      <c r="A33873" t="s">
        <v>11073</v>
      </c>
      <c r="B33873" t="str">
        <f>HYPERLINK("https://lindat.mff.cuni.cz/services/teitok/pdtc10/index.php?action=vallex&amp;frame=v-w5369f12_ZU", "psát (v-w5369f12_ZU) - substituted with v-w5369f14_ZU")</f>
        <v>psát (v-w5369f12_ZU) - substituted with v-w5369f14_ZU</v>
      </c>
    </row>
    <row r="33874" spans="1:3" x14ac:dyDescent="0.2">
      <c r="B33874" t="s">
        <v>1</v>
      </c>
    </row>
    <row r="33875" spans="1:3" x14ac:dyDescent="0.2">
      <c r="B33875" t="s">
        <v>11074</v>
      </c>
    </row>
    <row r="33876" spans="1:3" x14ac:dyDescent="0.2">
      <c r="B33876" t="s">
        <v>269</v>
      </c>
    </row>
    <row r="33877" spans="1:3" x14ac:dyDescent="0.2">
      <c r="B33877" t="s">
        <v>78</v>
      </c>
    </row>
    <row r="33879" spans="1:3" x14ac:dyDescent="0.2">
      <c r="A33879" t="s">
        <v>11078</v>
      </c>
      <c r="B33879" t="str">
        <f>HYPERLINK("https://lindat.mff.cuni.cz/services/teitok/pdtc10/index.php?action=vallex&amp;frame=v-w5369f4", "psát (v-w5369f4)")</f>
        <v>psát (v-w5369f4)</v>
      </c>
    </row>
    <row r="33880" spans="1:3" x14ac:dyDescent="0.2">
      <c r="B33880" t="s">
        <v>1</v>
      </c>
      <c r="C33880" t="s">
        <v>11079</v>
      </c>
    </row>
    <row r="33882" spans="1:3" x14ac:dyDescent="0.2">
      <c r="A33882" t="s">
        <v>11080</v>
      </c>
      <c r="B33882" t="str">
        <f>HYPERLINK("https://lindat.mff.cuni.cz/services/teitok/pdtc10/index.php?action=vallex&amp;frame=v-whsa_1523f1_MM", "psát si (v-whsa_1523f1_MM)")</f>
        <v>psát si (v-whsa_1523f1_MM)</v>
      </c>
    </row>
    <row r="33883" spans="1:3" x14ac:dyDescent="0.2">
      <c r="B33883" t="s">
        <v>1</v>
      </c>
    </row>
    <row r="33884" spans="1:3" x14ac:dyDescent="0.2">
      <c r="B33884" t="s">
        <v>390</v>
      </c>
    </row>
    <row r="33885" spans="1:3" x14ac:dyDescent="0.2">
      <c r="B33885" t="s">
        <v>587</v>
      </c>
    </row>
    <row r="33887" spans="1:3" x14ac:dyDescent="0.2">
      <c r="A33887" t="s">
        <v>11081</v>
      </c>
      <c r="B33887" t="str">
        <f>HYPERLINK("https://lindat.mff.cuni.cz/services/teitok/pdtc10/index.php?action=vallex&amp;frame=v-whsa_1523hsa_1524", "psát si (v-whsa_1523hsa_1524)")</f>
        <v>psát si (v-whsa_1523hsa_1524)</v>
      </c>
    </row>
    <row r="33888" spans="1:3" x14ac:dyDescent="0.2">
      <c r="B33888" t="s">
        <v>1</v>
      </c>
    </row>
    <row r="33889" spans="1:4" x14ac:dyDescent="0.2">
      <c r="B33889" t="s">
        <v>153</v>
      </c>
    </row>
    <row r="33890" spans="1:4" x14ac:dyDescent="0.2">
      <c r="B33890" t="s">
        <v>267</v>
      </c>
    </row>
    <row r="33891" spans="1:4" x14ac:dyDescent="0.2">
      <c r="B33891" t="s">
        <v>269</v>
      </c>
    </row>
    <row r="33893" spans="1:4" x14ac:dyDescent="0.2">
      <c r="A33893" t="s">
        <v>11082</v>
      </c>
      <c r="B33893" t="str">
        <f>HYPERLINK("https://lindat.mff.cuni.cz/services/teitok/pdtc10/index.php?action=vallex&amp;frame=v-w5370f1", "psávat (v-w5370f1)")</f>
        <v>psávat (v-w5370f1)</v>
      </c>
    </row>
    <row r="33894" spans="1:4" x14ac:dyDescent="0.2">
      <c r="B33894" t="s">
        <v>1</v>
      </c>
      <c r="D33894" t="s">
        <v>1566</v>
      </c>
    </row>
    <row r="33895" spans="1:4" x14ac:dyDescent="0.2">
      <c r="B33895" t="s">
        <v>8</v>
      </c>
      <c r="D33895" t="s">
        <v>125</v>
      </c>
    </row>
    <row r="33897" spans="1:4" x14ac:dyDescent="0.2">
      <c r="A33897" t="s">
        <v>11083</v>
      </c>
      <c r="B33897" t="str">
        <f>HYPERLINK("https://lindat.mff.cuni.cz/services/teitok/pdtc10/index.php?action=vallex&amp;frame=v-w5371f1", "ptát se (v-w5371f1)")</f>
        <v>ptát se (v-w5371f1)</v>
      </c>
    </row>
    <row r="33898" spans="1:4" x14ac:dyDescent="0.2">
      <c r="B33898" t="s">
        <v>1</v>
      </c>
      <c r="C33898" t="s">
        <v>11084</v>
      </c>
      <c r="D33898" t="s">
        <v>23213</v>
      </c>
    </row>
    <row r="33899" spans="1:4" x14ac:dyDescent="0.2">
      <c r="B33899" t="s">
        <v>8218</v>
      </c>
      <c r="C33899" t="s">
        <v>11085</v>
      </c>
      <c r="D33899" t="s">
        <v>23214</v>
      </c>
    </row>
    <row r="33900" spans="1:4" x14ac:dyDescent="0.2">
      <c r="B33900" t="s">
        <v>2131</v>
      </c>
      <c r="C33900" t="s">
        <v>11086</v>
      </c>
      <c r="D33900" t="s">
        <v>23215</v>
      </c>
    </row>
    <row r="33902" spans="1:4" x14ac:dyDescent="0.2">
      <c r="A33902" t="s">
        <v>11087</v>
      </c>
      <c r="B33902" t="str">
        <f>HYPERLINK("https://lindat.mff.cuni.cz/services/teitok/pdtc10/index.php?action=vallex&amp;frame=v-w5371f2", "ptát se (v-w5371f2)")</f>
        <v>ptát se (v-w5371f2)</v>
      </c>
    </row>
    <row r="33903" spans="1:4" x14ac:dyDescent="0.2">
      <c r="B33903" t="s">
        <v>1</v>
      </c>
    </row>
    <row r="33904" spans="1:4" x14ac:dyDescent="0.2">
      <c r="B33904" t="s">
        <v>1165</v>
      </c>
    </row>
    <row r="33905" spans="1:4" x14ac:dyDescent="0.2">
      <c r="B33905" t="s">
        <v>11088</v>
      </c>
    </row>
    <row r="33907" spans="1:4" x14ac:dyDescent="0.2">
      <c r="A33907" t="s">
        <v>11089</v>
      </c>
      <c r="B33907" t="str">
        <f>HYPERLINK("https://lindat.mff.cuni.cz/services/teitok/pdtc10/index.php?action=vallex&amp;frame=v-w12117_ZUf1_ZU", "ptávat se (v-w12117_ZUf1_ZU)")</f>
        <v>ptávat se (v-w12117_ZUf1_ZU)</v>
      </c>
    </row>
    <row r="33908" spans="1:4" x14ac:dyDescent="0.2">
      <c r="B33908" t="s">
        <v>1</v>
      </c>
    </row>
    <row r="33909" spans="1:4" x14ac:dyDescent="0.2">
      <c r="B33909" t="s">
        <v>8218</v>
      </c>
    </row>
    <row r="33910" spans="1:4" x14ac:dyDescent="0.2">
      <c r="B33910" t="s">
        <v>2131</v>
      </c>
    </row>
    <row r="33912" spans="1:4" x14ac:dyDescent="0.2">
      <c r="A33912" t="s">
        <v>11090</v>
      </c>
      <c r="B33912" t="str">
        <f>HYPERLINK("https://lindat.mff.cuni.cz/services/teitok/pdtc10/index.php?action=vallex&amp;frame=v-w5374f1", "publikovat (v-w5374f1)")</f>
        <v>publikovat (v-w5374f1)</v>
      </c>
    </row>
    <row r="33913" spans="1:4" x14ac:dyDescent="0.2">
      <c r="B33913" t="s">
        <v>1</v>
      </c>
      <c r="C33913" t="s">
        <v>11091</v>
      </c>
      <c r="D33913" t="s">
        <v>23982</v>
      </c>
    </row>
    <row r="33914" spans="1:4" x14ac:dyDescent="0.2">
      <c r="B33914" t="s">
        <v>8</v>
      </c>
      <c r="C33914" t="s">
        <v>11092</v>
      </c>
      <c r="D33914" t="s">
        <v>23983</v>
      </c>
    </row>
    <row r="33916" spans="1:4" x14ac:dyDescent="0.2">
      <c r="A33916" t="s">
        <v>11093</v>
      </c>
      <c r="B33916" t="str">
        <f>HYPERLINK("https://lindat.mff.cuni.cz/services/teitok/pdtc10/index.php?action=vallex&amp;frame=v-w5374f2", "publikovat (v-w5374f2)")</f>
        <v>publikovat (v-w5374f2)</v>
      </c>
    </row>
    <row r="33917" spans="1:4" x14ac:dyDescent="0.2">
      <c r="B33917" t="s">
        <v>1</v>
      </c>
    </row>
    <row r="33918" spans="1:4" x14ac:dyDescent="0.2">
      <c r="B33918" t="s">
        <v>1609</v>
      </c>
    </row>
    <row r="33919" spans="1:4" x14ac:dyDescent="0.2">
      <c r="B33919" t="s">
        <v>269</v>
      </c>
    </row>
    <row r="33921" spans="1:4" x14ac:dyDescent="0.2">
      <c r="A33921" t="s">
        <v>11094</v>
      </c>
      <c r="B33921" t="str">
        <f>HYPERLINK("https://lindat.mff.cuni.cz/services/teitok/pdtc10/index.php?action=vallex&amp;frame=v-whsa_137hsa_138", "pukat (v-whsa_137hsa_138)")</f>
        <v>pukat (v-whsa_137hsa_138)</v>
      </c>
    </row>
    <row r="33922" spans="1:4" x14ac:dyDescent="0.2">
      <c r="B33922" t="s">
        <v>1</v>
      </c>
      <c r="C33922" t="s">
        <v>33</v>
      </c>
      <c r="D33922" t="s">
        <v>9773</v>
      </c>
    </row>
    <row r="33924" spans="1:4" x14ac:dyDescent="0.2">
      <c r="A33924" t="s">
        <v>11095</v>
      </c>
      <c r="B33924" t="str">
        <f>HYPERLINK("https://lindat.mff.cuni.cz/services/teitok/pdtc10/index.php?action=vallex&amp;frame=v-w5383f1", "puknout (v-w5383f1)")</f>
        <v>puknout (v-w5383f1)</v>
      </c>
    </row>
    <row r="33925" spans="1:4" x14ac:dyDescent="0.2">
      <c r="B33925" t="s">
        <v>1</v>
      </c>
    </row>
    <row r="33927" spans="1:4" x14ac:dyDescent="0.2">
      <c r="A33927" t="s">
        <v>11096</v>
      </c>
      <c r="B33927" t="str">
        <f>HYPERLINK("https://lindat.mff.cuni.cz/services/teitok/pdtc10/index.php?action=vallex&amp;frame=v-whsa_36hsa_37", "pulsovat (v-whsa_36hsa_37)")</f>
        <v>pulsovat (v-whsa_36hsa_37)</v>
      </c>
    </row>
    <row r="33928" spans="1:4" x14ac:dyDescent="0.2">
      <c r="B33928" t="s">
        <v>1</v>
      </c>
    </row>
    <row r="33930" spans="1:4" x14ac:dyDescent="0.2">
      <c r="A33930" t="s">
        <v>11097</v>
      </c>
      <c r="B33930" t="str">
        <f>HYPERLINK("https://lindat.mff.cuni.cz/services/teitok/pdtc10/index.php?action=vallex&amp;frame=v-whsa_857hsa_858", "pumpovat (v-whsa_857hsa_858)")</f>
        <v>pumpovat (v-whsa_857hsa_858)</v>
      </c>
    </row>
    <row r="33931" spans="1:4" x14ac:dyDescent="0.2">
      <c r="B33931" t="s">
        <v>1</v>
      </c>
      <c r="C33931" t="s">
        <v>11098</v>
      </c>
    </row>
    <row r="33932" spans="1:4" x14ac:dyDescent="0.2">
      <c r="B33932" t="s">
        <v>8</v>
      </c>
      <c r="C33932" t="s">
        <v>6651</v>
      </c>
    </row>
    <row r="33933" spans="1:4" x14ac:dyDescent="0.2">
      <c r="B33933" t="s">
        <v>90</v>
      </c>
    </row>
    <row r="33935" spans="1:4" x14ac:dyDescent="0.2">
      <c r="A33935" t="s">
        <v>11099</v>
      </c>
      <c r="B33935" t="str">
        <f>HYPERLINK("https://lindat.mff.cuni.cz/services/teitok/pdtc10/index.php?action=vallex&amp;frame=v-whsa_857f1_ZU", "pumpovat (v-whsa_857f1_ZU)")</f>
        <v>pumpovat (v-whsa_857f1_ZU)</v>
      </c>
    </row>
    <row r="33936" spans="1:4" x14ac:dyDescent="0.2">
      <c r="B33936" t="s">
        <v>1</v>
      </c>
    </row>
    <row r="33937" spans="1:2" x14ac:dyDescent="0.2">
      <c r="B33937" t="s">
        <v>8</v>
      </c>
    </row>
    <row r="33939" spans="1:2" x14ac:dyDescent="0.2">
      <c r="A33939" t="s">
        <v>11100</v>
      </c>
      <c r="B33939" t="str">
        <f>HYPERLINK("https://lindat.mff.cuni.cz/services/teitok/pdtc10/index.php?action=vallex&amp;frame=v-whsa_1025hsa_1026", "puncovat (v-whsa_1025hsa_1026)")</f>
        <v>puncovat (v-whsa_1025hsa_1026)</v>
      </c>
    </row>
    <row r="33940" spans="1:2" x14ac:dyDescent="0.2">
      <c r="B33940" t="s">
        <v>1</v>
      </c>
    </row>
    <row r="33941" spans="1:2" x14ac:dyDescent="0.2">
      <c r="B33941" t="s">
        <v>8</v>
      </c>
    </row>
    <row r="33943" spans="1:2" x14ac:dyDescent="0.2">
      <c r="A33943" t="s">
        <v>11101</v>
      </c>
      <c r="B33943" t="str">
        <f>HYPERLINK("https://lindat.mff.cuni.cz/services/teitok/pdtc10/index.php?action=vallex&amp;frame=v-w5385f2", "pusinkovat (v-w5385f2)")</f>
        <v>pusinkovat (v-w5385f2)</v>
      </c>
    </row>
    <row r="33944" spans="1:2" x14ac:dyDescent="0.2">
      <c r="B33944" t="s">
        <v>1</v>
      </c>
    </row>
    <row r="33945" spans="1:2" x14ac:dyDescent="0.2">
      <c r="B33945" t="s">
        <v>411</v>
      </c>
    </row>
    <row r="33946" spans="1:2" x14ac:dyDescent="0.2">
      <c r="B33946" t="s">
        <v>1056</v>
      </c>
    </row>
    <row r="33948" spans="1:2" x14ac:dyDescent="0.2">
      <c r="A33948" t="s">
        <v>11102</v>
      </c>
      <c r="B33948" t="str">
        <f>HYPERLINK("https://lindat.mff.cuni.cz/services/teitok/pdtc10/index.php?action=vallex&amp;frame=v-w5385f1", "pusinkovat (v-w5385f1)")</f>
        <v>pusinkovat (v-w5385f1)</v>
      </c>
    </row>
    <row r="33949" spans="1:2" x14ac:dyDescent="0.2">
      <c r="B33949" t="s">
        <v>1</v>
      </c>
    </row>
    <row r="33950" spans="1:2" x14ac:dyDescent="0.2">
      <c r="B33950" t="s">
        <v>8</v>
      </c>
    </row>
    <row r="33952" spans="1:2" x14ac:dyDescent="0.2">
      <c r="A33952" t="s">
        <v>11103</v>
      </c>
      <c r="B33952" t="str">
        <f>HYPERLINK("https://lindat.mff.cuni.cz/services/teitok/pdtc10/index.php?action=vallex&amp;frame=v-w5390f3", "pustit (v-w5390f3)")</f>
        <v>pustit (v-w5390f3)</v>
      </c>
    </row>
    <row r="33953" spans="1:4" x14ac:dyDescent="0.2">
      <c r="B33953" t="s">
        <v>1</v>
      </c>
    </row>
    <row r="33954" spans="1:4" x14ac:dyDescent="0.2">
      <c r="B33954" t="s">
        <v>176</v>
      </c>
    </row>
    <row r="33955" spans="1:4" x14ac:dyDescent="0.2">
      <c r="B33955" t="s">
        <v>58</v>
      </c>
    </row>
    <row r="33957" spans="1:4" x14ac:dyDescent="0.2">
      <c r="A33957" t="s">
        <v>11104</v>
      </c>
      <c r="B33957" t="str">
        <f>HYPERLINK("https://lindat.mff.cuni.cz/services/teitok/pdtc10/index.php?action=vallex&amp;frame=v-w5390f1", "pustit (v-w5390f1)")</f>
        <v>pustit (v-w5390f1)</v>
      </c>
    </row>
    <row r="33958" spans="1:4" x14ac:dyDescent="0.2">
      <c r="B33958" t="s">
        <v>1</v>
      </c>
      <c r="C33958" t="s">
        <v>43</v>
      </c>
    </row>
    <row r="33959" spans="1:4" x14ac:dyDescent="0.2">
      <c r="B33959" t="s">
        <v>8</v>
      </c>
      <c r="C33959" t="s">
        <v>9397</v>
      </c>
    </row>
    <row r="33960" spans="1:4" x14ac:dyDescent="0.2">
      <c r="B33960" t="s">
        <v>90</v>
      </c>
      <c r="C33960" t="s">
        <v>11105</v>
      </c>
    </row>
    <row r="33962" spans="1:4" x14ac:dyDescent="0.2">
      <c r="A33962" t="s">
        <v>11106</v>
      </c>
      <c r="B33962" t="str">
        <f>HYPERLINK("https://lindat.mff.cuni.cz/services/teitok/pdtc10/index.php?action=vallex&amp;frame=v-w5390f2", "pustit (v-w5390f2)")</f>
        <v>pustit (v-w5390f2)</v>
      </c>
    </row>
    <row r="33963" spans="1:4" x14ac:dyDescent="0.2">
      <c r="B33963" t="s">
        <v>1</v>
      </c>
      <c r="C33963" t="s">
        <v>1504</v>
      </c>
      <c r="D33963" t="s">
        <v>23064</v>
      </c>
    </row>
    <row r="33964" spans="1:4" x14ac:dyDescent="0.2">
      <c r="B33964" t="s">
        <v>8</v>
      </c>
      <c r="C33964" t="s">
        <v>10484</v>
      </c>
      <c r="D33964" t="s">
        <v>23065</v>
      </c>
    </row>
    <row r="33966" spans="1:4" x14ac:dyDescent="0.2">
      <c r="A33966" t="s">
        <v>11107</v>
      </c>
      <c r="B33966" t="str">
        <f>HYPERLINK("https://lindat.mff.cuni.cz/services/teitok/pdtc10/index.php?action=vallex&amp;frame=v-w5390f7", "pustit (v-w5390f7)")</f>
        <v>pustit (v-w5390f7)</v>
      </c>
    </row>
    <row r="33967" spans="1:4" x14ac:dyDescent="0.2">
      <c r="B33967" t="s">
        <v>1</v>
      </c>
      <c r="C33967" t="s">
        <v>3580</v>
      </c>
    </row>
    <row r="33968" spans="1:4" x14ac:dyDescent="0.2">
      <c r="B33968" t="s">
        <v>8</v>
      </c>
      <c r="C33968" t="s">
        <v>11108</v>
      </c>
    </row>
    <row r="33970" spans="1:4" x14ac:dyDescent="0.2">
      <c r="A33970" t="s">
        <v>11109</v>
      </c>
      <c r="B33970" t="str">
        <f>HYPERLINK("https://lindat.mff.cuni.cz/services/teitok/pdtc10/index.php?action=vallex&amp;frame=v-w5390f6", "pustit (v-w5390f6)")</f>
        <v>pustit (v-w5390f6)</v>
      </c>
    </row>
    <row r="33971" spans="1:4" x14ac:dyDescent="0.2">
      <c r="B33971" t="s">
        <v>1</v>
      </c>
      <c r="D33971" t="s">
        <v>23238</v>
      </c>
    </row>
    <row r="33972" spans="1:4" x14ac:dyDescent="0.2">
      <c r="B33972" t="s">
        <v>8</v>
      </c>
      <c r="D33972" t="s">
        <v>23239</v>
      </c>
    </row>
    <row r="33974" spans="1:4" x14ac:dyDescent="0.2">
      <c r="A33974" t="s">
        <v>11110</v>
      </c>
      <c r="B33974" t="str">
        <f>HYPERLINK("https://lindat.mff.cuni.cz/services/teitok/pdtc10/index.php?action=vallex&amp;frame=v-w5390f4", "pustit (v-w5390f4)")</f>
        <v>pustit (v-w5390f4)</v>
      </c>
    </row>
    <row r="33975" spans="1:4" x14ac:dyDescent="0.2">
      <c r="B33975" t="s">
        <v>1</v>
      </c>
    </row>
    <row r="33976" spans="1:4" x14ac:dyDescent="0.2">
      <c r="B33976" t="s">
        <v>11111</v>
      </c>
    </row>
    <row r="33977" spans="1:4" x14ac:dyDescent="0.2">
      <c r="B33977" t="s">
        <v>8</v>
      </c>
    </row>
    <row r="33979" spans="1:4" x14ac:dyDescent="0.2">
      <c r="A33979" t="s">
        <v>11112</v>
      </c>
      <c r="B33979" t="str">
        <f>HYPERLINK("https://lindat.mff.cuni.cz/services/teitok/pdtc10/index.php?action=vallex&amp;frame=v-w5390f5", "pustit (v-w5390f5)")</f>
        <v>pustit (v-w5390f5)</v>
      </c>
    </row>
    <row r="33980" spans="1:4" x14ac:dyDescent="0.2">
      <c r="B33980" t="s">
        <v>1</v>
      </c>
    </row>
    <row r="33981" spans="1:4" x14ac:dyDescent="0.2">
      <c r="B33981" t="s">
        <v>11113</v>
      </c>
    </row>
    <row r="33982" spans="1:4" x14ac:dyDescent="0.2">
      <c r="B33982" t="s">
        <v>8</v>
      </c>
    </row>
    <row r="33984" spans="1:4" x14ac:dyDescent="0.2">
      <c r="A33984" t="s">
        <v>11114</v>
      </c>
      <c r="B33984" t="str">
        <f>HYPERLINK("https://lindat.mff.cuni.cz/services/teitok/pdtc10/index.php?action=vallex&amp;frame=v-w5390f9_ZU", "pustit (v-w5390f9_ZU)")</f>
        <v>pustit (v-w5390f9_ZU)</v>
      </c>
    </row>
    <row r="33985" spans="1:4" x14ac:dyDescent="0.2">
      <c r="B33985" t="s">
        <v>1</v>
      </c>
    </row>
    <row r="33986" spans="1:4" x14ac:dyDescent="0.2">
      <c r="B33986" t="s">
        <v>8</v>
      </c>
    </row>
    <row r="33987" spans="1:4" x14ac:dyDescent="0.2">
      <c r="B33987" t="s">
        <v>90</v>
      </c>
    </row>
    <row r="33989" spans="1:4" x14ac:dyDescent="0.2">
      <c r="A33989" t="s">
        <v>11114</v>
      </c>
      <c r="B33989" t="str">
        <f>HYPERLINK("https://lindat.mff.cuni.cz/services/teitok/pdtc10/index.php?action=vallex&amp;frame=v-w5390f8_ZU", "pustit (v-w5390f8_ZU) - substituted with v-w5390f9_ZU")</f>
        <v>pustit (v-w5390f8_ZU) - substituted with v-w5390f9_ZU</v>
      </c>
    </row>
    <row r="33990" spans="1:4" x14ac:dyDescent="0.2">
      <c r="B33990" t="s">
        <v>1</v>
      </c>
    </row>
    <row r="33991" spans="1:4" x14ac:dyDescent="0.2">
      <c r="B33991" t="s">
        <v>8</v>
      </c>
    </row>
    <row r="33992" spans="1:4" x14ac:dyDescent="0.2">
      <c r="B33992" t="s">
        <v>90</v>
      </c>
    </row>
    <row r="33994" spans="1:4" x14ac:dyDescent="0.2">
      <c r="A33994" t="s">
        <v>11115</v>
      </c>
      <c r="B33994" t="str">
        <f>HYPERLINK("https://lindat.mff.cuni.cz/services/teitok/pdtc10/index.php?action=vallex&amp;frame=v-w5390f10_ZU", "pustit (v-w5390f10_ZU)")</f>
        <v>pustit (v-w5390f10_ZU)</v>
      </c>
    </row>
    <row r="33995" spans="1:4" x14ac:dyDescent="0.2">
      <c r="B33995" t="s">
        <v>1</v>
      </c>
    </row>
    <row r="33996" spans="1:4" x14ac:dyDescent="0.2">
      <c r="B33996" t="s">
        <v>8</v>
      </c>
    </row>
    <row r="33998" spans="1:4" x14ac:dyDescent="0.2">
      <c r="A33998" t="s">
        <v>11116</v>
      </c>
      <c r="B33998" t="str">
        <f>HYPERLINK("https://lindat.mff.cuni.cz/services/teitok/pdtc10/index.php?action=vallex&amp;frame=v-w5391f2", "pustit se (v-w5391f2)")</f>
        <v>pustit se (v-w5391f2)</v>
      </c>
    </row>
    <row r="33999" spans="1:4" x14ac:dyDescent="0.2">
      <c r="B33999" t="s">
        <v>1</v>
      </c>
      <c r="C33999" t="s">
        <v>11117</v>
      </c>
      <c r="D33999" t="s">
        <v>23278</v>
      </c>
    </row>
    <row r="34000" spans="1:4" x14ac:dyDescent="0.2">
      <c r="B34000" t="s">
        <v>817</v>
      </c>
      <c r="C34000" t="s">
        <v>11118</v>
      </c>
      <c r="D34000" t="s">
        <v>23279</v>
      </c>
    </row>
    <row r="34002" spans="1:3" x14ac:dyDescent="0.2">
      <c r="A34002" t="s">
        <v>11119</v>
      </c>
      <c r="B34002" t="str">
        <f>HYPERLINK("https://lindat.mff.cuni.cz/services/teitok/pdtc10/index.php?action=vallex&amp;frame=v-w5391f3", "pustit se (v-w5391f3)")</f>
        <v>pustit se (v-w5391f3)</v>
      </c>
    </row>
    <row r="34003" spans="1:3" x14ac:dyDescent="0.2">
      <c r="B34003" t="s">
        <v>1</v>
      </c>
    </row>
    <row r="34004" spans="1:3" x14ac:dyDescent="0.2">
      <c r="B34004" t="s">
        <v>90</v>
      </c>
    </row>
    <row r="34006" spans="1:3" x14ac:dyDescent="0.2">
      <c r="A34006" t="s">
        <v>11120</v>
      </c>
      <c r="B34006" t="str">
        <f>HYPERLINK("https://lindat.mff.cuni.cz/services/teitok/pdtc10/index.php?action=vallex&amp;frame=v-w5391f10_MM", "pustit se (v-w5391f10_MM)")</f>
        <v>pustit se (v-w5391f10_MM)</v>
      </c>
    </row>
    <row r="34007" spans="1:3" x14ac:dyDescent="0.2">
      <c r="B34007" t="s">
        <v>1</v>
      </c>
    </row>
    <row r="34008" spans="1:3" x14ac:dyDescent="0.2">
      <c r="B34008" t="s">
        <v>11121</v>
      </c>
    </row>
    <row r="34010" spans="1:3" x14ac:dyDescent="0.2">
      <c r="A34010" t="s">
        <v>11120</v>
      </c>
      <c r="B34010" t="str">
        <f>HYPERLINK("https://lindat.mff.cuni.cz/services/teitok/pdtc10/index.php?action=vallex&amp;frame=v-w5391f1", "pustit se (v-w5391f1) - substituted with v-w5391f10_MM")</f>
        <v>pustit se (v-w5391f1) - substituted with v-w5391f10_MM</v>
      </c>
    </row>
    <row r="34011" spans="1:3" x14ac:dyDescent="0.2">
      <c r="B34011" t="s">
        <v>1</v>
      </c>
      <c r="C34011" t="s">
        <v>1606</v>
      </c>
    </row>
    <row r="34012" spans="1:3" x14ac:dyDescent="0.2">
      <c r="B34012" t="s">
        <v>11121</v>
      </c>
      <c r="C34012" t="s">
        <v>2696</v>
      </c>
    </row>
    <row r="34014" spans="1:3" x14ac:dyDescent="0.2">
      <c r="A34014" t="s">
        <v>11120</v>
      </c>
      <c r="B34014" t="str">
        <f>HYPERLINK("https://lindat.mff.cuni.cz/services/teitok/pdtc10/index.php?action=vallex&amp;frame=v-w5391f4_ZU", "pustit se (v-w5391f4_ZU) - substituted with v-w5391f10_MM")</f>
        <v>pustit se (v-w5391f4_ZU) - substituted with v-w5391f10_MM</v>
      </c>
    </row>
    <row r="34015" spans="1:3" x14ac:dyDescent="0.2">
      <c r="B34015" t="s">
        <v>1</v>
      </c>
    </row>
    <row r="34016" spans="1:3" x14ac:dyDescent="0.2">
      <c r="B34016" t="s">
        <v>11121</v>
      </c>
    </row>
    <row r="34018" spans="1:4" x14ac:dyDescent="0.2">
      <c r="A34018" t="s">
        <v>11120</v>
      </c>
      <c r="B34018" t="str">
        <f>HYPERLINK("https://lindat.mff.cuni.cz/services/teitok/pdtc10/index.php?action=vallex&amp;frame=v-w5391f5_ZU", "pustit se (v-w5391f5_ZU) - substituted with v-w5391f10_MM")</f>
        <v>pustit se (v-w5391f5_ZU) - substituted with v-w5391f10_MM</v>
      </c>
    </row>
    <row r="34019" spans="1:4" x14ac:dyDescent="0.2">
      <c r="B34019" t="s">
        <v>1</v>
      </c>
      <c r="C34019" t="s">
        <v>11122</v>
      </c>
    </row>
    <row r="34020" spans="1:4" x14ac:dyDescent="0.2">
      <c r="B34020" t="s">
        <v>11121</v>
      </c>
      <c r="C34020" t="s">
        <v>11123</v>
      </c>
    </row>
    <row r="34022" spans="1:4" x14ac:dyDescent="0.2">
      <c r="A34022" t="s">
        <v>11120</v>
      </c>
      <c r="B34022" t="str">
        <f>HYPERLINK("https://lindat.mff.cuni.cz/services/teitok/pdtc10/index.php?action=vallex&amp;frame=v-w5391f6_ZU", "pustit se (v-w5391f6_ZU) - substituted with v-w5391f10_MM")</f>
        <v>pustit se (v-w5391f6_ZU) - substituted with v-w5391f10_MM</v>
      </c>
    </row>
    <row r="34023" spans="1:4" x14ac:dyDescent="0.2">
      <c r="B34023" t="s">
        <v>1</v>
      </c>
    </row>
    <row r="34024" spans="1:4" x14ac:dyDescent="0.2">
      <c r="B34024" t="s">
        <v>11121</v>
      </c>
    </row>
    <row r="34026" spans="1:4" x14ac:dyDescent="0.2">
      <c r="A34026" t="s">
        <v>11120</v>
      </c>
      <c r="B34026" t="str">
        <f>HYPERLINK("https://lindat.mff.cuni.cz/services/teitok/pdtc10/index.php?action=vallex&amp;frame=v-w5391f7_ZU", "pustit se (v-w5391f7_ZU) - substituted with v-w5391f10_MM")</f>
        <v>pustit se (v-w5391f7_ZU) - substituted with v-w5391f10_MM</v>
      </c>
    </row>
    <row r="34027" spans="1:4" x14ac:dyDescent="0.2">
      <c r="B34027" t="s">
        <v>1</v>
      </c>
      <c r="C34027" t="s">
        <v>11124</v>
      </c>
      <c r="D34027" t="s">
        <v>22950</v>
      </c>
    </row>
    <row r="34028" spans="1:4" x14ac:dyDescent="0.2">
      <c r="B34028" t="s">
        <v>11121</v>
      </c>
      <c r="C34028" t="s">
        <v>11125</v>
      </c>
      <c r="D34028" t="s">
        <v>23984</v>
      </c>
    </row>
    <row r="34030" spans="1:4" x14ac:dyDescent="0.2">
      <c r="A34030" t="s">
        <v>11120</v>
      </c>
      <c r="B34030" t="str">
        <f>HYPERLINK("https://lindat.mff.cuni.cz/services/teitok/pdtc10/index.php?action=vallex&amp;frame=v-w5391f8_ZU", "pustit se (v-w5391f8_ZU) - substituted with v-w5391f10_MM")</f>
        <v>pustit se (v-w5391f8_ZU) - substituted with v-w5391f10_MM</v>
      </c>
    </row>
    <row r="34031" spans="1:4" x14ac:dyDescent="0.2">
      <c r="B34031" t="s">
        <v>1</v>
      </c>
    </row>
    <row r="34032" spans="1:4" x14ac:dyDescent="0.2">
      <c r="B34032" t="s">
        <v>11121</v>
      </c>
    </row>
    <row r="34034" spans="1:2" x14ac:dyDescent="0.2">
      <c r="A34034" t="s">
        <v>11120</v>
      </c>
      <c r="B34034" t="str">
        <f>HYPERLINK("https://lindat.mff.cuni.cz/services/teitok/pdtc10/index.php?action=vallex&amp;frame=v-w5391f9_ZU", "pustit se (v-w5391f9_ZU) - substituted with v-w5391f10_MM")</f>
        <v>pustit se (v-w5391f9_ZU) - substituted with v-w5391f10_MM</v>
      </c>
    </row>
    <row r="34035" spans="1:2" x14ac:dyDescent="0.2">
      <c r="B34035" t="s">
        <v>1</v>
      </c>
    </row>
    <row r="34036" spans="1:2" x14ac:dyDescent="0.2">
      <c r="B34036" t="s">
        <v>11121</v>
      </c>
    </row>
    <row r="34038" spans="1:2" x14ac:dyDescent="0.2">
      <c r="A34038" t="s">
        <v>11120</v>
      </c>
      <c r="B34038" t="str">
        <f>HYPERLINK("https://lindat.mff.cuni.cz/services/teitok/pdtc10/index.php?action=vallex&amp;frame=v-w5391hsa_877", "pustit se (v-w5391hsa_877) - substituted with v-w5391f10_MM")</f>
        <v>pustit se (v-w5391hsa_877) - substituted with v-w5391f10_MM</v>
      </c>
    </row>
    <row r="34039" spans="1:2" x14ac:dyDescent="0.2">
      <c r="B34039" t="s">
        <v>1</v>
      </c>
    </row>
    <row r="34040" spans="1:2" x14ac:dyDescent="0.2">
      <c r="B34040" t="s">
        <v>11121</v>
      </c>
    </row>
    <row r="34042" spans="1:2" x14ac:dyDescent="0.2">
      <c r="A34042" t="s">
        <v>11126</v>
      </c>
      <c r="B34042" t="str">
        <f>HYPERLINK("https://lindat.mff.cuni.cz/services/teitok/pdtc10/index.php?action=vallex&amp;frame=v-w5391hsa_1801", "pustit se (v-w5391hsa_1801)")</f>
        <v>pustit se (v-w5391hsa_1801)</v>
      </c>
    </row>
    <row r="34043" spans="1:2" x14ac:dyDescent="0.2">
      <c r="B34043" t="s">
        <v>1</v>
      </c>
    </row>
    <row r="34044" spans="1:2" x14ac:dyDescent="0.2">
      <c r="B34044" t="s">
        <v>817</v>
      </c>
    </row>
    <row r="34046" spans="1:2" x14ac:dyDescent="0.2">
      <c r="A34046" t="s">
        <v>11127</v>
      </c>
      <c r="B34046" t="str">
        <f>HYPERLINK("https://lindat.mff.cuni.cz/services/teitok/pdtc10/index.php?action=vallex&amp;frame=v-w5391hsa_1802", "pustit se (v-w5391hsa_1802)")</f>
        <v>pustit se (v-w5391hsa_1802)</v>
      </c>
    </row>
    <row r="34047" spans="1:2" x14ac:dyDescent="0.2">
      <c r="B34047" t="s">
        <v>1</v>
      </c>
    </row>
    <row r="34048" spans="1:2" x14ac:dyDescent="0.2">
      <c r="B34048" t="s">
        <v>817</v>
      </c>
    </row>
    <row r="34050" spans="1:4" x14ac:dyDescent="0.2">
      <c r="A34050" t="s">
        <v>11128</v>
      </c>
      <c r="B34050" t="str">
        <f>HYPERLINK("https://lindat.mff.cuni.cz/services/teitok/pdtc10/index.php?action=vallex&amp;frame=v-w5393f1", "putovat (v-w5393f1)")</f>
        <v>putovat (v-w5393f1)</v>
      </c>
    </row>
    <row r="34051" spans="1:4" x14ac:dyDescent="0.2">
      <c r="B34051" t="s">
        <v>1</v>
      </c>
      <c r="C34051" t="s">
        <v>11129</v>
      </c>
      <c r="D34051" t="s">
        <v>23045</v>
      </c>
    </row>
    <row r="34053" spans="1:4" x14ac:dyDescent="0.2">
      <c r="A34053" t="s">
        <v>11130</v>
      </c>
      <c r="B34053" t="str">
        <f>HYPERLINK("https://lindat.mff.cuni.cz/services/teitok/pdtc10/index.php?action=vallex&amp;frame=v-w5395f1", "pykat (v-w5395f1)")</f>
        <v>pykat (v-w5395f1)</v>
      </c>
    </row>
    <row r="34054" spans="1:4" x14ac:dyDescent="0.2">
      <c r="B34054" t="s">
        <v>1</v>
      </c>
    </row>
    <row r="34055" spans="1:4" x14ac:dyDescent="0.2">
      <c r="B34055" t="s">
        <v>1382</v>
      </c>
    </row>
    <row r="34057" spans="1:4" x14ac:dyDescent="0.2">
      <c r="A34057" t="s">
        <v>11131</v>
      </c>
      <c r="B34057" t="str">
        <f>HYPERLINK("https://lindat.mff.cuni.cz/services/teitok/pdtc10/index.php?action=vallex&amp;frame=v-w5398f1", "pytlačit (v-w5398f1)")</f>
        <v>pytlačit (v-w5398f1)</v>
      </c>
    </row>
    <row r="34058" spans="1:4" x14ac:dyDescent="0.2">
      <c r="B34058" t="s">
        <v>1</v>
      </c>
    </row>
    <row r="34060" spans="1:4" x14ac:dyDescent="0.2">
      <c r="A34060" t="s">
        <v>11132</v>
      </c>
      <c r="B34060" t="str">
        <f>HYPERLINK("https://lindat.mff.cuni.cz/services/teitok/pdtc10/index.php?action=vallex&amp;frame=v-w5396f1", "pyšnit se (v-w5396f1)")</f>
        <v>pyšnit se (v-w5396f1)</v>
      </c>
    </row>
    <row r="34061" spans="1:4" x14ac:dyDescent="0.2">
      <c r="B34061" t="s">
        <v>1</v>
      </c>
      <c r="C34061" t="s">
        <v>11133</v>
      </c>
      <c r="D34061" t="s">
        <v>4110</v>
      </c>
    </row>
    <row r="34062" spans="1:4" x14ac:dyDescent="0.2">
      <c r="B34062" t="s">
        <v>158</v>
      </c>
      <c r="C34062" t="s">
        <v>2146</v>
      </c>
      <c r="D34062" t="s">
        <v>17</v>
      </c>
    </row>
    <row r="34064" spans="1:4" x14ac:dyDescent="0.2">
      <c r="A34064" t="s">
        <v>11134</v>
      </c>
      <c r="B34064" t="str">
        <f>HYPERLINK("https://lindat.mff.cuni.cz/services/teitok/pdtc10/index.php?action=vallex&amp;frame=v-w3358f1", "páchat (v-w3358f1)")</f>
        <v>páchat (v-w3358f1)</v>
      </c>
    </row>
    <row r="34065" spans="1:4" x14ac:dyDescent="0.2">
      <c r="B34065" t="s">
        <v>1</v>
      </c>
      <c r="C34065" t="s">
        <v>990</v>
      </c>
      <c r="D34065" t="s">
        <v>80</v>
      </c>
    </row>
    <row r="34066" spans="1:4" x14ac:dyDescent="0.2">
      <c r="B34066" t="s">
        <v>8</v>
      </c>
      <c r="C34066" t="s">
        <v>3773</v>
      </c>
      <c r="D34066" t="s">
        <v>354</v>
      </c>
    </row>
    <row r="34068" spans="1:4" x14ac:dyDescent="0.2">
      <c r="A34068" t="s">
        <v>11135</v>
      </c>
      <c r="B34068" t="str">
        <f>HYPERLINK("https://lindat.mff.cuni.cz/services/teitok/pdtc10/index.php?action=vallex&amp;frame=v-w3360f1", "páchnout (v-w3360f1)")</f>
        <v>páchnout (v-w3360f1)</v>
      </c>
    </row>
    <row r="34069" spans="1:4" x14ac:dyDescent="0.2">
      <c r="B34069" t="s">
        <v>1</v>
      </c>
      <c r="C34069" t="s">
        <v>2172</v>
      </c>
      <c r="D34069" t="s">
        <v>715</v>
      </c>
    </row>
    <row r="34070" spans="1:4" x14ac:dyDescent="0.2">
      <c r="B34070" t="s">
        <v>11136</v>
      </c>
    </row>
    <row r="34072" spans="1:4" x14ac:dyDescent="0.2">
      <c r="A34072" t="s">
        <v>11137</v>
      </c>
      <c r="B34072" t="str">
        <f>HYPERLINK("https://lindat.mff.cuni.cz/services/teitok/pdtc10/index.php?action=vallex&amp;frame=v-w11942_ZUf2_ZU", "pádlovat (v-w11942_ZUf2_ZU)")</f>
        <v>pádlovat (v-w11942_ZUf2_ZU)</v>
      </c>
    </row>
    <row r="34073" spans="1:4" x14ac:dyDescent="0.2">
      <c r="B34073" t="s">
        <v>1</v>
      </c>
    </row>
    <row r="34075" spans="1:4" x14ac:dyDescent="0.2">
      <c r="A34075" t="s">
        <v>11137</v>
      </c>
      <c r="B34075" t="str">
        <f>HYPERLINK("https://lindat.mff.cuni.cz/services/teitok/pdtc10/index.php?action=vallex&amp;frame=v-w11942_ZUf1_ZU", "pádlovat (v-w11942_ZUf1_ZU) - substituted with v-w11942_ZUf2_ZU")</f>
        <v>pádlovat (v-w11942_ZUf1_ZU) - substituted with v-w11942_ZUf2_ZU</v>
      </c>
    </row>
    <row r="34076" spans="1:4" x14ac:dyDescent="0.2">
      <c r="B34076" t="s">
        <v>1</v>
      </c>
    </row>
    <row r="34078" spans="1:4" x14ac:dyDescent="0.2">
      <c r="A34078" t="s">
        <v>11138</v>
      </c>
      <c r="B34078" t="str">
        <f>HYPERLINK("https://lindat.mff.cuni.cz/services/teitok/pdtc10/index.php?action=vallex&amp;frame=v-w3364f1", "pálit (v-w3364f1)")</f>
        <v>pálit (v-w3364f1)</v>
      </c>
    </row>
    <row r="34079" spans="1:4" x14ac:dyDescent="0.2">
      <c r="B34079" t="s">
        <v>1</v>
      </c>
      <c r="C34079" t="s">
        <v>1125</v>
      </c>
    </row>
    <row r="34080" spans="1:4" x14ac:dyDescent="0.2">
      <c r="B34080" t="s">
        <v>8</v>
      </c>
      <c r="C34080" t="s">
        <v>11139</v>
      </c>
    </row>
    <row r="34082" spans="1:2" x14ac:dyDescent="0.2">
      <c r="A34082" t="s">
        <v>11140</v>
      </c>
      <c r="B34082" t="str">
        <f>HYPERLINK("https://lindat.mff.cuni.cz/services/teitok/pdtc10/index.php?action=vallex&amp;frame=v-w3364f2", "pálit (v-w3364f2)")</f>
        <v>pálit (v-w3364f2)</v>
      </c>
    </row>
    <row r="34083" spans="1:2" x14ac:dyDescent="0.2">
      <c r="B34083" t="s">
        <v>1</v>
      </c>
    </row>
    <row r="34084" spans="1:2" x14ac:dyDescent="0.2">
      <c r="B34084" t="s">
        <v>8</v>
      </c>
    </row>
    <row r="34086" spans="1:2" x14ac:dyDescent="0.2">
      <c r="A34086" t="s">
        <v>11141</v>
      </c>
      <c r="B34086" t="str">
        <f>HYPERLINK("https://lindat.mff.cuni.cz/services/teitok/pdtc10/index.php?action=vallex&amp;frame=v-w3364f3_ZU", "pálit (v-w3364f3_ZU)")</f>
        <v>pálit (v-w3364f3_ZU)</v>
      </c>
    </row>
    <row r="34087" spans="1:2" x14ac:dyDescent="0.2">
      <c r="B34087" t="s">
        <v>1</v>
      </c>
    </row>
    <row r="34089" spans="1:2" x14ac:dyDescent="0.2">
      <c r="A34089" t="s">
        <v>11141</v>
      </c>
      <c r="B34089" t="str">
        <f>HYPERLINK("https://lindat.mff.cuni.cz/services/teitok/pdtc10/index.php?action=vallex&amp;frame=v-w3364hsa_542", "pálit (v-w3364hsa_542) - substituted with v-w3364f3_ZU")</f>
        <v>pálit (v-w3364hsa_542) - substituted with v-w3364f3_ZU</v>
      </c>
    </row>
    <row r="34090" spans="1:2" x14ac:dyDescent="0.2">
      <c r="B34090" t="s">
        <v>1</v>
      </c>
    </row>
    <row r="34092" spans="1:2" x14ac:dyDescent="0.2">
      <c r="A34092" t="s">
        <v>11142</v>
      </c>
      <c r="B34092" t="str">
        <f>HYPERLINK("https://lindat.mff.cuni.cz/services/teitok/pdtc10/index.php?action=vallex&amp;frame=v-w3364f4_ZU", "pálit (v-w3364f4_ZU)")</f>
        <v>pálit (v-w3364f4_ZU)</v>
      </c>
    </row>
    <row r="34093" spans="1:2" x14ac:dyDescent="0.2">
      <c r="B34093" t="s">
        <v>1</v>
      </c>
    </row>
    <row r="34094" spans="1:2" x14ac:dyDescent="0.2">
      <c r="B34094" t="s">
        <v>8</v>
      </c>
    </row>
    <row r="34096" spans="1:2" x14ac:dyDescent="0.2">
      <c r="A34096" t="s">
        <v>11143</v>
      </c>
      <c r="B34096" t="str">
        <f>HYPERLINK("https://lindat.mff.cuni.cz/services/teitok/pdtc10/index.php?action=vallex&amp;frame=v-w3364hsa_459", "pálit (v-w3364hsa_459)")</f>
        <v>pálit (v-w3364hsa_459)</v>
      </c>
    </row>
    <row r="34097" spans="1:4" x14ac:dyDescent="0.2">
      <c r="B34097" t="s">
        <v>1</v>
      </c>
    </row>
    <row r="34099" spans="1:4" x14ac:dyDescent="0.2">
      <c r="A34099" t="s">
        <v>11144</v>
      </c>
      <c r="B34099" t="str">
        <f>HYPERLINK("https://lindat.mff.cuni.cz/services/teitok/pdtc10/index.php?action=vallex&amp;frame=v-w3365f1", "pálit si (v-w3365f1)")</f>
        <v>pálit si (v-w3365f1)</v>
      </c>
    </row>
    <row r="34100" spans="1:4" x14ac:dyDescent="0.2">
      <c r="B34100" t="s">
        <v>1</v>
      </c>
    </row>
    <row r="34101" spans="1:4" x14ac:dyDescent="0.2">
      <c r="B34101" t="s">
        <v>11145</v>
      </c>
    </row>
    <row r="34103" spans="1:4" x14ac:dyDescent="0.2">
      <c r="A34103" t="s">
        <v>11146</v>
      </c>
      <c r="B34103" t="str">
        <f>HYPERLINK("https://lindat.mff.cuni.cz/services/teitok/pdtc10/index.php?action=vallex&amp;frame=v-w10502f5_ZU", "párovat (v-w10502f5_ZU)")</f>
        <v>párovat (v-w10502f5_ZU)</v>
      </c>
    </row>
    <row r="34104" spans="1:4" x14ac:dyDescent="0.2">
      <c r="B34104" t="s">
        <v>1</v>
      </c>
      <c r="C34104" t="s">
        <v>140</v>
      </c>
      <c r="D34104" t="s">
        <v>373</v>
      </c>
    </row>
    <row r="34105" spans="1:4" x14ac:dyDescent="0.2">
      <c r="B34105" t="s">
        <v>8</v>
      </c>
      <c r="C34105" t="s">
        <v>34</v>
      </c>
      <c r="D34105" t="s">
        <v>17</v>
      </c>
    </row>
    <row r="34106" spans="1:4" x14ac:dyDescent="0.2">
      <c r="B34106" t="s">
        <v>2604</v>
      </c>
      <c r="C34106" t="s">
        <v>268</v>
      </c>
      <c r="D34106" t="s">
        <v>23985</v>
      </c>
    </row>
    <row r="34108" spans="1:4" x14ac:dyDescent="0.2">
      <c r="A34108" t="s">
        <v>11146</v>
      </c>
      <c r="B34108" t="str">
        <f>HYPERLINK("https://lindat.mff.cuni.cz/services/teitok/pdtc10/index.php?action=vallex&amp;frame=v-w10502f2", "párovat (v-w10502f2) - substituted with v-w10502f5_ZU")</f>
        <v>párovat (v-w10502f2) - substituted with v-w10502f5_ZU</v>
      </c>
    </row>
    <row r="34109" spans="1:4" x14ac:dyDescent="0.2">
      <c r="B34109" t="s">
        <v>1</v>
      </c>
    </row>
    <row r="34110" spans="1:4" x14ac:dyDescent="0.2">
      <c r="B34110" t="s">
        <v>8</v>
      </c>
    </row>
    <row r="34111" spans="1:4" x14ac:dyDescent="0.2">
      <c r="B34111" t="s">
        <v>2604</v>
      </c>
    </row>
    <row r="34113" spans="1:2" x14ac:dyDescent="0.2">
      <c r="A34113" t="s">
        <v>11146</v>
      </c>
      <c r="B34113" t="str">
        <f>HYPERLINK("https://lindat.mff.cuni.cz/services/teitok/pdtc10/index.php?action=vallex&amp;frame=v-w10502f4_ZU", "párovat (v-w10502f4_ZU) - substituted with v-w10502f5_ZU")</f>
        <v>párovat (v-w10502f4_ZU) - substituted with v-w10502f5_ZU</v>
      </c>
    </row>
    <row r="34114" spans="1:2" x14ac:dyDescent="0.2">
      <c r="B34114" t="s">
        <v>1</v>
      </c>
    </row>
    <row r="34115" spans="1:2" x14ac:dyDescent="0.2">
      <c r="B34115" t="s">
        <v>8</v>
      </c>
    </row>
    <row r="34116" spans="1:2" x14ac:dyDescent="0.2">
      <c r="B34116" t="s">
        <v>2604</v>
      </c>
    </row>
    <row r="34118" spans="1:2" x14ac:dyDescent="0.2">
      <c r="A34118" t="s">
        <v>11147</v>
      </c>
      <c r="B34118" t="str">
        <f>HYPERLINK("https://lindat.mff.cuni.cz/services/teitok/pdtc10/index.php?action=vallex&amp;frame=v-w10502f3_ZU", "párovat (v-w10502f3_ZU)")</f>
        <v>párovat (v-w10502f3_ZU)</v>
      </c>
    </row>
    <row r="34119" spans="1:2" x14ac:dyDescent="0.2">
      <c r="B34119" t="s">
        <v>1</v>
      </c>
    </row>
    <row r="34120" spans="1:2" x14ac:dyDescent="0.2">
      <c r="B34120" t="s">
        <v>8</v>
      </c>
    </row>
    <row r="34122" spans="1:2" x14ac:dyDescent="0.2">
      <c r="A34122" t="s">
        <v>11148</v>
      </c>
      <c r="B34122" t="str">
        <f>HYPERLINK("https://lindat.mff.cuni.cz/services/teitok/pdtc10/index.php?action=vallex&amp;frame=v-whsa_1178hsa_1179", "párovat se (v-whsa_1178hsa_1179)")</f>
        <v>párovat se (v-whsa_1178hsa_1179)</v>
      </c>
    </row>
    <row r="34123" spans="1:2" x14ac:dyDescent="0.2">
      <c r="B34123" t="s">
        <v>1</v>
      </c>
    </row>
    <row r="34124" spans="1:2" x14ac:dyDescent="0.2">
      <c r="B34124" t="s">
        <v>411</v>
      </c>
    </row>
    <row r="34126" spans="1:2" x14ac:dyDescent="0.2">
      <c r="A34126" t="s">
        <v>11149</v>
      </c>
      <c r="B34126" t="str">
        <f>HYPERLINK("https://lindat.mff.cuni.cz/services/teitok/pdtc10/index.php?action=vallex&amp;frame=v-w11545_ZUf1_ZU", "pást (v-w11545_ZUf1_ZU)")</f>
        <v>pást (v-w11545_ZUf1_ZU)</v>
      </c>
    </row>
    <row r="34127" spans="1:2" x14ac:dyDescent="0.2">
      <c r="B34127" t="s">
        <v>1</v>
      </c>
    </row>
    <row r="34128" spans="1:2" x14ac:dyDescent="0.2">
      <c r="B34128" t="s">
        <v>1165</v>
      </c>
    </row>
    <row r="34130" spans="1:4" x14ac:dyDescent="0.2">
      <c r="A34130" t="s">
        <v>11150</v>
      </c>
      <c r="B34130" t="str">
        <f>HYPERLINK("https://lindat.mff.cuni.cz/services/teitok/pdtc10/index.php?action=vallex&amp;frame=v-w11545_ZUhsa_1086", "pást (v-w11545_ZUhsa_1086)")</f>
        <v>pást (v-w11545_ZUhsa_1086)</v>
      </c>
    </row>
    <row r="34131" spans="1:4" x14ac:dyDescent="0.2">
      <c r="B34131" t="s">
        <v>1</v>
      </c>
    </row>
    <row r="34132" spans="1:4" x14ac:dyDescent="0.2">
      <c r="B34132" t="s">
        <v>8</v>
      </c>
    </row>
    <row r="34134" spans="1:4" x14ac:dyDescent="0.2">
      <c r="A34134" t="s">
        <v>11151</v>
      </c>
      <c r="B34134" t="str">
        <f>HYPERLINK("https://lindat.mff.cuni.cz/services/teitok/pdtc10/index.php?action=vallex&amp;frame=v-w11318f2", "pást se (v-w11318f2)")</f>
        <v>pást se (v-w11318f2)</v>
      </c>
    </row>
    <row r="34135" spans="1:4" x14ac:dyDescent="0.2">
      <c r="B34135" t="s">
        <v>1</v>
      </c>
    </row>
    <row r="34136" spans="1:4" x14ac:dyDescent="0.2">
      <c r="B34136" t="s">
        <v>8</v>
      </c>
    </row>
    <row r="34138" spans="1:4" x14ac:dyDescent="0.2">
      <c r="A34138" t="s">
        <v>11152</v>
      </c>
      <c r="B34138" t="str">
        <f>HYPERLINK("https://lindat.mff.cuni.cz/services/teitok/pdtc10/index.php?action=vallex&amp;frame=v-w11318f3_ZU", "pást se (v-w11318f3_ZU)")</f>
        <v>pást se (v-w11318f3_ZU)</v>
      </c>
    </row>
    <row r="34139" spans="1:4" x14ac:dyDescent="0.2">
      <c r="B34139" t="s">
        <v>1</v>
      </c>
    </row>
    <row r="34141" spans="1:4" x14ac:dyDescent="0.2">
      <c r="A34141" t="s">
        <v>11152</v>
      </c>
      <c r="B34141" t="str">
        <f>HYPERLINK("https://lindat.mff.cuni.cz/services/teitok/pdtc10/index.php?action=vallex&amp;frame=v-w11318f1", "pást se (v-w11318f1) - substituted with v-w11318f3_ZU")</f>
        <v>pást se (v-w11318f1) - substituted with v-w11318f3_ZU</v>
      </c>
    </row>
    <row r="34142" spans="1:4" x14ac:dyDescent="0.2">
      <c r="B34142" t="s">
        <v>1</v>
      </c>
      <c r="C34142" t="s">
        <v>33</v>
      </c>
      <c r="D34142" t="s">
        <v>33</v>
      </c>
    </row>
    <row r="34144" spans="1:4" x14ac:dyDescent="0.2">
      <c r="A34144" t="s">
        <v>11153</v>
      </c>
      <c r="B34144" t="str">
        <f>HYPERLINK("https://lindat.mff.cuni.cz/services/teitok/pdtc10/index.php?action=vallex&amp;frame=v-w3407f3_ZU", "pátrat (v-w3407f3_ZU)")</f>
        <v>pátrat (v-w3407f3_ZU)</v>
      </c>
    </row>
    <row r="34145" spans="1:4" x14ac:dyDescent="0.2">
      <c r="B34145" t="s">
        <v>1</v>
      </c>
    </row>
    <row r="34146" spans="1:4" x14ac:dyDescent="0.2">
      <c r="B34146" t="s">
        <v>11154</v>
      </c>
    </row>
    <row r="34148" spans="1:4" x14ac:dyDescent="0.2">
      <c r="A34148" t="s">
        <v>11153</v>
      </c>
      <c r="B34148" t="str">
        <f>HYPERLINK("https://lindat.mff.cuni.cz/services/teitok/pdtc10/index.php?action=vallex&amp;frame=v-w3407f1", "pátrat (v-w3407f1) - substituted with v-w3407f3_ZU")</f>
        <v>pátrat (v-w3407f1) - substituted with v-w3407f3_ZU</v>
      </c>
    </row>
    <row r="34149" spans="1:4" x14ac:dyDescent="0.2">
      <c r="B34149" t="s">
        <v>1</v>
      </c>
      <c r="C34149" t="s">
        <v>11155</v>
      </c>
      <c r="D34149" t="s">
        <v>23125</v>
      </c>
    </row>
    <row r="34150" spans="1:4" x14ac:dyDescent="0.2">
      <c r="B34150" t="s">
        <v>11154</v>
      </c>
      <c r="C34150" t="s">
        <v>11156</v>
      </c>
      <c r="D34150" t="s">
        <v>23126</v>
      </c>
    </row>
    <row r="34152" spans="1:4" x14ac:dyDescent="0.2">
      <c r="A34152" t="s">
        <v>11153</v>
      </c>
      <c r="B34152" t="str">
        <f>HYPERLINK("https://lindat.mff.cuni.cz/services/teitok/pdtc10/index.php?action=vallex&amp;frame=v-w3407f2_ZU", "pátrat (v-w3407f2_ZU) - substituted with v-w3407f3_ZU")</f>
        <v>pátrat (v-w3407f2_ZU) - substituted with v-w3407f3_ZU</v>
      </c>
    </row>
    <row r="34153" spans="1:4" x14ac:dyDescent="0.2">
      <c r="B34153" t="s">
        <v>1</v>
      </c>
    </row>
    <row r="34154" spans="1:4" x14ac:dyDescent="0.2">
      <c r="B34154" t="s">
        <v>11154</v>
      </c>
    </row>
    <row r="34156" spans="1:4" x14ac:dyDescent="0.2">
      <c r="A34156" t="s">
        <v>11157</v>
      </c>
      <c r="B34156" t="str">
        <f>HYPERLINK("https://lindat.mff.cuni.cz/services/teitok/pdtc10/index.php?action=vallex&amp;frame=v-w3413f3_ZU", "péci (v-w3413f3_ZU)")</f>
        <v>péci (v-w3413f3_ZU)</v>
      </c>
    </row>
    <row r="34157" spans="1:4" x14ac:dyDescent="0.2">
      <c r="B34157" t="s">
        <v>1</v>
      </c>
    </row>
    <row r="34158" spans="1:4" x14ac:dyDescent="0.2">
      <c r="B34158" t="s">
        <v>8</v>
      </c>
    </row>
    <row r="34159" spans="1:4" x14ac:dyDescent="0.2">
      <c r="B34159" t="s">
        <v>24</v>
      </c>
    </row>
    <row r="34161" spans="1:2" x14ac:dyDescent="0.2">
      <c r="A34161" t="s">
        <v>11157</v>
      </c>
      <c r="B34161" t="str">
        <f>HYPERLINK("https://lindat.mff.cuni.cz/services/teitok/pdtc10/index.php?action=vallex&amp;frame=v-w3413f1", "péci (v-w3413f1) - substituted with v-w3413f3_ZU")</f>
        <v>péci (v-w3413f1) - substituted with v-w3413f3_ZU</v>
      </c>
    </row>
    <row r="34162" spans="1:2" x14ac:dyDescent="0.2">
      <c r="B34162" t="s">
        <v>1</v>
      </c>
    </row>
    <row r="34163" spans="1:2" x14ac:dyDescent="0.2">
      <c r="B34163" t="s">
        <v>8</v>
      </c>
    </row>
    <row r="34164" spans="1:2" x14ac:dyDescent="0.2">
      <c r="B34164" t="s">
        <v>24</v>
      </c>
    </row>
    <row r="34166" spans="1:2" x14ac:dyDescent="0.2">
      <c r="A34166" t="s">
        <v>11158</v>
      </c>
      <c r="B34166" t="str">
        <f>HYPERLINK("https://lindat.mff.cuni.cz/services/teitok/pdtc10/index.php?action=vallex&amp;frame=v-w3413f2_ZU", "péci (v-w3413f2_ZU)")</f>
        <v>péci (v-w3413f2_ZU)</v>
      </c>
    </row>
    <row r="34167" spans="1:2" x14ac:dyDescent="0.2">
      <c r="B34167" t="s">
        <v>1</v>
      </c>
    </row>
    <row r="34168" spans="1:2" x14ac:dyDescent="0.2">
      <c r="B34168" t="s">
        <v>8</v>
      </c>
    </row>
    <row r="34170" spans="1:2" x14ac:dyDescent="0.2">
      <c r="A34170" t="s">
        <v>11159</v>
      </c>
      <c r="B34170" t="str">
        <f>HYPERLINK("https://lindat.mff.cuni.cz/services/teitok/pdtc10/index.php?action=vallex&amp;frame=v-w3437f3", "píchat (v-w3437f3)")</f>
        <v>píchat (v-w3437f3)</v>
      </c>
    </row>
    <row r="34171" spans="1:2" x14ac:dyDescent="0.2">
      <c r="B34171" t="s">
        <v>1</v>
      </c>
    </row>
    <row r="34172" spans="1:2" x14ac:dyDescent="0.2">
      <c r="B34172" t="s">
        <v>8</v>
      </c>
    </row>
    <row r="34173" spans="1:2" x14ac:dyDescent="0.2">
      <c r="B34173" t="s">
        <v>90</v>
      </c>
    </row>
    <row r="34175" spans="1:2" x14ac:dyDescent="0.2">
      <c r="A34175" t="s">
        <v>11160</v>
      </c>
      <c r="B34175" t="str">
        <f>HYPERLINK("https://lindat.mff.cuni.cz/services/teitok/pdtc10/index.php?action=vallex&amp;frame=v-w3437f1", "píchat (v-w3437f1)")</f>
        <v>píchat (v-w3437f1)</v>
      </c>
    </row>
    <row r="34176" spans="1:2" x14ac:dyDescent="0.2">
      <c r="B34176" t="s">
        <v>1</v>
      </c>
    </row>
    <row r="34177" spans="1:2" x14ac:dyDescent="0.2">
      <c r="B34177" t="s">
        <v>8</v>
      </c>
    </row>
    <row r="34179" spans="1:2" x14ac:dyDescent="0.2">
      <c r="A34179" t="s">
        <v>11161</v>
      </c>
      <c r="B34179" t="str">
        <f>HYPERLINK("https://lindat.mff.cuni.cz/services/teitok/pdtc10/index.php?action=vallex&amp;frame=v-w3437f2", "píchat (v-w3437f2)")</f>
        <v>píchat (v-w3437f2)</v>
      </c>
    </row>
    <row r="34180" spans="1:2" x14ac:dyDescent="0.2">
      <c r="B34180" t="s">
        <v>146</v>
      </c>
    </row>
    <row r="34181" spans="1:2" x14ac:dyDescent="0.2">
      <c r="B34181" t="s">
        <v>5</v>
      </c>
    </row>
    <row r="34183" spans="1:2" x14ac:dyDescent="0.2">
      <c r="A34183" t="s">
        <v>11162</v>
      </c>
      <c r="B34183" t="str">
        <f>HYPERLINK("https://lindat.mff.cuni.cz/services/teitok/pdtc10/index.php?action=vallex&amp;frame=v-w3437f4_ZU", "píchat (v-w3437f4_ZU)")</f>
        <v>píchat (v-w3437f4_ZU)</v>
      </c>
    </row>
    <row r="34184" spans="1:2" x14ac:dyDescent="0.2">
      <c r="B34184" t="s">
        <v>1</v>
      </c>
    </row>
    <row r="34185" spans="1:2" x14ac:dyDescent="0.2">
      <c r="B34185" t="s">
        <v>78</v>
      </c>
    </row>
    <row r="34186" spans="1:2" x14ac:dyDescent="0.2">
      <c r="B34186" t="s">
        <v>8</v>
      </c>
    </row>
    <row r="34188" spans="1:2" x14ac:dyDescent="0.2">
      <c r="A34188" t="s">
        <v>11163</v>
      </c>
      <c r="B34188" t="str">
        <f>HYPERLINK("https://lindat.mff.cuni.cz/services/teitok/pdtc10/index.php?action=vallex&amp;frame=v-w3438f1", "píchnout (v-w3438f1)")</f>
        <v>píchnout (v-w3438f1)</v>
      </c>
    </row>
    <row r="34189" spans="1:2" x14ac:dyDescent="0.2">
      <c r="B34189" t="s">
        <v>1</v>
      </c>
    </row>
    <row r="34190" spans="1:2" x14ac:dyDescent="0.2">
      <c r="B34190" t="s">
        <v>8</v>
      </c>
    </row>
    <row r="34192" spans="1:2" x14ac:dyDescent="0.2">
      <c r="A34192" t="s">
        <v>11164</v>
      </c>
      <c r="B34192" t="str">
        <f>HYPERLINK("https://lindat.mff.cuni.cz/services/teitok/pdtc10/index.php?action=vallex&amp;frame=v-w3438f2", "píchnout (v-w3438f2)")</f>
        <v>píchnout (v-w3438f2)</v>
      </c>
    </row>
    <row r="34193" spans="1:4" x14ac:dyDescent="0.2">
      <c r="B34193" t="s">
        <v>1</v>
      </c>
      <c r="D34193" t="s">
        <v>430</v>
      </c>
    </row>
    <row r="34194" spans="1:4" x14ac:dyDescent="0.2">
      <c r="B34194" t="s">
        <v>90</v>
      </c>
    </row>
    <row r="34195" spans="1:4" x14ac:dyDescent="0.2">
      <c r="B34195" t="s">
        <v>220</v>
      </c>
      <c r="D34195" t="s">
        <v>335</v>
      </c>
    </row>
    <row r="34197" spans="1:4" x14ac:dyDescent="0.2">
      <c r="A34197" t="s">
        <v>11165</v>
      </c>
      <c r="B34197" t="str">
        <f>HYPERLINK("https://lindat.mff.cuni.cz/services/teitok/pdtc10/index.php?action=vallex&amp;frame=v-w3438hsa_1447", "píchnout (v-w3438hsa_1447)")</f>
        <v>píchnout (v-w3438hsa_1447)</v>
      </c>
    </row>
    <row r="34198" spans="1:4" x14ac:dyDescent="0.2">
      <c r="B34198" t="s">
        <v>1</v>
      </c>
    </row>
    <row r="34199" spans="1:4" x14ac:dyDescent="0.2">
      <c r="B34199" t="s">
        <v>8</v>
      </c>
    </row>
    <row r="34201" spans="1:4" x14ac:dyDescent="0.2">
      <c r="A34201" t="s">
        <v>11166</v>
      </c>
      <c r="B34201" t="str">
        <f>HYPERLINK("https://lindat.mff.cuni.cz/services/teitok/pdtc10/index.php?action=vallex&amp;frame=v-whsa_290hsa_291", "píct (v-whsa_290hsa_291)")</f>
        <v>píct (v-whsa_290hsa_291)</v>
      </c>
    </row>
    <row r="34202" spans="1:4" x14ac:dyDescent="0.2">
      <c r="B34202" t="s">
        <v>1</v>
      </c>
    </row>
    <row r="34203" spans="1:4" x14ac:dyDescent="0.2">
      <c r="B34203" t="s">
        <v>411</v>
      </c>
    </row>
    <row r="34205" spans="1:4" x14ac:dyDescent="0.2">
      <c r="A34205" t="s">
        <v>11167</v>
      </c>
      <c r="B34205" t="str">
        <f>HYPERLINK("https://lindat.mff.cuni.cz/services/teitok/pdtc10/index.php?action=vallex&amp;frame=v-w3434f1", "pídit se (v-w3434f1)")</f>
        <v>pídit se (v-w3434f1)</v>
      </c>
    </row>
    <row r="34206" spans="1:4" x14ac:dyDescent="0.2">
      <c r="B34206" t="s">
        <v>1</v>
      </c>
    </row>
    <row r="34207" spans="1:4" x14ac:dyDescent="0.2">
      <c r="B34207" t="s">
        <v>1165</v>
      </c>
    </row>
    <row r="34209" spans="1:4" x14ac:dyDescent="0.2">
      <c r="A34209" t="s">
        <v>11168</v>
      </c>
      <c r="B34209" t="str">
        <f>HYPERLINK("https://lindat.mff.cuni.cz/services/teitok/pdtc10/index.php?action=vallex&amp;frame=v-w11034f2", "pípat (v-w11034f2)")</f>
        <v>pípat (v-w11034f2)</v>
      </c>
    </row>
    <row r="34210" spans="1:4" x14ac:dyDescent="0.2">
      <c r="B34210" t="s">
        <v>1</v>
      </c>
    </row>
    <row r="34212" spans="1:4" x14ac:dyDescent="0.2">
      <c r="A34212" t="s">
        <v>11169</v>
      </c>
      <c r="B34212" t="str">
        <f>HYPERLINK("https://lindat.mff.cuni.cz/services/teitok/pdtc10/index.php?action=vallex&amp;frame=v-w3446f1", "pískat (v-w3446f1)")</f>
        <v>pískat (v-w3446f1)</v>
      </c>
    </row>
    <row r="34213" spans="1:4" x14ac:dyDescent="0.2">
      <c r="B34213" t="s">
        <v>1</v>
      </c>
    </row>
    <row r="34214" spans="1:4" x14ac:dyDescent="0.2">
      <c r="B34214" t="s">
        <v>8</v>
      </c>
    </row>
    <row r="34216" spans="1:4" x14ac:dyDescent="0.2">
      <c r="A34216" t="s">
        <v>11170</v>
      </c>
      <c r="B34216" t="str">
        <f>HYPERLINK("https://lindat.mff.cuni.cz/services/teitok/pdtc10/index.php?action=vallex&amp;frame=v-w3446f2", "pískat (v-w3446f2)")</f>
        <v>pískat (v-w3446f2)</v>
      </c>
    </row>
    <row r="34217" spans="1:4" x14ac:dyDescent="0.2">
      <c r="B34217" t="s">
        <v>1</v>
      </c>
      <c r="D34217" t="s">
        <v>140</v>
      </c>
    </row>
    <row r="34219" spans="1:4" x14ac:dyDescent="0.2">
      <c r="A34219" t="s">
        <v>11171</v>
      </c>
      <c r="B34219" t="str">
        <f>HYPERLINK("https://lindat.mff.cuni.cz/services/teitok/pdtc10/index.php?action=vallex&amp;frame=v-w3447f1", "písknout (v-w3447f1)")</f>
        <v>písknout (v-w3447f1)</v>
      </c>
    </row>
    <row r="34220" spans="1:4" x14ac:dyDescent="0.2">
      <c r="B34220" t="s">
        <v>1</v>
      </c>
    </row>
    <row r="34221" spans="1:4" x14ac:dyDescent="0.2">
      <c r="B34221" t="s">
        <v>8</v>
      </c>
    </row>
    <row r="34223" spans="1:4" x14ac:dyDescent="0.2">
      <c r="A34223" t="s">
        <v>11172</v>
      </c>
      <c r="B34223" t="str">
        <f>HYPERLINK("https://lindat.mff.cuni.cz/services/teitok/pdtc10/index.php?action=vallex&amp;frame=v-w3450f1", "pít (v-w3450f1)")</f>
        <v>pít (v-w3450f1)</v>
      </c>
    </row>
    <row r="34224" spans="1:4" x14ac:dyDescent="0.2">
      <c r="B34224" t="s">
        <v>1</v>
      </c>
      <c r="C34224" t="s">
        <v>22</v>
      </c>
      <c r="D34224" t="s">
        <v>373</v>
      </c>
    </row>
    <row r="34225" spans="1:4" x14ac:dyDescent="0.2">
      <c r="B34225" t="s">
        <v>8</v>
      </c>
      <c r="C34225" t="s">
        <v>1128</v>
      </c>
      <c r="D34225" t="s">
        <v>54</v>
      </c>
    </row>
    <row r="34227" spans="1:4" x14ac:dyDescent="0.2">
      <c r="A34227" t="s">
        <v>11173</v>
      </c>
      <c r="B34227" t="str">
        <f>HYPERLINK("https://lindat.mff.cuni.cz/services/teitok/pdtc10/index.php?action=vallex&amp;frame=v-w3450hsa_1257", "pít (v-w3450hsa_1257)")</f>
        <v>pít (v-w3450hsa_1257)</v>
      </c>
    </row>
    <row r="34228" spans="1:4" x14ac:dyDescent="0.2">
      <c r="B34228" t="s">
        <v>1</v>
      </c>
      <c r="C34228" t="s">
        <v>22</v>
      </c>
      <c r="D34228" t="s">
        <v>373</v>
      </c>
    </row>
    <row r="34230" spans="1:4" x14ac:dyDescent="0.2">
      <c r="A34230" t="s">
        <v>11174</v>
      </c>
      <c r="B34230" t="str">
        <f>HYPERLINK("https://lindat.mff.cuni.cz/services/teitok/pdtc10/index.php?action=vallex&amp;frame=v-w4218f1", "pózovat (v-w4218f1)")</f>
        <v>pózovat (v-w4218f1)</v>
      </c>
    </row>
    <row r="34231" spans="1:4" x14ac:dyDescent="0.2">
      <c r="B34231" t="s">
        <v>1</v>
      </c>
    </row>
    <row r="34233" spans="1:4" x14ac:dyDescent="0.2">
      <c r="A34233" t="s">
        <v>11175</v>
      </c>
      <c r="B34233" t="str">
        <f>HYPERLINK("https://lindat.mff.cuni.cz/services/teitok/pdtc10/index.php?action=vallex&amp;frame=v-w3431f1", "pěstovat (v-w3431f1)")</f>
        <v>pěstovat (v-w3431f1)</v>
      </c>
    </row>
    <row r="34234" spans="1:4" x14ac:dyDescent="0.2">
      <c r="B34234" t="s">
        <v>1</v>
      </c>
      <c r="C34234" t="s">
        <v>11176</v>
      </c>
      <c r="D34234" t="s">
        <v>92</v>
      </c>
    </row>
    <row r="34235" spans="1:4" x14ac:dyDescent="0.2">
      <c r="B34235" t="s">
        <v>8</v>
      </c>
      <c r="C34235" t="s">
        <v>11177</v>
      </c>
      <c r="D34235" t="s">
        <v>2290</v>
      </c>
    </row>
    <row r="34237" spans="1:4" x14ac:dyDescent="0.2">
      <c r="A34237" t="s">
        <v>11178</v>
      </c>
      <c r="B34237" t="str">
        <f>HYPERLINK("https://lindat.mff.cuni.cz/services/teitok/pdtc10/index.php?action=vallex&amp;frame=v-w3431hsa_1255", "pěstovat (v-w3431hsa_1255)")</f>
        <v>pěstovat (v-w3431hsa_1255)</v>
      </c>
    </row>
    <row r="34238" spans="1:4" x14ac:dyDescent="0.2">
      <c r="B34238" t="s">
        <v>1</v>
      </c>
    </row>
    <row r="34239" spans="1:4" x14ac:dyDescent="0.2">
      <c r="B34239" t="s">
        <v>8</v>
      </c>
    </row>
    <row r="34241" spans="1:2" x14ac:dyDescent="0.2">
      <c r="A34241" t="s">
        <v>11179</v>
      </c>
      <c r="B34241" t="str">
        <f>HYPERLINK("https://lindat.mff.cuni.cz/services/teitok/pdtc10/index.php?action=vallex&amp;frame=v-w12075_ZUf1_ZU", "pěstovat si (v-w12075_ZUf1_ZU)")</f>
        <v>pěstovat si (v-w12075_ZUf1_ZU)</v>
      </c>
    </row>
    <row r="34242" spans="1:2" x14ac:dyDescent="0.2">
      <c r="B34242" t="s">
        <v>1</v>
      </c>
    </row>
    <row r="34243" spans="1:2" x14ac:dyDescent="0.2">
      <c r="B34243" t="s">
        <v>8</v>
      </c>
    </row>
    <row r="34245" spans="1:2" x14ac:dyDescent="0.2">
      <c r="A34245" t="s">
        <v>11180</v>
      </c>
      <c r="B34245" t="str">
        <f>HYPERLINK("https://lindat.mff.cuni.cz/services/teitok/pdtc10/index.php?action=vallex&amp;frame=v-whsa_1312hsa_1313", "pěstovávat (v-whsa_1312hsa_1313)")</f>
        <v>pěstovávat (v-whsa_1312hsa_1313)</v>
      </c>
    </row>
    <row r="34246" spans="1:2" x14ac:dyDescent="0.2">
      <c r="B34246" t="s">
        <v>1</v>
      </c>
    </row>
    <row r="34247" spans="1:2" x14ac:dyDescent="0.2">
      <c r="B34247" t="s">
        <v>8</v>
      </c>
    </row>
    <row r="34249" spans="1:2" x14ac:dyDescent="0.2">
      <c r="A34249" t="s">
        <v>11181</v>
      </c>
      <c r="B34249" t="str">
        <f>HYPERLINK("https://lindat.mff.cuni.cz/services/teitok/pdtc10/index.php?action=vallex&amp;frame=v-w3432f5", "pět (v-w3432f5)")</f>
        <v>pět (v-w3432f5)</v>
      </c>
    </row>
    <row r="34250" spans="1:2" x14ac:dyDescent="0.2">
      <c r="B34250" t="s">
        <v>1</v>
      </c>
    </row>
    <row r="34251" spans="1:2" x14ac:dyDescent="0.2">
      <c r="B34251" t="s">
        <v>8</v>
      </c>
    </row>
    <row r="34252" spans="1:2" x14ac:dyDescent="0.2">
      <c r="B34252" t="s">
        <v>78</v>
      </c>
    </row>
    <row r="34254" spans="1:2" x14ac:dyDescent="0.2">
      <c r="A34254" t="s">
        <v>11182</v>
      </c>
      <c r="B34254" t="str">
        <f>HYPERLINK("https://lindat.mff.cuni.cz/services/teitok/pdtc10/index.php?action=vallex&amp;frame=v-w3432f2", "pět (v-w3432f2)")</f>
        <v>pět (v-w3432f2)</v>
      </c>
    </row>
    <row r="34255" spans="1:2" x14ac:dyDescent="0.2">
      <c r="B34255" t="s">
        <v>1</v>
      </c>
    </row>
    <row r="34256" spans="1:2" x14ac:dyDescent="0.2">
      <c r="B34256" t="s">
        <v>183</v>
      </c>
    </row>
    <row r="34257" spans="1:2" x14ac:dyDescent="0.2">
      <c r="B34257" t="s">
        <v>78</v>
      </c>
    </row>
    <row r="34259" spans="1:2" x14ac:dyDescent="0.2">
      <c r="A34259" t="s">
        <v>11183</v>
      </c>
      <c r="B34259" t="str">
        <f>HYPERLINK("https://lindat.mff.cuni.cz/services/teitok/pdtc10/index.php?action=vallex&amp;frame=v-w3432hsa_1074", "pět (v-w3432hsa_1074)")</f>
        <v>pět (v-w3432hsa_1074)</v>
      </c>
    </row>
    <row r="34260" spans="1:2" x14ac:dyDescent="0.2">
      <c r="B34260" t="s">
        <v>1</v>
      </c>
    </row>
    <row r="34261" spans="1:2" x14ac:dyDescent="0.2">
      <c r="B34261" t="s">
        <v>11184</v>
      </c>
    </row>
    <row r="34262" spans="1:2" x14ac:dyDescent="0.2">
      <c r="B34262" t="s">
        <v>184</v>
      </c>
    </row>
    <row r="34264" spans="1:2" x14ac:dyDescent="0.2">
      <c r="A34264" t="s">
        <v>11183</v>
      </c>
      <c r="B34264" t="str">
        <f>HYPERLINK("https://lindat.mff.cuni.cz/services/teitok/pdtc10/index.php?action=vallex&amp;frame=v-w3432f4", "pět (v-w3432f4) - substituted with v-w3432hsa_1074")</f>
        <v>pět (v-w3432f4) - substituted with v-w3432hsa_1074</v>
      </c>
    </row>
    <row r="34265" spans="1:2" x14ac:dyDescent="0.2">
      <c r="B34265" t="s">
        <v>1</v>
      </c>
    </row>
    <row r="34266" spans="1:2" x14ac:dyDescent="0.2">
      <c r="B34266" t="s">
        <v>11184</v>
      </c>
    </row>
    <row r="34267" spans="1:2" x14ac:dyDescent="0.2">
      <c r="B34267" t="s">
        <v>184</v>
      </c>
    </row>
    <row r="34269" spans="1:2" x14ac:dyDescent="0.2">
      <c r="A34269" t="s">
        <v>11185</v>
      </c>
      <c r="B34269" t="str">
        <f>HYPERLINK("https://lindat.mff.cuni.cz/services/teitok/pdtc10/index.php?action=vallex&amp;frame=v-w3432f3", "pět (v-w3432f3)")</f>
        <v>pět (v-w3432f3)</v>
      </c>
    </row>
    <row r="34270" spans="1:2" x14ac:dyDescent="0.2">
      <c r="B34270" t="s">
        <v>1</v>
      </c>
    </row>
    <row r="34271" spans="1:2" x14ac:dyDescent="0.2">
      <c r="B34271" t="s">
        <v>4749</v>
      </c>
    </row>
    <row r="34272" spans="1:2" x14ac:dyDescent="0.2">
      <c r="B34272" t="s">
        <v>269</v>
      </c>
    </row>
    <row r="34273" spans="1:2" x14ac:dyDescent="0.2">
      <c r="B34273" t="s">
        <v>78</v>
      </c>
    </row>
    <row r="34275" spans="1:2" x14ac:dyDescent="0.2">
      <c r="A34275" t="s">
        <v>11186</v>
      </c>
      <c r="B34275" t="str">
        <f>HYPERLINK("https://lindat.mff.cuni.cz/services/teitok/pdtc10/index.php?action=vallex&amp;frame=v-w3432f1", "pět (v-w3432f1)")</f>
        <v>pět (v-w3432f1)</v>
      </c>
    </row>
    <row r="34276" spans="1:2" x14ac:dyDescent="0.2">
      <c r="B34276" t="s">
        <v>1</v>
      </c>
    </row>
    <row r="34278" spans="1:2" x14ac:dyDescent="0.2">
      <c r="A34278" t="s">
        <v>11187</v>
      </c>
      <c r="B34278" t="str">
        <f>HYPERLINK("https://lindat.mff.cuni.cz/services/teitok/pdtc10/index.php?action=vallex&amp;frame=v-whsa_1130hsa_1131", "přebalit (v-whsa_1130hsa_1131)")</f>
        <v>přebalit (v-whsa_1130hsa_1131)</v>
      </c>
    </row>
    <row r="34279" spans="1:2" x14ac:dyDescent="0.2">
      <c r="B34279" t="s">
        <v>1</v>
      </c>
    </row>
    <row r="34280" spans="1:2" x14ac:dyDescent="0.2">
      <c r="B34280" t="s">
        <v>8</v>
      </c>
    </row>
    <row r="34282" spans="1:2" x14ac:dyDescent="0.2">
      <c r="A34282" t="s">
        <v>11188</v>
      </c>
      <c r="B34282" t="str">
        <f>HYPERLINK("https://lindat.mff.cuni.cz/services/teitok/pdtc10/index.php?action=vallex&amp;frame=v-w11722_ZUf1_ZU", "přebalovat (v-w11722_ZUf1_ZU)")</f>
        <v>přebalovat (v-w11722_ZUf1_ZU)</v>
      </c>
    </row>
    <row r="34283" spans="1:2" x14ac:dyDescent="0.2">
      <c r="B34283" t="s">
        <v>1</v>
      </c>
    </row>
    <row r="34284" spans="1:2" x14ac:dyDescent="0.2">
      <c r="B34284" t="s">
        <v>8</v>
      </c>
    </row>
    <row r="34286" spans="1:2" x14ac:dyDescent="0.2">
      <c r="A34286" t="s">
        <v>11189</v>
      </c>
      <c r="B34286" t="str">
        <f>HYPERLINK("https://lindat.mff.cuni.cz/services/teitok/pdtc10/index.php?action=vallex&amp;frame=v-w4674f1", "přebolet (v-w4674f1)")</f>
        <v>přebolet (v-w4674f1)</v>
      </c>
    </row>
    <row r="34287" spans="1:2" x14ac:dyDescent="0.2">
      <c r="B34287" t="s">
        <v>1</v>
      </c>
    </row>
    <row r="34289" spans="1:4" x14ac:dyDescent="0.2">
      <c r="A34289" t="s">
        <v>11190</v>
      </c>
      <c r="B34289" t="str">
        <f>HYPERLINK("https://lindat.mff.cuni.cz/services/teitok/pdtc10/index.php?action=vallex&amp;frame=v-w4675f1", "přebrat (v-w4675f1)")</f>
        <v>přebrat (v-w4675f1)</v>
      </c>
    </row>
    <row r="34290" spans="1:4" x14ac:dyDescent="0.2">
      <c r="B34290" t="s">
        <v>1</v>
      </c>
      <c r="C34290" t="s">
        <v>3307</v>
      </c>
      <c r="D34290" t="s">
        <v>23111</v>
      </c>
    </row>
    <row r="34291" spans="1:4" x14ac:dyDescent="0.2">
      <c r="B34291" t="s">
        <v>8</v>
      </c>
      <c r="C34291" t="s">
        <v>3040</v>
      </c>
      <c r="D34291" t="s">
        <v>23112</v>
      </c>
    </row>
    <row r="34292" spans="1:4" x14ac:dyDescent="0.2">
      <c r="B34292" t="s">
        <v>321</v>
      </c>
      <c r="C34292" t="s">
        <v>11191</v>
      </c>
      <c r="D34292" t="s">
        <v>23113</v>
      </c>
    </row>
    <row r="34294" spans="1:4" x14ac:dyDescent="0.2">
      <c r="A34294" t="s">
        <v>11192</v>
      </c>
      <c r="B34294" t="str">
        <f>HYPERLINK("https://lindat.mff.cuni.cz/services/teitok/pdtc10/index.php?action=vallex&amp;frame=v-w4675f2_ZU", "přebrat (v-w4675f2_ZU)")</f>
        <v>přebrat (v-w4675f2_ZU)</v>
      </c>
    </row>
    <row r="34295" spans="1:4" x14ac:dyDescent="0.2">
      <c r="B34295" t="s">
        <v>1</v>
      </c>
    </row>
    <row r="34296" spans="1:4" x14ac:dyDescent="0.2">
      <c r="B34296" t="s">
        <v>11193</v>
      </c>
    </row>
    <row r="34297" spans="1:4" x14ac:dyDescent="0.2">
      <c r="B34297" t="s">
        <v>8</v>
      </c>
    </row>
    <row r="34298" spans="1:4" x14ac:dyDescent="0.2">
      <c r="B34298" t="s">
        <v>321</v>
      </c>
    </row>
    <row r="34300" spans="1:4" x14ac:dyDescent="0.2">
      <c r="A34300" t="s">
        <v>11192</v>
      </c>
      <c r="B34300" t="str">
        <f>HYPERLINK("https://lindat.mff.cuni.cz/services/teitok/pdtc10/index.php?action=vallex&amp;frame=v-w4675hsa_164", "přebrat (v-w4675hsa_164) - substituted with v-w4675f2_ZU")</f>
        <v>přebrat (v-w4675hsa_164) - substituted with v-w4675f2_ZU</v>
      </c>
    </row>
    <row r="34301" spans="1:4" x14ac:dyDescent="0.2">
      <c r="B34301" t="s">
        <v>1</v>
      </c>
    </row>
    <row r="34302" spans="1:4" x14ac:dyDescent="0.2">
      <c r="B34302" t="s">
        <v>11193</v>
      </c>
    </row>
    <row r="34303" spans="1:4" x14ac:dyDescent="0.2">
      <c r="B34303" t="s">
        <v>8</v>
      </c>
    </row>
    <row r="34304" spans="1:4" x14ac:dyDescent="0.2">
      <c r="B34304" t="s">
        <v>321</v>
      </c>
    </row>
    <row r="34306" spans="1:4" x14ac:dyDescent="0.2">
      <c r="A34306" t="s">
        <v>11194</v>
      </c>
      <c r="B34306" t="str">
        <f>HYPERLINK("https://lindat.mff.cuni.cz/services/teitok/pdtc10/index.php?action=vallex&amp;frame=v-whsa_2016hsa_2017", "přebrodit (v-whsa_2016hsa_2017)")</f>
        <v>přebrodit (v-whsa_2016hsa_2017)</v>
      </c>
    </row>
    <row r="34307" spans="1:4" x14ac:dyDescent="0.2">
      <c r="B34307" t="s">
        <v>1</v>
      </c>
    </row>
    <row r="34308" spans="1:4" x14ac:dyDescent="0.2">
      <c r="B34308" t="s">
        <v>8</v>
      </c>
    </row>
    <row r="34310" spans="1:4" x14ac:dyDescent="0.2">
      <c r="A34310" t="s">
        <v>11195</v>
      </c>
      <c r="B34310" t="str">
        <f>HYPERLINK("https://lindat.mff.cuni.cz/services/teitok/pdtc10/index.php?action=vallex&amp;frame=v-w4676f1", "přebudovat (v-w4676f1)")</f>
        <v>přebudovat (v-w4676f1)</v>
      </c>
    </row>
    <row r="34311" spans="1:4" x14ac:dyDescent="0.2">
      <c r="B34311" t="s">
        <v>1</v>
      </c>
      <c r="C34311" t="s">
        <v>140</v>
      </c>
    </row>
    <row r="34312" spans="1:4" x14ac:dyDescent="0.2">
      <c r="B34312" t="s">
        <v>8</v>
      </c>
      <c r="C34312" t="s">
        <v>84</v>
      </c>
    </row>
    <row r="34313" spans="1:4" x14ac:dyDescent="0.2">
      <c r="B34313" t="s">
        <v>24</v>
      </c>
    </row>
    <row r="34314" spans="1:4" x14ac:dyDescent="0.2">
      <c r="B34314" t="s">
        <v>61</v>
      </c>
      <c r="C34314" t="s">
        <v>3737</v>
      </c>
    </row>
    <row r="34316" spans="1:4" x14ac:dyDescent="0.2">
      <c r="A34316" t="s">
        <v>11196</v>
      </c>
      <c r="B34316" t="str">
        <f>HYPERLINK("https://lindat.mff.cuni.cz/services/teitok/pdtc10/index.php?action=vallex&amp;frame=v-w10915f2", "přebudovávat (v-w10915f2)")</f>
        <v>přebudovávat (v-w10915f2)</v>
      </c>
    </row>
    <row r="34317" spans="1:4" x14ac:dyDescent="0.2">
      <c r="B34317" t="s">
        <v>1</v>
      </c>
      <c r="C34317" t="s">
        <v>249</v>
      </c>
      <c r="D34317" t="s">
        <v>22944</v>
      </c>
    </row>
    <row r="34318" spans="1:4" x14ac:dyDescent="0.2">
      <c r="B34318" t="s">
        <v>8</v>
      </c>
      <c r="C34318" t="s">
        <v>1109</v>
      </c>
      <c r="D34318" t="s">
        <v>22945</v>
      </c>
    </row>
    <row r="34319" spans="1:4" x14ac:dyDescent="0.2">
      <c r="B34319" t="s">
        <v>61</v>
      </c>
      <c r="D34319" t="s">
        <v>22947</v>
      </c>
    </row>
    <row r="34321" spans="1:3" x14ac:dyDescent="0.2">
      <c r="A34321" t="s">
        <v>11197</v>
      </c>
      <c r="B34321" t="str">
        <f>HYPERLINK("https://lindat.mff.cuni.cz/services/teitok/pdtc10/index.php?action=vallex&amp;frame=v-w10646f3", "přebásnit (v-w10646f3)")</f>
        <v>přebásnit (v-w10646f3)</v>
      </c>
    </row>
    <row r="34322" spans="1:3" x14ac:dyDescent="0.2">
      <c r="B34322" t="s">
        <v>1</v>
      </c>
    </row>
    <row r="34323" spans="1:3" x14ac:dyDescent="0.2">
      <c r="B34323" t="s">
        <v>8</v>
      </c>
    </row>
    <row r="34324" spans="1:3" x14ac:dyDescent="0.2">
      <c r="B34324" t="s">
        <v>24</v>
      </c>
    </row>
    <row r="34325" spans="1:3" x14ac:dyDescent="0.2">
      <c r="B34325" t="s">
        <v>3153</v>
      </c>
    </row>
    <row r="34327" spans="1:3" x14ac:dyDescent="0.2">
      <c r="A34327" t="s">
        <v>11198</v>
      </c>
      <c r="B34327" t="str">
        <f>HYPERLINK("https://lindat.mff.cuni.cz/services/teitok/pdtc10/index.php?action=vallex&amp;frame=v-w4670f2", "přebíhat (v-w4670f2)")</f>
        <v>přebíhat (v-w4670f2)</v>
      </c>
    </row>
    <row r="34328" spans="1:3" x14ac:dyDescent="0.2">
      <c r="B34328" t="s">
        <v>1</v>
      </c>
    </row>
    <row r="34329" spans="1:3" x14ac:dyDescent="0.2">
      <c r="B34329" t="s">
        <v>8</v>
      </c>
    </row>
    <row r="34331" spans="1:3" x14ac:dyDescent="0.2">
      <c r="A34331" t="s">
        <v>11199</v>
      </c>
      <c r="B34331" t="str">
        <f>HYPERLINK("https://lindat.mff.cuni.cz/services/teitok/pdtc10/index.php?action=vallex&amp;frame=v-w4670f1", "přebíhat (v-w4670f1)")</f>
        <v>přebíhat (v-w4670f1)</v>
      </c>
    </row>
    <row r="34332" spans="1:3" x14ac:dyDescent="0.2">
      <c r="B34332" t="s">
        <v>1</v>
      </c>
      <c r="C34332" t="s">
        <v>133</v>
      </c>
    </row>
    <row r="34333" spans="1:3" x14ac:dyDescent="0.2">
      <c r="B34333" t="s">
        <v>333</v>
      </c>
    </row>
    <row r="34334" spans="1:3" x14ac:dyDescent="0.2">
      <c r="B34334" t="s">
        <v>90</v>
      </c>
    </row>
    <row r="34336" spans="1:3" x14ac:dyDescent="0.2">
      <c r="A34336" t="s">
        <v>11200</v>
      </c>
      <c r="B34336" t="str">
        <f>HYPERLINK("https://lindat.mff.cuni.cz/services/teitok/pdtc10/index.php?action=vallex&amp;frame=v-w4670f3_ZU", "přebíhat (v-w4670f3_ZU)")</f>
        <v>přebíhat (v-w4670f3_ZU)</v>
      </c>
    </row>
    <row r="34337" spans="1:4" x14ac:dyDescent="0.2">
      <c r="B34337" t="s">
        <v>1</v>
      </c>
      <c r="C34337" t="s">
        <v>2702</v>
      </c>
      <c r="D34337" t="s">
        <v>133</v>
      </c>
    </row>
    <row r="34338" spans="1:4" x14ac:dyDescent="0.2">
      <c r="B34338" t="s">
        <v>3716</v>
      </c>
    </row>
    <row r="34340" spans="1:4" x14ac:dyDescent="0.2">
      <c r="A34340" t="s">
        <v>11201</v>
      </c>
      <c r="B34340" t="str">
        <f>HYPERLINK("https://lindat.mff.cuni.cz/services/teitok/pdtc10/index.php?action=vallex&amp;frame=v-w10098f2", "přebíjet (v-w10098f2)")</f>
        <v>přebíjet (v-w10098f2)</v>
      </c>
    </row>
    <row r="34341" spans="1:4" x14ac:dyDescent="0.2">
      <c r="B34341" t="s">
        <v>1</v>
      </c>
      <c r="D34341" t="s">
        <v>83</v>
      </c>
    </row>
    <row r="34342" spans="1:4" x14ac:dyDescent="0.2">
      <c r="B34342" t="s">
        <v>8</v>
      </c>
      <c r="D34342" t="s">
        <v>354</v>
      </c>
    </row>
    <row r="34344" spans="1:4" x14ac:dyDescent="0.2">
      <c r="A34344" t="s">
        <v>11202</v>
      </c>
      <c r="B34344" t="str">
        <f>HYPERLINK("https://lindat.mff.cuni.cz/services/teitok/pdtc10/index.php?action=vallex&amp;frame=v-w4672f1", "přebírat (v-w4672f1)")</f>
        <v>přebírat (v-w4672f1)</v>
      </c>
    </row>
    <row r="34345" spans="1:4" x14ac:dyDescent="0.2">
      <c r="B34345" t="s">
        <v>1</v>
      </c>
      <c r="C34345" t="s">
        <v>11203</v>
      </c>
      <c r="D34345" t="s">
        <v>23111</v>
      </c>
    </row>
    <row r="34346" spans="1:4" x14ac:dyDescent="0.2">
      <c r="B34346" t="s">
        <v>8</v>
      </c>
      <c r="C34346" t="s">
        <v>11204</v>
      </c>
      <c r="D34346" t="s">
        <v>23112</v>
      </c>
    </row>
    <row r="34347" spans="1:4" x14ac:dyDescent="0.2">
      <c r="B34347" t="s">
        <v>321</v>
      </c>
      <c r="C34347" t="s">
        <v>11205</v>
      </c>
      <c r="D34347" t="s">
        <v>23113</v>
      </c>
    </row>
    <row r="34349" spans="1:4" x14ac:dyDescent="0.2">
      <c r="A34349" t="s">
        <v>11206</v>
      </c>
      <c r="B34349" t="str">
        <f>HYPERLINK("https://lindat.mff.cuni.cz/services/teitok/pdtc10/index.php?action=vallex&amp;frame=v-w4672f2_ZU", "přebírat (v-w4672f2_ZU)")</f>
        <v>přebírat (v-w4672f2_ZU)</v>
      </c>
    </row>
    <row r="34350" spans="1:4" x14ac:dyDescent="0.2">
      <c r="B34350" t="s">
        <v>1</v>
      </c>
    </row>
    <row r="34351" spans="1:4" x14ac:dyDescent="0.2">
      <c r="B34351" t="s">
        <v>371</v>
      </c>
    </row>
    <row r="34352" spans="1:4" x14ac:dyDescent="0.2">
      <c r="B34352" t="s">
        <v>41</v>
      </c>
    </row>
    <row r="34354" spans="1:4" x14ac:dyDescent="0.2">
      <c r="A34354" t="s">
        <v>11207</v>
      </c>
      <c r="B34354" t="str">
        <f>HYPERLINK("https://lindat.mff.cuni.cz/services/teitok/pdtc10/index.php?action=vallex&amp;frame=v-w4672f3_MM", "přebírat (v-w4672f3_MM)")</f>
        <v>přebírat (v-w4672f3_MM)</v>
      </c>
    </row>
    <row r="34355" spans="1:4" x14ac:dyDescent="0.2">
      <c r="B34355" t="s">
        <v>1</v>
      </c>
    </row>
    <row r="34356" spans="1:4" x14ac:dyDescent="0.2">
      <c r="B34356" t="s">
        <v>8</v>
      </c>
    </row>
    <row r="34358" spans="1:4" x14ac:dyDescent="0.2">
      <c r="A34358" t="s">
        <v>11208</v>
      </c>
      <c r="B34358" t="str">
        <f>HYPERLINK("https://lindat.mff.cuni.cz/services/teitok/pdtc10/index.php?action=vallex&amp;frame=v-w4673f1", "přebít (v-w4673f1)")</f>
        <v>přebít (v-w4673f1)</v>
      </c>
    </row>
    <row r="34359" spans="1:4" x14ac:dyDescent="0.2">
      <c r="B34359" t="s">
        <v>1</v>
      </c>
      <c r="C34359" t="s">
        <v>133</v>
      </c>
      <c r="D34359" t="s">
        <v>373</v>
      </c>
    </row>
    <row r="34360" spans="1:4" x14ac:dyDescent="0.2">
      <c r="B34360" t="s">
        <v>8</v>
      </c>
      <c r="C34360" t="s">
        <v>1510</v>
      </c>
      <c r="D34360" t="s">
        <v>23986</v>
      </c>
    </row>
    <row r="34362" spans="1:4" x14ac:dyDescent="0.2">
      <c r="A34362" t="s">
        <v>11209</v>
      </c>
      <c r="B34362" t="str">
        <f>HYPERLINK("https://lindat.mff.cuni.cz/services/teitok/pdtc10/index.php?action=vallex&amp;frame=v-w4678f1", "přebývat (v-w4678f1)")</f>
        <v>přebývat (v-w4678f1)</v>
      </c>
    </row>
    <row r="34363" spans="1:4" x14ac:dyDescent="0.2">
      <c r="B34363" t="s">
        <v>1</v>
      </c>
    </row>
    <row r="34364" spans="1:4" x14ac:dyDescent="0.2">
      <c r="B34364" t="s">
        <v>86</v>
      </c>
    </row>
    <row r="34366" spans="1:4" x14ac:dyDescent="0.2">
      <c r="A34366" t="s">
        <v>11210</v>
      </c>
      <c r="B34366" t="str">
        <f>HYPERLINK("https://lindat.mff.cuni.cz/services/teitok/pdtc10/index.php?action=vallex&amp;frame=v-w4678f2", "přebývat (v-w4678f2)")</f>
        <v>přebývat (v-w4678f2)</v>
      </c>
    </row>
    <row r="34367" spans="1:4" x14ac:dyDescent="0.2">
      <c r="B34367" t="s">
        <v>1</v>
      </c>
      <c r="C34367" t="s">
        <v>2458</v>
      </c>
      <c r="D34367" t="s">
        <v>23245</v>
      </c>
    </row>
    <row r="34368" spans="1:4" x14ac:dyDescent="0.2">
      <c r="B34368" t="s">
        <v>5</v>
      </c>
      <c r="C34368" t="s">
        <v>11211</v>
      </c>
      <c r="D34368" t="s">
        <v>23246</v>
      </c>
    </row>
    <row r="34370" spans="1:4" x14ac:dyDescent="0.2">
      <c r="A34370" t="s">
        <v>11212</v>
      </c>
      <c r="B34370" t="str">
        <f>HYPERLINK("https://lindat.mff.cuni.cz/services/teitok/pdtc10/index.php?action=vallex&amp;frame=v-w4668f2", "přeběhnout (v-w4668f2)")</f>
        <v>přeběhnout (v-w4668f2)</v>
      </c>
    </row>
    <row r="34371" spans="1:4" x14ac:dyDescent="0.2">
      <c r="B34371" t="s">
        <v>1</v>
      </c>
      <c r="C34371" t="s">
        <v>2444</v>
      </c>
      <c r="D34371" t="s">
        <v>133</v>
      </c>
    </row>
    <row r="34372" spans="1:4" x14ac:dyDescent="0.2">
      <c r="B34372" t="s">
        <v>8</v>
      </c>
    </row>
    <row r="34374" spans="1:4" x14ac:dyDescent="0.2">
      <c r="A34374" t="s">
        <v>11213</v>
      </c>
      <c r="B34374" t="str">
        <f>HYPERLINK("https://lindat.mff.cuni.cz/services/teitok/pdtc10/index.php?action=vallex&amp;frame=v-w4668f1", "přeběhnout (v-w4668f1)")</f>
        <v>přeběhnout (v-w4668f1)</v>
      </c>
    </row>
    <row r="34375" spans="1:4" x14ac:dyDescent="0.2">
      <c r="B34375" t="s">
        <v>1</v>
      </c>
      <c r="C34375" t="s">
        <v>6204</v>
      </c>
      <c r="D34375" t="s">
        <v>23091</v>
      </c>
    </row>
    <row r="34376" spans="1:4" x14ac:dyDescent="0.2">
      <c r="B34376" t="s">
        <v>333</v>
      </c>
      <c r="D34376" t="s">
        <v>7666</v>
      </c>
    </row>
    <row r="34377" spans="1:4" x14ac:dyDescent="0.2">
      <c r="B34377" t="s">
        <v>90</v>
      </c>
    </row>
    <row r="34379" spans="1:4" x14ac:dyDescent="0.2">
      <c r="A34379" t="s">
        <v>11214</v>
      </c>
      <c r="B34379" t="str">
        <f>HYPERLINK("https://lindat.mff.cuni.cz/services/teitok/pdtc10/index.php?action=vallex&amp;frame=v-w10658f2", "přecedit (v-w10658f2)")</f>
        <v>přecedit (v-w10658f2)</v>
      </c>
    </row>
    <row r="34380" spans="1:4" x14ac:dyDescent="0.2">
      <c r="B34380" t="s">
        <v>1</v>
      </c>
    </row>
    <row r="34381" spans="1:4" x14ac:dyDescent="0.2">
      <c r="B34381" t="s">
        <v>8</v>
      </c>
    </row>
    <row r="34383" spans="1:4" x14ac:dyDescent="0.2">
      <c r="A34383" t="s">
        <v>11215</v>
      </c>
      <c r="B34383" t="str">
        <f>HYPERLINK("https://lindat.mff.cuni.cz/services/teitok/pdtc10/index.php?action=vallex&amp;frame=v-w4679f1", "přecenit (v-w4679f1)")</f>
        <v>přecenit (v-w4679f1)</v>
      </c>
    </row>
    <row r="34384" spans="1:4" x14ac:dyDescent="0.2">
      <c r="B34384" t="s">
        <v>1</v>
      </c>
      <c r="C34384" t="s">
        <v>249</v>
      </c>
      <c r="D34384" t="s">
        <v>80</v>
      </c>
    </row>
    <row r="34385" spans="1:4" x14ac:dyDescent="0.2">
      <c r="B34385" t="s">
        <v>124</v>
      </c>
      <c r="C34385" t="s">
        <v>56</v>
      </c>
      <c r="D34385" t="s">
        <v>116</v>
      </c>
    </row>
    <row r="34387" spans="1:4" x14ac:dyDescent="0.2">
      <c r="A34387" t="s">
        <v>11216</v>
      </c>
      <c r="B34387" t="str">
        <f>HYPERLINK("https://lindat.mff.cuni.cz/services/teitok/pdtc10/index.php?action=vallex&amp;frame=v-w4680f1", "přeceňovat (v-w4680f1)")</f>
        <v>přeceňovat (v-w4680f1)</v>
      </c>
    </row>
    <row r="34388" spans="1:4" x14ac:dyDescent="0.2">
      <c r="B34388" t="s">
        <v>1</v>
      </c>
      <c r="D34388" t="s">
        <v>80</v>
      </c>
    </row>
    <row r="34389" spans="1:4" x14ac:dyDescent="0.2">
      <c r="B34389" t="s">
        <v>124</v>
      </c>
      <c r="D34389" t="s">
        <v>116</v>
      </c>
    </row>
    <row r="34391" spans="1:4" x14ac:dyDescent="0.2">
      <c r="A34391" t="s">
        <v>11217</v>
      </c>
      <c r="B34391" t="str">
        <f>HYPERLINK("https://lindat.mff.cuni.cz/services/teitok/pdtc10/index.php?action=vallex&amp;frame=v-whsa_1717hsa_1718", "přechodit (v-whsa_1717hsa_1718)")</f>
        <v>přechodit (v-whsa_1717hsa_1718)</v>
      </c>
    </row>
    <row r="34392" spans="1:4" x14ac:dyDescent="0.2">
      <c r="B34392" t="s">
        <v>1</v>
      </c>
    </row>
    <row r="34393" spans="1:4" x14ac:dyDescent="0.2">
      <c r="B34393" t="s">
        <v>8</v>
      </c>
    </row>
    <row r="34395" spans="1:4" x14ac:dyDescent="0.2">
      <c r="A34395" t="s">
        <v>11218</v>
      </c>
      <c r="B34395" t="str">
        <f>HYPERLINK("https://lindat.mff.cuni.cz/services/teitok/pdtc10/index.php?action=vallex&amp;frame=v-w4822f1", "přechovávat (v-w4822f1)")</f>
        <v>přechovávat (v-w4822f1)</v>
      </c>
    </row>
    <row r="34396" spans="1:4" x14ac:dyDescent="0.2">
      <c r="B34396" t="s">
        <v>1</v>
      </c>
      <c r="C34396" t="s">
        <v>2239</v>
      </c>
      <c r="D34396" t="s">
        <v>14079</v>
      </c>
    </row>
    <row r="34397" spans="1:4" x14ac:dyDescent="0.2">
      <c r="B34397" t="s">
        <v>8</v>
      </c>
      <c r="C34397" t="s">
        <v>335</v>
      </c>
      <c r="D34397" t="s">
        <v>2240</v>
      </c>
    </row>
    <row r="34399" spans="1:4" x14ac:dyDescent="0.2">
      <c r="A34399" t="s">
        <v>11219</v>
      </c>
      <c r="B34399" t="str">
        <f>HYPERLINK("https://lindat.mff.cuni.cz/services/teitok/pdtc10/index.php?action=vallex&amp;frame=v-w11553_ZUf1_ZU", "přechytračit (v-w11553_ZUf1_ZU)")</f>
        <v>přechytračit (v-w11553_ZUf1_ZU)</v>
      </c>
    </row>
    <row r="34400" spans="1:4" x14ac:dyDescent="0.2">
      <c r="B34400" t="s">
        <v>1</v>
      </c>
    </row>
    <row r="34401" spans="1:4" x14ac:dyDescent="0.2">
      <c r="B34401" t="s">
        <v>8</v>
      </c>
    </row>
    <row r="34403" spans="1:4" x14ac:dyDescent="0.2">
      <c r="A34403" t="s">
        <v>11220</v>
      </c>
      <c r="B34403" t="str">
        <f>HYPERLINK("https://lindat.mff.cuni.cz/services/teitok/pdtc10/index.php?action=vallex&amp;frame=v-w4819f2", "přecházet (v-w4819f2)")</f>
        <v>přecházet (v-w4819f2)</v>
      </c>
    </row>
    <row r="34404" spans="1:4" x14ac:dyDescent="0.2">
      <c r="B34404" t="s">
        <v>1</v>
      </c>
      <c r="C34404" t="s">
        <v>11221</v>
      </c>
      <c r="D34404" t="s">
        <v>23987</v>
      </c>
    </row>
    <row r="34405" spans="1:4" x14ac:dyDescent="0.2">
      <c r="B34405" t="s">
        <v>11222</v>
      </c>
      <c r="C34405" t="s">
        <v>11223</v>
      </c>
      <c r="D34405" t="s">
        <v>23988</v>
      </c>
    </row>
    <row r="34406" spans="1:4" x14ac:dyDescent="0.2">
      <c r="B34406" t="s">
        <v>1944</v>
      </c>
      <c r="C34406" t="s">
        <v>11224</v>
      </c>
      <c r="D34406" t="s">
        <v>11224</v>
      </c>
    </row>
    <row r="34408" spans="1:4" x14ac:dyDescent="0.2">
      <c r="A34408" t="s">
        <v>11225</v>
      </c>
      <c r="B34408" t="str">
        <f>HYPERLINK("https://lindat.mff.cuni.cz/services/teitok/pdtc10/index.php?action=vallex&amp;frame=v-w4819f6", "přecházet (v-w4819f6)")</f>
        <v>přecházet (v-w4819f6)</v>
      </c>
    </row>
    <row r="34409" spans="1:4" x14ac:dyDescent="0.2">
      <c r="B34409" t="s">
        <v>1</v>
      </c>
    </row>
    <row r="34410" spans="1:4" x14ac:dyDescent="0.2">
      <c r="B34410" t="s">
        <v>41</v>
      </c>
    </row>
    <row r="34412" spans="1:4" x14ac:dyDescent="0.2">
      <c r="A34412" t="s">
        <v>11226</v>
      </c>
      <c r="B34412" t="str">
        <f>HYPERLINK("https://lindat.mff.cuni.cz/services/teitok/pdtc10/index.php?action=vallex&amp;frame=v-w4819f4", "přecházet (v-w4819f4)")</f>
        <v>přecházet (v-w4819f4)</v>
      </c>
    </row>
    <row r="34413" spans="1:4" x14ac:dyDescent="0.2">
      <c r="B34413" t="s">
        <v>1</v>
      </c>
      <c r="C34413" t="s">
        <v>334</v>
      </c>
    </row>
    <row r="34414" spans="1:4" x14ac:dyDescent="0.2">
      <c r="B34414" t="s">
        <v>8</v>
      </c>
      <c r="C34414" t="s">
        <v>1025</v>
      </c>
    </row>
    <row r="34416" spans="1:4" x14ac:dyDescent="0.2">
      <c r="A34416" t="s">
        <v>11227</v>
      </c>
      <c r="B34416" t="str">
        <f>HYPERLINK("https://lindat.mff.cuni.cz/services/teitok/pdtc10/index.php?action=vallex&amp;frame=v-w4819f8", "přecházet (v-w4819f8)")</f>
        <v>přecházet (v-w4819f8)</v>
      </c>
    </row>
    <row r="34417" spans="1:4" x14ac:dyDescent="0.2">
      <c r="B34417" t="s">
        <v>1</v>
      </c>
    </row>
    <row r="34418" spans="1:4" x14ac:dyDescent="0.2">
      <c r="B34418" t="s">
        <v>8</v>
      </c>
    </row>
    <row r="34420" spans="1:4" x14ac:dyDescent="0.2">
      <c r="A34420" t="s">
        <v>11228</v>
      </c>
      <c r="B34420" t="str">
        <f>HYPERLINK("https://lindat.mff.cuni.cz/services/teitok/pdtc10/index.php?action=vallex&amp;frame=v-w4819f9", "přecházet (v-w4819f9)")</f>
        <v>přecházet (v-w4819f9)</v>
      </c>
    </row>
    <row r="34421" spans="1:4" x14ac:dyDescent="0.2">
      <c r="B34421" t="s">
        <v>1</v>
      </c>
      <c r="D34421" t="s">
        <v>23324</v>
      </c>
    </row>
    <row r="34422" spans="1:4" x14ac:dyDescent="0.2">
      <c r="B34422" t="s">
        <v>220</v>
      </c>
    </row>
    <row r="34424" spans="1:4" x14ac:dyDescent="0.2">
      <c r="A34424" t="s">
        <v>11229</v>
      </c>
      <c r="B34424" t="str">
        <f>HYPERLINK("https://lindat.mff.cuni.cz/services/teitok/pdtc10/index.php?action=vallex&amp;frame=v-w4819f1", "přecházet (v-w4819f1)")</f>
        <v>přecházet (v-w4819f1)</v>
      </c>
    </row>
    <row r="34425" spans="1:4" x14ac:dyDescent="0.2">
      <c r="B34425" t="s">
        <v>1</v>
      </c>
      <c r="C34425" t="s">
        <v>11230</v>
      </c>
      <c r="D34425" t="s">
        <v>3742</v>
      </c>
    </row>
    <row r="34426" spans="1:4" x14ac:dyDescent="0.2">
      <c r="B34426" t="s">
        <v>333</v>
      </c>
    </row>
    <row r="34427" spans="1:4" x14ac:dyDescent="0.2">
      <c r="B34427" t="s">
        <v>90</v>
      </c>
    </row>
    <row r="34429" spans="1:4" x14ac:dyDescent="0.2">
      <c r="A34429" t="s">
        <v>11231</v>
      </c>
      <c r="B34429" t="str">
        <f>HYPERLINK("https://lindat.mff.cuni.cz/services/teitok/pdtc10/index.php?action=vallex&amp;frame=v-w4819f3", "přecházet (v-w4819f3)")</f>
        <v>přecházet (v-w4819f3)</v>
      </c>
    </row>
    <row r="34430" spans="1:4" x14ac:dyDescent="0.2">
      <c r="B34430" t="s">
        <v>1</v>
      </c>
      <c r="D34430" t="s">
        <v>92</v>
      </c>
    </row>
    <row r="34431" spans="1:4" x14ac:dyDescent="0.2">
      <c r="B34431" t="s">
        <v>192</v>
      </c>
      <c r="D34431" t="s">
        <v>3802</v>
      </c>
    </row>
    <row r="34433" spans="1:4" x14ac:dyDescent="0.2">
      <c r="A34433" t="s">
        <v>11232</v>
      </c>
      <c r="B34433" t="str">
        <f>HYPERLINK("https://lindat.mff.cuni.cz/services/teitok/pdtc10/index.php?action=vallex&amp;frame=v-w4819f7", "přecházet (v-w4819f7)")</f>
        <v>přecházet (v-w4819f7)</v>
      </c>
    </row>
    <row r="34434" spans="1:4" x14ac:dyDescent="0.2">
      <c r="B34434" t="s">
        <v>1</v>
      </c>
      <c r="C34434" t="s">
        <v>11233</v>
      </c>
    </row>
    <row r="34435" spans="1:4" x14ac:dyDescent="0.2">
      <c r="B34435" t="s">
        <v>205</v>
      </c>
    </row>
    <row r="34437" spans="1:4" x14ac:dyDescent="0.2">
      <c r="A34437" t="s">
        <v>11234</v>
      </c>
      <c r="B34437" t="str">
        <f>HYPERLINK("https://lindat.mff.cuni.cz/services/teitok/pdtc10/index.php?action=vallex&amp;frame=v-w4819f5", "přecházet (v-w4819f5)")</f>
        <v>přecházet (v-w4819f5)</v>
      </c>
    </row>
    <row r="34438" spans="1:4" x14ac:dyDescent="0.2">
      <c r="B34438" t="s">
        <v>1</v>
      </c>
    </row>
    <row r="34440" spans="1:4" x14ac:dyDescent="0.2">
      <c r="A34440" t="s">
        <v>11235</v>
      </c>
      <c r="B34440" t="str">
        <f>HYPERLINK("https://lindat.mff.cuni.cz/services/teitok/pdtc10/index.php?action=vallex&amp;frame=v-w4694f1", "předat (v-w4694f1)")</f>
        <v>předat (v-w4694f1)</v>
      </c>
    </row>
    <row r="34441" spans="1:4" x14ac:dyDescent="0.2">
      <c r="B34441" t="s">
        <v>1</v>
      </c>
      <c r="C34441" t="s">
        <v>11236</v>
      </c>
      <c r="D34441" t="s">
        <v>9612</v>
      </c>
    </row>
    <row r="34442" spans="1:4" x14ac:dyDescent="0.2">
      <c r="B34442" t="s">
        <v>8</v>
      </c>
      <c r="C34442" t="s">
        <v>11237</v>
      </c>
      <c r="D34442" t="s">
        <v>23646</v>
      </c>
    </row>
    <row r="34443" spans="1:4" x14ac:dyDescent="0.2">
      <c r="B34443" t="s">
        <v>35</v>
      </c>
      <c r="C34443" t="s">
        <v>11238</v>
      </c>
      <c r="D34443" t="s">
        <v>23862</v>
      </c>
    </row>
    <row r="34445" spans="1:4" x14ac:dyDescent="0.2">
      <c r="A34445" t="s">
        <v>11239</v>
      </c>
      <c r="B34445" t="str">
        <f>HYPERLINK("https://lindat.mff.cuni.cz/services/teitok/pdtc10/index.php?action=vallex&amp;frame=v-w4694f2", "předat (v-w4694f2)")</f>
        <v>předat (v-w4694f2)</v>
      </c>
    </row>
    <row r="34446" spans="1:4" x14ac:dyDescent="0.2">
      <c r="B34446" t="s">
        <v>1</v>
      </c>
      <c r="C34446" t="s">
        <v>11240</v>
      </c>
      <c r="D34446" t="s">
        <v>9612</v>
      </c>
    </row>
    <row r="34447" spans="1:4" x14ac:dyDescent="0.2">
      <c r="B34447" t="s">
        <v>8</v>
      </c>
      <c r="C34447" t="s">
        <v>11241</v>
      </c>
      <c r="D34447" t="s">
        <v>23646</v>
      </c>
    </row>
    <row r="34448" spans="1:4" x14ac:dyDescent="0.2">
      <c r="B34448" t="s">
        <v>90</v>
      </c>
      <c r="C34448" t="s">
        <v>11242</v>
      </c>
      <c r="D34448" t="s">
        <v>23647</v>
      </c>
    </row>
    <row r="34450" spans="1:4" x14ac:dyDescent="0.2">
      <c r="A34450" t="s">
        <v>11243</v>
      </c>
      <c r="B34450" t="str">
        <f>HYPERLINK("https://lindat.mff.cuni.cz/services/teitok/pdtc10/index.php?action=vallex&amp;frame=v-w4694hsa_468", "předat (v-w4694hsa_468)")</f>
        <v>předat (v-w4694hsa_468)</v>
      </c>
    </row>
    <row r="34451" spans="1:4" x14ac:dyDescent="0.2">
      <c r="B34451" t="s">
        <v>1</v>
      </c>
      <c r="C34451" t="s">
        <v>249</v>
      </c>
      <c r="D34451" t="s">
        <v>9612</v>
      </c>
    </row>
    <row r="34452" spans="1:4" x14ac:dyDescent="0.2">
      <c r="B34452" t="s">
        <v>11244</v>
      </c>
      <c r="C34452" t="s">
        <v>2764</v>
      </c>
      <c r="D34452" t="s">
        <v>23989</v>
      </c>
    </row>
    <row r="34453" spans="1:4" x14ac:dyDescent="0.2">
      <c r="B34453" t="s">
        <v>35</v>
      </c>
      <c r="C34453" t="s">
        <v>4765</v>
      </c>
      <c r="D34453" t="s">
        <v>23862</v>
      </c>
    </row>
    <row r="34455" spans="1:4" x14ac:dyDescent="0.2">
      <c r="A34455" t="s">
        <v>11243</v>
      </c>
      <c r="B34455" t="str">
        <f>HYPERLINK("https://lindat.mff.cuni.cz/services/teitok/pdtc10/index.php?action=vallex&amp;frame=v-w4694f3", "předat (v-w4694f3) - substituted with v-w4694hsa_468")</f>
        <v>předat (v-w4694f3) - substituted with v-w4694hsa_468</v>
      </c>
    </row>
    <row r="34456" spans="1:4" x14ac:dyDescent="0.2">
      <c r="B34456" t="s">
        <v>1</v>
      </c>
      <c r="C34456" t="s">
        <v>967</v>
      </c>
    </row>
    <row r="34457" spans="1:4" x14ac:dyDescent="0.2">
      <c r="B34457" t="s">
        <v>11244</v>
      </c>
      <c r="C34457" t="s">
        <v>11245</v>
      </c>
    </row>
    <row r="34458" spans="1:4" x14ac:dyDescent="0.2">
      <c r="B34458" t="s">
        <v>35</v>
      </c>
      <c r="C34458" t="s">
        <v>554</v>
      </c>
    </row>
    <row r="34460" spans="1:4" x14ac:dyDescent="0.2">
      <c r="A34460" t="s">
        <v>11246</v>
      </c>
      <c r="B34460" t="str">
        <f>HYPERLINK("https://lindat.mff.cuni.cz/services/teitok/pdtc10/index.php?action=vallex&amp;frame=v-w4694hsa_469", "předat (v-w4694hsa_469)")</f>
        <v>předat (v-w4694hsa_469)</v>
      </c>
    </row>
    <row r="34461" spans="1:4" x14ac:dyDescent="0.2">
      <c r="B34461" t="s">
        <v>1</v>
      </c>
    </row>
    <row r="34462" spans="1:4" x14ac:dyDescent="0.2">
      <c r="B34462" t="s">
        <v>11244</v>
      </c>
    </row>
    <row r="34463" spans="1:4" x14ac:dyDescent="0.2">
      <c r="B34463" t="s">
        <v>90</v>
      </c>
    </row>
    <row r="34465" spans="1:2" x14ac:dyDescent="0.2">
      <c r="A34465" t="s">
        <v>11246</v>
      </c>
      <c r="B34465" t="str">
        <f>HYPERLINK("https://lindat.mff.cuni.cz/services/teitok/pdtc10/index.php?action=vallex&amp;frame=v-w4694f4", "předat (v-w4694f4) - substituted with v-w4694hsa_469")</f>
        <v>předat (v-w4694f4) - substituted with v-w4694hsa_469</v>
      </c>
    </row>
    <row r="34466" spans="1:2" x14ac:dyDescent="0.2">
      <c r="B34466" t="s">
        <v>1</v>
      </c>
    </row>
    <row r="34467" spans="1:2" x14ac:dyDescent="0.2">
      <c r="B34467" t="s">
        <v>11244</v>
      </c>
    </row>
    <row r="34468" spans="1:2" x14ac:dyDescent="0.2">
      <c r="B34468" t="s">
        <v>90</v>
      </c>
    </row>
    <row r="34470" spans="1:2" x14ac:dyDescent="0.2">
      <c r="A34470" t="s">
        <v>11247</v>
      </c>
      <c r="B34470" t="str">
        <f>HYPERLINK("https://lindat.mff.cuni.cz/services/teitok/pdtc10/index.php?action=vallex&amp;frame=v-w4695f1", "předat se (v-w4695f1)")</f>
        <v>předat se (v-w4695f1)</v>
      </c>
    </row>
    <row r="34471" spans="1:2" x14ac:dyDescent="0.2">
      <c r="B34471" t="s">
        <v>1</v>
      </c>
    </row>
    <row r="34473" spans="1:2" x14ac:dyDescent="0.2">
      <c r="A34473" t="s">
        <v>11248</v>
      </c>
      <c r="B34473" t="str">
        <f>HYPERLINK("https://lindat.mff.cuni.cz/services/teitok/pdtc10/index.php?action=vallex&amp;frame=v-whsa_649hsa_650", "předat si (v-whsa_649hsa_650)")</f>
        <v>předat si (v-whsa_649hsa_650)</v>
      </c>
    </row>
    <row r="34474" spans="1:2" x14ac:dyDescent="0.2">
      <c r="B34474" t="s">
        <v>1</v>
      </c>
    </row>
    <row r="34475" spans="1:2" x14ac:dyDescent="0.2">
      <c r="B34475" t="s">
        <v>8</v>
      </c>
    </row>
    <row r="34476" spans="1:2" x14ac:dyDescent="0.2">
      <c r="B34476" t="s">
        <v>153</v>
      </c>
    </row>
    <row r="34478" spans="1:2" x14ac:dyDescent="0.2">
      <c r="A34478" t="s">
        <v>11249</v>
      </c>
      <c r="B34478" t="str">
        <f>HYPERLINK("https://lindat.mff.cuni.cz/services/teitok/pdtc10/index.php?action=vallex&amp;frame=v-w4701f1", "předbíhat (v-w4701f1)")</f>
        <v>předbíhat (v-w4701f1)</v>
      </c>
    </row>
    <row r="34479" spans="1:2" x14ac:dyDescent="0.2">
      <c r="B34479" t="s">
        <v>1</v>
      </c>
    </row>
    <row r="34480" spans="1:2" x14ac:dyDescent="0.2">
      <c r="B34480" t="s">
        <v>8</v>
      </c>
    </row>
    <row r="34482" spans="1:4" x14ac:dyDescent="0.2">
      <c r="A34482" t="s">
        <v>11250</v>
      </c>
      <c r="B34482" t="str">
        <f>HYPERLINK("https://lindat.mff.cuni.cz/services/teitok/pdtc10/index.php?action=vallex&amp;frame=v-w4701f2_ZU", "předbíhat (v-w4701f2_ZU)")</f>
        <v>předbíhat (v-w4701f2_ZU)</v>
      </c>
    </row>
    <row r="34483" spans="1:4" x14ac:dyDescent="0.2">
      <c r="B34483" t="s">
        <v>1</v>
      </c>
    </row>
    <row r="34484" spans="1:4" x14ac:dyDescent="0.2">
      <c r="B34484" t="s">
        <v>103</v>
      </c>
    </row>
    <row r="34486" spans="1:4" x14ac:dyDescent="0.2">
      <c r="A34486" t="s">
        <v>11251</v>
      </c>
      <c r="B34486" t="str">
        <f>HYPERLINK("https://lindat.mff.cuni.cz/services/teitok/pdtc10/index.php?action=vallex&amp;frame=v-w4702f1", "předbíhat se (v-w4702f1)")</f>
        <v>předbíhat se (v-w4702f1)</v>
      </c>
    </row>
    <row r="34487" spans="1:4" x14ac:dyDescent="0.2">
      <c r="B34487" t="s">
        <v>1</v>
      </c>
    </row>
    <row r="34489" spans="1:4" x14ac:dyDescent="0.2">
      <c r="A34489" t="s">
        <v>11252</v>
      </c>
      <c r="B34489" t="str">
        <f>HYPERLINK("https://lindat.mff.cuni.cz/services/teitok/pdtc10/index.php?action=vallex&amp;frame=v-w4700f1", "předběhnout (v-w4700f1)")</f>
        <v>předběhnout (v-w4700f1)</v>
      </c>
    </row>
    <row r="34490" spans="1:4" x14ac:dyDescent="0.2">
      <c r="B34490" t="s">
        <v>1</v>
      </c>
      <c r="C34490" t="s">
        <v>140</v>
      </c>
      <c r="D34490" t="s">
        <v>2353</v>
      </c>
    </row>
    <row r="34491" spans="1:4" x14ac:dyDescent="0.2">
      <c r="B34491" t="s">
        <v>11253</v>
      </c>
      <c r="C34491" t="s">
        <v>113</v>
      </c>
      <c r="D34491" t="s">
        <v>3098</v>
      </c>
    </row>
    <row r="34493" spans="1:4" x14ac:dyDescent="0.2">
      <c r="A34493" t="s">
        <v>11254</v>
      </c>
      <c r="B34493" t="str">
        <f>HYPERLINK("https://lindat.mff.cuni.cz/services/teitok/pdtc10/index.php?action=vallex&amp;frame=v-w4700f2", "předběhnout (v-w4700f2)")</f>
        <v>předběhnout (v-w4700f2)</v>
      </c>
    </row>
    <row r="34494" spans="1:4" x14ac:dyDescent="0.2">
      <c r="B34494" t="s">
        <v>1</v>
      </c>
      <c r="C34494" t="s">
        <v>16</v>
      </c>
    </row>
    <row r="34495" spans="1:4" x14ac:dyDescent="0.2">
      <c r="B34495" t="s">
        <v>8</v>
      </c>
      <c r="C34495" t="s">
        <v>1750</v>
      </c>
    </row>
    <row r="34497" spans="1:4" x14ac:dyDescent="0.2">
      <c r="A34497" t="s">
        <v>11255</v>
      </c>
      <c r="B34497" t="str">
        <f>HYPERLINK("https://lindat.mff.cuni.cz/services/teitok/pdtc10/index.php?action=vallex&amp;frame=v-w4720f1", "předcházet (v-w4720f1)")</f>
        <v>předcházet (v-w4720f1)</v>
      </c>
    </row>
    <row r="34498" spans="1:4" x14ac:dyDescent="0.2">
      <c r="B34498" t="s">
        <v>1</v>
      </c>
      <c r="C34498" t="s">
        <v>11256</v>
      </c>
      <c r="D34498" t="s">
        <v>23990</v>
      </c>
    </row>
    <row r="34499" spans="1:4" x14ac:dyDescent="0.2">
      <c r="B34499" t="s">
        <v>103</v>
      </c>
      <c r="C34499" t="s">
        <v>11257</v>
      </c>
      <c r="D34499" t="s">
        <v>23991</v>
      </c>
    </row>
    <row r="34501" spans="1:4" x14ac:dyDescent="0.2">
      <c r="A34501" t="s">
        <v>11258</v>
      </c>
      <c r="B34501" t="str">
        <f>HYPERLINK("https://lindat.mff.cuni.cz/services/teitok/pdtc10/index.php?action=vallex&amp;frame=v-w4720f2", "předcházet (v-w4720f2)")</f>
        <v>předcházet (v-w4720f2)</v>
      </c>
    </row>
    <row r="34502" spans="1:4" x14ac:dyDescent="0.2">
      <c r="B34502" t="s">
        <v>11259</v>
      </c>
    </row>
    <row r="34504" spans="1:4" x14ac:dyDescent="0.2">
      <c r="A34504" t="s">
        <v>11260</v>
      </c>
      <c r="B34504" t="str">
        <f>HYPERLINK("https://lindat.mff.cuni.cz/services/teitok/pdtc10/index.php?action=vallex&amp;frame=v-w4720hsa_950", "předcházet (v-w4720hsa_950)")</f>
        <v>předcházet (v-w4720hsa_950)</v>
      </c>
    </row>
    <row r="34505" spans="1:4" x14ac:dyDescent="0.2">
      <c r="B34505" t="s">
        <v>1</v>
      </c>
    </row>
    <row r="34506" spans="1:4" x14ac:dyDescent="0.2">
      <c r="B34506" t="s">
        <v>8</v>
      </c>
    </row>
    <row r="34508" spans="1:4" x14ac:dyDescent="0.2">
      <c r="A34508" t="s">
        <v>11261</v>
      </c>
      <c r="B34508" t="str">
        <f>HYPERLINK("https://lindat.mff.cuni.cz/services/teitok/pdtc10/index.php?action=vallex&amp;frame=v-w4720hsa_951", "předcházet (v-w4720hsa_951)")</f>
        <v>předcházet (v-w4720hsa_951)</v>
      </c>
    </row>
    <row r="34509" spans="1:4" x14ac:dyDescent="0.2">
      <c r="B34509" t="s">
        <v>1</v>
      </c>
      <c r="C34509" t="s">
        <v>11262</v>
      </c>
      <c r="D34509" t="s">
        <v>22980</v>
      </c>
    </row>
    <row r="34510" spans="1:4" x14ac:dyDescent="0.2">
      <c r="B34510" t="s">
        <v>103</v>
      </c>
      <c r="C34510" t="s">
        <v>2305</v>
      </c>
      <c r="D34510" t="s">
        <v>22981</v>
      </c>
    </row>
    <row r="34512" spans="1:4" x14ac:dyDescent="0.2">
      <c r="A34512" t="s">
        <v>11263</v>
      </c>
      <c r="B34512" t="str">
        <f>HYPERLINK("https://lindat.mff.cuni.cz/services/teitok/pdtc10/index.php?action=vallex&amp;frame=v-whsb_279f1_ZU", "předcvičovat (v-whsb_279f1_ZU)")</f>
        <v>předcvičovat (v-whsb_279f1_ZU)</v>
      </c>
    </row>
    <row r="34513" spans="1:2" x14ac:dyDescent="0.2">
      <c r="B34513" t="s">
        <v>1</v>
      </c>
    </row>
    <row r="34514" spans="1:2" x14ac:dyDescent="0.2">
      <c r="B34514" t="s">
        <v>8</v>
      </c>
    </row>
    <row r="34515" spans="1:2" x14ac:dyDescent="0.2">
      <c r="B34515" t="s">
        <v>78</v>
      </c>
    </row>
    <row r="34517" spans="1:2" x14ac:dyDescent="0.2">
      <c r="A34517" t="s">
        <v>11263</v>
      </c>
      <c r="B34517" t="str">
        <f>HYPERLINK("https://lindat.mff.cuni.cz/services/teitok/pdtc10/index.php?action=vallex&amp;frame=v-whsb_279hsa_280", "předcvičovat (v-whsb_279hsa_280) - substituted with v-whsb_279f1_ZU")</f>
        <v>předcvičovat (v-whsb_279hsa_280) - substituted with v-whsb_279f1_ZU</v>
      </c>
    </row>
    <row r="34518" spans="1:2" x14ac:dyDescent="0.2">
      <c r="B34518" t="s">
        <v>1</v>
      </c>
    </row>
    <row r="34519" spans="1:2" x14ac:dyDescent="0.2">
      <c r="B34519" t="s">
        <v>8</v>
      </c>
    </row>
    <row r="34520" spans="1:2" x14ac:dyDescent="0.2">
      <c r="B34520" t="s">
        <v>78</v>
      </c>
    </row>
    <row r="34522" spans="1:2" x14ac:dyDescent="0.2">
      <c r="A34522" t="s">
        <v>11264</v>
      </c>
      <c r="B34522" t="str">
        <f>HYPERLINK("https://lindat.mff.cuni.cz/services/teitok/pdtc10/index.php?action=vallex&amp;frame=v-w10891f2", "předehnat (v-w10891f2)")</f>
        <v>předehnat (v-w10891f2)</v>
      </c>
    </row>
    <row r="34523" spans="1:2" x14ac:dyDescent="0.2">
      <c r="B34523" t="s">
        <v>1</v>
      </c>
    </row>
    <row r="34524" spans="1:2" x14ac:dyDescent="0.2">
      <c r="B34524" t="s">
        <v>8</v>
      </c>
    </row>
    <row r="34526" spans="1:2" x14ac:dyDescent="0.2">
      <c r="A34526" t="s">
        <v>11265</v>
      </c>
      <c r="B34526" t="str">
        <f>HYPERLINK("https://lindat.mff.cuni.cz/services/teitok/pdtc10/index.php?action=vallex&amp;frame=v-whsa_183f1_ZU", "předehrát (v-whsa_183f1_ZU)")</f>
        <v>předehrát (v-whsa_183f1_ZU)</v>
      </c>
    </row>
    <row r="34527" spans="1:2" x14ac:dyDescent="0.2">
      <c r="B34527" t="s">
        <v>1</v>
      </c>
    </row>
    <row r="34528" spans="1:2" x14ac:dyDescent="0.2">
      <c r="B34528" t="s">
        <v>8</v>
      </c>
    </row>
    <row r="34530" spans="1:4" x14ac:dyDescent="0.2">
      <c r="A34530" t="s">
        <v>11265</v>
      </c>
      <c r="B34530" t="str">
        <f>HYPERLINK("https://lindat.mff.cuni.cz/services/teitok/pdtc10/index.php?action=vallex&amp;frame=v-whsa_183hsa_184", "předehrát (v-whsa_183hsa_184) - substituted with v-whsa_183f1_ZU")</f>
        <v>předehrát (v-whsa_183hsa_184) - substituted with v-whsa_183f1_ZU</v>
      </c>
    </row>
    <row r="34531" spans="1:4" x14ac:dyDescent="0.2">
      <c r="B34531" t="s">
        <v>1</v>
      </c>
    </row>
    <row r="34532" spans="1:4" x14ac:dyDescent="0.2">
      <c r="B34532" t="s">
        <v>8</v>
      </c>
    </row>
    <row r="34534" spans="1:4" x14ac:dyDescent="0.2">
      <c r="A34534" t="s">
        <v>11266</v>
      </c>
      <c r="B34534" t="str">
        <f>HYPERLINK("https://lindat.mff.cuni.cz/services/teitok/pdtc10/index.php?action=vallex&amp;frame=v-w12068_ZUf1_ZU", "předejet (v-w12068_ZUf1_ZU)")</f>
        <v>předejet (v-w12068_ZUf1_ZU)</v>
      </c>
    </row>
    <row r="34535" spans="1:4" x14ac:dyDescent="0.2">
      <c r="B34535" t="s">
        <v>1</v>
      </c>
    </row>
    <row r="34536" spans="1:4" x14ac:dyDescent="0.2">
      <c r="B34536" t="s">
        <v>8</v>
      </c>
    </row>
    <row r="34538" spans="1:4" x14ac:dyDescent="0.2">
      <c r="A34538" t="s">
        <v>11267</v>
      </c>
      <c r="B34538" t="str">
        <f>HYPERLINK("https://lindat.mff.cuni.cz/services/teitok/pdtc10/index.php?action=vallex&amp;frame=v-w10162f2", "předejmout (v-w10162f2)")</f>
        <v>předejmout (v-w10162f2)</v>
      </c>
    </row>
    <row r="34539" spans="1:4" x14ac:dyDescent="0.2">
      <c r="B34539" t="s">
        <v>1</v>
      </c>
      <c r="D34539" t="s">
        <v>7388</v>
      </c>
    </row>
    <row r="34540" spans="1:4" x14ac:dyDescent="0.2">
      <c r="B34540" t="s">
        <v>8</v>
      </c>
      <c r="D34540" t="s">
        <v>5591</v>
      </c>
    </row>
    <row r="34542" spans="1:4" x14ac:dyDescent="0.2">
      <c r="A34542" t="s">
        <v>11268</v>
      </c>
      <c r="B34542" t="str">
        <f>HYPERLINK("https://lindat.mff.cuni.cz/services/teitok/pdtc10/index.php?action=vallex&amp;frame=v-w4708f1", "předejít (v-w4708f1)")</f>
        <v>předejít (v-w4708f1)</v>
      </c>
    </row>
    <row r="34543" spans="1:4" x14ac:dyDescent="0.2">
      <c r="B34543" t="s">
        <v>1</v>
      </c>
      <c r="C34543" t="s">
        <v>11262</v>
      </c>
      <c r="D34543" t="s">
        <v>22980</v>
      </c>
    </row>
    <row r="34544" spans="1:4" x14ac:dyDescent="0.2">
      <c r="B34544" t="s">
        <v>103</v>
      </c>
      <c r="C34544" t="s">
        <v>2439</v>
      </c>
      <c r="D34544" t="s">
        <v>22981</v>
      </c>
    </row>
    <row r="34546" spans="1:4" x14ac:dyDescent="0.2">
      <c r="A34546" t="s">
        <v>11269</v>
      </c>
      <c r="B34546" t="str">
        <f>HYPERLINK("https://lindat.mff.cuni.cz/services/teitok/pdtc10/index.php?action=vallex&amp;frame=v-w4708f3_ZU", "předejít (v-w4708f3_ZU)")</f>
        <v>předejít (v-w4708f3_ZU)</v>
      </c>
    </row>
    <row r="34547" spans="1:4" x14ac:dyDescent="0.2">
      <c r="B34547" t="s">
        <v>1</v>
      </c>
    </row>
    <row r="34548" spans="1:4" x14ac:dyDescent="0.2">
      <c r="B34548" t="s">
        <v>11253</v>
      </c>
    </row>
    <row r="34550" spans="1:4" x14ac:dyDescent="0.2">
      <c r="A34550" t="s">
        <v>11269</v>
      </c>
      <c r="B34550" t="str">
        <f>HYPERLINK("https://lindat.mff.cuni.cz/services/teitok/pdtc10/index.php?action=vallex&amp;frame=v-w4708f2", "předejít (v-w4708f2) - substituted with v-w4708f3_ZU")</f>
        <v>předejít (v-w4708f2) - substituted with v-w4708f3_ZU</v>
      </c>
    </row>
    <row r="34551" spans="1:4" x14ac:dyDescent="0.2">
      <c r="B34551" t="s">
        <v>1</v>
      </c>
      <c r="D34551" t="s">
        <v>23990</v>
      </c>
    </row>
    <row r="34552" spans="1:4" x14ac:dyDescent="0.2">
      <c r="B34552" t="s">
        <v>11253</v>
      </c>
      <c r="D34552" t="s">
        <v>23991</v>
      </c>
    </row>
    <row r="34554" spans="1:4" x14ac:dyDescent="0.2">
      <c r="A34554" t="s">
        <v>11270</v>
      </c>
      <c r="B34554" t="str">
        <f>HYPERLINK("https://lindat.mff.cuni.cz/services/teitok/pdtc10/index.php?action=vallex&amp;frame=v-w4712f1", "předepisovat (v-w4712f1)")</f>
        <v>předepisovat (v-w4712f1)</v>
      </c>
    </row>
    <row r="34555" spans="1:4" x14ac:dyDescent="0.2">
      <c r="B34555" t="s">
        <v>1</v>
      </c>
      <c r="C34555" t="s">
        <v>976</v>
      </c>
      <c r="D34555" t="s">
        <v>23815</v>
      </c>
    </row>
    <row r="34556" spans="1:4" x14ac:dyDescent="0.2">
      <c r="B34556" t="s">
        <v>11271</v>
      </c>
      <c r="C34556" t="s">
        <v>341</v>
      </c>
      <c r="D34556" t="s">
        <v>23816</v>
      </c>
    </row>
    <row r="34557" spans="1:4" x14ac:dyDescent="0.2">
      <c r="B34557" t="s">
        <v>35</v>
      </c>
      <c r="D34557" t="s">
        <v>23817</v>
      </c>
    </row>
    <row r="34559" spans="1:4" x14ac:dyDescent="0.2">
      <c r="A34559" t="s">
        <v>11272</v>
      </c>
      <c r="B34559" t="str">
        <f>HYPERLINK("https://lindat.mff.cuni.cz/services/teitok/pdtc10/index.php?action=vallex&amp;frame=v-w4714f1", "předepsat (v-w4714f1)")</f>
        <v>předepsat (v-w4714f1)</v>
      </c>
    </row>
    <row r="34560" spans="1:4" x14ac:dyDescent="0.2">
      <c r="B34560" t="s">
        <v>1</v>
      </c>
      <c r="D34560" t="s">
        <v>23815</v>
      </c>
    </row>
    <row r="34561" spans="1:4" x14ac:dyDescent="0.2">
      <c r="B34561" t="s">
        <v>11273</v>
      </c>
      <c r="D34561" t="s">
        <v>23816</v>
      </c>
    </row>
    <row r="34562" spans="1:4" x14ac:dyDescent="0.2">
      <c r="B34562" t="s">
        <v>35</v>
      </c>
      <c r="D34562" t="s">
        <v>23817</v>
      </c>
    </row>
    <row r="34564" spans="1:4" x14ac:dyDescent="0.2">
      <c r="A34564" t="s">
        <v>11274</v>
      </c>
      <c r="B34564" t="str">
        <f>HYPERLINK("https://lindat.mff.cuni.cz/services/teitok/pdtc10/index.php?action=vallex&amp;frame=v-whsa_321hsa_322", "předeslat (v-whsa_321hsa_322)")</f>
        <v>předeslat (v-whsa_321hsa_322)</v>
      </c>
    </row>
    <row r="34565" spans="1:4" x14ac:dyDescent="0.2">
      <c r="B34565" t="s">
        <v>1</v>
      </c>
    </row>
    <row r="34566" spans="1:4" x14ac:dyDescent="0.2">
      <c r="B34566" t="s">
        <v>41</v>
      </c>
    </row>
    <row r="34568" spans="1:4" x14ac:dyDescent="0.2">
      <c r="A34568" t="s">
        <v>11275</v>
      </c>
      <c r="B34568" t="str">
        <f>HYPERLINK("https://lindat.mff.cuni.cz/services/teitok/pdtc10/index.php?action=vallex&amp;frame=v-w4715f1", "předestřít (v-w4715f1)")</f>
        <v>předestřít (v-w4715f1)</v>
      </c>
    </row>
    <row r="34569" spans="1:4" x14ac:dyDescent="0.2">
      <c r="B34569" t="s">
        <v>1</v>
      </c>
    </row>
    <row r="34570" spans="1:4" x14ac:dyDescent="0.2">
      <c r="B34570" t="s">
        <v>124</v>
      </c>
    </row>
    <row r="34571" spans="1:4" x14ac:dyDescent="0.2">
      <c r="B34571" t="s">
        <v>35</v>
      </c>
    </row>
    <row r="34573" spans="1:4" x14ac:dyDescent="0.2">
      <c r="A34573" t="s">
        <v>11276</v>
      </c>
      <c r="B34573" t="str">
        <f>HYPERLINK("https://lindat.mff.cuni.cz/services/teitok/pdtc10/index.php?action=vallex&amp;frame=v-w10369f2", "předhazovat (v-w10369f2)")</f>
        <v>předhazovat (v-w10369f2)</v>
      </c>
    </row>
    <row r="34574" spans="1:4" x14ac:dyDescent="0.2">
      <c r="B34574" t="s">
        <v>1</v>
      </c>
    </row>
    <row r="34575" spans="1:4" x14ac:dyDescent="0.2">
      <c r="B34575" t="s">
        <v>11277</v>
      </c>
    </row>
    <row r="34576" spans="1:4" x14ac:dyDescent="0.2">
      <c r="B34576" t="s">
        <v>35</v>
      </c>
    </row>
    <row r="34578" spans="1:4" x14ac:dyDescent="0.2">
      <c r="A34578" t="s">
        <v>11278</v>
      </c>
      <c r="B34578" t="str">
        <f>HYPERLINK("https://lindat.mff.cuni.cz/services/teitok/pdtc10/index.php?action=vallex&amp;frame=v-w4717f1", "předhánět (v-w4717f1)")</f>
        <v>předhánět (v-w4717f1)</v>
      </c>
    </row>
    <row r="34579" spans="1:4" x14ac:dyDescent="0.2">
      <c r="B34579" t="s">
        <v>1</v>
      </c>
    </row>
    <row r="34580" spans="1:4" x14ac:dyDescent="0.2">
      <c r="B34580" t="s">
        <v>8</v>
      </c>
    </row>
    <row r="34582" spans="1:4" x14ac:dyDescent="0.2">
      <c r="A34582" t="s">
        <v>11279</v>
      </c>
      <c r="B34582" t="str">
        <f>HYPERLINK("https://lindat.mff.cuni.cz/services/teitok/pdtc10/index.php?action=vallex&amp;frame=v-w11371f2_ZU", "předhánět se (v-w11371f2_ZU)")</f>
        <v>předhánět se (v-w11371f2_ZU)</v>
      </c>
    </row>
    <row r="34583" spans="1:4" x14ac:dyDescent="0.2">
      <c r="B34583" t="s">
        <v>1</v>
      </c>
      <c r="C34583" t="s">
        <v>230</v>
      </c>
      <c r="D34583" t="s">
        <v>1992</v>
      </c>
    </row>
    <row r="34584" spans="1:4" x14ac:dyDescent="0.2">
      <c r="B34584" t="s">
        <v>153</v>
      </c>
      <c r="D34584" t="s">
        <v>22991</v>
      </c>
    </row>
    <row r="34585" spans="1:4" x14ac:dyDescent="0.2">
      <c r="B34585" t="s">
        <v>11280</v>
      </c>
      <c r="C34585" t="s">
        <v>2344</v>
      </c>
      <c r="D34585" t="s">
        <v>22992</v>
      </c>
    </row>
    <row r="34587" spans="1:4" x14ac:dyDescent="0.2">
      <c r="A34587" t="s">
        <v>11279</v>
      </c>
      <c r="B34587" t="str">
        <f>HYPERLINK("https://lindat.mff.cuni.cz/services/teitok/pdtc10/index.php?action=vallex&amp;frame=v-w11371f1", "předhánět se (v-w11371f1) - substituted with v-w11371f2_ZU")</f>
        <v>předhánět se (v-w11371f1) - substituted with v-w11371f2_ZU</v>
      </c>
    </row>
    <row r="34588" spans="1:4" x14ac:dyDescent="0.2">
      <c r="B34588" t="s">
        <v>1</v>
      </c>
      <c r="C34588" t="s">
        <v>337</v>
      </c>
    </row>
    <row r="34589" spans="1:4" x14ac:dyDescent="0.2">
      <c r="B34589" t="s">
        <v>153</v>
      </c>
    </row>
    <row r="34590" spans="1:4" x14ac:dyDescent="0.2">
      <c r="B34590" t="s">
        <v>11280</v>
      </c>
    </row>
    <row r="34592" spans="1:4" x14ac:dyDescent="0.2">
      <c r="A34592" t="s">
        <v>11281</v>
      </c>
      <c r="B34592" t="str">
        <f>HYPERLINK("https://lindat.mff.cuni.cz/services/teitok/pdtc10/index.php?action=vallex&amp;frame=v-w4722f1", "předimenzovat (v-w4722f1)")</f>
        <v>předimenzovat (v-w4722f1)</v>
      </c>
    </row>
    <row r="34593" spans="1:4" x14ac:dyDescent="0.2">
      <c r="B34593" t="s">
        <v>1</v>
      </c>
    </row>
    <row r="34594" spans="1:4" x14ac:dyDescent="0.2">
      <c r="B34594" t="s">
        <v>8</v>
      </c>
    </row>
    <row r="34596" spans="1:4" x14ac:dyDescent="0.2">
      <c r="A34596" t="s">
        <v>11282</v>
      </c>
      <c r="B34596" t="str">
        <f>HYPERLINK("https://lindat.mff.cuni.cz/services/teitok/pdtc10/index.php?action=vallex&amp;frame=v-w12135_ZUf2_ZU", "předjet (v-w12135_ZUf2_ZU)")</f>
        <v>předjet (v-w12135_ZUf2_ZU)</v>
      </c>
    </row>
    <row r="34597" spans="1:4" x14ac:dyDescent="0.2">
      <c r="B34597" t="s">
        <v>1</v>
      </c>
    </row>
    <row r="34598" spans="1:4" x14ac:dyDescent="0.2">
      <c r="B34598" t="s">
        <v>8</v>
      </c>
    </row>
    <row r="34600" spans="1:4" x14ac:dyDescent="0.2">
      <c r="A34600" t="s">
        <v>11282</v>
      </c>
      <c r="B34600" t="str">
        <f>HYPERLINK("https://lindat.mff.cuni.cz/services/teitok/pdtc10/index.php?action=vallex&amp;frame=v-w12135_ZUf1_ZU", "předjet (v-w12135_ZUf1_ZU) - substituted with v-w12135_ZUf2_ZU")</f>
        <v>předjet (v-w12135_ZUf1_ZU) - substituted with v-w12135_ZUf2_ZU</v>
      </c>
    </row>
    <row r="34601" spans="1:4" x14ac:dyDescent="0.2">
      <c r="B34601" t="s">
        <v>1</v>
      </c>
    </row>
    <row r="34602" spans="1:4" x14ac:dyDescent="0.2">
      <c r="B34602" t="s">
        <v>8</v>
      </c>
    </row>
    <row r="34604" spans="1:4" x14ac:dyDescent="0.2">
      <c r="A34604" t="s">
        <v>11283</v>
      </c>
      <c r="B34604" t="str">
        <f>HYPERLINK("https://lindat.mff.cuni.cz/services/teitok/pdtc10/index.php?action=vallex&amp;frame=v-w4724f2_ZU", "předjímat (v-w4724f2_ZU)")</f>
        <v>předjímat (v-w4724f2_ZU)</v>
      </c>
    </row>
    <row r="34605" spans="1:4" x14ac:dyDescent="0.2">
      <c r="B34605" t="s">
        <v>1</v>
      </c>
      <c r="C34605" t="s">
        <v>10775</v>
      </c>
      <c r="D34605" t="s">
        <v>7388</v>
      </c>
    </row>
    <row r="34606" spans="1:4" x14ac:dyDescent="0.2">
      <c r="B34606" t="s">
        <v>41</v>
      </c>
      <c r="C34606" t="s">
        <v>1437</v>
      </c>
      <c r="D34606" t="s">
        <v>5591</v>
      </c>
    </row>
    <row r="34608" spans="1:4" x14ac:dyDescent="0.2">
      <c r="A34608" t="s">
        <v>11283</v>
      </c>
      <c r="B34608" t="str">
        <f>HYPERLINK("https://lindat.mff.cuni.cz/services/teitok/pdtc10/index.php?action=vallex&amp;frame=v-w4724f1", "předjímat (v-w4724f1) - substituted with v-w4724f2_ZU")</f>
        <v>předjímat (v-w4724f1) - substituted with v-w4724f2_ZU</v>
      </c>
    </row>
    <row r="34609" spans="1:4" x14ac:dyDescent="0.2">
      <c r="B34609" t="s">
        <v>1</v>
      </c>
      <c r="C34609" t="s">
        <v>133</v>
      </c>
    </row>
    <row r="34610" spans="1:4" x14ac:dyDescent="0.2">
      <c r="B34610" t="s">
        <v>41</v>
      </c>
      <c r="C34610" t="s">
        <v>84</v>
      </c>
    </row>
    <row r="34612" spans="1:4" x14ac:dyDescent="0.2">
      <c r="A34612" t="s">
        <v>11284</v>
      </c>
      <c r="B34612" t="str">
        <f>HYPERLINK("https://lindat.mff.cuni.cz/services/teitok/pdtc10/index.php?action=vallex&amp;frame=v-w4726f1", "předjíždět (v-w4726f1)")</f>
        <v>předjíždět (v-w4726f1)</v>
      </c>
    </row>
    <row r="34613" spans="1:4" x14ac:dyDescent="0.2">
      <c r="B34613" t="s">
        <v>1</v>
      </c>
    </row>
    <row r="34614" spans="1:4" x14ac:dyDescent="0.2">
      <c r="B34614" t="s">
        <v>8</v>
      </c>
    </row>
    <row r="34616" spans="1:4" x14ac:dyDescent="0.2">
      <c r="A34616" t="s">
        <v>11285</v>
      </c>
      <c r="B34616" t="str">
        <f>HYPERLINK("https://lindat.mff.cuni.cz/services/teitok/pdtc10/index.php?action=vallex&amp;frame=v-w11246f1", "předklonit se (v-w11246f1)")</f>
        <v>předklonit se (v-w11246f1)</v>
      </c>
    </row>
    <row r="34617" spans="1:4" x14ac:dyDescent="0.2">
      <c r="B34617" t="s">
        <v>1</v>
      </c>
      <c r="C34617" t="s">
        <v>7995</v>
      </c>
      <c r="D34617" t="s">
        <v>8785</v>
      </c>
    </row>
    <row r="34619" spans="1:4" x14ac:dyDescent="0.2">
      <c r="A34619" t="s">
        <v>11286</v>
      </c>
      <c r="B34619" t="str">
        <f>HYPERLINK("https://lindat.mff.cuni.cz/services/teitok/pdtc10/index.php?action=vallex&amp;frame=v-w4728f1", "předkládat (v-w4728f1)")</f>
        <v>předkládat (v-w4728f1)</v>
      </c>
    </row>
    <row r="34620" spans="1:4" x14ac:dyDescent="0.2">
      <c r="B34620" t="s">
        <v>1</v>
      </c>
      <c r="C34620" t="s">
        <v>10054</v>
      </c>
      <c r="D34620" t="s">
        <v>23262</v>
      </c>
    </row>
    <row r="34621" spans="1:4" x14ac:dyDescent="0.2">
      <c r="B34621" t="s">
        <v>1284</v>
      </c>
      <c r="C34621" t="s">
        <v>11287</v>
      </c>
      <c r="D34621" t="s">
        <v>23276</v>
      </c>
    </row>
    <row r="34622" spans="1:4" x14ac:dyDescent="0.2">
      <c r="B34622" t="s">
        <v>35</v>
      </c>
      <c r="C34622" t="s">
        <v>8941</v>
      </c>
      <c r="D34622" t="s">
        <v>23251</v>
      </c>
    </row>
    <row r="34624" spans="1:4" x14ac:dyDescent="0.2">
      <c r="A34624" t="s">
        <v>11288</v>
      </c>
      <c r="B34624" t="str">
        <f>HYPERLINK("https://lindat.mff.cuni.cz/services/teitok/pdtc10/index.php?action=vallex&amp;frame=v-w4733f1", "předložit (v-w4733f1)")</f>
        <v>předložit (v-w4733f1)</v>
      </c>
    </row>
    <row r="34625" spans="1:4" x14ac:dyDescent="0.2">
      <c r="B34625" t="s">
        <v>1</v>
      </c>
      <c r="C34625" t="s">
        <v>11289</v>
      </c>
      <c r="D34625" t="s">
        <v>23992</v>
      </c>
    </row>
    <row r="34626" spans="1:4" x14ac:dyDescent="0.2">
      <c r="B34626" t="s">
        <v>8</v>
      </c>
      <c r="C34626" t="s">
        <v>11290</v>
      </c>
      <c r="D34626" t="s">
        <v>23993</v>
      </c>
    </row>
    <row r="34627" spans="1:4" x14ac:dyDescent="0.2">
      <c r="B34627" t="s">
        <v>35</v>
      </c>
      <c r="C34627" t="s">
        <v>11291</v>
      </c>
      <c r="D34627" t="s">
        <v>23994</v>
      </c>
    </row>
    <row r="34629" spans="1:4" x14ac:dyDescent="0.2">
      <c r="A34629" t="s">
        <v>11292</v>
      </c>
      <c r="B34629" t="str">
        <f>HYPERLINK("https://lindat.mff.cuni.cz/services/teitok/pdtc10/index.php?action=vallex&amp;frame=v-w4733f2", "předložit (v-w4733f2)")</f>
        <v>předložit (v-w4733f2)</v>
      </c>
    </row>
    <row r="34630" spans="1:4" x14ac:dyDescent="0.2">
      <c r="B34630" t="s">
        <v>1</v>
      </c>
      <c r="C34630" t="s">
        <v>4985</v>
      </c>
      <c r="D34630" t="s">
        <v>23262</v>
      </c>
    </row>
    <row r="34631" spans="1:4" x14ac:dyDescent="0.2">
      <c r="B34631" t="s">
        <v>8</v>
      </c>
      <c r="C34631" t="s">
        <v>7273</v>
      </c>
      <c r="D34631" t="s">
        <v>23276</v>
      </c>
    </row>
    <row r="34632" spans="1:4" x14ac:dyDescent="0.2">
      <c r="B34632" t="s">
        <v>5</v>
      </c>
      <c r="C34632" t="s">
        <v>11293</v>
      </c>
      <c r="D34632" t="s">
        <v>23995</v>
      </c>
    </row>
    <row r="34634" spans="1:4" x14ac:dyDescent="0.2">
      <c r="A34634" t="s">
        <v>11294</v>
      </c>
      <c r="B34634" t="str">
        <f>HYPERLINK("https://lindat.mff.cuni.cz/services/teitok/pdtc10/index.php?action=vallex&amp;frame=v-w4733f3", "předložit (v-w4733f3)")</f>
        <v>předložit (v-w4733f3)</v>
      </c>
    </row>
    <row r="34635" spans="1:4" x14ac:dyDescent="0.2">
      <c r="B34635" t="s">
        <v>1</v>
      </c>
      <c r="C34635" t="s">
        <v>11295</v>
      </c>
      <c r="D34635" t="s">
        <v>23098</v>
      </c>
    </row>
    <row r="34636" spans="1:4" x14ac:dyDescent="0.2">
      <c r="B34636" t="s">
        <v>8</v>
      </c>
      <c r="C34636" t="s">
        <v>9067</v>
      </c>
      <c r="D34636" t="s">
        <v>23174</v>
      </c>
    </row>
    <row r="34637" spans="1:4" x14ac:dyDescent="0.2">
      <c r="B34637" t="s">
        <v>90</v>
      </c>
      <c r="C34637" t="s">
        <v>11296</v>
      </c>
      <c r="D34637" t="s">
        <v>23996</v>
      </c>
    </row>
    <row r="34639" spans="1:4" x14ac:dyDescent="0.2">
      <c r="A34639" t="s">
        <v>11297</v>
      </c>
      <c r="B34639" t="str">
        <f>HYPERLINK("https://lindat.mff.cuni.cz/services/teitok/pdtc10/index.php?action=vallex&amp;frame=v-w4735f2", "přednášet (v-w4735f2)")</f>
        <v>přednášet (v-w4735f2)</v>
      </c>
    </row>
    <row r="34640" spans="1:4" x14ac:dyDescent="0.2">
      <c r="B34640" t="s">
        <v>331</v>
      </c>
      <c r="C34640" t="s">
        <v>133</v>
      </c>
      <c r="D34640" t="s">
        <v>1106</v>
      </c>
    </row>
    <row r="34641" spans="1:4" x14ac:dyDescent="0.2">
      <c r="B34641" t="s">
        <v>11298</v>
      </c>
      <c r="C34641" t="s">
        <v>1360</v>
      </c>
      <c r="D34641" t="s">
        <v>23573</v>
      </c>
    </row>
    <row r="34642" spans="1:4" x14ac:dyDescent="0.2">
      <c r="B34642" t="s">
        <v>78</v>
      </c>
      <c r="C34642" t="s">
        <v>1672</v>
      </c>
      <c r="D34642" t="s">
        <v>23574</v>
      </c>
    </row>
    <row r="34644" spans="1:4" x14ac:dyDescent="0.2">
      <c r="A34644" t="s">
        <v>11299</v>
      </c>
      <c r="B34644" t="str">
        <f>HYPERLINK("https://lindat.mff.cuni.cz/services/teitok/pdtc10/index.php?action=vallex&amp;frame=v-w4735f1", "přednášet (v-w4735f1)")</f>
        <v>přednášet (v-w4735f1)</v>
      </c>
    </row>
    <row r="34645" spans="1:4" x14ac:dyDescent="0.2">
      <c r="B34645" t="s">
        <v>1</v>
      </c>
      <c r="C34645" t="s">
        <v>3277</v>
      </c>
      <c r="D34645" t="s">
        <v>1106</v>
      </c>
    </row>
    <row r="34646" spans="1:4" x14ac:dyDescent="0.2">
      <c r="B34646" t="s">
        <v>8</v>
      </c>
      <c r="C34646" t="s">
        <v>11300</v>
      </c>
      <c r="D34646" t="s">
        <v>23573</v>
      </c>
    </row>
    <row r="34647" spans="1:4" x14ac:dyDescent="0.2">
      <c r="B34647" t="s">
        <v>78</v>
      </c>
      <c r="C34647" t="s">
        <v>3280</v>
      </c>
      <c r="D34647" t="s">
        <v>23574</v>
      </c>
    </row>
    <row r="34649" spans="1:4" x14ac:dyDescent="0.2">
      <c r="A34649" t="s">
        <v>11301</v>
      </c>
      <c r="B34649" t="str">
        <f>HYPERLINK("https://lindat.mff.cuni.cz/services/teitok/pdtc10/index.php?action=vallex&amp;frame=v-w4735f3", "přednášet (v-w4735f3)")</f>
        <v>přednášet (v-w4735f3)</v>
      </c>
    </row>
    <row r="34650" spans="1:4" x14ac:dyDescent="0.2">
      <c r="B34650" t="s">
        <v>1</v>
      </c>
    </row>
    <row r="34651" spans="1:4" x14ac:dyDescent="0.2">
      <c r="B34651" t="s">
        <v>11005</v>
      </c>
    </row>
    <row r="34652" spans="1:4" x14ac:dyDescent="0.2">
      <c r="B34652" t="s">
        <v>269</v>
      </c>
    </row>
    <row r="34653" spans="1:4" x14ac:dyDescent="0.2">
      <c r="B34653" t="s">
        <v>78</v>
      </c>
    </row>
    <row r="34655" spans="1:4" x14ac:dyDescent="0.2">
      <c r="A34655" t="s">
        <v>11302</v>
      </c>
      <c r="B34655" t="str">
        <f>HYPERLINK("https://lindat.mff.cuni.cz/services/teitok/pdtc10/index.php?action=vallex&amp;frame=v-w4735hsa_866", "přednášet (v-w4735hsa_866)")</f>
        <v>přednášet (v-w4735hsa_866)</v>
      </c>
    </row>
    <row r="34656" spans="1:4" x14ac:dyDescent="0.2">
      <c r="B34656" t="s">
        <v>1</v>
      </c>
      <c r="D34656" t="s">
        <v>1106</v>
      </c>
    </row>
    <row r="34657" spans="1:4" x14ac:dyDescent="0.2">
      <c r="B34657" t="s">
        <v>8</v>
      </c>
      <c r="D34657" t="s">
        <v>23573</v>
      </c>
    </row>
    <row r="34658" spans="1:4" x14ac:dyDescent="0.2">
      <c r="B34658" t="s">
        <v>35</v>
      </c>
      <c r="D34658" t="s">
        <v>23574</v>
      </c>
    </row>
    <row r="34660" spans="1:4" x14ac:dyDescent="0.2">
      <c r="A34660" t="s">
        <v>11303</v>
      </c>
      <c r="B34660" t="str">
        <f>HYPERLINK("https://lindat.mff.cuni.cz/services/teitok/pdtc10/index.php?action=vallex&amp;frame=v-w4737f1", "přednést (v-w4737f1)")</f>
        <v>přednést (v-w4737f1)</v>
      </c>
    </row>
    <row r="34661" spans="1:4" x14ac:dyDescent="0.2">
      <c r="B34661" t="s">
        <v>1</v>
      </c>
      <c r="C34661" t="s">
        <v>11304</v>
      </c>
      <c r="D34661" t="s">
        <v>1106</v>
      </c>
    </row>
    <row r="34662" spans="1:4" x14ac:dyDescent="0.2">
      <c r="B34662" t="s">
        <v>8</v>
      </c>
      <c r="C34662" t="s">
        <v>11305</v>
      </c>
      <c r="D34662" t="s">
        <v>23573</v>
      </c>
    </row>
    <row r="34663" spans="1:4" x14ac:dyDescent="0.2">
      <c r="B34663" t="s">
        <v>78</v>
      </c>
      <c r="C34663" t="s">
        <v>11306</v>
      </c>
      <c r="D34663" t="s">
        <v>23574</v>
      </c>
    </row>
    <row r="34665" spans="1:4" x14ac:dyDescent="0.2">
      <c r="A34665" t="s">
        <v>11307</v>
      </c>
      <c r="B34665" t="str">
        <f>HYPERLINK("https://lindat.mff.cuni.cz/services/teitok/pdtc10/index.php?action=vallex&amp;frame=v-w4740f1", "předpisovat (v-w4740f1)")</f>
        <v>předpisovat (v-w4740f1)</v>
      </c>
    </row>
    <row r="34666" spans="1:4" x14ac:dyDescent="0.2">
      <c r="B34666" t="s">
        <v>1</v>
      </c>
    </row>
    <row r="34667" spans="1:4" x14ac:dyDescent="0.2">
      <c r="B34667" t="s">
        <v>8001</v>
      </c>
    </row>
    <row r="34668" spans="1:4" x14ac:dyDescent="0.2">
      <c r="B34668" t="s">
        <v>35</v>
      </c>
    </row>
    <row r="34670" spans="1:4" x14ac:dyDescent="0.2">
      <c r="A34670" t="s">
        <v>11308</v>
      </c>
      <c r="B34670" t="str">
        <f>HYPERLINK("https://lindat.mff.cuni.cz/services/teitok/pdtc10/index.php?action=vallex&amp;frame=v-w4741f1", "předplatit (v-w4741f1)")</f>
        <v>předplatit (v-w4741f1)</v>
      </c>
    </row>
    <row r="34671" spans="1:4" x14ac:dyDescent="0.2">
      <c r="B34671" t="s">
        <v>1</v>
      </c>
      <c r="C34671" t="s">
        <v>83</v>
      </c>
    </row>
    <row r="34672" spans="1:4" x14ac:dyDescent="0.2">
      <c r="B34672" t="s">
        <v>8</v>
      </c>
      <c r="C34672" t="s">
        <v>1128</v>
      </c>
    </row>
    <row r="34674" spans="1:4" x14ac:dyDescent="0.2">
      <c r="A34674" t="s">
        <v>11309</v>
      </c>
      <c r="B34674" t="str">
        <f>HYPERLINK("https://lindat.mff.cuni.cz/services/teitok/pdtc10/index.php?action=vallex&amp;frame=v-w10168f2", "předplácet (v-w10168f2)")</f>
        <v>předplácet (v-w10168f2)</v>
      </c>
    </row>
    <row r="34675" spans="1:4" x14ac:dyDescent="0.2">
      <c r="B34675" t="s">
        <v>1</v>
      </c>
      <c r="C34675" t="s">
        <v>22</v>
      </c>
      <c r="D34675" t="s">
        <v>2303</v>
      </c>
    </row>
    <row r="34676" spans="1:4" x14ac:dyDescent="0.2">
      <c r="B34676" t="s">
        <v>8</v>
      </c>
      <c r="C34676" t="s">
        <v>335</v>
      </c>
      <c r="D34676" t="s">
        <v>2240</v>
      </c>
    </row>
    <row r="34678" spans="1:4" x14ac:dyDescent="0.2">
      <c r="A34678" t="s">
        <v>11310</v>
      </c>
      <c r="B34678" t="str">
        <f>HYPERLINK("https://lindat.mff.cuni.cz/services/teitok/pdtc10/index.php?action=vallex&amp;frame=v-w4745f1", "předpokládat (v-w4745f1)")</f>
        <v>předpokládat (v-w4745f1)</v>
      </c>
    </row>
    <row r="34679" spans="1:4" x14ac:dyDescent="0.2">
      <c r="B34679" t="s">
        <v>11311</v>
      </c>
      <c r="C34679" t="s">
        <v>11312</v>
      </c>
      <c r="D34679" t="s">
        <v>23997</v>
      </c>
    </row>
    <row r="34680" spans="1:4" x14ac:dyDescent="0.2">
      <c r="B34680" t="s">
        <v>11313</v>
      </c>
      <c r="C34680" t="s">
        <v>11314</v>
      </c>
      <c r="D34680" t="s">
        <v>23998</v>
      </c>
    </row>
    <row r="34682" spans="1:4" x14ac:dyDescent="0.2">
      <c r="A34682" t="s">
        <v>11315</v>
      </c>
      <c r="B34682" t="str">
        <f>HYPERLINK("https://lindat.mff.cuni.cz/services/teitok/pdtc10/index.php?action=vallex&amp;frame=v-w4745f2", "předpokládat (v-w4745f2)")</f>
        <v>předpokládat (v-w4745f2)</v>
      </c>
    </row>
    <row r="34683" spans="1:4" x14ac:dyDescent="0.2">
      <c r="B34683" t="s">
        <v>1</v>
      </c>
      <c r="C34683" t="s">
        <v>11316</v>
      </c>
      <c r="D34683" t="s">
        <v>23149</v>
      </c>
    </row>
    <row r="34684" spans="1:4" x14ac:dyDescent="0.2">
      <c r="B34684" t="s">
        <v>1688</v>
      </c>
      <c r="C34684" t="s">
        <v>11317</v>
      </c>
      <c r="D34684" t="s">
        <v>23150</v>
      </c>
    </row>
    <row r="34685" spans="1:4" x14ac:dyDescent="0.2">
      <c r="B34685" t="s">
        <v>269</v>
      </c>
      <c r="C34685" t="s">
        <v>359</v>
      </c>
      <c r="D34685" t="s">
        <v>23151</v>
      </c>
    </row>
    <row r="34687" spans="1:4" x14ac:dyDescent="0.2">
      <c r="A34687" t="s">
        <v>11318</v>
      </c>
      <c r="B34687" t="str">
        <f>HYPERLINK("https://lindat.mff.cuni.cz/services/teitok/pdtc10/index.php?action=vallex&amp;frame=v-w4749f1", "předpovídat (v-w4749f1)")</f>
        <v>předpovídat (v-w4749f1)</v>
      </c>
    </row>
    <row r="34688" spans="1:4" x14ac:dyDescent="0.2">
      <c r="B34688" t="s">
        <v>1</v>
      </c>
      <c r="C34688" t="s">
        <v>6301</v>
      </c>
      <c r="D34688" t="s">
        <v>7388</v>
      </c>
    </row>
    <row r="34689" spans="1:4" x14ac:dyDescent="0.2">
      <c r="B34689" t="s">
        <v>1284</v>
      </c>
      <c r="C34689" t="s">
        <v>11319</v>
      </c>
      <c r="D34689" t="s">
        <v>5591</v>
      </c>
    </row>
    <row r="34691" spans="1:4" x14ac:dyDescent="0.2">
      <c r="A34691" t="s">
        <v>11320</v>
      </c>
      <c r="B34691" t="str">
        <f>HYPERLINK("https://lindat.mff.cuni.cz/services/teitok/pdtc10/index.php?action=vallex&amp;frame=v-w4747f1", "předpovědět (v-w4747f1)")</f>
        <v>předpovědět (v-w4747f1)</v>
      </c>
    </row>
    <row r="34692" spans="1:4" x14ac:dyDescent="0.2">
      <c r="B34692" t="s">
        <v>1</v>
      </c>
      <c r="C34692" t="s">
        <v>11321</v>
      </c>
      <c r="D34692" t="s">
        <v>7388</v>
      </c>
    </row>
    <row r="34693" spans="1:4" x14ac:dyDescent="0.2">
      <c r="B34693" t="s">
        <v>11322</v>
      </c>
      <c r="C34693" t="s">
        <v>11323</v>
      </c>
      <c r="D34693" t="s">
        <v>5591</v>
      </c>
    </row>
    <row r="34695" spans="1:4" x14ac:dyDescent="0.2">
      <c r="A34695" t="s">
        <v>11324</v>
      </c>
      <c r="B34695" t="str">
        <f>HYPERLINK("https://lindat.mff.cuni.cz/services/teitok/pdtc10/index.php?action=vallex&amp;frame=v-w4751f1", "předražit (v-w4751f1)")</f>
        <v>předražit (v-w4751f1)</v>
      </c>
    </row>
    <row r="34696" spans="1:4" x14ac:dyDescent="0.2">
      <c r="B34696" t="s">
        <v>1</v>
      </c>
    </row>
    <row r="34697" spans="1:4" x14ac:dyDescent="0.2">
      <c r="B34697" t="s">
        <v>8</v>
      </c>
    </row>
    <row r="34699" spans="1:4" x14ac:dyDescent="0.2">
      <c r="A34699" t="s">
        <v>11325</v>
      </c>
      <c r="B34699" t="str">
        <f>HYPERLINK("https://lindat.mff.cuni.cz/services/teitok/pdtc10/index.php?action=vallex&amp;frame=v-w4752f1", "předražovat (v-w4752f1)")</f>
        <v>předražovat (v-w4752f1)</v>
      </c>
    </row>
    <row r="34700" spans="1:4" x14ac:dyDescent="0.2">
      <c r="B34700" t="s">
        <v>1</v>
      </c>
    </row>
    <row r="34701" spans="1:4" x14ac:dyDescent="0.2">
      <c r="B34701" t="s">
        <v>8</v>
      </c>
    </row>
    <row r="34703" spans="1:4" x14ac:dyDescent="0.2">
      <c r="A34703" t="s">
        <v>11326</v>
      </c>
      <c r="B34703" t="str">
        <f>HYPERLINK("https://lindat.mff.cuni.cz/services/teitok/pdtc10/index.php?action=vallex&amp;frame=v-w4756f1", "předsedat (v-w4756f1)")</f>
        <v>předsedat (v-w4756f1)</v>
      </c>
    </row>
    <row r="34704" spans="1:4" x14ac:dyDescent="0.2">
      <c r="B34704" t="s">
        <v>1</v>
      </c>
      <c r="C34704" t="s">
        <v>6131</v>
      </c>
      <c r="D34704" t="s">
        <v>23098</v>
      </c>
    </row>
    <row r="34705" spans="1:4" x14ac:dyDescent="0.2">
      <c r="B34705" t="s">
        <v>103</v>
      </c>
      <c r="C34705" t="s">
        <v>2305</v>
      </c>
      <c r="D34705" t="s">
        <v>16830</v>
      </c>
    </row>
    <row r="34707" spans="1:4" x14ac:dyDescent="0.2">
      <c r="A34707" t="s">
        <v>11327</v>
      </c>
      <c r="B34707" t="str">
        <f>HYPERLINK("https://lindat.mff.cuni.cz/services/teitok/pdtc10/index.php?action=vallex&amp;frame=v-w4757f1", "předsevzít si (v-w4757f1)")</f>
        <v>předsevzít si (v-w4757f1)</v>
      </c>
    </row>
    <row r="34708" spans="1:4" x14ac:dyDescent="0.2">
      <c r="B34708" t="s">
        <v>1</v>
      </c>
    </row>
    <row r="34709" spans="1:4" x14ac:dyDescent="0.2">
      <c r="B34709" t="s">
        <v>5901</v>
      </c>
    </row>
    <row r="34711" spans="1:4" x14ac:dyDescent="0.2">
      <c r="A34711" t="s">
        <v>11328</v>
      </c>
      <c r="B34711" t="str">
        <f>HYPERLINK("https://lindat.mff.cuni.cz/services/teitok/pdtc10/index.php?action=vallex&amp;frame=v-w4760f2", "představit (v-w4760f2)")</f>
        <v>představit (v-w4760f2)</v>
      </c>
    </row>
    <row r="34712" spans="1:4" x14ac:dyDescent="0.2">
      <c r="B34712" t="s">
        <v>1</v>
      </c>
      <c r="C34712" t="s">
        <v>43</v>
      </c>
      <c r="D34712" t="s">
        <v>23089</v>
      </c>
    </row>
    <row r="34713" spans="1:4" x14ac:dyDescent="0.2">
      <c r="B34713" t="s">
        <v>8</v>
      </c>
      <c r="C34713" t="s">
        <v>11329</v>
      </c>
      <c r="D34713" t="s">
        <v>8880</v>
      </c>
    </row>
    <row r="34714" spans="1:4" x14ac:dyDescent="0.2">
      <c r="B34714" t="s">
        <v>35</v>
      </c>
      <c r="C34714" t="s">
        <v>11069</v>
      </c>
      <c r="D34714" t="s">
        <v>11069</v>
      </c>
    </row>
    <row r="34716" spans="1:4" x14ac:dyDescent="0.2">
      <c r="A34716" t="s">
        <v>11330</v>
      </c>
      <c r="B34716" t="str">
        <f>HYPERLINK("https://lindat.mff.cuni.cz/services/teitok/pdtc10/index.php?action=vallex&amp;frame=v-w4760f1", "představit (v-w4760f1)")</f>
        <v>představit (v-w4760f1)</v>
      </c>
    </row>
    <row r="34717" spans="1:4" x14ac:dyDescent="0.2">
      <c r="B34717" t="s">
        <v>1</v>
      </c>
      <c r="C34717" t="s">
        <v>11331</v>
      </c>
      <c r="D34717" t="s">
        <v>23999</v>
      </c>
    </row>
    <row r="34718" spans="1:4" x14ac:dyDescent="0.2">
      <c r="B34718" t="s">
        <v>41</v>
      </c>
      <c r="C34718" t="s">
        <v>11332</v>
      </c>
      <c r="D34718" t="s">
        <v>22268</v>
      </c>
    </row>
    <row r="34719" spans="1:4" x14ac:dyDescent="0.2">
      <c r="B34719" t="s">
        <v>78</v>
      </c>
      <c r="C34719" t="s">
        <v>11333</v>
      </c>
      <c r="D34719" t="s">
        <v>11069</v>
      </c>
    </row>
    <row r="34721" spans="1:3" x14ac:dyDescent="0.2">
      <c r="A34721" t="s">
        <v>11334</v>
      </c>
      <c r="B34721" t="str">
        <f>HYPERLINK("https://lindat.mff.cuni.cz/services/teitok/pdtc10/index.php?action=vallex&amp;frame=v-w4760f4", "představit (v-w4760f4)")</f>
        <v>představit (v-w4760f4)</v>
      </c>
    </row>
    <row r="34722" spans="1:3" x14ac:dyDescent="0.2">
      <c r="B34722" t="s">
        <v>479</v>
      </c>
    </row>
    <row r="34723" spans="1:3" x14ac:dyDescent="0.2">
      <c r="B34723" t="s">
        <v>5074</v>
      </c>
    </row>
    <row r="34725" spans="1:3" x14ac:dyDescent="0.2">
      <c r="A34725" t="s">
        <v>11335</v>
      </c>
      <c r="B34725" t="str">
        <f>HYPERLINK("https://lindat.mff.cuni.cz/services/teitok/pdtc10/index.php?action=vallex&amp;frame=v-w4760f3", "představit (v-w4760f3)")</f>
        <v>představit (v-w4760f3)</v>
      </c>
    </row>
    <row r="34726" spans="1:3" x14ac:dyDescent="0.2">
      <c r="B34726" t="s">
        <v>1</v>
      </c>
    </row>
    <row r="34727" spans="1:3" x14ac:dyDescent="0.2">
      <c r="B34727" t="s">
        <v>8</v>
      </c>
    </row>
    <row r="34729" spans="1:3" x14ac:dyDescent="0.2">
      <c r="A34729" t="s">
        <v>11336</v>
      </c>
      <c r="B34729" t="str">
        <f>HYPERLINK("https://lindat.mff.cuni.cz/services/teitok/pdtc10/index.php?action=vallex&amp;frame=v-w4763f1", "představit se (v-w4763f1)")</f>
        <v>představit se (v-w4763f1)</v>
      </c>
    </row>
    <row r="34730" spans="1:3" x14ac:dyDescent="0.2">
      <c r="B34730" t="s">
        <v>1</v>
      </c>
      <c r="C34730" t="s">
        <v>2353</v>
      </c>
    </row>
    <row r="34731" spans="1:3" x14ac:dyDescent="0.2">
      <c r="B34731" t="s">
        <v>103</v>
      </c>
      <c r="C34731" t="s">
        <v>11337</v>
      </c>
    </row>
    <row r="34733" spans="1:3" x14ac:dyDescent="0.2">
      <c r="A34733" t="s">
        <v>11338</v>
      </c>
      <c r="B34733" t="str">
        <f>HYPERLINK("https://lindat.mff.cuni.cz/services/teitok/pdtc10/index.php?action=vallex&amp;frame=v-w4764f2", "představit si (v-w4764f2)")</f>
        <v>představit si (v-w4764f2)</v>
      </c>
    </row>
    <row r="34734" spans="1:3" x14ac:dyDescent="0.2">
      <c r="B34734" t="s">
        <v>1</v>
      </c>
    </row>
    <row r="34735" spans="1:3" x14ac:dyDescent="0.2">
      <c r="B34735" t="s">
        <v>1154</v>
      </c>
    </row>
    <row r="34736" spans="1:3" x14ac:dyDescent="0.2">
      <c r="B34736" t="s">
        <v>1609</v>
      </c>
    </row>
    <row r="34738" spans="1:4" x14ac:dyDescent="0.2">
      <c r="A34738" t="s">
        <v>11339</v>
      </c>
      <c r="B34738" t="str">
        <f>HYPERLINK("https://lindat.mff.cuni.cz/services/teitok/pdtc10/index.php?action=vallex&amp;frame=v-w4764f4_ZU", "představit si (v-w4764f4_ZU)")</f>
        <v>představit si (v-w4764f4_ZU)</v>
      </c>
    </row>
    <row r="34739" spans="1:4" x14ac:dyDescent="0.2">
      <c r="B34739" t="s">
        <v>1</v>
      </c>
    </row>
    <row r="34740" spans="1:4" x14ac:dyDescent="0.2">
      <c r="B34740" t="s">
        <v>11340</v>
      </c>
    </row>
    <row r="34742" spans="1:4" x14ac:dyDescent="0.2">
      <c r="A34742" t="s">
        <v>11339</v>
      </c>
      <c r="B34742" t="str">
        <f>HYPERLINK("https://lindat.mff.cuni.cz/services/teitok/pdtc10/index.php?action=vallex&amp;frame=v-w4764f1", "představit si (v-w4764f1) - substituted with v-w4764f4_ZU")</f>
        <v>představit si (v-w4764f1) - substituted with v-w4764f4_ZU</v>
      </c>
    </row>
    <row r="34743" spans="1:4" x14ac:dyDescent="0.2">
      <c r="B34743" t="s">
        <v>1</v>
      </c>
      <c r="C34743" t="s">
        <v>11341</v>
      </c>
      <c r="D34743" t="s">
        <v>16</v>
      </c>
    </row>
    <row r="34744" spans="1:4" x14ac:dyDescent="0.2">
      <c r="B34744" t="s">
        <v>11340</v>
      </c>
      <c r="C34744" t="s">
        <v>11342</v>
      </c>
      <c r="D34744" t="s">
        <v>4676</v>
      </c>
    </row>
    <row r="34746" spans="1:4" x14ac:dyDescent="0.2">
      <c r="A34746" t="s">
        <v>11339</v>
      </c>
      <c r="B34746" t="str">
        <f>HYPERLINK("https://lindat.mff.cuni.cz/services/teitok/pdtc10/index.php?action=vallex&amp;frame=v-w4764f3_ZU", "představit si (v-w4764f3_ZU) - substituted with v-w4764f4_ZU")</f>
        <v>představit si (v-w4764f3_ZU) - substituted with v-w4764f4_ZU</v>
      </c>
    </row>
    <row r="34747" spans="1:4" x14ac:dyDescent="0.2">
      <c r="B34747" t="s">
        <v>1</v>
      </c>
    </row>
    <row r="34748" spans="1:4" x14ac:dyDescent="0.2">
      <c r="B34748" t="s">
        <v>11340</v>
      </c>
    </row>
    <row r="34750" spans="1:4" x14ac:dyDescent="0.2">
      <c r="A34750" t="s">
        <v>11343</v>
      </c>
      <c r="B34750" t="str">
        <f>HYPERLINK("https://lindat.mff.cuni.cz/services/teitok/pdtc10/index.php?action=vallex&amp;frame=v-w4764hsa_1090", "představit si (v-w4764hsa_1090)")</f>
        <v>představit si (v-w4764hsa_1090)</v>
      </c>
    </row>
    <row r="34751" spans="1:4" x14ac:dyDescent="0.2">
      <c r="B34751" t="s">
        <v>1</v>
      </c>
      <c r="C34751" t="s">
        <v>334</v>
      </c>
    </row>
    <row r="34752" spans="1:4" x14ac:dyDescent="0.2">
      <c r="B34752" t="s">
        <v>2185</v>
      </c>
      <c r="C34752" t="s">
        <v>10663</v>
      </c>
    </row>
    <row r="34753" spans="1:4" x14ac:dyDescent="0.2">
      <c r="B34753" t="s">
        <v>269</v>
      </c>
    </row>
    <row r="34755" spans="1:4" x14ac:dyDescent="0.2">
      <c r="A34755" t="s">
        <v>11344</v>
      </c>
      <c r="B34755" t="str">
        <f>HYPERLINK("https://lindat.mff.cuni.cz/services/teitok/pdtc10/index.php?action=vallex&amp;frame=v-w4766f2", "představovat (v-w4766f2)")</f>
        <v>představovat (v-w4766f2)</v>
      </c>
    </row>
    <row r="34756" spans="1:4" x14ac:dyDescent="0.2">
      <c r="B34756" t="s">
        <v>1</v>
      </c>
      <c r="C34756" t="s">
        <v>249</v>
      </c>
      <c r="D34756" t="s">
        <v>23089</v>
      </c>
    </row>
    <row r="34757" spans="1:4" x14ac:dyDescent="0.2">
      <c r="B34757" t="s">
        <v>8</v>
      </c>
      <c r="C34757" t="s">
        <v>1340</v>
      </c>
      <c r="D34757" t="s">
        <v>8880</v>
      </c>
    </row>
    <row r="34758" spans="1:4" x14ac:dyDescent="0.2">
      <c r="B34758" t="s">
        <v>35</v>
      </c>
      <c r="C34758" t="s">
        <v>11069</v>
      </c>
      <c r="D34758" t="s">
        <v>11069</v>
      </c>
    </row>
    <row r="34760" spans="1:4" x14ac:dyDescent="0.2">
      <c r="A34760" t="s">
        <v>11345</v>
      </c>
      <c r="B34760" t="str">
        <f>HYPERLINK("https://lindat.mff.cuni.cz/services/teitok/pdtc10/index.php?action=vallex&amp;frame=v-w4766f3", "představovat (v-w4766f3)")</f>
        <v>představovat (v-w4766f3)</v>
      </c>
    </row>
    <row r="34761" spans="1:4" x14ac:dyDescent="0.2">
      <c r="B34761" t="s">
        <v>1</v>
      </c>
      <c r="C34761" t="s">
        <v>9234</v>
      </c>
      <c r="D34761" t="s">
        <v>2571</v>
      </c>
    </row>
    <row r="34762" spans="1:4" x14ac:dyDescent="0.2">
      <c r="B34762" t="s">
        <v>41</v>
      </c>
      <c r="C34762" t="s">
        <v>11346</v>
      </c>
      <c r="D34762" t="s">
        <v>8709</v>
      </c>
    </row>
    <row r="34763" spans="1:4" x14ac:dyDescent="0.2">
      <c r="B34763" t="s">
        <v>78</v>
      </c>
    </row>
    <row r="34765" spans="1:4" x14ac:dyDescent="0.2">
      <c r="A34765" t="s">
        <v>11347</v>
      </c>
      <c r="B34765" t="str">
        <f>HYPERLINK("https://lindat.mff.cuni.cz/services/teitok/pdtc10/index.php?action=vallex&amp;frame=v-w4766f1", "představovat (v-w4766f1)")</f>
        <v>představovat (v-w4766f1)</v>
      </c>
    </row>
    <row r="34766" spans="1:4" x14ac:dyDescent="0.2">
      <c r="B34766" t="s">
        <v>479</v>
      </c>
      <c r="C34766" t="s">
        <v>11348</v>
      </c>
      <c r="D34766" t="s">
        <v>24000</v>
      </c>
    </row>
    <row r="34767" spans="1:4" x14ac:dyDescent="0.2">
      <c r="B34767" t="s">
        <v>5074</v>
      </c>
      <c r="C34767" t="s">
        <v>11349</v>
      </c>
      <c r="D34767" t="s">
        <v>24001</v>
      </c>
    </row>
    <row r="34769" spans="1:4" x14ac:dyDescent="0.2">
      <c r="A34769" t="s">
        <v>11350</v>
      </c>
      <c r="B34769" t="str">
        <f>HYPERLINK("https://lindat.mff.cuni.cz/services/teitok/pdtc10/index.php?action=vallex&amp;frame=v-w4767f1", "představovat se (v-w4767f1)")</f>
        <v>představovat se (v-w4767f1)</v>
      </c>
    </row>
    <row r="34770" spans="1:4" x14ac:dyDescent="0.2">
      <c r="B34770" t="s">
        <v>1</v>
      </c>
    </row>
    <row r="34771" spans="1:4" x14ac:dyDescent="0.2">
      <c r="B34771" t="s">
        <v>103</v>
      </c>
    </row>
    <row r="34773" spans="1:4" x14ac:dyDescent="0.2">
      <c r="A34773" t="s">
        <v>11351</v>
      </c>
      <c r="B34773" t="str">
        <f>HYPERLINK("https://lindat.mff.cuni.cz/services/teitok/pdtc10/index.php?action=vallex&amp;frame=v-w4768f3", "představovat si (v-w4768f3)")</f>
        <v>představovat si (v-w4768f3)</v>
      </c>
    </row>
    <row r="34774" spans="1:4" x14ac:dyDescent="0.2">
      <c r="B34774" t="s">
        <v>1</v>
      </c>
    </row>
    <row r="34775" spans="1:4" x14ac:dyDescent="0.2">
      <c r="B34775" t="s">
        <v>1154</v>
      </c>
    </row>
    <row r="34776" spans="1:4" x14ac:dyDescent="0.2">
      <c r="B34776" t="s">
        <v>1609</v>
      </c>
    </row>
    <row r="34778" spans="1:4" x14ac:dyDescent="0.2">
      <c r="A34778" t="s">
        <v>11352</v>
      </c>
      <c r="B34778" t="str">
        <f>HYPERLINK("https://lindat.mff.cuni.cz/services/teitok/pdtc10/index.php?action=vallex&amp;frame=v-w4768f1", "představovat si (v-w4768f1)")</f>
        <v>představovat si (v-w4768f1)</v>
      </c>
    </row>
    <row r="34779" spans="1:4" x14ac:dyDescent="0.2">
      <c r="B34779" t="s">
        <v>1</v>
      </c>
      <c r="C34779" t="s">
        <v>3358</v>
      </c>
      <c r="D34779" t="s">
        <v>16</v>
      </c>
    </row>
    <row r="34780" spans="1:4" x14ac:dyDescent="0.2">
      <c r="B34780" t="s">
        <v>1227</v>
      </c>
      <c r="C34780" t="s">
        <v>2886</v>
      </c>
      <c r="D34780" t="s">
        <v>4676</v>
      </c>
    </row>
    <row r="34782" spans="1:4" x14ac:dyDescent="0.2">
      <c r="A34782" t="s">
        <v>11353</v>
      </c>
      <c r="B34782" t="str">
        <f>HYPERLINK("https://lindat.mff.cuni.cz/services/teitok/pdtc10/index.php?action=vallex&amp;frame=v-w4768f2", "představovat si (v-w4768f2)")</f>
        <v>představovat si (v-w4768f2)</v>
      </c>
    </row>
    <row r="34783" spans="1:4" x14ac:dyDescent="0.2">
      <c r="B34783" t="s">
        <v>1</v>
      </c>
      <c r="C34783" t="s">
        <v>334</v>
      </c>
    </row>
    <row r="34784" spans="1:4" x14ac:dyDescent="0.2">
      <c r="B34784" t="s">
        <v>8</v>
      </c>
      <c r="C34784" t="s">
        <v>1066</v>
      </c>
    </row>
    <row r="34785" spans="1:4" x14ac:dyDescent="0.2">
      <c r="B34785" t="s">
        <v>346</v>
      </c>
    </row>
    <row r="34786" spans="1:4" x14ac:dyDescent="0.2">
      <c r="B34786" t="s">
        <v>349</v>
      </c>
    </row>
    <row r="34787" spans="1:4" x14ac:dyDescent="0.2">
      <c r="B34787" t="s">
        <v>351</v>
      </c>
    </row>
    <row r="34789" spans="1:4" x14ac:dyDescent="0.2">
      <c r="A34789" t="s">
        <v>11354</v>
      </c>
      <c r="B34789" t="str">
        <f>HYPERLINK("https://lindat.mff.cuni.cz/services/teitok/pdtc10/index.php?action=vallex&amp;frame=v-w4771f1", "předstihnout (v-w4771f1)")</f>
        <v>předstihnout (v-w4771f1)</v>
      </c>
    </row>
    <row r="34790" spans="1:4" x14ac:dyDescent="0.2">
      <c r="B34790" t="s">
        <v>1</v>
      </c>
      <c r="C34790" t="s">
        <v>1581</v>
      </c>
      <c r="D34790" t="s">
        <v>14822</v>
      </c>
    </row>
    <row r="34791" spans="1:4" x14ac:dyDescent="0.2">
      <c r="B34791" t="s">
        <v>8</v>
      </c>
      <c r="C34791" t="s">
        <v>11355</v>
      </c>
      <c r="D34791" t="s">
        <v>23658</v>
      </c>
    </row>
    <row r="34793" spans="1:4" x14ac:dyDescent="0.2">
      <c r="A34793" t="s">
        <v>11356</v>
      </c>
      <c r="B34793" t="str">
        <f>HYPERLINK("https://lindat.mff.cuni.cz/services/teitok/pdtc10/index.php?action=vallex&amp;frame=v-w10775f2", "předstihovat (v-w10775f2)")</f>
        <v>předstihovat (v-w10775f2)</v>
      </c>
    </row>
    <row r="34794" spans="1:4" x14ac:dyDescent="0.2">
      <c r="B34794" t="s">
        <v>1</v>
      </c>
      <c r="C34794" t="s">
        <v>990</v>
      </c>
    </row>
    <row r="34795" spans="1:4" x14ac:dyDescent="0.2">
      <c r="B34795" t="s">
        <v>8</v>
      </c>
      <c r="C34795" t="s">
        <v>2240</v>
      </c>
    </row>
    <row r="34797" spans="1:4" x14ac:dyDescent="0.2">
      <c r="A34797" t="s">
        <v>11357</v>
      </c>
      <c r="B34797" t="str">
        <f>HYPERLINK("https://lindat.mff.cuni.cz/services/teitok/pdtc10/index.php?action=vallex&amp;frame=v-w4773f1", "předstoupit (v-w4773f1)")</f>
        <v>předstoupit (v-w4773f1)</v>
      </c>
    </row>
    <row r="34798" spans="1:4" x14ac:dyDescent="0.2">
      <c r="B34798" t="s">
        <v>1</v>
      </c>
      <c r="C34798" t="s">
        <v>11358</v>
      </c>
      <c r="D34798" t="s">
        <v>22956</v>
      </c>
    </row>
    <row r="34799" spans="1:4" x14ac:dyDescent="0.2">
      <c r="B34799" t="s">
        <v>90</v>
      </c>
      <c r="D34799" t="s">
        <v>24002</v>
      </c>
    </row>
    <row r="34801" spans="1:4" x14ac:dyDescent="0.2">
      <c r="A34801" t="s">
        <v>11359</v>
      </c>
      <c r="B34801" t="str">
        <f>HYPERLINK("https://lindat.mff.cuni.cz/services/teitok/pdtc10/index.php?action=vallex&amp;frame=v-w4774f1", "předstupovat (v-w4774f1)")</f>
        <v>předstupovat (v-w4774f1)</v>
      </c>
    </row>
    <row r="34802" spans="1:4" x14ac:dyDescent="0.2">
      <c r="B34802" t="s">
        <v>1</v>
      </c>
    </row>
    <row r="34803" spans="1:4" x14ac:dyDescent="0.2">
      <c r="B34803" t="s">
        <v>90</v>
      </c>
    </row>
    <row r="34805" spans="1:4" x14ac:dyDescent="0.2">
      <c r="A34805" t="s">
        <v>11360</v>
      </c>
      <c r="B34805" t="str">
        <f>HYPERLINK("https://lindat.mff.cuni.cz/services/teitok/pdtc10/index.php?action=vallex&amp;frame=v-w4772f1", "předstírat (v-w4772f1)")</f>
        <v>předstírat (v-w4772f1)</v>
      </c>
    </row>
    <row r="34806" spans="1:4" x14ac:dyDescent="0.2">
      <c r="B34806" t="s">
        <v>1</v>
      </c>
      <c r="C34806" t="s">
        <v>33</v>
      </c>
    </row>
    <row r="34807" spans="1:4" x14ac:dyDescent="0.2">
      <c r="B34807" t="s">
        <v>124</v>
      </c>
      <c r="C34807" t="s">
        <v>1044</v>
      </c>
      <c r="D34807" t="s">
        <v>84</v>
      </c>
    </row>
    <row r="34809" spans="1:4" x14ac:dyDescent="0.2">
      <c r="A34809" t="s">
        <v>11361</v>
      </c>
      <c r="B34809" t="str">
        <f>HYPERLINK("https://lindat.mff.cuni.cz/services/teitok/pdtc10/index.php?action=vallex&amp;frame=v-w10387f2", "předtočit (v-w10387f2)")</f>
        <v>předtočit (v-w10387f2)</v>
      </c>
    </row>
    <row r="34810" spans="1:4" x14ac:dyDescent="0.2">
      <c r="B34810" t="s">
        <v>1</v>
      </c>
    </row>
    <row r="34811" spans="1:4" x14ac:dyDescent="0.2">
      <c r="B34811" t="s">
        <v>8</v>
      </c>
    </row>
    <row r="34813" spans="1:4" x14ac:dyDescent="0.2">
      <c r="A34813" t="s">
        <v>11362</v>
      </c>
      <c r="B34813" t="str">
        <f>HYPERLINK("https://lindat.mff.cuni.cz/services/teitok/pdtc10/index.php?action=vallex&amp;frame=v-w4777f2", "předurčit (v-w4777f2)")</f>
        <v>předurčit (v-w4777f2)</v>
      </c>
    </row>
    <row r="34814" spans="1:4" x14ac:dyDescent="0.2">
      <c r="B34814" t="s">
        <v>1</v>
      </c>
    </row>
    <row r="34815" spans="1:4" x14ac:dyDescent="0.2">
      <c r="B34815" t="s">
        <v>1921</v>
      </c>
    </row>
    <row r="34816" spans="1:4" x14ac:dyDescent="0.2">
      <c r="B34816" t="s">
        <v>35</v>
      </c>
    </row>
    <row r="34818" spans="1:4" x14ac:dyDescent="0.2">
      <c r="A34818" t="s">
        <v>11363</v>
      </c>
      <c r="B34818" t="str">
        <f>HYPERLINK("https://lindat.mff.cuni.cz/services/teitok/pdtc10/index.php?action=vallex&amp;frame=v-w4777f3", "předurčit (v-w4777f3)")</f>
        <v>předurčit (v-w4777f3)</v>
      </c>
    </row>
    <row r="34819" spans="1:4" x14ac:dyDescent="0.2">
      <c r="B34819" t="s">
        <v>1</v>
      </c>
    </row>
    <row r="34820" spans="1:4" x14ac:dyDescent="0.2">
      <c r="B34820" t="s">
        <v>8</v>
      </c>
    </row>
    <row r="34821" spans="1:4" x14ac:dyDescent="0.2">
      <c r="B34821" t="s">
        <v>11364</v>
      </c>
    </row>
    <row r="34823" spans="1:4" x14ac:dyDescent="0.2">
      <c r="A34823" t="s">
        <v>11365</v>
      </c>
      <c r="B34823" t="str">
        <f>HYPERLINK("https://lindat.mff.cuni.cz/services/teitok/pdtc10/index.php?action=vallex&amp;frame=v-w4777f1", "předurčit (v-w4777f1)")</f>
        <v>předurčit (v-w4777f1)</v>
      </c>
    </row>
    <row r="34824" spans="1:4" x14ac:dyDescent="0.2">
      <c r="B34824" t="s">
        <v>1</v>
      </c>
      <c r="C34824" t="s">
        <v>33</v>
      </c>
      <c r="D34824" t="s">
        <v>33</v>
      </c>
    </row>
    <row r="34825" spans="1:4" x14ac:dyDescent="0.2">
      <c r="B34825" t="s">
        <v>8</v>
      </c>
      <c r="C34825" t="s">
        <v>991</v>
      </c>
      <c r="D34825" t="s">
        <v>991</v>
      </c>
    </row>
    <row r="34827" spans="1:4" x14ac:dyDescent="0.2">
      <c r="A34827" t="s">
        <v>11366</v>
      </c>
      <c r="B34827" t="str">
        <f>HYPERLINK("https://lindat.mff.cuni.cz/services/teitok/pdtc10/index.php?action=vallex&amp;frame=v-w4778f2", "předurčovat (v-w4778f2)")</f>
        <v>předurčovat (v-w4778f2)</v>
      </c>
    </row>
    <row r="34828" spans="1:4" x14ac:dyDescent="0.2">
      <c r="B34828" t="s">
        <v>1</v>
      </c>
    </row>
    <row r="34829" spans="1:4" x14ac:dyDescent="0.2">
      <c r="B34829" t="s">
        <v>1921</v>
      </c>
    </row>
    <row r="34830" spans="1:4" x14ac:dyDescent="0.2">
      <c r="B34830" t="s">
        <v>35</v>
      </c>
    </row>
    <row r="34832" spans="1:4" x14ac:dyDescent="0.2">
      <c r="A34832" t="s">
        <v>11367</v>
      </c>
      <c r="B34832" t="str">
        <f>HYPERLINK("https://lindat.mff.cuni.cz/services/teitok/pdtc10/index.php?action=vallex&amp;frame=v-w4778f3", "předurčovat (v-w4778f3)")</f>
        <v>předurčovat (v-w4778f3)</v>
      </c>
    </row>
    <row r="34833" spans="1:4" x14ac:dyDescent="0.2">
      <c r="B34833" t="s">
        <v>1</v>
      </c>
    </row>
    <row r="34834" spans="1:4" x14ac:dyDescent="0.2">
      <c r="B34834" t="s">
        <v>8</v>
      </c>
    </row>
    <row r="34835" spans="1:4" x14ac:dyDescent="0.2">
      <c r="B34835" t="s">
        <v>11364</v>
      </c>
    </row>
    <row r="34837" spans="1:4" x14ac:dyDescent="0.2">
      <c r="A34837" t="s">
        <v>11368</v>
      </c>
      <c r="B34837" t="str">
        <f>HYPERLINK("https://lindat.mff.cuni.cz/services/teitok/pdtc10/index.php?action=vallex&amp;frame=v-w4778f1", "předurčovat (v-w4778f1)")</f>
        <v>předurčovat (v-w4778f1)</v>
      </c>
    </row>
    <row r="34838" spans="1:4" x14ac:dyDescent="0.2">
      <c r="B34838" t="s">
        <v>1</v>
      </c>
      <c r="D34838" t="s">
        <v>33</v>
      </c>
    </row>
    <row r="34839" spans="1:4" x14ac:dyDescent="0.2">
      <c r="B34839" t="s">
        <v>8</v>
      </c>
      <c r="D34839" t="s">
        <v>991</v>
      </c>
    </row>
    <row r="34841" spans="1:4" x14ac:dyDescent="0.2">
      <c r="A34841" t="s">
        <v>11369</v>
      </c>
      <c r="B34841" t="str">
        <f>HYPERLINK("https://lindat.mff.cuni.cz/services/teitok/pdtc10/index.php?action=vallex&amp;frame=v-w4786f1", "předvolat (v-w4786f1)")</f>
        <v>předvolat (v-w4786f1)</v>
      </c>
    </row>
    <row r="34842" spans="1:4" x14ac:dyDescent="0.2">
      <c r="B34842" t="s">
        <v>1</v>
      </c>
      <c r="C34842" t="s">
        <v>990</v>
      </c>
      <c r="D34842" t="s">
        <v>24003</v>
      </c>
    </row>
    <row r="34843" spans="1:4" x14ac:dyDescent="0.2">
      <c r="B34843" t="s">
        <v>8</v>
      </c>
      <c r="C34843" t="s">
        <v>116</v>
      </c>
      <c r="D34843" t="s">
        <v>24004</v>
      </c>
    </row>
    <row r="34845" spans="1:4" x14ac:dyDescent="0.2">
      <c r="A34845" t="s">
        <v>11370</v>
      </c>
      <c r="B34845" t="str">
        <f>HYPERLINK("https://lindat.mff.cuni.cz/services/teitok/pdtc10/index.php?action=vallex&amp;frame=v-w4787f1", "předvolávat (v-w4787f1)")</f>
        <v>předvolávat (v-w4787f1)</v>
      </c>
    </row>
    <row r="34846" spans="1:4" x14ac:dyDescent="0.2">
      <c r="B34846" t="s">
        <v>1</v>
      </c>
      <c r="D34846" t="s">
        <v>370</v>
      </c>
    </row>
    <row r="34847" spans="1:4" x14ac:dyDescent="0.2">
      <c r="B34847" t="s">
        <v>8</v>
      </c>
      <c r="D34847" t="s">
        <v>969</v>
      </c>
    </row>
    <row r="34849" spans="1:4" x14ac:dyDescent="0.2">
      <c r="A34849" t="s">
        <v>11371</v>
      </c>
      <c r="B34849" t="str">
        <f>HYPERLINK("https://lindat.mff.cuni.cz/services/teitok/pdtc10/index.php?action=vallex&amp;frame=v-w4779f1", "předvádět (v-w4779f1)")</f>
        <v>předvádět (v-w4779f1)</v>
      </c>
    </row>
    <row r="34850" spans="1:4" x14ac:dyDescent="0.2">
      <c r="B34850" t="s">
        <v>1</v>
      </c>
      <c r="C34850" t="s">
        <v>11372</v>
      </c>
      <c r="D34850" t="s">
        <v>23089</v>
      </c>
    </row>
    <row r="34851" spans="1:4" x14ac:dyDescent="0.2">
      <c r="B34851" t="s">
        <v>11373</v>
      </c>
      <c r="C34851" t="s">
        <v>11374</v>
      </c>
      <c r="D34851" t="s">
        <v>8880</v>
      </c>
    </row>
    <row r="34852" spans="1:4" x14ac:dyDescent="0.2">
      <c r="B34852" t="s">
        <v>35</v>
      </c>
      <c r="C34852" t="s">
        <v>9868</v>
      </c>
      <c r="D34852" t="s">
        <v>11069</v>
      </c>
    </row>
    <row r="34854" spans="1:4" x14ac:dyDescent="0.2">
      <c r="A34854" t="s">
        <v>11375</v>
      </c>
      <c r="B34854" t="str">
        <f>HYPERLINK("https://lindat.mff.cuni.cz/services/teitok/pdtc10/index.php?action=vallex&amp;frame=v-w4780f2_ZU", "předvádět se (v-w4780f2_ZU)")</f>
        <v>předvádět se (v-w4780f2_ZU)</v>
      </c>
    </row>
    <row r="34855" spans="1:4" x14ac:dyDescent="0.2">
      <c r="B34855" t="s">
        <v>1</v>
      </c>
    </row>
    <row r="34856" spans="1:4" x14ac:dyDescent="0.2">
      <c r="B34856" t="s">
        <v>86</v>
      </c>
    </row>
    <row r="34858" spans="1:4" x14ac:dyDescent="0.2">
      <c r="A34858" t="s">
        <v>11375</v>
      </c>
      <c r="B34858" t="str">
        <f>HYPERLINK("https://lindat.mff.cuni.cz/services/teitok/pdtc10/index.php?action=vallex&amp;frame=v-w4780f1", "předvádět se (v-w4780f1) - substituted with v-w4780f2_ZU")</f>
        <v>předvádět se (v-w4780f1) - substituted with v-w4780f2_ZU</v>
      </c>
    </row>
    <row r="34859" spans="1:4" x14ac:dyDescent="0.2">
      <c r="B34859" t="s">
        <v>1</v>
      </c>
      <c r="C34859" t="s">
        <v>133</v>
      </c>
      <c r="D34859" t="s">
        <v>133</v>
      </c>
    </row>
    <row r="34860" spans="1:4" x14ac:dyDescent="0.2">
      <c r="B34860" t="s">
        <v>86</v>
      </c>
      <c r="C34860" t="s">
        <v>991</v>
      </c>
      <c r="D34860" t="s">
        <v>991</v>
      </c>
    </row>
    <row r="34862" spans="1:4" x14ac:dyDescent="0.2">
      <c r="A34862" t="s">
        <v>11376</v>
      </c>
      <c r="B34862" t="str">
        <f>HYPERLINK("https://lindat.mff.cuni.cz/services/teitok/pdtc10/index.php?action=vallex&amp;frame=v-w4782f1", "předvést (v-w4782f1)")</f>
        <v>předvést (v-w4782f1)</v>
      </c>
    </row>
    <row r="34863" spans="1:4" x14ac:dyDescent="0.2">
      <c r="B34863" t="s">
        <v>1</v>
      </c>
      <c r="C34863" t="s">
        <v>11377</v>
      </c>
      <c r="D34863" t="s">
        <v>24005</v>
      </c>
    </row>
    <row r="34864" spans="1:4" x14ac:dyDescent="0.2">
      <c r="B34864" t="s">
        <v>11373</v>
      </c>
      <c r="C34864" t="s">
        <v>11378</v>
      </c>
      <c r="D34864" t="s">
        <v>24006</v>
      </c>
    </row>
    <row r="34865" spans="1:4" x14ac:dyDescent="0.2">
      <c r="B34865" t="s">
        <v>35</v>
      </c>
      <c r="D34865" t="s">
        <v>11069</v>
      </c>
    </row>
    <row r="34867" spans="1:4" x14ac:dyDescent="0.2">
      <c r="A34867" t="s">
        <v>11379</v>
      </c>
      <c r="B34867" t="str">
        <f>HYPERLINK("https://lindat.mff.cuni.cz/services/teitok/pdtc10/index.php?action=vallex&amp;frame=v-w4782f2", "předvést (v-w4782f2)")</f>
        <v>předvést (v-w4782f2)</v>
      </c>
    </row>
    <row r="34868" spans="1:4" x14ac:dyDescent="0.2">
      <c r="B34868" t="s">
        <v>1</v>
      </c>
      <c r="C34868" t="s">
        <v>140</v>
      </c>
      <c r="D34868" t="s">
        <v>140</v>
      </c>
    </row>
    <row r="34869" spans="1:4" x14ac:dyDescent="0.2">
      <c r="B34869" t="s">
        <v>8</v>
      </c>
      <c r="C34869" t="s">
        <v>991</v>
      </c>
      <c r="D34869" t="s">
        <v>1128</v>
      </c>
    </row>
    <row r="34870" spans="1:4" x14ac:dyDescent="0.2">
      <c r="B34870" t="s">
        <v>90</v>
      </c>
    </row>
    <row r="34872" spans="1:4" x14ac:dyDescent="0.2">
      <c r="A34872" t="s">
        <v>11380</v>
      </c>
      <c r="B34872" t="str">
        <f>HYPERLINK("https://lindat.mff.cuni.cz/services/teitok/pdtc10/index.php?action=vallex&amp;frame=v-w4783f2", "předvést se (v-w4783f2)")</f>
        <v>předvést se (v-w4783f2)</v>
      </c>
    </row>
    <row r="34873" spans="1:4" x14ac:dyDescent="0.2">
      <c r="B34873" t="s">
        <v>11381</v>
      </c>
      <c r="D34873" t="s">
        <v>133</v>
      </c>
    </row>
    <row r="34874" spans="1:4" x14ac:dyDescent="0.2">
      <c r="B34874" t="s">
        <v>11382</v>
      </c>
      <c r="D34874" t="s">
        <v>991</v>
      </c>
    </row>
    <row r="34876" spans="1:4" x14ac:dyDescent="0.2">
      <c r="A34876" t="s">
        <v>11383</v>
      </c>
      <c r="B34876" t="str">
        <f>HYPERLINK("https://lindat.mff.cuni.cz/services/teitok/pdtc10/index.php?action=vallex&amp;frame=v-w4783f1", "předvést se (v-w4783f1)")</f>
        <v>předvést se (v-w4783f1)</v>
      </c>
    </row>
    <row r="34877" spans="1:4" x14ac:dyDescent="0.2">
      <c r="B34877" t="s">
        <v>1</v>
      </c>
      <c r="D34877" t="s">
        <v>133</v>
      </c>
    </row>
    <row r="34878" spans="1:4" x14ac:dyDescent="0.2">
      <c r="B34878" t="s">
        <v>86</v>
      </c>
      <c r="D34878" t="s">
        <v>991</v>
      </c>
    </row>
    <row r="34880" spans="1:4" x14ac:dyDescent="0.2">
      <c r="A34880" t="s">
        <v>11384</v>
      </c>
      <c r="B34880" t="str">
        <f>HYPERLINK("https://lindat.mff.cuni.cz/services/teitok/pdtc10/index.php?action=vallex&amp;frame=v-w4784f1", "předvídat (v-w4784f1)")</f>
        <v>předvídat (v-w4784f1)</v>
      </c>
    </row>
    <row r="34881" spans="1:4" x14ac:dyDescent="0.2">
      <c r="B34881" t="s">
        <v>1</v>
      </c>
      <c r="C34881" t="s">
        <v>11385</v>
      </c>
      <c r="D34881" t="s">
        <v>7388</v>
      </c>
    </row>
    <row r="34882" spans="1:4" x14ac:dyDescent="0.2">
      <c r="B34882" t="s">
        <v>1284</v>
      </c>
      <c r="C34882" t="s">
        <v>11386</v>
      </c>
      <c r="D34882" t="s">
        <v>5591</v>
      </c>
    </row>
    <row r="34884" spans="1:4" x14ac:dyDescent="0.2">
      <c r="A34884" t="s">
        <v>11387</v>
      </c>
      <c r="B34884" t="str">
        <f>HYPERLINK("https://lindat.mff.cuni.cz/services/teitok/pdtc10/index.php?action=vallex&amp;frame=v-w4788f1", "předznamenat (v-w4788f1)")</f>
        <v>předznamenat (v-w4788f1)</v>
      </c>
    </row>
    <row r="34885" spans="1:4" x14ac:dyDescent="0.2">
      <c r="B34885" t="s">
        <v>1</v>
      </c>
      <c r="C34885" t="s">
        <v>133</v>
      </c>
      <c r="D34885" t="s">
        <v>23615</v>
      </c>
    </row>
    <row r="34886" spans="1:4" x14ac:dyDescent="0.2">
      <c r="B34886" t="s">
        <v>11388</v>
      </c>
      <c r="C34886" t="s">
        <v>991</v>
      </c>
      <c r="D34886" t="s">
        <v>1696</v>
      </c>
    </row>
    <row r="34888" spans="1:4" x14ac:dyDescent="0.2">
      <c r="A34888" t="s">
        <v>11389</v>
      </c>
      <c r="B34888" t="str">
        <f>HYPERLINK("https://lindat.mff.cuni.cz/services/teitok/pdtc10/index.php?action=vallex&amp;frame=v-w4789f1", "předznamenávat (v-w4789f1)")</f>
        <v>předznamenávat (v-w4789f1)</v>
      </c>
    </row>
    <row r="34889" spans="1:4" x14ac:dyDescent="0.2">
      <c r="B34889" t="s">
        <v>1</v>
      </c>
      <c r="C34889" t="s">
        <v>306</v>
      </c>
      <c r="D34889" t="s">
        <v>23615</v>
      </c>
    </row>
    <row r="34890" spans="1:4" x14ac:dyDescent="0.2">
      <c r="B34890" t="s">
        <v>11388</v>
      </c>
      <c r="C34890" t="s">
        <v>9005</v>
      </c>
      <c r="D34890" t="s">
        <v>1696</v>
      </c>
    </row>
    <row r="34892" spans="1:4" x14ac:dyDescent="0.2">
      <c r="A34892" t="s">
        <v>11390</v>
      </c>
      <c r="B34892" t="str">
        <f>HYPERLINK("https://lindat.mff.cuni.cz/services/teitok/pdtc10/index.php?action=vallex&amp;frame=v-w12004_ZUf1_ZU", "předzásobit (v-w12004_ZUf1_ZU)")</f>
        <v>předzásobit (v-w12004_ZUf1_ZU)</v>
      </c>
    </row>
    <row r="34893" spans="1:4" x14ac:dyDescent="0.2">
      <c r="B34893" t="s">
        <v>1</v>
      </c>
    </row>
    <row r="34894" spans="1:4" x14ac:dyDescent="0.2">
      <c r="B34894" t="s">
        <v>58</v>
      </c>
    </row>
    <row r="34895" spans="1:4" x14ac:dyDescent="0.2">
      <c r="B34895" t="s">
        <v>3225</v>
      </c>
    </row>
    <row r="34897" spans="1:4" x14ac:dyDescent="0.2">
      <c r="A34897" t="s">
        <v>11391</v>
      </c>
      <c r="B34897" t="str">
        <f>HYPERLINK("https://lindat.mff.cuni.cz/services/teitok/pdtc10/index.php?action=vallex&amp;frame=v-w4697f1", "předávat (v-w4697f1)")</f>
        <v>předávat (v-w4697f1)</v>
      </c>
    </row>
    <row r="34898" spans="1:4" x14ac:dyDescent="0.2">
      <c r="B34898" t="s">
        <v>1</v>
      </c>
      <c r="C34898" t="s">
        <v>373</v>
      </c>
      <c r="D34898" t="s">
        <v>9612</v>
      </c>
    </row>
    <row r="34899" spans="1:4" x14ac:dyDescent="0.2">
      <c r="B34899" t="s">
        <v>8</v>
      </c>
      <c r="C34899" t="s">
        <v>11392</v>
      </c>
      <c r="D34899" t="s">
        <v>23646</v>
      </c>
    </row>
    <row r="34900" spans="1:4" x14ac:dyDescent="0.2">
      <c r="B34900" t="s">
        <v>35</v>
      </c>
      <c r="C34900" t="s">
        <v>11393</v>
      </c>
      <c r="D34900" t="s">
        <v>23862</v>
      </c>
    </row>
    <row r="34902" spans="1:4" x14ac:dyDescent="0.2">
      <c r="A34902" t="s">
        <v>11394</v>
      </c>
      <c r="B34902" t="str">
        <f>HYPERLINK("https://lindat.mff.cuni.cz/services/teitok/pdtc10/index.php?action=vallex&amp;frame=v-w4697f2", "předávat (v-w4697f2)")</f>
        <v>předávat (v-w4697f2)</v>
      </c>
    </row>
    <row r="34903" spans="1:4" x14ac:dyDescent="0.2">
      <c r="B34903" t="s">
        <v>1</v>
      </c>
      <c r="C34903" t="s">
        <v>33</v>
      </c>
      <c r="D34903" t="s">
        <v>9612</v>
      </c>
    </row>
    <row r="34904" spans="1:4" x14ac:dyDescent="0.2">
      <c r="B34904" t="s">
        <v>8</v>
      </c>
      <c r="C34904" t="s">
        <v>991</v>
      </c>
      <c r="D34904" t="s">
        <v>23646</v>
      </c>
    </row>
    <row r="34905" spans="1:4" x14ac:dyDescent="0.2">
      <c r="B34905" t="s">
        <v>90</v>
      </c>
      <c r="C34905" t="s">
        <v>933</v>
      </c>
      <c r="D34905" t="s">
        <v>23647</v>
      </c>
    </row>
    <row r="34907" spans="1:4" x14ac:dyDescent="0.2">
      <c r="A34907" t="s">
        <v>11395</v>
      </c>
      <c r="B34907" t="str">
        <f>HYPERLINK("https://lindat.mff.cuni.cz/services/teitok/pdtc10/index.php?action=vallex&amp;frame=v-w4697f3", "předávat (v-w4697f3)")</f>
        <v>předávat (v-w4697f3)</v>
      </c>
    </row>
    <row r="34908" spans="1:4" x14ac:dyDescent="0.2">
      <c r="B34908" t="s">
        <v>1</v>
      </c>
      <c r="C34908" t="s">
        <v>33</v>
      </c>
      <c r="D34908" t="s">
        <v>9612</v>
      </c>
    </row>
    <row r="34909" spans="1:4" x14ac:dyDescent="0.2">
      <c r="B34909" t="s">
        <v>11396</v>
      </c>
      <c r="C34909" t="s">
        <v>436</v>
      </c>
      <c r="D34909" t="s">
        <v>23989</v>
      </c>
    </row>
    <row r="34910" spans="1:4" x14ac:dyDescent="0.2">
      <c r="B34910" t="s">
        <v>35</v>
      </c>
      <c r="C34910" t="s">
        <v>987</v>
      </c>
      <c r="D34910" t="s">
        <v>23862</v>
      </c>
    </row>
    <row r="34912" spans="1:4" x14ac:dyDescent="0.2">
      <c r="A34912" t="s">
        <v>11397</v>
      </c>
      <c r="B34912" t="str">
        <f>HYPERLINK("https://lindat.mff.cuni.cz/services/teitok/pdtc10/index.php?action=vallex&amp;frame=v-w4697f4", "předávat (v-w4697f4)")</f>
        <v>předávat (v-w4697f4)</v>
      </c>
    </row>
    <row r="34913" spans="1:4" x14ac:dyDescent="0.2">
      <c r="B34913" t="s">
        <v>1</v>
      </c>
    </row>
    <row r="34914" spans="1:4" x14ac:dyDescent="0.2">
      <c r="B34914" t="s">
        <v>11396</v>
      </c>
    </row>
    <row r="34915" spans="1:4" x14ac:dyDescent="0.2">
      <c r="B34915" t="s">
        <v>90</v>
      </c>
    </row>
    <row r="34917" spans="1:4" x14ac:dyDescent="0.2">
      <c r="A34917" t="s">
        <v>11398</v>
      </c>
      <c r="B34917" t="str">
        <f>HYPERLINK("https://lindat.mff.cuni.cz/services/teitok/pdtc10/index.php?action=vallex&amp;frame=v-whsa_447hsa_448", "předávat si (v-whsa_447hsa_448)")</f>
        <v>předávat si (v-whsa_447hsa_448)</v>
      </c>
    </row>
    <row r="34918" spans="1:4" x14ac:dyDescent="0.2">
      <c r="B34918" t="s">
        <v>1</v>
      </c>
    </row>
    <row r="34919" spans="1:4" x14ac:dyDescent="0.2">
      <c r="B34919" t="s">
        <v>8</v>
      </c>
    </row>
    <row r="34920" spans="1:4" x14ac:dyDescent="0.2">
      <c r="B34920" t="s">
        <v>2328</v>
      </c>
    </row>
    <row r="34922" spans="1:4" x14ac:dyDescent="0.2">
      <c r="A34922" t="s">
        <v>11399</v>
      </c>
      <c r="B34922" t="str">
        <f>HYPERLINK("https://lindat.mff.cuni.cz/services/teitok/pdtc10/index.php?action=vallex&amp;frame=v-w11400f1", "předávkovat (v-w11400f1)")</f>
        <v>předávkovat (v-w11400f1)</v>
      </c>
    </row>
    <row r="34923" spans="1:4" x14ac:dyDescent="0.2">
      <c r="B34923" t="s">
        <v>1</v>
      </c>
      <c r="D34923" t="s">
        <v>22</v>
      </c>
    </row>
    <row r="34924" spans="1:4" x14ac:dyDescent="0.2">
      <c r="B34924" t="s">
        <v>8</v>
      </c>
      <c r="D34924" t="s">
        <v>1044</v>
      </c>
    </row>
    <row r="34926" spans="1:4" x14ac:dyDescent="0.2">
      <c r="A34926" t="s">
        <v>11400</v>
      </c>
      <c r="B34926" t="str">
        <f>HYPERLINK("https://lindat.mff.cuni.cz/services/teitok/pdtc10/index.php?action=vallex&amp;frame=v-w4699f1", "předávkovat se (v-w4699f1)")</f>
        <v>předávkovat se (v-w4699f1)</v>
      </c>
    </row>
    <row r="34927" spans="1:4" x14ac:dyDescent="0.2">
      <c r="B34927" t="s">
        <v>1</v>
      </c>
      <c r="D34927" t="s">
        <v>1185</v>
      </c>
    </row>
    <row r="34929" spans="1:4" x14ac:dyDescent="0.2">
      <c r="A34929" t="s">
        <v>11401</v>
      </c>
      <c r="B34929" t="str">
        <f>HYPERLINK("https://lindat.mff.cuni.cz/services/teitok/pdtc10/index.php?action=vallex&amp;frame=v-w4703f1", "předčit (v-w4703f1)")</f>
        <v>předčit (v-w4703f1)</v>
      </c>
    </row>
    <row r="34930" spans="1:4" x14ac:dyDescent="0.2">
      <c r="B34930" t="s">
        <v>1</v>
      </c>
      <c r="C34930" t="s">
        <v>11402</v>
      </c>
      <c r="D34930" t="s">
        <v>24007</v>
      </c>
    </row>
    <row r="34931" spans="1:4" x14ac:dyDescent="0.2">
      <c r="B34931" t="s">
        <v>8</v>
      </c>
      <c r="C34931" t="s">
        <v>11403</v>
      </c>
      <c r="D34931" t="s">
        <v>24008</v>
      </c>
    </row>
    <row r="34933" spans="1:4" x14ac:dyDescent="0.2">
      <c r="A34933" t="s">
        <v>11404</v>
      </c>
      <c r="B34933" t="str">
        <f>HYPERLINK("https://lindat.mff.cuni.cz/services/teitok/pdtc10/index.php?action=vallex&amp;frame=v-w4704f1", "předčítat (v-w4704f1)")</f>
        <v>předčítat (v-w4704f1)</v>
      </c>
    </row>
    <row r="34934" spans="1:4" x14ac:dyDescent="0.2">
      <c r="B34934" t="s">
        <v>1</v>
      </c>
      <c r="C34934" t="s">
        <v>2400</v>
      </c>
      <c r="D34934" t="s">
        <v>306</v>
      </c>
    </row>
    <row r="34935" spans="1:4" x14ac:dyDescent="0.2">
      <c r="B34935" t="s">
        <v>11405</v>
      </c>
      <c r="C34935" t="s">
        <v>11406</v>
      </c>
      <c r="D34935" t="s">
        <v>24009</v>
      </c>
    </row>
    <row r="34936" spans="1:4" x14ac:dyDescent="0.2">
      <c r="B34936" t="s">
        <v>269</v>
      </c>
      <c r="D34936" t="s">
        <v>24010</v>
      </c>
    </row>
    <row r="34937" spans="1:4" x14ac:dyDescent="0.2">
      <c r="B34937" t="s">
        <v>78</v>
      </c>
      <c r="C34937" t="s">
        <v>987</v>
      </c>
      <c r="D34937" t="s">
        <v>987</v>
      </c>
    </row>
    <row r="34939" spans="1:4" x14ac:dyDescent="0.2">
      <c r="A34939" t="s">
        <v>11407</v>
      </c>
      <c r="B34939" t="str">
        <f>HYPERLINK("https://lindat.mff.cuni.cz/services/teitok/pdtc10/index.php?action=vallex&amp;frame=v-w4709f1", "předělat (v-w4709f1)")</f>
        <v>předělat (v-w4709f1)</v>
      </c>
    </row>
    <row r="34940" spans="1:4" x14ac:dyDescent="0.2">
      <c r="B34940" t="s">
        <v>1</v>
      </c>
      <c r="C34940" t="s">
        <v>430</v>
      </c>
      <c r="D34940" t="s">
        <v>22944</v>
      </c>
    </row>
    <row r="34941" spans="1:4" x14ac:dyDescent="0.2">
      <c r="B34941" t="s">
        <v>8</v>
      </c>
      <c r="C34941" t="s">
        <v>1510</v>
      </c>
      <c r="D34941" t="s">
        <v>22945</v>
      </c>
    </row>
    <row r="34942" spans="1:4" x14ac:dyDescent="0.2">
      <c r="B34942" t="s">
        <v>24</v>
      </c>
      <c r="D34942" t="s">
        <v>22946</v>
      </c>
    </row>
    <row r="34943" spans="1:4" x14ac:dyDescent="0.2">
      <c r="B34943" t="s">
        <v>61</v>
      </c>
      <c r="D34943" t="s">
        <v>22947</v>
      </c>
    </row>
    <row r="34945" spans="1:4" x14ac:dyDescent="0.2">
      <c r="A34945" t="s">
        <v>11408</v>
      </c>
      <c r="B34945" t="str">
        <f>HYPERLINK("https://lindat.mff.cuni.cz/services/teitok/pdtc10/index.php?action=vallex&amp;frame=v-w4710f1", "předělávat (v-w4710f1)")</f>
        <v>předělávat (v-w4710f1)</v>
      </c>
    </row>
    <row r="34946" spans="1:4" x14ac:dyDescent="0.2">
      <c r="B34946" t="s">
        <v>1</v>
      </c>
      <c r="D34946" t="s">
        <v>22944</v>
      </c>
    </row>
    <row r="34947" spans="1:4" x14ac:dyDescent="0.2">
      <c r="B34947" t="s">
        <v>8</v>
      </c>
      <c r="C34947" t="s">
        <v>991</v>
      </c>
      <c r="D34947" t="s">
        <v>22945</v>
      </c>
    </row>
    <row r="34948" spans="1:4" x14ac:dyDescent="0.2">
      <c r="B34948" t="s">
        <v>24</v>
      </c>
      <c r="D34948" t="s">
        <v>22946</v>
      </c>
    </row>
    <row r="34949" spans="1:4" x14ac:dyDescent="0.2">
      <c r="B34949" t="s">
        <v>61</v>
      </c>
      <c r="D34949" t="s">
        <v>22947</v>
      </c>
    </row>
    <row r="34951" spans="1:4" x14ac:dyDescent="0.2">
      <c r="A34951" t="s">
        <v>11409</v>
      </c>
      <c r="B34951" t="str">
        <f>HYPERLINK("https://lindat.mff.cuni.cz/services/teitok/pdtc10/index.php?action=vallex&amp;frame=v-w4753f1", "předřadit (v-w4753f1)")</f>
        <v>předřadit (v-w4753f1)</v>
      </c>
    </row>
    <row r="34952" spans="1:4" x14ac:dyDescent="0.2">
      <c r="B34952" t="s">
        <v>1</v>
      </c>
    </row>
    <row r="34953" spans="1:4" x14ac:dyDescent="0.2">
      <c r="B34953" t="s">
        <v>8</v>
      </c>
    </row>
    <row r="34954" spans="1:4" x14ac:dyDescent="0.2">
      <c r="B34954" t="s">
        <v>35</v>
      </c>
    </row>
    <row r="34956" spans="1:4" x14ac:dyDescent="0.2">
      <c r="A34956" t="s">
        <v>11410</v>
      </c>
      <c r="B34956" t="str">
        <f>HYPERLINK("https://lindat.mff.cuni.cz/services/teitok/pdtc10/index.php?action=vallex&amp;frame=v-w4754f1", "předříkávat (v-w4754f1)")</f>
        <v>předříkávat (v-w4754f1)</v>
      </c>
    </row>
    <row r="34957" spans="1:4" x14ac:dyDescent="0.2">
      <c r="B34957" t="s">
        <v>1</v>
      </c>
    </row>
    <row r="34958" spans="1:4" x14ac:dyDescent="0.2">
      <c r="B34958" t="s">
        <v>8</v>
      </c>
    </row>
    <row r="34959" spans="1:4" x14ac:dyDescent="0.2">
      <c r="B34959" t="s">
        <v>78</v>
      </c>
    </row>
    <row r="34961" spans="1:2" x14ac:dyDescent="0.2">
      <c r="A34961" t="s">
        <v>11411</v>
      </c>
      <c r="B34961" t="str">
        <f>HYPERLINK("https://lindat.mff.cuni.cz/services/teitok/pdtc10/index.php?action=vallex&amp;frame=v-w12019_ZUf1_ZU", "předřít se (v-w12019_ZUf1_ZU)")</f>
        <v>předřít se (v-w12019_ZUf1_ZU)</v>
      </c>
    </row>
    <row r="34962" spans="1:2" x14ac:dyDescent="0.2">
      <c r="B34962" t="s">
        <v>1</v>
      </c>
    </row>
    <row r="34964" spans="1:2" x14ac:dyDescent="0.2">
      <c r="A34964" t="s">
        <v>11412</v>
      </c>
      <c r="B34964" t="str">
        <f>HYPERLINK("https://lindat.mff.cuni.cz/services/teitok/pdtc10/index.php?action=vallex&amp;frame=v-whsa_1997f1_ZU", "přefakturovat (v-whsa_1997f1_ZU)")</f>
        <v>přefakturovat (v-whsa_1997f1_ZU)</v>
      </c>
    </row>
    <row r="34965" spans="1:2" x14ac:dyDescent="0.2">
      <c r="B34965" t="s">
        <v>1</v>
      </c>
    </row>
    <row r="34966" spans="1:2" x14ac:dyDescent="0.2">
      <c r="B34966" t="s">
        <v>8</v>
      </c>
    </row>
    <row r="34967" spans="1:2" x14ac:dyDescent="0.2">
      <c r="B34967" t="s">
        <v>24</v>
      </c>
    </row>
    <row r="34968" spans="1:2" x14ac:dyDescent="0.2">
      <c r="B34968" t="s">
        <v>61</v>
      </c>
    </row>
    <row r="34970" spans="1:2" x14ac:dyDescent="0.2">
      <c r="A34970" t="s">
        <v>11412</v>
      </c>
      <c r="B34970" t="str">
        <f>HYPERLINK("https://lindat.mff.cuni.cz/services/teitok/pdtc10/index.php?action=vallex&amp;frame=v-whsa_1997hsa_1998", "přefakturovat (v-whsa_1997hsa_1998) - substituted with v-whsa_1997f1_ZU")</f>
        <v>přefakturovat (v-whsa_1997hsa_1998) - substituted with v-whsa_1997f1_ZU</v>
      </c>
    </row>
    <row r="34971" spans="1:2" x14ac:dyDescent="0.2">
      <c r="B34971" t="s">
        <v>1</v>
      </c>
    </row>
    <row r="34972" spans="1:2" x14ac:dyDescent="0.2">
      <c r="B34972" t="s">
        <v>8</v>
      </c>
    </row>
    <row r="34973" spans="1:2" x14ac:dyDescent="0.2">
      <c r="B34973" t="s">
        <v>24</v>
      </c>
    </row>
    <row r="34974" spans="1:2" x14ac:dyDescent="0.2">
      <c r="B34974" t="s">
        <v>61</v>
      </c>
    </row>
    <row r="34976" spans="1:2" x14ac:dyDescent="0.2">
      <c r="A34976" t="s">
        <v>11413</v>
      </c>
      <c r="B34976" t="str">
        <f>HYPERLINK("https://lindat.mff.cuni.cz/services/teitok/pdtc10/index.php?action=vallex&amp;frame=v-w4791f1", "přefilmovat (v-w4791f1)")</f>
        <v>přefilmovat (v-w4791f1)</v>
      </c>
    </row>
    <row r="34977" spans="1:4" x14ac:dyDescent="0.2">
      <c r="B34977" t="s">
        <v>1</v>
      </c>
    </row>
    <row r="34978" spans="1:4" x14ac:dyDescent="0.2">
      <c r="B34978" t="s">
        <v>8</v>
      </c>
    </row>
    <row r="34980" spans="1:4" x14ac:dyDescent="0.2">
      <c r="A34980" t="s">
        <v>11414</v>
      </c>
      <c r="B34980" t="str">
        <f>HYPERLINK("https://lindat.mff.cuni.cz/services/teitok/pdtc10/index.php?action=vallex&amp;frame=v-w11196f2", "přeformulovat (v-w11196f2)")</f>
        <v>přeformulovat (v-w11196f2)</v>
      </c>
    </row>
    <row r="34981" spans="1:4" x14ac:dyDescent="0.2">
      <c r="B34981" t="s">
        <v>1</v>
      </c>
      <c r="C34981" t="s">
        <v>133</v>
      </c>
      <c r="D34981" t="s">
        <v>9876</v>
      </c>
    </row>
    <row r="34982" spans="1:4" x14ac:dyDescent="0.2">
      <c r="B34982" t="s">
        <v>8</v>
      </c>
      <c r="C34982" t="s">
        <v>1340</v>
      </c>
      <c r="D34982" t="s">
        <v>10526</v>
      </c>
    </row>
    <row r="34984" spans="1:4" x14ac:dyDescent="0.2">
      <c r="A34984" t="s">
        <v>11415</v>
      </c>
      <c r="B34984" t="str">
        <f>HYPERLINK("https://lindat.mff.cuni.cz/services/teitok/pdtc10/index.php?action=vallex&amp;frame=v-w4794f1", "přehazovat (v-w4794f1)")</f>
        <v>přehazovat (v-w4794f1)</v>
      </c>
    </row>
    <row r="34985" spans="1:4" x14ac:dyDescent="0.2">
      <c r="B34985" t="s">
        <v>1</v>
      </c>
    </row>
    <row r="34986" spans="1:4" x14ac:dyDescent="0.2">
      <c r="B34986" t="s">
        <v>8</v>
      </c>
    </row>
    <row r="34987" spans="1:4" x14ac:dyDescent="0.2">
      <c r="B34987" t="s">
        <v>88</v>
      </c>
    </row>
    <row r="34988" spans="1:4" x14ac:dyDescent="0.2">
      <c r="B34988" t="s">
        <v>2918</v>
      </c>
    </row>
    <row r="34990" spans="1:4" x14ac:dyDescent="0.2">
      <c r="A34990" t="s">
        <v>11416</v>
      </c>
      <c r="B34990" t="str">
        <f>HYPERLINK("https://lindat.mff.cuni.cz/services/teitok/pdtc10/index.php?action=vallex&amp;frame=v-w4794f2", "přehazovat (v-w4794f2)")</f>
        <v>přehazovat (v-w4794f2)</v>
      </c>
    </row>
    <row r="34991" spans="1:4" x14ac:dyDescent="0.2">
      <c r="B34991" t="s">
        <v>1</v>
      </c>
    </row>
    <row r="34992" spans="1:4" x14ac:dyDescent="0.2">
      <c r="B34992" t="s">
        <v>8</v>
      </c>
    </row>
    <row r="34993" spans="1:3" x14ac:dyDescent="0.2">
      <c r="B34993" t="s">
        <v>333</v>
      </c>
    </row>
    <row r="34994" spans="1:3" x14ac:dyDescent="0.2">
      <c r="B34994" t="s">
        <v>90</v>
      </c>
    </row>
    <row r="34996" spans="1:3" x14ac:dyDescent="0.2">
      <c r="A34996" t="s">
        <v>11417</v>
      </c>
      <c r="B34996" t="str">
        <f>HYPERLINK("https://lindat.mff.cuni.cz/services/teitok/pdtc10/index.php?action=vallex&amp;frame=v-w4794hsa_516", "přehazovat (v-w4794hsa_516)")</f>
        <v>přehazovat (v-w4794hsa_516)</v>
      </c>
    </row>
    <row r="34997" spans="1:3" x14ac:dyDescent="0.2">
      <c r="B34997" t="s">
        <v>1</v>
      </c>
    </row>
    <row r="34998" spans="1:3" x14ac:dyDescent="0.2">
      <c r="B34998" t="s">
        <v>8</v>
      </c>
    </row>
    <row r="34999" spans="1:3" x14ac:dyDescent="0.2">
      <c r="B34999" t="s">
        <v>8674</v>
      </c>
    </row>
    <row r="35000" spans="1:3" x14ac:dyDescent="0.2">
      <c r="B35000" t="s">
        <v>1260</v>
      </c>
    </row>
    <row r="35002" spans="1:3" x14ac:dyDescent="0.2">
      <c r="A35002" t="s">
        <v>11418</v>
      </c>
      <c r="B35002" t="str">
        <f>HYPERLINK("https://lindat.mff.cuni.cz/services/teitok/pdtc10/index.php?action=vallex&amp;frame=v-w4796f1", "přehlasovat (v-w4796f1)")</f>
        <v>přehlasovat (v-w4796f1)</v>
      </c>
    </row>
    <row r="35003" spans="1:3" x14ac:dyDescent="0.2">
      <c r="B35003" t="s">
        <v>1</v>
      </c>
      <c r="C35003" t="s">
        <v>140</v>
      </c>
    </row>
    <row r="35004" spans="1:3" x14ac:dyDescent="0.2">
      <c r="B35004" t="s">
        <v>8</v>
      </c>
      <c r="C35004" t="s">
        <v>1025</v>
      </c>
    </row>
    <row r="35006" spans="1:3" x14ac:dyDescent="0.2">
      <c r="A35006" t="s">
        <v>11419</v>
      </c>
      <c r="B35006" t="str">
        <f>HYPERLINK("https://lindat.mff.cuni.cz/services/teitok/pdtc10/index.php?action=vallex&amp;frame=v-w4797f1", "přehlavičkovat (v-w4797f1)")</f>
        <v>přehlavičkovat (v-w4797f1)</v>
      </c>
    </row>
    <row r="35007" spans="1:3" x14ac:dyDescent="0.2">
      <c r="B35007" t="s">
        <v>1</v>
      </c>
    </row>
    <row r="35008" spans="1:3" x14ac:dyDescent="0.2">
      <c r="B35008" t="s">
        <v>8</v>
      </c>
    </row>
    <row r="35010" spans="1:4" x14ac:dyDescent="0.2">
      <c r="A35010" t="s">
        <v>11420</v>
      </c>
      <c r="B35010" t="str">
        <f>HYPERLINK("https://lindat.mff.cuni.cz/services/teitok/pdtc10/index.php?action=vallex&amp;frame=v-w4799f1", "přehlcovat (v-w4799f1)")</f>
        <v>přehlcovat (v-w4799f1)</v>
      </c>
    </row>
    <row r="35011" spans="1:4" x14ac:dyDescent="0.2">
      <c r="B35011" t="s">
        <v>1</v>
      </c>
    </row>
    <row r="35012" spans="1:4" x14ac:dyDescent="0.2">
      <c r="B35012" t="s">
        <v>8</v>
      </c>
    </row>
    <row r="35014" spans="1:4" x14ac:dyDescent="0.2">
      <c r="A35014" t="s">
        <v>11421</v>
      </c>
      <c r="B35014" t="str">
        <f>HYPERLINK("https://lindat.mff.cuni.cz/services/teitok/pdtc10/index.php?action=vallex&amp;frame=v-w4804f1", "přehltit (v-w4804f1)")</f>
        <v>přehltit (v-w4804f1)</v>
      </c>
    </row>
    <row r="35015" spans="1:4" x14ac:dyDescent="0.2">
      <c r="B35015" t="s">
        <v>1</v>
      </c>
      <c r="D35015" t="s">
        <v>23631</v>
      </c>
    </row>
    <row r="35016" spans="1:4" x14ac:dyDescent="0.2">
      <c r="B35016" t="s">
        <v>8</v>
      </c>
      <c r="D35016" t="s">
        <v>23632</v>
      </c>
    </row>
    <row r="35018" spans="1:4" x14ac:dyDescent="0.2">
      <c r="A35018" t="s">
        <v>11422</v>
      </c>
      <c r="B35018" t="str">
        <f>HYPERLINK("https://lindat.mff.cuni.cz/services/teitok/pdtc10/index.php?action=vallex&amp;frame=v-w11001f2", "přehlušit (v-w11001f2)")</f>
        <v>přehlušit (v-w11001f2)</v>
      </c>
    </row>
    <row r="35019" spans="1:4" x14ac:dyDescent="0.2">
      <c r="B35019" t="s">
        <v>1</v>
      </c>
      <c r="D35019" t="s">
        <v>14822</v>
      </c>
    </row>
    <row r="35020" spans="1:4" x14ac:dyDescent="0.2">
      <c r="B35020" t="s">
        <v>8</v>
      </c>
      <c r="C35020" t="s">
        <v>113</v>
      </c>
      <c r="D35020" t="s">
        <v>23658</v>
      </c>
    </row>
    <row r="35022" spans="1:4" x14ac:dyDescent="0.2">
      <c r="A35022" t="s">
        <v>11423</v>
      </c>
      <c r="B35022" t="str">
        <f>HYPERLINK("https://lindat.mff.cuni.cz/services/teitok/pdtc10/index.php?action=vallex&amp;frame=v-w4801f1", "přehlédnout (v-w4801f1)")</f>
        <v>přehlédnout (v-w4801f1)</v>
      </c>
    </row>
    <row r="35023" spans="1:4" x14ac:dyDescent="0.2">
      <c r="B35023" t="s">
        <v>1</v>
      </c>
      <c r="C35023" t="s">
        <v>249</v>
      </c>
      <c r="D35023" t="s">
        <v>306</v>
      </c>
    </row>
    <row r="35024" spans="1:4" x14ac:dyDescent="0.2">
      <c r="B35024" t="s">
        <v>11424</v>
      </c>
      <c r="C35024" t="s">
        <v>23</v>
      </c>
      <c r="D35024" t="s">
        <v>7127</v>
      </c>
    </row>
    <row r="35026" spans="1:4" x14ac:dyDescent="0.2">
      <c r="A35026" t="s">
        <v>11425</v>
      </c>
      <c r="B35026" t="str">
        <f>HYPERLINK("https://lindat.mff.cuni.cz/services/teitok/pdtc10/index.php?action=vallex&amp;frame=v-w4801f2", "přehlédnout (v-w4801f2)")</f>
        <v>přehlédnout (v-w4801f2)</v>
      </c>
    </row>
    <row r="35027" spans="1:4" x14ac:dyDescent="0.2">
      <c r="B35027" t="s">
        <v>1</v>
      </c>
      <c r="D35027" t="s">
        <v>317</v>
      </c>
    </row>
    <row r="35028" spans="1:4" x14ac:dyDescent="0.2">
      <c r="B35028" t="s">
        <v>8</v>
      </c>
      <c r="D35028" t="s">
        <v>23935</v>
      </c>
    </row>
    <row r="35030" spans="1:4" x14ac:dyDescent="0.2">
      <c r="A35030" t="s">
        <v>11426</v>
      </c>
      <c r="B35030" t="str">
        <f>HYPERLINK("https://lindat.mff.cuni.cz/services/teitok/pdtc10/index.php?action=vallex&amp;frame=v-w4803f1", "přehlížet (v-w4803f1)")</f>
        <v>přehlížet (v-w4803f1)</v>
      </c>
    </row>
    <row r="35031" spans="1:4" x14ac:dyDescent="0.2">
      <c r="B35031" t="s">
        <v>1</v>
      </c>
      <c r="C35031" t="s">
        <v>51</v>
      </c>
      <c r="D35031" t="s">
        <v>306</v>
      </c>
    </row>
    <row r="35032" spans="1:4" x14ac:dyDescent="0.2">
      <c r="B35032" t="s">
        <v>1284</v>
      </c>
      <c r="C35032" t="s">
        <v>4812</v>
      </c>
      <c r="D35032" t="s">
        <v>7127</v>
      </c>
    </row>
    <row r="35034" spans="1:4" x14ac:dyDescent="0.2">
      <c r="A35034" t="s">
        <v>11427</v>
      </c>
      <c r="B35034" t="str">
        <f>HYPERLINK("https://lindat.mff.cuni.cz/services/teitok/pdtc10/index.php?action=vallex&amp;frame=v-whsa_1200hsa_1201", "přehnat (v-whsa_1200hsa_1201)")</f>
        <v>přehnat (v-whsa_1200hsa_1201)</v>
      </c>
    </row>
    <row r="35035" spans="1:4" x14ac:dyDescent="0.2">
      <c r="B35035" t="s">
        <v>1</v>
      </c>
      <c r="C35035" t="s">
        <v>140</v>
      </c>
      <c r="D35035" t="s">
        <v>80</v>
      </c>
    </row>
    <row r="35036" spans="1:4" x14ac:dyDescent="0.2">
      <c r="B35036" t="s">
        <v>8</v>
      </c>
      <c r="C35036" t="s">
        <v>113</v>
      </c>
      <c r="D35036" t="s">
        <v>116</v>
      </c>
    </row>
    <row r="35038" spans="1:4" x14ac:dyDescent="0.2">
      <c r="A35038" t="s">
        <v>11428</v>
      </c>
      <c r="B35038" t="str">
        <f>HYPERLINK("https://lindat.mff.cuni.cz/services/teitok/pdtc10/index.php?action=vallex&amp;frame=v-whsa_1200f2_ZU", "přehnat (v-whsa_1200f2_ZU)")</f>
        <v>přehnat (v-whsa_1200f2_ZU)</v>
      </c>
    </row>
    <row r="35039" spans="1:4" x14ac:dyDescent="0.2">
      <c r="B35039" t="s">
        <v>1</v>
      </c>
    </row>
    <row r="35040" spans="1:4" x14ac:dyDescent="0.2">
      <c r="B35040" t="s">
        <v>390</v>
      </c>
    </row>
    <row r="35041" spans="1:2" x14ac:dyDescent="0.2">
      <c r="B35041" t="s">
        <v>2423</v>
      </c>
    </row>
    <row r="35043" spans="1:2" x14ac:dyDescent="0.2">
      <c r="A35043" t="s">
        <v>11428</v>
      </c>
      <c r="B35043" t="str">
        <f>HYPERLINK("https://lindat.mff.cuni.cz/services/teitok/pdtc10/index.php?action=vallex&amp;frame=v-whsa_1200f1_ZU", "přehnat (v-whsa_1200f1_ZU) - substituted with v-whsa_1200f2_ZU")</f>
        <v>přehnat (v-whsa_1200f1_ZU) - substituted with v-whsa_1200f2_ZU</v>
      </c>
    </row>
    <row r="35044" spans="1:2" x14ac:dyDescent="0.2">
      <c r="B35044" t="s">
        <v>1</v>
      </c>
    </row>
    <row r="35045" spans="1:2" x14ac:dyDescent="0.2">
      <c r="B35045" t="s">
        <v>390</v>
      </c>
    </row>
    <row r="35046" spans="1:2" x14ac:dyDescent="0.2">
      <c r="B35046" t="s">
        <v>2423</v>
      </c>
    </row>
    <row r="35048" spans="1:2" x14ac:dyDescent="0.2">
      <c r="A35048" t="s">
        <v>11428</v>
      </c>
      <c r="B35048" t="str">
        <f>HYPERLINK("https://lindat.mff.cuni.cz/services/teitok/pdtc10/index.php?action=vallex&amp;frame=v-whsa_1200hsa_1992", "přehnat (v-whsa_1200hsa_1992) - substituted with v-whsa_1200f2_ZU")</f>
        <v>přehnat (v-whsa_1200hsa_1992) - substituted with v-whsa_1200f2_ZU</v>
      </c>
    </row>
    <row r="35049" spans="1:2" x14ac:dyDescent="0.2">
      <c r="B35049" t="s">
        <v>1</v>
      </c>
    </row>
    <row r="35050" spans="1:2" x14ac:dyDescent="0.2">
      <c r="B35050" t="s">
        <v>390</v>
      </c>
    </row>
    <row r="35051" spans="1:2" x14ac:dyDescent="0.2">
      <c r="B35051" t="s">
        <v>2423</v>
      </c>
    </row>
    <row r="35053" spans="1:2" x14ac:dyDescent="0.2">
      <c r="A35053" t="s">
        <v>11429</v>
      </c>
      <c r="B35053" t="str">
        <f>HYPERLINK("https://lindat.mff.cuni.cz/services/teitok/pdtc10/index.php?action=vallex&amp;frame=v-whsa_1200f3_ZU", "přehnat (v-whsa_1200f3_ZU)")</f>
        <v>přehnat (v-whsa_1200f3_ZU)</v>
      </c>
    </row>
    <row r="35054" spans="1:2" x14ac:dyDescent="0.2">
      <c r="B35054" t="s">
        <v>1</v>
      </c>
    </row>
    <row r="35055" spans="1:2" x14ac:dyDescent="0.2">
      <c r="B35055" t="s">
        <v>8</v>
      </c>
    </row>
    <row r="35057" spans="1:4" x14ac:dyDescent="0.2">
      <c r="A35057" t="s">
        <v>11430</v>
      </c>
      <c r="B35057" t="str">
        <f>HYPERLINK("https://lindat.mff.cuni.cz/services/teitok/pdtc10/index.php?action=vallex&amp;frame=v-w4805f4_ZU", "přehnat se (v-w4805f4_ZU)")</f>
        <v>přehnat se (v-w4805f4_ZU)</v>
      </c>
    </row>
    <row r="35058" spans="1:4" x14ac:dyDescent="0.2">
      <c r="B35058" t="s">
        <v>1</v>
      </c>
      <c r="D35058" t="s">
        <v>23936</v>
      </c>
    </row>
    <row r="35059" spans="1:4" x14ac:dyDescent="0.2">
      <c r="B35059" t="s">
        <v>192</v>
      </c>
    </row>
    <row r="35061" spans="1:4" x14ac:dyDescent="0.2">
      <c r="A35061" t="s">
        <v>11430</v>
      </c>
      <c r="B35061" t="str">
        <f>HYPERLINK("https://lindat.mff.cuni.cz/services/teitok/pdtc10/index.php?action=vallex&amp;frame=v-w4805f2_ZU", "přehnat se (v-w4805f2_ZU) - substituted with v-w4805f4_ZU")</f>
        <v>přehnat se (v-w4805f2_ZU) - substituted with v-w4805f4_ZU</v>
      </c>
    </row>
    <row r="35062" spans="1:4" x14ac:dyDescent="0.2">
      <c r="B35062" t="s">
        <v>1</v>
      </c>
    </row>
    <row r="35063" spans="1:4" x14ac:dyDescent="0.2">
      <c r="B35063" t="s">
        <v>192</v>
      </c>
    </row>
    <row r="35065" spans="1:4" x14ac:dyDescent="0.2">
      <c r="A35065" t="s">
        <v>11430</v>
      </c>
      <c r="B35065" t="str">
        <f>HYPERLINK("https://lindat.mff.cuni.cz/services/teitok/pdtc10/index.php?action=vallex&amp;frame=v-w4805f3_ZU", "přehnat se (v-w4805f3_ZU) - substituted with v-w4805f4_ZU")</f>
        <v>přehnat se (v-w4805f3_ZU) - substituted with v-w4805f4_ZU</v>
      </c>
    </row>
    <row r="35066" spans="1:4" x14ac:dyDescent="0.2">
      <c r="B35066" t="s">
        <v>1</v>
      </c>
      <c r="C35066" t="s">
        <v>147</v>
      </c>
    </row>
    <row r="35067" spans="1:4" x14ac:dyDescent="0.2">
      <c r="B35067" t="s">
        <v>192</v>
      </c>
    </row>
    <row r="35069" spans="1:4" x14ac:dyDescent="0.2">
      <c r="A35069" t="s">
        <v>11431</v>
      </c>
      <c r="B35069" t="str">
        <f>HYPERLINK("https://lindat.mff.cuni.cz/services/teitok/pdtc10/index.php?action=vallex&amp;frame=v-w4805f1", "přehnat se (v-w4805f1)")</f>
        <v>přehnat se (v-w4805f1)</v>
      </c>
    </row>
    <row r="35070" spans="1:4" x14ac:dyDescent="0.2">
      <c r="B35070" t="s">
        <v>1</v>
      </c>
    </row>
    <row r="35072" spans="1:4" x14ac:dyDescent="0.2">
      <c r="A35072" t="s">
        <v>11432</v>
      </c>
      <c r="B35072" t="str">
        <f>HYPERLINK("https://lindat.mff.cuni.cz/services/teitok/pdtc10/index.php?action=vallex&amp;frame=v-w4806f1", "přehodit (v-w4806f1)")</f>
        <v>přehodit (v-w4806f1)</v>
      </c>
    </row>
    <row r="35073" spans="1:4" x14ac:dyDescent="0.2">
      <c r="B35073" t="s">
        <v>1</v>
      </c>
    </row>
    <row r="35074" spans="1:4" x14ac:dyDescent="0.2">
      <c r="B35074" t="s">
        <v>8</v>
      </c>
    </row>
    <row r="35076" spans="1:4" x14ac:dyDescent="0.2">
      <c r="A35076" t="s">
        <v>11433</v>
      </c>
      <c r="B35076" t="str">
        <f>HYPERLINK("https://lindat.mff.cuni.cz/services/teitok/pdtc10/index.php?action=vallex&amp;frame=v-w4806f2", "přehodit (v-w4806f2)")</f>
        <v>přehodit (v-w4806f2)</v>
      </c>
    </row>
    <row r="35077" spans="1:4" x14ac:dyDescent="0.2">
      <c r="B35077" t="s">
        <v>1</v>
      </c>
    </row>
    <row r="35078" spans="1:4" x14ac:dyDescent="0.2">
      <c r="B35078" t="s">
        <v>8</v>
      </c>
    </row>
    <row r="35080" spans="1:4" x14ac:dyDescent="0.2">
      <c r="A35080" t="s">
        <v>11434</v>
      </c>
      <c r="B35080" t="str">
        <f>HYPERLINK("https://lindat.mff.cuni.cz/services/teitok/pdtc10/index.php?action=vallex&amp;frame=v-w4806f3_ZU", "přehodit (v-w4806f3_ZU)")</f>
        <v>přehodit (v-w4806f3_ZU)</v>
      </c>
    </row>
    <row r="35081" spans="1:4" x14ac:dyDescent="0.2">
      <c r="B35081" t="s">
        <v>1</v>
      </c>
    </row>
    <row r="35082" spans="1:4" x14ac:dyDescent="0.2">
      <c r="B35082" t="s">
        <v>8</v>
      </c>
    </row>
    <row r="35083" spans="1:4" x14ac:dyDescent="0.2">
      <c r="B35083" t="s">
        <v>252</v>
      </c>
    </row>
    <row r="35085" spans="1:4" x14ac:dyDescent="0.2">
      <c r="A35085" t="s">
        <v>11435</v>
      </c>
      <c r="B35085" t="str">
        <f>HYPERLINK("https://lindat.mff.cuni.cz/services/teitok/pdtc10/index.php?action=vallex&amp;frame=v-w4808f1", "přehodnocovat (v-w4808f1)")</f>
        <v>přehodnocovat (v-w4808f1)</v>
      </c>
    </row>
    <row r="35086" spans="1:4" x14ac:dyDescent="0.2">
      <c r="B35086" t="s">
        <v>1</v>
      </c>
      <c r="C35086" t="s">
        <v>140</v>
      </c>
      <c r="D35086" t="s">
        <v>22944</v>
      </c>
    </row>
    <row r="35087" spans="1:4" x14ac:dyDescent="0.2">
      <c r="B35087" t="s">
        <v>8</v>
      </c>
      <c r="C35087" t="s">
        <v>113</v>
      </c>
      <c r="D35087" t="s">
        <v>22945</v>
      </c>
    </row>
    <row r="35088" spans="1:4" x14ac:dyDescent="0.2">
      <c r="B35088" t="s">
        <v>61</v>
      </c>
      <c r="D35088" t="s">
        <v>22947</v>
      </c>
    </row>
    <row r="35090" spans="1:4" x14ac:dyDescent="0.2">
      <c r="A35090" t="s">
        <v>11436</v>
      </c>
      <c r="B35090" t="str">
        <f>HYPERLINK("https://lindat.mff.cuni.cz/services/teitok/pdtc10/index.php?action=vallex&amp;frame=v-w4808f2", "přehodnocovat (v-w4808f2)")</f>
        <v>přehodnocovat (v-w4808f2)</v>
      </c>
    </row>
    <row r="35091" spans="1:4" x14ac:dyDescent="0.2">
      <c r="B35091" t="s">
        <v>1</v>
      </c>
      <c r="C35091" t="s">
        <v>140</v>
      </c>
      <c r="D35091" t="s">
        <v>22978</v>
      </c>
    </row>
    <row r="35092" spans="1:4" x14ac:dyDescent="0.2">
      <c r="B35092" t="s">
        <v>1693</v>
      </c>
      <c r="C35092" t="s">
        <v>34</v>
      </c>
      <c r="D35092" t="s">
        <v>22979</v>
      </c>
    </row>
    <row r="35094" spans="1:4" x14ac:dyDescent="0.2">
      <c r="A35094" t="s">
        <v>11437</v>
      </c>
      <c r="B35094" t="str">
        <f>HYPERLINK("https://lindat.mff.cuni.cz/services/teitok/pdtc10/index.php?action=vallex&amp;frame=v-w4809f2", "přehodnotit (v-w4809f2)")</f>
        <v>přehodnotit (v-w4809f2)</v>
      </c>
    </row>
    <row r="35095" spans="1:4" x14ac:dyDescent="0.2">
      <c r="B35095" t="s">
        <v>1</v>
      </c>
      <c r="C35095" t="s">
        <v>3358</v>
      </c>
      <c r="D35095" t="s">
        <v>22944</v>
      </c>
    </row>
    <row r="35096" spans="1:4" x14ac:dyDescent="0.2">
      <c r="B35096" t="s">
        <v>8</v>
      </c>
      <c r="C35096" t="s">
        <v>10242</v>
      </c>
      <c r="D35096" t="s">
        <v>22945</v>
      </c>
    </row>
    <row r="35097" spans="1:4" x14ac:dyDescent="0.2">
      <c r="B35097" t="s">
        <v>61</v>
      </c>
      <c r="C35097" t="s">
        <v>1045</v>
      </c>
      <c r="D35097" t="s">
        <v>22947</v>
      </c>
    </row>
    <row r="35099" spans="1:4" x14ac:dyDescent="0.2">
      <c r="A35099" t="s">
        <v>11438</v>
      </c>
      <c r="B35099" t="str">
        <f>HYPERLINK("https://lindat.mff.cuni.cz/services/teitok/pdtc10/index.php?action=vallex&amp;frame=v-w4809f1", "přehodnotit (v-w4809f1)")</f>
        <v>přehodnotit (v-w4809f1)</v>
      </c>
    </row>
    <row r="35100" spans="1:4" x14ac:dyDescent="0.2">
      <c r="B35100" t="s">
        <v>1</v>
      </c>
      <c r="C35100" t="s">
        <v>2566</v>
      </c>
      <c r="D35100" t="s">
        <v>23856</v>
      </c>
    </row>
    <row r="35101" spans="1:4" x14ac:dyDescent="0.2">
      <c r="B35101" t="s">
        <v>1693</v>
      </c>
      <c r="C35101" t="s">
        <v>2374</v>
      </c>
      <c r="D35101" t="s">
        <v>23857</v>
      </c>
    </row>
    <row r="35103" spans="1:4" x14ac:dyDescent="0.2">
      <c r="A35103" t="s">
        <v>11439</v>
      </c>
      <c r="B35103" t="str">
        <f>HYPERLINK("https://lindat.mff.cuni.cz/services/teitok/pdtc10/index.php?action=vallex&amp;frame=v-w11359f1", "přehoupnout se (v-w11359f1)")</f>
        <v>přehoupnout se (v-w11359f1)</v>
      </c>
    </row>
    <row r="35104" spans="1:4" x14ac:dyDescent="0.2">
      <c r="B35104" t="s">
        <v>1</v>
      </c>
    </row>
    <row r="35105" spans="1:3" x14ac:dyDescent="0.2">
      <c r="B35105" t="s">
        <v>205</v>
      </c>
    </row>
    <row r="35107" spans="1:3" x14ac:dyDescent="0.2">
      <c r="A35107" t="s">
        <v>11440</v>
      </c>
      <c r="B35107" t="str">
        <f>HYPERLINK("https://lindat.mff.cuni.cz/services/teitok/pdtc10/index.php?action=vallex&amp;frame=v-w11273f1", "přehrabovat se (v-w11273f1)")</f>
        <v>přehrabovat se (v-w11273f1)</v>
      </c>
    </row>
    <row r="35108" spans="1:3" x14ac:dyDescent="0.2">
      <c r="B35108" t="s">
        <v>1</v>
      </c>
    </row>
    <row r="35109" spans="1:3" x14ac:dyDescent="0.2">
      <c r="B35109" t="s">
        <v>290</v>
      </c>
    </row>
    <row r="35111" spans="1:3" x14ac:dyDescent="0.2">
      <c r="A35111" t="s">
        <v>11441</v>
      </c>
      <c r="B35111" t="str">
        <f>HYPERLINK("https://lindat.mff.cuni.cz/services/teitok/pdtc10/index.php?action=vallex&amp;frame=v-w4810f1", "přehradit (v-w4810f1)")</f>
        <v>přehradit (v-w4810f1)</v>
      </c>
    </row>
    <row r="35112" spans="1:3" x14ac:dyDescent="0.2">
      <c r="B35112" t="s">
        <v>1</v>
      </c>
    </row>
    <row r="35113" spans="1:3" x14ac:dyDescent="0.2">
      <c r="B35113" t="s">
        <v>8</v>
      </c>
    </row>
    <row r="35115" spans="1:3" x14ac:dyDescent="0.2">
      <c r="A35115" t="s">
        <v>11442</v>
      </c>
      <c r="B35115" t="str">
        <f>HYPERLINK("https://lindat.mff.cuni.cz/services/teitok/pdtc10/index.php?action=vallex&amp;frame=v-w4811f1", "přehrát (v-w4811f1)")</f>
        <v>přehrát (v-w4811f1)</v>
      </c>
    </row>
    <row r="35116" spans="1:3" x14ac:dyDescent="0.2">
      <c r="B35116" t="s">
        <v>1</v>
      </c>
    </row>
    <row r="35117" spans="1:3" x14ac:dyDescent="0.2">
      <c r="B35117" t="s">
        <v>8</v>
      </c>
    </row>
    <row r="35119" spans="1:3" x14ac:dyDescent="0.2">
      <c r="A35119" t="s">
        <v>11443</v>
      </c>
      <c r="B35119" t="str">
        <f>HYPERLINK("https://lindat.mff.cuni.cz/services/teitok/pdtc10/index.php?action=vallex&amp;frame=v-w4811f2", "přehrát (v-w4811f2)")</f>
        <v>přehrát (v-w4811f2)</v>
      </c>
    </row>
    <row r="35120" spans="1:3" x14ac:dyDescent="0.2">
      <c r="B35120" t="s">
        <v>1</v>
      </c>
      <c r="C35120" t="s">
        <v>334</v>
      </c>
    </row>
    <row r="35121" spans="1:3" x14ac:dyDescent="0.2">
      <c r="B35121" t="s">
        <v>8</v>
      </c>
      <c r="C35121" t="s">
        <v>1340</v>
      </c>
    </row>
    <row r="35123" spans="1:3" x14ac:dyDescent="0.2">
      <c r="A35123" t="s">
        <v>11444</v>
      </c>
      <c r="B35123" t="str">
        <f>HYPERLINK("https://lindat.mff.cuni.cz/services/teitok/pdtc10/index.php?action=vallex&amp;frame=v-w4811f4", "přehrát (v-w4811f4)")</f>
        <v>přehrát (v-w4811f4)</v>
      </c>
    </row>
    <row r="35124" spans="1:3" x14ac:dyDescent="0.2">
      <c r="B35124" t="s">
        <v>1</v>
      </c>
    </row>
    <row r="35125" spans="1:3" x14ac:dyDescent="0.2">
      <c r="B35125" t="s">
        <v>8</v>
      </c>
    </row>
    <row r="35127" spans="1:3" x14ac:dyDescent="0.2">
      <c r="A35127" t="s">
        <v>11445</v>
      </c>
      <c r="B35127" t="str">
        <f>HYPERLINK("https://lindat.mff.cuni.cz/services/teitok/pdtc10/index.php?action=vallex&amp;frame=v-w4811f3", "přehrát (v-w4811f3)")</f>
        <v>přehrát (v-w4811f3)</v>
      </c>
    </row>
    <row r="35128" spans="1:3" x14ac:dyDescent="0.2">
      <c r="B35128" t="s">
        <v>1</v>
      </c>
    </row>
    <row r="35129" spans="1:3" x14ac:dyDescent="0.2">
      <c r="B35129" t="s">
        <v>8</v>
      </c>
    </row>
    <row r="35131" spans="1:3" x14ac:dyDescent="0.2">
      <c r="A35131" t="s">
        <v>11446</v>
      </c>
      <c r="B35131" t="str">
        <f>HYPERLINK("https://lindat.mff.cuni.cz/services/teitok/pdtc10/index.php?action=vallex&amp;frame=v-w4812f1", "přehrávat (v-w4812f1)")</f>
        <v>přehrávat (v-w4812f1)</v>
      </c>
    </row>
    <row r="35132" spans="1:3" x14ac:dyDescent="0.2">
      <c r="B35132" t="s">
        <v>1</v>
      </c>
    </row>
    <row r="35133" spans="1:3" x14ac:dyDescent="0.2">
      <c r="B35133" t="s">
        <v>8</v>
      </c>
    </row>
    <row r="35135" spans="1:3" x14ac:dyDescent="0.2">
      <c r="A35135" t="s">
        <v>11447</v>
      </c>
      <c r="B35135" t="str">
        <f>HYPERLINK("https://lindat.mff.cuni.cz/services/teitok/pdtc10/index.php?action=vallex&amp;frame=v-w4812hsa_424", "přehrávat (v-w4812hsa_424)")</f>
        <v>přehrávat (v-w4812hsa_424)</v>
      </c>
    </row>
    <row r="35136" spans="1:3" x14ac:dyDescent="0.2">
      <c r="B35136" t="s">
        <v>1</v>
      </c>
    </row>
    <row r="35138" spans="1:2" x14ac:dyDescent="0.2">
      <c r="A35138" t="s">
        <v>11448</v>
      </c>
      <c r="B35138" t="str">
        <f>HYPERLINK("https://lindat.mff.cuni.cz/services/teitok/pdtc10/index.php?action=vallex&amp;frame=v-w4812f2_ZU", "přehrávat (v-w4812f2_ZU)")</f>
        <v>přehrávat (v-w4812f2_ZU)</v>
      </c>
    </row>
    <row r="35139" spans="1:2" x14ac:dyDescent="0.2">
      <c r="B35139" t="s">
        <v>1</v>
      </c>
    </row>
    <row r="35140" spans="1:2" x14ac:dyDescent="0.2">
      <c r="B35140" t="s">
        <v>8</v>
      </c>
    </row>
    <row r="35142" spans="1:2" x14ac:dyDescent="0.2">
      <c r="A35142" t="s">
        <v>11448</v>
      </c>
      <c r="B35142" t="str">
        <f>HYPERLINK("https://lindat.mff.cuni.cz/services/teitok/pdtc10/index.php?action=vallex&amp;frame=v-w4812hsa_425", "přehrávat (v-w4812hsa_425) - substituted with v-w4812f2_ZU")</f>
        <v>přehrávat (v-w4812hsa_425) - substituted with v-w4812f2_ZU</v>
      </c>
    </row>
    <row r="35143" spans="1:2" x14ac:dyDescent="0.2">
      <c r="B35143" t="s">
        <v>1</v>
      </c>
    </row>
    <row r="35144" spans="1:2" x14ac:dyDescent="0.2">
      <c r="B35144" t="s">
        <v>8</v>
      </c>
    </row>
    <row r="35146" spans="1:2" x14ac:dyDescent="0.2">
      <c r="A35146" t="s">
        <v>11449</v>
      </c>
      <c r="B35146" t="str">
        <f>HYPERLINK("https://lindat.mff.cuni.cz/services/teitok/pdtc10/index.php?action=vallex&amp;frame=v-w4813f1", "přehrávat se (v-w4813f1)")</f>
        <v>přehrávat se (v-w4813f1)</v>
      </c>
    </row>
    <row r="35147" spans="1:2" x14ac:dyDescent="0.2">
      <c r="B35147" t="s">
        <v>1</v>
      </c>
    </row>
    <row r="35148" spans="1:2" x14ac:dyDescent="0.2">
      <c r="B35148" t="s">
        <v>5406</v>
      </c>
    </row>
    <row r="35149" spans="1:2" x14ac:dyDescent="0.2">
      <c r="B35149" t="s">
        <v>24</v>
      </c>
    </row>
    <row r="35151" spans="1:2" x14ac:dyDescent="0.2">
      <c r="A35151" t="s">
        <v>11450</v>
      </c>
      <c r="B35151" t="str">
        <f>HYPERLINK("https://lindat.mff.cuni.cz/services/teitok/pdtc10/index.php?action=vallex&amp;frame=v-w12035_ZUf2_ZU", "přehrávat si (v-w12035_ZUf2_ZU)")</f>
        <v>přehrávat si (v-w12035_ZUf2_ZU)</v>
      </c>
    </row>
    <row r="35152" spans="1:2" x14ac:dyDescent="0.2">
      <c r="B35152" t="s">
        <v>1</v>
      </c>
    </row>
    <row r="35153" spans="1:2" x14ac:dyDescent="0.2">
      <c r="B35153" t="s">
        <v>8</v>
      </c>
    </row>
    <row r="35155" spans="1:2" x14ac:dyDescent="0.2">
      <c r="A35155" t="s">
        <v>11450</v>
      </c>
      <c r="B35155" t="str">
        <f>HYPERLINK("https://lindat.mff.cuni.cz/services/teitok/pdtc10/index.php?action=vallex&amp;frame=v-w12035_ZUf1_ZU", "přehrávat si (v-w12035_ZUf1_ZU) - substituted with v-w12035_ZUf2_ZU")</f>
        <v>přehrávat si (v-w12035_ZUf1_ZU) - substituted with v-w12035_ZUf2_ZU</v>
      </c>
    </row>
    <row r="35156" spans="1:2" x14ac:dyDescent="0.2">
      <c r="B35156" t="s">
        <v>1</v>
      </c>
    </row>
    <row r="35157" spans="1:2" x14ac:dyDescent="0.2">
      <c r="B35157" t="s">
        <v>8</v>
      </c>
    </row>
    <row r="35159" spans="1:2" x14ac:dyDescent="0.2">
      <c r="A35159" t="s">
        <v>11451</v>
      </c>
      <c r="B35159" t="str">
        <f>HYPERLINK("https://lindat.mff.cuni.cz/services/teitok/pdtc10/index.php?action=vallex&amp;frame=v-w4816f1", "přehustit (v-w4816f1)")</f>
        <v>přehustit (v-w4816f1)</v>
      </c>
    </row>
    <row r="35160" spans="1:2" x14ac:dyDescent="0.2">
      <c r="B35160" t="s">
        <v>1</v>
      </c>
    </row>
    <row r="35161" spans="1:2" x14ac:dyDescent="0.2">
      <c r="B35161" t="s">
        <v>8</v>
      </c>
    </row>
    <row r="35163" spans="1:2" x14ac:dyDescent="0.2">
      <c r="A35163" t="s">
        <v>11452</v>
      </c>
      <c r="B35163" t="str">
        <f>HYPERLINK("https://lindat.mff.cuni.cz/services/teitok/pdtc10/index.php?action=vallex&amp;frame=v-w4816f2", "přehustit (v-w4816f2)")</f>
        <v>přehustit (v-w4816f2)</v>
      </c>
    </row>
    <row r="35164" spans="1:2" x14ac:dyDescent="0.2">
      <c r="B35164" t="s">
        <v>1</v>
      </c>
    </row>
    <row r="35165" spans="1:2" x14ac:dyDescent="0.2">
      <c r="B35165" t="s">
        <v>8</v>
      </c>
    </row>
    <row r="35166" spans="1:2" x14ac:dyDescent="0.2">
      <c r="B35166" t="s">
        <v>5479</v>
      </c>
    </row>
    <row r="35168" spans="1:2" x14ac:dyDescent="0.2">
      <c r="A35168" t="s">
        <v>11453</v>
      </c>
      <c r="B35168" t="str">
        <f>HYPERLINK("https://lindat.mff.cuni.cz/services/teitok/pdtc10/index.php?action=vallex&amp;frame=v-w4792f1", "přehánět (v-w4792f1)")</f>
        <v>přehánět (v-w4792f1)</v>
      </c>
    </row>
    <row r="35169" spans="1:4" x14ac:dyDescent="0.2">
      <c r="B35169" t="s">
        <v>1</v>
      </c>
      <c r="C35169" t="s">
        <v>990</v>
      </c>
      <c r="D35169" t="s">
        <v>80</v>
      </c>
    </row>
    <row r="35170" spans="1:4" x14ac:dyDescent="0.2">
      <c r="B35170" t="s">
        <v>8</v>
      </c>
      <c r="C35170" t="s">
        <v>1025</v>
      </c>
      <c r="D35170" t="s">
        <v>116</v>
      </c>
    </row>
    <row r="35172" spans="1:4" x14ac:dyDescent="0.2">
      <c r="A35172" t="s">
        <v>11454</v>
      </c>
      <c r="B35172" t="str">
        <f>HYPERLINK("https://lindat.mff.cuni.cz/services/teitok/pdtc10/index.php?action=vallex&amp;frame=v-w4814f1", "přehřát (v-w4814f1)")</f>
        <v>přehřát (v-w4814f1)</v>
      </c>
    </row>
    <row r="35173" spans="1:4" x14ac:dyDescent="0.2">
      <c r="B35173" t="s">
        <v>1</v>
      </c>
    </row>
    <row r="35174" spans="1:4" x14ac:dyDescent="0.2">
      <c r="B35174" t="s">
        <v>8</v>
      </c>
    </row>
    <row r="35176" spans="1:4" x14ac:dyDescent="0.2">
      <c r="A35176" t="s">
        <v>11455</v>
      </c>
      <c r="B35176" t="str">
        <f>HYPERLINK("https://lindat.mff.cuni.cz/services/teitok/pdtc10/index.php?action=vallex&amp;frame=v-w4815f1", "přehřát se (v-w4815f1)")</f>
        <v>přehřát se (v-w4815f1)</v>
      </c>
    </row>
    <row r="35177" spans="1:4" x14ac:dyDescent="0.2">
      <c r="B35177" t="s">
        <v>1</v>
      </c>
    </row>
    <row r="35179" spans="1:4" x14ac:dyDescent="0.2">
      <c r="A35179" t="s">
        <v>11456</v>
      </c>
      <c r="B35179" t="str">
        <f>HYPERLINK("https://lindat.mff.cuni.cz/services/teitok/pdtc10/index.php?action=vallex&amp;frame=v-w12197_ZUf1_ZU", "přehřívat se (v-w12197_ZUf1_ZU)")</f>
        <v>přehřívat se (v-w12197_ZUf1_ZU)</v>
      </c>
    </row>
    <row r="35180" spans="1:4" x14ac:dyDescent="0.2">
      <c r="B35180" t="s">
        <v>1</v>
      </c>
    </row>
    <row r="35182" spans="1:4" x14ac:dyDescent="0.2">
      <c r="A35182" t="s">
        <v>11457</v>
      </c>
      <c r="B35182" t="str">
        <f>HYPERLINK("https://lindat.mff.cuni.cz/services/teitok/pdtc10/index.php?action=vallex&amp;frame=v-w4823f1", "přejet (v-w4823f1)")</f>
        <v>přejet (v-w4823f1)</v>
      </c>
    </row>
    <row r="35183" spans="1:4" x14ac:dyDescent="0.2">
      <c r="B35183" t="s">
        <v>1</v>
      </c>
    </row>
    <row r="35184" spans="1:4" x14ac:dyDescent="0.2">
      <c r="B35184" t="s">
        <v>8</v>
      </c>
    </row>
    <row r="35186" spans="1:3" x14ac:dyDescent="0.2">
      <c r="A35186" t="s">
        <v>11458</v>
      </c>
      <c r="B35186" t="str">
        <f>HYPERLINK("https://lindat.mff.cuni.cz/services/teitok/pdtc10/index.php?action=vallex&amp;frame=v-w4823f4", "přejet (v-w4823f4)")</f>
        <v>přejet (v-w4823f4)</v>
      </c>
    </row>
    <row r="35187" spans="1:3" x14ac:dyDescent="0.2">
      <c r="B35187" t="s">
        <v>1</v>
      </c>
      <c r="C35187" t="s">
        <v>334</v>
      </c>
    </row>
    <row r="35188" spans="1:3" x14ac:dyDescent="0.2">
      <c r="B35188" t="s">
        <v>8</v>
      </c>
      <c r="C35188" t="s">
        <v>1025</v>
      </c>
    </row>
    <row r="35190" spans="1:3" x14ac:dyDescent="0.2">
      <c r="A35190" t="s">
        <v>11459</v>
      </c>
      <c r="B35190" t="str">
        <f>HYPERLINK("https://lindat.mff.cuni.cz/services/teitok/pdtc10/index.php?action=vallex&amp;frame=v-w4823f3", "přejet (v-w4823f3)")</f>
        <v>přejet (v-w4823f3)</v>
      </c>
    </row>
    <row r="35191" spans="1:3" x14ac:dyDescent="0.2">
      <c r="B35191" t="s">
        <v>1</v>
      </c>
    </row>
    <row r="35192" spans="1:3" x14ac:dyDescent="0.2">
      <c r="B35192" t="s">
        <v>333</v>
      </c>
    </row>
    <row r="35193" spans="1:3" x14ac:dyDescent="0.2">
      <c r="B35193" t="s">
        <v>90</v>
      </c>
    </row>
    <row r="35195" spans="1:3" x14ac:dyDescent="0.2">
      <c r="A35195" t="s">
        <v>11460</v>
      </c>
      <c r="B35195" t="str">
        <f>HYPERLINK("https://lindat.mff.cuni.cz/services/teitok/pdtc10/index.php?action=vallex&amp;frame=v-w4823f2", "přejet (v-w4823f2)")</f>
        <v>přejet (v-w4823f2)</v>
      </c>
    </row>
    <row r="35196" spans="1:3" x14ac:dyDescent="0.2">
      <c r="B35196" t="s">
        <v>1</v>
      </c>
      <c r="C35196" t="s">
        <v>11461</v>
      </c>
    </row>
    <row r="35197" spans="1:3" x14ac:dyDescent="0.2">
      <c r="B35197" t="s">
        <v>192</v>
      </c>
      <c r="C35197" t="s">
        <v>11462</v>
      </c>
    </row>
    <row r="35199" spans="1:3" x14ac:dyDescent="0.2">
      <c r="A35199" t="s">
        <v>11463</v>
      </c>
      <c r="B35199" t="str">
        <f>HYPERLINK("https://lindat.mff.cuni.cz/services/teitok/pdtc10/index.php?action=vallex&amp;frame=v-w4823f5_ZU", "přejet (v-w4823f5_ZU)")</f>
        <v>přejet (v-w4823f5_ZU)</v>
      </c>
    </row>
    <row r="35200" spans="1:3" x14ac:dyDescent="0.2">
      <c r="B35200" t="s">
        <v>1</v>
      </c>
    </row>
    <row r="35201" spans="1:2" x14ac:dyDescent="0.2">
      <c r="B35201" t="s">
        <v>90</v>
      </c>
    </row>
    <row r="35203" spans="1:2" x14ac:dyDescent="0.2">
      <c r="A35203" t="s">
        <v>11463</v>
      </c>
      <c r="B35203" t="str">
        <f>HYPERLINK("https://lindat.mff.cuni.cz/services/teitok/pdtc10/index.php?action=vallex&amp;frame=v-w4823hsa_873", "přejet (v-w4823hsa_873) - substituted with v-w4823f5_ZU")</f>
        <v>přejet (v-w4823hsa_873) - substituted with v-w4823f5_ZU</v>
      </c>
    </row>
    <row r="35204" spans="1:2" x14ac:dyDescent="0.2">
      <c r="B35204" t="s">
        <v>1</v>
      </c>
    </row>
    <row r="35205" spans="1:2" x14ac:dyDescent="0.2">
      <c r="B35205" t="s">
        <v>90</v>
      </c>
    </row>
    <row r="35207" spans="1:2" x14ac:dyDescent="0.2">
      <c r="A35207" t="s">
        <v>11464</v>
      </c>
      <c r="B35207" t="str">
        <f>HYPERLINK("https://lindat.mff.cuni.cz/services/teitok/pdtc10/index.php?action=vallex&amp;frame=v-w4823f6_ZU", "přejet (v-w4823f6_ZU)")</f>
        <v>přejet (v-w4823f6_ZU)</v>
      </c>
    </row>
    <row r="35208" spans="1:2" x14ac:dyDescent="0.2">
      <c r="B35208" t="s">
        <v>1</v>
      </c>
    </row>
    <row r="35209" spans="1:2" x14ac:dyDescent="0.2">
      <c r="B35209" t="s">
        <v>8</v>
      </c>
    </row>
    <row r="35211" spans="1:2" x14ac:dyDescent="0.2">
      <c r="A35211" t="s">
        <v>11465</v>
      </c>
      <c r="B35211" t="str">
        <f>HYPERLINK("https://lindat.mff.cuni.cz/services/teitok/pdtc10/index.php?action=vallex&amp;frame=v-w4823f9_ZU", "přejet (v-w4823f9_ZU)")</f>
        <v>přejet (v-w4823f9_ZU)</v>
      </c>
    </row>
    <row r="35212" spans="1:2" x14ac:dyDescent="0.2">
      <c r="B35212" t="s">
        <v>1</v>
      </c>
    </row>
    <row r="35213" spans="1:2" x14ac:dyDescent="0.2">
      <c r="B35213" t="s">
        <v>889</v>
      </c>
    </row>
    <row r="35215" spans="1:2" x14ac:dyDescent="0.2">
      <c r="A35215" t="s">
        <v>11465</v>
      </c>
      <c r="B35215" t="str">
        <f>HYPERLINK("https://lindat.mff.cuni.cz/services/teitok/pdtc10/index.php?action=vallex&amp;frame=v-w4823f7_ZU", "přejet (v-w4823f7_ZU) - substituted with v-w4823f9_ZU")</f>
        <v>přejet (v-w4823f7_ZU) - substituted with v-w4823f9_ZU</v>
      </c>
    </row>
    <row r="35216" spans="1:2" x14ac:dyDescent="0.2">
      <c r="B35216" t="s">
        <v>1</v>
      </c>
    </row>
    <row r="35217" spans="1:4" x14ac:dyDescent="0.2">
      <c r="B35217" t="s">
        <v>889</v>
      </c>
    </row>
    <row r="35219" spans="1:4" x14ac:dyDescent="0.2">
      <c r="A35219" t="s">
        <v>11465</v>
      </c>
      <c r="B35219" t="str">
        <f>HYPERLINK("https://lindat.mff.cuni.cz/services/teitok/pdtc10/index.php?action=vallex&amp;frame=v-w4823f8_ZU", "přejet (v-w4823f8_ZU) - substituted with v-w4823f9_ZU")</f>
        <v>přejet (v-w4823f8_ZU) - substituted with v-w4823f9_ZU</v>
      </c>
    </row>
    <row r="35220" spans="1:4" x14ac:dyDescent="0.2">
      <c r="B35220" t="s">
        <v>1</v>
      </c>
    </row>
    <row r="35221" spans="1:4" x14ac:dyDescent="0.2">
      <c r="B35221" t="s">
        <v>889</v>
      </c>
    </row>
    <row r="35223" spans="1:4" x14ac:dyDescent="0.2">
      <c r="A35223" t="s">
        <v>11466</v>
      </c>
      <c r="B35223" t="str">
        <f>HYPERLINK("https://lindat.mff.cuni.cz/services/teitok/pdtc10/index.php?action=vallex&amp;frame=v-w4829f1", "přejmenovat (v-w4829f1)")</f>
        <v>přejmenovat (v-w4829f1)</v>
      </c>
    </row>
    <row r="35224" spans="1:4" x14ac:dyDescent="0.2">
      <c r="B35224" t="s">
        <v>1</v>
      </c>
      <c r="C35224" t="s">
        <v>33</v>
      </c>
      <c r="D35224" t="s">
        <v>33</v>
      </c>
    </row>
    <row r="35225" spans="1:4" x14ac:dyDescent="0.2">
      <c r="B35225" t="s">
        <v>8</v>
      </c>
      <c r="C35225" t="s">
        <v>56</v>
      </c>
      <c r="D35225" t="s">
        <v>56</v>
      </c>
    </row>
    <row r="35226" spans="1:4" x14ac:dyDescent="0.2">
      <c r="B35226" t="s">
        <v>24</v>
      </c>
    </row>
    <row r="35227" spans="1:4" x14ac:dyDescent="0.2">
      <c r="B35227" t="s">
        <v>61</v>
      </c>
      <c r="C35227" t="s">
        <v>11467</v>
      </c>
      <c r="D35227" t="s">
        <v>11467</v>
      </c>
    </row>
    <row r="35229" spans="1:4" x14ac:dyDescent="0.2">
      <c r="A35229" t="s">
        <v>11468</v>
      </c>
      <c r="B35229" t="str">
        <f>HYPERLINK("https://lindat.mff.cuni.cz/services/teitok/pdtc10/index.php?action=vallex&amp;frame=v-w4830f2", "přejmout (v-w4830f2)")</f>
        <v>přejmout (v-w4830f2)</v>
      </c>
    </row>
    <row r="35230" spans="1:4" x14ac:dyDescent="0.2">
      <c r="B35230" t="s">
        <v>1</v>
      </c>
    </row>
    <row r="35231" spans="1:4" x14ac:dyDescent="0.2">
      <c r="B35231" t="s">
        <v>8</v>
      </c>
    </row>
    <row r="35232" spans="1:4" x14ac:dyDescent="0.2">
      <c r="B35232" t="s">
        <v>321</v>
      </c>
    </row>
    <row r="35234" spans="1:4" x14ac:dyDescent="0.2">
      <c r="A35234" t="s">
        <v>11469</v>
      </c>
      <c r="B35234" t="str">
        <f>HYPERLINK("https://lindat.mff.cuni.cz/services/teitok/pdtc10/index.php?action=vallex&amp;frame=v-w4830f1", "přejmout (v-w4830f1)")</f>
        <v>přejmout (v-w4830f1)</v>
      </c>
    </row>
    <row r="35235" spans="1:4" x14ac:dyDescent="0.2">
      <c r="B35235" t="s">
        <v>1</v>
      </c>
    </row>
    <row r="35236" spans="1:4" x14ac:dyDescent="0.2">
      <c r="B35236" t="s">
        <v>8</v>
      </c>
    </row>
    <row r="35237" spans="1:4" x14ac:dyDescent="0.2">
      <c r="B35237" t="s">
        <v>333</v>
      </c>
    </row>
    <row r="35239" spans="1:4" x14ac:dyDescent="0.2">
      <c r="A35239" t="s">
        <v>11470</v>
      </c>
      <c r="B35239" t="str">
        <f>HYPERLINK("https://lindat.mff.cuni.cz/services/teitok/pdtc10/index.php?action=vallex&amp;frame=v-w4826f1", "přejímat (v-w4826f1)")</f>
        <v>přejímat (v-w4826f1)</v>
      </c>
    </row>
    <row r="35240" spans="1:4" x14ac:dyDescent="0.2">
      <c r="B35240" t="s">
        <v>1</v>
      </c>
      <c r="C35240" t="s">
        <v>10568</v>
      </c>
    </row>
    <row r="35241" spans="1:4" x14ac:dyDescent="0.2">
      <c r="B35241" t="s">
        <v>8</v>
      </c>
      <c r="C35241" t="s">
        <v>3308</v>
      </c>
    </row>
    <row r="35242" spans="1:4" x14ac:dyDescent="0.2">
      <c r="B35242" t="s">
        <v>321</v>
      </c>
    </row>
    <row r="35244" spans="1:4" x14ac:dyDescent="0.2">
      <c r="A35244" t="s">
        <v>11471</v>
      </c>
      <c r="B35244" t="str">
        <f>HYPERLINK("https://lindat.mff.cuni.cz/services/teitok/pdtc10/index.php?action=vallex&amp;frame=v-whsa_1061hsa_1062", "přejíst se (v-whsa_1061hsa_1062)")</f>
        <v>přejíst se (v-whsa_1061hsa_1062)</v>
      </c>
    </row>
    <row r="35245" spans="1:4" x14ac:dyDescent="0.2">
      <c r="B35245" t="s">
        <v>1</v>
      </c>
    </row>
    <row r="35247" spans="1:4" x14ac:dyDescent="0.2">
      <c r="A35247" t="s">
        <v>11472</v>
      </c>
      <c r="B35247" t="str">
        <f>HYPERLINK("https://lindat.mff.cuni.cz/services/teitok/pdtc10/index.php?action=vallex&amp;frame=v-w4827f2", "přejít (v-w4827f2)")</f>
        <v>přejít (v-w4827f2)</v>
      </c>
    </row>
    <row r="35248" spans="1:4" x14ac:dyDescent="0.2">
      <c r="B35248" t="s">
        <v>1</v>
      </c>
      <c r="C35248" t="s">
        <v>11473</v>
      </c>
      <c r="D35248" t="s">
        <v>23987</v>
      </c>
    </row>
    <row r="35249" spans="1:4" x14ac:dyDescent="0.2">
      <c r="B35249" t="s">
        <v>11474</v>
      </c>
      <c r="C35249" t="s">
        <v>11475</v>
      </c>
      <c r="D35249" t="s">
        <v>23988</v>
      </c>
    </row>
    <row r="35250" spans="1:4" x14ac:dyDescent="0.2">
      <c r="B35250" t="s">
        <v>1944</v>
      </c>
      <c r="C35250" t="s">
        <v>11476</v>
      </c>
      <c r="D35250" t="s">
        <v>11224</v>
      </c>
    </row>
    <row r="35252" spans="1:4" x14ac:dyDescent="0.2">
      <c r="A35252" t="s">
        <v>11477</v>
      </c>
      <c r="B35252" t="str">
        <f>HYPERLINK("https://lindat.mff.cuni.cz/services/teitok/pdtc10/index.php?action=vallex&amp;frame=v-w4827f6", "přejít (v-w4827f6)")</f>
        <v>přejít (v-w4827f6)</v>
      </c>
    </row>
    <row r="35253" spans="1:4" x14ac:dyDescent="0.2">
      <c r="B35253" t="s">
        <v>1</v>
      </c>
    </row>
    <row r="35254" spans="1:4" x14ac:dyDescent="0.2">
      <c r="B35254" t="s">
        <v>41</v>
      </c>
    </row>
    <row r="35256" spans="1:4" x14ac:dyDescent="0.2">
      <c r="A35256" t="s">
        <v>11478</v>
      </c>
      <c r="B35256" t="str">
        <f>HYPERLINK("https://lindat.mff.cuni.cz/services/teitok/pdtc10/index.php?action=vallex&amp;frame=v-w4827f9", "přejít (v-w4827f9)")</f>
        <v>přejít (v-w4827f9)</v>
      </c>
    </row>
    <row r="35257" spans="1:4" x14ac:dyDescent="0.2">
      <c r="B35257" t="s">
        <v>1</v>
      </c>
    </row>
    <row r="35258" spans="1:4" x14ac:dyDescent="0.2">
      <c r="B35258" t="s">
        <v>8</v>
      </c>
    </row>
    <row r="35260" spans="1:4" x14ac:dyDescent="0.2">
      <c r="A35260" t="s">
        <v>11479</v>
      </c>
      <c r="B35260" t="str">
        <f>HYPERLINK("https://lindat.mff.cuni.cz/services/teitok/pdtc10/index.php?action=vallex&amp;frame=v-w4827f10_ZU", "přejít (v-w4827f10_ZU)")</f>
        <v>přejít (v-w4827f10_ZU)</v>
      </c>
    </row>
    <row r="35261" spans="1:4" x14ac:dyDescent="0.2">
      <c r="B35261" t="s">
        <v>1</v>
      </c>
      <c r="C35261" t="s">
        <v>3824</v>
      </c>
      <c r="D35261" t="s">
        <v>23987</v>
      </c>
    </row>
    <row r="35262" spans="1:4" x14ac:dyDescent="0.2">
      <c r="B35262" t="s">
        <v>11480</v>
      </c>
      <c r="D35262" t="s">
        <v>23988</v>
      </c>
    </row>
    <row r="35264" spans="1:4" x14ac:dyDescent="0.2">
      <c r="A35264" t="s">
        <v>11479</v>
      </c>
      <c r="B35264" t="str">
        <f>HYPERLINK("https://lindat.mff.cuni.cz/services/teitok/pdtc10/index.php?action=vallex&amp;frame=v-w4827f3", "přejít (v-w4827f3) - substituted with v-w4827f10_ZU")</f>
        <v>přejít (v-w4827f3) - substituted with v-w4827f10_ZU</v>
      </c>
    </row>
    <row r="35265" spans="1:4" x14ac:dyDescent="0.2">
      <c r="B35265" t="s">
        <v>1</v>
      </c>
      <c r="C35265" t="s">
        <v>2106</v>
      </c>
    </row>
    <row r="35266" spans="1:4" x14ac:dyDescent="0.2">
      <c r="B35266" t="s">
        <v>11480</v>
      </c>
      <c r="C35266" t="s">
        <v>11481</v>
      </c>
    </row>
    <row r="35268" spans="1:4" x14ac:dyDescent="0.2">
      <c r="A35268" t="s">
        <v>11482</v>
      </c>
      <c r="B35268" t="str">
        <f>HYPERLINK("https://lindat.mff.cuni.cz/services/teitok/pdtc10/index.php?action=vallex&amp;frame=v-w4827f7", "přejít (v-w4827f7)")</f>
        <v>přejít (v-w4827f7)</v>
      </c>
    </row>
    <row r="35269" spans="1:4" x14ac:dyDescent="0.2">
      <c r="B35269" t="s">
        <v>1</v>
      </c>
      <c r="C35269" t="s">
        <v>6793</v>
      </c>
      <c r="D35269" t="s">
        <v>23324</v>
      </c>
    </row>
    <row r="35270" spans="1:4" x14ac:dyDescent="0.2">
      <c r="B35270" t="s">
        <v>220</v>
      </c>
    </row>
    <row r="35272" spans="1:4" x14ac:dyDescent="0.2">
      <c r="A35272" t="s">
        <v>11483</v>
      </c>
      <c r="B35272" t="str">
        <f>HYPERLINK("https://lindat.mff.cuni.cz/services/teitok/pdtc10/index.php?action=vallex&amp;frame=v-w4827f1", "přejít (v-w4827f1)")</f>
        <v>přejít (v-w4827f1)</v>
      </c>
    </row>
    <row r="35273" spans="1:4" x14ac:dyDescent="0.2">
      <c r="B35273" t="s">
        <v>1</v>
      </c>
      <c r="C35273" t="s">
        <v>11484</v>
      </c>
      <c r="D35273" t="s">
        <v>23091</v>
      </c>
    </row>
    <row r="35274" spans="1:4" x14ac:dyDescent="0.2">
      <c r="B35274" t="s">
        <v>333</v>
      </c>
      <c r="C35274" t="s">
        <v>11485</v>
      </c>
      <c r="D35274" t="s">
        <v>7666</v>
      </c>
    </row>
    <row r="35275" spans="1:4" x14ac:dyDescent="0.2">
      <c r="B35275" t="s">
        <v>90</v>
      </c>
      <c r="C35275" t="s">
        <v>11486</v>
      </c>
    </row>
    <row r="35277" spans="1:4" x14ac:dyDescent="0.2">
      <c r="A35277" t="s">
        <v>11487</v>
      </c>
      <c r="B35277" t="str">
        <f>HYPERLINK("https://lindat.mff.cuni.cz/services/teitok/pdtc10/index.php?action=vallex&amp;frame=v-w4827f4", "přejít (v-w4827f4)")</f>
        <v>přejít (v-w4827f4)</v>
      </c>
    </row>
    <row r="35278" spans="1:4" x14ac:dyDescent="0.2">
      <c r="B35278" t="s">
        <v>1</v>
      </c>
      <c r="C35278" t="s">
        <v>370</v>
      </c>
      <c r="D35278" t="s">
        <v>92</v>
      </c>
    </row>
    <row r="35279" spans="1:4" x14ac:dyDescent="0.2">
      <c r="B35279" t="s">
        <v>192</v>
      </c>
      <c r="D35279" t="s">
        <v>3802</v>
      </c>
    </row>
    <row r="35281" spans="1:3" x14ac:dyDescent="0.2">
      <c r="A35281" t="s">
        <v>11488</v>
      </c>
      <c r="B35281" t="str">
        <f>HYPERLINK("https://lindat.mff.cuni.cz/services/teitok/pdtc10/index.php?action=vallex&amp;frame=v-w4827f5", "přejít (v-w4827f5)")</f>
        <v>přejít (v-w4827f5)</v>
      </c>
    </row>
    <row r="35282" spans="1:3" x14ac:dyDescent="0.2">
      <c r="B35282" t="s">
        <v>331</v>
      </c>
      <c r="C35282" t="s">
        <v>11489</v>
      </c>
    </row>
    <row r="35283" spans="1:3" x14ac:dyDescent="0.2">
      <c r="B35283" t="s">
        <v>205</v>
      </c>
      <c r="C35283" t="s">
        <v>11490</v>
      </c>
    </row>
    <row r="35285" spans="1:3" x14ac:dyDescent="0.2">
      <c r="A35285" t="s">
        <v>11491</v>
      </c>
      <c r="B35285" t="str">
        <f>HYPERLINK("https://lindat.mff.cuni.cz/services/teitok/pdtc10/index.php?action=vallex&amp;frame=v-w4827f8", "přejít (v-w4827f8)")</f>
        <v>přejít (v-w4827f8)</v>
      </c>
    </row>
    <row r="35286" spans="1:3" x14ac:dyDescent="0.2">
      <c r="B35286" t="s">
        <v>1</v>
      </c>
    </row>
    <row r="35287" spans="1:3" x14ac:dyDescent="0.2">
      <c r="B35287" t="s">
        <v>11492</v>
      </c>
    </row>
    <row r="35289" spans="1:3" x14ac:dyDescent="0.2">
      <c r="A35289" t="s">
        <v>11493</v>
      </c>
      <c r="B35289" t="str">
        <f>HYPERLINK("https://lindat.mff.cuni.cz/services/teitok/pdtc10/index.php?action=vallex&amp;frame=v-w11054f2", "přejíždět (v-w11054f2)")</f>
        <v>přejíždět (v-w11054f2)</v>
      </c>
    </row>
    <row r="35290" spans="1:3" x14ac:dyDescent="0.2">
      <c r="B35290" t="s">
        <v>1</v>
      </c>
    </row>
    <row r="35291" spans="1:3" x14ac:dyDescent="0.2">
      <c r="B35291" t="s">
        <v>8</v>
      </c>
    </row>
    <row r="35293" spans="1:3" x14ac:dyDescent="0.2">
      <c r="A35293" t="s">
        <v>11494</v>
      </c>
      <c r="B35293" t="str">
        <f>HYPERLINK("https://lindat.mff.cuni.cz/services/teitok/pdtc10/index.php?action=vallex&amp;frame=v-w11054f3_ZU", "přejíždět (v-w11054f3_ZU)")</f>
        <v>přejíždět (v-w11054f3_ZU)</v>
      </c>
    </row>
    <row r="35294" spans="1:3" x14ac:dyDescent="0.2">
      <c r="B35294" t="s">
        <v>1</v>
      </c>
    </row>
    <row r="35295" spans="1:3" x14ac:dyDescent="0.2">
      <c r="B35295" t="s">
        <v>333</v>
      </c>
    </row>
    <row r="35296" spans="1:3" x14ac:dyDescent="0.2">
      <c r="B35296" t="s">
        <v>90</v>
      </c>
    </row>
    <row r="35298" spans="1:2" x14ac:dyDescent="0.2">
      <c r="A35298" t="s">
        <v>11494</v>
      </c>
      <c r="B35298" t="str">
        <f>HYPERLINK("https://lindat.mff.cuni.cz/services/teitok/pdtc10/index.php?action=vallex&amp;frame=v-w11054hsa_785", "přejíždět (v-w11054hsa_785) - substituted with v-w11054f3_ZU")</f>
        <v>přejíždět (v-w11054hsa_785) - substituted with v-w11054f3_ZU</v>
      </c>
    </row>
    <row r="35299" spans="1:2" x14ac:dyDescent="0.2">
      <c r="B35299" t="s">
        <v>1</v>
      </c>
    </row>
    <row r="35300" spans="1:2" x14ac:dyDescent="0.2">
      <c r="B35300" t="s">
        <v>333</v>
      </c>
    </row>
    <row r="35301" spans="1:2" x14ac:dyDescent="0.2">
      <c r="B35301" t="s">
        <v>90</v>
      </c>
    </row>
    <row r="35303" spans="1:2" x14ac:dyDescent="0.2">
      <c r="A35303" t="s">
        <v>11495</v>
      </c>
      <c r="B35303" t="str">
        <f>HYPERLINK("https://lindat.mff.cuni.cz/services/teitok/pdtc10/index.php?action=vallex&amp;frame=v-w11054f4_ZU", "přejíždět (v-w11054f4_ZU)")</f>
        <v>přejíždět (v-w11054f4_ZU)</v>
      </c>
    </row>
    <row r="35304" spans="1:2" x14ac:dyDescent="0.2">
      <c r="B35304" t="s">
        <v>1</v>
      </c>
    </row>
    <row r="35305" spans="1:2" x14ac:dyDescent="0.2">
      <c r="B35305" t="s">
        <v>8</v>
      </c>
    </row>
    <row r="35307" spans="1:2" x14ac:dyDescent="0.2">
      <c r="A35307" t="s">
        <v>11495</v>
      </c>
      <c r="B35307" t="str">
        <f>HYPERLINK("https://lindat.mff.cuni.cz/services/teitok/pdtc10/index.php?action=vallex&amp;frame=v-w11054hsa_786", "přejíždět (v-w11054hsa_786) - substituted with v-w11054f4_ZU")</f>
        <v>přejíždět (v-w11054hsa_786) - substituted with v-w11054f4_ZU</v>
      </c>
    </row>
    <row r="35308" spans="1:2" x14ac:dyDescent="0.2">
      <c r="B35308" t="s">
        <v>1</v>
      </c>
    </row>
    <row r="35309" spans="1:2" x14ac:dyDescent="0.2">
      <c r="B35309" t="s">
        <v>8</v>
      </c>
    </row>
    <row r="35311" spans="1:2" x14ac:dyDescent="0.2">
      <c r="A35311" t="s">
        <v>11496</v>
      </c>
      <c r="B35311" t="str">
        <f>HYPERLINK("https://lindat.mff.cuni.cz/services/teitok/pdtc10/index.php?action=vallex&amp;frame=v-w11054hsa_784", "přejíždět (v-w11054hsa_784)")</f>
        <v>přejíždět (v-w11054hsa_784)</v>
      </c>
    </row>
    <row r="35312" spans="1:2" x14ac:dyDescent="0.2">
      <c r="B35312" t="s">
        <v>1</v>
      </c>
    </row>
    <row r="35313" spans="1:4" x14ac:dyDescent="0.2">
      <c r="B35313" t="s">
        <v>192</v>
      </c>
    </row>
    <row r="35315" spans="1:4" x14ac:dyDescent="0.2">
      <c r="A35315" t="s">
        <v>11497</v>
      </c>
      <c r="B35315" t="str">
        <f>HYPERLINK("https://lindat.mff.cuni.cz/services/teitok/pdtc10/index.php?action=vallex&amp;frame=v-w4831f1", "překazit (v-w4831f1)")</f>
        <v>překazit (v-w4831f1)</v>
      </c>
    </row>
    <row r="35316" spans="1:4" x14ac:dyDescent="0.2">
      <c r="B35316" t="s">
        <v>1</v>
      </c>
      <c r="C35316" t="s">
        <v>1106</v>
      </c>
      <c r="D35316" t="s">
        <v>22980</v>
      </c>
    </row>
    <row r="35317" spans="1:4" x14ac:dyDescent="0.2">
      <c r="B35317" t="s">
        <v>8</v>
      </c>
      <c r="C35317" t="s">
        <v>11498</v>
      </c>
      <c r="D35317" t="s">
        <v>22981</v>
      </c>
    </row>
    <row r="35318" spans="1:4" x14ac:dyDescent="0.2">
      <c r="B35318" t="s">
        <v>78</v>
      </c>
    </row>
    <row r="35320" spans="1:4" x14ac:dyDescent="0.2">
      <c r="A35320" t="s">
        <v>11499</v>
      </c>
      <c r="B35320" t="str">
        <f>HYPERLINK("https://lindat.mff.cuni.cz/services/teitok/pdtc10/index.php?action=vallex&amp;frame=v-w10504f2", "překlasifikovat (v-w10504f2)")</f>
        <v>překlasifikovat (v-w10504f2)</v>
      </c>
    </row>
    <row r="35321" spans="1:4" x14ac:dyDescent="0.2">
      <c r="B35321" t="s">
        <v>1</v>
      </c>
    </row>
    <row r="35322" spans="1:4" x14ac:dyDescent="0.2">
      <c r="B35322" t="s">
        <v>1693</v>
      </c>
    </row>
    <row r="35324" spans="1:4" x14ac:dyDescent="0.2">
      <c r="A35324" t="s">
        <v>11500</v>
      </c>
      <c r="B35324" t="str">
        <f>HYPERLINK("https://lindat.mff.cuni.cz/services/teitok/pdtc10/index.php?action=vallex&amp;frame=v-w10504hsa_855", "překlasifikovat (v-w10504hsa_855)")</f>
        <v>překlasifikovat (v-w10504hsa_855)</v>
      </c>
    </row>
    <row r="35325" spans="1:4" x14ac:dyDescent="0.2">
      <c r="B35325" t="s">
        <v>1</v>
      </c>
      <c r="C35325" t="s">
        <v>33</v>
      </c>
      <c r="D35325" t="s">
        <v>23876</v>
      </c>
    </row>
    <row r="35326" spans="1:4" x14ac:dyDescent="0.2">
      <c r="B35326" t="s">
        <v>8</v>
      </c>
      <c r="C35326" t="s">
        <v>34</v>
      </c>
      <c r="D35326" t="s">
        <v>23877</v>
      </c>
    </row>
    <row r="35327" spans="1:4" x14ac:dyDescent="0.2">
      <c r="B35327" t="s">
        <v>24</v>
      </c>
      <c r="D35327" t="s">
        <v>22946</v>
      </c>
    </row>
    <row r="35328" spans="1:4" x14ac:dyDescent="0.2">
      <c r="B35328" t="s">
        <v>61</v>
      </c>
      <c r="C35328" t="s">
        <v>1290</v>
      </c>
      <c r="D35328" t="s">
        <v>24011</v>
      </c>
    </row>
    <row r="35330" spans="1:4" x14ac:dyDescent="0.2">
      <c r="A35330" t="s">
        <v>11501</v>
      </c>
      <c r="B35330" t="str">
        <f>HYPERLINK("https://lindat.mff.cuni.cz/services/teitok/pdtc10/index.php?action=vallex&amp;frame=v-w4837f1", "překlenout (v-w4837f1)")</f>
        <v>překlenout (v-w4837f1)</v>
      </c>
    </row>
    <row r="35331" spans="1:4" x14ac:dyDescent="0.2">
      <c r="B35331" t="s">
        <v>1</v>
      </c>
      <c r="C35331" t="s">
        <v>4011</v>
      </c>
      <c r="D35331" t="s">
        <v>14822</v>
      </c>
    </row>
    <row r="35332" spans="1:4" x14ac:dyDescent="0.2">
      <c r="B35332" t="s">
        <v>8</v>
      </c>
      <c r="D35332" t="s">
        <v>23658</v>
      </c>
    </row>
    <row r="35334" spans="1:4" x14ac:dyDescent="0.2">
      <c r="A35334" t="s">
        <v>11502</v>
      </c>
      <c r="B35334" t="str">
        <f>HYPERLINK("https://lindat.mff.cuni.cz/services/teitok/pdtc10/index.php?action=vallex&amp;frame=v-w4837f2", "překlenout (v-w4837f2)")</f>
        <v>překlenout (v-w4837f2)</v>
      </c>
    </row>
    <row r="35335" spans="1:4" x14ac:dyDescent="0.2">
      <c r="B35335" t="s">
        <v>1</v>
      </c>
    </row>
    <row r="35336" spans="1:4" x14ac:dyDescent="0.2">
      <c r="B35336" t="s">
        <v>8</v>
      </c>
    </row>
    <row r="35338" spans="1:4" x14ac:dyDescent="0.2">
      <c r="A35338" t="s">
        <v>11503</v>
      </c>
      <c r="B35338" t="str">
        <f>HYPERLINK("https://lindat.mff.cuni.cz/services/teitok/pdtc10/index.php?action=vallex&amp;frame=v-w11943_ZUf1_ZU", "překlopit (v-w11943_ZUf1_ZU)")</f>
        <v>překlopit (v-w11943_ZUf1_ZU)</v>
      </c>
    </row>
    <row r="35339" spans="1:4" x14ac:dyDescent="0.2">
      <c r="B35339" t="s">
        <v>1</v>
      </c>
    </row>
    <row r="35340" spans="1:4" x14ac:dyDescent="0.2">
      <c r="B35340" t="s">
        <v>8</v>
      </c>
    </row>
    <row r="35342" spans="1:4" x14ac:dyDescent="0.2">
      <c r="A35342" t="s">
        <v>11504</v>
      </c>
      <c r="B35342" t="str">
        <f>HYPERLINK("https://lindat.mff.cuni.cz/services/teitok/pdtc10/index.php?action=vallex&amp;frame=v-w4836f1", "překládat (v-w4836f1)")</f>
        <v>překládat (v-w4836f1)</v>
      </c>
    </row>
    <row r="35343" spans="1:4" x14ac:dyDescent="0.2">
      <c r="B35343" t="s">
        <v>1</v>
      </c>
    </row>
    <row r="35344" spans="1:4" x14ac:dyDescent="0.2">
      <c r="B35344" t="s">
        <v>8</v>
      </c>
    </row>
    <row r="35345" spans="1:4" x14ac:dyDescent="0.2">
      <c r="B35345" t="s">
        <v>24</v>
      </c>
    </row>
    <row r="35346" spans="1:4" x14ac:dyDescent="0.2">
      <c r="B35346" t="s">
        <v>130</v>
      </c>
    </row>
    <row r="35348" spans="1:4" x14ac:dyDescent="0.2">
      <c r="A35348" t="s">
        <v>11505</v>
      </c>
      <c r="B35348" t="str">
        <f>HYPERLINK("https://lindat.mff.cuni.cz/services/teitok/pdtc10/index.php?action=vallex&amp;frame=v-w11271f1", "překlápět se (v-w11271f1)")</f>
        <v>překlápět se (v-w11271f1)</v>
      </c>
    </row>
    <row r="35349" spans="1:4" x14ac:dyDescent="0.2">
      <c r="B35349" t="s">
        <v>1</v>
      </c>
    </row>
    <row r="35351" spans="1:4" x14ac:dyDescent="0.2">
      <c r="A35351" t="s">
        <v>11506</v>
      </c>
      <c r="B35351" t="str">
        <f>HYPERLINK("https://lindat.mff.cuni.cz/services/teitok/pdtc10/index.php?action=vallex&amp;frame=v-w4840f1", "překonat (v-w4840f1)")</f>
        <v>překonat (v-w4840f1)</v>
      </c>
    </row>
    <row r="35352" spans="1:4" x14ac:dyDescent="0.2">
      <c r="B35352" t="s">
        <v>1</v>
      </c>
      <c r="C35352" t="s">
        <v>11507</v>
      </c>
      <c r="D35352" t="s">
        <v>14822</v>
      </c>
    </row>
    <row r="35353" spans="1:4" x14ac:dyDescent="0.2">
      <c r="B35353" t="s">
        <v>8</v>
      </c>
      <c r="C35353" t="s">
        <v>11508</v>
      </c>
      <c r="D35353" t="s">
        <v>23658</v>
      </c>
    </row>
    <row r="35355" spans="1:4" x14ac:dyDescent="0.2">
      <c r="A35355" t="s">
        <v>11509</v>
      </c>
      <c r="B35355" t="str">
        <f>HYPERLINK("https://lindat.mff.cuni.cz/services/teitok/pdtc10/index.php?action=vallex&amp;frame=v-w4840f2_ZU", "překonat (v-w4840f2_ZU)")</f>
        <v>překonat (v-w4840f2_ZU)</v>
      </c>
    </row>
    <row r="35356" spans="1:4" x14ac:dyDescent="0.2">
      <c r="B35356" t="s">
        <v>1</v>
      </c>
      <c r="C35356" t="s">
        <v>154</v>
      </c>
      <c r="D35356" t="s">
        <v>14822</v>
      </c>
    </row>
    <row r="35357" spans="1:4" x14ac:dyDescent="0.2">
      <c r="B35357" t="s">
        <v>8</v>
      </c>
      <c r="C35357" t="s">
        <v>11510</v>
      </c>
      <c r="D35357" t="s">
        <v>23658</v>
      </c>
    </row>
    <row r="35359" spans="1:4" x14ac:dyDescent="0.2">
      <c r="A35359" t="s">
        <v>11511</v>
      </c>
      <c r="B35359" t="str">
        <f>HYPERLINK("https://lindat.mff.cuni.cz/services/teitok/pdtc10/index.php?action=vallex&amp;frame=v-w4840f3_ZU", "překonat (v-w4840f3_ZU)")</f>
        <v>překonat (v-w4840f3_ZU)</v>
      </c>
    </row>
    <row r="35360" spans="1:4" x14ac:dyDescent="0.2">
      <c r="B35360" t="s">
        <v>1</v>
      </c>
      <c r="C35360" t="s">
        <v>2749</v>
      </c>
      <c r="D35360" t="s">
        <v>24012</v>
      </c>
    </row>
    <row r="35361" spans="1:4" x14ac:dyDescent="0.2">
      <c r="B35361" t="s">
        <v>8</v>
      </c>
      <c r="C35361" t="s">
        <v>11512</v>
      </c>
      <c r="D35361" t="s">
        <v>24013</v>
      </c>
    </row>
    <row r="35363" spans="1:4" x14ac:dyDescent="0.2">
      <c r="A35363" t="s">
        <v>11513</v>
      </c>
      <c r="B35363" t="str">
        <f>HYPERLINK("https://lindat.mff.cuni.cz/services/teitok/pdtc10/index.php?action=vallex&amp;frame=v-w4841f1", "překonat se (v-w4841f1)")</f>
        <v>překonat se (v-w4841f1)</v>
      </c>
    </row>
    <row r="35364" spans="1:4" x14ac:dyDescent="0.2">
      <c r="B35364" t="s">
        <v>1</v>
      </c>
    </row>
    <row r="35366" spans="1:4" x14ac:dyDescent="0.2">
      <c r="A35366" t="s">
        <v>11514</v>
      </c>
      <c r="B35366" t="str">
        <f>HYPERLINK("https://lindat.mff.cuni.cz/services/teitok/pdtc10/index.php?action=vallex&amp;frame=v-w10242f2", "překontrolovat (v-w10242f2)")</f>
        <v>překontrolovat (v-w10242f2)</v>
      </c>
    </row>
    <row r="35367" spans="1:4" x14ac:dyDescent="0.2">
      <c r="B35367" t="s">
        <v>1</v>
      </c>
    </row>
    <row r="35368" spans="1:4" x14ac:dyDescent="0.2">
      <c r="B35368" t="s">
        <v>11515</v>
      </c>
    </row>
    <row r="35370" spans="1:4" x14ac:dyDescent="0.2">
      <c r="A35370" t="s">
        <v>11516</v>
      </c>
      <c r="B35370" t="str">
        <f>HYPERLINK("https://lindat.mff.cuni.cz/services/teitok/pdtc10/index.php?action=vallex&amp;frame=v-w4843f1", "překonávat (v-w4843f1)")</f>
        <v>překonávat (v-w4843f1)</v>
      </c>
    </row>
    <row r="35371" spans="1:4" x14ac:dyDescent="0.2">
      <c r="B35371" t="s">
        <v>1</v>
      </c>
      <c r="C35371" t="s">
        <v>9332</v>
      </c>
      <c r="D35371" t="s">
        <v>24014</v>
      </c>
    </row>
    <row r="35372" spans="1:4" x14ac:dyDescent="0.2">
      <c r="B35372" t="s">
        <v>8</v>
      </c>
      <c r="C35372" t="s">
        <v>11517</v>
      </c>
      <c r="D35372" t="s">
        <v>24015</v>
      </c>
    </row>
    <row r="35374" spans="1:4" x14ac:dyDescent="0.2">
      <c r="A35374" t="s">
        <v>11518</v>
      </c>
      <c r="B35374" t="str">
        <f>HYPERLINK("https://lindat.mff.cuni.cz/services/teitok/pdtc10/index.php?action=vallex&amp;frame=v-w4844f1", "překonávat se (v-w4844f1)")</f>
        <v>překonávat se (v-w4844f1)</v>
      </c>
    </row>
    <row r="35375" spans="1:4" x14ac:dyDescent="0.2">
      <c r="B35375" t="s">
        <v>1</v>
      </c>
    </row>
    <row r="35377" spans="1:4" x14ac:dyDescent="0.2">
      <c r="A35377" t="s">
        <v>11519</v>
      </c>
      <c r="B35377" t="str">
        <f>HYPERLINK("https://lindat.mff.cuni.cz/services/teitok/pdtc10/index.php?action=vallex&amp;frame=v-w4845f1", "překopnout (v-w4845f1)")</f>
        <v>překopnout (v-w4845f1)</v>
      </c>
    </row>
    <row r="35378" spans="1:4" x14ac:dyDescent="0.2">
      <c r="B35378" t="s">
        <v>1</v>
      </c>
    </row>
    <row r="35379" spans="1:4" x14ac:dyDescent="0.2">
      <c r="B35379" t="s">
        <v>8</v>
      </c>
    </row>
    <row r="35381" spans="1:4" x14ac:dyDescent="0.2">
      <c r="A35381" t="s">
        <v>11520</v>
      </c>
      <c r="B35381" t="str">
        <f>HYPERLINK("https://lindat.mff.cuni.cz/services/teitok/pdtc10/index.php?action=vallex&amp;frame=v-w4845f2", "překopnout (v-w4845f2)")</f>
        <v>překopnout (v-w4845f2)</v>
      </c>
    </row>
    <row r="35382" spans="1:4" x14ac:dyDescent="0.2">
      <c r="B35382" t="s">
        <v>1</v>
      </c>
    </row>
    <row r="35383" spans="1:4" x14ac:dyDescent="0.2">
      <c r="B35383" t="s">
        <v>8</v>
      </c>
    </row>
    <row r="35385" spans="1:4" x14ac:dyDescent="0.2">
      <c r="A35385" t="s">
        <v>11521</v>
      </c>
      <c r="B35385" t="str">
        <f>HYPERLINK("https://lindat.mff.cuni.cz/services/teitok/pdtc10/index.php?action=vallex&amp;frame=v-w4846f1", "překousnout (v-w4846f1)")</f>
        <v>překousnout (v-w4846f1)</v>
      </c>
    </row>
    <row r="35386" spans="1:4" x14ac:dyDescent="0.2">
      <c r="B35386" t="s">
        <v>1</v>
      </c>
      <c r="C35386" t="s">
        <v>133</v>
      </c>
    </row>
    <row r="35387" spans="1:4" x14ac:dyDescent="0.2">
      <c r="B35387" t="s">
        <v>8</v>
      </c>
      <c r="C35387" t="s">
        <v>23</v>
      </c>
    </row>
    <row r="35389" spans="1:4" x14ac:dyDescent="0.2">
      <c r="A35389" t="s">
        <v>11522</v>
      </c>
      <c r="B35389" t="str">
        <f>HYPERLINK("https://lindat.mff.cuni.cz/services/teitok/pdtc10/index.php?action=vallex&amp;frame=v-w4848f1", "překračovat (v-w4848f1)")</f>
        <v>překračovat (v-w4848f1)</v>
      </c>
    </row>
    <row r="35390" spans="1:4" x14ac:dyDescent="0.2">
      <c r="B35390" t="s">
        <v>1</v>
      </c>
      <c r="C35390" t="s">
        <v>8467</v>
      </c>
      <c r="D35390" t="s">
        <v>24012</v>
      </c>
    </row>
    <row r="35391" spans="1:4" x14ac:dyDescent="0.2">
      <c r="B35391" t="s">
        <v>8</v>
      </c>
      <c r="C35391" t="s">
        <v>11523</v>
      </c>
      <c r="D35391" t="s">
        <v>24013</v>
      </c>
    </row>
    <row r="35393" spans="1:4" x14ac:dyDescent="0.2">
      <c r="A35393" t="s">
        <v>11524</v>
      </c>
      <c r="B35393" t="str">
        <f>HYPERLINK("https://lindat.mff.cuni.cz/services/teitok/pdtc10/index.php?action=vallex&amp;frame=v-w4848hsa_572", "překračovat (v-w4848hsa_572)")</f>
        <v>překračovat (v-w4848hsa_572)</v>
      </c>
    </row>
    <row r="35394" spans="1:4" x14ac:dyDescent="0.2">
      <c r="B35394" t="s">
        <v>1</v>
      </c>
      <c r="C35394" t="s">
        <v>2168</v>
      </c>
      <c r="D35394" t="s">
        <v>24012</v>
      </c>
    </row>
    <row r="35395" spans="1:4" x14ac:dyDescent="0.2">
      <c r="B35395" t="s">
        <v>8</v>
      </c>
      <c r="C35395" t="s">
        <v>11525</v>
      </c>
      <c r="D35395" t="s">
        <v>24013</v>
      </c>
    </row>
    <row r="35397" spans="1:4" x14ac:dyDescent="0.2">
      <c r="A35397" t="s">
        <v>11526</v>
      </c>
      <c r="B35397" t="str">
        <f>HYPERLINK("https://lindat.mff.cuni.cz/services/teitok/pdtc10/index.php?action=vallex&amp;frame=v-w4848hsa_573", "překračovat (v-w4848hsa_573)")</f>
        <v>překračovat (v-w4848hsa_573)</v>
      </c>
    </row>
    <row r="35398" spans="1:4" x14ac:dyDescent="0.2">
      <c r="B35398" t="s">
        <v>1</v>
      </c>
      <c r="C35398" t="s">
        <v>334</v>
      </c>
      <c r="D35398" t="s">
        <v>24012</v>
      </c>
    </row>
    <row r="35399" spans="1:4" x14ac:dyDescent="0.2">
      <c r="B35399" t="s">
        <v>8</v>
      </c>
      <c r="C35399" t="s">
        <v>1025</v>
      </c>
      <c r="D35399" t="s">
        <v>24013</v>
      </c>
    </row>
    <row r="35401" spans="1:4" x14ac:dyDescent="0.2">
      <c r="A35401" t="s">
        <v>11527</v>
      </c>
      <c r="B35401" t="str">
        <f>HYPERLINK("https://lindat.mff.cuni.cz/services/teitok/pdtc10/index.php?action=vallex&amp;frame=v-w4848f2_ZU", "překračovat (v-w4848f2_ZU)")</f>
        <v>překračovat (v-w4848f2_ZU)</v>
      </c>
    </row>
    <row r="35402" spans="1:4" x14ac:dyDescent="0.2">
      <c r="B35402" t="s">
        <v>1</v>
      </c>
    </row>
    <row r="35403" spans="1:4" x14ac:dyDescent="0.2">
      <c r="B35403" t="s">
        <v>8</v>
      </c>
    </row>
    <row r="35405" spans="1:4" x14ac:dyDescent="0.2">
      <c r="A35405" t="s">
        <v>11528</v>
      </c>
      <c r="B35405" t="str">
        <f>HYPERLINK("https://lindat.mff.cuni.cz/services/teitok/pdtc10/index.php?action=vallex&amp;frame=v-w4849f1", "překreslovat (v-w4849f1)")</f>
        <v>překreslovat (v-w4849f1)</v>
      </c>
    </row>
    <row r="35406" spans="1:4" x14ac:dyDescent="0.2">
      <c r="B35406" t="s">
        <v>1</v>
      </c>
    </row>
    <row r="35407" spans="1:4" x14ac:dyDescent="0.2">
      <c r="B35407" t="s">
        <v>8</v>
      </c>
    </row>
    <row r="35409" spans="1:4" x14ac:dyDescent="0.2">
      <c r="A35409" t="s">
        <v>11529</v>
      </c>
      <c r="B35409" t="str">
        <f>HYPERLINK("https://lindat.mff.cuni.cz/services/teitok/pdtc10/index.php?action=vallex&amp;frame=v-w4850f1", "překrmovat (v-w4850f1)")</f>
        <v>překrmovat (v-w4850f1)</v>
      </c>
    </row>
    <row r="35410" spans="1:4" x14ac:dyDescent="0.2">
      <c r="B35410" t="s">
        <v>1</v>
      </c>
    </row>
    <row r="35411" spans="1:4" x14ac:dyDescent="0.2">
      <c r="B35411" t="s">
        <v>8</v>
      </c>
    </row>
    <row r="35413" spans="1:4" x14ac:dyDescent="0.2">
      <c r="A35413" t="s">
        <v>11530</v>
      </c>
      <c r="B35413" t="str">
        <f>HYPERLINK("https://lindat.mff.cuni.cz/services/teitok/pdtc10/index.php?action=vallex&amp;frame=v-w4854f1", "překroutit (v-w4854f1)")</f>
        <v>překroutit (v-w4854f1)</v>
      </c>
    </row>
    <row r="35414" spans="1:4" x14ac:dyDescent="0.2">
      <c r="B35414" t="s">
        <v>1</v>
      </c>
      <c r="C35414" t="s">
        <v>430</v>
      </c>
      <c r="D35414" t="s">
        <v>1065</v>
      </c>
    </row>
    <row r="35415" spans="1:4" x14ac:dyDescent="0.2">
      <c r="B35415" t="s">
        <v>41</v>
      </c>
      <c r="C35415" t="s">
        <v>1044</v>
      </c>
      <c r="D35415" t="s">
        <v>2235</v>
      </c>
    </row>
    <row r="35417" spans="1:4" x14ac:dyDescent="0.2">
      <c r="A35417" t="s">
        <v>11531</v>
      </c>
      <c r="B35417" t="str">
        <f>HYPERLINK("https://lindat.mff.cuni.cz/services/teitok/pdtc10/index.php?action=vallex&amp;frame=v-w4852f1", "překročit (v-w4852f1)")</f>
        <v>překročit (v-w4852f1)</v>
      </c>
    </row>
    <row r="35418" spans="1:4" x14ac:dyDescent="0.2">
      <c r="B35418" t="s">
        <v>1</v>
      </c>
      <c r="C35418" t="s">
        <v>11532</v>
      </c>
      <c r="D35418" t="s">
        <v>24012</v>
      </c>
    </row>
    <row r="35419" spans="1:4" x14ac:dyDescent="0.2">
      <c r="B35419" t="s">
        <v>8</v>
      </c>
      <c r="C35419" t="s">
        <v>11533</v>
      </c>
      <c r="D35419" t="s">
        <v>24013</v>
      </c>
    </row>
    <row r="35421" spans="1:4" x14ac:dyDescent="0.2">
      <c r="A35421" t="s">
        <v>11534</v>
      </c>
      <c r="B35421" t="str">
        <f>HYPERLINK("https://lindat.mff.cuni.cz/services/teitok/pdtc10/index.php?action=vallex&amp;frame=v-w4852f2", "překročit (v-w4852f2)")</f>
        <v>překročit (v-w4852f2)</v>
      </c>
    </row>
    <row r="35422" spans="1:4" x14ac:dyDescent="0.2">
      <c r="B35422" t="s">
        <v>1</v>
      </c>
      <c r="C35422" t="s">
        <v>11535</v>
      </c>
      <c r="D35422" t="s">
        <v>24012</v>
      </c>
    </row>
    <row r="35423" spans="1:4" x14ac:dyDescent="0.2">
      <c r="B35423" t="s">
        <v>8</v>
      </c>
      <c r="C35423" t="s">
        <v>11536</v>
      </c>
      <c r="D35423" t="s">
        <v>24013</v>
      </c>
    </row>
    <row r="35425" spans="1:4" x14ac:dyDescent="0.2">
      <c r="A35425" t="s">
        <v>11537</v>
      </c>
      <c r="B35425" t="str">
        <f>HYPERLINK("https://lindat.mff.cuni.cz/services/teitok/pdtc10/index.php?action=vallex&amp;frame=v-w4852hsa_1958", "překročit (v-w4852hsa_1958)")</f>
        <v>překročit (v-w4852hsa_1958)</v>
      </c>
    </row>
    <row r="35426" spans="1:4" x14ac:dyDescent="0.2">
      <c r="B35426" t="s">
        <v>1</v>
      </c>
    </row>
    <row r="35427" spans="1:4" x14ac:dyDescent="0.2">
      <c r="B35427" t="s">
        <v>8</v>
      </c>
    </row>
    <row r="35429" spans="1:4" x14ac:dyDescent="0.2">
      <c r="A35429" t="s">
        <v>11538</v>
      </c>
      <c r="B35429" t="str">
        <f>HYPERLINK("https://lindat.mff.cuni.cz/services/teitok/pdtc10/index.php?action=vallex&amp;frame=v-w10708f2", "překrucovat (v-w10708f2)")</f>
        <v>překrucovat (v-w10708f2)</v>
      </c>
    </row>
    <row r="35430" spans="1:4" x14ac:dyDescent="0.2">
      <c r="B35430" t="s">
        <v>1</v>
      </c>
      <c r="C35430" t="s">
        <v>430</v>
      </c>
      <c r="D35430" t="s">
        <v>1065</v>
      </c>
    </row>
    <row r="35431" spans="1:4" x14ac:dyDescent="0.2">
      <c r="B35431" t="s">
        <v>8</v>
      </c>
      <c r="C35431" t="s">
        <v>1340</v>
      </c>
      <c r="D35431" t="s">
        <v>2235</v>
      </c>
    </row>
    <row r="35433" spans="1:4" x14ac:dyDescent="0.2">
      <c r="A35433" t="s">
        <v>11539</v>
      </c>
      <c r="B35433" t="str">
        <f>HYPERLINK("https://lindat.mff.cuni.cz/services/teitok/pdtc10/index.php?action=vallex&amp;frame=v-w4856f1", "překrýt (v-w4856f1)")</f>
        <v>překrýt (v-w4856f1)</v>
      </c>
    </row>
    <row r="35434" spans="1:4" x14ac:dyDescent="0.2">
      <c r="B35434" t="s">
        <v>1</v>
      </c>
    </row>
    <row r="35435" spans="1:4" x14ac:dyDescent="0.2">
      <c r="B35435" t="s">
        <v>41</v>
      </c>
    </row>
    <row r="35437" spans="1:4" x14ac:dyDescent="0.2">
      <c r="A35437" t="s">
        <v>11540</v>
      </c>
      <c r="B35437" t="str">
        <f>HYPERLINK("https://lindat.mff.cuni.cz/services/teitok/pdtc10/index.php?action=vallex&amp;frame=v-w4856f2", "překrýt (v-w4856f2)")</f>
        <v>překrýt (v-w4856f2)</v>
      </c>
    </row>
    <row r="35438" spans="1:4" x14ac:dyDescent="0.2">
      <c r="B35438" t="s">
        <v>1</v>
      </c>
    </row>
    <row r="35439" spans="1:4" x14ac:dyDescent="0.2">
      <c r="B35439" t="s">
        <v>8</v>
      </c>
    </row>
    <row r="35441" spans="1:4" x14ac:dyDescent="0.2">
      <c r="A35441" t="s">
        <v>11541</v>
      </c>
      <c r="B35441" t="str">
        <f>HYPERLINK("https://lindat.mff.cuni.cz/services/teitok/pdtc10/index.php?action=vallex&amp;frame=v-w4856f3_ZU", "překrýt (v-w4856f3_ZU)")</f>
        <v>překrýt (v-w4856f3_ZU)</v>
      </c>
    </row>
    <row r="35442" spans="1:4" x14ac:dyDescent="0.2">
      <c r="B35442" t="s">
        <v>1</v>
      </c>
    </row>
    <row r="35443" spans="1:4" x14ac:dyDescent="0.2">
      <c r="B35443" t="s">
        <v>8</v>
      </c>
    </row>
    <row r="35445" spans="1:4" x14ac:dyDescent="0.2">
      <c r="A35445" t="s">
        <v>11542</v>
      </c>
      <c r="B35445" t="str">
        <f>HYPERLINK("https://lindat.mff.cuni.cz/services/teitok/pdtc10/index.php?action=vallex&amp;frame=v-w10338f3", "překrývat (v-w10338f3)")</f>
        <v>překrývat (v-w10338f3)</v>
      </c>
    </row>
    <row r="35446" spans="1:4" x14ac:dyDescent="0.2">
      <c r="B35446" t="s">
        <v>1</v>
      </c>
      <c r="D35446" t="s">
        <v>20911</v>
      </c>
    </row>
    <row r="35447" spans="1:4" x14ac:dyDescent="0.2">
      <c r="B35447" t="s">
        <v>41</v>
      </c>
      <c r="D35447" t="s">
        <v>354</v>
      </c>
    </row>
    <row r="35449" spans="1:4" x14ac:dyDescent="0.2">
      <c r="A35449" t="s">
        <v>11543</v>
      </c>
      <c r="B35449" t="str">
        <f>HYPERLINK("https://lindat.mff.cuni.cz/services/teitok/pdtc10/index.php?action=vallex&amp;frame=v-w10338f2", "překrývat (v-w10338f2)")</f>
        <v>překrývat (v-w10338f2)</v>
      </c>
    </row>
    <row r="35450" spans="1:4" x14ac:dyDescent="0.2">
      <c r="B35450" t="s">
        <v>1</v>
      </c>
      <c r="D35450" t="s">
        <v>20911</v>
      </c>
    </row>
    <row r="35451" spans="1:4" x14ac:dyDescent="0.2">
      <c r="B35451" t="s">
        <v>8</v>
      </c>
      <c r="D35451" t="s">
        <v>354</v>
      </c>
    </row>
    <row r="35453" spans="1:4" x14ac:dyDescent="0.2">
      <c r="A35453" t="s">
        <v>11544</v>
      </c>
      <c r="B35453" t="str">
        <f>HYPERLINK("https://lindat.mff.cuni.cz/services/teitok/pdtc10/index.php?action=vallex&amp;frame=v-w11289f1", "překrývat se (v-w11289f1)")</f>
        <v>překrývat se (v-w11289f1)</v>
      </c>
    </row>
    <row r="35454" spans="1:4" x14ac:dyDescent="0.2">
      <c r="B35454" t="s">
        <v>1</v>
      </c>
      <c r="C35454" t="s">
        <v>249</v>
      </c>
      <c r="D35454" t="s">
        <v>13744</v>
      </c>
    </row>
    <row r="35455" spans="1:4" x14ac:dyDescent="0.2">
      <c r="B35455" t="s">
        <v>411</v>
      </c>
      <c r="C35455" t="s">
        <v>113</v>
      </c>
      <c r="D35455" t="s">
        <v>84</v>
      </c>
    </row>
    <row r="35457" spans="1:4" x14ac:dyDescent="0.2">
      <c r="A35457" t="s">
        <v>11545</v>
      </c>
      <c r="B35457" t="str">
        <f>HYPERLINK("https://lindat.mff.cuni.cz/services/teitok/pdtc10/index.php?action=vallex&amp;frame=v-w11298f3", "překulit se (v-w11298f3)")</f>
        <v>překulit se (v-w11298f3)</v>
      </c>
    </row>
    <row r="35458" spans="1:4" x14ac:dyDescent="0.2">
      <c r="B35458" t="s">
        <v>1</v>
      </c>
      <c r="C35458" t="s">
        <v>140</v>
      </c>
    </row>
    <row r="35459" spans="1:4" x14ac:dyDescent="0.2">
      <c r="B35459" t="s">
        <v>205</v>
      </c>
      <c r="C35459" t="s">
        <v>1713</v>
      </c>
    </row>
    <row r="35461" spans="1:4" x14ac:dyDescent="0.2">
      <c r="A35461" t="s">
        <v>11546</v>
      </c>
      <c r="B35461" t="str">
        <f>HYPERLINK("https://lindat.mff.cuni.cz/services/teitok/pdtc10/index.php?action=vallex&amp;frame=v-w11298f2", "překulit se (v-w11298f2)")</f>
        <v>překulit se (v-w11298f2)</v>
      </c>
    </row>
    <row r="35462" spans="1:4" x14ac:dyDescent="0.2">
      <c r="B35462" t="s">
        <v>1</v>
      </c>
      <c r="C35462" t="s">
        <v>147</v>
      </c>
    </row>
    <row r="35463" spans="1:4" x14ac:dyDescent="0.2">
      <c r="B35463" t="s">
        <v>90</v>
      </c>
    </row>
    <row r="35465" spans="1:4" x14ac:dyDescent="0.2">
      <c r="A35465" t="s">
        <v>11547</v>
      </c>
      <c r="B35465" t="str">
        <f>HYPERLINK("https://lindat.mff.cuni.cz/services/teitok/pdtc10/index.php?action=vallex&amp;frame=v-w4862f1", "překvapit (v-w4862f1)")</f>
        <v>překvapit (v-w4862f1)</v>
      </c>
    </row>
    <row r="35466" spans="1:4" x14ac:dyDescent="0.2">
      <c r="B35466" t="s">
        <v>7753</v>
      </c>
      <c r="C35466" t="s">
        <v>11548</v>
      </c>
      <c r="D35466" t="s">
        <v>23698</v>
      </c>
    </row>
    <row r="35467" spans="1:4" x14ac:dyDescent="0.2">
      <c r="B35467" t="s">
        <v>8</v>
      </c>
      <c r="C35467" t="s">
        <v>11549</v>
      </c>
      <c r="D35467" t="s">
        <v>23699</v>
      </c>
    </row>
    <row r="35469" spans="1:4" x14ac:dyDescent="0.2">
      <c r="A35469" t="s">
        <v>11550</v>
      </c>
      <c r="B35469" t="str">
        <f>HYPERLINK("https://lindat.mff.cuni.cz/services/teitok/pdtc10/index.php?action=vallex&amp;frame=v-w4862f3_ZU", "překvapit (v-w4862f3_ZU)")</f>
        <v>překvapit (v-w4862f3_ZU)</v>
      </c>
    </row>
    <row r="35470" spans="1:4" x14ac:dyDescent="0.2">
      <c r="B35470" t="s">
        <v>1</v>
      </c>
    </row>
    <row r="35471" spans="1:4" x14ac:dyDescent="0.2">
      <c r="B35471" t="s">
        <v>8</v>
      </c>
    </row>
    <row r="35473" spans="1:4" x14ac:dyDescent="0.2">
      <c r="A35473" t="s">
        <v>11550</v>
      </c>
      <c r="B35473" t="str">
        <f>HYPERLINK("https://lindat.mff.cuni.cz/services/teitok/pdtc10/index.php?action=vallex&amp;frame=v-w4862f2", "překvapit (v-w4862f2) - substituted with v-w4862f3_ZU")</f>
        <v>překvapit (v-w4862f2) - substituted with v-w4862f3_ZU</v>
      </c>
    </row>
    <row r="35474" spans="1:4" x14ac:dyDescent="0.2">
      <c r="B35474" t="s">
        <v>1</v>
      </c>
    </row>
    <row r="35475" spans="1:4" x14ac:dyDescent="0.2">
      <c r="B35475" t="s">
        <v>8</v>
      </c>
    </row>
    <row r="35477" spans="1:4" x14ac:dyDescent="0.2">
      <c r="A35477" t="s">
        <v>11551</v>
      </c>
      <c r="B35477" t="str">
        <f>HYPERLINK("https://lindat.mff.cuni.cz/services/teitok/pdtc10/index.php?action=vallex&amp;frame=v-w4863f1", "překvapovat (v-w4863f1)")</f>
        <v>překvapovat (v-w4863f1)</v>
      </c>
    </row>
    <row r="35478" spans="1:4" x14ac:dyDescent="0.2">
      <c r="B35478" t="s">
        <v>7753</v>
      </c>
      <c r="C35478" t="s">
        <v>11552</v>
      </c>
      <c r="D35478" t="s">
        <v>23698</v>
      </c>
    </row>
    <row r="35479" spans="1:4" x14ac:dyDescent="0.2">
      <c r="B35479" t="s">
        <v>8</v>
      </c>
      <c r="C35479" t="s">
        <v>11553</v>
      </c>
      <c r="D35479" t="s">
        <v>23699</v>
      </c>
    </row>
    <row r="35481" spans="1:4" x14ac:dyDescent="0.2">
      <c r="A35481" t="s">
        <v>11554</v>
      </c>
      <c r="B35481" t="str">
        <f>HYPERLINK("https://lindat.mff.cuni.cz/services/teitok/pdtc10/index.php?action=vallex&amp;frame=v-w4863f2", "překvapovat (v-w4863f2)")</f>
        <v>překvapovat (v-w4863f2)</v>
      </c>
    </row>
    <row r="35482" spans="1:4" x14ac:dyDescent="0.2">
      <c r="B35482" t="s">
        <v>1</v>
      </c>
    </row>
    <row r="35483" spans="1:4" x14ac:dyDescent="0.2">
      <c r="B35483" t="s">
        <v>8</v>
      </c>
    </row>
    <row r="35485" spans="1:4" x14ac:dyDescent="0.2">
      <c r="A35485" t="s">
        <v>11555</v>
      </c>
      <c r="B35485" t="str">
        <f>HYPERLINK("https://lindat.mff.cuni.cz/services/teitok/pdtc10/index.php?action=vallex&amp;frame=v-w10940f2", "překypovat (v-w10940f2)")</f>
        <v>překypovat (v-w10940f2)</v>
      </c>
    </row>
    <row r="35486" spans="1:4" x14ac:dyDescent="0.2">
      <c r="B35486" t="s">
        <v>1</v>
      </c>
      <c r="C35486" t="s">
        <v>2698</v>
      </c>
      <c r="D35486" t="s">
        <v>2698</v>
      </c>
    </row>
    <row r="35487" spans="1:4" x14ac:dyDescent="0.2">
      <c r="B35487" t="s">
        <v>158</v>
      </c>
      <c r="C35487" t="s">
        <v>1331</v>
      </c>
      <c r="D35487" t="s">
        <v>1331</v>
      </c>
    </row>
    <row r="35489" spans="1:3" x14ac:dyDescent="0.2">
      <c r="A35489" t="s">
        <v>11556</v>
      </c>
      <c r="B35489" t="str">
        <f>HYPERLINK("https://lindat.mff.cuni.cz/services/teitok/pdtc10/index.php?action=vallex&amp;frame=v-w10940f3", "překypovat (v-w10940f3)")</f>
        <v>překypovat (v-w10940f3)</v>
      </c>
    </row>
    <row r="35490" spans="1:3" x14ac:dyDescent="0.2">
      <c r="B35490" t="s">
        <v>1</v>
      </c>
    </row>
    <row r="35491" spans="1:3" x14ac:dyDescent="0.2">
      <c r="B35491" t="s">
        <v>3091</v>
      </c>
    </row>
    <row r="35493" spans="1:3" x14ac:dyDescent="0.2">
      <c r="A35493" t="s">
        <v>11557</v>
      </c>
      <c r="B35493" t="str">
        <f>HYPERLINK("https://lindat.mff.cuni.cz/services/teitok/pdtc10/index.php?action=vallex&amp;frame=v-w10586f2", "překypět (v-w10586f2)")</f>
        <v>překypět (v-w10586f2)</v>
      </c>
    </row>
    <row r="35494" spans="1:3" x14ac:dyDescent="0.2">
      <c r="B35494" t="s">
        <v>1</v>
      </c>
    </row>
    <row r="35496" spans="1:3" x14ac:dyDescent="0.2">
      <c r="A35496" t="s">
        <v>11558</v>
      </c>
      <c r="B35496" t="str">
        <f>HYPERLINK("https://lindat.mff.cuni.cz/services/teitok/pdtc10/index.php?action=vallex&amp;frame=v-w4832f3_ZU", "překážet (v-w4832f3_ZU)")</f>
        <v>překážet (v-w4832f3_ZU)</v>
      </c>
    </row>
    <row r="35497" spans="1:3" x14ac:dyDescent="0.2">
      <c r="B35497" t="s">
        <v>1</v>
      </c>
    </row>
    <row r="35498" spans="1:3" x14ac:dyDescent="0.2">
      <c r="B35498" t="s">
        <v>11559</v>
      </c>
    </row>
    <row r="35499" spans="1:3" x14ac:dyDescent="0.2">
      <c r="B35499" t="s">
        <v>78</v>
      </c>
    </row>
    <row r="35501" spans="1:3" x14ac:dyDescent="0.2">
      <c r="A35501" t="s">
        <v>11558</v>
      </c>
      <c r="B35501" t="str">
        <f>HYPERLINK("https://lindat.mff.cuni.cz/services/teitok/pdtc10/index.php?action=vallex&amp;frame=v-w4832f1", "překážet (v-w4832f1) - substituted with v-w4832f3_ZU")</f>
        <v>překážet (v-w4832f1) - substituted with v-w4832f3_ZU</v>
      </c>
    </row>
    <row r="35502" spans="1:3" x14ac:dyDescent="0.2">
      <c r="B35502" t="s">
        <v>1</v>
      </c>
      <c r="C35502" t="s">
        <v>1065</v>
      </c>
    </row>
    <row r="35503" spans="1:3" x14ac:dyDescent="0.2">
      <c r="B35503" t="s">
        <v>11559</v>
      </c>
      <c r="C35503" t="s">
        <v>11560</v>
      </c>
    </row>
    <row r="35504" spans="1:3" x14ac:dyDescent="0.2">
      <c r="B35504" t="s">
        <v>78</v>
      </c>
    </row>
    <row r="35506" spans="1:3" x14ac:dyDescent="0.2">
      <c r="A35506" t="s">
        <v>11558</v>
      </c>
      <c r="B35506" t="str">
        <f>HYPERLINK("https://lindat.mff.cuni.cz/services/teitok/pdtc10/index.php?action=vallex&amp;frame=v-w4832hsa_721", "překážet (v-w4832hsa_721) - substituted with v-w4832f3_ZU")</f>
        <v>překážet (v-w4832hsa_721) - substituted with v-w4832f3_ZU</v>
      </c>
    </row>
    <row r="35507" spans="1:3" x14ac:dyDescent="0.2">
      <c r="B35507" t="s">
        <v>1</v>
      </c>
    </row>
    <row r="35508" spans="1:3" x14ac:dyDescent="0.2">
      <c r="B35508" t="s">
        <v>11559</v>
      </c>
    </row>
    <row r="35509" spans="1:3" x14ac:dyDescent="0.2">
      <c r="B35509" t="s">
        <v>78</v>
      </c>
    </row>
    <row r="35511" spans="1:3" x14ac:dyDescent="0.2">
      <c r="A35511" t="s">
        <v>11561</v>
      </c>
      <c r="B35511" t="str">
        <f>HYPERLINK("https://lindat.mff.cuni.cz/services/teitok/pdtc10/index.php?action=vallex&amp;frame=v-w4832f2", "překážet (v-w4832f2)")</f>
        <v>překážet (v-w4832f2)</v>
      </c>
    </row>
    <row r="35512" spans="1:3" x14ac:dyDescent="0.2">
      <c r="B35512" t="s">
        <v>1</v>
      </c>
      <c r="C35512" t="s">
        <v>80</v>
      </c>
    </row>
    <row r="35513" spans="1:3" x14ac:dyDescent="0.2">
      <c r="B35513" t="s">
        <v>103</v>
      </c>
      <c r="C35513" t="s">
        <v>2240</v>
      </c>
    </row>
    <row r="35515" spans="1:3" x14ac:dyDescent="0.2">
      <c r="A35515" t="s">
        <v>11562</v>
      </c>
      <c r="B35515" t="str">
        <f>HYPERLINK("https://lindat.mff.cuni.cz/services/teitok/pdtc10/index.php?action=vallex&amp;frame=v-w4858f1", "překřikovat (v-w4858f1)")</f>
        <v>překřikovat (v-w4858f1)</v>
      </c>
    </row>
    <row r="35516" spans="1:3" x14ac:dyDescent="0.2">
      <c r="B35516" t="s">
        <v>1</v>
      </c>
    </row>
    <row r="35517" spans="1:3" x14ac:dyDescent="0.2">
      <c r="B35517" t="s">
        <v>8</v>
      </c>
    </row>
    <row r="35519" spans="1:3" x14ac:dyDescent="0.2">
      <c r="A35519" t="s">
        <v>11563</v>
      </c>
      <c r="B35519" t="str">
        <f>HYPERLINK("https://lindat.mff.cuni.cz/services/teitok/pdtc10/index.php?action=vallex&amp;frame=v-w4859f1", "překřtít (v-w4859f1)")</f>
        <v>překřtít (v-w4859f1)</v>
      </c>
    </row>
    <row r="35520" spans="1:3" x14ac:dyDescent="0.2">
      <c r="B35520" t="s">
        <v>1</v>
      </c>
    </row>
    <row r="35521" spans="1:3" x14ac:dyDescent="0.2">
      <c r="B35521" t="s">
        <v>8</v>
      </c>
    </row>
    <row r="35522" spans="1:3" x14ac:dyDescent="0.2">
      <c r="B35522" t="s">
        <v>24</v>
      </c>
    </row>
    <row r="35523" spans="1:3" x14ac:dyDescent="0.2">
      <c r="B35523" t="s">
        <v>61</v>
      </c>
    </row>
    <row r="35525" spans="1:3" x14ac:dyDescent="0.2">
      <c r="A35525" t="s">
        <v>11564</v>
      </c>
      <c r="B35525" t="str">
        <f>HYPERLINK("https://lindat.mff.cuni.cz/services/teitok/pdtc10/index.php?action=vallex&amp;frame=v-w11056f2", "překřížit (v-w11056f2)")</f>
        <v>překřížit (v-w11056f2)</v>
      </c>
    </row>
    <row r="35526" spans="1:3" x14ac:dyDescent="0.2">
      <c r="B35526" t="s">
        <v>1</v>
      </c>
      <c r="C35526" t="s">
        <v>140</v>
      </c>
    </row>
    <row r="35527" spans="1:3" x14ac:dyDescent="0.2">
      <c r="B35527" t="s">
        <v>8</v>
      </c>
      <c r="C35527" t="s">
        <v>113</v>
      </c>
    </row>
    <row r="35529" spans="1:3" x14ac:dyDescent="0.2">
      <c r="A35529" t="s">
        <v>11565</v>
      </c>
      <c r="B35529" t="str">
        <f>HYPERLINK("https://lindat.mff.cuni.cz/services/teitok/pdtc10/index.php?action=vallex&amp;frame=v-w11056f3_ZU", "překřížit (v-w11056f3_ZU)")</f>
        <v>překřížit (v-w11056f3_ZU)</v>
      </c>
    </row>
    <row r="35530" spans="1:3" x14ac:dyDescent="0.2">
      <c r="B35530" t="s">
        <v>1</v>
      </c>
    </row>
    <row r="35531" spans="1:3" x14ac:dyDescent="0.2">
      <c r="B35531" t="s">
        <v>11566</v>
      </c>
    </row>
    <row r="35532" spans="1:3" x14ac:dyDescent="0.2">
      <c r="B35532" t="s">
        <v>103</v>
      </c>
    </row>
    <row r="35534" spans="1:3" x14ac:dyDescent="0.2">
      <c r="A35534" t="s">
        <v>11567</v>
      </c>
      <c r="B35534" t="str">
        <f>HYPERLINK("https://lindat.mff.cuni.cz/services/teitok/pdtc10/index.php?action=vallex&amp;frame=v-w11286f1", "přeladit se (v-w11286f1)")</f>
        <v>přeladit se (v-w11286f1)</v>
      </c>
    </row>
    <row r="35535" spans="1:3" x14ac:dyDescent="0.2">
      <c r="B35535" t="s">
        <v>1</v>
      </c>
      <c r="C35535" t="s">
        <v>115</v>
      </c>
    </row>
    <row r="35536" spans="1:3" x14ac:dyDescent="0.2">
      <c r="B35536" t="s">
        <v>46</v>
      </c>
      <c r="C35536" t="s">
        <v>6847</v>
      </c>
    </row>
    <row r="35537" spans="1:2" x14ac:dyDescent="0.2">
      <c r="B35537" t="s">
        <v>24</v>
      </c>
    </row>
    <row r="35539" spans="1:2" x14ac:dyDescent="0.2">
      <c r="A35539" t="s">
        <v>11568</v>
      </c>
      <c r="B35539" t="str">
        <f>HYPERLINK("https://lindat.mff.cuni.cz/services/teitok/pdtc10/index.php?action=vallex&amp;frame=v-whsa_254hsa_255", "přelarvovat (v-whsa_254hsa_255)")</f>
        <v>přelarvovat (v-whsa_254hsa_255)</v>
      </c>
    </row>
    <row r="35540" spans="1:2" x14ac:dyDescent="0.2">
      <c r="B35540" t="s">
        <v>1</v>
      </c>
    </row>
    <row r="35541" spans="1:2" x14ac:dyDescent="0.2">
      <c r="B35541" t="s">
        <v>8</v>
      </c>
    </row>
    <row r="35542" spans="1:2" x14ac:dyDescent="0.2">
      <c r="B35542" t="s">
        <v>333</v>
      </c>
    </row>
    <row r="35543" spans="1:2" x14ac:dyDescent="0.2">
      <c r="B35543" t="s">
        <v>90</v>
      </c>
    </row>
    <row r="35545" spans="1:2" x14ac:dyDescent="0.2">
      <c r="A35545" t="s">
        <v>11569</v>
      </c>
      <c r="B35545" t="str">
        <f>HYPERLINK("https://lindat.mff.cuni.cz/services/teitok/pdtc10/index.php?action=vallex&amp;frame=v-w4864f1", "přelaďovat (v-w4864f1)")</f>
        <v>přelaďovat (v-w4864f1)</v>
      </c>
    </row>
    <row r="35546" spans="1:2" x14ac:dyDescent="0.2">
      <c r="B35546" t="s">
        <v>1</v>
      </c>
    </row>
    <row r="35547" spans="1:2" x14ac:dyDescent="0.2">
      <c r="B35547" t="s">
        <v>8</v>
      </c>
    </row>
    <row r="35549" spans="1:2" x14ac:dyDescent="0.2">
      <c r="A35549" t="s">
        <v>11570</v>
      </c>
      <c r="B35549" t="str">
        <f>HYPERLINK("https://lindat.mff.cuni.cz/services/teitok/pdtc10/index.php?action=vallex&amp;frame=v-w4866f1", "přeletět (v-w4866f1)")</f>
        <v>přeletět (v-w4866f1)</v>
      </c>
    </row>
    <row r="35550" spans="1:2" x14ac:dyDescent="0.2">
      <c r="B35550" t="s">
        <v>1</v>
      </c>
    </row>
    <row r="35551" spans="1:2" x14ac:dyDescent="0.2">
      <c r="B35551" t="s">
        <v>8</v>
      </c>
    </row>
    <row r="35553" spans="1:4" x14ac:dyDescent="0.2">
      <c r="A35553" t="s">
        <v>11571</v>
      </c>
      <c r="B35553" t="str">
        <f>HYPERLINK("https://lindat.mff.cuni.cz/services/teitok/pdtc10/index.php?action=vallex&amp;frame=v-w4866f2", "přeletět (v-w4866f2)")</f>
        <v>přeletět (v-w4866f2)</v>
      </c>
    </row>
    <row r="35554" spans="1:4" x14ac:dyDescent="0.2">
      <c r="B35554" t="s">
        <v>1</v>
      </c>
      <c r="C35554" t="s">
        <v>140</v>
      </c>
      <c r="D35554" t="s">
        <v>23454</v>
      </c>
    </row>
    <row r="35555" spans="1:4" x14ac:dyDescent="0.2">
      <c r="B35555" t="s">
        <v>333</v>
      </c>
    </row>
    <row r="35556" spans="1:4" x14ac:dyDescent="0.2">
      <c r="B35556" t="s">
        <v>90</v>
      </c>
    </row>
    <row r="35558" spans="1:4" x14ac:dyDescent="0.2">
      <c r="A35558" t="s">
        <v>11572</v>
      </c>
      <c r="B35558" t="str">
        <f>HYPERLINK("https://lindat.mff.cuni.cz/services/teitok/pdtc10/index.php?action=vallex&amp;frame=v-w4869f1", "přelidnit (v-w4869f1)")</f>
        <v>přelidnit (v-w4869f1)</v>
      </c>
    </row>
    <row r="35559" spans="1:4" x14ac:dyDescent="0.2">
      <c r="B35559" t="s">
        <v>1</v>
      </c>
    </row>
    <row r="35560" spans="1:4" x14ac:dyDescent="0.2">
      <c r="B35560" t="s">
        <v>8</v>
      </c>
    </row>
    <row r="35562" spans="1:4" x14ac:dyDescent="0.2">
      <c r="A35562" t="s">
        <v>11573</v>
      </c>
      <c r="B35562" t="str">
        <f>HYPERLINK("https://lindat.mff.cuni.cz/services/teitok/pdtc10/index.php?action=vallex&amp;frame=v-w4870f1", "přelidnit se (v-w4870f1)")</f>
        <v>přelidnit se (v-w4870f1)</v>
      </c>
    </row>
    <row r="35563" spans="1:4" x14ac:dyDescent="0.2">
      <c r="B35563" t="s">
        <v>1</v>
      </c>
    </row>
    <row r="35565" spans="1:4" x14ac:dyDescent="0.2">
      <c r="A35565" t="s">
        <v>11574</v>
      </c>
      <c r="B35565" t="str">
        <f>HYPERLINK("https://lindat.mff.cuni.cz/services/teitok/pdtc10/index.php?action=vallex&amp;frame=v-w4873f1", "přeložit (v-w4873f1)")</f>
        <v>přeložit (v-w4873f1)</v>
      </c>
    </row>
    <row r="35566" spans="1:4" x14ac:dyDescent="0.2">
      <c r="B35566" t="s">
        <v>1</v>
      </c>
      <c r="C35566" t="s">
        <v>2749</v>
      </c>
    </row>
    <row r="35567" spans="1:4" x14ac:dyDescent="0.2">
      <c r="B35567" t="s">
        <v>8</v>
      </c>
      <c r="C35567" t="s">
        <v>2750</v>
      </c>
    </row>
    <row r="35568" spans="1:4" x14ac:dyDescent="0.2">
      <c r="B35568" t="s">
        <v>24</v>
      </c>
    </row>
    <row r="35569" spans="1:4" x14ac:dyDescent="0.2">
      <c r="B35569" t="s">
        <v>130</v>
      </c>
    </row>
    <row r="35571" spans="1:4" x14ac:dyDescent="0.2">
      <c r="A35571" t="s">
        <v>11575</v>
      </c>
      <c r="B35571" t="str">
        <f>HYPERLINK("https://lindat.mff.cuni.cz/services/teitok/pdtc10/index.php?action=vallex&amp;frame=v-w4873f3", "přeložit (v-w4873f3)")</f>
        <v>přeložit (v-w4873f3)</v>
      </c>
    </row>
    <row r="35572" spans="1:4" x14ac:dyDescent="0.2">
      <c r="B35572" t="s">
        <v>1</v>
      </c>
    </row>
    <row r="35573" spans="1:4" x14ac:dyDescent="0.2">
      <c r="B35573" t="s">
        <v>8</v>
      </c>
    </row>
    <row r="35574" spans="1:4" x14ac:dyDescent="0.2">
      <c r="B35574" t="s">
        <v>11576</v>
      </c>
    </row>
    <row r="35576" spans="1:4" x14ac:dyDescent="0.2">
      <c r="A35576" t="s">
        <v>11577</v>
      </c>
      <c r="B35576" t="str">
        <f>HYPERLINK("https://lindat.mff.cuni.cz/services/teitok/pdtc10/index.php?action=vallex&amp;frame=v-w4873f6_ZU", "přeložit (v-w4873f6_ZU)")</f>
        <v>přeložit (v-w4873f6_ZU)</v>
      </c>
    </row>
    <row r="35577" spans="1:4" x14ac:dyDescent="0.2">
      <c r="B35577" t="s">
        <v>1</v>
      </c>
      <c r="C35577" t="s">
        <v>140</v>
      </c>
      <c r="D35577" t="s">
        <v>24016</v>
      </c>
    </row>
    <row r="35578" spans="1:4" x14ac:dyDescent="0.2">
      <c r="B35578" t="s">
        <v>8</v>
      </c>
      <c r="C35578" t="s">
        <v>84</v>
      </c>
      <c r="D35578" t="s">
        <v>10237</v>
      </c>
    </row>
    <row r="35579" spans="1:4" x14ac:dyDescent="0.2">
      <c r="B35579" t="s">
        <v>333</v>
      </c>
      <c r="C35579" t="s">
        <v>11578</v>
      </c>
    </row>
    <row r="35580" spans="1:4" x14ac:dyDescent="0.2">
      <c r="B35580" t="s">
        <v>90</v>
      </c>
      <c r="C35580" t="s">
        <v>11579</v>
      </c>
      <c r="D35580" t="s">
        <v>24017</v>
      </c>
    </row>
    <row r="35582" spans="1:4" x14ac:dyDescent="0.2">
      <c r="A35582" t="s">
        <v>11577</v>
      </c>
      <c r="B35582" t="str">
        <f>HYPERLINK("https://lindat.mff.cuni.cz/services/teitok/pdtc10/index.php?action=vallex&amp;frame=v-w4873f4_ZU", "přeložit (v-w4873f4_ZU) - substituted with v-w4873f6_ZU")</f>
        <v>přeložit (v-w4873f4_ZU) - substituted with v-w4873f6_ZU</v>
      </c>
    </row>
    <row r="35583" spans="1:4" x14ac:dyDescent="0.2">
      <c r="B35583" t="s">
        <v>1</v>
      </c>
    </row>
    <row r="35584" spans="1:4" x14ac:dyDescent="0.2">
      <c r="B35584" t="s">
        <v>8</v>
      </c>
    </row>
    <row r="35585" spans="1:4" x14ac:dyDescent="0.2">
      <c r="B35585" t="s">
        <v>333</v>
      </c>
    </row>
    <row r="35586" spans="1:4" x14ac:dyDescent="0.2">
      <c r="B35586" t="s">
        <v>90</v>
      </c>
    </row>
    <row r="35588" spans="1:4" x14ac:dyDescent="0.2">
      <c r="A35588" t="s">
        <v>11577</v>
      </c>
      <c r="B35588" t="str">
        <f>HYPERLINK("https://lindat.mff.cuni.cz/services/teitok/pdtc10/index.php?action=vallex&amp;frame=v-w4873f5_ZU", "přeložit (v-w4873f5_ZU) - substituted with v-w4873f6_ZU")</f>
        <v>přeložit (v-w4873f5_ZU) - substituted with v-w4873f6_ZU</v>
      </c>
    </row>
    <row r="35589" spans="1:4" x14ac:dyDescent="0.2">
      <c r="B35589" t="s">
        <v>1</v>
      </c>
    </row>
    <row r="35590" spans="1:4" x14ac:dyDescent="0.2">
      <c r="B35590" t="s">
        <v>8</v>
      </c>
    </row>
    <row r="35591" spans="1:4" x14ac:dyDescent="0.2">
      <c r="B35591" t="s">
        <v>333</v>
      </c>
    </row>
    <row r="35592" spans="1:4" x14ac:dyDescent="0.2">
      <c r="B35592" t="s">
        <v>90</v>
      </c>
    </row>
    <row r="35594" spans="1:4" x14ac:dyDescent="0.2">
      <c r="A35594" t="s">
        <v>11580</v>
      </c>
      <c r="B35594" t="str">
        <f>HYPERLINK("https://lindat.mff.cuni.cz/services/teitok/pdtc10/index.php?action=vallex&amp;frame=v-w4873f2", "přeložit (v-w4873f2)")</f>
        <v>přeložit (v-w4873f2)</v>
      </c>
    </row>
    <row r="35595" spans="1:4" x14ac:dyDescent="0.2">
      <c r="B35595" t="s">
        <v>1</v>
      </c>
      <c r="C35595" t="s">
        <v>133</v>
      </c>
      <c r="D35595" t="s">
        <v>10977</v>
      </c>
    </row>
    <row r="35596" spans="1:4" x14ac:dyDescent="0.2">
      <c r="B35596" t="s">
        <v>8</v>
      </c>
      <c r="C35596" t="s">
        <v>1128</v>
      </c>
      <c r="D35596" t="s">
        <v>24018</v>
      </c>
    </row>
    <row r="35597" spans="1:4" x14ac:dyDescent="0.2">
      <c r="B35597" t="s">
        <v>8674</v>
      </c>
      <c r="D35597" t="s">
        <v>24019</v>
      </c>
    </row>
    <row r="35598" spans="1:4" x14ac:dyDescent="0.2">
      <c r="B35598" t="s">
        <v>1260</v>
      </c>
      <c r="C35598" t="s">
        <v>11581</v>
      </c>
      <c r="D35598" t="s">
        <v>24020</v>
      </c>
    </row>
    <row r="35600" spans="1:4" x14ac:dyDescent="0.2">
      <c r="A35600" t="s">
        <v>11582</v>
      </c>
      <c r="B35600" t="str">
        <f>HYPERLINK("https://lindat.mff.cuni.cz/services/teitok/pdtc10/index.php?action=vallex&amp;frame=v-w4874f1", "přelstít (v-w4874f1)")</f>
        <v>přelstít (v-w4874f1)</v>
      </c>
    </row>
    <row r="35601" spans="1:4" x14ac:dyDescent="0.2">
      <c r="B35601" t="s">
        <v>1</v>
      </c>
      <c r="C35601" t="s">
        <v>1413</v>
      </c>
    </row>
    <row r="35602" spans="1:4" x14ac:dyDescent="0.2">
      <c r="B35602" t="s">
        <v>8</v>
      </c>
      <c r="C35602" t="s">
        <v>1128</v>
      </c>
      <c r="D35602" t="s">
        <v>1301</v>
      </c>
    </row>
    <row r="35604" spans="1:4" x14ac:dyDescent="0.2">
      <c r="A35604" t="s">
        <v>11583</v>
      </c>
      <c r="B35604" t="str">
        <f>HYPERLINK("https://lindat.mff.cuni.cz/services/teitok/pdtc10/index.php?action=vallex&amp;frame=v-w12303_MMf1_MM", "přelámat (v-w12303_MMf1_MM)")</f>
        <v>přelámat (v-w12303_MMf1_MM)</v>
      </c>
    </row>
    <row r="35605" spans="1:4" x14ac:dyDescent="0.2">
      <c r="B35605" t="s">
        <v>1</v>
      </c>
    </row>
    <row r="35606" spans="1:4" x14ac:dyDescent="0.2">
      <c r="B35606" t="s">
        <v>8</v>
      </c>
    </row>
    <row r="35607" spans="1:4" x14ac:dyDescent="0.2">
      <c r="B35607" t="s">
        <v>2334</v>
      </c>
    </row>
    <row r="35609" spans="1:4" x14ac:dyDescent="0.2">
      <c r="A35609" t="s">
        <v>11584</v>
      </c>
      <c r="B35609" t="str">
        <f>HYPERLINK("https://lindat.mff.cuni.cz/services/teitok/pdtc10/index.php?action=vallex&amp;frame=v-whsa_329f1_ZU", "přelétnout (v-whsa_329f1_ZU)")</f>
        <v>přelétnout (v-whsa_329f1_ZU)</v>
      </c>
    </row>
    <row r="35610" spans="1:4" x14ac:dyDescent="0.2">
      <c r="B35610" t="s">
        <v>1</v>
      </c>
    </row>
    <row r="35611" spans="1:4" x14ac:dyDescent="0.2">
      <c r="B35611" t="s">
        <v>333</v>
      </c>
    </row>
    <row r="35612" spans="1:4" x14ac:dyDescent="0.2">
      <c r="B35612" t="s">
        <v>90</v>
      </c>
    </row>
    <row r="35614" spans="1:4" x14ac:dyDescent="0.2">
      <c r="A35614" t="s">
        <v>11584</v>
      </c>
      <c r="B35614" t="str">
        <f>HYPERLINK("https://lindat.mff.cuni.cz/services/teitok/pdtc10/index.php?action=vallex&amp;frame=v-whsa_329hsa_330", "přelétnout (v-whsa_329hsa_330) - substituted with v-whsa_329f1_ZU")</f>
        <v>přelétnout (v-whsa_329hsa_330) - substituted with v-whsa_329f1_ZU</v>
      </c>
    </row>
    <row r="35615" spans="1:4" x14ac:dyDescent="0.2">
      <c r="B35615" t="s">
        <v>1</v>
      </c>
    </row>
    <row r="35616" spans="1:4" x14ac:dyDescent="0.2">
      <c r="B35616" t="s">
        <v>333</v>
      </c>
    </row>
    <row r="35617" spans="1:4" x14ac:dyDescent="0.2">
      <c r="B35617" t="s">
        <v>90</v>
      </c>
    </row>
    <row r="35619" spans="1:4" x14ac:dyDescent="0.2">
      <c r="A35619" t="s">
        <v>11585</v>
      </c>
      <c r="B35619" t="str">
        <f>HYPERLINK("https://lindat.mff.cuni.cz/services/teitok/pdtc10/index.php?action=vallex&amp;frame=v-whsa_1578hsa_1579", "přelétávat (v-whsa_1578hsa_1579)")</f>
        <v>přelétávat (v-whsa_1578hsa_1579)</v>
      </c>
    </row>
    <row r="35620" spans="1:4" x14ac:dyDescent="0.2">
      <c r="B35620" t="s">
        <v>1</v>
      </c>
    </row>
    <row r="35621" spans="1:4" x14ac:dyDescent="0.2">
      <c r="B35621" t="s">
        <v>8</v>
      </c>
    </row>
    <row r="35623" spans="1:4" x14ac:dyDescent="0.2">
      <c r="A35623" t="s">
        <v>11586</v>
      </c>
      <c r="B35623" t="str">
        <f>HYPERLINK("https://lindat.mff.cuni.cz/services/teitok/pdtc10/index.php?action=vallex&amp;frame=v-whsa_1578hsa_1580", "přelétávat (v-whsa_1578hsa_1580)")</f>
        <v>přelétávat (v-whsa_1578hsa_1580)</v>
      </c>
    </row>
    <row r="35624" spans="1:4" x14ac:dyDescent="0.2">
      <c r="B35624" t="s">
        <v>1</v>
      </c>
    </row>
    <row r="35625" spans="1:4" x14ac:dyDescent="0.2">
      <c r="B35625" t="s">
        <v>333</v>
      </c>
    </row>
    <row r="35626" spans="1:4" x14ac:dyDescent="0.2">
      <c r="B35626" t="s">
        <v>90</v>
      </c>
    </row>
    <row r="35628" spans="1:4" x14ac:dyDescent="0.2">
      <c r="A35628" t="s">
        <v>11587</v>
      </c>
      <c r="B35628" t="str">
        <f>HYPERLINK("https://lindat.mff.cuni.cz/services/teitok/pdtc10/index.php?action=vallex&amp;frame=v-w10847f2", "přelévat (v-w10847f2)")</f>
        <v>přelévat (v-w10847f2)</v>
      </c>
    </row>
    <row r="35629" spans="1:4" x14ac:dyDescent="0.2">
      <c r="B35629" t="s">
        <v>1</v>
      </c>
      <c r="D35629" t="s">
        <v>3580</v>
      </c>
    </row>
    <row r="35630" spans="1:4" x14ac:dyDescent="0.2">
      <c r="B35630" t="s">
        <v>8</v>
      </c>
      <c r="D35630" t="s">
        <v>23652</v>
      </c>
    </row>
    <row r="35631" spans="1:4" x14ac:dyDescent="0.2">
      <c r="B35631" t="s">
        <v>333</v>
      </c>
    </row>
    <row r="35632" spans="1:4" x14ac:dyDescent="0.2">
      <c r="B35632" t="s">
        <v>90</v>
      </c>
      <c r="D35632" t="s">
        <v>23853</v>
      </c>
    </row>
    <row r="35634" spans="1:3" x14ac:dyDescent="0.2">
      <c r="A35634" t="s">
        <v>11588</v>
      </c>
      <c r="B35634" t="str">
        <f>HYPERLINK("https://lindat.mff.cuni.cz/services/teitok/pdtc10/index.php?action=vallex&amp;frame=v-whsa_1260hsa_1261", "přelévat se (v-whsa_1260hsa_1261)")</f>
        <v>přelévat se (v-whsa_1260hsa_1261)</v>
      </c>
    </row>
    <row r="35635" spans="1:3" x14ac:dyDescent="0.2">
      <c r="B35635" t="s">
        <v>1</v>
      </c>
      <c r="C35635" t="s">
        <v>147</v>
      </c>
    </row>
    <row r="35636" spans="1:3" x14ac:dyDescent="0.2">
      <c r="B35636" t="s">
        <v>333</v>
      </c>
    </row>
    <row r="35637" spans="1:3" x14ac:dyDescent="0.2">
      <c r="B35637" t="s">
        <v>90</v>
      </c>
    </row>
    <row r="35639" spans="1:3" x14ac:dyDescent="0.2">
      <c r="A35639" t="s">
        <v>11589</v>
      </c>
      <c r="B35639" t="str">
        <f>HYPERLINK("https://lindat.mff.cuni.cz/services/teitok/pdtc10/index.php?action=vallex&amp;frame=v-w4867f1", "přelézt (v-w4867f1)")</f>
        <v>přelézt (v-w4867f1)</v>
      </c>
    </row>
    <row r="35640" spans="1:3" x14ac:dyDescent="0.2">
      <c r="B35640" t="s">
        <v>1</v>
      </c>
    </row>
    <row r="35641" spans="1:3" x14ac:dyDescent="0.2">
      <c r="B35641" t="s">
        <v>8</v>
      </c>
    </row>
    <row r="35643" spans="1:3" x14ac:dyDescent="0.2">
      <c r="A35643" t="s">
        <v>11590</v>
      </c>
      <c r="B35643" t="str">
        <f>HYPERLINK("https://lindat.mff.cuni.cz/services/teitok/pdtc10/index.php?action=vallex&amp;frame=v-w4867f3_ZU", "přelézt (v-w4867f3_ZU)")</f>
        <v>přelézt (v-w4867f3_ZU)</v>
      </c>
    </row>
    <row r="35644" spans="1:3" x14ac:dyDescent="0.2">
      <c r="B35644" t="s">
        <v>1</v>
      </c>
    </row>
    <row r="35645" spans="1:3" x14ac:dyDescent="0.2">
      <c r="B35645" t="s">
        <v>3716</v>
      </c>
    </row>
    <row r="35647" spans="1:3" x14ac:dyDescent="0.2">
      <c r="A35647" t="s">
        <v>11590</v>
      </c>
      <c r="B35647" t="str">
        <f>HYPERLINK("https://lindat.mff.cuni.cz/services/teitok/pdtc10/index.php?action=vallex&amp;frame=v-w4867f2_ZU", "přelézt (v-w4867f2_ZU) - substituted with v-w4867f3_ZU")</f>
        <v>přelézt (v-w4867f2_ZU) - substituted with v-w4867f3_ZU</v>
      </c>
    </row>
    <row r="35648" spans="1:3" x14ac:dyDescent="0.2">
      <c r="B35648" t="s">
        <v>1</v>
      </c>
    </row>
    <row r="35649" spans="1:4" x14ac:dyDescent="0.2">
      <c r="B35649" t="s">
        <v>3716</v>
      </c>
    </row>
    <row r="35651" spans="1:4" x14ac:dyDescent="0.2">
      <c r="A35651" t="s">
        <v>11591</v>
      </c>
      <c r="B35651" t="str">
        <f>HYPERLINK("https://lindat.mff.cuni.cz/services/teitok/pdtc10/index.php?action=vallex&amp;frame=v-w4871f1", "přelít (v-w4871f1)")</f>
        <v>přelít (v-w4871f1)</v>
      </c>
    </row>
    <row r="35652" spans="1:4" x14ac:dyDescent="0.2">
      <c r="B35652" t="s">
        <v>1</v>
      </c>
      <c r="C35652" t="s">
        <v>3560</v>
      </c>
      <c r="D35652" t="s">
        <v>3580</v>
      </c>
    </row>
    <row r="35653" spans="1:4" x14ac:dyDescent="0.2">
      <c r="B35653" t="s">
        <v>8</v>
      </c>
      <c r="C35653" t="s">
        <v>341</v>
      </c>
      <c r="D35653" t="s">
        <v>23652</v>
      </c>
    </row>
    <row r="35654" spans="1:4" x14ac:dyDescent="0.2">
      <c r="B35654" t="s">
        <v>333</v>
      </c>
    </row>
    <row r="35655" spans="1:4" x14ac:dyDescent="0.2">
      <c r="B35655" t="s">
        <v>90</v>
      </c>
      <c r="D35655" t="s">
        <v>23853</v>
      </c>
    </row>
    <row r="35657" spans="1:4" x14ac:dyDescent="0.2">
      <c r="A35657" t="s">
        <v>11592</v>
      </c>
      <c r="B35657" t="str">
        <f>HYPERLINK("https://lindat.mff.cuni.cz/services/teitok/pdtc10/index.php?action=vallex&amp;frame=v-whsa_1287f1_ZU", "přelítnout (v-whsa_1287f1_ZU)")</f>
        <v>přelítnout (v-whsa_1287f1_ZU)</v>
      </c>
    </row>
    <row r="35658" spans="1:4" x14ac:dyDescent="0.2">
      <c r="B35658" t="s">
        <v>1</v>
      </c>
    </row>
    <row r="35659" spans="1:4" x14ac:dyDescent="0.2">
      <c r="B35659" t="s">
        <v>333</v>
      </c>
    </row>
    <row r="35660" spans="1:4" x14ac:dyDescent="0.2">
      <c r="B35660" t="s">
        <v>90</v>
      </c>
    </row>
    <row r="35662" spans="1:4" x14ac:dyDescent="0.2">
      <c r="A35662" t="s">
        <v>11592</v>
      </c>
      <c r="B35662" t="str">
        <f>HYPERLINK("https://lindat.mff.cuni.cz/services/teitok/pdtc10/index.php?action=vallex&amp;frame=v-whsa_1287hsa_1288", "přelítnout (v-whsa_1287hsa_1288) - substituted with v-whsa_1287f1_ZU")</f>
        <v>přelítnout (v-whsa_1287hsa_1288) - substituted with v-whsa_1287f1_ZU</v>
      </c>
    </row>
    <row r="35663" spans="1:4" x14ac:dyDescent="0.2">
      <c r="B35663" t="s">
        <v>1</v>
      </c>
    </row>
    <row r="35664" spans="1:4" x14ac:dyDescent="0.2">
      <c r="B35664" t="s">
        <v>333</v>
      </c>
    </row>
    <row r="35665" spans="1:4" x14ac:dyDescent="0.2">
      <c r="B35665" t="s">
        <v>90</v>
      </c>
    </row>
    <row r="35667" spans="1:4" x14ac:dyDescent="0.2">
      <c r="A35667" t="s">
        <v>11593</v>
      </c>
      <c r="B35667" t="str">
        <f>HYPERLINK("https://lindat.mff.cuni.cz/services/teitok/pdtc10/index.php?action=vallex&amp;frame=v-w10560f2", "přemalovat (v-w10560f2)")</f>
        <v>přemalovat (v-w10560f2)</v>
      </c>
    </row>
    <row r="35668" spans="1:4" x14ac:dyDescent="0.2">
      <c r="B35668" t="s">
        <v>1</v>
      </c>
      <c r="D35668" t="s">
        <v>22944</v>
      </c>
    </row>
    <row r="35669" spans="1:4" x14ac:dyDescent="0.2">
      <c r="B35669" t="s">
        <v>8</v>
      </c>
      <c r="D35669" t="s">
        <v>22945</v>
      </c>
    </row>
    <row r="35670" spans="1:4" x14ac:dyDescent="0.2">
      <c r="B35670" t="s">
        <v>24</v>
      </c>
      <c r="D35670" t="s">
        <v>22946</v>
      </c>
    </row>
    <row r="35671" spans="1:4" x14ac:dyDescent="0.2">
      <c r="B35671" t="s">
        <v>61</v>
      </c>
      <c r="D35671" t="s">
        <v>22947</v>
      </c>
    </row>
    <row r="35673" spans="1:4" x14ac:dyDescent="0.2">
      <c r="A35673" t="s">
        <v>11594</v>
      </c>
      <c r="B35673" t="str">
        <f>HYPERLINK("https://lindat.mff.cuni.cz/services/teitok/pdtc10/index.php?action=vallex&amp;frame=v-w4884f1", "přemisťovat (v-w4884f1)")</f>
        <v>přemisťovat (v-w4884f1)</v>
      </c>
    </row>
    <row r="35674" spans="1:4" x14ac:dyDescent="0.2">
      <c r="B35674" t="s">
        <v>1</v>
      </c>
      <c r="C35674" t="s">
        <v>3560</v>
      </c>
      <c r="D35674" t="s">
        <v>24016</v>
      </c>
    </row>
    <row r="35675" spans="1:4" x14ac:dyDescent="0.2">
      <c r="B35675" t="s">
        <v>8</v>
      </c>
      <c r="C35675" t="s">
        <v>341</v>
      </c>
      <c r="D35675" t="s">
        <v>10237</v>
      </c>
    </row>
    <row r="35676" spans="1:4" x14ac:dyDescent="0.2">
      <c r="B35676" t="s">
        <v>333</v>
      </c>
    </row>
    <row r="35677" spans="1:4" x14ac:dyDescent="0.2">
      <c r="B35677" t="s">
        <v>90</v>
      </c>
      <c r="D35677" t="s">
        <v>24017</v>
      </c>
    </row>
    <row r="35679" spans="1:4" x14ac:dyDescent="0.2">
      <c r="A35679" t="s">
        <v>11595</v>
      </c>
      <c r="B35679" t="str">
        <f>HYPERLINK("https://lindat.mff.cuni.cz/services/teitok/pdtc10/index.php?action=vallex&amp;frame=v-w4887f1", "přemlouvat (v-w4887f1)")</f>
        <v>přemlouvat (v-w4887f1)</v>
      </c>
    </row>
    <row r="35680" spans="1:4" x14ac:dyDescent="0.2">
      <c r="B35680" t="s">
        <v>1</v>
      </c>
      <c r="C35680" t="s">
        <v>334</v>
      </c>
    </row>
    <row r="35681" spans="1:4" x14ac:dyDescent="0.2">
      <c r="B35681" t="s">
        <v>58</v>
      </c>
      <c r="C35681" t="s">
        <v>11596</v>
      </c>
    </row>
    <row r="35682" spans="1:4" x14ac:dyDescent="0.2">
      <c r="B35682" t="s">
        <v>11597</v>
      </c>
      <c r="C35682" t="s">
        <v>11598</v>
      </c>
    </row>
    <row r="35684" spans="1:4" x14ac:dyDescent="0.2">
      <c r="A35684" t="s">
        <v>11599</v>
      </c>
      <c r="B35684" t="str">
        <f>HYPERLINK("https://lindat.mff.cuni.cz/services/teitok/pdtc10/index.php?action=vallex&amp;frame=v-w4888f1", "přemluvit (v-w4888f1)")</f>
        <v>přemluvit (v-w4888f1)</v>
      </c>
    </row>
    <row r="35685" spans="1:4" x14ac:dyDescent="0.2">
      <c r="B35685" t="s">
        <v>1</v>
      </c>
      <c r="C35685" t="s">
        <v>33</v>
      </c>
      <c r="D35685" t="s">
        <v>23152</v>
      </c>
    </row>
    <row r="35686" spans="1:4" x14ac:dyDescent="0.2">
      <c r="B35686" t="s">
        <v>58</v>
      </c>
      <c r="C35686" t="s">
        <v>2901</v>
      </c>
      <c r="D35686" t="s">
        <v>23154</v>
      </c>
    </row>
    <row r="35687" spans="1:4" x14ac:dyDescent="0.2">
      <c r="B35687" t="s">
        <v>11597</v>
      </c>
      <c r="C35687" t="s">
        <v>2902</v>
      </c>
      <c r="D35687" t="s">
        <v>23153</v>
      </c>
    </row>
    <row r="35689" spans="1:4" x14ac:dyDescent="0.2">
      <c r="A35689" t="s">
        <v>11600</v>
      </c>
      <c r="B35689" t="str">
        <f>HYPERLINK("https://lindat.mff.cuni.cz/services/teitok/pdtc10/index.php?action=vallex&amp;frame=v-w11831_ZUf1_ZU", "přemnožit se (v-w11831_ZUf1_ZU)")</f>
        <v>přemnožit se (v-w11831_ZUf1_ZU)</v>
      </c>
    </row>
    <row r="35690" spans="1:4" x14ac:dyDescent="0.2">
      <c r="B35690" t="s">
        <v>1</v>
      </c>
    </row>
    <row r="35692" spans="1:4" x14ac:dyDescent="0.2">
      <c r="A35692" t="s">
        <v>11601</v>
      </c>
      <c r="B35692" t="str">
        <f>HYPERLINK("https://lindat.mff.cuni.cz/services/teitok/pdtc10/index.php?action=vallex&amp;frame=v-w4889f1", "přemoci (v-w4889f1)")</f>
        <v>přemoci (v-w4889f1)</v>
      </c>
    </row>
    <row r="35693" spans="1:4" x14ac:dyDescent="0.2">
      <c r="B35693" t="s">
        <v>1</v>
      </c>
      <c r="C35693" t="s">
        <v>334</v>
      </c>
    </row>
    <row r="35694" spans="1:4" x14ac:dyDescent="0.2">
      <c r="B35694" t="s">
        <v>8</v>
      </c>
      <c r="C35694" t="s">
        <v>56</v>
      </c>
    </row>
    <row r="35696" spans="1:4" x14ac:dyDescent="0.2">
      <c r="A35696" t="s">
        <v>11602</v>
      </c>
      <c r="B35696" t="str">
        <f>HYPERLINK("https://lindat.mff.cuni.cz/services/teitok/pdtc10/index.php?action=vallex&amp;frame=v-w4891f1", "přemostit (v-w4891f1)")</f>
        <v>přemostit (v-w4891f1)</v>
      </c>
    </row>
    <row r="35697" spans="1:4" x14ac:dyDescent="0.2">
      <c r="B35697" t="s">
        <v>1</v>
      </c>
    </row>
    <row r="35698" spans="1:4" x14ac:dyDescent="0.2">
      <c r="B35698" t="s">
        <v>8</v>
      </c>
    </row>
    <row r="35700" spans="1:4" x14ac:dyDescent="0.2">
      <c r="A35700" t="s">
        <v>11603</v>
      </c>
      <c r="B35700" t="str">
        <f>HYPERLINK("https://lindat.mff.cuni.cz/services/teitok/pdtc10/index.php?action=vallex&amp;frame=v-whsa_1050hsa_1051", "přemáhat se (v-whsa_1050hsa_1051)")</f>
        <v>přemáhat se (v-whsa_1050hsa_1051)</v>
      </c>
    </row>
    <row r="35701" spans="1:4" x14ac:dyDescent="0.2">
      <c r="B35701" t="s">
        <v>1</v>
      </c>
    </row>
    <row r="35703" spans="1:4" x14ac:dyDescent="0.2">
      <c r="A35703" t="s">
        <v>11604</v>
      </c>
      <c r="B35703" t="str">
        <f>HYPERLINK("https://lindat.mff.cuni.cz/services/teitok/pdtc10/index.php?action=vallex&amp;frame=v-w4881f1", "přemístit (v-w4881f1)")</f>
        <v>přemístit (v-w4881f1)</v>
      </c>
    </row>
    <row r="35704" spans="1:4" x14ac:dyDescent="0.2">
      <c r="B35704" t="s">
        <v>1</v>
      </c>
      <c r="C35704" t="s">
        <v>3560</v>
      </c>
      <c r="D35704" t="s">
        <v>24016</v>
      </c>
    </row>
    <row r="35705" spans="1:4" x14ac:dyDescent="0.2">
      <c r="B35705" t="s">
        <v>8</v>
      </c>
      <c r="C35705" t="s">
        <v>341</v>
      </c>
      <c r="D35705" t="s">
        <v>10237</v>
      </c>
    </row>
    <row r="35706" spans="1:4" x14ac:dyDescent="0.2">
      <c r="B35706" t="s">
        <v>333</v>
      </c>
    </row>
    <row r="35707" spans="1:4" x14ac:dyDescent="0.2">
      <c r="B35707" t="s">
        <v>90</v>
      </c>
      <c r="D35707" t="s">
        <v>24017</v>
      </c>
    </row>
    <row r="35709" spans="1:4" x14ac:dyDescent="0.2">
      <c r="A35709" t="s">
        <v>11605</v>
      </c>
      <c r="B35709" t="str">
        <f>HYPERLINK("https://lindat.mff.cuni.cz/services/teitok/pdtc10/index.php?action=vallex&amp;frame=v-w4881f2", "přemístit (v-w4881f2)")</f>
        <v>přemístit (v-w4881f2)</v>
      </c>
    </row>
    <row r="35710" spans="1:4" x14ac:dyDescent="0.2">
      <c r="B35710" t="s">
        <v>1</v>
      </c>
      <c r="C35710" t="s">
        <v>3560</v>
      </c>
      <c r="D35710" t="s">
        <v>24016</v>
      </c>
    </row>
    <row r="35711" spans="1:4" x14ac:dyDescent="0.2">
      <c r="B35711" t="s">
        <v>8</v>
      </c>
      <c r="C35711" t="s">
        <v>1996</v>
      </c>
      <c r="D35711" t="s">
        <v>10237</v>
      </c>
    </row>
    <row r="35712" spans="1:4" x14ac:dyDescent="0.2">
      <c r="B35712" t="s">
        <v>333</v>
      </c>
    </row>
    <row r="35713" spans="1:4" x14ac:dyDescent="0.2">
      <c r="B35713" t="s">
        <v>90</v>
      </c>
      <c r="C35713" t="s">
        <v>4392</v>
      </c>
      <c r="D35713" t="s">
        <v>24017</v>
      </c>
    </row>
    <row r="35715" spans="1:4" x14ac:dyDescent="0.2">
      <c r="A35715" t="s">
        <v>11606</v>
      </c>
      <c r="B35715" t="str">
        <f>HYPERLINK("https://lindat.mff.cuni.cz/services/teitok/pdtc10/index.php?action=vallex&amp;frame=v-w4882f1", "přemístit se (v-w4882f1)")</f>
        <v>přemístit se (v-w4882f1)</v>
      </c>
    </row>
    <row r="35716" spans="1:4" x14ac:dyDescent="0.2">
      <c r="B35716" t="s">
        <v>1</v>
      </c>
      <c r="C35716" t="s">
        <v>715</v>
      </c>
      <c r="D35716" t="s">
        <v>23336</v>
      </c>
    </row>
    <row r="35717" spans="1:4" x14ac:dyDescent="0.2">
      <c r="B35717" t="s">
        <v>333</v>
      </c>
    </row>
    <row r="35718" spans="1:4" x14ac:dyDescent="0.2">
      <c r="B35718" t="s">
        <v>90</v>
      </c>
    </row>
    <row r="35720" spans="1:4" x14ac:dyDescent="0.2">
      <c r="A35720" t="s">
        <v>11607</v>
      </c>
      <c r="B35720" t="str">
        <f>HYPERLINK("https://lindat.mff.cuni.cz/services/teitok/pdtc10/index.php?action=vallex&amp;frame=v-w4886f1", "přemítat (v-w4886f1)")</f>
        <v>přemítat (v-w4886f1)</v>
      </c>
    </row>
    <row r="35721" spans="1:4" x14ac:dyDescent="0.2">
      <c r="B35721" t="s">
        <v>1</v>
      </c>
      <c r="C35721" t="s">
        <v>334</v>
      </c>
      <c r="D35721" t="s">
        <v>23014</v>
      </c>
    </row>
    <row r="35722" spans="1:4" x14ac:dyDescent="0.2">
      <c r="B35722" t="s">
        <v>4602</v>
      </c>
      <c r="C35722" t="s">
        <v>1044</v>
      </c>
      <c r="D35722" t="s">
        <v>23015</v>
      </c>
    </row>
    <row r="35724" spans="1:4" x14ac:dyDescent="0.2">
      <c r="A35724" t="s">
        <v>11608</v>
      </c>
      <c r="B35724" t="str">
        <f>HYPERLINK("https://lindat.mff.cuni.cz/services/teitok/pdtc10/index.php?action=vallex&amp;frame=v-w4895f1", "přemýšlet (v-w4895f1)")</f>
        <v>přemýšlet (v-w4895f1)</v>
      </c>
    </row>
    <row r="35725" spans="1:4" x14ac:dyDescent="0.2">
      <c r="B35725" t="s">
        <v>1</v>
      </c>
      <c r="C35725" t="s">
        <v>11609</v>
      </c>
      <c r="D35725" t="s">
        <v>24021</v>
      </c>
    </row>
    <row r="35726" spans="1:4" x14ac:dyDescent="0.2">
      <c r="B35726" t="s">
        <v>2469</v>
      </c>
      <c r="C35726" t="s">
        <v>11610</v>
      </c>
      <c r="D35726" t="s">
        <v>24022</v>
      </c>
    </row>
    <row r="35728" spans="1:4" x14ac:dyDescent="0.2">
      <c r="A35728" t="s">
        <v>11611</v>
      </c>
      <c r="B35728" t="str">
        <f>HYPERLINK("https://lindat.mff.cuni.cz/services/teitok/pdtc10/index.php?action=vallex&amp;frame=v-w4877f1", "přeměnit (v-w4877f1)")</f>
        <v>přeměnit (v-w4877f1)</v>
      </c>
    </row>
    <row r="35729" spans="1:4" x14ac:dyDescent="0.2">
      <c r="B35729" t="s">
        <v>1</v>
      </c>
      <c r="C35729" t="s">
        <v>7589</v>
      </c>
      <c r="D35729" t="s">
        <v>22944</v>
      </c>
    </row>
    <row r="35730" spans="1:4" x14ac:dyDescent="0.2">
      <c r="B35730" t="s">
        <v>8</v>
      </c>
      <c r="C35730" t="s">
        <v>11612</v>
      </c>
      <c r="D35730" t="s">
        <v>22945</v>
      </c>
    </row>
    <row r="35731" spans="1:4" x14ac:dyDescent="0.2">
      <c r="B35731" t="s">
        <v>24</v>
      </c>
      <c r="C35731" t="s">
        <v>5399</v>
      </c>
      <c r="D35731" t="s">
        <v>22946</v>
      </c>
    </row>
    <row r="35732" spans="1:4" x14ac:dyDescent="0.2">
      <c r="B35732" t="s">
        <v>8360</v>
      </c>
      <c r="C35732" t="s">
        <v>11613</v>
      </c>
      <c r="D35732" t="s">
        <v>22947</v>
      </c>
    </row>
    <row r="35734" spans="1:4" x14ac:dyDescent="0.2">
      <c r="A35734" t="s">
        <v>11614</v>
      </c>
      <c r="B35734" t="str">
        <f>HYPERLINK("https://lindat.mff.cuni.cz/services/teitok/pdtc10/index.php?action=vallex&amp;frame=v-w11554_ZUf1_ZU", "přeměnit se (v-w11554_ZUf1_ZU)")</f>
        <v>přeměnit se (v-w11554_ZUf1_ZU)</v>
      </c>
    </row>
    <row r="35735" spans="1:4" x14ac:dyDescent="0.2">
      <c r="B35735" t="s">
        <v>1</v>
      </c>
      <c r="C35735" t="s">
        <v>11615</v>
      </c>
      <c r="D35735" t="s">
        <v>23506</v>
      </c>
    </row>
    <row r="35736" spans="1:4" x14ac:dyDescent="0.2">
      <c r="B35736" t="s">
        <v>11616</v>
      </c>
      <c r="C35736" t="s">
        <v>11617</v>
      </c>
      <c r="D35736" t="s">
        <v>23507</v>
      </c>
    </row>
    <row r="35737" spans="1:4" x14ac:dyDescent="0.2">
      <c r="B35737" t="s">
        <v>24</v>
      </c>
      <c r="C35737" t="s">
        <v>10630</v>
      </c>
      <c r="D35737" t="s">
        <v>11827</v>
      </c>
    </row>
    <row r="35739" spans="1:4" x14ac:dyDescent="0.2">
      <c r="A35739" t="s">
        <v>11618</v>
      </c>
      <c r="B35739" t="str">
        <f>HYPERLINK("https://lindat.mff.cuni.cz/services/teitok/pdtc10/index.php?action=vallex&amp;frame=v-w4878f1", "přeměňovat (v-w4878f1)")</f>
        <v>přeměňovat (v-w4878f1)</v>
      </c>
    </row>
    <row r="35740" spans="1:4" x14ac:dyDescent="0.2">
      <c r="B35740" t="s">
        <v>1</v>
      </c>
      <c r="D35740" t="s">
        <v>22944</v>
      </c>
    </row>
    <row r="35741" spans="1:4" x14ac:dyDescent="0.2">
      <c r="B35741" t="s">
        <v>8</v>
      </c>
      <c r="D35741" t="s">
        <v>22945</v>
      </c>
    </row>
    <row r="35742" spans="1:4" x14ac:dyDescent="0.2">
      <c r="B35742" t="s">
        <v>24</v>
      </c>
      <c r="D35742" t="s">
        <v>22946</v>
      </c>
    </row>
    <row r="35743" spans="1:4" x14ac:dyDescent="0.2">
      <c r="B35743" t="s">
        <v>8360</v>
      </c>
      <c r="D35743" t="s">
        <v>22947</v>
      </c>
    </row>
    <row r="35745" spans="1:4" x14ac:dyDescent="0.2">
      <c r="A35745" t="s">
        <v>11619</v>
      </c>
      <c r="B35745" t="str">
        <f>HYPERLINK("https://lindat.mff.cuni.cz/services/teitok/pdtc10/index.php?action=vallex&amp;frame=v-w4879f1", "přeměřit (v-w4879f1)")</f>
        <v>přeměřit (v-w4879f1)</v>
      </c>
    </row>
    <row r="35746" spans="1:4" x14ac:dyDescent="0.2">
      <c r="B35746" t="s">
        <v>1</v>
      </c>
    </row>
    <row r="35747" spans="1:4" x14ac:dyDescent="0.2">
      <c r="B35747" t="s">
        <v>8</v>
      </c>
    </row>
    <row r="35749" spans="1:4" x14ac:dyDescent="0.2">
      <c r="A35749" t="s">
        <v>11620</v>
      </c>
      <c r="B35749" t="str">
        <f>HYPERLINK("https://lindat.mff.cuni.cz/services/teitok/pdtc10/index.php?action=vallex&amp;frame=v-w11555_ZUf1_ZU", "přeměřovat (v-w11555_ZUf1_ZU)")</f>
        <v>přeměřovat (v-w11555_ZUf1_ZU)</v>
      </c>
    </row>
    <row r="35750" spans="1:4" x14ac:dyDescent="0.2">
      <c r="B35750" t="s">
        <v>1</v>
      </c>
      <c r="D35750" t="s">
        <v>317</v>
      </c>
    </row>
    <row r="35751" spans="1:4" x14ac:dyDescent="0.2">
      <c r="B35751" t="s">
        <v>8</v>
      </c>
      <c r="D35751" t="s">
        <v>23935</v>
      </c>
    </row>
    <row r="35753" spans="1:4" x14ac:dyDescent="0.2">
      <c r="A35753" t="s">
        <v>11621</v>
      </c>
      <c r="B35753" t="str">
        <f>HYPERLINK("https://lindat.mff.cuni.cz/services/teitok/pdtc10/index.php?action=vallex&amp;frame=v-whsa_1434f1_ZU", "přendat (v-whsa_1434f1_ZU)")</f>
        <v>přendat (v-whsa_1434f1_ZU)</v>
      </c>
    </row>
    <row r="35754" spans="1:4" x14ac:dyDescent="0.2">
      <c r="B35754" t="s">
        <v>1</v>
      </c>
    </row>
    <row r="35755" spans="1:4" x14ac:dyDescent="0.2">
      <c r="B35755" t="s">
        <v>8</v>
      </c>
    </row>
    <row r="35756" spans="1:4" x14ac:dyDescent="0.2">
      <c r="B35756" t="s">
        <v>333</v>
      </c>
    </row>
    <row r="35757" spans="1:4" x14ac:dyDescent="0.2">
      <c r="B35757" t="s">
        <v>90</v>
      </c>
    </row>
    <row r="35759" spans="1:4" x14ac:dyDescent="0.2">
      <c r="A35759" t="s">
        <v>11621</v>
      </c>
      <c r="B35759" t="str">
        <f>HYPERLINK("https://lindat.mff.cuni.cz/services/teitok/pdtc10/index.php?action=vallex&amp;frame=v-whsa_1434hsa_1435", "přendat (v-whsa_1434hsa_1435) - substituted with v-whsa_1434f1_ZU")</f>
        <v>přendat (v-whsa_1434hsa_1435) - substituted with v-whsa_1434f1_ZU</v>
      </c>
    </row>
    <row r="35760" spans="1:4" x14ac:dyDescent="0.2">
      <c r="B35760" t="s">
        <v>1</v>
      </c>
    </row>
    <row r="35761" spans="1:4" x14ac:dyDescent="0.2">
      <c r="B35761" t="s">
        <v>8</v>
      </c>
    </row>
    <row r="35762" spans="1:4" x14ac:dyDescent="0.2">
      <c r="B35762" t="s">
        <v>333</v>
      </c>
    </row>
    <row r="35763" spans="1:4" x14ac:dyDescent="0.2">
      <c r="B35763" t="s">
        <v>90</v>
      </c>
    </row>
    <row r="35765" spans="1:4" x14ac:dyDescent="0.2">
      <c r="A35765" t="s">
        <v>11622</v>
      </c>
      <c r="B35765" t="str">
        <f>HYPERLINK("https://lindat.mff.cuni.cz/services/teitok/pdtc10/index.php?action=vallex&amp;frame=v-whsb_867hsa_868", "přendávat (v-whsb_867hsa_868)")</f>
        <v>přendávat (v-whsb_867hsa_868)</v>
      </c>
    </row>
    <row r="35766" spans="1:4" x14ac:dyDescent="0.2">
      <c r="B35766" t="s">
        <v>1</v>
      </c>
    </row>
    <row r="35767" spans="1:4" x14ac:dyDescent="0.2">
      <c r="B35767" t="s">
        <v>8</v>
      </c>
    </row>
    <row r="35768" spans="1:4" x14ac:dyDescent="0.2">
      <c r="B35768" t="s">
        <v>333</v>
      </c>
    </row>
    <row r="35769" spans="1:4" x14ac:dyDescent="0.2">
      <c r="B35769" t="s">
        <v>90</v>
      </c>
    </row>
    <row r="35771" spans="1:4" x14ac:dyDescent="0.2">
      <c r="A35771" t="s">
        <v>11623</v>
      </c>
      <c r="B35771" t="str">
        <f>HYPERLINK("https://lindat.mff.cuni.cz/services/teitok/pdtc10/index.php?action=vallex&amp;frame=v-w4901f1", "přenechat (v-w4901f1)")</f>
        <v>přenechat (v-w4901f1)</v>
      </c>
    </row>
    <row r="35772" spans="1:4" x14ac:dyDescent="0.2">
      <c r="B35772" t="s">
        <v>1</v>
      </c>
      <c r="C35772" t="s">
        <v>9234</v>
      </c>
      <c r="D35772" t="s">
        <v>80</v>
      </c>
    </row>
    <row r="35773" spans="1:4" x14ac:dyDescent="0.2">
      <c r="B35773" t="s">
        <v>8</v>
      </c>
      <c r="C35773" t="s">
        <v>11624</v>
      </c>
      <c r="D35773" t="s">
        <v>1510</v>
      </c>
    </row>
    <row r="35774" spans="1:4" x14ac:dyDescent="0.2">
      <c r="B35774" t="s">
        <v>35</v>
      </c>
      <c r="C35774" t="s">
        <v>11625</v>
      </c>
      <c r="D35774" t="s">
        <v>23654</v>
      </c>
    </row>
    <row r="35776" spans="1:4" x14ac:dyDescent="0.2">
      <c r="A35776" t="s">
        <v>11626</v>
      </c>
      <c r="B35776" t="str">
        <f>HYPERLINK("https://lindat.mff.cuni.cz/services/teitok/pdtc10/index.php?action=vallex&amp;frame=v-w4901hsa_1015", "přenechat (v-w4901hsa_1015)")</f>
        <v>přenechat (v-w4901hsa_1015)</v>
      </c>
    </row>
    <row r="35777" spans="1:4" x14ac:dyDescent="0.2">
      <c r="B35777" t="s">
        <v>1</v>
      </c>
      <c r="D35777" t="s">
        <v>80</v>
      </c>
    </row>
    <row r="35778" spans="1:4" x14ac:dyDescent="0.2">
      <c r="B35778" t="s">
        <v>8</v>
      </c>
      <c r="D35778" t="s">
        <v>1510</v>
      </c>
    </row>
    <row r="35779" spans="1:4" x14ac:dyDescent="0.2">
      <c r="B35779" t="s">
        <v>6454</v>
      </c>
      <c r="D35779" t="s">
        <v>23654</v>
      </c>
    </row>
    <row r="35781" spans="1:4" x14ac:dyDescent="0.2">
      <c r="A35781" t="s">
        <v>11627</v>
      </c>
      <c r="B35781" t="str">
        <f>HYPERLINK("https://lindat.mff.cuni.cz/services/teitok/pdtc10/index.php?action=vallex&amp;frame=v-w4902f1", "přenechávat (v-w4902f1)")</f>
        <v>přenechávat (v-w4902f1)</v>
      </c>
    </row>
    <row r="35782" spans="1:4" x14ac:dyDescent="0.2">
      <c r="B35782" t="s">
        <v>1</v>
      </c>
      <c r="D35782" t="s">
        <v>80</v>
      </c>
    </row>
    <row r="35783" spans="1:4" x14ac:dyDescent="0.2">
      <c r="B35783" t="s">
        <v>8</v>
      </c>
      <c r="D35783" t="s">
        <v>1510</v>
      </c>
    </row>
    <row r="35784" spans="1:4" x14ac:dyDescent="0.2">
      <c r="B35784" t="s">
        <v>35</v>
      </c>
      <c r="D35784" t="s">
        <v>23654</v>
      </c>
    </row>
    <row r="35786" spans="1:4" x14ac:dyDescent="0.2">
      <c r="A35786" t="s">
        <v>11628</v>
      </c>
      <c r="B35786" t="str">
        <f>HYPERLINK("https://lindat.mff.cuni.cz/services/teitok/pdtc10/index.php?action=vallex&amp;frame=v-w12076_ZUf1_ZU", "přenocovat (v-w12076_ZUf1_ZU)")</f>
        <v>přenocovat (v-w12076_ZUf1_ZU)</v>
      </c>
    </row>
    <row r="35787" spans="1:4" x14ac:dyDescent="0.2">
      <c r="B35787" t="s">
        <v>1</v>
      </c>
    </row>
    <row r="35789" spans="1:4" x14ac:dyDescent="0.2">
      <c r="A35789" t="s">
        <v>11629</v>
      </c>
      <c r="B35789" t="str">
        <f>HYPERLINK("https://lindat.mff.cuni.cz/services/teitok/pdtc10/index.php?action=vallex&amp;frame=v-w4899f3", "přenášet (v-w4899f3)")</f>
        <v>přenášet (v-w4899f3)</v>
      </c>
    </row>
    <row r="35790" spans="1:4" x14ac:dyDescent="0.2">
      <c r="B35790" t="s">
        <v>1</v>
      </c>
      <c r="C35790" t="s">
        <v>2749</v>
      </c>
      <c r="D35790" t="s">
        <v>3580</v>
      </c>
    </row>
    <row r="35791" spans="1:4" x14ac:dyDescent="0.2">
      <c r="B35791" t="s">
        <v>8</v>
      </c>
      <c r="C35791" t="s">
        <v>2750</v>
      </c>
      <c r="D35791" t="s">
        <v>23652</v>
      </c>
    </row>
    <row r="35792" spans="1:4" x14ac:dyDescent="0.2">
      <c r="B35792" t="s">
        <v>3527</v>
      </c>
      <c r="D35792" t="s">
        <v>24023</v>
      </c>
    </row>
    <row r="35793" spans="1:4" x14ac:dyDescent="0.2">
      <c r="B35793" t="s">
        <v>24</v>
      </c>
    </row>
    <row r="35795" spans="1:4" x14ac:dyDescent="0.2">
      <c r="A35795" t="s">
        <v>11630</v>
      </c>
      <c r="B35795" t="str">
        <f>HYPERLINK("https://lindat.mff.cuni.cz/services/teitok/pdtc10/index.php?action=vallex&amp;frame=v-w4899f1", "přenášet (v-w4899f1)")</f>
        <v>přenášet (v-w4899f1)</v>
      </c>
    </row>
    <row r="35796" spans="1:4" x14ac:dyDescent="0.2">
      <c r="B35796" t="s">
        <v>1</v>
      </c>
      <c r="C35796" t="s">
        <v>334</v>
      </c>
      <c r="D35796" t="s">
        <v>3580</v>
      </c>
    </row>
    <row r="35797" spans="1:4" x14ac:dyDescent="0.2">
      <c r="B35797" t="s">
        <v>8</v>
      </c>
      <c r="C35797" t="s">
        <v>1510</v>
      </c>
      <c r="D35797" t="s">
        <v>23652</v>
      </c>
    </row>
    <row r="35798" spans="1:4" x14ac:dyDescent="0.2">
      <c r="B35798" t="s">
        <v>333</v>
      </c>
    </row>
    <row r="35799" spans="1:4" x14ac:dyDescent="0.2">
      <c r="B35799" t="s">
        <v>90</v>
      </c>
      <c r="D35799" t="s">
        <v>23853</v>
      </c>
    </row>
    <row r="35801" spans="1:4" x14ac:dyDescent="0.2">
      <c r="A35801" t="s">
        <v>11631</v>
      </c>
      <c r="B35801" t="str">
        <f>HYPERLINK("https://lindat.mff.cuni.cz/services/teitok/pdtc10/index.php?action=vallex&amp;frame=v-w4899f2", "přenášet (v-w4899f2)")</f>
        <v>přenášet (v-w4899f2)</v>
      </c>
    </row>
    <row r="35802" spans="1:4" x14ac:dyDescent="0.2">
      <c r="B35802" t="s">
        <v>1</v>
      </c>
      <c r="C35802" t="s">
        <v>10714</v>
      </c>
      <c r="D35802" t="s">
        <v>334</v>
      </c>
    </row>
    <row r="35803" spans="1:4" x14ac:dyDescent="0.2">
      <c r="B35803" t="s">
        <v>8</v>
      </c>
      <c r="C35803" t="s">
        <v>6702</v>
      </c>
      <c r="D35803" t="s">
        <v>1109</v>
      </c>
    </row>
    <row r="35805" spans="1:4" x14ac:dyDescent="0.2">
      <c r="A35805" t="s">
        <v>11632</v>
      </c>
      <c r="B35805" t="str">
        <f>HYPERLINK("https://lindat.mff.cuni.cz/services/teitok/pdtc10/index.php?action=vallex&amp;frame=v-w4899hsa_368", "přenášet (v-w4899hsa_368)")</f>
        <v>přenášet (v-w4899hsa_368)</v>
      </c>
    </row>
    <row r="35806" spans="1:4" x14ac:dyDescent="0.2">
      <c r="B35806" t="s">
        <v>1</v>
      </c>
    </row>
    <row r="35807" spans="1:4" x14ac:dyDescent="0.2">
      <c r="B35807" t="s">
        <v>8</v>
      </c>
    </row>
    <row r="35808" spans="1:4" x14ac:dyDescent="0.2">
      <c r="B35808" t="s">
        <v>3527</v>
      </c>
    </row>
    <row r="35809" spans="1:4" x14ac:dyDescent="0.2">
      <c r="B35809" t="s">
        <v>24</v>
      </c>
    </row>
    <row r="35811" spans="1:4" x14ac:dyDescent="0.2">
      <c r="A35811" t="s">
        <v>11633</v>
      </c>
      <c r="B35811" t="str">
        <f>HYPERLINK("https://lindat.mff.cuni.cz/services/teitok/pdtc10/index.php?action=vallex&amp;frame=v-w4899f4_ZU", "přenášet (v-w4899f4_ZU)")</f>
        <v>přenášet (v-w4899f4_ZU)</v>
      </c>
    </row>
    <row r="35812" spans="1:4" x14ac:dyDescent="0.2">
      <c r="B35812" t="s">
        <v>1</v>
      </c>
    </row>
    <row r="35813" spans="1:4" x14ac:dyDescent="0.2">
      <c r="B35813" t="s">
        <v>8</v>
      </c>
    </row>
    <row r="35815" spans="1:4" x14ac:dyDescent="0.2">
      <c r="A35815" t="s">
        <v>11634</v>
      </c>
      <c r="B35815" t="str">
        <f>HYPERLINK("https://lindat.mff.cuni.cz/services/teitok/pdtc10/index.php?action=vallex&amp;frame=v-w4900f1", "přenášet se (v-w4900f1)")</f>
        <v>přenášet se (v-w4900f1)</v>
      </c>
    </row>
    <row r="35816" spans="1:4" x14ac:dyDescent="0.2">
      <c r="B35816" t="s">
        <v>1</v>
      </c>
    </row>
    <row r="35817" spans="1:4" x14ac:dyDescent="0.2">
      <c r="B35817" t="s">
        <v>333</v>
      </c>
    </row>
    <row r="35818" spans="1:4" x14ac:dyDescent="0.2">
      <c r="B35818" t="s">
        <v>90</v>
      </c>
    </row>
    <row r="35820" spans="1:4" x14ac:dyDescent="0.2">
      <c r="A35820" t="s">
        <v>11635</v>
      </c>
      <c r="B35820" t="str">
        <f>HYPERLINK("https://lindat.mff.cuni.cz/services/teitok/pdtc10/index.php?action=vallex&amp;frame=v-w4904f2", "přenést (v-w4904f2)")</f>
        <v>přenést (v-w4904f2)</v>
      </c>
    </row>
    <row r="35821" spans="1:4" x14ac:dyDescent="0.2">
      <c r="B35821" t="s">
        <v>1</v>
      </c>
      <c r="C35821" t="s">
        <v>80</v>
      </c>
      <c r="D35821" t="s">
        <v>3580</v>
      </c>
    </row>
    <row r="35822" spans="1:4" x14ac:dyDescent="0.2">
      <c r="B35822" t="s">
        <v>8</v>
      </c>
      <c r="C35822" t="s">
        <v>11636</v>
      </c>
      <c r="D35822" t="s">
        <v>23652</v>
      </c>
    </row>
    <row r="35823" spans="1:4" x14ac:dyDescent="0.2">
      <c r="B35823" t="s">
        <v>3527</v>
      </c>
      <c r="C35823" t="s">
        <v>11637</v>
      </c>
      <c r="D35823" t="s">
        <v>24023</v>
      </c>
    </row>
    <row r="35824" spans="1:4" x14ac:dyDescent="0.2">
      <c r="B35824" t="s">
        <v>24</v>
      </c>
      <c r="C35824" t="s">
        <v>11224</v>
      </c>
    </row>
    <row r="35826" spans="1:4" x14ac:dyDescent="0.2">
      <c r="A35826" t="s">
        <v>11638</v>
      </c>
      <c r="B35826" t="str">
        <f>HYPERLINK("https://lindat.mff.cuni.cz/services/teitok/pdtc10/index.php?action=vallex&amp;frame=v-w4904f3", "přenést (v-w4904f3)")</f>
        <v>přenést (v-w4904f3)</v>
      </c>
    </row>
    <row r="35827" spans="1:4" x14ac:dyDescent="0.2">
      <c r="B35827" t="s">
        <v>1</v>
      </c>
      <c r="C35827" t="s">
        <v>33</v>
      </c>
    </row>
    <row r="35828" spans="1:4" x14ac:dyDescent="0.2">
      <c r="B35828" t="s">
        <v>8</v>
      </c>
      <c r="C35828" t="s">
        <v>1044</v>
      </c>
    </row>
    <row r="35829" spans="1:4" x14ac:dyDescent="0.2">
      <c r="B35829" t="s">
        <v>3527</v>
      </c>
      <c r="C35829" t="s">
        <v>6645</v>
      </c>
    </row>
    <row r="35830" spans="1:4" x14ac:dyDescent="0.2">
      <c r="B35830" t="s">
        <v>24</v>
      </c>
    </row>
    <row r="35832" spans="1:4" x14ac:dyDescent="0.2">
      <c r="A35832" t="s">
        <v>11639</v>
      </c>
      <c r="B35832" t="str">
        <f>HYPERLINK("https://lindat.mff.cuni.cz/services/teitok/pdtc10/index.php?action=vallex&amp;frame=v-w4904f1", "přenést (v-w4904f1)")</f>
        <v>přenést (v-w4904f1)</v>
      </c>
    </row>
    <row r="35833" spans="1:4" x14ac:dyDescent="0.2">
      <c r="B35833" t="s">
        <v>1</v>
      </c>
      <c r="C35833" t="s">
        <v>6860</v>
      </c>
      <c r="D35833" t="s">
        <v>3580</v>
      </c>
    </row>
    <row r="35834" spans="1:4" x14ac:dyDescent="0.2">
      <c r="B35834" t="s">
        <v>8</v>
      </c>
      <c r="C35834" t="s">
        <v>5497</v>
      </c>
      <c r="D35834" t="s">
        <v>23652</v>
      </c>
    </row>
    <row r="35835" spans="1:4" x14ac:dyDescent="0.2">
      <c r="B35835" t="s">
        <v>333</v>
      </c>
    </row>
    <row r="35836" spans="1:4" x14ac:dyDescent="0.2">
      <c r="B35836" t="s">
        <v>90</v>
      </c>
      <c r="C35836" t="s">
        <v>11640</v>
      </c>
      <c r="D35836" t="s">
        <v>23853</v>
      </c>
    </row>
    <row r="35838" spans="1:4" x14ac:dyDescent="0.2">
      <c r="A35838" t="s">
        <v>11641</v>
      </c>
      <c r="B35838" t="str">
        <f>HYPERLINK("https://lindat.mff.cuni.cz/services/teitok/pdtc10/index.php?action=vallex&amp;frame=v-w4904f4", "přenést (v-w4904f4)")</f>
        <v>přenést (v-w4904f4)</v>
      </c>
    </row>
    <row r="35839" spans="1:4" x14ac:dyDescent="0.2">
      <c r="B35839" t="s">
        <v>1</v>
      </c>
    </row>
    <row r="35840" spans="1:4" x14ac:dyDescent="0.2">
      <c r="B35840" t="s">
        <v>8</v>
      </c>
    </row>
    <row r="35841" spans="1:4" x14ac:dyDescent="0.2">
      <c r="B35841" t="s">
        <v>8674</v>
      </c>
    </row>
    <row r="35842" spans="1:4" x14ac:dyDescent="0.2">
      <c r="B35842" t="s">
        <v>1260</v>
      </c>
    </row>
    <row r="35844" spans="1:4" x14ac:dyDescent="0.2">
      <c r="A35844" t="s">
        <v>11642</v>
      </c>
      <c r="B35844" t="str">
        <f>HYPERLINK("https://lindat.mff.cuni.cz/services/teitok/pdtc10/index.php?action=vallex&amp;frame=v-w4904hsa_22", "přenést (v-w4904hsa_22)")</f>
        <v>přenést (v-w4904hsa_22)</v>
      </c>
    </row>
    <row r="35845" spans="1:4" x14ac:dyDescent="0.2">
      <c r="B35845" t="s">
        <v>1</v>
      </c>
      <c r="D35845" t="s">
        <v>3580</v>
      </c>
    </row>
    <row r="35846" spans="1:4" x14ac:dyDescent="0.2">
      <c r="B35846" t="s">
        <v>8</v>
      </c>
      <c r="D35846" t="s">
        <v>23652</v>
      </c>
    </row>
    <row r="35847" spans="1:4" x14ac:dyDescent="0.2">
      <c r="B35847" t="s">
        <v>333</v>
      </c>
    </row>
    <row r="35848" spans="1:4" x14ac:dyDescent="0.2">
      <c r="B35848" t="s">
        <v>90</v>
      </c>
      <c r="D35848" t="s">
        <v>23853</v>
      </c>
    </row>
    <row r="35850" spans="1:4" x14ac:dyDescent="0.2">
      <c r="A35850" t="s">
        <v>11643</v>
      </c>
      <c r="B35850" t="str">
        <f>HYPERLINK("https://lindat.mff.cuni.cz/services/teitok/pdtc10/index.php?action=vallex&amp;frame=v-w4905f2", "přenést se (v-w4905f2)")</f>
        <v>přenést se (v-w4905f2)</v>
      </c>
    </row>
    <row r="35851" spans="1:4" x14ac:dyDescent="0.2">
      <c r="B35851" t="s">
        <v>1</v>
      </c>
      <c r="C35851" t="s">
        <v>2097</v>
      </c>
      <c r="D35851" t="s">
        <v>430</v>
      </c>
    </row>
    <row r="35852" spans="1:4" x14ac:dyDescent="0.2">
      <c r="B35852" t="s">
        <v>767</v>
      </c>
      <c r="C35852" t="s">
        <v>1301</v>
      </c>
      <c r="D35852" t="s">
        <v>1128</v>
      </c>
    </row>
    <row r="35854" spans="1:4" x14ac:dyDescent="0.2">
      <c r="A35854" t="s">
        <v>11644</v>
      </c>
      <c r="B35854" t="str">
        <f>HYPERLINK("https://lindat.mff.cuni.cz/services/teitok/pdtc10/index.php?action=vallex&amp;frame=v-w4905f1", "přenést se (v-w4905f1)")</f>
        <v>přenést se (v-w4905f1)</v>
      </c>
    </row>
    <row r="35855" spans="1:4" x14ac:dyDescent="0.2">
      <c r="B35855" t="s">
        <v>1</v>
      </c>
      <c r="C35855" t="s">
        <v>8432</v>
      </c>
    </row>
    <row r="35856" spans="1:4" x14ac:dyDescent="0.2">
      <c r="B35856" t="s">
        <v>333</v>
      </c>
    </row>
    <row r="35857" spans="1:4" x14ac:dyDescent="0.2">
      <c r="B35857" t="s">
        <v>90</v>
      </c>
      <c r="C35857" t="s">
        <v>11242</v>
      </c>
    </row>
    <row r="35859" spans="1:4" x14ac:dyDescent="0.2">
      <c r="A35859" t="s">
        <v>11645</v>
      </c>
      <c r="B35859" t="str">
        <f>HYPERLINK("https://lindat.mff.cuni.cz/services/teitok/pdtc10/index.php?action=vallex&amp;frame=v-w4905f3", "přenést se (v-w4905f3)")</f>
        <v>přenést se (v-w4905f3)</v>
      </c>
    </row>
    <row r="35860" spans="1:4" x14ac:dyDescent="0.2">
      <c r="B35860" t="s">
        <v>1</v>
      </c>
    </row>
    <row r="35862" spans="1:4" x14ac:dyDescent="0.2">
      <c r="A35862" t="s">
        <v>11646</v>
      </c>
      <c r="B35862" t="str">
        <f>HYPERLINK("https://lindat.mff.cuni.cz/services/teitok/pdtc10/index.php?action=vallex&amp;frame=v-whsa_393hsa_394", "přeorganizovat (v-whsa_393hsa_394)")</f>
        <v>přeorganizovat (v-whsa_393hsa_394)</v>
      </c>
    </row>
    <row r="35863" spans="1:4" x14ac:dyDescent="0.2">
      <c r="B35863" t="s">
        <v>1</v>
      </c>
      <c r="C35863" t="s">
        <v>140</v>
      </c>
      <c r="D35863" t="s">
        <v>33</v>
      </c>
    </row>
    <row r="35864" spans="1:4" x14ac:dyDescent="0.2">
      <c r="B35864" t="s">
        <v>8</v>
      </c>
      <c r="C35864" t="s">
        <v>991</v>
      </c>
      <c r="D35864" t="s">
        <v>84</v>
      </c>
    </row>
    <row r="35865" spans="1:4" x14ac:dyDescent="0.2">
      <c r="B35865" t="s">
        <v>24</v>
      </c>
    </row>
    <row r="35866" spans="1:4" x14ac:dyDescent="0.2">
      <c r="B35866" t="s">
        <v>61</v>
      </c>
    </row>
    <row r="35868" spans="1:4" x14ac:dyDescent="0.2">
      <c r="A35868" t="s">
        <v>11647</v>
      </c>
      <c r="B35868" t="str">
        <f>HYPERLINK("https://lindat.mff.cuni.cz/services/teitok/pdtc10/index.php?action=vallex&amp;frame=v-w11266f1", "přeorientovat (v-w11266f1)")</f>
        <v>přeorientovat (v-w11266f1)</v>
      </c>
    </row>
    <row r="35869" spans="1:4" x14ac:dyDescent="0.2">
      <c r="B35869" t="s">
        <v>1</v>
      </c>
      <c r="C35869" t="s">
        <v>140</v>
      </c>
      <c r="D35869" t="s">
        <v>140</v>
      </c>
    </row>
    <row r="35870" spans="1:4" x14ac:dyDescent="0.2">
      <c r="B35870" t="s">
        <v>8</v>
      </c>
      <c r="C35870" t="s">
        <v>34</v>
      </c>
      <c r="D35870" t="s">
        <v>34</v>
      </c>
    </row>
    <row r="35871" spans="1:4" x14ac:dyDescent="0.2">
      <c r="B35871" t="s">
        <v>90</v>
      </c>
    </row>
    <row r="35873" spans="1:4" x14ac:dyDescent="0.2">
      <c r="A35873" t="s">
        <v>11648</v>
      </c>
      <c r="B35873" t="str">
        <f>HYPERLINK("https://lindat.mff.cuni.cz/services/teitok/pdtc10/index.php?action=vallex&amp;frame=v-w4907f1", "přeorientovat se (v-w4907f1)")</f>
        <v>přeorientovat se (v-w4907f1)</v>
      </c>
    </row>
    <row r="35874" spans="1:4" x14ac:dyDescent="0.2">
      <c r="B35874" t="s">
        <v>1</v>
      </c>
      <c r="C35874" t="s">
        <v>6672</v>
      </c>
      <c r="D35874" t="s">
        <v>23987</v>
      </c>
    </row>
    <row r="35875" spans="1:4" x14ac:dyDescent="0.2">
      <c r="B35875" t="s">
        <v>28</v>
      </c>
      <c r="C35875" t="s">
        <v>11649</v>
      </c>
      <c r="D35875" t="s">
        <v>23988</v>
      </c>
    </row>
    <row r="35877" spans="1:4" x14ac:dyDescent="0.2">
      <c r="A35877" t="s">
        <v>11650</v>
      </c>
      <c r="B35877" t="str">
        <f>HYPERLINK("https://lindat.mff.cuni.cz/services/teitok/pdtc10/index.php?action=vallex&amp;frame=v-w4907f2", "přeorientovat se (v-w4907f2)")</f>
        <v>přeorientovat se (v-w4907f2)</v>
      </c>
    </row>
    <row r="35878" spans="1:4" x14ac:dyDescent="0.2">
      <c r="B35878" t="s">
        <v>1</v>
      </c>
    </row>
    <row r="35880" spans="1:4" x14ac:dyDescent="0.2">
      <c r="A35880" t="s">
        <v>11651</v>
      </c>
      <c r="B35880" t="str">
        <f>HYPERLINK("https://lindat.mff.cuni.cz/services/teitok/pdtc10/index.php?action=vallex&amp;frame=v-w4910f1", "přepadat (v-w4910f1)")</f>
        <v>přepadat (v-w4910f1)</v>
      </c>
    </row>
    <row r="35881" spans="1:4" x14ac:dyDescent="0.2">
      <c r="B35881" t="s">
        <v>1</v>
      </c>
      <c r="D35881" t="s">
        <v>22964</v>
      </c>
    </row>
    <row r="35882" spans="1:4" x14ac:dyDescent="0.2">
      <c r="B35882" t="s">
        <v>8</v>
      </c>
      <c r="D35882" t="s">
        <v>1798</v>
      </c>
    </row>
    <row r="35884" spans="1:4" x14ac:dyDescent="0.2">
      <c r="A35884" t="s">
        <v>11652</v>
      </c>
      <c r="B35884" t="str">
        <f>HYPERLINK("https://lindat.mff.cuni.cz/services/teitok/pdtc10/index.php?action=vallex&amp;frame=v-w4912f1", "přepadnout (v-w4912f1)")</f>
        <v>přepadnout (v-w4912f1)</v>
      </c>
    </row>
    <row r="35885" spans="1:4" x14ac:dyDescent="0.2">
      <c r="B35885" t="s">
        <v>1</v>
      </c>
      <c r="C35885" t="s">
        <v>33</v>
      </c>
      <c r="D35885" t="s">
        <v>22964</v>
      </c>
    </row>
    <row r="35886" spans="1:4" x14ac:dyDescent="0.2">
      <c r="B35886" t="s">
        <v>8</v>
      </c>
      <c r="C35886" t="s">
        <v>1044</v>
      </c>
      <c r="D35886" t="s">
        <v>1798</v>
      </c>
    </row>
    <row r="35888" spans="1:4" x14ac:dyDescent="0.2">
      <c r="A35888" t="s">
        <v>11653</v>
      </c>
      <c r="B35888" t="str">
        <f>HYPERLINK("https://lindat.mff.cuni.cz/services/teitok/pdtc10/index.php?action=vallex&amp;frame=v-w4912hsa_1892", "přepadnout (v-w4912hsa_1892)")</f>
        <v>přepadnout (v-w4912hsa_1892)</v>
      </c>
    </row>
    <row r="35889" spans="1:4" x14ac:dyDescent="0.2">
      <c r="B35889" t="s">
        <v>1</v>
      </c>
    </row>
    <row r="35890" spans="1:4" x14ac:dyDescent="0.2">
      <c r="B35890" t="s">
        <v>8</v>
      </c>
    </row>
    <row r="35892" spans="1:4" x14ac:dyDescent="0.2">
      <c r="A35892" t="s">
        <v>11654</v>
      </c>
      <c r="B35892" t="str">
        <f>HYPERLINK("https://lindat.mff.cuni.cz/services/teitok/pdtc10/index.php?action=vallex&amp;frame=v-w11894_ZUf1_ZU", "přepadávat (v-w11894_ZUf1_ZU)")</f>
        <v>přepadávat (v-w11894_ZUf1_ZU)</v>
      </c>
    </row>
    <row r="35893" spans="1:4" x14ac:dyDescent="0.2">
      <c r="B35893" t="s">
        <v>1</v>
      </c>
    </row>
    <row r="35894" spans="1:4" x14ac:dyDescent="0.2">
      <c r="B35894" t="s">
        <v>8</v>
      </c>
    </row>
    <row r="35896" spans="1:4" x14ac:dyDescent="0.2">
      <c r="A35896" t="s">
        <v>11655</v>
      </c>
      <c r="B35896" t="str">
        <f>HYPERLINK("https://lindat.mff.cuni.cz/services/teitok/pdtc10/index.php?action=vallex&amp;frame=v-whsa_235f1_ZU", "přepalovat se (v-whsa_235f1_ZU)")</f>
        <v>přepalovat se (v-whsa_235f1_ZU)</v>
      </c>
    </row>
    <row r="35897" spans="1:4" x14ac:dyDescent="0.2">
      <c r="B35897" t="s">
        <v>1</v>
      </c>
    </row>
    <row r="35899" spans="1:4" x14ac:dyDescent="0.2">
      <c r="A35899" t="s">
        <v>11656</v>
      </c>
      <c r="B35899" t="str">
        <f>HYPERLINK("https://lindat.mff.cuni.cz/services/teitok/pdtc10/index.php?action=vallex&amp;frame=v-whsb_235hsa_236", "přepalovat se (v-whsb_235hsa_236)")</f>
        <v>přepalovat se (v-whsb_235hsa_236)</v>
      </c>
    </row>
    <row r="35900" spans="1:4" x14ac:dyDescent="0.2">
      <c r="B35900" t="s">
        <v>1</v>
      </c>
    </row>
    <row r="35902" spans="1:4" x14ac:dyDescent="0.2">
      <c r="A35902" t="s">
        <v>11657</v>
      </c>
      <c r="B35902" t="str">
        <f>HYPERLINK("https://lindat.mff.cuni.cz/services/teitok/pdtc10/index.php?action=vallex&amp;frame=v-w4916f1", "přepisovat (v-w4916f1)")</f>
        <v>přepisovat (v-w4916f1)</v>
      </c>
    </row>
    <row r="35903" spans="1:4" x14ac:dyDescent="0.2">
      <c r="B35903" t="s">
        <v>1</v>
      </c>
      <c r="C35903" t="s">
        <v>133</v>
      </c>
      <c r="D35903" t="s">
        <v>22978</v>
      </c>
    </row>
    <row r="35904" spans="1:4" x14ac:dyDescent="0.2">
      <c r="B35904" t="s">
        <v>8</v>
      </c>
      <c r="C35904" t="s">
        <v>1128</v>
      </c>
      <c r="D35904" t="s">
        <v>22979</v>
      </c>
    </row>
    <row r="35906" spans="1:4" x14ac:dyDescent="0.2">
      <c r="A35906" t="s">
        <v>11658</v>
      </c>
      <c r="B35906" t="str">
        <f>HYPERLINK("https://lindat.mff.cuni.cz/services/teitok/pdtc10/index.php?action=vallex&amp;frame=v-w10675f2", "přeplatit (v-w10675f2)")</f>
        <v>přeplatit (v-w10675f2)</v>
      </c>
    </row>
    <row r="35907" spans="1:4" x14ac:dyDescent="0.2">
      <c r="B35907" t="s">
        <v>1</v>
      </c>
      <c r="C35907" t="s">
        <v>140</v>
      </c>
      <c r="D35907" t="s">
        <v>249</v>
      </c>
    </row>
    <row r="35908" spans="1:4" x14ac:dyDescent="0.2">
      <c r="B35908" t="s">
        <v>8</v>
      </c>
      <c r="C35908" t="s">
        <v>113</v>
      </c>
      <c r="D35908" t="s">
        <v>7745</v>
      </c>
    </row>
    <row r="35910" spans="1:4" x14ac:dyDescent="0.2">
      <c r="A35910" t="s">
        <v>11659</v>
      </c>
      <c r="B35910" t="str">
        <f>HYPERLINK("https://lindat.mff.cuni.cz/services/teitok/pdtc10/index.php?action=vallex&amp;frame=v-whsa_1162f1_ZU", "přeplavat (v-whsa_1162f1_ZU)")</f>
        <v>přeplavat (v-whsa_1162f1_ZU)</v>
      </c>
    </row>
    <row r="35911" spans="1:4" x14ac:dyDescent="0.2">
      <c r="B35911" t="s">
        <v>1</v>
      </c>
    </row>
    <row r="35912" spans="1:4" x14ac:dyDescent="0.2">
      <c r="B35912" t="s">
        <v>333</v>
      </c>
    </row>
    <row r="35913" spans="1:4" x14ac:dyDescent="0.2">
      <c r="B35913" t="s">
        <v>90</v>
      </c>
    </row>
    <row r="35915" spans="1:4" x14ac:dyDescent="0.2">
      <c r="A35915" t="s">
        <v>11659</v>
      </c>
      <c r="B35915" t="str">
        <f>HYPERLINK("https://lindat.mff.cuni.cz/services/teitok/pdtc10/index.php?action=vallex&amp;frame=v-whsb_1162hsa_1163", "přeplavat (v-whsb_1162hsa_1163) - substituted with v-whsa_1162f1_ZU")</f>
        <v>přeplavat (v-whsb_1162hsa_1163) - substituted with v-whsa_1162f1_ZU</v>
      </c>
    </row>
    <row r="35916" spans="1:4" x14ac:dyDescent="0.2">
      <c r="B35916" t="s">
        <v>1</v>
      </c>
    </row>
    <row r="35917" spans="1:4" x14ac:dyDescent="0.2">
      <c r="B35917" t="s">
        <v>333</v>
      </c>
    </row>
    <row r="35918" spans="1:4" x14ac:dyDescent="0.2">
      <c r="B35918" t="s">
        <v>90</v>
      </c>
    </row>
    <row r="35920" spans="1:4" x14ac:dyDescent="0.2">
      <c r="A35920" t="s">
        <v>11660</v>
      </c>
      <c r="B35920" t="str">
        <f>HYPERLINK("https://lindat.mff.cuni.cz/services/teitok/pdtc10/index.php?action=vallex&amp;frame=v-whsa_1162f2_ZU", "přeplavat (v-whsa_1162f2_ZU)")</f>
        <v>přeplavat (v-whsa_1162f2_ZU)</v>
      </c>
    </row>
    <row r="35921" spans="1:2" x14ac:dyDescent="0.2">
      <c r="B35921" t="s">
        <v>1</v>
      </c>
    </row>
    <row r="35922" spans="1:2" x14ac:dyDescent="0.2">
      <c r="B35922" t="s">
        <v>8</v>
      </c>
    </row>
    <row r="35924" spans="1:2" x14ac:dyDescent="0.2">
      <c r="A35924" t="s">
        <v>11660</v>
      </c>
      <c r="B35924" t="str">
        <f>HYPERLINK("https://lindat.mff.cuni.cz/services/teitok/pdtc10/index.php?action=vallex&amp;frame=v-whsa_1162hsa_1164", "přeplavat (v-whsa_1162hsa_1164) - substituted with v-whsa_1162f2_ZU")</f>
        <v>přeplavat (v-whsa_1162hsa_1164) - substituted with v-whsa_1162f2_ZU</v>
      </c>
    </row>
    <row r="35925" spans="1:2" x14ac:dyDescent="0.2">
      <c r="B35925" t="s">
        <v>1</v>
      </c>
    </row>
    <row r="35926" spans="1:2" x14ac:dyDescent="0.2">
      <c r="B35926" t="s">
        <v>8</v>
      </c>
    </row>
    <row r="35928" spans="1:2" x14ac:dyDescent="0.2">
      <c r="A35928" t="s">
        <v>11661</v>
      </c>
      <c r="B35928" t="str">
        <f>HYPERLINK("https://lindat.mff.cuni.cz/services/teitok/pdtc10/index.php?action=vallex&amp;frame=v-whsa_1314f1_ZU", "přeplavit (v-whsa_1314f1_ZU)")</f>
        <v>přeplavit (v-whsa_1314f1_ZU)</v>
      </c>
    </row>
    <row r="35929" spans="1:2" x14ac:dyDescent="0.2">
      <c r="B35929" t="s">
        <v>1</v>
      </c>
    </row>
    <row r="35930" spans="1:2" x14ac:dyDescent="0.2">
      <c r="B35930" t="s">
        <v>8</v>
      </c>
    </row>
    <row r="35931" spans="1:2" x14ac:dyDescent="0.2">
      <c r="B35931" t="s">
        <v>333</v>
      </c>
    </row>
    <row r="35932" spans="1:2" x14ac:dyDescent="0.2">
      <c r="B35932" t="s">
        <v>90</v>
      </c>
    </row>
    <row r="35934" spans="1:2" x14ac:dyDescent="0.2">
      <c r="A35934" t="s">
        <v>11661</v>
      </c>
      <c r="B35934" t="str">
        <f>HYPERLINK("https://lindat.mff.cuni.cz/services/teitok/pdtc10/index.php?action=vallex&amp;frame=v-whsa_1314hsa_1315", "přeplavit (v-whsa_1314hsa_1315) - substituted with v-whsa_1314f1_ZU")</f>
        <v>přeplavit (v-whsa_1314hsa_1315) - substituted with v-whsa_1314f1_ZU</v>
      </c>
    </row>
    <row r="35935" spans="1:2" x14ac:dyDescent="0.2">
      <c r="B35935" t="s">
        <v>1</v>
      </c>
    </row>
    <row r="35936" spans="1:2" x14ac:dyDescent="0.2">
      <c r="B35936" t="s">
        <v>8</v>
      </c>
    </row>
    <row r="35937" spans="1:4" x14ac:dyDescent="0.2">
      <c r="B35937" t="s">
        <v>333</v>
      </c>
    </row>
    <row r="35938" spans="1:4" x14ac:dyDescent="0.2">
      <c r="B35938" t="s">
        <v>90</v>
      </c>
    </row>
    <row r="35940" spans="1:4" x14ac:dyDescent="0.2">
      <c r="A35940" t="s">
        <v>11662</v>
      </c>
      <c r="B35940" t="str">
        <f>HYPERLINK("https://lindat.mff.cuni.cz/services/teitok/pdtc10/index.php?action=vallex&amp;frame=v-w4922f2", "přeplnit (v-w4922f2)")</f>
        <v>přeplnit (v-w4922f2)</v>
      </c>
    </row>
    <row r="35941" spans="1:4" x14ac:dyDescent="0.2">
      <c r="B35941" t="s">
        <v>1</v>
      </c>
    </row>
    <row r="35942" spans="1:4" x14ac:dyDescent="0.2">
      <c r="B35942" t="s">
        <v>8</v>
      </c>
    </row>
    <row r="35943" spans="1:4" x14ac:dyDescent="0.2">
      <c r="B35943" t="s">
        <v>5479</v>
      </c>
    </row>
    <row r="35945" spans="1:4" x14ac:dyDescent="0.2">
      <c r="A35945" t="s">
        <v>11663</v>
      </c>
      <c r="B35945" t="str">
        <f>HYPERLINK("https://lindat.mff.cuni.cz/services/teitok/pdtc10/index.php?action=vallex&amp;frame=v-w4922f1", "přeplnit (v-w4922f1)")</f>
        <v>přeplnit (v-w4922f1)</v>
      </c>
    </row>
    <row r="35946" spans="1:4" x14ac:dyDescent="0.2">
      <c r="B35946" t="s">
        <v>1</v>
      </c>
    </row>
    <row r="35947" spans="1:4" x14ac:dyDescent="0.2">
      <c r="B35947" t="s">
        <v>8</v>
      </c>
    </row>
    <row r="35949" spans="1:4" x14ac:dyDescent="0.2">
      <c r="A35949" t="s">
        <v>11664</v>
      </c>
      <c r="B35949" t="str">
        <f>HYPERLINK("https://lindat.mff.cuni.cz/services/teitok/pdtc10/index.php?action=vallex&amp;frame=v-w4918f1", "přeplácet (v-w4918f1)")</f>
        <v>přeplácet (v-w4918f1)</v>
      </c>
    </row>
    <row r="35950" spans="1:4" x14ac:dyDescent="0.2">
      <c r="B35950" t="s">
        <v>1</v>
      </c>
      <c r="C35950" t="s">
        <v>33</v>
      </c>
      <c r="D35950" t="s">
        <v>249</v>
      </c>
    </row>
    <row r="35951" spans="1:4" x14ac:dyDescent="0.2">
      <c r="B35951" t="s">
        <v>8</v>
      </c>
      <c r="C35951" t="s">
        <v>1301</v>
      </c>
      <c r="D35951" t="s">
        <v>7745</v>
      </c>
    </row>
    <row r="35953" spans="1:2" x14ac:dyDescent="0.2">
      <c r="A35953" t="s">
        <v>11665</v>
      </c>
      <c r="B35953" t="str">
        <f>HYPERLINK("https://lindat.mff.cuni.cz/services/teitok/pdtc10/index.php?action=vallex&amp;frame=v-w10662f2", "přeplánovat (v-w10662f2)")</f>
        <v>přeplánovat (v-w10662f2)</v>
      </c>
    </row>
    <row r="35954" spans="1:2" x14ac:dyDescent="0.2">
      <c r="B35954" t="s">
        <v>1</v>
      </c>
    </row>
    <row r="35955" spans="1:2" x14ac:dyDescent="0.2">
      <c r="B35955" t="s">
        <v>8</v>
      </c>
    </row>
    <row r="35957" spans="1:2" x14ac:dyDescent="0.2">
      <c r="A35957" t="s">
        <v>11666</v>
      </c>
      <c r="B35957" t="str">
        <f>HYPERLINK("https://lindat.mff.cuni.cz/services/teitok/pdtc10/index.php?action=vallex&amp;frame=v-w10738f3", "přepnout (v-w10738f3)")</f>
        <v>přepnout (v-w10738f3)</v>
      </c>
    </row>
    <row r="35958" spans="1:2" x14ac:dyDescent="0.2">
      <c r="B35958" t="s">
        <v>1</v>
      </c>
    </row>
    <row r="35959" spans="1:2" x14ac:dyDescent="0.2">
      <c r="B35959" t="s">
        <v>4318</v>
      </c>
    </row>
    <row r="35960" spans="1:2" x14ac:dyDescent="0.2">
      <c r="B35960" t="s">
        <v>24</v>
      </c>
    </row>
    <row r="35962" spans="1:2" x14ac:dyDescent="0.2">
      <c r="A35962" t="s">
        <v>11667</v>
      </c>
      <c r="B35962" t="str">
        <f>HYPERLINK("https://lindat.mff.cuni.cz/services/teitok/pdtc10/index.php?action=vallex&amp;frame=v-w10738f2", "přepnout (v-w10738f2)")</f>
        <v>přepnout (v-w10738f2)</v>
      </c>
    </row>
    <row r="35963" spans="1:2" x14ac:dyDescent="0.2">
      <c r="B35963" t="s">
        <v>1</v>
      </c>
    </row>
    <row r="35964" spans="1:2" x14ac:dyDescent="0.2">
      <c r="B35964" t="s">
        <v>8</v>
      </c>
    </row>
    <row r="35965" spans="1:2" x14ac:dyDescent="0.2">
      <c r="B35965" t="s">
        <v>333</v>
      </c>
    </row>
    <row r="35966" spans="1:2" x14ac:dyDescent="0.2">
      <c r="B35966" t="s">
        <v>90</v>
      </c>
    </row>
    <row r="35968" spans="1:2" x14ac:dyDescent="0.2">
      <c r="A35968" t="s">
        <v>11668</v>
      </c>
      <c r="B35968" t="str">
        <f>HYPERLINK("https://lindat.mff.cuni.cz/services/teitok/pdtc10/index.php?action=vallex&amp;frame=v-whsa_1023hsa_1024", "přepnout se (v-whsa_1023hsa_1024)")</f>
        <v>přepnout se (v-whsa_1023hsa_1024)</v>
      </c>
    </row>
    <row r="35969" spans="1:4" x14ac:dyDescent="0.2">
      <c r="B35969" t="s">
        <v>1</v>
      </c>
      <c r="C35969" t="s">
        <v>11669</v>
      </c>
      <c r="D35969" t="s">
        <v>23987</v>
      </c>
    </row>
    <row r="35970" spans="1:4" x14ac:dyDescent="0.2">
      <c r="B35970" t="s">
        <v>28</v>
      </c>
      <c r="C35970" t="s">
        <v>11670</v>
      </c>
      <c r="D35970" t="s">
        <v>23988</v>
      </c>
    </row>
    <row r="35971" spans="1:4" x14ac:dyDescent="0.2">
      <c r="B35971" t="s">
        <v>24</v>
      </c>
      <c r="C35971" t="s">
        <v>5435</v>
      </c>
      <c r="D35971" t="s">
        <v>11224</v>
      </c>
    </row>
    <row r="35973" spans="1:4" x14ac:dyDescent="0.2">
      <c r="A35973" t="s">
        <v>11671</v>
      </c>
      <c r="B35973" t="str">
        <f>HYPERLINK("https://lindat.mff.cuni.cz/services/teitok/pdtc10/index.php?action=vallex&amp;frame=v-w4925f1", "přepojit (v-w4925f1)")</f>
        <v>přepojit (v-w4925f1)</v>
      </c>
    </row>
    <row r="35974" spans="1:4" x14ac:dyDescent="0.2">
      <c r="B35974" t="s">
        <v>1</v>
      </c>
    </row>
    <row r="35975" spans="1:4" x14ac:dyDescent="0.2">
      <c r="B35975" t="s">
        <v>8</v>
      </c>
    </row>
    <row r="35976" spans="1:4" x14ac:dyDescent="0.2">
      <c r="B35976" t="s">
        <v>333</v>
      </c>
    </row>
    <row r="35977" spans="1:4" x14ac:dyDescent="0.2">
      <c r="B35977" t="s">
        <v>90</v>
      </c>
    </row>
    <row r="35979" spans="1:4" x14ac:dyDescent="0.2">
      <c r="A35979" t="s">
        <v>11672</v>
      </c>
      <c r="B35979" t="str">
        <f>HYPERLINK("https://lindat.mff.cuni.cz/services/teitok/pdtc10/index.php?action=vallex&amp;frame=v-w11334f1", "přeposílat (v-w11334f1)")</f>
        <v>přeposílat (v-w11334f1)</v>
      </c>
    </row>
    <row r="35980" spans="1:4" x14ac:dyDescent="0.2">
      <c r="B35980" t="s">
        <v>1</v>
      </c>
      <c r="D35980" t="s">
        <v>440</v>
      </c>
    </row>
    <row r="35981" spans="1:4" x14ac:dyDescent="0.2">
      <c r="B35981" t="s">
        <v>8</v>
      </c>
      <c r="D35981" t="s">
        <v>24024</v>
      </c>
    </row>
    <row r="35982" spans="1:4" x14ac:dyDescent="0.2">
      <c r="B35982" t="s">
        <v>35</v>
      </c>
      <c r="D35982" t="s">
        <v>24025</v>
      </c>
    </row>
    <row r="35984" spans="1:4" x14ac:dyDescent="0.2">
      <c r="A35984" t="s">
        <v>11673</v>
      </c>
      <c r="B35984" t="str">
        <f>HYPERLINK("https://lindat.mff.cuni.cz/services/teitok/pdtc10/index.php?action=vallex&amp;frame=v-w10696f3_ZU", "přepočíst (v-w10696f3_ZU)")</f>
        <v>přepočíst (v-w10696f3_ZU)</v>
      </c>
    </row>
    <row r="35985" spans="1:4" x14ac:dyDescent="0.2">
      <c r="B35985" t="s">
        <v>1</v>
      </c>
    </row>
    <row r="35986" spans="1:4" x14ac:dyDescent="0.2">
      <c r="B35986" t="s">
        <v>41</v>
      </c>
    </row>
    <row r="35987" spans="1:4" x14ac:dyDescent="0.2">
      <c r="B35987" t="s">
        <v>61</v>
      </c>
    </row>
    <row r="35989" spans="1:4" x14ac:dyDescent="0.2">
      <c r="A35989" t="s">
        <v>11673</v>
      </c>
      <c r="B35989" t="str">
        <f>HYPERLINK("https://lindat.mff.cuni.cz/services/teitok/pdtc10/index.php?action=vallex&amp;frame=v-w10696f2", "přepočíst (v-w10696f2) - substituted with v-w10696f3_ZU")</f>
        <v>přepočíst (v-w10696f2) - substituted with v-w10696f3_ZU</v>
      </c>
    </row>
    <row r="35990" spans="1:4" x14ac:dyDescent="0.2">
      <c r="B35990" t="s">
        <v>1</v>
      </c>
      <c r="C35990" t="s">
        <v>133</v>
      </c>
      <c r="D35990" t="s">
        <v>9876</v>
      </c>
    </row>
    <row r="35991" spans="1:4" x14ac:dyDescent="0.2">
      <c r="B35991" t="s">
        <v>41</v>
      </c>
      <c r="C35991" t="s">
        <v>1340</v>
      </c>
      <c r="D35991" t="s">
        <v>10526</v>
      </c>
    </row>
    <row r="35992" spans="1:4" x14ac:dyDescent="0.2">
      <c r="B35992" t="s">
        <v>61</v>
      </c>
    </row>
    <row r="35994" spans="1:4" x14ac:dyDescent="0.2">
      <c r="A35994" t="s">
        <v>11674</v>
      </c>
      <c r="B35994" t="str">
        <f>HYPERLINK("https://lindat.mff.cuni.cz/services/teitok/pdtc10/index.php?action=vallex&amp;frame=v-w11556_ZUf2_ZU", "přepočítat (v-w11556_ZUf2_ZU)")</f>
        <v>přepočítat (v-w11556_ZUf2_ZU)</v>
      </c>
    </row>
    <row r="35995" spans="1:4" x14ac:dyDescent="0.2">
      <c r="B35995" t="s">
        <v>1</v>
      </c>
      <c r="C35995" t="s">
        <v>11675</v>
      </c>
    </row>
    <row r="35996" spans="1:4" x14ac:dyDescent="0.2">
      <c r="B35996" t="s">
        <v>8</v>
      </c>
      <c r="C35996" t="s">
        <v>11676</v>
      </c>
    </row>
    <row r="35997" spans="1:4" x14ac:dyDescent="0.2">
      <c r="B35997" t="s">
        <v>24</v>
      </c>
    </row>
    <row r="35998" spans="1:4" x14ac:dyDescent="0.2">
      <c r="B35998" t="s">
        <v>61</v>
      </c>
      <c r="C35998" t="s">
        <v>11677</v>
      </c>
    </row>
    <row r="36000" spans="1:4" x14ac:dyDescent="0.2">
      <c r="A36000" t="s">
        <v>11674</v>
      </c>
      <c r="B36000" t="str">
        <f>HYPERLINK("https://lindat.mff.cuni.cz/services/teitok/pdtc10/index.php?action=vallex&amp;frame=v-w11556_ZUf1_ZU", "přepočítat (v-w11556_ZUf1_ZU) - substituted with v-w11556_ZUf2_ZU")</f>
        <v>přepočítat (v-w11556_ZUf1_ZU) - substituted with v-w11556_ZUf2_ZU</v>
      </c>
    </row>
    <row r="36001" spans="1:4" x14ac:dyDescent="0.2">
      <c r="B36001" t="s">
        <v>1</v>
      </c>
    </row>
    <row r="36002" spans="1:4" x14ac:dyDescent="0.2">
      <c r="B36002" t="s">
        <v>8</v>
      </c>
    </row>
    <row r="36003" spans="1:4" x14ac:dyDescent="0.2">
      <c r="B36003" t="s">
        <v>24</v>
      </c>
    </row>
    <row r="36004" spans="1:4" x14ac:dyDescent="0.2">
      <c r="B36004" t="s">
        <v>61</v>
      </c>
    </row>
    <row r="36006" spans="1:4" x14ac:dyDescent="0.2">
      <c r="A36006" t="s">
        <v>11678</v>
      </c>
      <c r="B36006" t="str">
        <f>HYPERLINK("https://lindat.mff.cuni.cz/services/teitok/pdtc10/index.php?action=vallex&amp;frame=v-w11556_ZUhsa_574", "přepočítat (v-w11556_ZUhsa_574)")</f>
        <v>přepočítat (v-w11556_ZUhsa_574)</v>
      </c>
    </row>
    <row r="36007" spans="1:4" x14ac:dyDescent="0.2">
      <c r="B36007" t="s">
        <v>1</v>
      </c>
      <c r="C36007" t="s">
        <v>83</v>
      </c>
      <c r="D36007" t="s">
        <v>9876</v>
      </c>
    </row>
    <row r="36008" spans="1:4" x14ac:dyDescent="0.2">
      <c r="B36008" t="s">
        <v>8</v>
      </c>
      <c r="C36008" t="s">
        <v>1190</v>
      </c>
      <c r="D36008" t="s">
        <v>10526</v>
      </c>
    </row>
    <row r="36010" spans="1:4" x14ac:dyDescent="0.2">
      <c r="A36010" t="s">
        <v>11679</v>
      </c>
      <c r="B36010" t="str">
        <f>HYPERLINK("https://lindat.mff.cuni.cz/services/teitok/pdtc10/index.php?action=vallex&amp;frame=v-w4924f1", "přepočítat se (v-w4924f1)")</f>
        <v>přepočítat se (v-w4924f1)</v>
      </c>
    </row>
    <row r="36011" spans="1:4" x14ac:dyDescent="0.2">
      <c r="B36011" t="s">
        <v>1</v>
      </c>
      <c r="C36011" t="s">
        <v>430</v>
      </c>
    </row>
    <row r="36013" spans="1:4" x14ac:dyDescent="0.2">
      <c r="A36013" t="s">
        <v>11680</v>
      </c>
      <c r="B36013" t="str">
        <f>HYPERLINK("https://lindat.mff.cuni.cz/services/teitok/pdtc10/index.php?action=vallex&amp;frame=v-w10171f2", "přepočítávat (v-w10171f2)")</f>
        <v>přepočítávat (v-w10171f2)</v>
      </c>
    </row>
    <row r="36014" spans="1:4" x14ac:dyDescent="0.2">
      <c r="B36014" t="s">
        <v>1</v>
      </c>
      <c r="C36014" t="s">
        <v>33</v>
      </c>
      <c r="D36014" t="s">
        <v>23711</v>
      </c>
    </row>
    <row r="36015" spans="1:4" x14ac:dyDescent="0.2">
      <c r="B36015" t="s">
        <v>41</v>
      </c>
      <c r="C36015" t="s">
        <v>991</v>
      </c>
      <c r="D36015" t="s">
        <v>6566</v>
      </c>
    </row>
    <row r="36017" spans="1:4" x14ac:dyDescent="0.2">
      <c r="A36017" t="s">
        <v>11681</v>
      </c>
      <c r="B36017" t="str">
        <f>HYPERLINK("https://lindat.mff.cuni.cz/services/teitok/pdtc10/index.php?action=vallex&amp;frame=v-w4927f3", "přepracovat (v-w4927f3)")</f>
        <v>přepracovat (v-w4927f3)</v>
      </c>
    </row>
    <row r="36018" spans="1:4" x14ac:dyDescent="0.2">
      <c r="B36018" t="s">
        <v>1</v>
      </c>
      <c r="C36018" t="s">
        <v>2303</v>
      </c>
      <c r="D36018" t="s">
        <v>24026</v>
      </c>
    </row>
    <row r="36019" spans="1:4" x14ac:dyDescent="0.2">
      <c r="B36019" t="s">
        <v>8</v>
      </c>
      <c r="C36019" t="s">
        <v>2235</v>
      </c>
      <c r="D36019" t="s">
        <v>24027</v>
      </c>
    </row>
    <row r="36020" spans="1:4" x14ac:dyDescent="0.2">
      <c r="B36020" t="s">
        <v>24</v>
      </c>
      <c r="D36020" t="s">
        <v>22946</v>
      </c>
    </row>
    <row r="36021" spans="1:4" x14ac:dyDescent="0.2">
      <c r="B36021" t="s">
        <v>61</v>
      </c>
      <c r="D36021" t="s">
        <v>22947</v>
      </c>
    </row>
    <row r="36023" spans="1:4" x14ac:dyDescent="0.2">
      <c r="A36023" t="s">
        <v>11681</v>
      </c>
      <c r="B36023" t="str">
        <f>HYPERLINK("https://lindat.mff.cuni.cz/services/teitok/pdtc10/index.php?action=vallex&amp;frame=v-w4927f1", "přepracovat (v-w4927f1) - substituted with v-w4927f3")</f>
        <v>přepracovat (v-w4927f1) - substituted with v-w4927f3</v>
      </c>
    </row>
    <row r="36024" spans="1:4" x14ac:dyDescent="0.2">
      <c r="B36024" t="s">
        <v>1</v>
      </c>
      <c r="C36024" t="s">
        <v>22</v>
      </c>
    </row>
    <row r="36025" spans="1:4" x14ac:dyDescent="0.2">
      <c r="B36025" t="s">
        <v>8</v>
      </c>
      <c r="C36025" t="s">
        <v>125</v>
      </c>
    </row>
    <row r="36026" spans="1:4" x14ac:dyDescent="0.2">
      <c r="B36026" t="s">
        <v>24</v>
      </c>
    </row>
    <row r="36027" spans="1:4" x14ac:dyDescent="0.2">
      <c r="B36027" t="s">
        <v>61</v>
      </c>
    </row>
    <row r="36029" spans="1:4" x14ac:dyDescent="0.2">
      <c r="A36029" t="s">
        <v>11682</v>
      </c>
      <c r="B36029" t="str">
        <f>HYPERLINK("https://lindat.mff.cuni.cz/services/teitok/pdtc10/index.php?action=vallex&amp;frame=v-w10881f3", "přepracovávat (v-w10881f3)")</f>
        <v>přepracovávat (v-w10881f3)</v>
      </c>
    </row>
    <row r="36030" spans="1:4" x14ac:dyDescent="0.2">
      <c r="B36030" t="s">
        <v>1</v>
      </c>
      <c r="C36030" t="s">
        <v>133</v>
      </c>
      <c r="D36030" t="s">
        <v>22944</v>
      </c>
    </row>
    <row r="36031" spans="1:4" x14ac:dyDescent="0.2">
      <c r="B36031" t="s">
        <v>8</v>
      </c>
      <c r="C36031" t="s">
        <v>335</v>
      </c>
      <c r="D36031" t="s">
        <v>22945</v>
      </c>
    </row>
    <row r="36032" spans="1:4" x14ac:dyDescent="0.2">
      <c r="B36032" t="s">
        <v>24</v>
      </c>
      <c r="D36032" t="s">
        <v>22946</v>
      </c>
    </row>
    <row r="36033" spans="1:4" x14ac:dyDescent="0.2">
      <c r="B36033" t="s">
        <v>61</v>
      </c>
      <c r="D36033" t="s">
        <v>22947</v>
      </c>
    </row>
    <row r="36035" spans="1:4" x14ac:dyDescent="0.2">
      <c r="A36035" t="s">
        <v>11683</v>
      </c>
      <c r="B36035" t="str">
        <f>HYPERLINK("https://lindat.mff.cuni.cz/services/teitok/pdtc10/index.php?action=vallex&amp;frame=v-w12262_ZUf1_ZU", "přeprat (v-w12262_ZUf1_ZU)")</f>
        <v>přeprat (v-w12262_ZUf1_ZU)</v>
      </c>
    </row>
    <row r="36036" spans="1:4" x14ac:dyDescent="0.2">
      <c r="B36036" t="s">
        <v>1</v>
      </c>
    </row>
    <row r="36037" spans="1:4" x14ac:dyDescent="0.2">
      <c r="B36037" t="s">
        <v>8</v>
      </c>
    </row>
    <row r="36039" spans="1:4" x14ac:dyDescent="0.2">
      <c r="A36039" t="s">
        <v>11684</v>
      </c>
      <c r="B36039" t="str">
        <f>HYPERLINK("https://lindat.mff.cuni.cz/services/teitok/pdtc10/index.php?action=vallex&amp;frame=v-w4930f1", "přepravit (v-w4930f1)")</f>
        <v>přepravit (v-w4930f1)</v>
      </c>
    </row>
    <row r="36040" spans="1:4" x14ac:dyDescent="0.2">
      <c r="B36040" t="s">
        <v>1</v>
      </c>
      <c r="C36040" t="s">
        <v>2168</v>
      </c>
      <c r="D36040" t="s">
        <v>3580</v>
      </c>
    </row>
    <row r="36041" spans="1:4" x14ac:dyDescent="0.2">
      <c r="B36041" t="s">
        <v>8</v>
      </c>
      <c r="C36041" t="s">
        <v>10893</v>
      </c>
      <c r="D36041" t="s">
        <v>23652</v>
      </c>
    </row>
    <row r="36042" spans="1:4" x14ac:dyDescent="0.2">
      <c r="B36042" t="s">
        <v>333</v>
      </c>
    </row>
    <row r="36043" spans="1:4" x14ac:dyDescent="0.2">
      <c r="B36043" t="s">
        <v>90</v>
      </c>
      <c r="D36043" t="s">
        <v>23853</v>
      </c>
    </row>
    <row r="36045" spans="1:4" x14ac:dyDescent="0.2">
      <c r="A36045" t="s">
        <v>11685</v>
      </c>
      <c r="B36045" t="str">
        <f>HYPERLINK("https://lindat.mff.cuni.cz/services/teitok/pdtc10/index.php?action=vallex&amp;frame=v-w4931f1", "přepravovat (v-w4931f1)")</f>
        <v>přepravovat (v-w4931f1)</v>
      </c>
    </row>
    <row r="36046" spans="1:4" x14ac:dyDescent="0.2">
      <c r="B36046" t="s">
        <v>1</v>
      </c>
      <c r="C36046" t="s">
        <v>1566</v>
      </c>
      <c r="D36046" t="s">
        <v>3580</v>
      </c>
    </row>
    <row r="36047" spans="1:4" x14ac:dyDescent="0.2">
      <c r="B36047" t="s">
        <v>8</v>
      </c>
      <c r="C36047" t="s">
        <v>1078</v>
      </c>
      <c r="D36047" t="s">
        <v>23652</v>
      </c>
    </row>
    <row r="36048" spans="1:4" x14ac:dyDescent="0.2">
      <c r="B36048" t="s">
        <v>333</v>
      </c>
    </row>
    <row r="36049" spans="1:4" x14ac:dyDescent="0.2">
      <c r="B36049" t="s">
        <v>90</v>
      </c>
      <c r="D36049" t="s">
        <v>23853</v>
      </c>
    </row>
    <row r="36051" spans="1:4" x14ac:dyDescent="0.2">
      <c r="A36051" t="s">
        <v>11686</v>
      </c>
      <c r="B36051" t="str">
        <f>HYPERLINK("https://lindat.mff.cuni.cz/services/teitok/pdtc10/index.php?action=vallex&amp;frame=v-w4933f1", "přepsat (v-w4933f1)")</f>
        <v>přepsat (v-w4933f1)</v>
      </c>
    </row>
    <row r="36052" spans="1:4" x14ac:dyDescent="0.2">
      <c r="B36052" t="s">
        <v>1</v>
      </c>
    </row>
    <row r="36053" spans="1:4" x14ac:dyDescent="0.2">
      <c r="B36053" t="s">
        <v>8</v>
      </c>
    </row>
    <row r="36054" spans="1:4" x14ac:dyDescent="0.2">
      <c r="B36054" t="s">
        <v>5985</v>
      </c>
    </row>
    <row r="36055" spans="1:4" x14ac:dyDescent="0.2">
      <c r="B36055" t="s">
        <v>2918</v>
      </c>
    </row>
    <row r="36057" spans="1:4" x14ac:dyDescent="0.2">
      <c r="A36057" t="s">
        <v>11687</v>
      </c>
      <c r="B36057" t="str">
        <f>HYPERLINK("https://lindat.mff.cuni.cz/services/teitok/pdtc10/index.php?action=vallex&amp;frame=v-w4933f2_ZU", "přepsat (v-w4933f2_ZU)")</f>
        <v>přepsat (v-w4933f2_ZU)</v>
      </c>
    </row>
    <row r="36058" spans="1:4" x14ac:dyDescent="0.2">
      <c r="B36058" t="s">
        <v>1</v>
      </c>
      <c r="D36058" t="s">
        <v>22944</v>
      </c>
    </row>
    <row r="36059" spans="1:4" x14ac:dyDescent="0.2">
      <c r="B36059" t="s">
        <v>8</v>
      </c>
      <c r="D36059" t="s">
        <v>22945</v>
      </c>
    </row>
    <row r="36060" spans="1:4" x14ac:dyDescent="0.2">
      <c r="B36060" t="s">
        <v>24</v>
      </c>
      <c r="D36060" t="s">
        <v>22946</v>
      </c>
    </row>
    <row r="36061" spans="1:4" x14ac:dyDescent="0.2">
      <c r="B36061" t="s">
        <v>61</v>
      </c>
      <c r="D36061" t="s">
        <v>22947</v>
      </c>
    </row>
    <row r="36063" spans="1:4" x14ac:dyDescent="0.2">
      <c r="A36063" t="s">
        <v>11688</v>
      </c>
      <c r="B36063" t="str">
        <f>HYPERLINK("https://lindat.mff.cuni.cz/services/teitok/pdtc10/index.php?action=vallex&amp;frame=v-w4934f1", "přepustit (v-w4934f1)")</f>
        <v>přepustit (v-w4934f1)</v>
      </c>
    </row>
    <row r="36064" spans="1:4" x14ac:dyDescent="0.2">
      <c r="B36064" t="s">
        <v>1</v>
      </c>
    </row>
    <row r="36065" spans="1:4" x14ac:dyDescent="0.2">
      <c r="B36065" t="s">
        <v>8</v>
      </c>
    </row>
    <row r="36066" spans="1:4" x14ac:dyDescent="0.2">
      <c r="B36066" t="s">
        <v>35</v>
      </c>
    </row>
    <row r="36068" spans="1:4" x14ac:dyDescent="0.2">
      <c r="A36068" t="s">
        <v>11689</v>
      </c>
      <c r="B36068" t="str">
        <f>HYPERLINK("https://lindat.mff.cuni.cz/services/teitok/pdtc10/index.php?action=vallex&amp;frame=v-w4914f1", "přepínat (v-w4914f1)")</f>
        <v>přepínat (v-w4914f1)</v>
      </c>
    </row>
    <row r="36069" spans="1:4" x14ac:dyDescent="0.2">
      <c r="B36069" t="s">
        <v>1</v>
      </c>
      <c r="C36069" t="s">
        <v>33</v>
      </c>
    </row>
    <row r="36070" spans="1:4" x14ac:dyDescent="0.2">
      <c r="B36070" t="s">
        <v>8</v>
      </c>
    </row>
    <row r="36071" spans="1:4" x14ac:dyDescent="0.2">
      <c r="B36071" t="s">
        <v>333</v>
      </c>
    </row>
    <row r="36072" spans="1:4" x14ac:dyDescent="0.2">
      <c r="B36072" t="s">
        <v>90</v>
      </c>
      <c r="C36072" t="s">
        <v>11579</v>
      </c>
    </row>
    <row r="36074" spans="1:4" x14ac:dyDescent="0.2">
      <c r="A36074" t="s">
        <v>11690</v>
      </c>
      <c r="B36074" t="str">
        <f>HYPERLINK("https://lindat.mff.cuni.cz/services/teitok/pdtc10/index.php?action=vallex&amp;frame=v-w4935f1", "přerazit (v-w4935f1)")</f>
        <v>přerazit (v-w4935f1)</v>
      </c>
    </row>
    <row r="36075" spans="1:4" x14ac:dyDescent="0.2">
      <c r="B36075" t="s">
        <v>1</v>
      </c>
      <c r="D36075" t="s">
        <v>2353</v>
      </c>
    </row>
    <row r="36076" spans="1:4" x14ac:dyDescent="0.2">
      <c r="B36076" t="s">
        <v>8</v>
      </c>
      <c r="D36076" t="s">
        <v>7127</v>
      </c>
    </row>
    <row r="36077" spans="1:4" x14ac:dyDescent="0.2">
      <c r="B36077" t="s">
        <v>2334</v>
      </c>
      <c r="D36077" t="s">
        <v>13074</v>
      </c>
    </row>
    <row r="36079" spans="1:4" x14ac:dyDescent="0.2">
      <c r="A36079" t="s">
        <v>11691</v>
      </c>
      <c r="B36079" t="str">
        <f>HYPERLINK("https://lindat.mff.cuni.cz/services/teitok/pdtc10/index.php?action=vallex&amp;frame=v-w10228f2", "přerazítkovat (v-w10228f2)")</f>
        <v>přerazítkovat (v-w10228f2)</v>
      </c>
    </row>
    <row r="36080" spans="1:4" x14ac:dyDescent="0.2">
      <c r="B36080" t="s">
        <v>1</v>
      </c>
    </row>
    <row r="36081" spans="1:2" x14ac:dyDescent="0.2">
      <c r="B36081" t="s">
        <v>8</v>
      </c>
    </row>
    <row r="36082" spans="1:2" x14ac:dyDescent="0.2">
      <c r="B36082" t="s">
        <v>24</v>
      </c>
    </row>
    <row r="36083" spans="1:2" x14ac:dyDescent="0.2">
      <c r="B36083" t="s">
        <v>61</v>
      </c>
    </row>
    <row r="36085" spans="1:2" x14ac:dyDescent="0.2">
      <c r="A36085" t="s">
        <v>11692</v>
      </c>
      <c r="B36085" t="str">
        <f>HYPERLINK("https://lindat.mff.cuni.cz/services/teitok/pdtc10/index.php?action=vallex&amp;frame=v-w4937f2", "přeregistrovat (v-w4937f2)")</f>
        <v>přeregistrovat (v-w4937f2)</v>
      </c>
    </row>
    <row r="36086" spans="1:2" x14ac:dyDescent="0.2">
      <c r="B36086" t="s">
        <v>1</v>
      </c>
    </row>
    <row r="36087" spans="1:2" x14ac:dyDescent="0.2">
      <c r="B36087" t="s">
        <v>8</v>
      </c>
    </row>
    <row r="36088" spans="1:2" x14ac:dyDescent="0.2">
      <c r="B36088" t="s">
        <v>3527</v>
      </c>
    </row>
    <row r="36089" spans="1:2" x14ac:dyDescent="0.2">
      <c r="B36089" t="s">
        <v>24</v>
      </c>
    </row>
    <row r="36091" spans="1:2" x14ac:dyDescent="0.2">
      <c r="A36091" t="s">
        <v>11693</v>
      </c>
      <c r="B36091" t="str">
        <f>HYPERLINK("https://lindat.mff.cuni.cz/services/teitok/pdtc10/index.php?action=vallex&amp;frame=v-w4937f1", "přeregistrovat (v-w4937f1)")</f>
        <v>přeregistrovat (v-w4937f1)</v>
      </c>
    </row>
    <row r="36092" spans="1:2" x14ac:dyDescent="0.2">
      <c r="B36092" t="s">
        <v>1</v>
      </c>
    </row>
    <row r="36093" spans="1:2" x14ac:dyDescent="0.2">
      <c r="B36093" t="s">
        <v>8</v>
      </c>
    </row>
    <row r="36095" spans="1:2" x14ac:dyDescent="0.2">
      <c r="A36095" t="s">
        <v>11694</v>
      </c>
      <c r="B36095" t="str">
        <f>HYPERLINK("https://lindat.mff.cuni.cz/services/teitok/pdtc10/index.php?action=vallex&amp;frame=v-w4938f1", "přeregistrovávat (v-w4938f1)")</f>
        <v>přeregistrovávat (v-w4938f1)</v>
      </c>
    </row>
    <row r="36096" spans="1:2" x14ac:dyDescent="0.2">
      <c r="B36096" t="s">
        <v>1</v>
      </c>
    </row>
    <row r="36097" spans="1:4" x14ac:dyDescent="0.2">
      <c r="B36097" t="s">
        <v>8</v>
      </c>
    </row>
    <row r="36099" spans="1:4" x14ac:dyDescent="0.2">
      <c r="A36099" t="s">
        <v>11695</v>
      </c>
      <c r="B36099" t="str">
        <f>HYPERLINK("https://lindat.mff.cuni.cz/services/teitok/pdtc10/index.php?action=vallex&amp;frame=v-w4941f1", "přerozdělit (v-w4941f1)")</f>
        <v>přerozdělit (v-w4941f1)</v>
      </c>
    </row>
    <row r="36100" spans="1:4" x14ac:dyDescent="0.2">
      <c r="B36100" t="s">
        <v>1</v>
      </c>
      <c r="C36100" t="s">
        <v>337</v>
      </c>
      <c r="D36100" t="s">
        <v>2106</v>
      </c>
    </row>
    <row r="36101" spans="1:4" x14ac:dyDescent="0.2">
      <c r="B36101" t="s">
        <v>8</v>
      </c>
      <c r="C36101" t="s">
        <v>328</v>
      </c>
      <c r="D36101" t="s">
        <v>5674</v>
      </c>
    </row>
    <row r="36102" spans="1:4" x14ac:dyDescent="0.2">
      <c r="B36102" t="s">
        <v>1363</v>
      </c>
      <c r="C36102" t="s">
        <v>11696</v>
      </c>
      <c r="D36102" t="s">
        <v>11069</v>
      </c>
    </row>
    <row r="36104" spans="1:4" x14ac:dyDescent="0.2">
      <c r="A36104" t="s">
        <v>11697</v>
      </c>
      <c r="B36104" t="str">
        <f>HYPERLINK("https://lindat.mff.cuni.cz/services/teitok/pdtc10/index.php?action=vallex&amp;frame=v-w4943f1", "přerozdělovat (v-w4943f1)")</f>
        <v>přerozdělovat (v-w4943f1)</v>
      </c>
    </row>
    <row r="36105" spans="1:4" x14ac:dyDescent="0.2">
      <c r="B36105" t="s">
        <v>1</v>
      </c>
      <c r="C36105" t="s">
        <v>140</v>
      </c>
      <c r="D36105" t="s">
        <v>2106</v>
      </c>
    </row>
    <row r="36106" spans="1:4" x14ac:dyDescent="0.2">
      <c r="B36106" t="s">
        <v>8</v>
      </c>
      <c r="C36106" t="s">
        <v>34</v>
      </c>
      <c r="D36106" t="s">
        <v>5674</v>
      </c>
    </row>
    <row r="36107" spans="1:4" x14ac:dyDescent="0.2">
      <c r="B36107" t="s">
        <v>1363</v>
      </c>
      <c r="D36107" t="s">
        <v>11069</v>
      </c>
    </row>
    <row r="36109" spans="1:4" x14ac:dyDescent="0.2">
      <c r="A36109" t="s">
        <v>11698</v>
      </c>
      <c r="B36109" t="str">
        <f>HYPERLINK("https://lindat.mff.cuni.cz/services/teitok/pdtc10/index.php?action=vallex&amp;frame=v-w4948f1", "přerušit (v-w4948f1)")</f>
        <v>přerušit (v-w4948f1)</v>
      </c>
    </row>
    <row r="36110" spans="1:4" x14ac:dyDescent="0.2">
      <c r="B36110" t="s">
        <v>1</v>
      </c>
      <c r="C36110" t="s">
        <v>11699</v>
      </c>
      <c r="D36110" t="s">
        <v>24028</v>
      </c>
    </row>
    <row r="36111" spans="1:4" x14ac:dyDescent="0.2">
      <c r="B36111" t="s">
        <v>8</v>
      </c>
      <c r="C36111" t="s">
        <v>11700</v>
      </c>
      <c r="D36111" t="s">
        <v>24029</v>
      </c>
    </row>
    <row r="36113" spans="1:4" x14ac:dyDescent="0.2">
      <c r="A36113" t="s">
        <v>11701</v>
      </c>
      <c r="B36113" t="str">
        <f>HYPERLINK("https://lindat.mff.cuni.cz/services/teitok/pdtc10/index.php?action=vallex&amp;frame=v-w4948f3_ZU", "přerušit (v-w4948f3_ZU)")</f>
        <v>přerušit (v-w4948f3_ZU)</v>
      </c>
    </row>
    <row r="36114" spans="1:4" x14ac:dyDescent="0.2">
      <c r="B36114" t="s">
        <v>1</v>
      </c>
    </row>
    <row r="36115" spans="1:4" x14ac:dyDescent="0.2">
      <c r="B36115" t="s">
        <v>8</v>
      </c>
    </row>
    <row r="36117" spans="1:4" x14ac:dyDescent="0.2">
      <c r="A36117" t="s">
        <v>11701</v>
      </c>
      <c r="B36117" t="str">
        <f>HYPERLINK("https://lindat.mff.cuni.cz/services/teitok/pdtc10/index.php?action=vallex&amp;frame=v-w4948f2_ZU", "přerušit (v-w4948f2_ZU) - substituted with v-w4948f3_ZU")</f>
        <v>přerušit (v-w4948f2_ZU) - substituted with v-w4948f3_ZU</v>
      </c>
    </row>
    <row r="36118" spans="1:4" x14ac:dyDescent="0.2">
      <c r="B36118" t="s">
        <v>1</v>
      </c>
      <c r="C36118" t="s">
        <v>80</v>
      </c>
      <c r="D36118" t="s">
        <v>23598</v>
      </c>
    </row>
    <row r="36119" spans="1:4" x14ac:dyDescent="0.2">
      <c r="B36119" t="s">
        <v>8</v>
      </c>
      <c r="C36119" t="s">
        <v>125</v>
      </c>
      <c r="D36119" t="s">
        <v>23599</v>
      </c>
    </row>
    <row r="36121" spans="1:4" x14ac:dyDescent="0.2">
      <c r="A36121" t="s">
        <v>11702</v>
      </c>
      <c r="B36121" t="str">
        <f>HYPERLINK("https://lindat.mff.cuni.cz/services/teitok/pdtc10/index.php?action=vallex&amp;frame=v-w4948hsa_119", "přerušit (v-w4948hsa_119)")</f>
        <v>přerušit (v-w4948hsa_119)</v>
      </c>
    </row>
    <row r="36122" spans="1:4" x14ac:dyDescent="0.2">
      <c r="B36122" t="s">
        <v>1</v>
      </c>
      <c r="C36122" t="s">
        <v>33</v>
      </c>
      <c r="D36122" t="s">
        <v>33</v>
      </c>
    </row>
    <row r="36123" spans="1:4" x14ac:dyDescent="0.2">
      <c r="B36123" t="s">
        <v>8</v>
      </c>
      <c r="C36123" t="s">
        <v>1044</v>
      </c>
      <c r="D36123" t="s">
        <v>23</v>
      </c>
    </row>
    <row r="36125" spans="1:4" x14ac:dyDescent="0.2">
      <c r="A36125" t="s">
        <v>11703</v>
      </c>
      <c r="B36125" t="str">
        <f>HYPERLINK("https://lindat.mff.cuni.cz/services/teitok/pdtc10/index.php?action=vallex&amp;frame=v-w4948hsa_1192", "přerušit (v-w4948hsa_1192)")</f>
        <v>přerušit (v-w4948hsa_1192)</v>
      </c>
    </row>
    <row r="36126" spans="1:4" x14ac:dyDescent="0.2">
      <c r="B36126" t="s">
        <v>1</v>
      </c>
    </row>
    <row r="36127" spans="1:4" x14ac:dyDescent="0.2">
      <c r="B36127" t="s">
        <v>8</v>
      </c>
    </row>
    <row r="36129" spans="1:4" x14ac:dyDescent="0.2">
      <c r="A36129" t="s">
        <v>11704</v>
      </c>
      <c r="B36129" t="str">
        <f>HYPERLINK("https://lindat.mff.cuni.cz/services/teitok/pdtc10/index.php?action=vallex&amp;frame=v-w10819f2", "přerušovat (v-w10819f2)")</f>
        <v>přerušovat (v-w10819f2)</v>
      </c>
    </row>
    <row r="36130" spans="1:4" x14ac:dyDescent="0.2">
      <c r="B36130" t="s">
        <v>1</v>
      </c>
      <c r="C36130" t="s">
        <v>133</v>
      </c>
      <c r="D36130" t="s">
        <v>23598</v>
      </c>
    </row>
    <row r="36131" spans="1:4" x14ac:dyDescent="0.2">
      <c r="B36131" t="s">
        <v>8</v>
      </c>
      <c r="C36131" t="s">
        <v>335</v>
      </c>
      <c r="D36131" t="s">
        <v>23599</v>
      </c>
    </row>
    <row r="36133" spans="1:4" x14ac:dyDescent="0.2">
      <c r="A36133" t="s">
        <v>11705</v>
      </c>
      <c r="B36133" t="str">
        <f>HYPERLINK("https://lindat.mff.cuni.cz/services/teitok/pdtc10/index.php?action=vallex&amp;frame=v-w10819f3_ZU", "přerušovat (v-w10819f3_ZU)")</f>
        <v>přerušovat (v-w10819f3_ZU)</v>
      </c>
    </row>
    <row r="36134" spans="1:4" x14ac:dyDescent="0.2">
      <c r="B36134" t="s">
        <v>1</v>
      </c>
    </row>
    <row r="36135" spans="1:4" x14ac:dyDescent="0.2">
      <c r="B36135" t="s">
        <v>8</v>
      </c>
    </row>
    <row r="36137" spans="1:4" x14ac:dyDescent="0.2">
      <c r="A36137" t="s">
        <v>11705</v>
      </c>
      <c r="B36137" t="str">
        <f>HYPERLINK("https://lindat.mff.cuni.cz/services/teitok/pdtc10/index.php?action=vallex&amp;frame=v-w10819hsa_101", "přerušovat (v-w10819hsa_101) - substituted with v-w10819f3_ZU")</f>
        <v>přerušovat (v-w10819hsa_101) - substituted with v-w10819f3_ZU</v>
      </c>
    </row>
    <row r="36138" spans="1:4" x14ac:dyDescent="0.2">
      <c r="B36138" t="s">
        <v>1</v>
      </c>
    </row>
    <row r="36139" spans="1:4" x14ac:dyDescent="0.2">
      <c r="B36139" t="s">
        <v>8</v>
      </c>
    </row>
    <row r="36141" spans="1:4" x14ac:dyDescent="0.2">
      <c r="A36141" t="s">
        <v>11706</v>
      </c>
      <c r="B36141" t="str">
        <f>HYPERLINK("https://lindat.mff.cuni.cz/services/teitok/pdtc10/index.php?action=vallex&amp;frame=v-w4950f1", "přervat (v-w4950f1)")</f>
        <v>přervat (v-w4950f1)</v>
      </c>
    </row>
    <row r="36142" spans="1:4" x14ac:dyDescent="0.2">
      <c r="B36142" t="s">
        <v>1</v>
      </c>
    </row>
    <row r="36143" spans="1:4" x14ac:dyDescent="0.2">
      <c r="B36143" t="s">
        <v>8</v>
      </c>
    </row>
    <row r="36145" spans="1:2" x14ac:dyDescent="0.2">
      <c r="A36145" t="s">
        <v>11707</v>
      </c>
      <c r="B36145" t="str">
        <f>HYPERLINK("https://lindat.mff.cuni.cz/services/teitok/pdtc10/index.php?action=vallex&amp;frame=v-w4944f2", "přerůst (v-w4944f2)")</f>
        <v>přerůst (v-w4944f2)</v>
      </c>
    </row>
    <row r="36146" spans="1:2" x14ac:dyDescent="0.2">
      <c r="B36146" t="s">
        <v>1</v>
      </c>
    </row>
    <row r="36147" spans="1:2" x14ac:dyDescent="0.2">
      <c r="B36147" t="s">
        <v>11708</v>
      </c>
    </row>
    <row r="36149" spans="1:2" x14ac:dyDescent="0.2">
      <c r="A36149" t="s">
        <v>11709</v>
      </c>
      <c r="B36149" t="str">
        <f>HYPERLINK("https://lindat.mff.cuni.cz/services/teitok/pdtc10/index.php?action=vallex&amp;frame=v-w4944f1", "přerůst (v-w4944f1)")</f>
        <v>přerůst (v-w4944f1)</v>
      </c>
    </row>
    <row r="36150" spans="1:2" x14ac:dyDescent="0.2">
      <c r="B36150" t="s">
        <v>1</v>
      </c>
    </row>
    <row r="36151" spans="1:2" x14ac:dyDescent="0.2">
      <c r="B36151" t="s">
        <v>1889</v>
      </c>
    </row>
    <row r="36153" spans="1:2" x14ac:dyDescent="0.2">
      <c r="A36153" t="s">
        <v>11710</v>
      </c>
      <c r="B36153" t="str">
        <f>HYPERLINK("https://lindat.mff.cuni.cz/services/teitok/pdtc10/index.php?action=vallex&amp;frame=v-w4944f3", "přerůst (v-w4944f3)")</f>
        <v>přerůst (v-w4944f3)</v>
      </c>
    </row>
    <row r="36154" spans="1:2" x14ac:dyDescent="0.2">
      <c r="B36154" t="s">
        <v>1</v>
      </c>
    </row>
    <row r="36155" spans="1:2" x14ac:dyDescent="0.2">
      <c r="B36155" t="s">
        <v>11711</v>
      </c>
    </row>
    <row r="36156" spans="1:2" x14ac:dyDescent="0.2">
      <c r="B36156" t="s">
        <v>103</v>
      </c>
    </row>
    <row r="36158" spans="1:2" x14ac:dyDescent="0.2">
      <c r="A36158" t="s">
        <v>11712</v>
      </c>
      <c r="B36158" t="str">
        <f>HYPERLINK("https://lindat.mff.cuni.cz/services/teitok/pdtc10/index.php?action=vallex&amp;frame=v-w4945f1", "přerůstat (v-w4945f1)")</f>
        <v>přerůstat (v-w4945f1)</v>
      </c>
    </row>
    <row r="36159" spans="1:2" x14ac:dyDescent="0.2">
      <c r="B36159" t="s">
        <v>1</v>
      </c>
    </row>
    <row r="36160" spans="1:2" x14ac:dyDescent="0.2">
      <c r="B36160" t="s">
        <v>1889</v>
      </c>
    </row>
    <row r="36162" spans="1:4" x14ac:dyDescent="0.2">
      <c r="A36162" t="s">
        <v>11713</v>
      </c>
      <c r="B36162" t="str">
        <f>HYPERLINK("https://lindat.mff.cuni.cz/services/teitok/pdtc10/index.php?action=vallex&amp;frame=v-w4945f2_ZU", "přerůstat (v-w4945f2_ZU)")</f>
        <v>přerůstat (v-w4945f2_ZU)</v>
      </c>
    </row>
    <row r="36163" spans="1:4" x14ac:dyDescent="0.2">
      <c r="B36163" t="s">
        <v>1</v>
      </c>
    </row>
    <row r="36164" spans="1:4" x14ac:dyDescent="0.2">
      <c r="B36164" t="s">
        <v>8</v>
      </c>
    </row>
    <row r="36166" spans="1:4" x14ac:dyDescent="0.2">
      <c r="A36166" t="s">
        <v>11714</v>
      </c>
      <c r="B36166" t="str">
        <f>HYPERLINK("https://lindat.mff.cuni.cz/services/teitok/pdtc10/index.php?action=vallex&amp;frame=v-w4954f1", "přesadit (v-w4954f1)")</f>
        <v>přesadit (v-w4954f1)</v>
      </c>
    </row>
    <row r="36167" spans="1:4" x14ac:dyDescent="0.2">
      <c r="B36167" t="s">
        <v>1</v>
      </c>
    </row>
    <row r="36168" spans="1:4" x14ac:dyDescent="0.2">
      <c r="B36168" t="s">
        <v>8</v>
      </c>
    </row>
    <row r="36169" spans="1:4" x14ac:dyDescent="0.2">
      <c r="B36169" t="s">
        <v>333</v>
      </c>
    </row>
    <row r="36170" spans="1:4" x14ac:dyDescent="0.2">
      <c r="B36170" t="s">
        <v>90</v>
      </c>
    </row>
    <row r="36172" spans="1:4" x14ac:dyDescent="0.2">
      <c r="A36172" t="s">
        <v>11715</v>
      </c>
      <c r="B36172" t="str">
        <f>HYPERLINK("https://lindat.mff.cuni.cz/services/teitok/pdtc10/index.php?action=vallex&amp;frame=v-w4957f1", "přesahovat (v-w4957f1)")</f>
        <v>přesahovat (v-w4957f1)</v>
      </c>
    </row>
    <row r="36173" spans="1:4" x14ac:dyDescent="0.2">
      <c r="B36173" t="s">
        <v>1</v>
      </c>
      <c r="C36173" t="s">
        <v>11716</v>
      </c>
      <c r="D36173" t="s">
        <v>24012</v>
      </c>
    </row>
    <row r="36174" spans="1:4" x14ac:dyDescent="0.2">
      <c r="B36174" t="s">
        <v>8</v>
      </c>
      <c r="C36174" t="s">
        <v>11717</v>
      </c>
      <c r="D36174" t="s">
        <v>24013</v>
      </c>
    </row>
    <row r="36176" spans="1:4" x14ac:dyDescent="0.2">
      <c r="A36176" t="s">
        <v>11718</v>
      </c>
      <c r="B36176" t="str">
        <f>HYPERLINK("https://lindat.mff.cuni.cz/services/teitok/pdtc10/index.php?action=vallex&amp;frame=v-w4957f2", "přesahovat (v-w4957f2)")</f>
        <v>přesahovat (v-w4957f2)</v>
      </c>
    </row>
    <row r="36177" spans="1:4" x14ac:dyDescent="0.2">
      <c r="B36177" t="s">
        <v>1</v>
      </c>
      <c r="C36177" t="s">
        <v>3771</v>
      </c>
      <c r="D36177" t="s">
        <v>24012</v>
      </c>
    </row>
    <row r="36178" spans="1:4" x14ac:dyDescent="0.2">
      <c r="B36178" t="s">
        <v>8</v>
      </c>
      <c r="D36178" t="s">
        <v>24013</v>
      </c>
    </row>
    <row r="36180" spans="1:4" x14ac:dyDescent="0.2">
      <c r="A36180" t="s">
        <v>11719</v>
      </c>
      <c r="B36180" t="str">
        <f>HYPERLINK("https://lindat.mff.cuni.cz/services/teitok/pdtc10/index.php?action=vallex&amp;frame=v-w4957f3", "přesahovat (v-w4957f3)")</f>
        <v>přesahovat (v-w4957f3)</v>
      </c>
    </row>
    <row r="36181" spans="1:4" x14ac:dyDescent="0.2">
      <c r="B36181" t="s">
        <v>1</v>
      </c>
    </row>
    <row r="36182" spans="1:4" x14ac:dyDescent="0.2">
      <c r="B36182" t="s">
        <v>90</v>
      </c>
    </row>
    <row r="36184" spans="1:4" x14ac:dyDescent="0.2">
      <c r="A36184" t="s">
        <v>11720</v>
      </c>
      <c r="B36184" t="str">
        <f>HYPERLINK("https://lindat.mff.cuni.cz/services/teitok/pdtc10/index.php?action=vallex&amp;frame=v-w4959f3", "přesedlat (v-w4959f3)")</f>
        <v>přesedlat (v-w4959f3)</v>
      </c>
    </row>
    <row r="36185" spans="1:4" x14ac:dyDescent="0.2">
      <c r="B36185" t="s">
        <v>1</v>
      </c>
      <c r="C36185" t="s">
        <v>10645</v>
      </c>
      <c r="D36185" t="s">
        <v>23987</v>
      </c>
    </row>
    <row r="36186" spans="1:4" x14ac:dyDescent="0.2">
      <c r="B36186" t="s">
        <v>28</v>
      </c>
      <c r="D36186" t="s">
        <v>23988</v>
      </c>
    </row>
    <row r="36187" spans="1:4" x14ac:dyDescent="0.2">
      <c r="B36187" t="s">
        <v>1944</v>
      </c>
      <c r="D36187" t="s">
        <v>11224</v>
      </c>
    </row>
    <row r="36189" spans="1:4" x14ac:dyDescent="0.2">
      <c r="A36189" t="s">
        <v>11720</v>
      </c>
      <c r="B36189" t="str">
        <f>HYPERLINK("https://lindat.mff.cuni.cz/services/teitok/pdtc10/index.php?action=vallex&amp;frame=v-w4959f1", "přesedlat (v-w4959f1) - substituted with v-w4959f3")</f>
        <v>přesedlat (v-w4959f1) - substituted with v-w4959f3</v>
      </c>
    </row>
    <row r="36190" spans="1:4" x14ac:dyDescent="0.2">
      <c r="B36190" t="s">
        <v>1</v>
      </c>
    </row>
    <row r="36191" spans="1:4" x14ac:dyDescent="0.2">
      <c r="B36191" t="s">
        <v>28</v>
      </c>
    </row>
    <row r="36192" spans="1:4" x14ac:dyDescent="0.2">
      <c r="B36192" t="s">
        <v>1944</v>
      </c>
    </row>
    <row r="36194" spans="1:2" x14ac:dyDescent="0.2">
      <c r="A36194" t="s">
        <v>11721</v>
      </c>
      <c r="B36194" t="str">
        <f>HYPERLINK("https://lindat.mff.cuni.cz/services/teitok/pdtc10/index.php?action=vallex&amp;frame=v-w4959f2", "přesedlat (v-w4959f2)")</f>
        <v>přesedlat (v-w4959f2)</v>
      </c>
    </row>
    <row r="36195" spans="1:2" x14ac:dyDescent="0.2">
      <c r="B36195" t="s">
        <v>1</v>
      </c>
    </row>
    <row r="36196" spans="1:2" x14ac:dyDescent="0.2">
      <c r="B36196" t="s">
        <v>8</v>
      </c>
    </row>
    <row r="36198" spans="1:2" x14ac:dyDescent="0.2">
      <c r="A36198" t="s">
        <v>11722</v>
      </c>
      <c r="B36198" t="str">
        <f>HYPERLINK("https://lindat.mff.cuni.cz/services/teitok/pdtc10/index.php?action=vallex&amp;frame=v-w4960f1", "přesedlávat (v-w4960f1)")</f>
        <v>přesedlávat (v-w4960f1)</v>
      </c>
    </row>
    <row r="36199" spans="1:2" x14ac:dyDescent="0.2">
      <c r="B36199" t="s">
        <v>1</v>
      </c>
    </row>
    <row r="36200" spans="1:2" x14ac:dyDescent="0.2">
      <c r="B36200" t="s">
        <v>333</v>
      </c>
    </row>
    <row r="36201" spans="1:2" x14ac:dyDescent="0.2">
      <c r="B36201" t="s">
        <v>90</v>
      </c>
    </row>
    <row r="36203" spans="1:2" x14ac:dyDescent="0.2">
      <c r="A36203" t="s">
        <v>11723</v>
      </c>
      <c r="B36203" t="str">
        <f>HYPERLINK("https://lindat.mff.cuni.cz/services/teitok/pdtc10/index.php?action=vallex&amp;frame=v-w12331_MMf1_MM", "přesednout (v-w12331_MMf1_MM)")</f>
        <v>přesednout (v-w12331_MMf1_MM)</v>
      </c>
    </row>
    <row r="36204" spans="1:2" x14ac:dyDescent="0.2">
      <c r="B36204" t="s">
        <v>1</v>
      </c>
    </row>
    <row r="36205" spans="1:2" x14ac:dyDescent="0.2">
      <c r="B36205" t="s">
        <v>333</v>
      </c>
    </row>
    <row r="36206" spans="1:2" x14ac:dyDescent="0.2">
      <c r="B36206" t="s">
        <v>90</v>
      </c>
    </row>
    <row r="36208" spans="1:2" x14ac:dyDescent="0.2">
      <c r="A36208" t="s">
        <v>11724</v>
      </c>
      <c r="B36208" t="str">
        <f>HYPERLINK("https://lindat.mff.cuni.cz/services/teitok/pdtc10/index.php?action=vallex&amp;frame=v-whsa_599f1_ZU", "přesednout si (v-whsa_599f1_ZU)")</f>
        <v>přesednout si (v-whsa_599f1_ZU)</v>
      </c>
    </row>
    <row r="36209" spans="1:3" x14ac:dyDescent="0.2">
      <c r="B36209" t="s">
        <v>1</v>
      </c>
    </row>
    <row r="36210" spans="1:3" x14ac:dyDescent="0.2">
      <c r="B36210" t="s">
        <v>333</v>
      </c>
    </row>
    <row r="36211" spans="1:3" x14ac:dyDescent="0.2">
      <c r="B36211" t="s">
        <v>90</v>
      </c>
    </row>
    <row r="36213" spans="1:3" x14ac:dyDescent="0.2">
      <c r="A36213" t="s">
        <v>11724</v>
      </c>
      <c r="B36213" t="str">
        <f>HYPERLINK("https://lindat.mff.cuni.cz/services/teitok/pdtc10/index.php?action=vallex&amp;frame=v-whsb_599hsa_600", "přesednout si (v-whsb_599hsa_600) - substituted with v-whsa_599f1_ZU")</f>
        <v>přesednout si (v-whsb_599hsa_600) - substituted with v-whsa_599f1_ZU</v>
      </c>
    </row>
    <row r="36214" spans="1:3" x14ac:dyDescent="0.2">
      <c r="B36214" t="s">
        <v>1</v>
      </c>
    </row>
    <row r="36215" spans="1:3" x14ac:dyDescent="0.2">
      <c r="B36215" t="s">
        <v>333</v>
      </c>
    </row>
    <row r="36216" spans="1:3" x14ac:dyDescent="0.2">
      <c r="B36216" t="s">
        <v>90</v>
      </c>
    </row>
    <row r="36218" spans="1:3" x14ac:dyDescent="0.2">
      <c r="A36218" t="s">
        <v>11725</v>
      </c>
      <c r="B36218" t="str">
        <f>HYPERLINK("https://lindat.mff.cuni.cz/services/teitok/pdtc10/index.php?action=vallex&amp;frame=v-w12109_ZUf1_ZU", "přeseknout (v-w12109_ZUf1_ZU)")</f>
        <v>přeseknout (v-w12109_ZUf1_ZU)</v>
      </c>
    </row>
    <row r="36219" spans="1:3" x14ac:dyDescent="0.2">
      <c r="B36219" t="s">
        <v>1</v>
      </c>
    </row>
    <row r="36220" spans="1:3" x14ac:dyDescent="0.2">
      <c r="B36220" t="s">
        <v>8</v>
      </c>
    </row>
    <row r="36221" spans="1:3" x14ac:dyDescent="0.2">
      <c r="B36221" t="s">
        <v>2334</v>
      </c>
    </row>
    <row r="36223" spans="1:3" x14ac:dyDescent="0.2">
      <c r="A36223" t="s">
        <v>11726</v>
      </c>
      <c r="B36223" t="str">
        <f>HYPERLINK("https://lindat.mff.cuni.cz/services/teitok/pdtc10/index.php?action=vallex&amp;frame=v-w10531f2", "přeskakovat (v-w10531f2)")</f>
        <v>přeskakovat (v-w10531f2)</v>
      </c>
    </row>
    <row r="36224" spans="1:3" x14ac:dyDescent="0.2">
      <c r="B36224" t="s">
        <v>1</v>
      </c>
      <c r="C36224" t="s">
        <v>2172</v>
      </c>
    </row>
    <row r="36225" spans="1:4" x14ac:dyDescent="0.2">
      <c r="B36225" t="s">
        <v>8</v>
      </c>
    </row>
    <row r="36227" spans="1:4" x14ac:dyDescent="0.2">
      <c r="A36227" t="s">
        <v>11727</v>
      </c>
      <c r="B36227" t="str">
        <f>HYPERLINK("https://lindat.mff.cuni.cz/services/teitok/pdtc10/index.php?action=vallex&amp;frame=v-w10531f3", "přeskakovat (v-w10531f3)")</f>
        <v>přeskakovat (v-w10531f3)</v>
      </c>
    </row>
    <row r="36228" spans="1:4" x14ac:dyDescent="0.2">
      <c r="B36228" t="s">
        <v>1</v>
      </c>
      <c r="C36228" t="s">
        <v>133</v>
      </c>
    </row>
    <row r="36229" spans="1:4" x14ac:dyDescent="0.2">
      <c r="B36229" t="s">
        <v>333</v>
      </c>
    </row>
    <row r="36230" spans="1:4" x14ac:dyDescent="0.2">
      <c r="B36230" t="s">
        <v>90</v>
      </c>
    </row>
    <row r="36232" spans="1:4" x14ac:dyDescent="0.2">
      <c r="A36232" t="s">
        <v>11728</v>
      </c>
      <c r="B36232" t="str">
        <f>HYPERLINK("https://lindat.mff.cuni.cz/services/teitok/pdtc10/index.php?action=vallex&amp;frame=v-w4963f2", "přeskočit (v-w4963f2)")</f>
        <v>přeskočit (v-w4963f2)</v>
      </c>
    </row>
    <row r="36233" spans="1:4" x14ac:dyDescent="0.2">
      <c r="B36233" t="s">
        <v>1</v>
      </c>
      <c r="D36233" t="s">
        <v>24012</v>
      </c>
    </row>
    <row r="36234" spans="1:4" x14ac:dyDescent="0.2">
      <c r="B36234" t="s">
        <v>8</v>
      </c>
      <c r="D36234" t="s">
        <v>24013</v>
      </c>
    </row>
    <row r="36236" spans="1:4" x14ac:dyDescent="0.2">
      <c r="A36236" t="s">
        <v>11729</v>
      </c>
      <c r="B36236" t="str">
        <f>HYPERLINK("https://lindat.mff.cuni.cz/services/teitok/pdtc10/index.php?action=vallex&amp;frame=v-w4963f5_ZU", "přeskočit (v-w4963f5_ZU)")</f>
        <v>přeskočit (v-w4963f5_ZU)</v>
      </c>
    </row>
    <row r="36237" spans="1:4" x14ac:dyDescent="0.2">
      <c r="B36237" t="s">
        <v>1</v>
      </c>
      <c r="C36237" t="s">
        <v>83</v>
      </c>
      <c r="D36237" t="s">
        <v>1366</v>
      </c>
    </row>
    <row r="36238" spans="1:4" x14ac:dyDescent="0.2">
      <c r="B36238" t="s">
        <v>8</v>
      </c>
      <c r="C36238" t="s">
        <v>11730</v>
      </c>
      <c r="D36238" t="s">
        <v>6566</v>
      </c>
    </row>
    <row r="36240" spans="1:4" x14ac:dyDescent="0.2">
      <c r="A36240" t="s">
        <v>11729</v>
      </c>
      <c r="B36240" t="str">
        <f>HYPERLINK("https://lindat.mff.cuni.cz/services/teitok/pdtc10/index.php?action=vallex&amp;frame=v-w4963f4_ZU", "přeskočit (v-w4963f4_ZU) - substituted with v-w4963f5_ZU")</f>
        <v>přeskočit (v-w4963f4_ZU) - substituted with v-w4963f5_ZU</v>
      </c>
    </row>
    <row r="36241" spans="1:2" x14ac:dyDescent="0.2">
      <c r="B36241" t="s">
        <v>1</v>
      </c>
    </row>
    <row r="36242" spans="1:2" x14ac:dyDescent="0.2">
      <c r="B36242" t="s">
        <v>8</v>
      </c>
    </row>
    <row r="36244" spans="1:2" x14ac:dyDescent="0.2">
      <c r="A36244" t="s">
        <v>11731</v>
      </c>
      <c r="B36244" t="str">
        <f>HYPERLINK("https://lindat.mff.cuni.cz/services/teitok/pdtc10/index.php?action=vallex&amp;frame=v-w4963f1", "přeskočit (v-w4963f1)")</f>
        <v>přeskočit (v-w4963f1)</v>
      </c>
    </row>
    <row r="36245" spans="1:2" x14ac:dyDescent="0.2">
      <c r="B36245" t="s">
        <v>1</v>
      </c>
    </row>
    <row r="36246" spans="1:2" x14ac:dyDescent="0.2">
      <c r="B36246" t="s">
        <v>333</v>
      </c>
    </row>
    <row r="36247" spans="1:2" x14ac:dyDescent="0.2">
      <c r="B36247" t="s">
        <v>90</v>
      </c>
    </row>
    <row r="36249" spans="1:2" x14ac:dyDescent="0.2">
      <c r="A36249" t="s">
        <v>11732</v>
      </c>
      <c r="B36249" t="str">
        <f>HYPERLINK("https://lindat.mff.cuni.cz/services/teitok/pdtc10/index.php?action=vallex&amp;frame=v-w4963f3", "přeskočit (v-w4963f3)")</f>
        <v>přeskočit (v-w4963f3)</v>
      </c>
    </row>
    <row r="36250" spans="1:2" x14ac:dyDescent="0.2">
      <c r="B36250" t="s">
        <v>455</v>
      </c>
    </row>
    <row r="36252" spans="1:2" x14ac:dyDescent="0.2">
      <c r="A36252" t="s">
        <v>11733</v>
      </c>
      <c r="B36252" t="str">
        <f>HYPERLINK("https://lindat.mff.cuni.cz/services/teitok/pdtc10/index.php?action=vallex&amp;frame=v-w4963f6_ZU", "přeskočit (v-w4963f6_ZU)")</f>
        <v>přeskočit (v-w4963f6_ZU)</v>
      </c>
    </row>
    <row r="36253" spans="1:2" x14ac:dyDescent="0.2">
      <c r="B36253" t="s">
        <v>1</v>
      </c>
    </row>
    <row r="36254" spans="1:2" x14ac:dyDescent="0.2">
      <c r="B36254" t="s">
        <v>333</v>
      </c>
    </row>
    <row r="36255" spans="1:2" x14ac:dyDescent="0.2">
      <c r="B36255" t="s">
        <v>90</v>
      </c>
    </row>
    <row r="36257" spans="1:4" x14ac:dyDescent="0.2">
      <c r="A36257" t="s">
        <v>11733</v>
      </c>
      <c r="B36257" t="str">
        <f>HYPERLINK("https://lindat.mff.cuni.cz/services/teitok/pdtc10/index.php?action=vallex&amp;frame=v-w4963hsa_1677", "přeskočit (v-w4963hsa_1677) - substituted with v-w4963f6_ZU")</f>
        <v>přeskočit (v-w4963hsa_1677) - substituted with v-w4963f6_ZU</v>
      </c>
    </row>
    <row r="36258" spans="1:4" x14ac:dyDescent="0.2">
      <c r="B36258" t="s">
        <v>1</v>
      </c>
    </row>
    <row r="36259" spans="1:4" x14ac:dyDescent="0.2">
      <c r="B36259" t="s">
        <v>333</v>
      </c>
    </row>
    <row r="36260" spans="1:4" x14ac:dyDescent="0.2">
      <c r="B36260" t="s">
        <v>90</v>
      </c>
    </row>
    <row r="36262" spans="1:4" x14ac:dyDescent="0.2">
      <c r="A36262" t="s">
        <v>11734</v>
      </c>
      <c r="B36262" t="str">
        <f>HYPERLINK("https://lindat.mff.cuni.cz/services/teitok/pdtc10/index.php?action=vallex&amp;frame=v-w4963f7_ZU", "přeskočit (v-w4963f7_ZU)")</f>
        <v>přeskočit (v-w4963f7_ZU)</v>
      </c>
    </row>
    <row r="36263" spans="1:4" x14ac:dyDescent="0.2">
      <c r="B36263" t="s">
        <v>1</v>
      </c>
    </row>
    <row r="36264" spans="1:4" x14ac:dyDescent="0.2">
      <c r="B36264" t="s">
        <v>8</v>
      </c>
    </row>
    <row r="36266" spans="1:4" x14ac:dyDescent="0.2">
      <c r="A36266" t="s">
        <v>11735</v>
      </c>
      <c r="B36266" t="str">
        <f>HYPERLINK("https://lindat.mff.cuni.cz/services/teitok/pdtc10/index.php?action=vallex&amp;frame=v-w4965f1", "přeskupit (v-w4965f1)")</f>
        <v>přeskupit (v-w4965f1)</v>
      </c>
    </row>
    <row r="36267" spans="1:4" x14ac:dyDescent="0.2">
      <c r="B36267" t="s">
        <v>1</v>
      </c>
      <c r="C36267" t="s">
        <v>133</v>
      </c>
    </row>
    <row r="36268" spans="1:4" x14ac:dyDescent="0.2">
      <c r="B36268" t="s">
        <v>8</v>
      </c>
      <c r="C36268" t="s">
        <v>1128</v>
      </c>
    </row>
    <row r="36270" spans="1:4" x14ac:dyDescent="0.2">
      <c r="A36270" t="s">
        <v>11736</v>
      </c>
      <c r="B36270" t="str">
        <f>HYPERLINK("https://lindat.mff.cuni.cz/services/teitok/pdtc10/index.php?action=vallex&amp;frame=v-w11012f2", "přeskupovat (v-w11012f2)")</f>
        <v>přeskupovat (v-w11012f2)</v>
      </c>
    </row>
    <row r="36271" spans="1:4" x14ac:dyDescent="0.2">
      <c r="B36271" t="s">
        <v>1</v>
      </c>
      <c r="C36271" t="s">
        <v>140</v>
      </c>
      <c r="D36271" t="s">
        <v>24016</v>
      </c>
    </row>
    <row r="36272" spans="1:4" x14ac:dyDescent="0.2">
      <c r="B36272" t="s">
        <v>8</v>
      </c>
      <c r="C36272" t="s">
        <v>991</v>
      </c>
      <c r="D36272" t="s">
        <v>10237</v>
      </c>
    </row>
    <row r="36274" spans="1:4" x14ac:dyDescent="0.2">
      <c r="A36274" t="s">
        <v>11737</v>
      </c>
      <c r="B36274" t="str">
        <f>HYPERLINK("https://lindat.mff.cuni.cz/services/teitok/pdtc10/index.php?action=vallex&amp;frame=v-whsa_945hsa_946", "přeskupovat se (v-whsa_945hsa_946)")</f>
        <v>přeskupovat se (v-whsa_945hsa_946)</v>
      </c>
    </row>
    <row r="36275" spans="1:4" x14ac:dyDescent="0.2">
      <c r="B36275" t="s">
        <v>1</v>
      </c>
    </row>
    <row r="36277" spans="1:4" x14ac:dyDescent="0.2">
      <c r="A36277" t="s">
        <v>11738</v>
      </c>
      <c r="B36277" t="str">
        <f>HYPERLINK("https://lindat.mff.cuni.cz/services/teitok/pdtc10/index.php?action=vallex&amp;frame=v-w11952_ZUf1_ZU", "přeslechnout (v-w11952_ZUf1_ZU)")</f>
        <v>přeslechnout (v-w11952_ZUf1_ZU)</v>
      </c>
    </row>
    <row r="36278" spans="1:4" x14ac:dyDescent="0.2">
      <c r="B36278" t="s">
        <v>1</v>
      </c>
    </row>
    <row r="36279" spans="1:4" x14ac:dyDescent="0.2">
      <c r="B36279" t="s">
        <v>8</v>
      </c>
    </row>
    <row r="36281" spans="1:4" x14ac:dyDescent="0.2">
      <c r="A36281" t="s">
        <v>11739</v>
      </c>
      <c r="B36281" t="str">
        <f>HYPERLINK("https://lindat.mff.cuni.cz/services/teitok/pdtc10/index.php?action=vallex&amp;frame=v-whsa_355hsa_356", "přesluhovat (v-whsa_355hsa_356)")</f>
        <v>přesluhovat (v-whsa_355hsa_356)</v>
      </c>
    </row>
    <row r="36282" spans="1:4" x14ac:dyDescent="0.2">
      <c r="B36282" t="s">
        <v>1</v>
      </c>
    </row>
    <row r="36284" spans="1:4" x14ac:dyDescent="0.2">
      <c r="A36284" t="s">
        <v>11740</v>
      </c>
      <c r="B36284" t="str">
        <f>HYPERLINK("https://lindat.mff.cuni.cz/services/teitok/pdtc10/index.php?action=vallex&amp;frame=v-w10808f2", "přesměrovat (v-w10808f2)")</f>
        <v>přesměrovat (v-w10808f2)</v>
      </c>
    </row>
    <row r="36285" spans="1:4" x14ac:dyDescent="0.2">
      <c r="B36285" t="s">
        <v>1</v>
      </c>
      <c r="C36285" t="s">
        <v>1065</v>
      </c>
      <c r="D36285" t="s">
        <v>109</v>
      </c>
    </row>
    <row r="36286" spans="1:4" x14ac:dyDescent="0.2">
      <c r="B36286" t="s">
        <v>8</v>
      </c>
      <c r="C36286" t="s">
        <v>6566</v>
      </c>
      <c r="D36286" t="s">
        <v>3308</v>
      </c>
    </row>
    <row r="36287" spans="1:4" x14ac:dyDescent="0.2">
      <c r="B36287" t="s">
        <v>333</v>
      </c>
    </row>
    <row r="36288" spans="1:4" x14ac:dyDescent="0.2">
      <c r="B36288" t="s">
        <v>90</v>
      </c>
      <c r="C36288" t="s">
        <v>11579</v>
      </c>
    </row>
    <row r="36290" spans="1:4" x14ac:dyDescent="0.2">
      <c r="A36290" t="s">
        <v>11741</v>
      </c>
      <c r="B36290" t="str">
        <f>HYPERLINK("https://lindat.mff.cuni.cz/services/teitok/pdtc10/index.php?action=vallex&amp;frame=v-w10663f2", "přesměrovávat (v-w10663f2)")</f>
        <v>přesměrovávat (v-w10663f2)</v>
      </c>
    </row>
    <row r="36291" spans="1:4" x14ac:dyDescent="0.2">
      <c r="B36291" t="s">
        <v>1</v>
      </c>
      <c r="D36291" t="s">
        <v>109</v>
      </c>
    </row>
    <row r="36292" spans="1:4" x14ac:dyDescent="0.2">
      <c r="B36292" t="s">
        <v>8</v>
      </c>
      <c r="D36292" t="s">
        <v>3308</v>
      </c>
    </row>
    <row r="36293" spans="1:4" x14ac:dyDescent="0.2">
      <c r="B36293" t="s">
        <v>333</v>
      </c>
    </row>
    <row r="36294" spans="1:4" x14ac:dyDescent="0.2">
      <c r="B36294" t="s">
        <v>90</v>
      </c>
    </row>
    <row r="36296" spans="1:4" x14ac:dyDescent="0.2">
      <c r="A36296" t="s">
        <v>11742</v>
      </c>
      <c r="B36296" t="str">
        <f>HYPERLINK("https://lindat.mff.cuni.cz/services/teitok/pdtc10/index.php?action=vallex&amp;frame=v-w4966f1", "přesouvat (v-w4966f1)")</f>
        <v>přesouvat (v-w4966f1)</v>
      </c>
    </row>
    <row r="36297" spans="1:4" x14ac:dyDescent="0.2">
      <c r="B36297" t="s">
        <v>1</v>
      </c>
      <c r="C36297" t="s">
        <v>8690</v>
      </c>
      <c r="D36297" t="s">
        <v>3580</v>
      </c>
    </row>
    <row r="36298" spans="1:4" x14ac:dyDescent="0.2">
      <c r="B36298" t="s">
        <v>8</v>
      </c>
      <c r="C36298" t="s">
        <v>11743</v>
      </c>
      <c r="D36298" t="s">
        <v>23652</v>
      </c>
    </row>
    <row r="36299" spans="1:4" x14ac:dyDescent="0.2">
      <c r="B36299" t="s">
        <v>333</v>
      </c>
    </row>
    <row r="36300" spans="1:4" x14ac:dyDescent="0.2">
      <c r="B36300" t="s">
        <v>90</v>
      </c>
      <c r="C36300" t="s">
        <v>11579</v>
      </c>
      <c r="D36300" t="s">
        <v>23853</v>
      </c>
    </row>
    <row r="36302" spans="1:4" x14ac:dyDescent="0.2">
      <c r="A36302" t="s">
        <v>11744</v>
      </c>
      <c r="B36302" t="str">
        <f>HYPERLINK("https://lindat.mff.cuni.cz/services/teitok/pdtc10/index.php?action=vallex&amp;frame=v-w4966f2", "přesouvat (v-w4966f2)")</f>
        <v>přesouvat (v-w4966f2)</v>
      </c>
    </row>
    <row r="36303" spans="1:4" x14ac:dyDescent="0.2">
      <c r="B36303" t="s">
        <v>1</v>
      </c>
      <c r="D36303" t="s">
        <v>10977</v>
      </c>
    </row>
    <row r="36304" spans="1:4" x14ac:dyDescent="0.2">
      <c r="B36304" t="s">
        <v>8</v>
      </c>
      <c r="C36304" t="s">
        <v>11745</v>
      </c>
      <c r="D36304" t="s">
        <v>24018</v>
      </c>
    </row>
    <row r="36305" spans="1:4" x14ac:dyDescent="0.2">
      <c r="B36305" t="s">
        <v>8674</v>
      </c>
      <c r="D36305" t="s">
        <v>24019</v>
      </c>
    </row>
    <row r="36306" spans="1:4" x14ac:dyDescent="0.2">
      <c r="B36306" t="s">
        <v>1260</v>
      </c>
      <c r="D36306" t="s">
        <v>24020</v>
      </c>
    </row>
    <row r="36308" spans="1:4" x14ac:dyDescent="0.2">
      <c r="A36308" t="s">
        <v>11746</v>
      </c>
      <c r="B36308" t="str">
        <f>HYPERLINK("https://lindat.mff.cuni.cz/services/teitok/pdtc10/index.php?action=vallex&amp;frame=v-w4966hsa_290", "přesouvat (v-w4966hsa_290)")</f>
        <v>přesouvat (v-w4966hsa_290)</v>
      </c>
    </row>
    <row r="36309" spans="1:4" x14ac:dyDescent="0.2">
      <c r="B36309" t="s">
        <v>1</v>
      </c>
      <c r="C36309" t="s">
        <v>430</v>
      </c>
    </row>
    <row r="36310" spans="1:4" x14ac:dyDescent="0.2">
      <c r="B36310" t="s">
        <v>8</v>
      </c>
      <c r="C36310" t="s">
        <v>56</v>
      </c>
    </row>
    <row r="36311" spans="1:4" x14ac:dyDescent="0.2">
      <c r="B36311" t="s">
        <v>35</v>
      </c>
    </row>
    <row r="36313" spans="1:4" x14ac:dyDescent="0.2">
      <c r="A36313" t="s">
        <v>11747</v>
      </c>
      <c r="B36313" t="str">
        <f>HYPERLINK("https://lindat.mff.cuni.cz/services/teitok/pdtc10/index.php?action=vallex&amp;frame=v-w4967f1", "přesouvat se (v-w4967f1)")</f>
        <v>přesouvat se (v-w4967f1)</v>
      </c>
    </row>
    <row r="36314" spans="1:4" x14ac:dyDescent="0.2">
      <c r="B36314" t="s">
        <v>1</v>
      </c>
      <c r="C36314" t="s">
        <v>11748</v>
      </c>
      <c r="D36314" t="s">
        <v>23091</v>
      </c>
    </row>
    <row r="36315" spans="1:4" x14ac:dyDescent="0.2">
      <c r="B36315" t="s">
        <v>333</v>
      </c>
      <c r="D36315" t="s">
        <v>7666</v>
      </c>
    </row>
    <row r="36316" spans="1:4" x14ac:dyDescent="0.2">
      <c r="B36316" t="s">
        <v>90</v>
      </c>
    </row>
    <row r="36318" spans="1:4" x14ac:dyDescent="0.2">
      <c r="A36318" t="s">
        <v>11749</v>
      </c>
      <c r="B36318" t="str">
        <f>HYPERLINK("https://lindat.mff.cuni.cz/services/teitok/pdtc10/index.php?action=vallex&amp;frame=v-w4968f1", "přespat (v-w4968f1)")</f>
        <v>přespat (v-w4968f1)</v>
      </c>
    </row>
    <row r="36319" spans="1:4" x14ac:dyDescent="0.2">
      <c r="B36319" t="s">
        <v>1</v>
      </c>
    </row>
    <row r="36320" spans="1:4" x14ac:dyDescent="0.2">
      <c r="B36320" t="s">
        <v>5</v>
      </c>
    </row>
    <row r="36322" spans="1:4" x14ac:dyDescent="0.2">
      <c r="A36322" t="s">
        <v>11750</v>
      </c>
      <c r="B36322" t="str">
        <f>HYPERLINK("https://lindat.mff.cuni.cz/services/teitok/pdtc10/index.php?action=vallex&amp;frame=v-w4970f1", "přesprintovat (v-w4970f1)")</f>
        <v>přesprintovat (v-w4970f1)</v>
      </c>
    </row>
    <row r="36323" spans="1:4" x14ac:dyDescent="0.2">
      <c r="B36323" t="s">
        <v>1</v>
      </c>
    </row>
    <row r="36324" spans="1:4" x14ac:dyDescent="0.2">
      <c r="B36324" t="s">
        <v>8</v>
      </c>
    </row>
    <row r="36326" spans="1:4" x14ac:dyDescent="0.2">
      <c r="A36326" t="s">
        <v>11751</v>
      </c>
      <c r="B36326" t="str">
        <f>HYPERLINK("https://lindat.mff.cuni.cz/services/teitok/pdtc10/index.php?action=vallex&amp;frame=v-w4969f1", "přespávat (v-w4969f1)")</f>
        <v>přespávat (v-w4969f1)</v>
      </c>
    </row>
    <row r="36327" spans="1:4" x14ac:dyDescent="0.2">
      <c r="B36327" t="s">
        <v>1</v>
      </c>
    </row>
    <row r="36328" spans="1:4" x14ac:dyDescent="0.2">
      <c r="B36328" t="s">
        <v>5</v>
      </c>
    </row>
    <row r="36330" spans="1:4" x14ac:dyDescent="0.2">
      <c r="A36330" t="s">
        <v>11752</v>
      </c>
      <c r="B36330" t="str">
        <f>HYPERLINK("https://lindat.mff.cuni.cz/services/teitok/pdtc10/index.php?action=vallex&amp;frame=v-w4971f1", "přestat (v-w4971f1)")</f>
        <v>přestat (v-w4971f1)</v>
      </c>
    </row>
    <row r="36331" spans="1:4" x14ac:dyDescent="0.2">
      <c r="B36331" t="s">
        <v>1</v>
      </c>
      <c r="C36331" t="s">
        <v>11753</v>
      </c>
    </row>
    <row r="36332" spans="1:4" x14ac:dyDescent="0.2">
      <c r="B36332" t="s">
        <v>9633</v>
      </c>
      <c r="C36332" t="s">
        <v>11754</v>
      </c>
    </row>
    <row r="36334" spans="1:4" x14ac:dyDescent="0.2">
      <c r="A36334" t="s">
        <v>11755</v>
      </c>
      <c r="B36334" t="str">
        <f>HYPERLINK("https://lindat.mff.cuni.cz/services/teitok/pdtc10/index.php?action=vallex&amp;frame=v-w4971f2", "přestat (v-w4971f2)")</f>
        <v>přestat (v-w4971f2)</v>
      </c>
    </row>
    <row r="36335" spans="1:4" x14ac:dyDescent="0.2">
      <c r="B36335" t="s">
        <v>196</v>
      </c>
      <c r="C36335" t="s">
        <v>3138</v>
      </c>
      <c r="D36335" t="s">
        <v>23324</v>
      </c>
    </row>
    <row r="36337" spans="1:4" x14ac:dyDescent="0.2">
      <c r="A36337" t="s">
        <v>11756</v>
      </c>
      <c r="B36337" t="str">
        <f>HYPERLINK("https://lindat.mff.cuni.cz/services/teitok/pdtc10/index.php?action=vallex&amp;frame=v-whsa_540f1_ZU", "přestavit (v-whsa_540f1_ZU)")</f>
        <v>přestavit (v-whsa_540f1_ZU)</v>
      </c>
    </row>
    <row r="36338" spans="1:4" x14ac:dyDescent="0.2">
      <c r="B36338" t="s">
        <v>1</v>
      </c>
    </row>
    <row r="36339" spans="1:4" x14ac:dyDescent="0.2">
      <c r="B36339" t="s">
        <v>8</v>
      </c>
    </row>
    <row r="36340" spans="1:4" x14ac:dyDescent="0.2">
      <c r="B36340" t="s">
        <v>24</v>
      </c>
    </row>
    <row r="36341" spans="1:4" x14ac:dyDescent="0.2">
      <c r="B36341" t="s">
        <v>61</v>
      </c>
    </row>
    <row r="36343" spans="1:4" x14ac:dyDescent="0.2">
      <c r="A36343" t="s">
        <v>11756</v>
      </c>
      <c r="B36343" t="str">
        <f>HYPERLINK("https://lindat.mff.cuni.cz/services/teitok/pdtc10/index.php?action=vallex&amp;frame=v-whsa_540hsa_541", "přestavit (v-whsa_540hsa_541) - substituted with v-whsa_540f1_ZU")</f>
        <v>přestavit (v-whsa_540hsa_541) - substituted with v-whsa_540f1_ZU</v>
      </c>
    </row>
    <row r="36344" spans="1:4" x14ac:dyDescent="0.2">
      <c r="B36344" t="s">
        <v>1</v>
      </c>
    </row>
    <row r="36345" spans="1:4" x14ac:dyDescent="0.2">
      <c r="B36345" t="s">
        <v>8</v>
      </c>
    </row>
    <row r="36346" spans="1:4" x14ac:dyDescent="0.2">
      <c r="B36346" t="s">
        <v>24</v>
      </c>
    </row>
    <row r="36347" spans="1:4" x14ac:dyDescent="0.2">
      <c r="B36347" t="s">
        <v>61</v>
      </c>
    </row>
    <row r="36349" spans="1:4" x14ac:dyDescent="0.2">
      <c r="A36349" t="s">
        <v>11757</v>
      </c>
      <c r="B36349" t="str">
        <f>HYPERLINK("https://lindat.mff.cuni.cz/services/teitok/pdtc10/index.php?action=vallex&amp;frame=v-w4977f1", "přestavovat (v-w4977f1)")</f>
        <v>přestavovat (v-w4977f1)</v>
      </c>
    </row>
    <row r="36350" spans="1:4" x14ac:dyDescent="0.2">
      <c r="B36350" t="s">
        <v>1</v>
      </c>
      <c r="D36350" t="s">
        <v>22944</v>
      </c>
    </row>
    <row r="36351" spans="1:4" x14ac:dyDescent="0.2">
      <c r="B36351" t="s">
        <v>8</v>
      </c>
      <c r="D36351" t="s">
        <v>22945</v>
      </c>
    </row>
    <row r="36352" spans="1:4" x14ac:dyDescent="0.2">
      <c r="B36352" t="s">
        <v>24</v>
      </c>
      <c r="D36352" t="s">
        <v>22946</v>
      </c>
    </row>
    <row r="36353" spans="1:4" x14ac:dyDescent="0.2">
      <c r="B36353" t="s">
        <v>25</v>
      </c>
      <c r="D36353" t="s">
        <v>22947</v>
      </c>
    </row>
    <row r="36355" spans="1:4" x14ac:dyDescent="0.2">
      <c r="A36355" t="s">
        <v>11758</v>
      </c>
      <c r="B36355" t="str">
        <f>HYPERLINK("https://lindat.mff.cuni.cz/services/teitok/pdtc10/index.php?action=vallex&amp;frame=v-w4975f2_MM", "přestavět (v-w4975f2_MM)")</f>
        <v>přestavět (v-w4975f2_MM)</v>
      </c>
    </row>
    <row r="36356" spans="1:4" x14ac:dyDescent="0.2">
      <c r="B36356" t="s">
        <v>1</v>
      </c>
    </row>
    <row r="36357" spans="1:4" x14ac:dyDescent="0.2">
      <c r="B36357" t="s">
        <v>8</v>
      </c>
    </row>
    <row r="36358" spans="1:4" x14ac:dyDescent="0.2">
      <c r="B36358" t="s">
        <v>11759</v>
      </c>
    </row>
    <row r="36359" spans="1:4" x14ac:dyDescent="0.2">
      <c r="B36359" t="s">
        <v>24</v>
      </c>
    </row>
    <row r="36361" spans="1:4" x14ac:dyDescent="0.2">
      <c r="A36361" t="s">
        <v>11758</v>
      </c>
      <c r="B36361" t="str">
        <f>HYPERLINK("https://lindat.mff.cuni.cz/services/teitok/pdtc10/index.php?action=vallex&amp;frame=v-w4975f1", "přestavět (v-w4975f1) - substituted with v-w4975f2_MM")</f>
        <v>přestavět (v-w4975f1) - substituted with v-w4975f2_MM</v>
      </c>
    </row>
    <row r="36362" spans="1:4" x14ac:dyDescent="0.2">
      <c r="B36362" t="s">
        <v>1</v>
      </c>
      <c r="C36362" t="s">
        <v>1366</v>
      </c>
      <c r="D36362" t="s">
        <v>22944</v>
      </c>
    </row>
    <row r="36363" spans="1:4" x14ac:dyDescent="0.2">
      <c r="B36363" t="s">
        <v>8</v>
      </c>
      <c r="C36363" t="s">
        <v>11760</v>
      </c>
      <c r="D36363" t="s">
        <v>22945</v>
      </c>
    </row>
    <row r="36364" spans="1:4" x14ac:dyDescent="0.2">
      <c r="B36364" t="s">
        <v>11759</v>
      </c>
      <c r="C36364" t="s">
        <v>11761</v>
      </c>
      <c r="D36364" t="s">
        <v>22947</v>
      </c>
    </row>
    <row r="36365" spans="1:4" x14ac:dyDescent="0.2">
      <c r="B36365" t="s">
        <v>24</v>
      </c>
      <c r="D36365" t="s">
        <v>22946</v>
      </c>
    </row>
    <row r="36367" spans="1:4" x14ac:dyDescent="0.2">
      <c r="A36367" t="s">
        <v>11762</v>
      </c>
      <c r="B36367" t="str">
        <f>HYPERLINK("https://lindat.mff.cuni.cz/services/teitok/pdtc10/index.php?action=vallex&amp;frame=v-w4981f1", "přestoupit (v-w4981f1)")</f>
        <v>přestoupit (v-w4981f1)</v>
      </c>
    </row>
    <row r="36368" spans="1:4" x14ac:dyDescent="0.2">
      <c r="B36368" t="s">
        <v>1</v>
      </c>
      <c r="C36368" t="s">
        <v>186</v>
      </c>
      <c r="D36368" t="s">
        <v>23336</v>
      </c>
    </row>
    <row r="36369" spans="1:2" x14ac:dyDescent="0.2">
      <c r="B36369" t="s">
        <v>333</v>
      </c>
    </row>
    <row r="36370" spans="1:2" x14ac:dyDescent="0.2">
      <c r="B36370" t="s">
        <v>90</v>
      </c>
    </row>
    <row r="36372" spans="1:2" x14ac:dyDescent="0.2">
      <c r="A36372" t="s">
        <v>11763</v>
      </c>
      <c r="B36372" t="str">
        <f>HYPERLINK("https://lindat.mff.cuni.cz/services/teitok/pdtc10/index.php?action=vallex&amp;frame=v-w4981hsa_2003", "přestoupit (v-w4981hsa_2003)")</f>
        <v>přestoupit (v-w4981hsa_2003)</v>
      </c>
    </row>
    <row r="36373" spans="1:2" x14ac:dyDescent="0.2">
      <c r="B36373" t="s">
        <v>1</v>
      </c>
    </row>
    <row r="36374" spans="1:2" x14ac:dyDescent="0.2">
      <c r="B36374" t="s">
        <v>8</v>
      </c>
    </row>
    <row r="36376" spans="1:2" x14ac:dyDescent="0.2">
      <c r="A36376" t="s">
        <v>11764</v>
      </c>
      <c r="B36376" t="str">
        <f>HYPERLINK("https://lindat.mff.cuni.cz/services/teitok/pdtc10/index.php?action=vallex&amp;frame=v-w4981hsa_2004", "přestoupit (v-w4981hsa_2004)")</f>
        <v>přestoupit (v-w4981hsa_2004)</v>
      </c>
    </row>
    <row r="36377" spans="1:2" x14ac:dyDescent="0.2">
      <c r="B36377" t="s">
        <v>1</v>
      </c>
    </row>
    <row r="36378" spans="1:2" x14ac:dyDescent="0.2">
      <c r="B36378" t="s">
        <v>90</v>
      </c>
    </row>
    <row r="36380" spans="1:2" x14ac:dyDescent="0.2">
      <c r="A36380" t="s">
        <v>11765</v>
      </c>
      <c r="B36380" t="str">
        <f>HYPERLINK("https://lindat.mff.cuni.cz/services/teitok/pdtc10/index.php?action=vallex&amp;frame=v-w10792f2", "přestrukturovat (v-w10792f2)")</f>
        <v>přestrukturovat (v-w10792f2)</v>
      </c>
    </row>
    <row r="36381" spans="1:2" x14ac:dyDescent="0.2">
      <c r="B36381" t="s">
        <v>1</v>
      </c>
    </row>
    <row r="36382" spans="1:2" x14ac:dyDescent="0.2">
      <c r="B36382" t="s">
        <v>8</v>
      </c>
    </row>
    <row r="36384" spans="1:2" x14ac:dyDescent="0.2">
      <c r="A36384" t="s">
        <v>11766</v>
      </c>
      <c r="B36384" t="str">
        <f>HYPERLINK("https://lindat.mff.cuni.cz/services/teitok/pdtc10/index.php?action=vallex&amp;frame=v-w4985f1", "přestupovat (v-w4985f1)")</f>
        <v>přestupovat (v-w4985f1)</v>
      </c>
    </row>
    <row r="36385" spans="1:4" x14ac:dyDescent="0.2">
      <c r="B36385" t="s">
        <v>1</v>
      </c>
      <c r="D36385" t="s">
        <v>23336</v>
      </c>
    </row>
    <row r="36386" spans="1:4" x14ac:dyDescent="0.2">
      <c r="B36386" t="s">
        <v>333</v>
      </c>
    </row>
    <row r="36387" spans="1:4" x14ac:dyDescent="0.2">
      <c r="B36387" t="s">
        <v>90</v>
      </c>
    </row>
    <row r="36389" spans="1:4" x14ac:dyDescent="0.2">
      <c r="A36389" t="s">
        <v>11767</v>
      </c>
      <c r="B36389" t="str">
        <f>HYPERLINK("https://lindat.mff.cuni.cz/services/teitok/pdtc10/index.php?action=vallex&amp;frame=v-w4972f1", "přestát (v-w4972f1)")</f>
        <v>přestát (v-w4972f1)</v>
      </c>
    </row>
    <row r="36390" spans="1:4" x14ac:dyDescent="0.2">
      <c r="B36390" t="s">
        <v>1</v>
      </c>
      <c r="C36390" t="s">
        <v>11768</v>
      </c>
      <c r="D36390" t="s">
        <v>430</v>
      </c>
    </row>
    <row r="36391" spans="1:4" x14ac:dyDescent="0.2">
      <c r="B36391" t="s">
        <v>8</v>
      </c>
      <c r="C36391" t="s">
        <v>11769</v>
      </c>
      <c r="D36391" t="s">
        <v>1128</v>
      </c>
    </row>
    <row r="36393" spans="1:4" x14ac:dyDescent="0.2">
      <c r="A36393" t="s">
        <v>11770</v>
      </c>
      <c r="B36393" t="str">
        <f>HYPERLINK("https://lindat.mff.cuni.cz/services/teitok/pdtc10/index.php?action=vallex&amp;frame=v-w4973f1", "přestávat (v-w4973f1)")</f>
        <v>přestávat (v-w4973f1)</v>
      </c>
    </row>
    <row r="36394" spans="1:4" x14ac:dyDescent="0.2">
      <c r="B36394" t="s">
        <v>1</v>
      </c>
      <c r="C36394" t="s">
        <v>11771</v>
      </c>
      <c r="D36394" t="s">
        <v>23064</v>
      </c>
    </row>
    <row r="36395" spans="1:4" x14ac:dyDescent="0.2">
      <c r="B36395" t="s">
        <v>9633</v>
      </c>
      <c r="C36395" t="s">
        <v>6252</v>
      </c>
      <c r="D36395" t="s">
        <v>23065</v>
      </c>
    </row>
    <row r="36397" spans="1:4" x14ac:dyDescent="0.2">
      <c r="A36397" t="s">
        <v>11772</v>
      </c>
      <c r="B36397" t="str">
        <f>HYPERLINK("https://lindat.mff.cuni.cz/services/teitok/pdtc10/index.php?action=vallex&amp;frame=v-w4973f2", "přestávat (v-w4973f2)")</f>
        <v>přestávat (v-w4973f2)</v>
      </c>
    </row>
    <row r="36398" spans="1:4" x14ac:dyDescent="0.2">
      <c r="B36398" t="s">
        <v>196</v>
      </c>
      <c r="D36398" t="s">
        <v>23324</v>
      </c>
    </row>
    <row r="36400" spans="1:4" x14ac:dyDescent="0.2">
      <c r="A36400" t="s">
        <v>11773</v>
      </c>
      <c r="B36400" t="str">
        <f>HYPERLINK("https://lindat.mff.cuni.cz/services/teitok/pdtc10/index.php?action=vallex&amp;frame=v-w4979f1", "přestěhovat (v-w4979f1)")</f>
        <v>přestěhovat (v-w4979f1)</v>
      </c>
    </row>
    <row r="36401" spans="1:4" x14ac:dyDescent="0.2">
      <c r="B36401" t="s">
        <v>1</v>
      </c>
      <c r="C36401" t="s">
        <v>11774</v>
      </c>
      <c r="D36401" t="s">
        <v>3580</v>
      </c>
    </row>
    <row r="36402" spans="1:4" x14ac:dyDescent="0.2">
      <c r="B36402" t="s">
        <v>8</v>
      </c>
      <c r="C36402" t="s">
        <v>6702</v>
      </c>
      <c r="D36402" t="s">
        <v>23652</v>
      </c>
    </row>
    <row r="36403" spans="1:4" x14ac:dyDescent="0.2">
      <c r="B36403" t="s">
        <v>333</v>
      </c>
    </row>
    <row r="36404" spans="1:4" x14ac:dyDescent="0.2">
      <c r="B36404" t="s">
        <v>90</v>
      </c>
      <c r="D36404" t="s">
        <v>23853</v>
      </c>
    </row>
    <row r="36406" spans="1:4" x14ac:dyDescent="0.2">
      <c r="A36406" t="s">
        <v>11775</v>
      </c>
      <c r="B36406" t="str">
        <f>HYPERLINK("https://lindat.mff.cuni.cz/services/teitok/pdtc10/index.php?action=vallex&amp;frame=v-w4980f1", "přestěhovat se (v-w4980f1)")</f>
        <v>přestěhovat se (v-w4980f1)</v>
      </c>
    </row>
    <row r="36407" spans="1:4" x14ac:dyDescent="0.2">
      <c r="B36407" t="s">
        <v>1</v>
      </c>
      <c r="C36407" t="s">
        <v>3303</v>
      </c>
      <c r="D36407" t="s">
        <v>23091</v>
      </c>
    </row>
    <row r="36408" spans="1:4" x14ac:dyDescent="0.2">
      <c r="B36408" t="s">
        <v>333</v>
      </c>
      <c r="D36408" t="s">
        <v>7666</v>
      </c>
    </row>
    <row r="36409" spans="1:4" x14ac:dyDescent="0.2">
      <c r="B36409" t="s">
        <v>90</v>
      </c>
    </row>
    <row r="36411" spans="1:4" x14ac:dyDescent="0.2">
      <c r="A36411" t="s">
        <v>11776</v>
      </c>
      <c r="B36411" t="str">
        <f>HYPERLINK("https://lindat.mff.cuni.cz/services/teitok/pdtc10/index.php?action=vallex&amp;frame=v-w4982f1", "přestřelit (v-w4982f1)")</f>
        <v>přestřelit (v-w4982f1)</v>
      </c>
    </row>
    <row r="36412" spans="1:4" x14ac:dyDescent="0.2">
      <c r="B36412" t="s">
        <v>1</v>
      </c>
    </row>
    <row r="36413" spans="1:4" x14ac:dyDescent="0.2">
      <c r="B36413" t="s">
        <v>8</v>
      </c>
    </row>
    <row r="36415" spans="1:4" x14ac:dyDescent="0.2">
      <c r="A36415" t="s">
        <v>11777</v>
      </c>
      <c r="B36415" t="str">
        <f>HYPERLINK("https://lindat.mff.cuni.cz/services/teitok/pdtc10/index.php?action=vallex&amp;frame=v-w10850f3", "přestřihnout (v-w10850f3)")</f>
        <v>přestřihnout (v-w10850f3)</v>
      </c>
    </row>
    <row r="36416" spans="1:4" x14ac:dyDescent="0.2">
      <c r="B36416" t="s">
        <v>1</v>
      </c>
    </row>
    <row r="36417" spans="1:4" x14ac:dyDescent="0.2">
      <c r="B36417" t="s">
        <v>8</v>
      </c>
    </row>
    <row r="36419" spans="1:4" x14ac:dyDescent="0.2">
      <c r="A36419" t="s">
        <v>11778</v>
      </c>
      <c r="B36419" t="str">
        <f>HYPERLINK("https://lindat.mff.cuni.cz/services/teitok/pdtc10/index.php?action=vallex&amp;frame=v-w10850f2", "přestřihnout (v-w10850f2)")</f>
        <v>přestřihnout (v-w10850f2)</v>
      </c>
    </row>
    <row r="36420" spans="1:4" x14ac:dyDescent="0.2">
      <c r="B36420" t="s">
        <v>1</v>
      </c>
    </row>
    <row r="36421" spans="1:4" x14ac:dyDescent="0.2">
      <c r="B36421" t="s">
        <v>8</v>
      </c>
    </row>
    <row r="36423" spans="1:4" x14ac:dyDescent="0.2">
      <c r="A36423" t="s">
        <v>11779</v>
      </c>
      <c r="B36423" t="str">
        <f>HYPERLINK("https://lindat.mff.cuni.cz/services/teitok/pdtc10/index.php?action=vallex&amp;frame=v-w4987f2", "přesunout (v-w4987f2)")</f>
        <v>přesunout (v-w4987f2)</v>
      </c>
    </row>
    <row r="36424" spans="1:4" x14ac:dyDescent="0.2">
      <c r="B36424" t="s">
        <v>1</v>
      </c>
      <c r="C36424" t="s">
        <v>11780</v>
      </c>
      <c r="D36424" t="s">
        <v>3580</v>
      </c>
    </row>
    <row r="36425" spans="1:4" x14ac:dyDescent="0.2">
      <c r="B36425" t="s">
        <v>8</v>
      </c>
      <c r="C36425" t="s">
        <v>1815</v>
      </c>
      <c r="D36425" t="s">
        <v>23652</v>
      </c>
    </row>
    <row r="36426" spans="1:4" x14ac:dyDescent="0.2">
      <c r="B36426" t="s">
        <v>3527</v>
      </c>
      <c r="C36426" t="s">
        <v>3185</v>
      </c>
      <c r="D36426" t="s">
        <v>24023</v>
      </c>
    </row>
    <row r="36427" spans="1:4" x14ac:dyDescent="0.2">
      <c r="B36427" t="s">
        <v>24</v>
      </c>
    </row>
    <row r="36429" spans="1:4" x14ac:dyDescent="0.2">
      <c r="A36429" t="s">
        <v>11781</v>
      </c>
      <c r="B36429" t="str">
        <f>HYPERLINK("https://lindat.mff.cuni.cz/services/teitok/pdtc10/index.php?action=vallex&amp;frame=v-w4987f4_ZU", "přesunout (v-w4987f4_ZU)")</f>
        <v>přesunout (v-w4987f4_ZU)</v>
      </c>
    </row>
    <row r="36430" spans="1:4" x14ac:dyDescent="0.2">
      <c r="B36430" t="s">
        <v>1</v>
      </c>
      <c r="C36430" t="s">
        <v>373</v>
      </c>
      <c r="D36430" t="s">
        <v>3580</v>
      </c>
    </row>
    <row r="36431" spans="1:4" x14ac:dyDescent="0.2">
      <c r="B36431" t="s">
        <v>8</v>
      </c>
      <c r="C36431" t="s">
        <v>17</v>
      </c>
      <c r="D36431" t="s">
        <v>23652</v>
      </c>
    </row>
    <row r="36432" spans="1:4" x14ac:dyDescent="0.2">
      <c r="B36432" t="s">
        <v>24</v>
      </c>
    </row>
    <row r="36433" spans="1:4" x14ac:dyDescent="0.2">
      <c r="B36433" t="s">
        <v>11782</v>
      </c>
      <c r="D36433" t="s">
        <v>23667</v>
      </c>
    </row>
    <row r="36435" spans="1:4" x14ac:dyDescent="0.2">
      <c r="A36435" t="s">
        <v>11783</v>
      </c>
      <c r="B36435" t="str">
        <f>HYPERLINK("https://lindat.mff.cuni.cz/services/teitok/pdtc10/index.php?action=vallex&amp;frame=v-w4987f1", "přesunout (v-w4987f1)")</f>
        <v>přesunout (v-w4987f1)</v>
      </c>
    </row>
    <row r="36436" spans="1:4" x14ac:dyDescent="0.2">
      <c r="B36436" t="s">
        <v>1</v>
      </c>
      <c r="C36436" t="s">
        <v>11784</v>
      </c>
      <c r="D36436" t="s">
        <v>23181</v>
      </c>
    </row>
    <row r="36437" spans="1:4" x14ac:dyDescent="0.2">
      <c r="B36437" t="s">
        <v>8</v>
      </c>
      <c r="C36437" t="s">
        <v>11785</v>
      </c>
      <c r="D36437" t="s">
        <v>24030</v>
      </c>
    </row>
    <row r="36438" spans="1:4" x14ac:dyDescent="0.2">
      <c r="B36438" t="s">
        <v>333</v>
      </c>
    </row>
    <row r="36439" spans="1:4" x14ac:dyDescent="0.2">
      <c r="B36439" t="s">
        <v>90</v>
      </c>
      <c r="C36439" t="s">
        <v>11786</v>
      </c>
      <c r="D36439" t="s">
        <v>24031</v>
      </c>
    </row>
    <row r="36441" spans="1:4" x14ac:dyDescent="0.2">
      <c r="A36441" t="s">
        <v>11787</v>
      </c>
      <c r="B36441" t="str">
        <f>HYPERLINK("https://lindat.mff.cuni.cz/services/teitok/pdtc10/index.php?action=vallex&amp;frame=v-w4987f3", "přesunout (v-w4987f3)")</f>
        <v>přesunout (v-w4987f3)</v>
      </c>
    </row>
    <row r="36442" spans="1:4" x14ac:dyDescent="0.2">
      <c r="B36442" t="s">
        <v>1</v>
      </c>
      <c r="C36442" t="s">
        <v>1566</v>
      </c>
      <c r="D36442" t="s">
        <v>10977</v>
      </c>
    </row>
    <row r="36443" spans="1:4" x14ac:dyDescent="0.2">
      <c r="B36443" t="s">
        <v>8</v>
      </c>
      <c r="C36443" t="s">
        <v>6116</v>
      </c>
      <c r="D36443" t="s">
        <v>24018</v>
      </c>
    </row>
    <row r="36444" spans="1:4" x14ac:dyDescent="0.2">
      <c r="B36444" t="s">
        <v>8674</v>
      </c>
      <c r="D36444" t="s">
        <v>24019</v>
      </c>
    </row>
    <row r="36445" spans="1:4" x14ac:dyDescent="0.2">
      <c r="B36445" t="s">
        <v>1260</v>
      </c>
      <c r="C36445" t="s">
        <v>11581</v>
      </c>
      <c r="D36445" t="s">
        <v>24020</v>
      </c>
    </row>
    <row r="36447" spans="1:4" x14ac:dyDescent="0.2">
      <c r="A36447" t="s">
        <v>11788</v>
      </c>
      <c r="B36447" t="str">
        <f>HYPERLINK("https://lindat.mff.cuni.cz/services/teitok/pdtc10/index.php?action=vallex&amp;frame=v-w4988f1", "přesunout se (v-w4988f1)")</f>
        <v>přesunout se (v-w4988f1)</v>
      </c>
    </row>
    <row r="36448" spans="1:4" x14ac:dyDescent="0.2">
      <c r="B36448" t="s">
        <v>1</v>
      </c>
      <c r="C36448" t="s">
        <v>11789</v>
      </c>
      <c r="D36448" t="s">
        <v>23091</v>
      </c>
    </row>
    <row r="36449" spans="1:4" x14ac:dyDescent="0.2">
      <c r="B36449" t="s">
        <v>333</v>
      </c>
      <c r="D36449" t="s">
        <v>7666</v>
      </c>
    </row>
    <row r="36450" spans="1:4" x14ac:dyDescent="0.2">
      <c r="B36450" t="s">
        <v>90</v>
      </c>
    </row>
    <row r="36452" spans="1:4" x14ac:dyDescent="0.2">
      <c r="A36452" t="s">
        <v>11790</v>
      </c>
      <c r="B36452" t="str">
        <f>HYPERLINK("https://lindat.mff.cuni.cz/services/teitok/pdtc10/index.php?action=vallex&amp;frame=v-w4988f2_ZU", "přesunout se (v-w4988f2_ZU)")</f>
        <v>přesunout se (v-w4988f2_ZU)</v>
      </c>
    </row>
    <row r="36453" spans="1:4" x14ac:dyDescent="0.2">
      <c r="B36453" t="s">
        <v>1</v>
      </c>
    </row>
    <row r="36454" spans="1:4" x14ac:dyDescent="0.2">
      <c r="B36454" t="s">
        <v>3344</v>
      </c>
    </row>
    <row r="36455" spans="1:4" x14ac:dyDescent="0.2">
      <c r="B36455" t="s">
        <v>1944</v>
      </c>
    </row>
    <row r="36457" spans="1:4" x14ac:dyDescent="0.2">
      <c r="A36457" t="s">
        <v>11791</v>
      </c>
      <c r="B36457" t="str">
        <f>HYPERLINK("https://lindat.mff.cuni.cz/services/teitok/pdtc10/index.php?action=vallex&amp;frame=v-w4989f2", "přesunovat (v-w4989f2)")</f>
        <v>přesunovat (v-w4989f2)</v>
      </c>
    </row>
    <row r="36458" spans="1:4" x14ac:dyDescent="0.2">
      <c r="B36458" t="s">
        <v>1</v>
      </c>
    </row>
    <row r="36459" spans="1:4" x14ac:dyDescent="0.2">
      <c r="B36459" t="s">
        <v>8</v>
      </c>
    </row>
    <row r="36460" spans="1:4" x14ac:dyDescent="0.2">
      <c r="B36460" t="s">
        <v>88</v>
      </c>
    </row>
    <row r="36462" spans="1:4" x14ac:dyDescent="0.2">
      <c r="A36462" t="s">
        <v>11792</v>
      </c>
      <c r="B36462" t="str">
        <f>HYPERLINK("https://lindat.mff.cuni.cz/services/teitok/pdtc10/index.php?action=vallex&amp;frame=v-w4989f1", "přesunovat (v-w4989f1)")</f>
        <v>přesunovat (v-w4989f1)</v>
      </c>
    </row>
    <row r="36463" spans="1:4" x14ac:dyDescent="0.2">
      <c r="B36463" t="s">
        <v>1</v>
      </c>
      <c r="D36463" t="s">
        <v>3580</v>
      </c>
    </row>
    <row r="36464" spans="1:4" x14ac:dyDescent="0.2">
      <c r="B36464" t="s">
        <v>8</v>
      </c>
      <c r="D36464" t="s">
        <v>23652</v>
      </c>
    </row>
    <row r="36465" spans="1:4" x14ac:dyDescent="0.2">
      <c r="B36465" t="s">
        <v>333</v>
      </c>
    </row>
    <row r="36466" spans="1:4" x14ac:dyDescent="0.2">
      <c r="B36466" t="s">
        <v>90</v>
      </c>
      <c r="D36466" t="s">
        <v>23853</v>
      </c>
    </row>
    <row r="36468" spans="1:4" x14ac:dyDescent="0.2">
      <c r="A36468" t="s">
        <v>11793</v>
      </c>
      <c r="B36468" t="str">
        <f>HYPERLINK("https://lindat.mff.cuni.cz/services/teitok/pdtc10/index.php?action=vallex&amp;frame=v-w4990f1", "přesunovat se (v-w4990f1)")</f>
        <v>přesunovat se (v-w4990f1)</v>
      </c>
    </row>
    <row r="36469" spans="1:4" x14ac:dyDescent="0.2">
      <c r="B36469" t="s">
        <v>1</v>
      </c>
      <c r="C36469" t="s">
        <v>3303</v>
      </c>
      <c r="D36469" t="s">
        <v>23091</v>
      </c>
    </row>
    <row r="36470" spans="1:4" x14ac:dyDescent="0.2">
      <c r="B36470" t="s">
        <v>333</v>
      </c>
      <c r="D36470" t="s">
        <v>7666</v>
      </c>
    </row>
    <row r="36471" spans="1:4" x14ac:dyDescent="0.2">
      <c r="B36471" t="s">
        <v>90</v>
      </c>
    </row>
    <row r="36473" spans="1:4" x14ac:dyDescent="0.2">
      <c r="A36473" t="s">
        <v>11794</v>
      </c>
      <c r="B36473" t="str">
        <f>HYPERLINK("https://lindat.mff.cuni.cz/services/teitok/pdtc10/index.php?action=vallex&amp;frame=v-w4994f1", "přesvědčit (v-w4994f1)")</f>
        <v>přesvědčit (v-w4994f1)</v>
      </c>
    </row>
    <row r="36474" spans="1:4" x14ac:dyDescent="0.2">
      <c r="B36474" t="s">
        <v>1</v>
      </c>
      <c r="C36474" t="s">
        <v>11795</v>
      </c>
      <c r="D36474" t="s">
        <v>23152</v>
      </c>
    </row>
    <row r="36475" spans="1:4" x14ac:dyDescent="0.2">
      <c r="B36475" t="s">
        <v>11796</v>
      </c>
      <c r="C36475" t="s">
        <v>11797</v>
      </c>
      <c r="D36475" t="s">
        <v>23153</v>
      </c>
    </row>
    <row r="36476" spans="1:4" x14ac:dyDescent="0.2">
      <c r="B36476" t="s">
        <v>58</v>
      </c>
      <c r="C36476" t="s">
        <v>11798</v>
      </c>
      <c r="D36476" t="s">
        <v>23154</v>
      </c>
    </row>
    <row r="36478" spans="1:4" x14ac:dyDescent="0.2">
      <c r="A36478" t="s">
        <v>11799</v>
      </c>
      <c r="B36478" t="str">
        <f>HYPERLINK("https://lindat.mff.cuni.cz/services/teitok/pdtc10/index.php?action=vallex&amp;frame=v-w4995f1", "přesvědčit se (v-w4995f1)")</f>
        <v>přesvědčit se (v-w4995f1)</v>
      </c>
    </row>
    <row r="36479" spans="1:4" x14ac:dyDescent="0.2">
      <c r="B36479" t="s">
        <v>1</v>
      </c>
      <c r="C36479" t="s">
        <v>133</v>
      </c>
      <c r="D36479" t="s">
        <v>23936</v>
      </c>
    </row>
    <row r="36480" spans="1:4" x14ac:dyDescent="0.2">
      <c r="B36480" t="s">
        <v>9884</v>
      </c>
      <c r="C36480" t="s">
        <v>34</v>
      </c>
      <c r="D36480" t="s">
        <v>9371</v>
      </c>
    </row>
    <row r="36482" spans="1:4" x14ac:dyDescent="0.2">
      <c r="A36482" t="s">
        <v>11800</v>
      </c>
      <c r="B36482" t="str">
        <f>HYPERLINK("https://lindat.mff.cuni.cz/services/teitok/pdtc10/index.php?action=vallex&amp;frame=v-w4995f2", "přesvědčit se (v-w4995f2)")</f>
        <v>přesvědčit se (v-w4995f2)</v>
      </c>
    </row>
    <row r="36483" spans="1:4" x14ac:dyDescent="0.2">
      <c r="B36483" t="s">
        <v>1</v>
      </c>
      <c r="D36483" t="s">
        <v>23936</v>
      </c>
    </row>
    <row r="36484" spans="1:4" x14ac:dyDescent="0.2">
      <c r="B36484" t="s">
        <v>11801</v>
      </c>
      <c r="D36484" t="s">
        <v>24032</v>
      </c>
    </row>
    <row r="36485" spans="1:4" x14ac:dyDescent="0.2">
      <c r="B36485" t="s">
        <v>269</v>
      </c>
    </row>
    <row r="36487" spans="1:4" x14ac:dyDescent="0.2">
      <c r="A36487" t="s">
        <v>11802</v>
      </c>
      <c r="B36487" t="str">
        <f>HYPERLINK("https://lindat.mff.cuni.cz/services/teitok/pdtc10/index.php?action=vallex&amp;frame=v-w4996hsa_900", "přesvědčovat (v-w4996hsa_900)")</f>
        <v>přesvědčovat (v-w4996hsa_900)</v>
      </c>
    </row>
    <row r="36488" spans="1:4" x14ac:dyDescent="0.2">
      <c r="B36488" t="s">
        <v>488</v>
      </c>
    </row>
    <row r="36489" spans="1:4" x14ac:dyDescent="0.2">
      <c r="B36489" t="s">
        <v>11803</v>
      </c>
    </row>
    <row r="36490" spans="1:4" x14ac:dyDescent="0.2">
      <c r="B36490" t="s">
        <v>58</v>
      </c>
    </row>
    <row r="36492" spans="1:4" x14ac:dyDescent="0.2">
      <c r="A36492" t="s">
        <v>11802</v>
      </c>
      <c r="B36492" t="str">
        <f>HYPERLINK("https://lindat.mff.cuni.cz/services/teitok/pdtc10/index.php?action=vallex&amp;frame=v-w4996f1", "přesvědčovat (v-w4996f1) - substituted with v-w4996hsa_900")</f>
        <v>přesvědčovat (v-w4996f1) - substituted with v-w4996hsa_900</v>
      </c>
    </row>
    <row r="36493" spans="1:4" x14ac:dyDescent="0.2">
      <c r="B36493" t="s">
        <v>488</v>
      </c>
      <c r="C36493" t="s">
        <v>3637</v>
      </c>
    </row>
    <row r="36494" spans="1:4" x14ac:dyDescent="0.2">
      <c r="B36494" t="s">
        <v>11803</v>
      </c>
      <c r="C36494" t="s">
        <v>11804</v>
      </c>
    </row>
    <row r="36495" spans="1:4" x14ac:dyDescent="0.2">
      <c r="B36495" t="s">
        <v>58</v>
      </c>
      <c r="C36495" t="s">
        <v>11805</v>
      </c>
    </row>
    <row r="36497" spans="1:4" x14ac:dyDescent="0.2">
      <c r="A36497" t="s">
        <v>11806</v>
      </c>
      <c r="B36497" t="str">
        <f>HYPERLINK("https://lindat.mff.cuni.cz/services/teitok/pdtc10/index.php?action=vallex&amp;frame=v-w4997f2", "přesvědčovat se (v-w4997f2)")</f>
        <v>přesvědčovat se (v-w4997f2)</v>
      </c>
    </row>
    <row r="36498" spans="1:4" x14ac:dyDescent="0.2">
      <c r="B36498" t="s">
        <v>1</v>
      </c>
      <c r="D36498" t="s">
        <v>23936</v>
      </c>
    </row>
    <row r="36499" spans="1:4" x14ac:dyDescent="0.2">
      <c r="B36499" t="s">
        <v>183</v>
      </c>
      <c r="D36499" t="s">
        <v>9371</v>
      </c>
    </row>
    <row r="36501" spans="1:4" x14ac:dyDescent="0.2">
      <c r="A36501" t="s">
        <v>11807</v>
      </c>
      <c r="B36501" t="str">
        <f>HYPERLINK("https://lindat.mff.cuni.cz/services/teitok/pdtc10/index.php?action=vallex&amp;frame=v-w4997f1", "přesvědčovat se (v-w4997f1)")</f>
        <v>přesvědčovat se (v-w4997f1)</v>
      </c>
    </row>
    <row r="36502" spans="1:4" x14ac:dyDescent="0.2">
      <c r="B36502" t="s">
        <v>1</v>
      </c>
      <c r="D36502" t="s">
        <v>23936</v>
      </c>
    </row>
    <row r="36503" spans="1:4" x14ac:dyDescent="0.2">
      <c r="B36503" t="s">
        <v>11801</v>
      </c>
      <c r="D36503" t="s">
        <v>24032</v>
      </c>
    </row>
    <row r="36504" spans="1:4" x14ac:dyDescent="0.2">
      <c r="B36504" t="s">
        <v>269</v>
      </c>
    </row>
    <row r="36506" spans="1:4" x14ac:dyDescent="0.2">
      <c r="A36506" t="s">
        <v>11808</v>
      </c>
      <c r="B36506" t="str">
        <f>HYPERLINK("https://lindat.mff.cuni.cz/services/teitok/pdtc10/index.php?action=vallex&amp;frame=v-w4998f1", "přesytit (v-w4998f1)")</f>
        <v>přesytit (v-w4998f1)</v>
      </c>
    </row>
    <row r="36507" spans="1:4" x14ac:dyDescent="0.2">
      <c r="B36507" t="s">
        <v>1</v>
      </c>
      <c r="C36507" t="s">
        <v>140</v>
      </c>
      <c r="D36507" t="s">
        <v>24033</v>
      </c>
    </row>
    <row r="36508" spans="1:4" x14ac:dyDescent="0.2">
      <c r="B36508" t="s">
        <v>8</v>
      </c>
      <c r="C36508" t="s">
        <v>113</v>
      </c>
      <c r="D36508" t="s">
        <v>24034</v>
      </c>
    </row>
    <row r="36510" spans="1:4" x14ac:dyDescent="0.2">
      <c r="A36510" t="s">
        <v>11809</v>
      </c>
      <c r="B36510" t="str">
        <f>HYPERLINK("https://lindat.mff.cuni.cz/services/teitok/pdtc10/index.php?action=vallex&amp;frame=v-whsa_689hsa_690", "přesytit se (v-whsa_689hsa_690)")</f>
        <v>přesytit se (v-whsa_689hsa_690)</v>
      </c>
    </row>
    <row r="36511" spans="1:4" x14ac:dyDescent="0.2">
      <c r="B36511" t="s">
        <v>1</v>
      </c>
      <c r="C36511" t="s">
        <v>3838</v>
      </c>
      <c r="D36511" t="s">
        <v>24035</v>
      </c>
    </row>
    <row r="36513" spans="1:4" x14ac:dyDescent="0.2">
      <c r="A36513" t="s">
        <v>11810</v>
      </c>
      <c r="B36513" t="str">
        <f>HYPERLINK("https://lindat.mff.cuni.cz/services/teitok/pdtc10/index.php?action=vallex&amp;frame=v-w4956f1", "přesáhnout (v-w4956f1)")</f>
        <v>přesáhnout (v-w4956f1)</v>
      </c>
    </row>
    <row r="36514" spans="1:4" x14ac:dyDescent="0.2">
      <c r="B36514" t="s">
        <v>196</v>
      </c>
      <c r="C36514" t="s">
        <v>11811</v>
      </c>
      <c r="D36514" t="s">
        <v>24012</v>
      </c>
    </row>
    <row r="36515" spans="1:4" x14ac:dyDescent="0.2">
      <c r="B36515" t="s">
        <v>8</v>
      </c>
      <c r="C36515" t="s">
        <v>11812</v>
      </c>
      <c r="D36515" t="s">
        <v>24013</v>
      </c>
    </row>
    <row r="36517" spans="1:4" x14ac:dyDescent="0.2">
      <c r="A36517" t="s">
        <v>11813</v>
      </c>
      <c r="B36517" t="str">
        <f>HYPERLINK("https://lindat.mff.cuni.cz/services/teitok/pdtc10/index.php?action=vallex&amp;frame=v-w4962f1", "přesídlit (v-w4962f1)")</f>
        <v>přesídlit (v-w4962f1)</v>
      </c>
    </row>
    <row r="36518" spans="1:4" x14ac:dyDescent="0.2">
      <c r="B36518" t="s">
        <v>1</v>
      </c>
      <c r="C36518" t="s">
        <v>11748</v>
      </c>
      <c r="D36518" t="s">
        <v>23091</v>
      </c>
    </row>
    <row r="36519" spans="1:4" x14ac:dyDescent="0.2">
      <c r="B36519" t="s">
        <v>333</v>
      </c>
      <c r="D36519" t="s">
        <v>7666</v>
      </c>
    </row>
    <row r="36520" spans="1:4" x14ac:dyDescent="0.2">
      <c r="B36520" t="s">
        <v>90</v>
      </c>
    </row>
    <row r="36522" spans="1:4" x14ac:dyDescent="0.2">
      <c r="A36522" t="s">
        <v>11814</v>
      </c>
      <c r="B36522" t="str">
        <f>HYPERLINK("https://lindat.mff.cuni.cz/services/teitok/pdtc10/index.php?action=vallex&amp;frame=v-w10262f2", "přesílat (v-w10262f2)")</f>
        <v>přesílat (v-w10262f2)</v>
      </c>
    </row>
    <row r="36523" spans="1:4" x14ac:dyDescent="0.2">
      <c r="B36523" t="s">
        <v>1</v>
      </c>
    </row>
    <row r="36524" spans="1:4" x14ac:dyDescent="0.2">
      <c r="B36524" t="s">
        <v>8</v>
      </c>
    </row>
    <row r="36525" spans="1:4" x14ac:dyDescent="0.2">
      <c r="B36525" t="s">
        <v>333</v>
      </c>
    </row>
    <row r="36526" spans="1:4" x14ac:dyDescent="0.2">
      <c r="B36526" t="s">
        <v>90</v>
      </c>
    </row>
    <row r="36528" spans="1:4" x14ac:dyDescent="0.2">
      <c r="A36528" t="s">
        <v>11815</v>
      </c>
      <c r="B36528" t="str">
        <f>HYPERLINK("https://lindat.mff.cuni.cz/services/teitok/pdtc10/index.php?action=vallex&amp;frame=v-w11709_ZUf1_ZU", "přesýpat (v-w11709_ZUf1_ZU)")</f>
        <v>přesýpat (v-w11709_ZUf1_ZU)</v>
      </c>
    </row>
    <row r="36529" spans="1:4" x14ac:dyDescent="0.2">
      <c r="B36529" t="s">
        <v>1</v>
      </c>
    </row>
    <row r="36530" spans="1:4" x14ac:dyDescent="0.2">
      <c r="B36530" t="s">
        <v>8</v>
      </c>
    </row>
    <row r="36531" spans="1:4" x14ac:dyDescent="0.2">
      <c r="B36531" t="s">
        <v>333</v>
      </c>
    </row>
    <row r="36532" spans="1:4" x14ac:dyDescent="0.2">
      <c r="B36532" t="s">
        <v>90</v>
      </c>
    </row>
    <row r="36534" spans="1:4" x14ac:dyDescent="0.2">
      <c r="A36534" t="s">
        <v>11816</v>
      </c>
      <c r="B36534" t="str">
        <f>HYPERLINK("https://lindat.mff.cuni.cz/services/teitok/pdtc10/index.php?action=vallex&amp;frame=v-w12212_ZUf1_ZU", "přetahovat (v-w12212_ZUf1_ZU)")</f>
        <v>přetahovat (v-w12212_ZUf1_ZU)</v>
      </c>
    </row>
    <row r="36535" spans="1:4" x14ac:dyDescent="0.2">
      <c r="B36535" t="s">
        <v>1</v>
      </c>
    </row>
    <row r="36536" spans="1:4" x14ac:dyDescent="0.2">
      <c r="B36536" t="s">
        <v>8</v>
      </c>
    </row>
    <row r="36537" spans="1:4" x14ac:dyDescent="0.2">
      <c r="B36537" t="s">
        <v>90</v>
      </c>
    </row>
    <row r="36539" spans="1:4" x14ac:dyDescent="0.2">
      <c r="A36539" t="s">
        <v>11817</v>
      </c>
      <c r="B36539" t="str">
        <f>HYPERLINK("https://lindat.mff.cuni.cz/services/teitok/pdtc10/index.php?action=vallex&amp;frame=v-w5004f1", "přetahovat se (v-w5004f1)")</f>
        <v>přetahovat se (v-w5004f1)</v>
      </c>
    </row>
    <row r="36540" spans="1:4" x14ac:dyDescent="0.2">
      <c r="B36540" t="s">
        <v>1</v>
      </c>
      <c r="C36540" t="s">
        <v>140</v>
      </c>
      <c r="D36540" t="s">
        <v>1992</v>
      </c>
    </row>
    <row r="36541" spans="1:4" x14ac:dyDescent="0.2">
      <c r="B36541" t="s">
        <v>153</v>
      </c>
      <c r="D36541" t="s">
        <v>22991</v>
      </c>
    </row>
    <row r="36542" spans="1:4" x14ac:dyDescent="0.2">
      <c r="B36542" t="s">
        <v>2287</v>
      </c>
      <c r="D36542" t="s">
        <v>22992</v>
      </c>
    </row>
    <row r="36544" spans="1:4" x14ac:dyDescent="0.2">
      <c r="A36544" t="s">
        <v>11818</v>
      </c>
      <c r="B36544" t="str">
        <f>HYPERLINK("https://lindat.mff.cuni.cz/services/teitok/pdtc10/index.php?action=vallex&amp;frame=v-w5004f2", "přetahovat se (v-w5004f2)")</f>
        <v>přetahovat se (v-w5004f2)</v>
      </c>
    </row>
    <row r="36545" spans="1:4" x14ac:dyDescent="0.2">
      <c r="B36545" t="s">
        <v>1</v>
      </c>
    </row>
    <row r="36547" spans="1:4" x14ac:dyDescent="0.2">
      <c r="A36547" t="s">
        <v>11819</v>
      </c>
      <c r="B36547" t="str">
        <f>HYPERLINK("https://lindat.mff.cuni.cz/services/teitok/pdtc10/index.php?action=vallex&amp;frame=v-w5007f1", "přetavit se (v-w5007f1)")</f>
        <v>přetavit se (v-w5007f1)</v>
      </c>
    </row>
    <row r="36548" spans="1:4" x14ac:dyDescent="0.2">
      <c r="B36548" t="s">
        <v>1</v>
      </c>
      <c r="C36548" t="s">
        <v>140</v>
      </c>
      <c r="D36548" t="s">
        <v>23506</v>
      </c>
    </row>
    <row r="36549" spans="1:4" x14ac:dyDescent="0.2">
      <c r="B36549" t="s">
        <v>11820</v>
      </c>
      <c r="C36549" t="s">
        <v>1301</v>
      </c>
      <c r="D36549" t="s">
        <v>23507</v>
      </c>
    </row>
    <row r="36551" spans="1:4" x14ac:dyDescent="0.2">
      <c r="A36551" t="s">
        <v>11821</v>
      </c>
      <c r="B36551" t="str">
        <f>HYPERLINK("https://lindat.mff.cuni.cz/services/teitok/pdtc10/index.php?action=vallex&amp;frame=v-w5008f1", "přetavovat (v-w5008f1)")</f>
        <v>přetavovat (v-w5008f1)</v>
      </c>
    </row>
    <row r="36552" spans="1:4" x14ac:dyDescent="0.2">
      <c r="B36552" t="s">
        <v>1</v>
      </c>
    </row>
    <row r="36553" spans="1:4" x14ac:dyDescent="0.2">
      <c r="B36553" t="s">
        <v>8</v>
      </c>
    </row>
    <row r="36554" spans="1:4" x14ac:dyDescent="0.2">
      <c r="B36554" t="s">
        <v>4203</v>
      </c>
    </row>
    <row r="36556" spans="1:4" x14ac:dyDescent="0.2">
      <c r="A36556" t="s">
        <v>11822</v>
      </c>
      <c r="B36556" t="str">
        <f>HYPERLINK("https://lindat.mff.cuni.cz/services/teitok/pdtc10/index.php?action=vallex&amp;frame=v-w5011f1", "přetisknout (v-w5011f1)")</f>
        <v>přetisknout (v-w5011f1)</v>
      </c>
    </row>
    <row r="36557" spans="1:4" x14ac:dyDescent="0.2">
      <c r="B36557" t="s">
        <v>1</v>
      </c>
      <c r="C36557" t="s">
        <v>140</v>
      </c>
    </row>
    <row r="36558" spans="1:4" x14ac:dyDescent="0.2">
      <c r="B36558" t="s">
        <v>1284</v>
      </c>
      <c r="C36558" t="s">
        <v>991</v>
      </c>
    </row>
    <row r="36560" spans="1:4" x14ac:dyDescent="0.2">
      <c r="A36560" t="s">
        <v>11823</v>
      </c>
      <c r="B36560" t="str">
        <f>HYPERLINK("https://lindat.mff.cuni.cz/services/teitok/pdtc10/index.php?action=vallex&amp;frame=v-w5013f1", "přetlumočit (v-w5013f1)")</f>
        <v>přetlumočit (v-w5013f1)</v>
      </c>
    </row>
    <row r="36561" spans="1:4" x14ac:dyDescent="0.2">
      <c r="B36561" t="s">
        <v>1</v>
      </c>
    </row>
    <row r="36562" spans="1:4" x14ac:dyDescent="0.2">
      <c r="B36562" t="s">
        <v>8</v>
      </c>
    </row>
    <row r="36563" spans="1:4" x14ac:dyDescent="0.2">
      <c r="B36563" t="s">
        <v>24</v>
      </c>
    </row>
    <row r="36564" spans="1:4" x14ac:dyDescent="0.2">
      <c r="B36564" t="s">
        <v>130</v>
      </c>
    </row>
    <row r="36566" spans="1:4" x14ac:dyDescent="0.2">
      <c r="A36566" t="s">
        <v>11824</v>
      </c>
      <c r="B36566" t="str">
        <f>HYPERLINK("https://lindat.mff.cuni.cz/services/teitok/pdtc10/index.php?action=vallex&amp;frame=v-w5014f1", "přetočit (v-w5014f1)")</f>
        <v>přetočit (v-w5014f1)</v>
      </c>
    </row>
    <row r="36567" spans="1:4" x14ac:dyDescent="0.2">
      <c r="B36567" t="s">
        <v>1</v>
      </c>
    </row>
    <row r="36568" spans="1:4" x14ac:dyDescent="0.2">
      <c r="B36568" t="s">
        <v>8</v>
      </c>
    </row>
    <row r="36570" spans="1:4" x14ac:dyDescent="0.2">
      <c r="A36570" t="s">
        <v>11825</v>
      </c>
      <c r="B36570" t="str">
        <f>HYPERLINK("https://lindat.mff.cuni.cz/services/teitok/pdtc10/index.php?action=vallex&amp;frame=v-w5016f1", "přetransformovat (v-w5016f1)")</f>
        <v>přetransformovat (v-w5016f1)</v>
      </c>
    </row>
    <row r="36571" spans="1:4" x14ac:dyDescent="0.2">
      <c r="B36571" t="s">
        <v>1</v>
      </c>
      <c r="C36571" t="s">
        <v>10633</v>
      </c>
      <c r="D36571" t="s">
        <v>22944</v>
      </c>
    </row>
    <row r="36572" spans="1:4" x14ac:dyDescent="0.2">
      <c r="B36572" t="s">
        <v>8</v>
      </c>
      <c r="C36572" t="s">
        <v>11826</v>
      </c>
      <c r="D36572" t="s">
        <v>22945</v>
      </c>
    </row>
    <row r="36573" spans="1:4" x14ac:dyDescent="0.2">
      <c r="B36573" t="s">
        <v>24</v>
      </c>
      <c r="C36573" t="s">
        <v>11827</v>
      </c>
      <c r="D36573" t="s">
        <v>22946</v>
      </c>
    </row>
    <row r="36574" spans="1:4" x14ac:dyDescent="0.2">
      <c r="B36574" t="s">
        <v>25</v>
      </c>
      <c r="C36574" t="s">
        <v>11828</v>
      </c>
      <c r="D36574" t="s">
        <v>22947</v>
      </c>
    </row>
    <row r="36576" spans="1:4" x14ac:dyDescent="0.2">
      <c r="A36576" t="s">
        <v>11829</v>
      </c>
      <c r="B36576" t="str">
        <f>HYPERLINK("https://lindat.mff.cuni.cz/services/teitok/pdtc10/index.php?action=vallex&amp;frame=v-w10392f2", "přetrhnout (v-w10392f2)")</f>
        <v>přetrhnout (v-w10392f2)</v>
      </c>
    </row>
    <row r="36577" spans="1:2" x14ac:dyDescent="0.2">
      <c r="B36577" t="s">
        <v>1</v>
      </c>
    </row>
    <row r="36578" spans="1:2" x14ac:dyDescent="0.2">
      <c r="B36578" t="s">
        <v>8</v>
      </c>
    </row>
    <row r="36579" spans="1:2" x14ac:dyDescent="0.2">
      <c r="B36579" t="s">
        <v>61</v>
      </c>
    </row>
    <row r="36581" spans="1:2" x14ac:dyDescent="0.2">
      <c r="A36581" t="s">
        <v>11830</v>
      </c>
      <c r="B36581" t="str">
        <f>HYPERLINK("https://lindat.mff.cuni.cz/services/teitok/pdtc10/index.php?action=vallex&amp;frame=v-w10392f3", "přetrhnout (v-w10392f3)")</f>
        <v>přetrhnout (v-w10392f3)</v>
      </c>
    </row>
    <row r="36582" spans="1:2" x14ac:dyDescent="0.2">
      <c r="B36582" t="s">
        <v>1</v>
      </c>
    </row>
    <row r="36583" spans="1:2" x14ac:dyDescent="0.2">
      <c r="B36583" t="s">
        <v>8</v>
      </c>
    </row>
    <row r="36585" spans="1:2" x14ac:dyDescent="0.2">
      <c r="A36585" t="s">
        <v>11831</v>
      </c>
      <c r="B36585" t="str">
        <f>HYPERLINK("https://lindat.mff.cuni.cz/services/teitok/pdtc10/index.php?action=vallex&amp;frame=v-w11301f1", "přetrhnout se (v-w11301f1)")</f>
        <v>přetrhnout se (v-w11301f1)</v>
      </c>
    </row>
    <row r="36586" spans="1:2" x14ac:dyDescent="0.2">
      <c r="B36586" t="s">
        <v>1</v>
      </c>
    </row>
    <row r="36588" spans="1:2" x14ac:dyDescent="0.2">
      <c r="A36588" t="s">
        <v>11832</v>
      </c>
      <c r="B36588" t="str">
        <f>HYPERLINK("https://lindat.mff.cuni.cz/services/teitok/pdtc10/index.php?action=vallex&amp;frame=v-w11301f2_ZU", "přetrhnout se (v-w11301f2_ZU)")</f>
        <v>přetrhnout se (v-w11301f2_ZU)</v>
      </c>
    </row>
    <row r="36589" spans="1:2" x14ac:dyDescent="0.2">
      <c r="B36589" t="s">
        <v>1</v>
      </c>
    </row>
    <row r="36591" spans="1:2" x14ac:dyDescent="0.2">
      <c r="A36591" t="s">
        <v>11833</v>
      </c>
      <c r="B36591" t="str">
        <f>HYPERLINK("https://lindat.mff.cuni.cz/services/teitok/pdtc10/index.php?action=vallex&amp;frame=v-whsa_323hsa_324", "přetrhávat (v-whsa_323hsa_324)")</f>
        <v>přetrhávat (v-whsa_323hsa_324)</v>
      </c>
    </row>
    <row r="36592" spans="1:2" x14ac:dyDescent="0.2">
      <c r="B36592" t="s">
        <v>1</v>
      </c>
    </row>
    <row r="36593" spans="1:4" x14ac:dyDescent="0.2">
      <c r="B36593" t="s">
        <v>8</v>
      </c>
    </row>
    <row r="36595" spans="1:4" x14ac:dyDescent="0.2">
      <c r="A36595" t="s">
        <v>11834</v>
      </c>
      <c r="B36595" t="str">
        <f>HYPERLINK("https://lindat.mff.cuni.cz/services/teitok/pdtc10/index.php?action=vallex&amp;frame=v-w11738_ZUf1_ZU", "přetrpět (v-w11738_ZUf1_ZU)")</f>
        <v>přetrpět (v-w11738_ZUf1_ZU)</v>
      </c>
    </row>
    <row r="36596" spans="1:4" x14ac:dyDescent="0.2">
      <c r="B36596" t="s">
        <v>1</v>
      </c>
    </row>
    <row r="36597" spans="1:4" x14ac:dyDescent="0.2">
      <c r="B36597" t="s">
        <v>8</v>
      </c>
    </row>
    <row r="36599" spans="1:4" x14ac:dyDescent="0.2">
      <c r="A36599" t="s">
        <v>11835</v>
      </c>
      <c r="B36599" t="str">
        <f>HYPERLINK("https://lindat.mff.cuni.cz/services/teitok/pdtc10/index.php?action=vallex&amp;frame=v-w5018f2", "přetrvat (v-w5018f2)")</f>
        <v>přetrvat (v-w5018f2)</v>
      </c>
    </row>
    <row r="36600" spans="1:4" x14ac:dyDescent="0.2">
      <c r="B36600" t="s">
        <v>1</v>
      </c>
    </row>
    <row r="36601" spans="1:4" x14ac:dyDescent="0.2">
      <c r="B36601" t="s">
        <v>8</v>
      </c>
    </row>
    <row r="36603" spans="1:4" x14ac:dyDescent="0.2">
      <c r="A36603" t="s">
        <v>11836</v>
      </c>
      <c r="B36603" t="str">
        <f>HYPERLINK("https://lindat.mff.cuni.cz/services/teitok/pdtc10/index.php?action=vallex&amp;frame=v-w5018f1", "přetrvat (v-w5018f1)")</f>
        <v>přetrvat (v-w5018f1)</v>
      </c>
    </row>
    <row r="36604" spans="1:4" x14ac:dyDescent="0.2">
      <c r="B36604" t="s">
        <v>1</v>
      </c>
      <c r="C36604" t="s">
        <v>1460</v>
      </c>
      <c r="D36604" t="s">
        <v>24036</v>
      </c>
    </row>
    <row r="36606" spans="1:4" x14ac:dyDescent="0.2">
      <c r="A36606" t="s">
        <v>11837</v>
      </c>
      <c r="B36606" t="str">
        <f>HYPERLINK("https://lindat.mff.cuni.cz/services/teitok/pdtc10/index.php?action=vallex&amp;frame=v-w5020f1", "přetrvávat (v-w5020f1)")</f>
        <v>přetrvávat (v-w5020f1)</v>
      </c>
    </row>
    <row r="36607" spans="1:4" x14ac:dyDescent="0.2">
      <c r="B36607" t="s">
        <v>1</v>
      </c>
      <c r="C36607" t="s">
        <v>11838</v>
      </c>
      <c r="D36607" t="s">
        <v>24037</v>
      </c>
    </row>
    <row r="36609" spans="1:4" x14ac:dyDescent="0.2">
      <c r="A36609" t="s">
        <v>11839</v>
      </c>
      <c r="B36609" t="str">
        <f>HYPERLINK("https://lindat.mff.cuni.cz/services/teitok/pdtc10/index.php?action=vallex&amp;frame=v-w11719_ZUf1_ZU", "přetvařovat se (v-w11719_ZUf1_ZU)")</f>
        <v>přetvařovat se (v-w11719_ZUf1_ZU)</v>
      </c>
    </row>
    <row r="36610" spans="1:4" x14ac:dyDescent="0.2">
      <c r="B36610" t="s">
        <v>1</v>
      </c>
    </row>
    <row r="36612" spans="1:4" x14ac:dyDescent="0.2">
      <c r="A36612" t="s">
        <v>11840</v>
      </c>
      <c r="B36612" t="str">
        <f>HYPERLINK("https://lindat.mff.cuni.cz/services/teitok/pdtc10/index.php?action=vallex&amp;frame=v-w5026f2_ZU", "přetvořit (v-w5026f2_ZU)")</f>
        <v>přetvořit (v-w5026f2_ZU)</v>
      </c>
    </row>
    <row r="36613" spans="1:4" x14ac:dyDescent="0.2">
      <c r="B36613" t="s">
        <v>1</v>
      </c>
      <c r="D36613" t="s">
        <v>22944</v>
      </c>
    </row>
    <row r="36614" spans="1:4" x14ac:dyDescent="0.2">
      <c r="B36614" t="s">
        <v>8</v>
      </c>
      <c r="D36614" t="s">
        <v>22945</v>
      </c>
    </row>
    <row r="36615" spans="1:4" x14ac:dyDescent="0.2">
      <c r="B36615" t="s">
        <v>24</v>
      </c>
      <c r="D36615" t="s">
        <v>22946</v>
      </c>
    </row>
    <row r="36616" spans="1:4" x14ac:dyDescent="0.2">
      <c r="B36616" t="s">
        <v>11841</v>
      </c>
      <c r="D36616" t="s">
        <v>22947</v>
      </c>
    </row>
    <row r="36618" spans="1:4" x14ac:dyDescent="0.2">
      <c r="A36618" t="s">
        <v>11840</v>
      </c>
      <c r="B36618" t="str">
        <f>HYPERLINK("https://lindat.mff.cuni.cz/services/teitok/pdtc10/index.php?action=vallex&amp;frame=v-w5026f1", "přetvořit (v-w5026f1) - substituted with v-w5026f2_ZU")</f>
        <v>přetvořit (v-w5026f1) - substituted with v-w5026f2_ZU</v>
      </c>
    </row>
    <row r="36619" spans="1:4" x14ac:dyDescent="0.2">
      <c r="B36619" t="s">
        <v>1</v>
      </c>
    </row>
    <row r="36620" spans="1:4" x14ac:dyDescent="0.2">
      <c r="B36620" t="s">
        <v>8</v>
      </c>
    </row>
    <row r="36621" spans="1:4" x14ac:dyDescent="0.2">
      <c r="B36621" t="s">
        <v>24</v>
      </c>
    </row>
    <row r="36622" spans="1:4" x14ac:dyDescent="0.2">
      <c r="B36622" t="s">
        <v>11841</v>
      </c>
    </row>
    <row r="36624" spans="1:4" x14ac:dyDescent="0.2">
      <c r="A36624" t="s">
        <v>11842</v>
      </c>
      <c r="B36624" t="str">
        <f>HYPERLINK("https://lindat.mff.cuni.cz/services/teitok/pdtc10/index.php?action=vallex&amp;frame=v-w5024f1", "přetvářet (v-w5024f1)")</f>
        <v>přetvářet (v-w5024f1)</v>
      </c>
    </row>
    <row r="36625" spans="1:4" x14ac:dyDescent="0.2">
      <c r="B36625" t="s">
        <v>1</v>
      </c>
      <c r="C36625" t="s">
        <v>115</v>
      </c>
      <c r="D36625" t="s">
        <v>22944</v>
      </c>
    </row>
    <row r="36626" spans="1:4" x14ac:dyDescent="0.2">
      <c r="B36626" t="s">
        <v>8</v>
      </c>
      <c r="C36626" t="s">
        <v>1750</v>
      </c>
      <c r="D36626" t="s">
        <v>22945</v>
      </c>
    </row>
    <row r="36627" spans="1:4" x14ac:dyDescent="0.2">
      <c r="B36627" t="s">
        <v>24</v>
      </c>
      <c r="C36627" t="s">
        <v>10630</v>
      </c>
      <c r="D36627" t="s">
        <v>22946</v>
      </c>
    </row>
    <row r="36628" spans="1:4" x14ac:dyDescent="0.2">
      <c r="B36628" t="s">
        <v>5394</v>
      </c>
      <c r="C36628" t="s">
        <v>11843</v>
      </c>
      <c r="D36628" t="s">
        <v>22947</v>
      </c>
    </row>
    <row r="36630" spans="1:4" x14ac:dyDescent="0.2">
      <c r="A36630" t="s">
        <v>11844</v>
      </c>
      <c r="B36630" t="str">
        <f>HYPERLINK("https://lindat.mff.cuni.cz/services/teitok/pdtc10/index.php?action=vallex&amp;frame=v-w5002f1", "přetáhnout (v-w5002f1)")</f>
        <v>přetáhnout (v-w5002f1)</v>
      </c>
    </row>
    <row r="36631" spans="1:4" x14ac:dyDescent="0.2">
      <c r="B36631" t="s">
        <v>1</v>
      </c>
      <c r="C36631" t="s">
        <v>2227</v>
      </c>
      <c r="D36631" t="s">
        <v>3580</v>
      </c>
    </row>
    <row r="36632" spans="1:4" x14ac:dyDescent="0.2">
      <c r="B36632" t="s">
        <v>8</v>
      </c>
      <c r="C36632" t="s">
        <v>11845</v>
      </c>
      <c r="D36632" t="s">
        <v>23652</v>
      </c>
    </row>
    <row r="36633" spans="1:4" x14ac:dyDescent="0.2">
      <c r="B36633" t="s">
        <v>90</v>
      </c>
      <c r="D36633" t="s">
        <v>23853</v>
      </c>
    </row>
    <row r="36635" spans="1:4" x14ac:dyDescent="0.2">
      <c r="A36635" t="s">
        <v>11846</v>
      </c>
      <c r="B36635" t="str">
        <f>HYPERLINK("https://lindat.mff.cuni.cz/services/teitok/pdtc10/index.php?action=vallex&amp;frame=v-w5002hsa_1780", "přetáhnout (v-w5002hsa_1780)")</f>
        <v>přetáhnout (v-w5002hsa_1780)</v>
      </c>
    </row>
    <row r="36636" spans="1:4" x14ac:dyDescent="0.2">
      <c r="B36636" t="s">
        <v>1</v>
      </c>
    </row>
    <row r="36637" spans="1:4" x14ac:dyDescent="0.2">
      <c r="B36637" t="s">
        <v>8</v>
      </c>
    </row>
    <row r="36639" spans="1:4" x14ac:dyDescent="0.2">
      <c r="A36639" t="s">
        <v>11847</v>
      </c>
      <c r="B36639" t="str">
        <f>HYPERLINK("https://lindat.mff.cuni.cz/services/teitok/pdtc10/index.php?action=vallex&amp;frame=v-w5005f1", "přetápět (v-w5005f1)")</f>
        <v>přetápět (v-w5005f1)</v>
      </c>
    </row>
    <row r="36640" spans="1:4" x14ac:dyDescent="0.2">
      <c r="B36640" t="s">
        <v>1</v>
      </c>
    </row>
    <row r="36641" spans="1:4" x14ac:dyDescent="0.2">
      <c r="B36641" t="s">
        <v>8</v>
      </c>
    </row>
    <row r="36643" spans="1:4" x14ac:dyDescent="0.2">
      <c r="A36643" t="s">
        <v>11848</v>
      </c>
      <c r="B36643" t="str">
        <f>HYPERLINK("https://lindat.mff.cuni.cz/services/teitok/pdtc10/index.php?action=vallex&amp;frame=v-w10241f2", "přetéci (v-w10241f2)")</f>
        <v>přetéci (v-w10241f2)</v>
      </c>
    </row>
    <row r="36644" spans="1:4" x14ac:dyDescent="0.2">
      <c r="B36644" t="s">
        <v>1</v>
      </c>
    </row>
    <row r="36646" spans="1:4" x14ac:dyDescent="0.2">
      <c r="A36646" t="s">
        <v>11849</v>
      </c>
      <c r="B36646" t="str">
        <f>HYPERLINK("https://lindat.mff.cuni.cz/services/teitok/pdtc10/index.php?action=vallex&amp;frame=v-w5009f1", "přetékat (v-w5009f1)")</f>
        <v>přetékat (v-w5009f1)</v>
      </c>
    </row>
    <row r="36647" spans="1:4" x14ac:dyDescent="0.2">
      <c r="B36647" t="s">
        <v>1</v>
      </c>
      <c r="C36647" t="s">
        <v>186</v>
      </c>
      <c r="D36647" t="s">
        <v>2698</v>
      </c>
    </row>
    <row r="36648" spans="1:4" x14ac:dyDescent="0.2">
      <c r="B36648" t="s">
        <v>158</v>
      </c>
      <c r="C36648" t="s">
        <v>1301</v>
      </c>
      <c r="D36648" t="s">
        <v>1331</v>
      </c>
    </row>
    <row r="36650" spans="1:4" x14ac:dyDescent="0.2">
      <c r="A36650" t="s">
        <v>11850</v>
      </c>
      <c r="B36650" t="str">
        <f>HYPERLINK("https://lindat.mff.cuni.cz/services/teitok/pdtc10/index.php?action=vallex&amp;frame=v-w5009f2", "přetékat (v-w5009f2)")</f>
        <v>přetékat (v-w5009f2)</v>
      </c>
    </row>
    <row r="36651" spans="1:4" x14ac:dyDescent="0.2">
      <c r="B36651" t="s">
        <v>1</v>
      </c>
    </row>
    <row r="36652" spans="1:4" x14ac:dyDescent="0.2">
      <c r="B36652" t="s">
        <v>333</v>
      </c>
    </row>
    <row r="36653" spans="1:4" x14ac:dyDescent="0.2">
      <c r="B36653" t="s">
        <v>90</v>
      </c>
    </row>
    <row r="36655" spans="1:4" x14ac:dyDescent="0.2">
      <c r="A36655" t="s">
        <v>11851</v>
      </c>
      <c r="B36655" t="str">
        <f>HYPERLINK("https://lindat.mff.cuni.cz/services/teitok/pdtc10/index.php?action=vallex&amp;frame=v-w5009f3", "přetékat (v-w5009f3)")</f>
        <v>přetékat (v-w5009f3)</v>
      </c>
    </row>
    <row r="36656" spans="1:4" x14ac:dyDescent="0.2">
      <c r="B36656" t="s">
        <v>1</v>
      </c>
    </row>
    <row r="36658" spans="1:2" x14ac:dyDescent="0.2">
      <c r="A36658" t="s">
        <v>11852</v>
      </c>
      <c r="B36658" t="str">
        <f>HYPERLINK("https://lindat.mff.cuni.cz/services/teitok/pdtc10/index.php?action=vallex&amp;frame=v-w5012f1", "přetížit (v-w5012f1)")</f>
        <v>přetížit (v-w5012f1)</v>
      </c>
    </row>
    <row r="36659" spans="1:2" x14ac:dyDescent="0.2">
      <c r="B36659" t="s">
        <v>1</v>
      </c>
    </row>
    <row r="36660" spans="1:2" x14ac:dyDescent="0.2">
      <c r="B36660" t="s">
        <v>8</v>
      </c>
    </row>
    <row r="36662" spans="1:2" x14ac:dyDescent="0.2">
      <c r="A36662" t="s">
        <v>11853</v>
      </c>
      <c r="B36662" t="str">
        <f>HYPERLINK("https://lindat.mff.cuni.cz/services/teitok/pdtc10/index.php?action=vallex&amp;frame=v-w5010f1", "přetěžovat (v-w5010f1)")</f>
        <v>přetěžovat (v-w5010f1)</v>
      </c>
    </row>
    <row r="36663" spans="1:2" x14ac:dyDescent="0.2">
      <c r="B36663" t="s">
        <v>1</v>
      </c>
    </row>
    <row r="36664" spans="1:2" x14ac:dyDescent="0.2">
      <c r="B36664" t="s">
        <v>8</v>
      </c>
    </row>
    <row r="36666" spans="1:2" x14ac:dyDescent="0.2">
      <c r="A36666" t="s">
        <v>11854</v>
      </c>
      <c r="B36666" t="str">
        <f>HYPERLINK("https://lindat.mff.cuni.cz/services/teitok/pdtc10/index.php?action=vallex&amp;frame=v-w5021f1", "přetřásat (v-w5021f1)")</f>
        <v>přetřásat (v-w5021f1)</v>
      </c>
    </row>
    <row r="36667" spans="1:2" x14ac:dyDescent="0.2">
      <c r="B36667" t="s">
        <v>1</v>
      </c>
    </row>
    <row r="36668" spans="1:2" x14ac:dyDescent="0.2">
      <c r="B36668" t="s">
        <v>124</v>
      </c>
    </row>
    <row r="36670" spans="1:2" x14ac:dyDescent="0.2">
      <c r="A36670" t="s">
        <v>11855</v>
      </c>
      <c r="B36670" t="str">
        <f>HYPERLINK("https://lindat.mff.cuni.cz/services/teitok/pdtc10/index.php?action=vallex&amp;frame=v-w5022f1", "přetřít (v-w5022f1)")</f>
        <v>přetřít (v-w5022f1)</v>
      </c>
    </row>
    <row r="36671" spans="1:2" x14ac:dyDescent="0.2">
      <c r="B36671" t="s">
        <v>1</v>
      </c>
    </row>
    <row r="36672" spans="1:2" x14ac:dyDescent="0.2">
      <c r="B36672" t="s">
        <v>8</v>
      </c>
    </row>
    <row r="36674" spans="1:3" x14ac:dyDescent="0.2">
      <c r="A36674" t="s">
        <v>11856</v>
      </c>
      <c r="B36674" t="str">
        <f>HYPERLINK("https://lindat.mff.cuni.cz/services/teitok/pdtc10/index.php?action=vallex&amp;frame=v-w11328f3", "převalit se (v-w11328f3)")</f>
        <v>převalit se (v-w11328f3)</v>
      </c>
    </row>
    <row r="36675" spans="1:3" x14ac:dyDescent="0.2">
      <c r="B36675" t="s">
        <v>1</v>
      </c>
    </row>
    <row r="36676" spans="1:3" x14ac:dyDescent="0.2">
      <c r="B36676" t="s">
        <v>333</v>
      </c>
    </row>
    <row r="36677" spans="1:3" x14ac:dyDescent="0.2">
      <c r="B36677" t="s">
        <v>90</v>
      </c>
    </row>
    <row r="36679" spans="1:3" x14ac:dyDescent="0.2">
      <c r="A36679" t="s">
        <v>11857</v>
      </c>
      <c r="B36679" t="str">
        <f>HYPERLINK("https://lindat.mff.cuni.cz/services/teitok/pdtc10/index.php?action=vallex&amp;frame=v-w11328f2", "převalit se (v-w11328f2)")</f>
        <v>převalit se (v-w11328f2)</v>
      </c>
    </row>
    <row r="36680" spans="1:3" x14ac:dyDescent="0.2">
      <c r="B36680" t="s">
        <v>1</v>
      </c>
    </row>
    <row r="36681" spans="1:3" x14ac:dyDescent="0.2">
      <c r="B36681" t="s">
        <v>192</v>
      </c>
    </row>
    <row r="36683" spans="1:3" x14ac:dyDescent="0.2">
      <c r="A36683" t="s">
        <v>11858</v>
      </c>
      <c r="B36683" t="str">
        <f>HYPERLINK("https://lindat.mff.cuni.cz/services/teitok/pdtc10/index.php?action=vallex&amp;frame=v-w5031f1", "převalovat se (v-w5031f1)")</f>
        <v>převalovat se (v-w5031f1)</v>
      </c>
    </row>
    <row r="36684" spans="1:3" x14ac:dyDescent="0.2">
      <c r="B36684" t="s">
        <v>1</v>
      </c>
    </row>
    <row r="36686" spans="1:3" x14ac:dyDescent="0.2">
      <c r="A36686" t="s">
        <v>11859</v>
      </c>
      <c r="B36686" t="str">
        <f>HYPERLINK("https://lindat.mff.cuni.cz/services/teitok/pdtc10/index.php?action=vallex&amp;frame=v-w5035f2", "převažovat (v-w5035f2)")</f>
        <v>převažovat (v-w5035f2)</v>
      </c>
    </row>
    <row r="36687" spans="1:3" x14ac:dyDescent="0.2">
      <c r="B36687" t="s">
        <v>1</v>
      </c>
      <c r="C36687" t="s">
        <v>334</v>
      </c>
    </row>
    <row r="36688" spans="1:3" x14ac:dyDescent="0.2">
      <c r="B36688" t="s">
        <v>8</v>
      </c>
      <c r="C36688" t="s">
        <v>335</v>
      </c>
    </row>
    <row r="36690" spans="1:4" x14ac:dyDescent="0.2">
      <c r="A36690" t="s">
        <v>11860</v>
      </c>
      <c r="B36690" t="str">
        <f>HYPERLINK("https://lindat.mff.cuni.cz/services/teitok/pdtc10/index.php?action=vallex&amp;frame=v-w5035f1", "převažovat (v-w5035f1)")</f>
        <v>převažovat (v-w5035f1)</v>
      </c>
    </row>
    <row r="36691" spans="1:4" x14ac:dyDescent="0.2">
      <c r="B36691" t="s">
        <v>1</v>
      </c>
      <c r="C36691" t="s">
        <v>11861</v>
      </c>
    </row>
    <row r="36692" spans="1:4" x14ac:dyDescent="0.2">
      <c r="B36692" t="s">
        <v>11862</v>
      </c>
      <c r="C36692" t="s">
        <v>1066</v>
      </c>
    </row>
    <row r="36694" spans="1:4" x14ac:dyDescent="0.2">
      <c r="A36694" t="s">
        <v>11863</v>
      </c>
      <c r="B36694" t="str">
        <f>HYPERLINK("https://lindat.mff.cuni.cz/services/teitok/pdtc10/index.php?action=vallex&amp;frame=v-w5038f1", "převelet (v-w5038f1)")</f>
        <v>převelet (v-w5038f1)</v>
      </c>
    </row>
    <row r="36695" spans="1:4" x14ac:dyDescent="0.2">
      <c r="B36695" t="s">
        <v>1</v>
      </c>
      <c r="C36695" t="s">
        <v>11864</v>
      </c>
      <c r="D36695" t="s">
        <v>23181</v>
      </c>
    </row>
    <row r="36696" spans="1:4" x14ac:dyDescent="0.2">
      <c r="B36696" t="s">
        <v>8</v>
      </c>
      <c r="C36696" t="s">
        <v>150</v>
      </c>
      <c r="D36696" t="s">
        <v>24030</v>
      </c>
    </row>
    <row r="36697" spans="1:4" x14ac:dyDescent="0.2">
      <c r="B36697" t="s">
        <v>333</v>
      </c>
    </row>
    <row r="36698" spans="1:4" x14ac:dyDescent="0.2">
      <c r="B36698" t="s">
        <v>90</v>
      </c>
      <c r="D36698" t="s">
        <v>24031</v>
      </c>
    </row>
    <row r="36700" spans="1:4" x14ac:dyDescent="0.2">
      <c r="A36700" t="s">
        <v>11865</v>
      </c>
      <c r="B36700" t="str">
        <f>HYPERLINK("https://lindat.mff.cuni.cz/services/teitok/pdtc10/index.php?action=vallex&amp;frame=v-w11960_ZUf1_ZU", "převelit (v-w11960_ZUf1_ZU)")</f>
        <v>převelit (v-w11960_ZUf1_ZU)</v>
      </c>
    </row>
    <row r="36701" spans="1:4" x14ac:dyDescent="0.2">
      <c r="B36701" t="s">
        <v>1</v>
      </c>
    </row>
    <row r="36702" spans="1:4" x14ac:dyDescent="0.2">
      <c r="B36702" t="s">
        <v>8</v>
      </c>
    </row>
    <row r="36703" spans="1:4" x14ac:dyDescent="0.2">
      <c r="B36703" t="s">
        <v>333</v>
      </c>
    </row>
    <row r="36704" spans="1:4" x14ac:dyDescent="0.2">
      <c r="B36704" t="s">
        <v>90</v>
      </c>
    </row>
    <row r="36706" spans="1:3" x14ac:dyDescent="0.2">
      <c r="A36706" t="s">
        <v>11866</v>
      </c>
      <c r="B36706" t="str">
        <f>HYPERLINK("https://lindat.mff.cuni.cz/services/teitok/pdtc10/index.php?action=vallex&amp;frame=v-w5042f1", "převládat (v-w5042f1)")</f>
        <v>převládat (v-w5042f1)</v>
      </c>
    </row>
    <row r="36707" spans="1:3" x14ac:dyDescent="0.2">
      <c r="B36707" t="s">
        <v>1</v>
      </c>
      <c r="C36707" t="s">
        <v>11867</v>
      </c>
    </row>
    <row r="36708" spans="1:3" x14ac:dyDescent="0.2">
      <c r="B36708" t="s">
        <v>3091</v>
      </c>
    </row>
    <row r="36710" spans="1:3" x14ac:dyDescent="0.2">
      <c r="A36710" t="s">
        <v>11868</v>
      </c>
      <c r="B36710" t="str">
        <f>HYPERLINK("https://lindat.mff.cuni.cz/services/teitok/pdtc10/index.php?action=vallex&amp;frame=v-w5043hsa_1041", "převládnout (v-w5043hsa_1041)")</f>
        <v>převládnout (v-w5043hsa_1041)</v>
      </c>
    </row>
    <row r="36711" spans="1:3" x14ac:dyDescent="0.2">
      <c r="B36711" t="s">
        <v>1</v>
      </c>
    </row>
    <row r="36712" spans="1:3" x14ac:dyDescent="0.2">
      <c r="B36712" t="s">
        <v>3091</v>
      </c>
    </row>
    <row r="36714" spans="1:3" x14ac:dyDescent="0.2">
      <c r="A36714" t="s">
        <v>11868</v>
      </c>
      <c r="B36714" t="str">
        <f>HYPERLINK("https://lindat.mff.cuni.cz/services/teitok/pdtc10/index.php?action=vallex&amp;frame=v-w5043f1", "převládnout (v-w5043f1) - substituted with v-w5043hsa_1041")</f>
        <v>převládnout (v-w5043f1) - substituted with v-w5043hsa_1041</v>
      </c>
    </row>
    <row r="36715" spans="1:3" x14ac:dyDescent="0.2">
      <c r="B36715" t="s">
        <v>1</v>
      </c>
      <c r="C36715" t="s">
        <v>334</v>
      </c>
    </row>
    <row r="36716" spans="1:3" x14ac:dyDescent="0.2">
      <c r="B36716" t="s">
        <v>3091</v>
      </c>
    </row>
    <row r="36718" spans="1:3" x14ac:dyDescent="0.2">
      <c r="A36718" t="s">
        <v>11869</v>
      </c>
      <c r="B36718" t="str">
        <f>HYPERLINK("https://lindat.mff.cuni.cz/services/teitok/pdtc10/index.php?action=vallex&amp;frame=v-w10470f2", "převléci (v-w10470f2)")</f>
        <v>převléci (v-w10470f2)</v>
      </c>
    </row>
    <row r="36719" spans="1:3" x14ac:dyDescent="0.2">
      <c r="B36719" t="s">
        <v>1</v>
      </c>
    </row>
    <row r="36720" spans="1:3" x14ac:dyDescent="0.2">
      <c r="B36720" t="s">
        <v>8</v>
      </c>
    </row>
    <row r="36721" spans="1:4" x14ac:dyDescent="0.2">
      <c r="B36721" t="s">
        <v>78</v>
      </c>
    </row>
    <row r="36723" spans="1:4" x14ac:dyDescent="0.2">
      <c r="A36723" t="s">
        <v>11870</v>
      </c>
      <c r="B36723" t="str">
        <f>HYPERLINK("https://lindat.mff.cuni.cz/services/teitok/pdtc10/index.php?action=vallex&amp;frame=v-w10470f4", "převléci (v-w10470f4)")</f>
        <v>převléci (v-w10470f4)</v>
      </c>
    </row>
    <row r="36724" spans="1:4" x14ac:dyDescent="0.2">
      <c r="B36724" t="s">
        <v>1</v>
      </c>
    </row>
    <row r="36725" spans="1:4" x14ac:dyDescent="0.2">
      <c r="B36725" t="s">
        <v>8</v>
      </c>
    </row>
    <row r="36726" spans="1:4" x14ac:dyDescent="0.2">
      <c r="B36726" t="s">
        <v>413</v>
      </c>
      <c r="C36726" t="s">
        <v>1290</v>
      </c>
      <c r="D36726" t="s">
        <v>1290</v>
      </c>
    </row>
    <row r="36728" spans="1:4" x14ac:dyDescent="0.2">
      <c r="A36728" t="s">
        <v>11871</v>
      </c>
      <c r="B36728" t="str">
        <f>HYPERLINK("https://lindat.mff.cuni.cz/services/teitok/pdtc10/index.php?action=vallex&amp;frame=v-w10081f2", "převlékat (v-w10081f2)")</f>
        <v>převlékat (v-w10081f2)</v>
      </c>
    </row>
    <row r="36729" spans="1:4" x14ac:dyDescent="0.2">
      <c r="B36729" t="s">
        <v>1</v>
      </c>
    </row>
    <row r="36730" spans="1:4" x14ac:dyDescent="0.2">
      <c r="B36730" t="s">
        <v>8</v>
      </c>
    </row>
    <row r="36731" spans="1:4" x14ac:dyDescent="0.2">
      <c r="B36731" t="s">
        <v>78</v>
      </c>
    </row>
    <row r="36733" spans="1:4" x14ac:dyDescent="0.2">
      <c r="A36733" t="s">
        <v>11872</v>
      </c>
      <c r="B36733" t="str">
        <f>HYPERLINK("https://lindat.mff.cuni.cz/services/teitok/pdtc10/index.php?action=vallex&amp;frame=v-w10487f2", "převléknout (v-w10487f2)")</f>
        <v>převléknout (v-w10487f2)</v>
      </c>
    </row>
    <row r="36734" spans="1:4" x14ac:dyDescent="0.2">
      <c r="B36734" t="s">
        <v>1</v>
      </c>
    </row>
    <row r="36735" spans="1:4" x14ac:dyDescent="0.2">
      <c r="B36735" t="s">
        <v>11873</v>
      </c>
    </row>
    <row r="36737" spans="1:2" x14ac:dyDescent="0.2">
      <c r="A36737" t="s">
        <v>11874</v>
      </c>
      <c r="B36737" t="str">
        <f>HYPERLINK("https://lindat.mff.cuni.cz/services/teitok/pdtc10/index.php?action=vallex&amp;frame=v-w10487f3_ZU", "převléknout (v-w10487f3_ZU)")</f>
        <v>převléknout (v-w10487f3_ZU)</v>
      </c>
    </row>
    <row r="36738" spans="1:2" x14ac:dyDescent="0.2">
      <c r="B36738" t="s">
        <v>1</v>
      </c>
    </row>
    <row r="36739" spans="1:2" x14ac:dyDescent="0.2">
      <c r="B36739" t="s">
        <v>8</v>
      </c>
    </row>
    <row r="36740" spans="1:2" x14ac:dyDescent="0.2">
      <c r="B36740" t="s">
        <v>24</v>
      </c>
    </row>
    <row r="36741" spans="1:2" x14ac:dyDescent="0.2">
      <c r="B36741" t="s">
        <v>130</v>
      </c>
    </row>
    <row r="36743" spans="1:2" x14ac:dyDescent="0.2">
      <c r="A36743" t="s">
        <v>11874</v>
      </c>
      <c r="B36743" t="str">
        <f>HYPERLINK("https://lindat.mff.cuni.cz/services/teitok/pdtc10/index.php?action=vallex&amp;frame=v-w10487hsa_1522", "převléknout (v-w10487hsa_1522) - substituted with v-w10487f3_ZU")</f>
        <v>převléknout (v-w10487hsa_1522) - substituted with v-w10487f3_ZU</v>
      </c>
    </row>
    <row r="36744" spans="1:2" x14ac:dyDescent="0.2">
      <c r="B36744" t="s">
        <v>1</v>
      </c>
    </row>
    <row r="36745" spans="1:2" x14ac:dyDescent="0.2">
      <c r="B36745" t="s">
        <v>8</v>
      </c>
    </row>
    <row r="36746" spans="1:2" x14ac:dyDescent="0.2">
      <c r="B36746" t="s">
        <v>24</v>
      </c>
    </row>
    <row r="36747" spans="1:2" x14ac:dyDescent="0.2">
      <c r="B36747" t="s">
        <v>130</v>
      </c>
    </row>
    <row r="36749" spans="1:2" x14ac:dyDescent="0.2">
      <c r="A36749" t="s">
        <v>11875</v>
      </c>
      <c r="B36749" t="str">
        <f>HYPERLINK("https://lindat.mff.cuni.cz/services/teitok/pdtc10/index.php?action=vallex&amp;frame=v-w11677_ZUf1_ZU", "převlíct (v-w11677_ZUf1_ZU)")</f>
        <v>převlíct (v-w11677_ZUf1_ZU)</v>
      </c>
    </row>
    <row r="36750" spans="1:2" x14ac:dyDescent="0.2">
      <c r="B36750" t="s">
        <v>1</v>
      </c>
    </row>
    <row r="36751" spans="1:2" x14ac:dyDescent="0.2">
      <c r="B36751" t="s">
        <v>8</v>
      </c>
    </row>
    <row r="36752" spans="1:2" x14ac:dyDescent="0.2">
      <c r="B36752" t="s">
        <v>24</v>
      </c>
    </row>
    <row r="36753" spans="1:2" x14ac:dyDescent="0.2">
      <c r="B36753" t="s">
        <v>130</v>
      </c>
    </row>
    <row r="36755" spans="1:2" x14ac:dyDescent="0.2">
      <c r="A36755" t="s">
        <v>11876</v>
      </c>
      <c r="B36755" t="str">
        <f>HYPERLINK("https://lindat.mff.cuni.cz/services/teitok/pdtc10/index.php?action=vallex&amp;frame=v-w12184_ZUf1_ZU", "převlíkat (v-w12184_ZUf1_ZU)")</f>
        <v>převlíkat (v-w12184_ZUf1_ZU)</v>
      </c>
    </row>
    <row r="36756" spans="1:2" x14ac:dyDescent="0.2">
      <c r="B36756" t="s">
        <v>1</v>
      </c>
    </row>
    <row r="36757" spans="1:2" x14ac:dyDescent="0.2">
      <c r="B36757" t="s">
        <v>8</v>
      </c>
    </row>
    <row r="36758" spans="1:2" x14ac:dyDescent="0.2">
      <c r="B36758" t="s">
        <v>413</v>
      </c>
    </row>
    <row r="36760" spans="1:2" x14ac:dyDescent="0.2">
      <c r="A36760" t="s">
        <v>11877</v>
      </c>
      <c r="B36760" t="str">
        <f>HYPERLINK("https://lindat.mff.cuni.cz/services/teitok/pdtc10/index.php?action=vallex&amp;frame=v-whsa_692f1_ZU", "převlíknout (v-whsa_692f1_ZU)")</f>
        <v>převlíknout (v-whsa_692f1_ZU)</v>
      </c>
    </row>
    <row r="36761" spans="1:2" x14ac:dyDescent="0.2">
      <c r="B36761" t="s">
        <v>1</v>
      </c>
    </row>
    <row r="36762" spans="1:2" x14ac:dyDescent="0.2">
      <c r="B36762" t="s">
        <v>8</v>
      </c>
    </row>
    <row r="36763" spans="1:2" x14ac:dyDescent="0.2">
      <c r="B36763" t="s">
        <v>24</v>
      </c>
    </row>
    <row r="36764" spans="1:2" x14ac:dyDescent="0.2">
      <c r="B36764" t="s">
        <v>130</v>
      </c>
    </row>
    <row r="36766" spans="1:2" x14ac:dyDescent="0.2">
      <c r="A36766" t="s">
        <v>11877</v>
      </c>
      <c r="B36766" t="str">
        <f>HYPERLINK("https://lindat.mff.cuni.cz/services/teitok/pdtc10/index.php?action=vallex&amp;frame=v-whsa_692hsa_693", "převlíknout (v-whsa_692hsa_693) - substituted with v-whsa_692f1_ZU")</f>
        <v>převlíknout (v-whsa_692hsa_693) - substituted with v-whsa_692f1_ZU</v>
      </c>
    </row>
    <row r="36767" spans="1:2" x14ac:dyDescent="0.2">
      <c r="B36767" t="s">
        <v>1</v>
      </c>
    </row>
    <row r="36768" spans="1:2" x14ac:dyDescent="0.2">
      <c r="B36768" t="s">
        <v>8</v>
      </c>
    </row>
    <row r="36769" spans="1:4" x14ac:dyDescent="0.2">
      <c r="B36769" t="s">
        <v>24</v>
      </c>
    </row>
    <row r="36770" spans="1:4" x14ac:dyDescent="0.2">
      <c r="B36770" t="s">
        <v>130</v>
      </c>
    </row>
    <row r="36772" spans="1:4" x14ac:dyDescent="0.2">
      <c r="A36772" t="s">
        <v>11878</v>
      </c>
      <c r="B36772" t="str">
        <f>HYPERLINK("https://lindat.mff.cuni.cz/services/teitok/pdtc10/index.php?action=vallex&amp;frame=v-whsb_306hsa_307", "převracet se (v-whsb_306hsa_307)")</f>
        <v>převracet se (v-whsb_306hsa_307)</v>
      </c>
    </row>
    <row r="36773" spans="1:4" x14ac:dyDescent="0.2">
      <c r="B36773" t="s">
        <v>1</v>
      </c>
    </row>
    <row r="36775" spans="1:4" x14ac:dyDescent="0.2">
      <c r="A36775" t="s">
        <v>11879</v>
      </c>
      <c r="B36775" t="str">
        <f>HYPERLINK("https://lindat.mff.cuni.cz/services/teitok/pdtc10/index.php?action=vallex&amp;frame=v-w5048f1", "převrhnout (v-w5048f1)")</f>
        <v>převrhnout (v-w5048f1)</v>
      </c>
    </row>
    <row r="36776" spans="1:4" x14ac:dyDescent="0.2">
      <c r="B36776" t="s">
        <v>1</v>
      </c>
      <c r="D36776" t="s">
        <v>33</v>
      </c>
    </row>
    <row r="36777" spans="1:4" x14ac:dyDescent="0.2">
      <c r="B36777" t="s">
        <v>8</v>
      </c>
      <c r="D36777" t="s">
        <v>991</v>
      </c>
    </row>
    <row r="36779" spans="1:4" x14ac:dyDescent="0.2">
      <c r="A36779" t="s">
        <v>11880</v>
      </c>
      <c r="B36779" t="str">
        <f>HYPERLINK("https://lindat.mff.cuni.cz/services/teitok/pdtc10/index.php?action=vallex&amp;frame=v-w5049f1", "převrhnout se (v-w5049f1)")</f>
        <v>převrhnout se (v-w5049f1)</v>
      </c>
    </row>
    <row r="36780" spans="1:4" x14ac:dyDescent="0.2">
      <c r="B36780" t="s">
        <v>1</v>
      </c>
    </row>
    <row r="36782" spans="1:4" x14ac:dyDescent="0.2">
      <c r="A36782" t="s">
        <v>11881</v>
      </c>
      <c r="B36782" t="str">
        <f>HYPERLINK("https://lindat.mff.cuni.cz/services/teitok/pdtc10/index.php?action=vallex&amp;frame=v-w11557_ZUf1_ZU", "převrátit (v-w11557_ZUf1_ZU)")</f>
        <v>převrátit (v-w11557_ZUf1_ZU)</v>
      </c>
    </row>
    <row r="36783" spans="1:4" x14ac:dyDescent="0.2">
      <c r="B36783" t="s">
        <v>1</v>
      </c>
      <c r="C36783" t="s">
        <v>33</v>
      </c>
      <c r="D36783" t="s">
        <v>33</v>
      </c>
    </row>
    <row r="36784" spans="1:4" x14ac:dyDescent="0.2">
      <c r="B36784" t="s">
        <v>8</v>
      </c>
      <c r="C36784" t="s">
        <v>84</v>
      </c>
      <c r="D36784" t="s">
        <v>84</v>
      </c>
    </row>
    <row r="36786" spans="1:2" x14ac:dyDescent="0.2">
      <c r="A36786" t="s">
        <v>11882</v>
      </c>
      <c r="B36786" t="str">
        <f>HYPERLINK("https://lindat.mff.cuni.cz/services/teitok/pdtc10/index.php?action=vallex&amp;frame=v-w5047f1", "převrátit se (v-w5047f1)")</f>
        <v>převrátit se (v-w5047f1)</v>
      </c>
    </row>
    <row r="36787" spans="1:2" x14ac:dyDescent="0.2">
      <c r="B36787" t="s">
        <v>1</v>
      </c>
    </row>
    <row r="36789" spans="1:2" x14ac:dyDescent="0.2">
      <c r="A36789" t="s">
        <v>11883</v>
      </c>
      <c r="B36789" t="str">
        <f>HYPERLINK("https://lindat.mff.cuni.cz/services/teitok/pdtc10/index.php?action=vallex&amp;frame=v-w5047f2", "převrátit se (v-w5047f2)")</f>
        <v>převrátit se (v-w5047f2)</v>
      </c>
    </row>
    <row r="36790" spans="1:2" x14ac:dyDescent="0.2">
      <c r="B36790" t="s">
        <v>1</v>
      </c>
    </row>
    <row r="36792" spans="1:2" x14ac:dyDescent="0.2">
      <c r="A36792" t="s">
        <v>11884</v>
      </c>
      <c r="B36792" t="str">
        <f>HYPERLINK("https://lindat.mff.cuni.cz/services/teitok/pdtc10/index.php?action=vallex&amp;frame=v-w5052f1", "převychovat (v-w5052f1)")</f>
        <v>převychovat (v-w5052f1)</v>
      </c>
    </row>
    <row r="36793" spans="1:2" x14ac:dyDescent="0.2">
      <c r="B36793" t="s">
        <v>1</v>
      </c>
    </row>
    <row r="36794" spans="1:2" x14ac:dyDescent="0.2">
      <c r="B36794" t="s">
        <v>8</v>
      </c>
    </row>
    <row r="36796" spans="1:2" x14ac:dyDescent="0.2">
      <c r="A36796" t="s">
        <v>11885</v>
      </c>
      <c r="B36796" t="str">
        <f>HYPERLINK("https://lindat.mff.cuni.cz/services/teitok/pdtc10/index.php?action=vallex&amp;frame=v-w5053f1", "převychovávat (v-w5053f1)")</f>
        <v>převychovávat (v-w5053f1)</v>
      </c>
    </row>
    <row r="36797" spans="1:2" x14ac:dyDescent="0.2">
      <c r="B36797" t="s">
        <v>1</v>
      </c>
    </row>
    <row r="36798" spans="1:2" x14ac:dyDescent="0.2">
      <c r="B36798" t="s">
        <v>8</v>
      </c>
    </row>
    <row r="36800" spans="1:2" x14ac:dyDescent="0.2">
      <c r="A36800" t="s">
        <v>11886</v>
      </c>
      <c r="B36800" t="str">
        <f>HYPERLINK("https://lindat.mff.cuni.cz/services/teitok/pdtc10/index.php?action=vallex&amp;frame=v-w11558_ZUf1_ZU", "převyprávět (v-w11558_ZUf1_ZU)")</f>
        <v>převyprávět (v-w11558_ZUf1_ZU)</v>
      </c>
    </row>
    <row r="36801" spans="1:4" x14ac:dyDescent="0.2">
      <c r="B36801" t="s">
        <v>1</v>
      </c>
      <c r="C36801" t="s">
        <v>5452</v>
      </c>
      <c r="D36801" t="s">
        <v>4634</v>
      </c>
    </row>
    <row r="36802" spans="1:4" x14ac:dyDescent="0.2">
      <c r="B36802" t="s">
        <v>35</v>
      </c>
      <c r="C36802" t="s">
        <v>5453</v>
      </c>
      <c r="D36802" t="s">
        <v>18432</v>
      </c>
    </row>
    <row r="36803" spans="1:4" x14ac:dyDescent="0.2">
      <c r="B36803" t="s">
        <v>184</v>
      </c>
      <c r="C36803" t="s">
        <v>2258</v>
      </c>
      <c r="D36803" t="s">
        <v>24038</v>
      </c>
    </row>
    <row r="36804" spans="1:4" x14ac:dyDescent="0.2">
      <c r="B36804" t="s">
        <v>269</v>
      </c>
      <c r="C36804" t="s">
        <v>2240</v>
      </c>
      <c r="D36804" t="s">
        <v>23883</v>
      </c>
    </row>
    <row r="36806" spans="1:4" x14ac:dyDescent="0.2">
      <c r="A36806" t="s">
        <v>11887</v>
      </c>
      <c r="B36806" t="str">
        <f>HYPERLINK("https://lindat.mff.cuni.cz/services/teitok/pdtc10/index.php?action=vallex&amp;frame=v-w5056f1", "převyšovat (v-w5056f1)")</f>
        <v>převyšovat (v-w5056f1)</v>
      </c>
    </row>
    <row r="36807" spans="1:4" x14ac:dyDescent="0.2">
      <c r="B36807" t="s">
        <v>1</v>
      </c>
      <c r="C36807" t="s">
        <v>11888</v>
      </c>
      <c r="D36807" t="s">
        <v>24039</v>
      </c>
    </row>
    <row r="36808" spans="1:4" x14ac:dyDescent="0.2">
      <c r="B36808" t="s">
        <v>8</v>
      </c>
      <c r="C36808" t="s">
        <v>11889</v>
      </c>
      <c r="D36808" t="s">
        <v>24040</v>
      </c>
    </row>
    <row r="36810" spans="1:4" x14ac:dyDescent="0.2">
      <c r="A36810" t="s">
        <v>11890</v>
      </c>
      <c r="B36810" t="str">
        <f>HYPERLINK("https://lindat.mff.cuni.cz/services/teitok/pdtc10/index.php?action=vallex&amp;frame=v-w5060f1", "převzít (v-w5060f1)")</f>
        <v>převzít (v-w5060f1)</v>
      </c>
    </row>
    <row r="36811" spans="1:4" x14ac:dyDescent="0.2">
      <c r="B36811" t="s">
        <v>1</v>
      </c>
      <c r="C36811" t="s">
        <v>11891</v>
      </c>
      <c r="D36811" t="s">
        <v>24041</v>
      </c>
    </row>
    <row r="36812" spans="1:4" x14ac:dyDescent="0.2">
      <c r="B36812" t="s">
        <v>8</v>
      </c>
      <c r="C36812" t="s">
        <v>11892</v>
      </c>
      <c r="D36812" t="s">
        <v>7127</v>
      </c>
    </row>
    <row r="36813" spans="1:4" x14ac:dyDescent="0.2">
      <c r="B36813" t="s">
        <v>11893</v>
      </c>
      <c r="C36813" t="s">
        <v>11894</v>
      </c>
      <c r="D36813" t="s">
        <v>10630</v>
      </c>
    </row>
    <row r="36815" spans="1:4" x14ac:dyDescent="0.2">
      <c r="A36815" t="s">
        <v>11895</v>
      </c>
      <c r="B36815" t="str">
        <f>HYPERLINK("https://lindat.mff.cuni.cz/services/teitok/pdtc10/index.php?action=vallex&amp;frame=v-w5060f2", "převzít (v-w5060f2)")</f>
        <v>převzít (v-w5060f2)</v>
      </c>
    </row>
    <row r="36816" spans="1:4" x14ac:dyDescent="0.2">
      <c r="B36816" t="s">
        <v>1</v>
      </c>
      <c r="C36816" t="s">
        <v>11896</v>
      </c>
    </row>
    <row r="36817" spans="1:4" x14ac:dyDescent="0.2">
      <c r="B36817" t="s">
        <v>8</v>
      </c>
      <c r="C36817" t="s">
        <v>11897</v>
      </c>
    </row>
    <row r="36818" spans="1:4" x14ac:dyDescent="0.2">
      <c r="B36818" t="s">
        <v>321</v>
      </c>
      <c r="C36818" t="s">
        <v>11898</v>
      </c>
    </row>
    <row r="36820" spans="1:4" x14ac:dyDescent="0.2">
      <c r="A36820" t="s">
        <v>11899</v>
      </c>
      <c r="B36820" t="str">
        <f>HYPERLINK("https://lindat.mff.cuni.cz/services/teitok/pdtc10/index.php?action=vallex&amp;frame=v-w5060f3", "převzít (v-w5060f3)")</f>
        <v>převzít (v-w5060f3)</v>
      </c>
    </row>
    <row r="36821" spans="1:4" x14ac:dyDescent="0.2">
      <c r="B36821" t="s">
        <v>1</v>
      </c>
      <c r="C36821" t="s">
        <v>373</v>
      </c>
      <c r="D36821" t="s">
        <v>24042</v>
      </c>
    </row>
    <row r="36822" spans="1:4" x14ac:dyDescent="0.2">
      <c r="B36822" t="s">
        <v>8</v>
      </c>
      <c r="C36822" t="s">
        <v>335</v>
      </c>
      <c r="D36822" t="s">
        <v>307</v>
      </c>
    </row>
    <row r="36823" spans="1:4" x14ac:dyDescent="0.2">
      <c r="B36823" t="s">
        <v>333</v>
      </c>
      <c r="C36823" t="s">
        <v>11900</v>
      </c>
      <c r="D36823" t="s">
        <v>11900</v>
      </c>
    </row>
    <row r="36825" spans="1:4" x14ac:dyDescent="0.2">
      <c r="A36825" t="s">
        <v>11901</v>
      </c>
      <c r="B36825" t="str">
        <f>HYPERLINK("https://lindat.mff.cuni.cz/services/teitok/pdtc10/index.php?action=vallex&amp;frame=v-w5060f4", "převzít (v-w5060f4)")</f>
        <v>převzít (v-w5060f4)</v>
      </c>
    </row>
    <row r="36826" spans="1:4" x14ac:dyDescent="0.2">
      <c r="B36826" t="s">
        <v>1</v>
      </c>
    </row>
    <row r="36827" spans="1:4" x14ac:dyDescent="0.2">
      <c r="B36827" t="s">
        <v>8</v>
      </c>
    </row>
    <row r="36828" spans="1:4" x14ac:dyDescent="0.2">
      <c r="B36828" t="s">
        <v>8674</v>
      </c>
    </row>
    <row r="36830" spans="1:4" x14ac:dyDescent="0.2">
      <c r="A36830" t="s">
        <v>11902</v>
      </c>
      <c r="B36830" t="str">
        <f>HYPERLINK("https://lindat.mff.cuni.cz/services/teitok/pdtc10/index.php?action=vallex&amp;frame=v-w5060f6_ZU", "převzít (v-w5060f6_ZU)")</f>
        <v>převzít (v-w5060f6_ZU)</v>
      </c>
    </row>
    <row r="36831" spans="1:4" x14ac:dyDescent="0.2">
      <c r="B36831" t="s">
        <v>1</v>
      </c>
      <c r="C36831" t="s">
        <v>7126</v>
      </c>
    </row>
    <row r="36832" spans="1:4" x14ac:dyDescent="0.2">
      <c r="B36832" t="s">
        <v>11193</v>
      </c>
    </row>
    <row r="36833" spans="1:4" x14ac:dyDescent="0.2">
      <c r="B36833" t="s">
        <v>8</v>
      </c>
      <c r="C36833" t="s">
        <v>5674</v>
      </c>
    </row>
    <row r="36834" spans="1:4" x14ac:dyDescent="0.2">
      <c r="B36834" t="s">
        <v>321</v>
      </c>
      <c r="C36834" t="s">
        <v>11903</v>
      </c>
    </row>
    <row r="36836" spans="1:4" x14ac:dyDescent="0.2">
      <c r="A36836" t="s">
        <v>11902</v>
      </c>
      <c r="B36836" t="str">
        <f>HYPERLINK("https://lindat.mff.cuni.cz/services/teitok/pdtc10/index.php?action=vallex&amp;frame=v-w5060hsa_465", "převzít (v-w5060hsa_465) - substituted with v-w5060f6_ZU")</f>
        <v>převzít (v-w5060hsa_465) - substituted with v-w5060f6_ZU</v>
      </c>
    </row>
    <row r="36837" spans="1:4" x14ac:dyDescent="0.2">
      <c r="B36837" t="s">
        <v>1</v>
      </c>
    </row>
    <row r="36838" spans="1:4" x14ac:dyDescent="0.2">
      <c r="B36838" t="s">
        <v>11193</v>
      </c>
    </row>
    <row r="36839" spans="1:4" x14ac:dyDescent="0.2">
      <c r="B36839" t="s">
        <v>8</v>
      </c>
    </row>
    <row r="36840" spans="1:4" x14ac:dyDescent="0.2">
      <c r="B36840" t="s">
        <v>321</v>
      </c>
    </row>
    <row r="36842" spans="1:4" x14ac:dyDescent="0.2">
      <c r="A36842" t="s">
        <v>11904</v>
      </c>
      <c r="B36842" t="str">
        <f>HYPERLINK("https://lindat.mff.cuni.cz/services/teitok/pdtc10/index.php?action=vallex&amp;frame=v-w5060f5_ZU", "převzít (v-w5060f5_ZU)")</f>
        <v>převzít (v-w5060f5_ZU)</v>
      </c>
    </row>
    <row r="36843" spans="1:4" x14ac:dyDescent="0.2">
      <c r="B36843" t="s">
        <v>1</v>
      </c>
      <c r="C36843" t="s">
        <v>322</v>
      </c>
      <c r="D36843" t="s">
        <v>294</v>
      </c>
    </row>
    <row r="36844" spans="1:4" x14ac:dyDescent="0.2">
      <c r="B36844" t="s">
        <v>11905</v>
      </c>
      <c r="C36844" t="s">
        <v>11906</v>
      </c>
      <c r="D36844" t="s">
        <v>24043</v>
      </c>
    </row>
    <row r="36845" spans="1:4" x14ac:dyDescent="0.2">
      <c r="B36845" t="s">
        <v>321</v>
      </c>
    </row>
    <row r="36847" spans="1:4" x14ac:dyDescent="0.2">
      <c r="A36847" t="s">
        <v>11907</v>
      </c>
      <c r="B36847" t="str">
        <f>HYPERLINK("https://lindat.mff.cuni.cz/services/teitok/pdtc10/index.php?action=vallex&amp;frame=v-w5061f1", "převzít si (v-w5061f1)")</f>
        <v>převzít si (v-w5061f1)</v>
      </c>
    </row>
    <row r="36848" spans="1:4" x14ac:dyDescent="0.2">
      <c r="B36848" t="s">
        <v>1</v>
      </c>
    </row>
    <row r="36849" spans="1:4" x14ac:dyDescent="0.2">
      <c r="B36849" t="s">
        <v>8</v>
      </c>
    </row>
    <row r="36850" spans="1:4" x14ac:dyDescent="0.2">
      <c r="B36850" t="s">
        <v>321</v>
      </c>
    </row>
    <row r="36852" spans="1:4" x14ac:dyDescent="0.2">
      <c r="A36852" t="s">
        <v>11908</v>
      </c>
      <c r="B36852" t="str">
        <f>HYPERLINK("https://lindat.mff.cuni.cz/services/teitok/pdtc10/index.php?action=vallex&amp;frame=v-w5029f1", "převádět (v-w5029f1)")</f>
        <v>převádět (v-w5029f1)</v>
      </c>
    </row>
    <row r="36853" spans="1:4" x14ac:dyDescent="0.2">
      <c r="B36853" t="s">
        <v>1</v>
      </c>
      <c r="C36853" t="s">
        <v>11909</v>
      </c>
      <c r="D36853" t="s">
        <v>3580</v>
      </c>
    </row>
    <row r="36854" spans="1:4" x14ac:dyDescent="0.2">
      <c r="B36854" t="s">
        <v>8</v>
      </c>
      <c r="C36854" t="s">
        <v>11910</v>
      </c>
      <c r="D36854" t="s">
        <v>23652</v>
      </c>
    </row>
    <row r="36855" spans="1:4" x14ac:dyDescent="0.2">
      <c r="B36855" t="s">
        <v>3527</v>
      </c>
      <c r="C36855" t="s">
        <v>11911</v>
      </c>
      <c r="D36855" t="s">
        <v>24023</v>
      </c>
    </row>
    <row r="36856" spans="1:4" x14ac:dyDescent="0.2">
      <c r="B36856" t="s">
        <v>24</v>
      </c>
      <c r="C36856" t="s">
        <v>11912</v>
      </c>
    </row>
    <row r="36858" spans="1:4" x14ac:dyDescent="0.2">
      <c r="A36858" t="s">
        <v>11913</v>
      </c>
      <c r="B36858" t="str">
        <f>HYPERLINK("https://lindat.mff.cuni.cz/services/teitok/pdtc10/index.php?action=vallex&amp;frame=v-w5029f3_ZU", "převádět (v-w5029f3_ZU)")</f>
        <v>převádět (v-w5029f3_ZU)</v>
      </c>
    </row>
    <row r="36859" spans="1:4" x14ac:dyDescent="0.2">
      <c r="B36859" t="s">
        <v>1</v>
      </c>
      <c r="C36859" t="s">
        <v>11914</v>
      </c>
      <c r="D36859" t="s">
        <v>22944</v>
      </c>
    </row>
    <row r="36860" spans="1:4" x14ac:dyDescent="0.2">
      <c r="B36860" t="s">
        <v>8</v>
      </c>
      <c r="C36860" t="s">
        <v>11915</v>
      </c>
      <c r="D36860" t="s">
        <v>22945</v>
      </c>
    </row>
    <row r="36861" spans="1:4" x14ac:dyDescent="0.2">
      <c r="B36861" t="s">
        <v>24</v>
      </c>
      <c r="D36861" t="s">
        <v>22946</v>
      </c>
    </row>
    <row r="36862" spans="1:4" x14ac:dyDescent="0.2">
      <c r="B36862" t="s">
        <v>5394</v>
      </c>
      <c r="C36862" t="s">
        <v>11916</v>
      </c>
      <c r="D36862" t="s">
        <v>22947</v>
      </c>
    </row>
    <row r="36864" spans="1:4" x14ac:dyDescent="0.2">
      <c r="A36864" t="s">
        <v>11917</v>
      </c>
      <c r="B36864" t="str">
        <f>HYPERLINK("https://lindat.mff.cuni.cz/services/teitok/pdtc10/index.php?action=vallex&amp;frame=v-w5029f2", "převádět (v-w5029f2)")</f>
        <v>převádět (v-w5029f2)</v>
      </c>
    </row>
    <row r="36865" spans="1:4" x14ac:dyDescent="0.2">
      <c r="B36865" t="s">
        <v>1</v>
      </c>
      <c r="C36865" t="s">
        <v>2555</v>
      </c>
      <c r="D36865" t="s">
        <v>3580</v>
      </c>
    </row>
    <row r="36866" spans="1:4" x14ac:dyDescent="0.2">
      <c r="B36866" t="s">
        <v>8</v>
      </c>
      <c r="C36866" t="s">
        <v>11918</v>
      </c>
      <c r="D36866" t="s">
        <v>23652</v>
      </c>
    </row>
    <row r="36867" spans="1:4" x14ac:dyDescent="0.2">
      <c r="B36867" t="s">
        <v>333</v>
      </c>
    </row>
    <row r="36868" spans="1:4" x14ac:dyDescent="0.2">
      <c r="B36868" t="s">
        <v>90</v>
      </c>
      <c r="C36868" t="s">
        <v>11919</v>
      </c>
      <c r="D36868" t="s">
        <v>23853</v>
      </c>
    </row>
    <row r="36870" spans="1:4" x14ac:dyDescent="0.2">
      <c r="A36870" t="s">
        <v>11920</v>
      </c>
      <c r="B36870" t="str">
        <f>HYPERLINK("https://lindat.mff.cuni.cz/services/teitok/pdtc10/index.php?action=vallex&amp;frame=v-w10255f2", "převálcovat (v-w10255f2)")</f>
        <v>převálcovat (v-w10255f2)</v>
      </c>
    </row>
    <row r="36871" spans="1:4" x14ac:dyDescent="0.2">
      <c r="B36871" t="s">
        <v>1</v>
      </c>
      <c r="C36871" t="s">
        <v>22</v>
      </c>
      <c r="D36871" t="s">
        <v>14822</v>
      </c>
    </row>
    <row r="36872" spans="1:4" x14ac:dyDescent="0.2">
      <c r="B36872" t="s">
        <v>8</v>
      </c>
      <c r="C36872" t="s">
        <v>116</v>
      </c>
      <c r="D36872" t="s">
        <v>23658</v>
      </c>
    </row>
    <row r="36874" spans="1:4" x14ac:dyDescent="0.2">
      <c r="A36874" t="s">
        <v>11921</v>
      </c>
      <c r="B36874" t="str">
        <f>HYPERLINK("https://lindat.mff.cuni.cz/services/teitok/pdtc10/index.php?action=vallex&amp;frame=v-w11977_ZUf1_ZU", "převázat (v-w11977_ZUf1_ZU)")</f>
        <v>převázat (v-w11977_ZUf1_ZU)</v>
      </c>
    </row>
    <row r="36875" spans="1:4" x14ac:dyDescent="0.2">
      <c r="B36875" t="s">
        <v>1</v>
      </c>
    </row>
    <row r="36876" spans="1:4" x14ac:dyDescent="0.2">
      <c r="B36876" t="s">
        <v>8</v>
      </c>
    </row>
    <row r="36878" spans="1:4" x14ac:dyDescent="0.2">
      <c r="A36878" t="s">
        <v>11922</v>
      </c>
      <c r="B36878" t="str">
        <f>HYPERLINK("https://lindat.mff.cuni.cz/services/teitok/pdtc10/index.php?action=vallex&amp;frame=v-w5033f1", "převážet (v-w5033f1)")</f>
        <v>převážet (v-w5033f1)</v>
      </c>
    </row>
    <row r="36879" spans="1:4" x14ac:dyDescent="0.2">
      <c r="B36879" t="s">
        <v>1</v>
      </c>
      <c r="C36879" t="s">
        <v>83</v>
      </c>
      <c r="D36879" t="s">
        <v>3292</v>
      </c>
    </row>
    <row r="36880" spans="1:4" x14ac:dyDescent="0.2">
      <c r="B36880" t="s">
        <v>8</v>
      </c>
      <c r="C36880" t="s">
        <v>3773</v>
      </c>
      <c r="D36880" t="s">
        <v>232</v>
      </c>
    </row>
    <row r="36881" spans="1:4" x14ac:dyDescent="0.2">
      <c r="B36881" t="s">
        <v>333</v>
      </c>
    </row>
    <row r="36882" spans="1:4" x14ac:dyDescent="0.2">
      <c r="B36882" t="s">
        <v>90</v>
      </c>
    </row>
    <row r="36884" spans="1:4" x14ac:dyDescent="0.2">
      <c r="A36884" t="s">
        <v>11923</v>
      </c>
      <c r="B36884" t="str">
        <f>HYPERLINK("https://lindat.mff.cuni.cz/services/teitok/pdtc10/index.php?action=vallex&amp;frame=v-w5034f2", "převážit (v-w5034f2)")</f>
        <v>převážit (v-w5034f2)</v>
      </c>
    </row>
    <row r="36885" spans="1:4" x14ac:dyDescent="0.2">
      <c r="B36885" t="s">
        <v>1</v>
      </c>
      <c r="C36885" t="s">
        <v>334</v>
      </c>
    </row>
    <row r="36886" spans="1:4" x14ac:dyDescent="0.2">
      <c r="B36886" t="s">
        <v>8</v>
      </c>
      <c r="C36886" t="s">
        <v>335</v>
      </c>
    </row>
    <row r="36888" spans="1:4" x14ac:dyDescent="0.2">
      <c r="A36888" t="s">
        <v>11924</v>
      </c>
      <c r="B36888" t="str">
        <f>HYPERLINK("https://lindat.mff.cuni.cz/services/teitok/pdtc10/index.php?action=vallex&amp;frame=v-w5034f1", "převážit (v-w5034f1)")</f>
        <v>převážit (v-w5034f1)</v>
      </c>
    </row>
    <row r="36889" spans="1:4" x14ac:dyDescent="0.2">
      <c r="B36889" t="s">
        <v>1</v>
      </c>
      <c r="C36889" t="s">
        <v>11925</v>
      </c>
    </row>
    <row r="36890" spans="1:4" x14ac:dyDescent="0.2">
      <c r="B36890" t="s">
        <v>3091</v>
      </c>
      <c r="C36890" t="s">
        <v>11926</v>
      </c>
    </row>
    <row r="36892" spans="1:4" x14ac:dyDescent="0.2">
      <c r="A36892" t="s">
        <v>11927</v>
      </c>
      <c r="B36892" t="str">
        <f>HYPERLINK("https://lindat.mff.cuni.cz/services/teitok/pdtc10/index.php?action=vallex&amp;frame=v-w5039f1", "převést (v-w5039f1)")</f>
        <v>převést (v-w5039f1)</v>
      </c>
    </row>
    <row r="36893" spans="1:4" x14ac:dyDescent="0.2">
      <c r="B36893" t="s">
        <v>1</v>
      </c>
      <c r="C36893" t="s">
        <v>92</v>
      </c>
      <c r="D36893" t="s">
        <v>3580</v>
      </c>
    </row>
    <row r="36894" spans="1:4" x14ac:dyDescent="0.2">
      <c r="B36894" t="s">
        <v>8</v>
      </c>
      <c r="C36894" t="s">
        <v>11928</v>
      </c>
      <c r="D36894" t="s">
        <v>23652</v>
      </c>
    </row>
    <row r="36895" spans="1:4" x14ac:dyDescent="0.2">
      <c r="B36895" t="s">
        <v>3527</v>
      </c>
      <c r="C36895" t="s">
        <v>6457</v>
      </c>
      <c r="D36895" t="s">
        <v>24023</v>
      </c>
    </row>
    <row r="36896" spans="1:4" x14ac:dyDescent="0.2">
      <c r="B36896" t="s">
        <v>24</v>
      </c>
    </row>
    <row r="36898" spans="1:4" x14ac:dyDescent="0.2">
      <c r="A36898" t="s">
        <v>11929</v>
      </c>
      <c r="B36898" t="str">
        <f>HYPERLINK("https://lindat.mff.cuni.cz/services/teitok/pdtc10/index.php?action=vallex&amp;frame=v-w5039f5", "převést (v-w5039f5)")</f>
        <v>převést (v-w5039f5)</v>
      </c>
    </row>
    <row r="36899" spans="1:4" x14ac:dyDescent="0.2">
      <c r="B36899" t="s">
        <v>1</v>
      </c>
      <c r="C36899" t="s">
        <v>16</v>
      </c>
    </row>
    <row r="36900" spans="1:4" x14ac:dyDescent="0.2">
      <c r="B36900" t="s">
        <v>8</v>
      </c>
      <c r="C36900" t="s">
        <v>3308</v>
      </c>
    </row>
    <row r="36901" spans="1:4" x14ac:dyDescent="0.2">
      <c r="B36901" t="s">
        <v>35</v>
      </c>
    </row>
    <row r="36903" spans="1:4" x14ac:dyDescent="0.2">
      <c r="A36903" t="s">
        <v>11930</v>
      </c>
      <c r="B36903" t="str">
        <f>HYPERLINK("https://lindat.mff.cuni.cz/services/teitok/pdtc10/index.php?action=vallex&amp;frame=v-w5039f4", "převést (v-w5039f4)")</f>
        <v>převést (v-w5039f4)</v>
      </c>
    </row>
    <row r="36904" spans="1:4" x14ac:dyDescent="0.2">
      <c r="B36904" t="s">
        <v>1</v>
      </c>
      <c r="C36904" t="s">
        <v>3560</v>
      </c>
      <c r="D36904" t="s">
        <v>22944</v>
      </c>
    </row>
    <row r="36905" spans="1:4" x14ac:dyDescent="0.2">
      <c r="B36905" t="s">
        <v>8</v>
      </c>
      <c r="C36905" t="s">
        <v>11931</v>
      </c>
      <c r="D36905" t="s">
        <v>22945</v>
      </c>
    </row>
    <row r="36906" spans="1:4" x14ac:dyDescent="0.2">
      <c r="B36906" t="s">
        <v>24</v>
      </c>
      <c r="D36906" t="s">
        <v>22946</v>
      </c>
    </row>
    <row r="36907" spans="1:4" x14ac:dyDescent="0.2">
      <c r="B36907" t="s">
        <v>5394</v>
      </c>
      <c r="C36907" t="s">
        <v>11916</v>
      </c>
      <c r="D36907" t="s">
        <v>22947</v>
      </c>
    </row>
    <row r="36909" spans="1:4" x14ac:dyDescent="0.2">
      <c r="A36909" t="s">
        <v>11932</v>
      </c>
      <c r="B36909" t="str">
        <f>HYPERLINK("https://lindat.mff.cuni.cz/services/teitok/pdtc10/index.php?action=vallex&amp;frame=v-w5039f2", "převést (v-w5039f2)")</f>
        <v>převést (v-w5039f2)</v>
      </c>
    </row>
    <row r="36910" spans="1:4" x14ac:dyDescent="0.2">
      <c r="B36910" t="s">
        <v>1</v>
      </c>
      <c r="C36910" t="s">
        <v>5867</v>
      </c>
      <c r="D36910" t="s">
        <v>3580</v>
      </c>
    </row>
    <row r="36911" spans="1:4" x14ac:dyDescent="0.2">
      <c r="B36911" t="s">
        <v>8</v>
      </c>
      <c r="C36911" t="s">
        <v>11933</v>
      </c>
      <c r="D36911" t="s">
        <v>23652</v>
      </c>
    </row>
    <row r="36912" spans="1:4" x14ac:dyDescent="0.2">
      <c r="B36912" t="s">
        <v>333</v>
      </c>
      <c r="C36912" t="s">
        <v>11934</v>
      </c>
    </row>
    <row r="36913" spans="1:4" x14ac:dyDescent="0.2">
      <c r="B36913" t="s">
        <v>90</v>
      </c>
      <c r="C36913" t="s">
        <v>11919</v>
      </c>
      <c r="D36913" t="s">
        <v>23853</v>
      </c>
    </row>
    <row r="36915" spans="1:4" x14ac:dyDescent="0.2">
      <c r="A36915" t="s">
        <v>11935</v>
      </c>
      <c r="B36915" t="str">
        <f>HYPERLINK("https://lindat.mff.cuni.cz/services/teitok/pdtc10/index.php?action=vallex&amp;frame=v-w5039f3", "převést (v-w5039f3)")</f>
        <v>převést (v-w5039f3)</v>
      </c>
    </row>
    <row r="36916" spans="1:4" x14ac:dyDescent="0.2">
      <c r="B36916" t="s">
        <v>1</v>
      </c>
    </row>
    <row r="36917" spans="1:4" x14ac:dyDescent="0.2">
      <c r="B36917" t="s">
        <v>8</v>
      </c>
    </row>
    <row r="36918" spans="1:4" x14ac:dyDescent="0.2">
      <c r="B36918" t="s">
        <v>192</v>
      </c>
    </row>
    <row r="36920" spans="1:4" x14ac:dyDescent="0.2">
      <c r="A36920" t="s">
        <v>11936</v>
      </c>
      <c r="B36920" t="str">
        <f>HYPERLINK("https://lindat.mff.cuni.cz/services/teitok/pdtc10/index.php?action=vallex&amp;frame=v-w5040f1", "převézt (v-w5040f1)")</f>
        <v>převézt (v-w5040f1)</v>
      </c>
    </row>
    <row r="36921" spans="1:4" x14ac:dyDescent="0.2">
      <c r="B36921" t="s">
        <v>1</v>
      </c>
      <c r="C36921" t="s">
        <v>2264</v>
      </c>
      <c r="D36921" t="s">
        <v>3292</v>
      </c>
    </row>
    <row r="36922" spans="1:4" x14ac:dyDescent="0.2">
      <c r="B36922" t="s">
        <v>8</v>
      </c>
      <c r="C36922" t="s">
        <v>3324</v>
      </c>
      <c r="D36922" t="s">
        <v>232</v>
      </c>
    </row>
    <row r="36923" spans="1:4" x14ac:dyDescent="0.2">
      <c r="B36923" t="s">
        <v>333</v>
      </c>
    </row>
    <row r="36924" spans="1:4" x14ac:dyDescent="0.2">
      <c r="B36924" t="s">
        <v>90</v>
      </c>
    </row>
    <row r="36926" spans="1:4" x14ac:dyDescent="0.2">
      <c r="A36926" t="s">
        <v>11937</v>
      </c>
      <c r="B36926" t="str">
        <f>HYPERLINK("https://lindat.mff.cuni.cz/services/teitok/pdtc10/index.php?action=vallex&amp;frame=v-w5040f2", "převézt (v-w5040f2)")</f>
        <v>převézt (v-w5040f2)</v>
      </c>
    </row>
    <row r="36927" spans="1:4" x14ac:dyDescent="0.2">
      <c r="B36927" t="s">
        <v>1</v>
      </c>
    </row>
    <row r="36928" spans="1:4" x14ac:dyDescent="0.2">
      <c r="B36928" t="s">
        <v>8</v>
      </c>
    </row>
    <row r="36930" spans="1:4" x14ac:dyDescent="0.2">
      <c r="A36930" t="s">
        <v>11938</v>
      </c>
      <c r="B36930" t="str">
        <f>HYPERLINK("https://lindat.mff.cuni.cz/services/teitok/pdtc10/index.php?action=vallex&amp;frame=v-w5055f1", "převýšit (v-w5055f1)")</f>
        <v>převýšit (v-w5055f1)</v>
      </c>
    </row>
    <row r="36931" spans="1:4" x14ac:dyDescent="0.2">
      <c r="B36931" t="s">
        <v>1</v>
      </c>
      <c r="C36931" t="s">
        <v>11939</v>
      </c>
      <c r="D36931" t="s">
        <v>24039</v>
      </c>
    </row>
    <row r="36932" spans="1:4" x14ac:dyDescent="0.2">
      <c r="B36932" t="s">
        <v>8</v>
      </c>
      <c r="C36932" t="s">
        <v>11940</v>
      </c>
      <c r="D36932" t="s">
        <v>24040</v>
      </c>
    </row>
    <row r="36934" spans="1:4" x14ac:dyDescent="0.2">
      <c r="A36934" t="s">
        <v>11941</v>
      </c>
      <c r="B36934" t="str">
        <f>HYPERLINK("https://lindat.mff.cuni.cz/services/teitok/pdtc10/index.php?action=vallex&amp;frame=v-w5063f1", "přezbrojit (v-w5063f1)")</f>
        <v>přezbrojit (v-w5063f1)</v>
      </c>
    </row>
    <row r="36935" spans="1:4" x14ac:dyDescent="0.2">
      <c r="B36935" t="s">
        <v>1</v>
      </c>
    </row>
    <row r="36936" spans="1:4" x14ac:dyDescent="0.2">
      <c r="B36936" t="s">
        <v>8</v>
      </c>
    </row>
    <row r="36938" spans="1:4" x14ac:dyDescent="0.2">
      <c r="A36938" t="s">
        <v>11942</v>
      </c>
      <c r="B36938" t="str">
        <f>HYPERLINK("https://lindat.mff.cuni.cz/services/teitok/pdtc10/index.php?action=vallex&amp;frame=v-w5066f1", "přezdívat (v-w5066f1)")</f>
        <v>přezdívat (v-w5066f1)</v>
      </c>
    </row>
    <row r="36939" spans="1:4" x14ac:dyDescent="0.2">
      <c r="B36939" t="s">
        <v>1</v>
      </c>
      <c r="C36939" t="s">
        <v>22</v>
      </c>
      <c r="D36939" t="s">
        <v>7388</v>
      </c>
    </row>
    <row r="36940" spans="1:4" x14ac:dyDescent="0.2">
      <c r="B36940" t="s">
        <v>5601</v>
      </c>
      <c r="C36940" t="s">
        <v>56</v>
      </c>
      <c r="D36940" t="s">
        <v>23588</v>
      </c>
    </row>
    <row r="36941" spans="1:4" x14ac:dyDescent="0.2">
      <c r="B36941" t="s">
        <v>6385</v>
      </c>
      <c r="C36941" t="s">
        <v>11943</v>
      </c>
      <c r="D36941" t="s">
        <v>23589</v>
      </c>
    </row>
    <row r="36943" spans="1:4" x14ac:dyDescent="0.2">
      <c r="A36943" t="s">
        <v>11944</v>
      </c>
      <c r="B36943" t="str">
        <f>HYPERLINK("https://lindat.mff.cuni.cz/services/teitok/pdtc10/index.php?action=vallex&amp;frame=v-w5068f1", "přezkoumat (v-w5068f1)")</f>
        <v>přezkoumat (v-w5068f1)</v>
      </c>
    </row>
    <row r="36944" spans="1:4" x14ac:dyDescent="0.2">
      <c r="B36944" t="s">
        <v>1</v>
      </c>
      <c r="C36944" t="s">
        <v>3081</v>
      </c>
      <c r="D36944" t="s">
        <v>14474</v>
      </c>
    </row>
    <row r="36945" spans="1:4" x14ac:dyDescent="0.2">
      <c r="B36945" t="s">
        <v>1693</v>
      </c>
      <c r="C36945" t="s">
        <v>341</v>
      </c>
      <c r="D36945" t="s">
        <v>23981</v>
      </c>
    </row>
    <row r="36947" spans="1:4" x14ac:dyDescent="0.2">
      <c r="A36947" t="s">
        <v>11945</v>
      </c>
      <c r="B36947" t="str">
        <f>HYPERLINK("https://lindat.mff.cuni.cz/services/teitok/pdtc10/index.php?action=vallex&amp;frame=v-w10100f2", "přezkoumávat (v-w10100f2)")</f>
        <v>přezkoumávat (v-w10100f2)</v>
      </c>
    </row>
    <row r="36948" spans="1:4" x14ac:dyDescent="0.2">
      <c r="B36948" t="s">
        <v>1</v>
      </c>
      <c r="C36948" t="s">
        <v>6700</v>
      </c>
      <c r="D36948" t="s">
        <v>14474</v>
      </c>
    </row>
    <row r="36949" spans="1:4" x14ac:dyDescent="0.2">
      <c r="B36949" t="s">
        <v>1693</v>
      </c>
      <c r="C36949" t="s">
        <v>11946</v>
      </c>
      <c r="D36949" t="s">
        <v>23981</v>
      </c>
    </row>
    <row r="36951" spans="1:4" x14ac:dyDescent="0.2">
      <c r="A36951" t="s">
        <v>11947</v>
      </c>
      <c r="B36951" t="str">
        <f>HYPERLINK("https://lindat.mff.cuni.cz/services/teitok/pdtc10/index.php?action=vallex&amp;frame=v-w5069f1", "přezkušovat (v-w5069f1)")</f>
        <v>přezkušovat (v-w5069f1)</v>
      </c>
    </row>
    <row r="36952" spans="1:4" x14ac:dyDescent="0.2">
      <c r="B36952" t="s">
        <v>1</v>
      </c>
    </row>
    <row r="36953" spans="1:4" x14ac:dyDescent="0.2">
      <c r="B36953" t="s">
        <v>1514</v>
      </c>
    </row>
    <row r="36955" spans="1:4" x14ac:dyDescent="0.2">
      <c r="A36955" t="s">
        <v>11948</v>
      </c>
      <c r="B36955" t="str">
        <f>HYPERLINK("https://lindat.mff.cuni.cz/services/teitok/pdtc10/index.php?action=vallex&amp;frame=v-w5070f1", "přezouvat (v-w5070f1)")</f>
        <v>přezouvat (v-w5070f1)</v>
      </c>
    </row>
    <row r="36956" spans="1:4" x14ac:dyDescent="0.2">
      <c r="B36956" t="s">
        <v>1</v>
      </c>
    </row>
    <row r="36957" spans="1:4" x14ac:dyDescent="0.2">
      <c r="B36957" t="s">
        <v>8</v>
      </c>
    </row>
    <row r="36959" spans="1:4" x14ac:dyDescent="0.2">
      <c r="A36959" t="s">
        <v>11949</v>
      </c>
      <c r="B36959" t="str">
        <f>HYPERLINK("https://lindat.mff.cuni.cz/services/teitok/pdtc10/index.php?action=vallex&amp;frame=v-w4684f1", "přečerpat (v-w4684f1)")</f>
        <v>přečerpat (v-w4684f1)</v>
      </c>
    </row>
    <row r="36960" spans="1:4" x14ac:dyDescent="0.2">
      <c r="B36960" t="s">
        <v>1</v>
      </c>
    </row>
    <row r="36961" spans="1:4" x14ac:dyDescent="0.2">
      <c r="B36961" t="s">
        <v>8</v>
      </c>
    </row>
    <row r="36963" spans="1:4" x14ac:dyDescent="0.2">
      <c r="A36963" t="s">
        <v>11950</v>
      </c>
      <c r="B36963" t="str">
        <f>HYPERLINK("https://lindat.mff.cuni.cz/services/teitok/pdtc10/index.php?action=vallex&amp;frame=v-w4684hsa_161", "přečerpat (v-w4684hsa_161)")</f>
        <v>přečerpat (v-w4684hsa_161)</v>
      </c>
    </row>
    <row r="36964" spans="1:4" x14ac:dyDescent="0.2">
      <c r="B36964" t="s">
        <v>1</v>
      </c>
      <c r="C36964" t="s">
        <v>249</v>
      </c>
    </row>
    <row r="36965" spans="1:4" x14ac:dyDescent="0.2">
      <c r="B36965" t="s">
        <v>8</v>
      </c>
      <c r="C36965" t="s">
        <v>84</v>
      </c>
    </row>
    <row r="36966" spans="1:4" x14ac:dyDescent="0.2">
      <c r="B36966" t="s">
        <v>333</v>
      </c>
      <c r="C36966" t="s">
        <v>11951</v>
      </c>
    </row>
    <row r="36967" spans="1:4" x14ac:dyDescent="0.2">
      <c r="B36967" t="s">
        <v>90</v>
      </c>
    </row>
    <row r="36969" spans="1:4" x14ac:dyDescent="0.2">
      <c r="A36969" t="s">
        <v>11952</v>
      </c>
      <c r="B36969" t="str">
        <f>HYPERLINK("https://lindat.mff.cuni.cz/services/teitok/pdtc10/index.php?action=vallex&amp;frame=v-w4687f1", "přečistit (v-w4687f1)")</f>
        <v>přečistit (v-w4687f1)</v>
      </c>
    </row>
    <row r="36970" spans="1:4" x14ac:dyDescent="0.2">
      <c r="B36970" t="s">
        <v>1</v>
      </c>
      <c r="D36970" t="s">
        <v>80</v>
      </c>
    </row>
    <row r="36971" spans="1:4" x14ac:dyDescent="0.2">
      <c r="B36971" t="s">
        <v>8</v>
      </c>
      <c r="D36971" t="s">
        <v>23455</v>
      </c>
    </row>
    <row r="36973" spans="1:4" x14ac:dyDescent="0.2">
      <c r="A36973" t="s">
        <v>11953</v>
      </c>
      <c r="B36973" t="str">
        <f>HYPERLINK("https://lindat.mff.cuni.cz/services/teitok/pdtc10/index.php?action=vallex&amp;frame=v-w4689f1", "přečkat (v-w4689f1)")</f>
        <v>přečkat (v-w4689f1)</v>
      </c>
    </row>
    <row r="36974" spans="1:4" x14ac:dyDescent="0.2">
      <c r="B36974" t="s">
        <v>1</v>
      </c>
      <c r="C36974" t="s">
        <v>3292</v>
      </c>
      <c r="D36974" t="s">
        <v>23968</v>
      </c>
    </row>
    <row r="36975" spans="1:4" x14ac:dyDescent="0.2">
      <c r="B36975" t="s">
        <v>8</v>
      </c>
      <c r="C36975" t="s">
        <v>11954</v>
      </c>
      <c r="D36975" t="s">
        <v>23969</v>
      </c>
    </row>
    <row r="36977" spans="1:4" x14ac:dyDescent="0.2">
      <c r="A36977" t="s">
        <v>11955</v>
      </c>
      <c r="B36977" t="str">
        <f>HYPERLINK("https://lindat.mff.cuni.cz/services/teitok/pdtc10/index.php?action=vallex&amp;frame=v-whsa_337hsa_338", "přečkávat (v-whsa_337hsa_338)")</f>
        <v>přečkávat (v-whsa_337hsa_338)</v>
      </c>
    </row>
    <row r="36978" spans="1:4" x14ac:dyDescent="0.2">
      <c r="B36978" t="s">
        <v>1</v>
      </c>
      <c r="C36978" t="s">
        <v>133</v>
      </c>
      <c r="D36978" t="s">
        <v>23968</v>
      </c>
    </row>
    <row r="36979" spans="1:4" x14ac:dyDescent="0.2">
      <c r="B36979" t="s">
        <v>8</v>
      </c>
      <c r="C36979" t="s">
        <v>1128</v>
      </c>
      <c r="D36979" t="s">
        <v>23969</v>
      </c>
    </row>
    <row r="36981" spans="1:4" x14ac:dyDescent="0.2">
      <c r="A36981" t="s">
        <v>11956</v>
      </c>
      <c r="B36981" t="str">
        <f>HYPERLINK("https://lindat.mff.cuni.cz/services/teitok/pdtc10/index.php?action=vallex&amp;frame=v-w11096f2", "přečíslit (v-w11096f2)")</f>
        <v>přečíslit (v-w11096f2)</v>
      </c>
    </row>
    <row r="36982" spans="1:4" x14ac:dyDescent="0.2">
      <c r="B36982" t="s">
        <v>1</v>
      </c>
    </row>
    <row r="36983" spans="1:4" x14ac:dyDescent="0.2">
      <c r="B36983" t="s">
        <v>8</v>
      </c>
    </row>
    <row r="36985" spans="1:4" x14ac:dyDescent="0.2">
      <c r="A36985" t="s">
        <v>11957</v>
      </c>
      <c r="B36985" t="str">
        <f>HYPERLINK("https://lindat.mff.cuni.cz/services/teitok/pdtc10/index.php?action=vallex&amp;frame=v-w4685f1", "přečíslovat (v-w4685f1)")</f>
        <v>přečíslovat (v-w4685f1)</v>
      </c>
    </row>
    <row r="36986" spans="1:4" x14ac:dyDescent="0.2">
      <c r="B36986" t="s">
        <v>1</v>
      </c>
    </row>
    <row r="36987" spans="1:4" x14ac:dyDescent="0.2">
      <c r="B36987" t="s">
        <v>8</v>
      </c>
    </row>
    <row r="36989" spans="1:4" x14ac:dyDescent="0.2">
      <c r="A36989" t="s">
        <v>11958</v>
      </c>
      <c r="B36989" t="str">
        <f>HYPERLINK("https://lindat.mff.cuni.cz/services/teitok/pdtc10/index.php?action=vallex&amp;frame=v-w4686f2", "přečíst (v-w4686f2)")</f>
        <v>přečíst (v-w4686f2)</v>
      </c>
    </row>
    <row r="36990" spans="1:4" x14ac:dyDescent="0.2">
      <c r="B36990" t="s">
        <v>1</v>
      </c>
      <c r="C36990" t="s">
        <v>11959</v>
      </c>
      <c r="D36990" t="s">
        <v>12452</v>
      </c>
    </row>
    <row r="36991" spans="1:4" x14ac:dyDescent="0.2">
      <c r="B36991" t="s">
        <v>8</v>
      </c>
      <c r="C36991" t="s">
        <v>11960</v>
      </c>
      <c r="D36991" t="s">
        <v>24044</v>
      </c>
    </row>
    <row r="36992" spans="1:4" x14ac:dyDescent="0.2">
      <c r="B36992" t="s">
        <v>78</v>
      </c>
      <c r="C36992" t="s">
        <v>987</v>
      </c>
    </row>
    <row r="36994" spans="1:4" x14ac:dyDescent="0.2">
      <c r="A36994" t="s">
        <v>11961</v>
      </c>
      <c r="B36994" t="str">
        <f>HYPERLINK("https://lindat.mff.cuni.cz/services/teitok/pdtc10/index.php?action=vallex&amp;frame=v-w4686f3", "přečíst (v-w4686f3)")</f>
        <v>přečíst (v-w4686f3)</v>
      </c>
    </row>
    <row r="36995" spans="1:4" x14ac:dyDescent="0.2">
      <c r="B36995" t="s">
        <v>1</v>
      </c>
    </row>
    <row r="36996" spans="1:4" x14ac:dyDescent="0.2">
      <c r="B36996" t="s">
        <v>183</v>
      </c>
    </row>
    <row r="36997" spans="1:4" x14ac:dyDescent="0.2">
      <c r="B36997" t="s">
        <v>78</v>
      </c>
    </row>
    <row r="36999" spans="1:4" x14ac:dyDescent="0.2">
      <c r="A36999" t="s">
        <v>11962</v>
      </c>
      <c r="B36999" t="str">
        <f>HYPERLINK("https://lindat.mff.cuni.cz/services/teitok/pdtc10/index.php?action=vallex&amp;frame=v-w4686f4", "přečíst (v-w4686f4)")</f>
        <v>přečíst (v-w4686f4)</v>
      </c>
    </row>
    <row r="37000" spans="1:4" x14ac:dyDescent="0.2">
      <c r="B37000" t="s">
        <v>1</v>
      </c>
    </row>
    <row r="37001" spans="1:4" x14ac:dyDescent="0.2">
      <c r="B37001" t="s">
        <v>8</v>
      </c>
    </row>
    <row r="37003" spans="1:4" x14ac:dyDescent="0.2">
      <c r="A37003" t="s">
        <v>11963</v>
      </c>
      <c r="B37003" t="str">
        <f>HYPERLINK("https://lindat.mff.cuni.cz/services/teitok/pdtc10/index.php?action=vallex&amp;frame=v-w4686f1", "přečíst (v-w4686f1)")</f>
        <v>přečíst (v-w4686f1)</v>
      </c>
    </row>
    <row r="37004" spans="1:4" x14ac:dyDescent="0.2">
      <c r="B37004" t="s">
        <v>1</v>
      </c>
      <c r="C37004" t="s">
        <v>2237</v>
      </c>
      <c r="D37004" t="s">
        <v>306</v>
      </c>
    </row>
    <row r="37005" spans="1:4" x14ac:dyDescent="0.2">
      <c r="B37005" t="s">
        <v>11405</v>
      </c>
      <c r="C37005" t="s">
        <v>2276</v>
      </c>
      <c r="D37005" t="s">
        <v>24009</v>
      </c>
    </row>
    <row r="37006" spans="1:4" x14ac:dyDescent="0.2">
      <c r="B37006" t="s">
        <v>269</v>
      </c>
      <c r="D37006" t="s">
        <v>24010</v>
      </c>
    </row>
    <row r="37007" spans="1:4" x14ac:dyDescent="0.2">
      <c r="B37007" t="s">
        <v>78</v>
      </c>
      <c r="C37007" t="s">
        <v>987</v>
      </c>
      <c r="D37007" t="s">
        <v>987</v>
      </c>
    </row>
    <row r="37009" spans="1:4" x14ac:dyDescent="0.2">
      <c r="A37009" t="s">
        <v>11964</v>
      </c>
      <c r="B37009" t="str">
        <f>HYPERLINK("https://lindat.mff.cuni.cz/services/teitok/pdtc10/index.php?action=vallex&amp;frame=v-w4951f2_ZU", "přeřadit (v-w4951f2_ZU)")</f>
        <v>přeřadit (v-w4951f2_ZU)</v>
      </c>
    </row>
    <row r="37010" spans="1:4" x14ac:dyDescent="0.2">
      <c r="B37010" t="s">
        <v>1</v>
      </c>
      <c r="C37010" t="s">
        <v>10645</v>
      </c>
    </row>
    <row r="37011" spans="1:4" x14ac:dyDescent="0.2">
      <c r="B37011" t="s">
        <v>220</v>
      </c>
    </row>
    <row r="37012" spans="1:4" x14ac:dyDescent="0.2">
      <c r="B37012" t="s">
        <v>24</v>
      </c>
    </row>
    <row r="37013" spans="1:4" x14ac:dyDescent="0.2">
      <c r="B37013" t="s">
        <v>61</v>
      </c>
    </row>
    <row r="37015" spans="1:4" x14ac:dyDescent="0.2">
      <c r="A37015" t="s">
        <v>11965</v>
      </c>
      <c r="B37015" t="str">
        <f>HYPERLINK("https://lindat.mff.cuni.cz/services/teitok/pdtc10/index.php?action=vallex&amp;frame=v-w4951f1", "přeřadit (v-w4951f1)")</f>
        <v>přeřadit (v-w4951f1)</v>
      </c>
    </row>
    <row r="37016" spans="1:4" x14ac:dyDescent="0.2">
      <c r="B37016" t="s">
        <v>1</v>
      </c>
      <c r="C37016" t="s">
        <v>1566</v>
      </c>
      <c r="D37016" t="s">
        <v>3580</v>
      </c>
    </row>
    <row r="37017" spans="1:4" x14ac:dyDescent="0.2">
      <c r="B37017" t="s">
        <v>8</v>
      </c>
      <c r="C37017" t="s">
        <v>977</v>
      </c>
      <c r="D37017" t="s">
        <v>23652</v>
      </c>
    </row>
    <row r="37018" spans="1:4" x14ac:dyDescent="0.2">
      <c r="B37018" t="s">
        <v>333</v>
      </c>
    </row>
    <row r="37019" spans="1:4" x14ac:dyDescent="0.2">
      <c r="B37019" t="s">
        <v>90</v>
      </c>
      <c r="C37019" t="s">
        <v>11579</v>
      </c>
      <c r="D37019" t="s">
        <v>23853</v>
      </c>
    </row>
    <row r="37021" spans="1:4" x14ac:dyDescent="0.2">
      <c r="A37021" t="s">
        <v>11966</v>
      </c>
      <c r="B37021" t="str">
        <f>HYPERLINK("https://lindat.mff.cuni.cz/services/teitok/pdtc10/index.php?action=vallex&amp;frame=v-w10710f2", "přeřazovat (v-w10710f2)")</f>
        <v>přeřazovat (v-w10710f2)</v>
      </c>
    </row>
    <row r="37022" spans="1:4" x14ac:dyDescent="0.2">
      <c r="B37022" t="s">
        <v>1</v>
      </c>
    </row>
    <row r="37023" spans="1:4" x14ac:dyDescent="0.2">
      <c r="B37023" t="s">
        <v>28</v>
      </c>
    </row>
    <row r="37025" spans="1:2" x14ac:dyDescent="0.2">
      <c r="A37025" t="s">
        <v>11967</v>
      </c>
      <c r="B37025" t="str">
        <f>HYPERLINK("https://lindat.mff.cuni.cz/services/teitok/pdtc10/index.php?action=vallex&amp;frame=v-w10710f3_ZU", "přeřazovat (v-w10710f3_ZU)")</f>
        <v>přeřazovat (v-w10710f3_ZU)</v>
      </c>
    </row>
    <row r="37026" spans="1:2" x14ac:dyDescent="0.2">
      <c r="B37026" t="s">
        <v>1</v>
      </c>
    </row>
    <row r="37027" spans="1:2" x14ac:dyDescent="0.2">
      <c r="B37027" t="s">
        <v>8</v>
      </c>
    </row>
    <row r="37028" spans="1:2" x14ac:dyDescent="0.2">
      <c r="B37028" t="s">
        <v>4622</v>
      </c>
    </row>
    <row r="37029" spans="1:2" x14ac:dyDescent="0.2">
      <c r="B37029" t="s">
        <v>252</v>
      </c>
    </row>
    <row r="37031" spans="1:2" x14ac:dyDescent="0.2">
      <c r="A37031" t="s">
        <v>11968</v>
      </c>
      <c r="B37031" t="str">
        <f>HYPERLINK("https://lindat.mff.cuni.cz/services/teitok/pdtc10/index.php?action=vallex&amp;frame=v-whsa_554hsa_555", "přeřeknout se (v-whsa_554hsa_555)")</f>
        <v>přeřeknout se (v-whsa_554hsa_555)</v>
      </c>
    </row>
    <row r="37032" spans="1:2" x14ac:dyDescent="0.2">
      <c r="B37032" t="s">
        <v>1</v>
      </c>
    </row>
    <row r="37034" spans="1:2" x14ac:dyDescent="0.2">
      <c r="A37034" t="s">
        <v>11969</v>
      </c>
      <c r="B37034" t="str">
        <f>HYPERLINK("https://lindat.mff.cuni.cz/services/teitok/pdtc10/index.php?action=vallex&amp;frame=v-w10748f3", "přeříznout (v-w10748f3)")</f>
        <v>přeříznout (v-w10748f3)</v>
      </c>
    </row>
    <row r="37035" spans="1:2" x14ac:dyDescent="0.2">
      <c r="B37035" t="s">
        <v>1</v>
      </c>
    </row>
    <row r="37036" spans="1:2" x14ac:dyDescent="0.2">
      <c r="B37036" t="s">
        <v>8</v>
      </c>
    </row>
    <row r="37037" spans="1:2" x14ac:dyDescent="0.2">
      <c r="B37037" t="s">
        <v>2334</v>
      </c>
    </row>
    <row r="37039" spans="1:2" x14ac:dyDescent="0.2">
      <c r="A37039" t="s">
        <v>11970</v>
      </c>
      <c r="B37039" t="str">
        <f>HYPERLINK("https://lindat.mff.cuni.cz/services/teitok/pdtc10/index.php?action=vallex&amp;frame=v-whsa_894hsa_895", "přešetřovat (v-whsa_894hsa_895)")</f>
        <v>přešetřovat (v-whsa_894hsa_895)</v>
      </c>
    </row>
    <row r="37040" spans="1:2" x14ac:dyDescent="0.2">
      <c r="B37040" t="s">
        <v>1</v>
      </c>
    </row>
    <row r="37041" spans="1:4" x14ac:dyDescent="0.2">
      <c r="B37041" t="s">
        <v>8</v>
      </c>
    </row>
    <row r="37043" spans="1:4" x14ac:dyDescent="0.2">
      <c r="A37043" t="s">
        <v>11971</v>
      </c>
      <c r="B37043" t="str">
        <f>HYPERLINK("https://lindat.mff.cuni.cz/services/teitok/pdtc10/index.php?action=vallex&amp;frame=v-w5000f1", "přeškolit (v-w5000f1)")</f>
        <v>přeškolit (v-w5000f1)</v>
      </c>
    </row>
    <row r="37044" spans="1:4" x14ac:dyDescent="0.2">
      <c r="B37044" t="s">
        <v>1</v>
      </c>
    </row>
    <row r="37045" spans="1:4" x14ac:dyDescent="0.2">
      <c r="B37045" t="s">
        <v>8</v>
      </c>
    </row>
    <row r="37046" spans="1:4" x14ac:dyDescent="0.2">
      <c r="B37046" t="s">
        <v>61</v>
      </c>
    </row>
    <row r="37048" spans="1:4" x14ac:dyDescent="0.2">
      <c r="A37048" t="s">
        <v>11972</v>
      </c>
      <c r="B37048" t="str">
        <f>HYPERLINK("https://lindat.mff.cuni.cz/services/teitok/pdtc10/index.php?action=vallex&amp;frame=v-w12065_ZUf1_ZU", "přeškolovat (v-w12065_ZUf1_ZU)")</f>
        <v>přeškolovat (v-w12065_ZUf1_ZU)</v>
      </c>
    </row>
    <row r="37049" spans="1:4" x14ac:dyDescent="0.2">
      <c r="B37049" t="s">
        <v>1</v>
      </c>
    </row>
    <row r="37050" spans="1:4" x14ac:dyDescent="0.2">
      <c r="B37050" t="s">
        <v>8</v>
      </c>
    </row>
    <row r="37051" spans="1:4" x14ac:dyDescent="0.2">
      <c r="B37051" t="s">
        <v>24</v>
      </c>
    </row>
    <row r="37052" spans="1:4" x14ac:dyDescent="0.2">
      <c r="B37052" t="s">
        <v>61</v>
      </c>
    </row>
    <row r="37054" spans="1:4" x14ac:dyDescent="0.2">
      <c r="A37054" t="s">
        <v>11973</v>
      </c>
      <c r="B37054" t="str">
        <f>HYPERLINK("https://lindat.mff.cuni.cz/services/teitok/pdtc10/index.php?action=vallex&amp;frame=v-whsa_306hsa_307", "přeškrtnout (v-whsa_306hsa_307)")</f>
        <v>přeškrtnout (v-whsa_306hsa_307)</v>
      </c>
    </row>
    <row r="37055" spans="1:4" x14ac:dyDescent="0.2">
      <c r="B37055" t="s">
        <v>1</v>
      </c>
      <c r="C37055" t="s">
        <v>140</v>
      </c>
      <c r="D37055" t="s">
        <v>373</v>
      </c>
    </row>
    <row r="37056" spans="1:4" x14ac:dyDescent="0.2">
      <c r="B37056" t="s">
        <v>8</v>
      </c>
      <c r="C37056" t="s">
        <v>34</v>
      </c>
      <c r="D37056" t="s">
        <v>23339</v>
      </c>
    </row>
    <row r="37058" spans="1:3" x14ac:dyDescent="0.2">
      <c r="A37058" t="s">
        <v>11974</v>
      </c>
      <c r="B37058" t="str">
        <f>HYPERLINK("https://lindat.mff.cuni.cz/services/teitok/pdtc10/index.php?action=vallex&amp;frame=v-w5001f1", "přešlapovat (v-w5001f1)")</f>
        <v>přešlapovat (v-w5001f1)</v>
      </c>
    </row>
    <row r="37059" spans="1:3" x14ac:dyDescent="0.2">
      <c r="B37059" t="s">
        <v>1</v>
      </c>
    </row>
    <row r="37060" spans="1:3" x14ac:dyDescent="0.2">
      <c r="B37060" t="s">
        <v>8</v>
      </c>
    </row>
    <row r="37062" spans="1:3" x14ac:dyDescent="0.2">
      <c r="A37062" t="s">
        <v>11975</v>
      </c>
      <c r="B37062" t="str">
        <f>HYPERLINK("https://lindat.mff.cuni.cz/services/teitok/pdtc10/index.php?action=vallex&amp;frame=v-w5001f2", "přešlapovat (v-w5001f2)")</f>
        <v>přešlapovat (v-w5001f2)</v>
      </c>
    </row>
    <row r="37063" spans="1:3" x14ac:dyDescent="0.2">
      <c r="B37063" t="s">
        <v>1</v>
      </c>
      <c r="C37063" t="s">
        <v>4529</v>
      </c>
    </row>
    <row r="37065" spans="1:3" x14ac:dyDescent="0.2">
      <c r="A37065" t="s">
        <v>11976</v>
      </c>
      <c r="B37065" t="str">
        <f>HYPERLINK("https://lindat.mff.cuni.cz/services/teitok/pdtc10/index.php?action=vallex&amp;frame=v-w12350_MMf1_MM", "přešoupnout (v-w12350_MMf1_MM)")</f>
        <v>přešoupnout (v-w12350_MMf1_MM)</v>
      </c>
    </row>
    <row r="37066" spans="1:3" x14ac:dyDescent="0.2">
      <c r="B37066" t="s">
        <v>1</v>
      </c>
    </row>
    <row r="37067" spans="1:3" x14ac:dyDescent="0.2">
      <c r="B37067" t="s">
        <v>8</v>
      </c>
    </row>
    <row r="37068" spans="1:3" x14ac:dyDescent="0.2">
      <c r="B37068" t="s">
        <v>333</v>
      </c>
    </row>
    <row r="37069" spans="1:3" x14ac:dyDescent="0.2">
      <c r="B37069" t="s">
        <v>90</v>
      </c>
    </row>
    <row r="37071" spans="1:3" x14ac:dyDescent="0.2">
      <c r="A37071" t="s">
        <v>11977</v>
      </c>
      <c r="B37071" t="str">
        <f>HYPERLINK("https://lindat.mff.cuni.cz/services/teitok/pdtc10/index.php?action=vallex&amp;frame=v-w12242_ZUf1_ZU", "přeštípat (v-w12242_ZUf1_ZU)")</f>
        <v>přeštípat (v-w12242_ZUf1_ZU)</v>
      </c>
    </row>
    <row r="37072" spans="1:3" x14ac:dyDescent="0.2">
      <c r="B37072" t="s">
        <v>1</v>
      </c>
    </row>
    <row r="37073" spans="1:2" x14ac:dyDescent="0.2">
      <c r="B37073" t="s">
        <v>8</v>
      </c>
    </row>
    <row r="37075" spans="1:2" x14ac:dyDescent="0.2">
      <c r="A37075" t="s">
        <v>11978</v>
      </c>
      <c r="B37075" t="str">
        <f>HYPERLINK("https://lindat.mff.cuni.cz/services/teitok/pdtc10/index.php?action=vallex&amp;frame=v-whsa_1401f1_ZU", "přešít (v-whsa_1401f1_ZU)")</f>
        <v>přešít (v-whsa_1401f1_ZU)</v>
      </c>
    </row>
    <row r="37076" spans="1:2" x14ac:dyDescent="0.2">
      <c r="B37076" t="s">
        <v>1</v>
      </c>
    </row>
    <row r="37077" spans="1:2" x14ac:dyDescent="0.2">
      <c r="B37077" t="s">
        <v>8</v>
      </c>
    </row>
    <row r="37078" spans="1:2" x14ac:dyDescent="0.2">
      <c r="B37078" t="s">
        <v>24</v>
      </c>
    </row>
    <row r="37079" spans="1:2" x14ac:dyDescent="0.2">
      <c r="B37079" t="s">
        <v>61</v>
      </c>
    </row>
    <row r="37081" spans="1:2" x14ac:dyDescent="0.2">
      <c r="A37081" t="s">
        <v>11978</v>
      </c>
      <c r="B37081" t="str">
        <f>HYPERLINK("https://lindat.mff.cuni.cz/services/teitok/pdtc10/index.php?action=vallex&amp;frame=v-whsa_1401hsa_1402", "přešít (v-whsa_1401hsa_1402) - substituted with v-whsa_1401f1_ZU")</f>
        <v>přešít (v-whsa_1401hsa_1402) - substituted with v-whsa_1401f1_ZU</v>
      </c>
    </row>
    <row r="37082" spans="1:2" x14ac:dyDescent="0.2">
      <c r="B37082" t="s">
        <v>1</v>
      </c>
    </row>
    <row r="37083" spans="1:2" x14ac:dyDescent="0.2">
      <c r="B37083" t="s">
        <v>8</v>
      </c>
    </row>
    <row r="37084" spans="1:2" x14ac:dyDescent="0.2">
      <c r="B37084" t="s">
        <v>24</v>
      </c>
    </row>
    <row r="37085" spans="1:2" x14ac:dyDescent="0.2">
      <c r="B37085" t="s">
        <v>61</v>
      </c>
    </row>
    <row r="37087" spans="1:2" x14ac:dyDescent="0.2">
      <c r="A37087" t="s">
        <v>11979</v>
      </c>
      <c r="B37087" t="str">
        <f>HYPERLINK("https://lindat.mff.cuni.cz/services/teitok/pdtc10/index.php?action=vallex&amp;frame=v-w11559_ZUf1_ZU", "přežvykovat (v-w11559_ZUf1_ZU)")</f>
        <v>přežvykovat (v-w11559_ZUf1_ZU)</v>
      </c>
    </row>
    <row r="37088" spans="1:2" x14ac:dyDescent="0.2">
      <c r="B37088" t="s">
        <v>1</v>
      </c>
    </row>
    <row r="37089" spans="1:4" x14ac:dyDescent="0.2">
      <c r="B37089" t="s">
        <v>8</v>
      </c>
    </row>
    <row r="37091" spans="1:4" x14ac:dyDescent="0.2">
      <c r="A37091" t="s">
        <v>11980</v>
      </c>
      <c r="B37091" t="str">
        <f>HYPERLINK("https://lindat.mff.cuni.cz/services/teitok/pdtc10/index.php?action=vallex&amp;frame=v-w5071f1", "přežít (v-w5071f1)")</f>
        <v>přežít (v-w5071f1)</v>
      </c>
    </row>
    <row r="37092" spans="1:4" x14ac:dyDescent="0.2">
      <c r="B37092" t="s">
        <v>1</v>
      </c>
      <c r="C37092" t="s">
        <v>294</v>
      </c>
      <c r="D37092" t="s">
        <v>23968</v>
      </c>
    </row>
    <row r="37093" spans="1:4" x14ac:dyDescent="0.2">
      <c r="B37093" t="s">
        <v>8</v>
      </c>
      <c r="C37093" t="s">
        <v>116</v>
      </c>
      <c r="D37093" t="s">
        <v>23969</v>
      </c>
    </row>
    <row r="37095" spans="1:4" x14ac:dyDescent="0.2">
      <c r="A37095" t="s">
        <v>11981</v>
      </c>
      <c r="B37095" t="str">
        <f>HYPERLINK("https://lindat.mff.cuni.cz/services/teitok/pdtc10/index.php?action=vallex&amp;frame=v-w5071f4_ZU", "přežít (v-w5071f4_ZU)")</f>
        <v>přežít (v-w5071f4_ZU)</v>
      </c>
    </row>
    <row r="37096" spans="1:4" x14ac:dyDescent="0.2">
      <c r="B37096" t="s">
        <v>1</v>
      </c>
    </row>
    <row r="37097" spans="1:4" x14ac:dyDescent="0.2">
      <c r="B37097" t="s">
        <v>172</v>
      </c>
    </row>
    <row r="37099" spans="1:4" x14ac:dyDescent="0.2">
      <c r="A37099" t="s">
        <v>11981</v>
      </c>
      <c r="B37099" t="str">
        <f>HYPERLINK("https://lindat.mff.cuni.cz/services/teitok/pdtc10/index.php?action=vallex&amp;frame=v-w5071f3", "přežít (v-w5071f3) - substituted with v-w5071f4_ZU")</f>
        <v>přežít (v-w5071f3) - substituted with v-w5071f4_ZU</v>
      </c>
    </row>
    <row r="37100" spans="1:4" x14ac:dyDescent="0.2">
      <c r="B37100" t="s">
        <v>1</v>
      </c>
      <c r="C37100" t="s">
        <v>115</v>
      </c>
      <c r="D37100" t="s">
        <v>23968</v>
      </c>
    </row>
    <row r="37101" spans="1:4" x14ac:dyDescent="0.2">
      <c r="B37101" t="s">
        <v>172</v>
      </c>
      <c r="C37101" t="s">
        <v>116</v>
      </c>
      <c r="D37101" t="s">
        <v>23969</v>
      </c>
    </row>
    <row r="37103" spans="1:4" x14ac:dyDescent="0.2">
      <c r="A37103" t="s">
        <v>11982</v>
      </c>
      <c r="B37103" t="str">
        <f>HYPERLINK("https://lindat.mff.cuni.cz/services/teitok/pdtc10/index.php?action=vallex&amp;frame=v-w5071f2", "přežít (v-w5071f2)")</f>
        <v>přežít (v-w5071f2)</v>
      </c>
    </row>
    <row r="37104" spans="1:4" x14ac:dyDescent="0.2">
      <c r="B37104" t="s">
        <v>1</v>
      </c>
      <c r="C37104" t="s">
        <v>11983</v>
      </c>
      <c r="D37104" t="s">
        <v>23968</v>
      </c>
    </row>
    <row r="37106" spans="1:4" x14ac:dyDescent="0.2">
      <c r="A37106" t="s">
        <v>11984</v>
      </c>
      <c r="B37106" t="str">
        <f>HYPERLINK("https://lindat.mff.cuni.cz/services/teitok/pdtc10/index.php?action=vallex&amp;frame=v-w5074f1", "přežít se (v-w5074f1)")</f>
        <v>přežít se (v-w5074f1)</v>
      </c>
    </row>
    <row r="37107" spans="1:4" x14ac:dyDescent="0.2">
      <c r="B37107" t="s">
        <v>1</v>
      </c>
    </row>
    <row r="37109" spans="1:4" x14ac:dyDescent="0.2">
      <c r="A37109" t="s">
        <v>11985</v>
      </c>
      <c r="B37109" t="str">
        <f>HYPERLINK("https://lindat.mff.cuni.cz/services/teitok/pdtc10/index.php?action=vallex&amp;frame=v-w5075f2", "přežívat (v-w5075f2)")</f>
        <v>přežívat (v-w5075f2)</v>
      </c>
    </row>
    <row r="37110" spans="1:4" x14ac:dyDescent="0.2">
      <c r="B37110" t="s">
        <v>1</v>
      </c>
      <c r="D37110" t="s">
        <v>23968</v>
      </c>
    </row>
    <row r="37111" spans="1:4" x14ac:dyDescent="0.2">
      <c r="B37111" t="s">
        <v>8</v>
      </c>
      <c r="D37111" t="s">
        <v>23969</v>
      </c>
    </row>
    <row r="37113" spans="1:4" x14ac:dyDescent="0.2">
      <c r="A37113" t="s">
        <v>11986</v>
      </c>
      <c r="B37113" t="str">
        <f>HYPERLINK("https://lindat.mff.cuni.cz/services/teitok/pdtc10/index.php?action=vallex&amp;frame=v-w5075f3", "přežívat (v-w5075f3)")</f>
        <v>přežívat (v-w5075f3)</v>
      </c>
    </row>
    <row r="37114" spans="1:4" x14ac:dyDescent="0.2">
      <c r="B37114" t="s">
        <v>1</v>
      </c>
      <c r="D37114" t="s">
        <v>23968</v>
      </c>
    </row>
    <row r="37115" spans="1:4" x14ac:dyDescent="0.2">
      <c r="B37115" t="s">
        <v>8</v>
      </c>
      <c r="D37115" t="s">
        <v>23969</v>
      </c>
    </row>
    <row r="37117" spans="1:4" x14ac:dyDescent="0.2">
      <c r="A37117" t="s">
        <v>11987</v>
      </c>
      <c r="B37117" t="str">
        <f>HYPERLINK("https://lindat.mff.cuni.cz/services/teitok/pdtc10/index.php?action=vallex&amp;frame=v-w5075f1", "přežívat (v-w5075f1)")</f>
        <v>přežívat (v-w5075f1)</v>
      </c>
    </row>
    <row r="37118" spans="1:4" x14ac:dyDescent="0.2">
      <c r="B37118" t="s">
        <v>1</v>
      </c>
      <c r="C37118" t="s">
        <v>186</v>
      </c>
      <c r="D37118" t="s">
        <v>23968</v>
      </c>
    </row>
    <row r="37120" spans="1:4" x14ac:dyDescent="0.2">
      <c r="A37120" t="s">
        <v>11988</v>
      </c>
      <c r="B37120" t="str">
        <f>HYPERLINK("https://lindat.mff.cuni.cz/services/teitok/pdtc10/index.php?action=vallex&amp;frame=v-whsa_1983hsa_1984", "přibalit (v-whsa_1983hsa_1984)")</f>
        <v>přibalit (v-whsa_1983hsa_1984)</v>
      </c>
    </row>
    <row r="37121" spans="1:2" x14ac:dyDescent="0.2">
      <c r="B37121" t="s">
        <v>1</v>
      </c>
    </row>
    <row r="37122" spans="1:2" x14ac:dyDescent="0.2">
      <c r="B37122" t="s">
        <v>8</v>
      </c>
    </row>
    <row r="37123" spans="1:2" x14ac:dyDescent="0.2">
      <c r="B37123" t="s">
        <v>90</v>
      </c>
    </row>
    <row r="37125" spans="1:2" x14ac:dyDescent="0.2">
      <c r="A37125" t="s">
        <v>11989</v>
      </c>
      <c r="B37125" t="str">
        <f>HYPERLINK("https://lindat.mff.cuni.cz/services/teitok/pdtc10/index.php?action=vallex&amp;frame=v-w10749f2", "přibarvovat (v-w10749f2)")</f>
        <v>přibarvovat (v-w10749f2)</v>
      </c>
    </row>
    <row r="37126" spans="1:2" x14ac:dyDescent="0.2">
      <c r="B37126" t="s">
        <v>1</v>
      </c>
    </row>
    <row r="37127" spans="1:2" x14ac:dyDescent="0.2">
      <c r="B37127" t="s">
        <v>8</v>
      </c>
    </row>
    <row r="37129" spans="1:2" x14ac:dyDescent="0.2">
      <c r="A37129" t="s">
        <v>11990</v>
      </c>
      <c r="B37129" t="str">
        <f>HYPERLINK("https://lindat.mff.cuni.cz/services/teitok/pdtc10/index.php?action=vallex&amp;frame=v-w5084f1", "přibližovat (v-w5084f1)")</f>
        <v>přibližovat (v-w5084f1)</v>
      </c>
    </row>
    <row r="37130" spans="1:2" x14ac:dyDescent="0.2">
      <c r="B37130" t="s">
        <v>1</v>
      </c>
    </row>
    <row r="37131" spans="1:2" x14ac:dyDescent="0.2">
      <c r="B37131" t="s">
        <v>8</v>
      </c>
    </row>
    <row r="37132" spans="1:2" x14ac:dyDescent="0.2">
      <c r="B37132" t="s">
        <v>35</v>
      </c>
    </row>
    <row r="37134" spans="1:2" x14ac:dyDescent="0.2">
      <c r="A37134" t="s">
        <v>11991</v>
      </c>
      <c r="B37134" t="str">
        <f>HYPERLINK("https://lindat.mff.cuni.cz/services/teitok/pdtc10/index.php?action=vallex&amp;frame=v-w5084f3", "přibližovat (v-w5084f3)")</f>
        <v>přibližovat (v-w5084f3)</v>
      </c>
    </row>
    <row r="37135" spans="1:2" x14ac:dyDescent="0.2">
      <c r="B37135" t="s">
        <v>1</v>
      </c>
    </row>
    <row r="37136" spans="1:2" x14ac:dyDescent="0.2">
      <c r="B37136" t="s">
        <v>8</v>
      </c>
    </row>
    <row r="37137" spans="1:4" x14ac:dyDescent="0.2">
      <c r="B37137" t="s">
        <v>11992</v>
      </c>
    </row>
    <row r="37139" spans="1:4" x14ac:dyDescent="0.2">
      <c r="A37139" t="s">
        <v>11993</v>
      </c>
      <c r="B37139" t="str">
        <f>HYPERLINK("https://lindat.mff.cuni.cz/services/teitok/pdtc10/index.php?action=vallex&amp;frame=v-w5084f2", "přibližovat (v-w5084f2)")</f>
        <v>přibližovat (v-w5084f2)</v>
      </c>
    </row>
    <row r="37140" spans="1:4" x14ac:dyDescent="0.2">
      <c r="B37140" t="s">
        <v>1</v>
      </c>
    </row>
    <row r="37141" spans="1:4" x14ac:dyDescent="0.2">
      <c r="B37141" t="s">
        <v>8</v>
      </c>
    </row>
    <row r="37142" spans="1:4" x14ac:dyDescent="0.2">
      <c r="B37142" t="s">
        <v>90</v>
      </c>
    </row>
    <row r="37144" spans="1:4" x14ac:dyDescent="0.2">
      <c r="A37144" t="s">
        <v>11994</v>
      </c>
      <c r="B37144" t="str">
        <f>HYPERLINK("https://lindat.mff.cuni.cz/services/teitok/pdtc10/index.php?action=vallex&amp;frame=v-w5085f3", "přibližovat se (v-w5085f3)")</f>
        <v>přibližovat se (v-w5085f3)</v>
      </c>
    </row>
    <row r="37145" spans="1:4" x14ac:dyDescent="0.2">
      <c r="B37145" t="s">
        <v>1</v>
      </c>
      <c r="C37145" t="s">
        <v>201</v>
      </c>
      <c r="D37145" t="s">
        <v>22984</v>
      </c>
    </row>
    <row r="37146" spans="1:4" x14ac:dyDescent="0.2">
      <c r="B37146" t="s">
        <v>198</v>
      </c>
      <c r="C37146" t="s">
        <v>202</v>
      </c>
      <c r="D37146" t="s">
        <v>22985</v>
      </c>
    </row>
    <row r="37148" spans="1:4" x14ac:dyDescent="0.2">
      <c r="A37148" t="s">
        <v>11995</v>
      </c>
      <c r="B37148" t="str">
        <f>HYPERLINK("https://lindat.mff.cuni.cz/services/teitok/pdtc10/index.php?action=vallex&amp;frame=v-w5085f1", "přibližovat se (v-w5085f1)")</f>
        <v>přibližovat se (v-w5085f1)</v>
      </c>
    </row>
    <row r="37149" spans="1:4" x14ac:dyDescent="0.2">
      <c r="B37149" t="s">
        <v>1</v>
      </c>
      <c r="D37149" t="s">
        <v>22984</v>
      </c>
    </row>
    <row r="37150" spans="1:4" x14ac:dyDescent="0.2">
      <c r="B37150" t="s">
        <v>103</v>
      </c>
      <c r="D37150" t="s">
        <v>22985</v>
      </c>
    </row>
    <row r="37152" spans="1:4" x14ac:dyDescent="0.2">
      <c r="A37152" t="s">
        <v>11996</v>
      </c>
      <c r="B37152" t="str">
        <f>HYPERLINK("https://lindat.mff.cuni.cz/services/teitok/pdtc10/index.php?action=vallex&amp;frame=v-w5085f2", "přibližovat se (v-w5085f2)")</f>
        <v>přibližovat se (v-w5085f2)</v>
      </c>
    </row>
    <row r="37153" spans="1:4" x14ac:dyDescent="0.2">
      <c r="B37153" t="s">
        <v>1</v>
      </c>
      <c r="C37153" t="s">
        <v>3303</v>
      </c>
      <c r="D37153" t="s">
        <v>22987</v>
      </c>
    </row>
    <row r="37154" spans="1:4" x14ac:dyDescent="0.2">
      <c r="B37154" t="s">
        <v>90</v>
      </c>
      <c r="D37154" t="s">
        <v>209</v>
      </c>
    </row>
    <row r="37156" spans="1:4" x14ac:dyDescent="0.2">
      <c r="A37156" t="s">
        <v>11997</v>
      </c>
      <c r="B37156" t="str">
        <f>HYPERLINK("https://lindat.mff.cuni.cz/services/teitok/pdtc10/index.php?action=vallex&amp;frame=v-w5085f4", "přibližovat se (v-w5085f4)")</f>
        <v>přibližovat se (v-w5085f4)</v>
      </c>
    </row>
    <row r="37157" spans="1:4" x14ac:dyDescent="0.2">
      <c r="B37157" t="s">
        <v>1</v>
      </c>
    </row>
    <row r="37159" spans="1:4" x14ac:dyDescent="0.2">
      <c r="A37159" t="s">
        <v>11998</v>
      </c>
      <c r="B37159" t="str">
        <f>HYPERLINK("https://lindat.mff.cuni.cz/services/teitok/pdtc10/index.php?action=vallex&amp;frame=v-w5080f1", "přiblížit (v-w5080f1)")</f>
        <v>přiblížit (v-w5080f1)</v>
      </c>
    </row>
    <row r="37160" spans="1:4" x14ac:dyDescent="0.2">
      <c r="B37160" t="s">
        <v>1</v>
      </c>
      <c r="D37160" t="s">
        <v>370</v>
      </c>
    </row>
    <row r="37161" spans="1:4" x14ac:dyDescent="0.2">
      <c r="B37161" t="s">
        <v>8</v>
      </c>
      <c r="C37161" t="s">
        <v>113</v>
      </c>
      <c r="D37161" t="s">
        <v>338</v>
      </c>
    </row>
    <row r="37162" spans="1:4" x14ac:dyDescent="0.2">
      <c r="B37162" t="s">
        <v>35</v>
      </c>
      <c r="D37162" t="s">
        <v>23792</v>
      </c>
    </row>
    <row r="37164" spans="1:4" x14ac:dyDescent="0.2">
      <c r="A37164" t="s">
        <v>11999</v>
      </c>
      <c r="B37164" t="str">
        <f>HYPERLINK("https://lindat.mff.cuni.cz/services/teitok/pdtc10/index.php?action=vallex&amp;frame=v-w5080f2", "přiblížit (v-w5080f2)")</f>
        <v>přiblížit (v-w5080f2)</v>
      </c>
    </row>
    <row r="37165" spans="1:4" x14ac:dyDescent="0.2">
      <c r="B37165" t="s">
        <v>1</v>
      </c>
      <c r="C37165" t="s">
        <v>1275</v>
      </c>
    </row>
    <row r="37166" spans="1:4" x14ac:dyDescent="0.2">
      <c r="B37166" t="s">
        <v>8</v>
      </c>
      <c r="C37166" t="s">
        <v>12000</v>
      </c>
    </row>
    <row r="37167" spans="1:4" x14ac:dyDescent="0.2">
      <c r="B37167" t="s">
        <v>11992</v>
      </c>
      <c r="C37167" t="s">
        <v>26</v>
      </c>
    </row>
    <row r="37169" spans="1:4" x14ac:dyDescent="0.2">
      <c r="A37169" t="s">
        <v>12001</v>
      </c>
      <c r="B37169" t="str">
        <f>HYPERLINK("https://lindat.mff.cuni.cz/services/teitok/pdtc10/index.php?action=vallex&amp;frame=v-w5080f3", "přiblížit (v-w5080f3)")</f>
        <v>přiblížit (v-w5080f3)</v>
      </c>
    </row>
    <row r="37170" spans="1:4" x14ac:dyDescent="0.2">
      <c r="B37170" t="s">
        <v>1</v>
      </c>
    </row>
    <row r="37171" spans="1:4" x14ac:dyDescent="0.2">
      <c r="B37171" t="s">
        <v>8</v>
      </c>
    </row>
    <row r="37172" spans="1:4" x14ac:dyDescent="0.2">
      <c r="B37172" t="s">
        <v>90</v>
      </c>
    </row>
    <row r="37174" spans="1:4" x14ac:dyDescent="0.2">
      <c r="A37174" t="s">
        <v>12002</v>
      </c>
      <c r="B37174" t="str">
        <f>HYPERLINK("https://lindat.mff.cuni.cz/services/teitok/pdtc10/index.php?action=vallex&amp;frame=v-w5081f4", "přiblížit se (v-w5081f4)")</f>
        <v>přiblížit se (v-w5081f4)</v>
      </c>
    </row>
    <row r="37175" spans="1:4" x14ac:dyDescent="0.2">
      <c r="B37175" t="s">
        <v>1</v>
      </c>
      <c r="C37175" t="s">
        <v>4011</v>
      </c>
      <c r="D37175" t="s">
        <v>22984</v>
      </c>
    </row>
    <row r="37176" spans="1:4" x14ac:dyDescent="0.2">
      <c r="B37176" t="s">
        <v>198</v>
      </c>
      <c r="D37176" t="s">
        <v>22985</v>
      </c>
    </row>
    <row r="37178" spans="1:4" x14ac:dyDescent="0.2">
      <c r="A37178" t="s">
        <v>12003</v>
      </c>
      <c r="B37178" t="str">
        <f>HYPERLINK("https://lindat.mff.cuni.cz/services/teitok/pdtc10/index.php?action=vallex&amp;frame=v-w5081f1", "přiblížit se (v-w5081f1)")</f>
        <v>přiblížit se (v-w5081f1)</v>
      </c>
    </row>
    <row r="37179" spans="1:4" x14ac:dyDescent="0.2">
      <c r="B37179" t="s">
        <v>1</v>
      </c>
      <c r="C37179" t="s">
        <v>4370</v>
      </c>
      <c r="D37179" t="s">
        <v>22984</v>
      </c>
    </row>
    <row r="37180" spans="1:4" x14ac:dyDescent="0.2">
      <c r="B37180" t="s">
        <v>103</v>
      </c>
      <c r="C37180" t="s">
        <v>4372</v>
      </c>
      <c r="D37180" t="s">
        <v>22985</v>
      </c>
    </row>
    <row r="37182" spans="1:4" x14ac:dyDescent="0.2">
      <c r="A37182" t="s">
        <v>12004</v>
      </c>
      <c r="B37182" t="str">
        <f>HYPERLINK("https://lindat.mff.cuni.cz/services/teitok/pdtc10/index.php?action=vallex&amp;frame=v-w5081f2", "přiblížit se (v-w5081f2)")</f>
        <v>přiblížit se (v-w5081f2)</v>
      </c>
    </row>
    <row r="37183" spans="1:4" x14ac:dyDescent="0.2">
      <c r="B37183" t="s">
        <v>1</v>
      </c>
      <c r="C37183" t="s">
        <v>1593</v>
      </c>
      <c r="D37183" t="s">
        <v>22987</v>
      </c>
    </row>
    <row r="37184" spans="1:4" x14ac:dyDescent="0.2">
      <c r="B37184" t="s">
        <v>90</v>
      </c>
      <c r="C37184" t="s">
        <v>209</v>
      </c>
      <c r="D37184" t="s">
        <v>209</v>
      </c>
    </row>
    <row r="37186" spans="1:4" x14ac:dyDescent="0.2">
      <c r="A37186" t="s">
        <v>12005</v>
      </c>
      <c r="B37186" t="str">
        <f>HYPERLINK("https://lindat.mff.cuni.cz/services/teitok/pdtc10/index.php?action=vallex&amp;frame=v-w5081f3", "přiblížit se (v-w5081f3)")</f>
        <v>přiblížit se (v-w5081f3)</v>
      </c>
    </row>
    <row r="37187" spans="1:4" x14ac:dyDescent="0.2">
      <c r="B37187" t="s">
        <v>1</v>
      </c>
    </row>
    <row r="37189" spans="1:4" x14ac:dyDescent="0.2">
      <c r="A37189" t="s">
        <v>12006</v>
      </c>
      <c r="B37189" t="str">
        <f>HYPERLINK("https://lindat.mff.cuni.cz/services/teitok/pdtc10/index.php?action=vallex&amp;frame=v-w5088f1", "přibrat (v-w5088f1)")</f>
        <v>přibrat (v-w5088f1)</v>
      </c>
    </row>
    <row r="37190" spans="1:4" x14ac:dyDescent="0.2">
      <c r="B37190" t="s">
        <v>1</v>
      </c>
      <c r="C37190" t="s">
        <v>12007</v>
      </c>
      <c r="D37190" t="s">
        <v>24045</v>
      </c>
    </row>
    <row r="37191" spans="1:4" x14ac:dyDescent="0.2">
      <c r="B37191" t="s">
        <v>8</v>
      </c>
      <c r="C37191" t="s">
        <v>9604</v>
      </c>
      <c r="D37191" t="s">
        <v>24046</v>
      </c>
    </row>
    <row r="37193" spans="1:4" x14ac:dyDescent="0.2">
      <c r="A37193" t="s">
        <v>12008</v>
      </c>
      <c r="B37193" t="str">
        <f>HYPERLINK("https://lindat.mff.cuni.cz/services/teitok/pdtc10/index.php?action=vallex&amp;frame=v-w5088f2_ZU", "přibrat (v-w5088f2_ZU)")</f>
        <v>přibrat (v-w5088f2_ZU)</v>
      </c>
    </row>
    <row r="37194" spans="1:4" x14ac:dyDescent="0.2">
      <c r="B37194" t="s">
        <v>1</v>
      </c>
    </row>
    <row r="37195" spans="1:4" x14ac:dyDescent="0.2">
      <c r="B37195" t="s">
        <v>12009</v>
      </c>
    </row>
    <row r="37197" spans="1:4" x14ac:dyDescent="0.2">
      <c r="A37197" t="s">
        <v>12010</v>
      </c>
      <c r="B37197" t="str">
        <f>HYPERLINK("https://lindat.mff.cuni.cz/services/teitok/pdtc10/index.php?action=vallex&amp;frame=v-w5090f1", "přibrzdit (v-w5090f1)")</f>
        <v>přibrzdit (v-w5090f1)</v>
      </c>
    </row>
    <row r="37198" spans="1:4" x14ac:dyDescent="0.2">
      <c r="B37198" t="s">
        <v>1</v>
      </c>
      <c r="C37198" t="s">
        <v>80</v>
      </c>
    </row>
    <row r="37199" spans="1:4" x14ac:dyDescent="0.2">
      <c r="B37199" t="s">
        <v>8</v>
      </c>
      <c r="C37199" t="s">
        <v>113</v>
      </c>
    </row>
    <row r="37201" spans="1:4" x14ac:dyDescent="0.2">
      <c r="A37201" t="s">
        <v>12011</v>
      </c>
      <c r="B37201" t="str">
        <f>HYPERLINK("https://lindat.mff.cuni.cz/services/teitok/pdtc10/index.php?action=vallex&amp;frame=v-w5090f2", "přibrzdit (v-w5090f2)")</f>
        <v>přibrzdit (v-w5090f2)</v>
      </c>
    </row>
    <row r="37202" spans="1:4" x14ac:dyDescent="0.2">
      <c r="B37202" t="s">
        <v>1</v>
      </c>
    </row>
    <row r="37203" spans="1:4" x14ac:dyDescent="0.2">
      <c r="B37203" t="s">
        <v>8</v>
      </c>
    </row>
    <row r="37205" spans="1:4" x14ac:dyDescent="0.2">
      <c r="A37205" t="s">
        <v>12012</v>
      </c>
      <c r="B37205" t="str">
        <f>HYPERLINK("https://lindat.mff.cuni.cz/services/teitok/pdtc10/index.php?action=vallex&amp;frame=v-w5090f3_ZU", "přibrzdit (v-w5090f3_ZU)")</f>
        <v>přibrzdit (v-w5090f3_ZU)</v>
      </c>
    </row>
    <row r="37206" spans="1:4" x14ac:dyDescent="0.2">
      <c r="B37206" t="s">
        <v>1</v>
      </c>
      <c r="C37206" t="s">
        <v>2172</v>
      </c>
      <c r="D37206" t="s">
        <v>2172</v>
      </c>
    </row>
    <row r="37207" spans="1:4" x14ac:dyDescent="0.2">
      <c r="B37207" t="s">
        <v>220</v>
      </c>
      <c r="D37207" t="s">
        <v>3308</v>
      </c>
    </row>
    <row r="37209" spans="1:4" x14ac:dyDescent="0.2">
      <c r="A37209" t="s">
        <v>12013</v>
      </c>
      <c r="B37209" t="str">
        <f>HYPERLINK("https://lindat.mff.cuni.cz/services/teitok/pdtc10/index.php?action=vallex&amp;frame=v-w5090f4_ZU", "přibrzdit (v-w5090f4_ZU)")</f>
        <v>přibrzdit (v-w5090f4_ZU)</v>
      </c>
    </row>
    <row r="37210" spans="1:4" x14ac:dyDescent="0.2">
      <c r="B37210" t="s">
        <v>1</v>
      </c>
    </row>
    <row r="37211" spans="1:4" x14ac:dyDescent="0.2">
      <c r="B37211" t="s">
        <v>438</v>
      </c>
    </row>
    <row r="37212" spans="1:4" x14ac:dyDescent="0.2">
      <c r="B37212" t="s">
        <v>61</v>
      </c>
    </row>
    <row r="37214" spans="1:4" x14ac:dyDescent="0.2">
      <c r="A37214" t="s">
        <v>12014</v>
      </c>
      <c r="B37214" t="str">
        <f>HYPERLINK("https://lindat.mff.cuni.cz/services/teitok/pdtc10/index.php?action=vallex&amp;frame=v-w10505f2", "přibíjet (v-w10505f2)")</f>
        <v>přibíjet (v-w10505f2)</v>
      </c>
    </row>
    <row r="37215" spans="1:4" x14ac:dyDescent="0.2">
      <c r="B37215" t="s">
        <v>1</v>
      </c>
    </row>
    <row r="37216" spans="1:4" x14ac:dyDescent="0.2">
      <c r="B37216" t="s">
        <v>8</v>
      </c>
    </row>
    <row r="37218" spans="1:2" x14ac:dyDescent="0.2">
      <c r="A37218" t="s">
        <v>12015</v>
      </c>
      <c r="B37218" t="str">
        <f>HYPERLINK("https://lindat.mff.cuni.cz/services/teitok/pdtc10/index.php?action=vallex&amp;frame=v-whsa_1052hsa_1053", "přibírat (v-whsa_1052hsa_1053)")</f>
        <v>přibírat (v-whsa_1052hsa_1053)</v>
      </c>
    </row>
    <row r="37219" spans="1:2" x14ac:dyDescent="0.2">
      <c r="B37219" t="s">
        <v>1</v>
      </c>
    </row>
    <row r="37220" spans="1:2" x14ac:dyDescent="0.2">
      <c r="B37220" t="s">
        <v>8</v>
      </c>
    </row>
    <row r="37222" spans="1:2" x14ac:dyDescent="0.2">
      <c r="A37222" t="s">
        <v>12016</v>
      </c>
      <c r="B37222" t="str">
        <f>HYPERLINK("https://lindat.mff.cuni.cz/services/teitok/pdtc10/index.php?action=vallex&amp;frame=v-w5077f1", "přibít (v-w5077f1)")</f>
        <v>přibít (v-w5077f1)</v>
      </c>
    </row>
    <row r="37223" spans="1:2" x14ac:dyDescent="0.2">
      <c r="B37223" t="s">
        <v>1</v>
      </c>
    </row>
    <row r="37224" spans="1:2" x14ac:dyDescent="0.2">
      <c r="B37224" t="s">
        <v>8</v>
      </c>
    </row>
    <row r="37226" spans="1:2" x14ac:dyDescent="0.2">
      <c r="A37226" t="s">
        <v>12017</v>
      </c>
      <c r="B37226" t="str">
        <f>HYPERLINK("https://lindat.mff.cuni.cz/services/teitok/pdtc10/index.php?action=vallex&amp;frame=v-w5092f3_MM", "přibýt (v-w5092f3_MM)")</f>
        <v>přibýt (v-w5092f3_MM)</v>
      </c>
    </row>
    <row r="37227" spans="1:2" x14ac:dyDescent="0.2">
      <c r="B37227" t="s">
        <v>12018</v>
      </c>
    </row>
    <row r="37228" spans="1:2" x14ac:dyDescent="0.2">
      <c r="B37228" t="s">
        <v>90</v>
      </c>
    </row>
    <row r="37230" spans="1:2" x14ac:dyDescent="0.2">
      <c r="A37230" t="s">
        <v>12017</v>
      </c>
      <c r="B37230" t="str">
        <f>HYPERLINK("https://lindat.mff.cuni.cz/services/teitok/pdtc10/index.php?action=vallex&amp;frame=v-w5092f2", "přibýt (v-w5092f2) - substituted with v-w5092f3_MM")</f>
        <v>přibýt (v-w5092f2) - substituted with v-w5092f3_MM</v>
      </c>
    </row>
    <row r="37231" spans="1:2" x14ac:dyDescent="0.2">
      <c r="B37231" t="s">
        <v>12018</v>
      </c>
    </row>
    <row r="37232" spans="1:2" x14ac:dyDescent="0.2">
      <c r="B37232" t="s">
        <v>90</v>
      </c>
    </row>
    <row r="37234" spans="1:3" x14ac:dyDescent="0.2">
      <c r="A37234" t="s">
        <v>12019</v>
      </c>
      <c r="B37234" t="str">
        <f>HYPERLINK("https://lindat.mff.cuni.cz/services/teitok/pdtc10/index.php?action=vallex&amp;frame=v-w5092f1", "přibýt (v-w5092f1)")</f>
        <v>přibýt (v-w5092f1)</v>
      </c>
    </row>
    <row r="37235" spans="1:3" x14ac:dyDescent="0.2">
      <c r="B37235" t="s">
        <v>2003</v>
      </c>
      <c r="C37235" t="s">
        <v>12020</v>
      </c>
    </row>
    <row r="37237" spans="1:3" x14ac:dyDescent="0.2">
      <c r="A37237" t="s">
        <v>12021</v>
      </c>
      <c r="B37237" t="str">
        <f>HYPERLINK("https://lindat.mff.cuni.cz/services/teitok/pdtc10/index.php?action=vallex&amp;frame=v-w5094f2", "přibývat (v-w5094f2)")</f>
        <v>přibývat (v-w5094f2)</v>
      </c>
    </row>
    <row r="37238" spans="1:3" x14ac:dyDescent="0.2">
      <c r="B37238" t="s">
        <v>12022</v>
      </c>
      <c r="C37238" t="s">
        <v>201</v>
      </c>
    </row>
    <row r="37239" spans="1:3" x14ac:dyDescent="0.2">
      <c r="B37239" t="s">
        <v>103</v>
      </c>
      <c r="C37239" t="s">
        <v>12023</v>
      </c>
    </row>
    <row r="37241" spans="1:3" x14ac:dyDescent="0.2">
      <c r="A37241" t="s">
        <v>12024</v>
      </c>
      <c r="B37241" t="str">
        <f>HYPERLINK("https://lindat.mff.cuni.cz/services/teitok/pdtc10/index.php?action=vallex&amp;frame=v-w5094f1", "přibývat (v-w5094f1)")</f>
        <v>přibývat (v-w5094f1)</v>
      </c>
    </row>
    <row r="37242" spans="1:3" x14ac:dyDescent="0.2">
      <c r="B37242" t="s">
        <v>2003</v>
      </c>
      <c r="C37242" t="s">
        <v>12025</v>
      </c>
    </row>
    <row r="37244" spans="1:3" x14ac:dyDescent="0.2">
      <c r="A37244" t="s">
        <v>12026</v>
      </c>
      <c r="B37244" t="str">
        <f>HYPERLINK("https://lindat.mff.cuni.cz/services/teitok/pdtc10/index.php?action=vallex&amp;frame=v-w5094f3_ZU", "přibývat (v-w5094f3_ZU)")</f>
        <v>přibývat (v-w5094f3_ZU)</v>
      </c>
    </row>
    <row r="37245" spans="1:3" x14ac:dyDescent="0.2">
      <c r="B37245" t="s">
        <v>1</v>
      </c>
    </row>
    <row r="37246" spans="1:3" x14ac:dyDescent="0.2">
      <c r="B37246" t="s">
        <v>161</v>
      </c>
    </row>
    <row r="37248" spans="1:3" x14ac:dyDescent="0.2">
      <c r="A37248" t="s">
        <v>12027</v>
      </c>
      <c r="B37248" t="str">
        <f>HYPERLINK("https://lindat.mff.cuni.cz/services/teitok/pdtc10/index.php?action=vallex&amp;frame=v-w11080f2", "přiběhnout (v-w11080f2)")</f>
        <v>přiběhnout (v-w11080f2)</v>
      </c>
    </row>
    <row r="37249" spans="1:3" x14ac:dyDescent="0.2">
      <c r="B37249" t="s">
        <v>1</v>
      </c>
      <c r="C37249" t="s">
        <v>12028</v>
      </c>
    </row>
    <row r="37250" spans="1:3" x14ac:dyDescent="0.2">
      <c r="B37250" t="s">
        <v>90</v>
      </c>
    </row>
    <row r="37252" spans="1:3" x14ac:dyDescent="0.2">
      <c r="A37252" t="s">
        <v>12029</v>
      </c>
      <c r="B37252" t="str">
        <f>HYPERLINK("https://lindat.mff.cuni.cz/services/teitok/pdtc10/index.php?action=vallex&amp;frame=v-w5095f1", "přicestovat (v-w5095f1)")</f>
        <v>přicestovat (v-w5095f1)</v>
      </c>
    </row>
    <row r="37253" spans="1:3" x14ac:dyDescent="0.2">
      <c r="B37253" t="s">
        <v>1</v>
      </c>
    </row>
    <row r="37254" spans="1:3" x14ac:dyDescent="0.2">
      <c r="B37254" t="s">
        <v>90</v>
      </c>
    </row>
    <row r="37256" spans="1:3" x14ac:dyDescent="0.2">
      <c r="A37256" t="s">
        <v>12030</v>
      </c>
      <c r="B37256" t="str">
        <f>HYPERLINK("https://lindat.mff.cuni.cz/services/teitok/pdtc10/index.php?action=vallex&amp;frame=v-w5146f2", "přichystat (v-w5146f2)")</f>
        <v>přichystat (v-w5146f2)</v>
      </c>
    </row>
    <row r="37257" spans="1:3" x14ac:dyDescent="0.2">
      <c r="B37257" t="s">
        <v>1</v>
      </c>
    </row>
    <row r="37258" spans="1:3" x14ac:dyDescent="0.2">
      <c r="B37258" t="s">
        <v>8</v>
      </c>
    </row>
    <row r="37259" spans="1:3" x14ac:dyDescent="0.2">
      <c r="B37259" t="s">
        <v>24</v>
      </c>
    </row>
    <row r="37261" spans="1:3" x14ac:dyDescent="0.2">
      <c r="A37261" t="s">
        <v>12031</v>
      </c>
      <c r="B37261" t="str">
        <f>HYPERLINK("https://lindat.mff.cuni.cz/services/teitok/pdtc10/index.php?action=vallex&amp;frame=v-w5146f3_ZU", "přichystat (v-w5146f3_ZU)")</f>
        <v>přichystat (v-w5146f3_ZU)</v>
      </c>
    </row>
    <row r="37262" spans="1:3" x14ac:dyDescent="0.2">
      <c r="B37262" t="s">
        <v>1</v>
      </c>
    </row>
    <row r="37263" spans="1:3" x14ac:dyDescent="0.2">
      <c r="B37263" t="s">
        <v>8</v>
      </c>
    </row>
    <row r="37265" spans="1:4" x14ac:dyDescent="0.2">
      <c r="A37265" t="s">
        <v>12031</v>
      </c>
      <c r="B37265" t="str">
        <f>HYPERLINK("https://lindat.mff.cuni.cz/services/teitok/pdtc10/index.php?action=vallex&amp;frame=v-w5146f1", "přichystat (v-w5146f1) - substituted with v-w5146f3_ZU")</f>
        <v>přichystat (v-w5146f1) - substituted with v-w5146f3_ZU</v>
      </c>
    </row>
    <row r="37266" spans="1:4" x14ac:dyDescent="0.2">
      <c r="B37266" t="s">
        <v>1</v>
      </c>
    </row>
    <row r="37267" spans="1:4" x14ac:dyDescent="0.2">
      <c r="B37267" t="s">
        <v>8</v>
      </c>
    </row>
    <row r="37269" spans="1:4" x14ac:dyDescent="0.2">
      <c r="A37269" t="s">
        <v>12032</v>
      </c>
      <c r="B37269" t="str">
        <f>HYPERLINK("https://lindat.mff.cuni.cz/services/teitok/pdtc10/index.php?action=vallex&amp;frame=v-w5147f1", "přichystat se (v-w5147f1)")</f>
        <v>přichystat se (v-w5147f1)</v>
      </c>
    </row>
    <row r="37270" spans="1:4" x14ac:dyDescent="0.2">
      <c r="B37270" t="s">
        <v>1</v>
      </c>
    </row>
    <row r="37271" spans="1:4" x14ac:dyDescent="0.2">
      <c r="B37271" t="s">
        <v>12033</v>
      </c>
    </row>
    <row r="37273" spans="1:4" x14ac:dyDescent="0.2">
      <c r="A37273" t="s">
        <v>12034</v>
      </c>
      <c r="B37273" t="str">
        <f>HYPERLINK("https://lindat.mff.cuni.cz/services/teitok/pdtc10/index.php?action=vallex&amp;frame=v-whsa_858hsa_859", "přichytávat se (v-whsa_858hsa_859)")</f>
        <v>přichytávat se (v-whsa_858hsa_859)</v>
      </c>
    </row>
    <row r="37274" spans="1:4" x14ac:dyDescent="0.2">
      <c r="B37274" t="s">
        <v>1</v>
      </c>
    </row>
    <row r="37275" spans="1:4" x14ac:dyDescent="0.2">
      <c r="B37275" t="s">
        <v>176</v>
      </c>
    </row>
    <row r="37277" spans="1:4" x14ac:dyDescent="0.2">
      <c r="A37277" t="s">
        <v>12035</v>
      </c>
      <c r="B37277" t="str">
        <f>HYPERLINK("https://lindat.mff.cuni.cz/services/teitok/pdtc10/index.php?action=vallex&amp;frame=v-w5143f17", "přicházet (v-w5143f17)")</f>
        <v>přicházet (v-w5143f17)</v>
      </c>
    </row>
    <row r="37278" spans="1:4" x14ac:dyDescent="0.2">
      <c r="B37278" t="s">
        <v>1</v>
      </c>
      <c r="D37278" t="s">
        <v>17822</v>
      </c>
    </row>
    <row r="37279" spans="1:4" x14ac:dyDescent="0.2">
      <c r="B37279" t="s">
        <v>28</v>
      </c>
      <c r="D37279" t="s">
        <v>17823</v>
      </c>
    </row>
    <row r="37280" spans="1:4" x14ac:dyDescent="0.2">
      <c r="B37280" t="s">
        <v>58</v>
      </c>
      <c r="D37280" t="s">
        <v>12216</v>
      </c>
    </row>
    <row r="37282" spans="1:4" x14ac:dyDescent="0.2">
      <c r="A37282" t="s">
        <v>12036</v>
      </c>
      <c r="B37282" t="str">
        <f>HYPERLINK("https://lindat.mff.cuni.cz/services/teitok/pdtc10/index.php?action=vallex&amp;frame=v-w5143f9", "přicházet (v-w5143f9)")</f>
        <v>přicházet (v-w5143f9)</v>
      </c>
    </row>
    <row r="37283" spans="1:4" x14ac:dyDescent="0.2">
      <c r="B37283" t="s">
        <v>1</v>
      </c>
    </row>
    <row r="37284" spans="1:4" x14ac:dyDescent="0.2">
      <c r="B37284" t="s">
        <v>176</v>
      </c>
    </row>
    <row r="37286" spans="1:4" x14ac:dyDescent="0.2">
      <c r="A37286" t="s">
        <v>12037</v>
      </c>
      <c r="B37286" t="str">
        <f>HYPERLINK("https://lindat.mff.cuni.cz/services/teitok/pdtc10/index.php?action=vallex&amp;frame=v-w5143f8", "přicházet (v-w5143f8)")</f>
        <v>přicházet (v-w5143f8)</v>
      </c>
    </row>
    <row r="37287" spans="1:4" x14ac:dyDescent="0.2">
      <c r="B37287" t="s">
        <v>1</v>
      </c>
      <c r="C37287" t="s">
        <v>2400</v>
      </c>
      <c r="D37287" t="s">
        <v>23513</v>
      </c>
    </row>
    <row r="37288" spans="1:4" x14ac:dyDescent="0.2">
      <c r="B37288" t="s">
        <v>28</v>
      </c>
      <c r="C37288" t="s">
        <v>2402</v>
      </c>
      <c r="D37288" t="s">
        <v>23514</v>
      </c>
    </row>
    <row r="37290" spans="1:4" x14ac:dyDescent="0.2">
      <c r="A37290" t="s">
        <v>12038</v>
      </c>
      <c r="B37290" t="str">
        <f>HYPERLINK("https://lindat.mff.cuni.cz/services/teitok/pdtc10/index.php?action=vallex&amp;frame=v-w5143f3", "přicházet (v-w5143f3)")</f>
        <v>přicházet (v-w5143f3)</v>
      </c>
    </row>
    <row r="37291" spans="1:4" x14ac:dyDescent="0.2">
      <c r="B37291" t="s">
        <v>1</v>
      </c>
      <c r="C37291" t="s">
        <v>12039</v>
      </c>
      <c r="D37291" t="s">
        <v>12039</v>
      </c>
    </row>
    <row r="37292" spans="1:4" x14ac:dyDescent="0.2">
      <c r="B37292" t="s">
        <v>467</v>
      </c>
      <c r="C37292" t="s">
        <v>7964</v>
      </c>
      <c r="D37292" t="s">
        <v>24047</v>
      </c>
    </row>
    <row r="37294" spans="1:4" x14ac:dyDescent="0.2">
      <c r="A37294" t="s">
        <v>12040</v>
      </c>
      <c r="B37294" t="str">
        <f>HYPERLINK("https://lindat.mff.cuni.cz/services/teitok/pdtc10/index.php?action=vallex&amp;frame=v-w5143f11", "přicházet (v-w5143f11)")</f>
        <v>přicházet (v-w5143f11)</v>
      </c>
    </row>
    <row r="37295" spans="1:4" x14ac:dyDescent="0.2">
      <c r="B37295" t="s">
        <v>1</v>
      </c>
      <c r="C37295" t="s">
        <v>12041</v>
      </c>
      <c r="D37295" t="s">
        <v>19497</v>
      </c>
    </row>
    <row r="37296" spans="1:4" x14ac:dyDescent="0.2">
      <c r="B37296" t="s">
        <v>183</v>
      </c>
      <c r="C37296" t="s">
        <v>12042</v>
      </c>
      <c r="D37296" t="s">
        <v>24048</v>
      </c>
    </row>
    <row r="37298" spans="1:4" x14ac:dyDescent="0.2">
      <c r="A37298" t="s">
        <v>12043</v>
      </c>
      <c r="B37298" t="str">
        <f>HYPERLINK("https://lindat.mff.cuni.cz/services/teitok/pdtc10/index.php?action=vallex&amp;frame=v-w5143f12", "přicházet (v-w5143f12)")</f>
        <v>přicházet (v-w5143f12)</v>
      </c>
    </row>
    <row r="37299" spans="1:4" x14ac:dyDescent="0.2">
      <c r="B37299" t="s">
        <v>1</v>
      </c>
      <c r="C37299" t="s">
        <v>12044</v>
      </c>
      <c r="D37299" t="s">
        <v>24049</v>
      </c>
    </row>
    <row r="37300" spans="1:4" x14ac:dyDescent="0.2">
      <c r="B37300" t="s">
        <v>411</v>
      </c>
      <c r="C37300" t="s">
        <v>9397</v>
      </c>
      <c r="D37300" t="s">
        <v>24050</v>
      </c>
    </row>
    <row r="37302" spans="1:4" x14ac:dyDescent="0.2">
      <c r="A37302" t="s">
        <v>12045</v>
      </c>
      <c r="B37302" t="str">
        <f>HYPERLINK("https://lindat.mff.cuni.cz/services/teitok/pdtc10/index.php?action=vallex&amp;frame=v-w5143f19_ZU", "přicházet (v-w5143f19_ZU)")</f>
        <v>přicházet (v-w5143f19_ZU)</v>
      </c>
    </row>
    <row r="37303" spans="1:4" x14ac:dyDescent="0.2">
      <c r="B37303" t="s">
        <v>1</v>
      </c>
      <c r="C37303" t="s">
        <v>12046</v>
      </c>
      <c r="D37303" t="s">
        <v>23789</v>
      </c>
    </row>
    <row r="37304" spans="1:4" x14ac:dyDescent="0.2">
      <c r="B37304" t="s">
        <v>1258</v>
      </c>
      <c r="D37304" t="s">
        <v>23790</v>
      </c>
    </row>
    <row r="37306" spans="1:4" x14ac:dyDescent="0.2">
      <c r="A37306" t="s">
        <v>12047</v>
      </c>
      <c r="B37306" t="str">
        <f>HYPERLINK("https://lindat.mff.cuni.cz/services/teitok/pdtc10/index.php?action=vallex&amp;frame=v-w5143f2", "přicházet (v-w5143f2)")</f>
        <v>přicházet (v-w5143f2)</v>
      </c>
    </row>
    <row r="37307" spans="1:4" x14ac:dyDescent="0.2">
      <c r="B37307" t="s">
        <v>1</v>
      </c>
      <c r="C37307" t="s">
        <v>12048</v>
      </c>
      <c r="D37307" t="s">
        <v>24051</v>
      </c>
    </row>
    <row r="37308" spans="1:4" x14ac:dyDescent="0.2">
      <c r="B37308" t="s">
        <v>90</v>
      </c>
      <c r="C37308" t="s">
        <v>12049</v>
      </c>
      <c r="D37308" t="s">
        <v>24052</v>
      </c>
    </row>
    <row r="37310" spans="1:4" x14ac:dyDescent="0.2">
      <c r="A37310" t="s">
        <v>12050</v>
      </c>
      <c r="B37310" t="str">
        <f>HYPERLINK("https://lindat.mff.cuni.cz/services/teitok/pdtc10/index.php?action=vallex&amp;frame=v-w5143f18_ZU", "přicházet (v-w5143f18_ZU)")</f>
        <v>přicházet (v-w5143f18_ZU)</v>
      </c>
    </row>
    <row r="37311" spans="1:4" x14ac:dyDescent="0.2">
      <c r="B37311" t="s">
        <v>1</v>
      </c>
      <c r="D37311" t="s">
        <v>23107</v>
      </c>
    </row>
    <row r="37312" spans="1:4" x14ac:dyDescent="0.2">
      <c r="B37312" t="s">
        <v>205</v>
      </c>
      <c r="D37312" t="s">
        <v>23108</v>
      </c>
    </row>
    <row r="37314" spans="1:4" x14ac:dyDescent="0.2">
      <c r="A37314" t="s">
        <v>12051</v>
      </c>
      <c r="B37314" t="str">
        <f>HYPERLINK("https://lindat.mff.cuni.cz/services/teitok/pdtc10/index.php?action=vallex&amp;frame=v-w5143f1", "přicházet (v-w5143f1)")</f>
        <v>přicházet (v-w5143f1)</v>
      </c>
    </row>
    <row r="37315" spans="1:4" x14ac:dyDescent="0.2">
      <c r="B37315" t="s">
        <v>1</v>
      </c>
      <c r="C37315" t="s">
        <v>12052</v>
      </c>
      <c r="D37315" t="s">
        <v>23208</v>
      </c>
    </row>
    <row r="37317" spans="1:4" x14ac:dyDescent="0.2">
      <c r="A37317" t="s">
        <v>12053</v>
      </c>
      <c r="B37317" t="str">
        <f>HYPERLINK("https://lindat.mff.cuni.cz/services/teitok/pdtc10/index.php?action=vallex&amp;frame=v-w5143f5", "přicházet (v-w5143f5)")</f>
        <v>přicházet (v-w5143f5)</v>
      </c>
    </row>
    <row r="37318" spans="1:4" x14ac:dyDescent="0.2">
      <c r="B37318" t="s">
        <v>1</v>
      </c>
    </row>
    <row r="37319" spans="1:4" x14ac:dyDescent="0.2">
      <c r="B37319" t="s">
        <v>12054</v>
      </c>
    </row>
    <row r="37321" spans="1:4" x14ac:dyDescent="0.2">
      <c r="A37321" t="s">
        <v>12055</v>
      </c>
      <c r="B37321" t="str">
        <f>HYPERLINK("https://lindat.mff.cuni.cz/services/teitok/pdtc10/index.php?action=vallex&amp;frame=v-w5143f14", "přicházet (v-w5143f14)")</f>
        <v>přicházet (v-w5143f14)</v>
      </c>
    </row>
    <row r="37322" spans="1:4" x14ac:dyDescent="0.2">
      <c r="B37322" t="s">
        <v>1</v>
      </c>
    </row>
    <row r="37323" spans="1:4" x14ac:dyDescent="0.2">
      <c r="B37323" t="s">
        <v>12056</v>
      </c>
    </row>
    <row r="37325" spans="1:4" x14ac:dyDescent="0.2">
      <c r="A37325" t="s">
        <v>12057</v>
      </c>
      <c r="B37325" t="str">
        <f>HYPERLINK("https://lindat.mff.cuni.cz/services/teitok/pdtc10/index.php?action=vallex&amp;frame=v-w5143f13", "přicházet (v-w5143f13)")</f>
        <v>přicházet (v-w5143f13)</v>
      </c>
    </row>
    <row r="37326" spans="1:4" x14ac:dyDescent="0.2">
      <c r="B37326" t="s">
        <v>1</v>
      </c>
    </row>
    <row r="37327" spans="1:4" x14ac:dyDescent="0.2">
      <c r="B37327" t="s">
        <v>12058</v>
      </c>
    </row>
    <row r="37329" spans="1:4" x14ac:dyDescent="0.2">
      <c r="A37329" t="s">
        <v>12059</v>
      </c>
      <c r="B37329" t="str">
        <f>HYPERLINK("https://lindat.mff.cuni.cz/services/teitok/pdtc10/index.php?action=vallex&amp;frame=v-w5143f6", "přicházet (v-w5143f6)")</f>
        <v>přicházet (v-w5143f6)</v>
      </c>
    </row>
    <row r="37330" spans="1:4" x14ac:dyDescent="0.2">
      <c r="B37330" t="s">
        <v>1</v>
      </c>
      <c r="D37330" t="s">
        <v>24053</v>
      </c>
    </row>
    <row r="37331" spans="1:4" x14ac:dyDescent="0.2">
      <c r="B37331" t="s">
        <v>12060</v>
      </c>
      <c r="D37331" t="s">
        <v>24054</v>
      </c>
    </row>
    <row r="37333" spans="1:4" x14ac:dyDescent="0.2">
      <c r="A37333" t="s">
        <v>12061</v>
      </c>
      <c r="B37333" t="str">
        <f>HYPERLINK("https://lindat.mff.cuni.cz/services/teitok/pdtc10/index.php?action=vallex&amp;frame=v-w5143f24_ZU", "přicházet (v-w5143f24_ZU)")</f>
        <v>přicházet (v-w5143f24_ZU)</v>
      </c>
    </row>
    <row r="37334" spans="1:4" x14ac:dyDescent="0.2">
      <c r="B37334" t="s">
        <v>3093</v>
      </c>
    </row>
    <row r="37335" spans="1:4" x14ac:dyDescent="0.2">
      <c r="B37335" t="s">
        <v>12062</v>
      </c>
    </row>
    <row r="37337" spans="1:4" x14ac:dyDescent="0.2">
      <c r="A37337" t="s">
        <v>12061</v>
      </c>
      <c r="B37337" t="str">
        <f>HYPERLINK("https://lindat.mff.cuni.cz/services/teitok/pdtc10/index.php?action=vallex&amp;frame=v-w5143f4", "přicházet (v-w5143f4) - substituted with v-w5143f24_ZU")</f>
        <v>přicházet (v-w5143f4) - substituted with v-w5143f24_ZU</v>
      </c>
    </row>
    <row r="37338" spans="1:4" x14ac:dyDescent="0.2">
      <c r="B37338" t="s">
        <v>3093</v>
      </c>
      <c r="C37338" t="s">
        <v>589</v>
      </c>
    </row>
    <row r="37339" spans="1:4" x14ac:dyDescent="0.2">
      <c r="B37339" t="s">
        <v>12062</v>
      </c>
      <c r="C37339" t="s">
        <v>12063</v>
      </c>
    </row>
    <row r="37341" spans="1:4" x14ac:dyDescent="0.2">
      <c r="A37341" t="s">
        <v>12064</v>
      </c>
      <c r="B37341" t="str">
        <f>HYPERLINK("https://lindat.mff.cuni.cz/services/teitok/pdtc10/index.php?action=vallex&amp;frame=v-w5143f10", "přicházet (v-w5143f10)")</f>
        <v>přicházet (v-w5143f10)</v>
      </c>
    </row>
    <row r="37342" spans="1:4" x14ac:dyDescent="0.2">
      <c r="B37342" t="s">
        <v>1</v>
      </c>
    </row>
    <row r="37343" spans="1:4" x14ac:dyDescent="0.2">
      <c r="B37343" t="s">
        <v>12065</v>
      </c>
    </row>
    <row r="37345" spans="1:3" x14ac:dyDescent="0.2">
      <c r="A37345" t="s">
        <v>12066</v>
      </c>
      <c r="B37345" t="str">
        <f>HYPERLINK("https://lindat.mff.cuni.cz/services/teitok/pdtc10/index.php?action=vallex&amp;frame=v-w5143f7", "přicházet (v-w5143f7)")</f>
        <v>přicházet (v-w5143f7)</v>
      </c>
    </row>
    <row r="37346" spans="1:3" x14ac:dyDescent="0.2">
      <c r="B37346" t="s">
        <v>1</v>
      </c>
      <c r="C37346" t="s">
        <v>12067</v>
      </c>
    </row>
    <row r="37347" spans="1:3" x14ac:dyDescent="0.2">
      <c r="B37347" t="s">
        <v>12068</v>
      </c>
    </row>
    <row r="37349" spans="1:3" x14ac:dyDescent="0.2">
      <c r="A37349" t="s">
        <v>12069</v>
      </c>
      <c r="B37349" t="str">
        <f>HYPERLINK("https://lindat.mff.cuni.cz/services/teitok/pdtc10/index.php?action=vallex&amp;frame=v-w5143f15", "přicházet (v-w5143f15)")</f>
        <v>přicházet (v-w5143f15)</v>
      </c>
    </row>
    <row r="37350" spans="1:3" x14ac:dyDescent="0.2">
      <c r="B37350" t="s">
        <v>1</v>
      </c>
    </row>
    <row r="37351" spans="1:3" x14ac:dyDescent="0.2">
      <c r="B37351" t="s">
        <v>12070</v>
      </c>
    </row>
    <row r="37353" spans="1:3" x14ac:dyDescent="0.2">
      <c r="A37353" t="s">
        <v>12071</v>
      </c>
      <c r="B37353" t="str">
        <f>HYPERLINK("https://lindat.mff.cuni.cz/services/teitok/pdtc10/index.php?action=vallex&amp;frame=v-w5143f16", "přicházet (v-w5143f16)")</f>
        <v>přicházet (v-w5143f16)</v>
      </c>
    </row>
    <row r="37354" spans="1:3" x14ac:dyDescent="0.2">
      <c r="B37354" t="s">
        <v>761</v>
      </c>
    </row>
    <row r="37355" spans="1:3" x14ac:dyDescent="0.2">
      <c r="B37355" t="s">
        <v>12072</v>
      </c>
    </row>
    <row r="37357" spans="1:3" x14ac:dyDescent="0.2">
      <c r="A37357" t="s">
        <v>12073</v>
      </c>
      <c r="B37357" t="str">
        <f>HYPERLINK("https://lindat.mff.cuni.cz/services/teitok/pdtc10/index.php?action=vallex&amp;frame=v-w5143f21_ZU", "přicházet (v-w5143f21_ZU)")</f>
        <v>přicházet (v-w5143f21_ZU)</v>
      </c>
    </row>
    <row r="37358" spans="1:3" x14ac:dyDescent="0.2">
      <c r="B37358" t="s">
        <v>1</v>
      </c>
      <c r="C37358" t="s">
        <v>201</v>
      </c>
    </row>
    <row r="37359" spans="1:3" x14ac:dyDescent="0.2">
      <c r="B37359" t="s">
        <v>11111</v>
      </c>
    </row>
    <row r="37361" spans="1:4" x14ac:dyDescent="0.2">
      <c r="A37361" t="s">
        <v>12073</v>
      </c>
      <c r="B37361" t="str">
        <f>HYPERLINK("https://lindat.mff.cuni.cz/services/teitok/pdtc10/index.php?action=vallex&amp;frame=v-w5143hsa_773", "přicházet (v-w5143hsa_773) - substituted with v-w5143f21_ZU")</f>
        <v>přicházet (v-w5143hsa_773) - substituted with v-w5143f21_ZU</v>
      </c>
    </row>
    <row r="37362" spans="1:4" x14ac:dyDescent="0.2">
      <c r="B37362" t="s">
        <v>1</v>
      </c>
    </row>
    <row r="37363" spans="1:4" x14ac:dyDescent="0.2">
      <c r="B37363" t="s">
        <v>11111</v>
      </c>
    </row>
    <row r="37365" spans="1:4" x14ac:dyDescent="0.2">
      <c r="A37365" t="s">
        <v>12074</v>
      </c>
      <c r="B37365" t="str">
        <f>HYPERLINK("https://lindat.mff.cuni.cz/services/teitok/pdtc10/index.php?action=vallex&amp;frame=v-w5143f22_ZU", "přicházet (v-w5143f22_ZU)")</f>
        <v>přicházet (v-w5143f22_ZU)</v>
      </c>
    </row>
    <row r="37366" spans="1:4" x14ac:dyDescent="0.2">
      <c r="B37366" t="s">
        <v>1</v>
      </c>
      <c r="C37366" t="s">
        <v>12067</v>
      </c>
    </row>
    <row r="37367" spans="1:4" x14ac:dyDescent="0.2">
      <c r="B37367" t="s">
        <v>12075</v>
      </c>
    </row>
    <row r="37369" spans="1:4" x14ac:dyDescent="0.2">
      <c r="A37369" t="s">
        <v>12074</v>
      </c>
      <c r="B37369" t="str">
        <f>HYPERLINK("https://lindat.mff.cuni.cz/services/teitok/pdtc10/index.php?action=vallex&amp;frame=v-w5143hsa_774", "přicházet (v-w5143hsa_774) - substituted with v-w5143f22_ZU")</f>
        <v>přicházet (v-w5143hsa_774) - substituted with v-w5143f22_ZU</v>
      </c>
    </row>
    <row r="37370" spans="1:4" x14ac:dyDescent="0.2">
      <c r="B37370" t="s">
        <v>1</v>
      </c>
    </row>
    <row r="37371" spans="1:4" x14ac:dyDescent="0.2">
      <c r="B37371" t="s">
        <v>12075</v>
      </c>
    </row>
    <row r="37373" spans="1:4" x14ac:dyDescent="0.2">
      <c r="A37373" t="s">
        <v>12076</v>
      </c>
      <c r="B37373" t="str">
        <f>HYPERLINK("https://lindat.mff.cuni.cz/services/teitok/pdtc10/index.php?action=vallex&amp;frame=v-w5143f20_ZU", "přicházet (v-w5143f20_ZU)")</f>
        <v>přicházet (v-w5143f20_ZU)</v>
      </c>
    </row>
    <row r="37374" spans="1:4" x14ac:dyDescent="0.2">
      <c r="B37374" t="s">
        <v>1</v>
      </c>
      <c r="C37374" t="s">
        <v>12077</v>
      </c>
      <c r="D37374" t="s">
        <v>23789</v>
      </c>
    </row>
    <row r="37375" spans="1:4" x14ac:dyDescent="0.2">
      <c r="B37375" t="s">
        <v>7033</v>
      </c>
      <c r="D37375" t="s">
        <v>23790</v>
      </c>
    </row>
    <row r="37377" spans="1:2" x14ac:dyDescent="0.2">
      <c r="A37377" t="s">
        <v>12078</v>
      </c>
      <c r="B37377" t="str">
        <f>HYPERLINK("https://lindat.mff.cuni.cz/services/teitok/pdtc10/index.php?action=vallex&amp;frame=v-w5143f25_MM", "přicházet (v-w5143f25_MM)")</f>
        <v>přicházet (v-w5143f25_MM)</v>
      </c>
    </row>
    <row r="37378" spans="1:2" x14ac:dyDescent="0.2">
      <c r="B37378" t="s">
        <v>488</v>
      </c>
    </row>
    <row r="37379" spans="1:2" x14ac:dyDescent="0.2">
      <c r="B37379" t="s">
        <v>12079</v>
      </c>
    </row>
    <row r="37380" spans="1:2" x14ac:dyDescent="0.2">
      <c r="B37380" t="s">
        <v>103</v>
      </c>
    </row>
    <row r="37382" spans="1:2" x14ac:dyDescent="0.2">
      <c r="A37382" t="s">
        <v>12078</v>
      </c>
      <c r="B37382" t="str">
        <f>HYPERLINK("https://lindat.mff.cuni.cz/services/teitok/pdtc10/index.php?action=vallex&amp;frame=v-w5143f23_ZU", "přicházet (v-w5143f23_ZU) - substituted with v-w5143f25_MM")</f>
        <v>přicházet (v-w5143f23_ZU) - substituted with v-w5143f25_MM</v>
      </c>
    </row>
    <row r="37383" spans="1:2" x14ac:dyDescent="0.2">
      <c r="B37383" t="s">
        <v>488</v>
      </c>
    </row>
    <row r="37384" spans="1:2" x14ac:dyDescent="0.2">
      <c r="B37384" t="s">
        <v>12079</v>
      </c>
    </row>
    <row r="37385" spans="1:2" x14ac:dyDescent="0.2">
      <c r="B37385" t="s">
        <v>103</v>
      </c>
    </row>
    <row r="37387" spans="1:2" x14ac:dyDescent="0.2">
      <c r="A37387" t="s">
        <v>12080</v>
      </c>
      <c r="B37387" t="str">
        <f>HYPERLINK("https://lindat.mff.cuni.cz/services/teitok/pdtc10/index.php?action=vallex&amp;frame=v-w5143hsa_1724", "přicházet (v-w5143hsa_1724)")</f>
        <v>přicházet (v-w5143hsa_1724)</v>
      </c>
    </row>
    <row r="37388" spans="1:2" x14ac:dyDescent="0.2">
      <c r="B37388" t="s">
        <v>1</v>
      </c>
    </row>
    <row r="37389" spans="1:2" x14ac:dyDescent="0.2">
      <c r="B37389" t="s">
        <v>7033</v>
      </c>
    </row>
    <row r="37391" spans="1:2" x14ac:dyDescent="0.2">
      <c r="A37391" t="s">
        <v>12081</v>
      </c>
      <c r="B37391" t="str">
        <f>HYPERLINK("https://lindat.mff.cuni.cz/services/teitok/pdtc10/index.php?action=vallex&amp;frame=v-w5144f1", "přicházet si (v-w5144f1)")</f>
        <v>přicházet si (v-w5144f1)</v>
      </c>
    </row>
    <row r="37392" spans="1:2" x14ac:dyDescent="0.2">
      <c r="B37392" t="s">
        <v>1</v>
      </c>
    </row>
    <row r="37393" spans="1:4" x14ac:dyDescent="0.2">
      <c r="B37393" t="s">
        <v>12082</v>
      </c>
    </row>
    <row r="37395" spans="1:4" x14ac:dyDescent="0.2">
      <c r="A37395" t="s">
        <v>12083</v>
      </c>
      <c r="B37395" t="str">
        <f>HYPERLINK("https://lindat.mff.cuni.cz/services/teitok/pdtc10/index.php?action=vallex&amp;frame=v-w12304_MMf1_MM", "přicmrdovat (v-w12304_MMf1_MM)")</f>
        <v>přicmrdovat (v-w12304_MMf1_MM)</v>
      </c>
    </row>
    <row r="37396" spans="1:4" x14ac:dyDescent="0.2">
      <c r="B37396" t="s">
        <v>1</v>
      </c>
    </row>
    <row r="37397" spans="1:4" x14ac:dyDescent="0.2">
      <c r="B37397" t="s">
        <v>35</v>
      </c>
    </row>
    <row r="37398" spans="1:4" x14ac:dyDescent="0.2">
      <c r="B37398" t="s">
        <v>12084</v>
      </c>
    </row>
    <row r="37400" spans="1:4" x14ac:dyDescent="0.2">
      <c r="A37400" t="s">
        <v>12085</v>
      </c>
      <c r="B37400" t="str">
        <f>HYPERLINK("https://lindat.mff.cuni.cz/services/teitok/pdtc10/index.php?action=vallex&amp;frame=v-w5103f2", "přidat (v-w5103f2)")</f>
        <v>přidat (v-w5103f2)</v>
      </c>
    </row>
    <row r="37401" spans="1:4" x14ac:dyDescent="0.2">
      <c r="B37401" t="s">
        <v>1</v>
      </c>
      <c r="C37401" t="s">
        <v>12086</v>
      </c>
      <c r="D37401" t="s">
        <v>23115</v>
      </c>
    </row>
    <row r="37402" spans="1:4" x14ac:dyDescent="0.2">
      <c r="B37402" t="s">
        <v>5474</v>
      </c>
      <c r="C37402" t="s">
        <v>12087</v>
      </c>
      <c r="D37402" t="s">
        <v>5754</v>
      </c>
    </row>
    <row r="37403" spans="1:4" x14ac:dyDescent="0.2">
      <c r="B37403" t="s">
        <v>35</v>
      </c>
    </row>
    <row r="37405" spans="1:4" x14ac:dyDescent="0.2">
      <c r="A37405" t="s">
        <v>12088</v>
      </c>
      <c r="B37405" t="str">
        <f>HYPERLINK("https://lindat.mff.cuni.cz/services/teitok/pdtc10/index.php?action=vallex&amp;frame=v-w5103f4_ZU", "přidat (v-w5103f4_ZU)")</f>
        <v>přidat (v-w5103f4_ZU)</v>
      </c>
    </row>
    <row r="37406" spans="1:4" x14ac:dyDescent="0.2">
      <c r="B37406" t="s">
        <v>1</v>
      </c>
      <c r="C37406" t="s">
        <v>1460</v>
      </c>
    </row>
    <row r="37407" spans="1:4" x14ac:dyDescent="0.2">
      <c r="B37407" t="s">
        <v>8</v>
      </c>
      <c r="C37407" t="s">
        <v>1461</v>
      </c>
    </row>
    <row r="37408" spans="1:4" x14ac:dyDescent="0.2">
      <c r="B37408" t="s">
        <v>1462</v>
      </c>
      <c r="C37408" t="s">
        <v>1463</v>
      </c>
    </row>
    <row r="37410" spans="1:4" x14ac:dyDescent="0.2">
      <c r="A37410" t="s">
        <v>12089</v>
      </c>
      <c r="B37410" t="str">
        <f>HYPERLINK("https://lindat.mff.cuni.cz/services/teitok/pdtc10/index.php?action=vallex&amp;frame=v-w5103f1", "přidat (v-w5103f1)")</f>
        <v>přidat (v-w5103f1)</v>
      </c>
    </row>
    <row r="37411" spans="1:4" x14ac:dyDescent="0.2">
      <c r="B37411" t="s">
        <v>1</v>
      </c>
      <c r="C37411" t="s">
        <v>12090</v>
      </c>
      <c r="D37411" t="s">
        <v>24055</v>
      </c>
    </row>
    <row r="37412" spans="1:4" x14ac:dyDescent="0.2">
      <c r="B37412" t="s">
        <v>8</v>
      </c>
      <c r="C37412" t="s">
        <v>12091</v>
      </c>
      <c r="D37412" t="s">
        <v>24056</v>
      </c>
    </row>
    <row r="37413" spans="1:4" x14ac:dyDescent="0.2">
      <c r="B37413" t="s">
        <v>90</v>
      </c>
      <c r="C37413" t="s">
        <v>12092</v>
      </c>
      <c r="D37413" t="s">
        <v>24057</v>
      </c>
    </row>
    <row r="37415" spans="1:4" x14ac:dyDescent="0.2">
      <c r="A37415" t="s">
        <v>12093</v>
      </c>
      <c r="B37415" t="str">
        <f>HYPERLINK("https://lindat.mff.cuni.cz/services/teitok/pdtc10/index.php?action=vallex&amp;frame=v-w5103f5_ZU", "přidat (v-w5103f5_ZU)")</f>
        <v>přidat (v-w5103f5_ZU)</v>
      </c>
    </row>
    <row r="37416" spans="1:4" x14ac:dyDescent="0.2">
      <c r="B37416" t="s">
        <v>1</v>
      </c>
    </row>
    <row r="37417" spans="1:4" x14ac:dyDescent="0.2">
      <c r="B37417" t="s">
        <v>5474</v>
      </c>
    </row>
    <row r="37419" spans="1:4" x14ac:dyDescent="0.2">
      <c r="A37419" t="s">
        <v>12093</v>
      </c>
      <c r="B37419" t="str">
        <f>HYPERLINK("https://lindat.mff.cuni.cz/services/teitok/pdtc10/index.php?action=vallex&amp;frame=v-w5103f3", "přidat (v-w5103f3) - substituted with v-w5103f5_ZU")</f>
        <v>přidat (v-w5103f3) - substituted with v-w5103f5_ZU</v>
      </c>
    </row>
    <row r="37420" spans="1:4" x14ac:dyDescent="0.2">
      <c r="B37420" t="s">
        <v>1</v>
      </c>
      <c r="C37420" t="s">
        <v>12094</v>
      </c>
    </row>
    <row r="37421" spans="1:4" x14ac:dyDescent="0.2">
      <c r="B37421" t="s">
        <v>5474</v>
      </c>
      <c r="C37421" t="s">
        <v>12095</v>
      </c>
    </row>
    <row r="37423" spans="1:4" x14ac:dyDescent="0.2">
      <c r="A37423" t="s">
        <v>12096</v>
      </c>
      <c r="B37423" t="str">
        <f>HYPERLINK("https://lindat.mff.cuni.cz/services/teitok/pdtc10/index.php?action=vallex&amp;frame=v-w5104f2", "přidat se (v-w5104f2)")</f>
        <v>přidat se (v-w5104f2)</v>
      </c>
    </row>
    <row r="37424" spans="1:4" x14ac:dyDescent="0.2">
      <c r="B37424" t="s">
        <v>1</v>
      </c>
      <c r="C37424" t="s">
        <v>12097</v>
      </c>
      <c r="D37424" t="s">
        <v>22962</v>
      </c>
    </row>
    <row r="37425" spans="1:4" x14ac:dyDescent="0.2">
      <c r="B37425" t="s">
        <v>176</v>
      </c>
      <c r="C37425" t="s">
        <v>2750</v>
      </c>
      <c r="D37425" t="s">
        <v>22963</v>
      </c>
    </row>
    <row r="37427" spans="1:4" x14ac:dyDescent="0.2">
      <c r="A37427" t="s">
        <v>12098</v>
      </c>
      <c r="B37427" t="str">
        <f>HYPERLINK("https://lindat.mff.cuni.cz/services/teitok/pdtc10/index.php?action=vallex&amp;frame=v-w5104f1", "přidat se (v-w5104f1)")</f>
        <v>přidat se (v-w5104f1)</v>
      </c>
    </row>
    <row r="37428" spans="1:4" x14ac:dyDescent="0.2">
      <c r="B37428" t="s">
        <v>1</v>
      </c>
      <c r="C37428" t="s">
        <v>12099</v>
      </c>
      <c r="D37428" t="s">
        <v>23334</v>
      </c>
    </row>
    <row r="37429" spans="1:4" x14ac:dyDescent="0.2">
      <c r="B37429" t="s">
        <v>90</v>
      </c>
      <c r="C37429" t="s">
        <v>12100</v>
      </c>
      <c r="D37429" t="s">
        <v>23571</v>
      </c>
    </row>
    <row r="37431" spans="1:4" x14ac:dyDescent="0.2">
      <c r="A37431" t="s">
        <v>12101</v>
      </c>
      <c r="B37431" t="str">
        <f>HYPERLINK("https://lindat.mff.cuni.cz/services/teitok/pdtc10/index.php?action=vallex&amp;frame=v-w11490f1", "přidružit se (v-w11490f1)")</f>
        <v>přidružit se (v-w11490f1)</v>
      </c>
    </row>
    <row r="37432" spans="1:4" x14ac:dyDescent="0.2">
      <c r="B37432" t="s">
        <v>1</v>
      </c>
      <c r="D37432" t="s">
        <v>23334</v>
      </c>
    </row>
    <row r="37433" spans="1:4" x14ac:dyDescent="0.2">
      <c r="B37433" t="s">
        <v>176</v>
      </c>
      <c r="D37433" t="s">
        <v>10414</v>
      </c>
    </row>
    <row r="37435" spans="1:4" x14ac:dyDescent="0.2">
      <c r="A37435" t="s">
        <v>12102</v>
      </c>
      <c r="B37435" t="str">
        <f>HYPERLINK("https://lindat.mff.cuni.cz/services/teitok/pdtc10/index.php?action=vallex&amp;frame=v-w5118f1", "přidržet se (v-w5118f1)")</f>
        <v>přidržet se (v-w5118f1)</v>
      </c>
    </row>
    <row r="37436" spans="1:4" x14ac:dyDescent="0.2">
      <c r="B37436" t="s">
        <v>1</v>
      </c>
      <c r="C37436" t="s">
        <v>133</v>
      </c>
    </row>
    <row r="37437" spans="1:4" x14ac:dyDescent="0.2">
      <c r="B37437" t="s">
        <v>917</v>
      </c>
      <c r="C37437" t="s">
        <v>84</v>
      </c>
    </row>
    <row r="37439" spans="1:4" x14ac:dyDescent="0.2">
      <c r="A37439" t="s">
        <v>12103</v>
      </c>
      <c r="B37439" t="str">
        <f>HYPERLINK("https://lindat.mff.cuni.cz/services/teitok/pdtc10/index.php?action=vallex&amp;frame=v-w5118f2", "přidržet se (v-w5118f2)")</f>
        <v>přidržet se (v-w5118f2)</v>
      </c>
    </row>
    <row r="37440" spans="1:4" x14ac:dyDescent="0.2">
      <c r="B37440" t="s">
        <v>1</v>
      </c>
    </row>
    <row r="37441" spans="1:4" x14ac:dyDescent="0.2">
      <c r="B37441" t="s">
        <v>917</v>
      </c>
    </row>
    <row r="37443" spans="1:4" x14ac:dyDescent="0.2">
      <c r="A37443" t="s">
        <v>12104</v>
      </c>
      <c r="B37443" t="str">
        <f>HYPERLINK("https://lindat.mff.cuni.cz/services/teitok/pdtc10/index.php?action=vallex&amp;frame=v-w12011_ZUf1_ZU", "přidržovat (v-w12011_ZUf1_ZU)")</f>
        <v>přidržovat (v-w12011_ZUf1_ZU)</v>
      </c>
    </row>
    <row r="37444" spans="1:4" x14ac:dyDescent="0.2">
      <c r="B37444" t="s">
        <v>1</v>
      </c>
    </row>
    <row r="37445" spans="1:4" x14ac:dyDescent="0.2">
      <c r="B37445" t="s">
        <v>8</v>
      </c>
    </row>
    <row r="37447" spans="1:4" x14ac:dyDescent="0.2">
      <c r="A37447" t="s">
        <v>12105</v>
      </c>
      <c r="B37447" t="str">
        <f>HYPERLINK("https://lindat.mff.cuni.cz/services/teitok/pdtc10/index.php?action=vallex&amp;frame=v-w5106f2", "přidávat (v-w5106f2)")</f>
        <v>přidávat (v-w5106f2)</v>
      </c>
    </row>
    <row r="37448" spans="1:4" x14ac:dyDescent="0.2">
      <c r="B37448" t="s">
        <v>1</v>
      </c>
      <c r="C37448" t="s">
        <v>6770</v>
      </c>
      <c r="D37448" t="s">
        <v>23115</v>
      </c>
    </row>
    <row r="37449" spans="1:4" x14ac:dyDescent="0.2">
      <c r="B37449" t="s">
        <v>5474</v>
      </c>
      <c r="C37449" t="s">
        <v>5497</v>
      </c>
      <c r="D37449" t="s">
        <v>5754</v>
      </c>
    </row>
    <row r="37450" spans="1:4" x14ac:dyDescent="0.2">
      <c r="B37450" t="s">
        <v>35</v>
      </c>
    </row>
    <row r="37452" spans="1:4" x14ac:dyDescent="0.2">
      <c r="A37452" t="s">
        <v>12106</v>
      </c>
      <c r="B37452" t="str">
        <f>HYPERLINK("https://lindat.mff.cuni.cz/services/teitok/pdtc10/index.php?action=vallex&amp;frame=v-w5106f1", "přidávat (v-w5106f1)")</f>
        <v>přidávat (v-w5106f1)</v>
      </c>
    </row>
    <row r="37453" spans="1:4" x14ac:dyDescent="0.2">
      <c r="B37453" t="s">
        <v>1</v>
      </c>
      <c r="C37453" t="s">
        <v>12107</v>
      </c>
      <c r="D37453" t="s">
        <v>24055</v>
      </c>
    </row>
    <row r="37454" spans="1:4" x14ac:dyDescent="0.2">
      <c r="B37454" t="s">
        <v>8</v>
      </c>
      <c r="C37454" t="s">
        <v>10870</v>
      </c>
      <c r="D37454" t="s">
        <v>24056</v>
      </c>
    </row>
    <row r="37455" spans="1:4" x14ac:dyDescent="0.2">
      <c r="B37455" t="s">
        <v>90</v>
      </c>
      <c r="C37455" t="s">
        <v>3819</v>
      </c>
      <c r="D37455" t="s">
        <v>24057</v>
      </c>
    </row>
    <row r="37457" spans="1:4" x14ac:dyDescent="0.2">
      <c r="A37457" t="s">
        <v>12108</v>
      </c>
      <c r="B37457" t="str">
        <f>HYPERLINK("https://lindat.mff.cuni.cz/services/teitok/pdtc10/index.php?action=vallex&amp;frame=v-w5106f3", "přidávat (v-w5106f3)")</f>
        <v>přidávat (v-w5106f3)</v>
      </c>
    </row>
    <row r="37458" spans="1:4" x14ac:dyDescent="0.2">
      <c r="B37458" t="s">
        <v>1</v>
      </c>
      <c r="C37458" t="s">
        <v>12109</v>
      </c>
      <c r="D37458" t="s">
        <v>23115</v>
      </c>
    </row>
    <row r="37459" spans="1:4" x14ac:dyDescent="0.2">
      <c r="B37459" t="s">
        <v>8</v>
      </c>
      <c r="C37459" t="s">
        <v>5497</v>
      </c>
      <c r="D37459" t="s">
        <v>5754</v>
      </c>
    </row>
    <row r="37461" spans="1:4" x14ac:dyDescent="0.2">
      <c r="A37461" t="s">
        <v>12110</v>
      </c>
      <c r="B37461" t="str">
        <f>HYPERLINK("https://lindat.mff.cuni.cz/services/teitok/pdtc10/index.php?action=vallex&amp;frame=v-w5107f1", "přidávat se (v-w5107f1)")</f>
        <v>přidávat se (v-w5107f1)</v>
      </c>
    </row>
    <row r="37462" spans="1:4" x14ac:dyDescent="0.2">
      <c r="B37462" t="s">
        <v>1</v>
      </c>
      <c r="C37462" t="s">
        <v>8249</v>
      </c>
      <c r="D37462" t="s">
        <v>22962</v>
      </c>
    </row>
    <row r="37463" spans="1:4" x14ac:dyDescent="0.2">
      <c r="B37463" t="s">
        <v>176</v>
      </c>
      <c r="C37463" t="s">
        <v>6169</v>
      </c>
      <c r="D37463" t="s">
        <v>22963</v>
      </c>
    </row>
    <row r="37465" spans="1:4" x14ac:dyDescent="0.2">
      <c r="A37465" t="s">
        <v>12111</v>
      </c>
      <c r="B37465" t="str">
        <f>HYPERLINK("https://lindat.mff.cuni.cz/services/teitok/pdtc10/index.php?action=vallex&amp;frame=v-w5107f2", "přidávat se (v-w5107f2)")</f>
        <v>přidávat se (v-w5107f2)</v>
      </c>
    </row>
    <row r="37466" spans="1:4" x14ac:dyDescent="0.2">
      <c r="B37466" t="s">
        <v>1</v>
      </c>
      <c r="D37466" t="s">
        <v>23334</v>
      </c>
    </row>
    <row r="37467" spans="1:4" x14ac:dyDescent="0.2">
      <c r="B37467" t="s">
        <v>90</v>
      </c>
      <c r="D37467" t="s">
        <v>23571</v>
      </c>
    </row>
    <row r="37469" spans="1:4" x14ac:dyDescent="0.2">
      <c r="A37469" t="s">
        <v>12112</v>
      </c>
      <c r="B37469" t="str">
        <f>HYPERLINK("https://lindat.mff.cuni.cz/services/teitok/pdtc10/index.php?action=vallex&amp;frame=v-w5110f1", "přidělat (v-w5110f1)")</f>
        <v>přidělat (v-w5110f1)</v>
      </c>
    </row>
    <row r="37470" spans="1:4" x14ac:dyDescent="0.2">
      <c r="B37470" t="s">
        <v>1</v>
      </c>
    </row>
    <row r="37471" spans="1:4" x14ac:dyDescent="0.2">
      <c r="B37471" t="s">
        <v>8</v>
      </c>
    </row>
    <row r="37472" spans="1:4" x14ac:dyDescent="0.2">
      <c r="B37472" t="s">
        <v>35</v>
      </c>
    </row>
    <row r="37474" spans="1:4" x14ac:dyDescent="0.2">
      <c r="A37474" t="s">
        <v>12113</v>
      </c>
      <c r="B37474" t="str">
        <f>HYPERLINK("https://lindat.mff.cuni.cz/services/teitok/pdtc10/index.php?action=vallex&amp;frame=v-w5110f2_ZU", "přidělat (v-w5110f2_ZU)")</f>
        <v>přidělat (v-w5110f2_ZU)</v>
      </c>
    </row>
    <row r="37475" spans="1:4" x14ac:dyDescent="0.2">
      <c r="B37475" t="s">
        <v>1</v>
      </c>
    </row>
    <row r="37476" spans="1:4" x14ac:dyDescent="0.2">
      <c r="B37476" t="s">
        <v>3766</v>
      </c>
    </row>
    <row r="37477" spans="1:4" x14ac:dyDescent="0.2">
      <c r="B37477" t="s">
        <v>24</v>
      </c>
    </row>
    <row r="37479" spans="1:4" x14ac:dyDescent="0.2">
      <c r="A37479" t="s">
        <v>12113</v>
      </c>
      <c r="B37479" t="str">
        <f>HYPERLINK("https://lindat.mff.cuni.cz/services/teitok/pdtc10/index.php?action=vallex&amp;frame=v-w5110hsa_1641", "přidělat (v-w5110hsa_1641) - substituted with v-w5110f2_ZU")</f>
        <v>přidělat (v-w5110hsa_1641) - substituted with v-w5110f2_ZU</v>
      </c>
    </row>
    <row r="37480" spans="1:4" x14ac:dyDescent="0.2">
      <c r="B37480" t="s">
        <v>1</v>
      </c>
    </row>
    <row r="37481" spans="1:4" x14ac:dyDescent="0.2">
      <c r="B37481" t="s">
        <v>3766</v>
      </c>
    </row>
    <row r="37482" spans="1:4" x14ac:dyDescent="0.2">
      <c r="B37482" t="s">
        <v>24</v>
      </c>
    </row>
    <row r="37484" spans="1:4" x14ac:dyDescent="0.2">
      <c r="A37484" t="s">
        <v>12114</v>
      </c>
      <c r="B37484" t="str">
        <f>HYPERLINK("https://lindat.mff.cuni.cz/services/teitok/pdtc10/index.php?action=vallex&amp;frame=v-w5114f1", "přidělit (v-w5114f1)")</f>
        <v>přidělit (v-w5114f1)</v>
      </c>
    </row>
    <row r="37485" spans="1:4" x14ac:dyDescent="0.2">
      <c r="B37485" t="s">
        <v>1</v>
      </c>
      <c r="C37485" t="s">
        <v>2148</v>
      </c>
      <c r="D37485" t="s">
        <v>24058</v>
      </c>
    </row>
    <row r="37486" spans="1:4" x14ac:dyDescent="0.2">
      <c r="B37486" t="s">
        <v>8</v>
      </c>
      <c r="C37486" t="s">
        <v>12115</v>
      </c>
      <c r="D37486" t="s">
        <v>24059</v>
      </c>
    </row>
    <row r="37487" spans="1:4" x14ac:dyDescent="0.2">
      <c r="B37487" t="s">
        <v>35</v>
      </c>
      <c r="C37487" t="s">
        <v>12116</v>
      </c>
      <c r="D37487" t="s">
        <v>24060</v>
      </c>
    </row>
    <row r="37489" spans="1:4" x14ac:dyDescent="0.2">
      <c r="A37489" t="s">
        <v>12117</v>
      </c>
      <c r="B37489" t="str">
        <f>HYPERLINK("https://lindat.mff.cuni.cz/services/teitok/pdtc10/index.php?action=vallex&amp;frame=v-w5114hsa_76", "přidělit (v-w5114hsa_76)")</f>
        <v>přidělit (v-w5114hsa_76)</v>
      </c>
    </row>
    <row r="37490" spans="1:4" x14ac:dyDescent="0.2">
      <c r="B37490" t="s">
        <v>1</v>
      </c>
      <c r="C37490" t="s">
        <v>249</v>
      </c>
    </row>
    <row r="37491" spans="1:4" x14ac:dyDescent="0.2">
      <c r="B37491" t="s">
        <v>8</v>
      </c>
      <c r="C37491" t="s">
        <v>9698</v>
      </c>
    </row>
    <row r="37492" spans="1:4" x14ac:dyDescent="0.2">
      <c r="B37492" t="s">
        <v>90</v>
      </c>
      <c r="C37492" t="s">
        <v>12118</v>
      </c>
    </row>
    <row r="37494" spans="1:4" x14ac:dyDescent="0.2">
      <c r="A37494" t="s">
        <v>12119</v>
      </c>
      <c r="B37494" t="str">
        <f>HYPERLINK("https://lindat.mff.cuni.cz/services/teitok/pdtc10/index.php?action=vallex&amp;frame=v-w5116f1", "přidělovat (v-w5116f1)")</f>
        <v>přidělovat (v-w5116f1)</v>
      </c>
    </row>
    <row r="37495" spans="1:4" x14ac:dyDescent="0.2">
      <c r="B37495" t="s">
        <v>1</v>
      </c>
      <c r="C37495" t="s">
        <v>373</v>
      </c>
      <c r="D37495" t="s">
        <v>3590</v>
      </c>
    </row>
    <row r="37496" spans="1:4" x14ac:dyDescent="0.2">
      <c r="B37496" t="s">
        <v>8</v>
      </c>
      <c r="C37496" t="s">
        <v>12120</v>
      </c>
      <c r="D37496" t="s">
        <v>1362</v>
      </c>
    </row>
    <row r="37497" spans="1:4" x14ac:dyDescent="0.2">
      <c r="B37497" t="s">
        <v>35</v>
      </c>
      <c r="C37497" t="s">
        <v>12121</v>
      </c>
      <c r="D37497" t="s">
        <v>23896</v>
      </c>
    </row>
    <row r="37499" spans="1:4" x14ac:dyDescent="0.2">
      <c r="A37499" t="s">
        <v>12122</v>
      </c>
      <c r="B37499" t="str">
        <f>HYPERLINK("https://lindat.mff.cuni.cz/services/teitok/pdtc10/index.php?action=vallex&amp;frame=v-w5116hsa_319", "přidělovat (v-w5116hsa_319)")</f>
        <v>přidělovat (v-w5116hsa_319)</v>
      </c>
    </row>
    <row r="37500" spans="1:4" x14ac:dyDescent="0.2">
      <c r="B37500" t="s">
        <v>1</v>
      </c>
      <c r="C37500" t="s">
        <v>83</v>
      </c>
    </row>
    <row r="37501" spans="1:4" x14ac:dyDescent="0.2">
      <c r="B37501" t="s">
        <v>8</v>
      </c>
      <c r="C37501" t="s">
        <v>1190</v>
      </c>
    </row>
    <row r="37502" spans="1:4" x14ac:dyDescent="0.2">
      <c r="B37502" t="s">
        <v>90</v>
      </c>
      <c r="C37502" t="s">
        <v>12123</v>
      </c>
    </row>
    <row r="37504" spans="1:4" x14ac:dyDescent="0.2">
      <c r="A37504" t="s">
        <v>12124</v>
      </c>
      <c r="B37504" t="str">
        <f>HYPERLINK("https://lindat.mff.cuni.cz/services/teitok/pdtc10/index.php?action=vallex&amp;frame=v-w5111f1", "přidělávat (v-w5111f1)")</f>
        <v>přidělávat (v-w5111f1)</v>
      </c>
    </row>
    <row r="37505" spans="1:2" x14ac:dyDescent="0.2">
      <c r="B37505" t="s">
        <v>1</v>
      </c>
    </row>
    <row r="37506" spans="1:2" x14ac:dyDescent="0.2">
      <c r="B37506" t="s">
        <v>8</v>
      </c>
    </row>
    <row r="37507" spans="1:2" x14ac:dyDescent="0.2">
      <c r="B37507" t="s">
        <v>35</v>
      </c>
    </row>
    <row r="37509" spans="1:2" x14ac:dyDescent="0.2">
      <c r="A37509" t="s">
        <v>12125</v>
      </c>
      <c r="B37509" t="str">
        <f>HYPERLINK("https://lindat.mff.cuni.cz/services/teitok/pdtc10/index.php?action=vallex&amp;frame=v-w5111f2_ZU", "přidělávat (v-w5111f2_ZU)")</f>
        <v>přidělávat (v-w5111f2_ZU)</v>
      </c>
    </row>
    <row r="37510" spans="1:2" x14ac:dyDescent="0.2">
      <c r="B37510" t="s">
        <v>1</v>
      </c>
    </row>
    <row r="37511" spans="1:2" x14ac:dyDescent="0.2">
      <c r="B37511" t="s">
        <v>8</v>
      </c>
    </row>
    <row r="37512" spans="1:2" x14ac:dyDescent="0.2">
      <c r="B37512" t="s">
        <v>24</v>
      </c>
    </row>
    <row r="37514" spans="1:2" x14ac:dyDescent="0.2">
      <c r="A37514" t="s">
        <v>12125</v>
      </c>
      <c r="B37514" t="str">
        <f>HYPERLINK("https://lindat.mff.cuni.cz/services/teitok/pdtc10/index.php?action=vallex&amp;frame=v-w5111hsa_1585", "přidělávat (v-w5111hsa_1585) - substituted with v-w5111f2_ZU")</f>
        <v>přidělávat (v-w5111hsa_1585) - substituted with v-w5111f2_ZU</v>
      </c>
    </row>
    <row r="37515" spans="1:2" x14ac:dyDescent="0.2">
      <c r="B37515" t="s">
        <v>1</v>
      </c>
    </row>
    <row r="37516" spans="1:2" x14ac:dyDescent="0.2">
      <c r="B37516" t="s">
        <v>8</v>
      </c>
    </row>
    <row r="37517" spans="1:2" x14ac:dyDescent="0.2">
      <c r="B37517" t="s">
        <v>24</v>
      </c>
    </row>
    <row r="37519" spans="1:2" x14ac:dyDescent="0.2">
      <c r="A37519" t="s">
        <v>12126</v>
      </c>
      <c r="B37519" t="str">
        <f>HYPERLINK("https://lindat.mff.cuni.cz/services/teitok/pdtc10/index.php?action=vallex&amp;frame=v-w12102_ZUf1_ZU", "přifařit se (v-w12102_ZUf1_ZU)")</f>
        <v>přifařit se (v-w12102_ZUf1_ZU)</v>
      </c>
    </row>
    <row r="37520" spans="1:2" x14ac:dyDescent="0.2">
      <c r="B37520" t="s">
        <v>1</v>
      </c>
    </row>
    <row r="37521" spans="1:2" x14ac:dyDescent="0.2">
      <c r="B37521" t="s">
        <v>252</v>
      </c>
    </row>
    <row r="37523" spans="1:2" x14ac:dyDescent="0.2">
      <c r="A37523" t="s">
        <v>12127</v>
      </c>
      <c r="B37523" t="str">
        <f>HYPERLINK("https://lindat.mff.cuni.cz/services/teitok/pdtc10/index.php?action=vallex&amp;frame=v-w10911f2", "přihazovat (v-w10911f2)")</f>
        <v>přihazovat (v-w10911f2)</v>
      </c>
    </row>
    <row r="37524" spans="1:2" x14ac:dyDescent="0.2">
      <c r="B37524" t="s">
        <v>1</v>
      </c>
    </row>
    <row r="37525" spans="1:2" x14ac:dyDescent="0.2">
      <c r="B37525" t="s">
        <v>220</v>
      </c>
    </row>
    <row r="37527" spans="1:2" x14ac:dyDescent="0.2">
      <c r="A37527" t="s">
        <v>12128</v>
      </c>
      <c r="B37527" t="str">
        <f>HYPERLINK("https://lindat.mff.cuni.cz/services/teitok/pdtc10/index.php?action=vallex&amp;frame=v-w5126f1", "přihlašovat (v-w5126f1)")</f>
        <v>přihlašovat (v-w5126f1)</v>
      </c>
    </row>
    <row r="37528" spans="1:2" x14ac:dyDescent="0.2">
      <c r="B37528" t="s">
        <v>1</v>
      </c>
    </row>
    <row r="37529" spans="1:2" x14ac:dyDescent="0.2">
      <c r="B37529" t="s">
        <v>8</v>
      </c>
    </row>
    <row r="37530" spans="1:2" x14ac:dyDescent="0.2">
      <c r="B37530" t="s">
        <v>90</v>
      </c>
    </row>
    <row r="37532" spans="1:2" x14ac:dyDescent="0.2">
      <c r="A37532" t="s">
        <v>12129</v>
      </c>
      <c r="B37532" t="str">
        <f>HYPERLINK("https://lindat.mff.cuni.cz/services/teitok/pdtc10/index.php?action=vallex&amp;frame=v-w5119f5_ZU", "přihlásit (v-w5119f5_ZU)")</f>
        <v>přihlásit (v-w5119f5_ZU)</v>
      </c>
    </row>
    <row r="37533" spans="1:2" x14ac:dyDescent="0.2">
      <c r="B37533" t="s">
        <v>1</v>
      </c>
    </row>
    <row r="37534" spans="1:2" x14ac:dyDescent="0.2">
      <c r="B37534" t="s">
        <v>8</v>
      </c>
    </row>
    <row r="37535" spans="1:2" x14ac:dyDescent="0.2">
      <c r="B37535" t="s">
        <v>35</v>
      </c>
    </row>
    <row r="37536" spans="1:2" x14ac:dyDescent="0.2">
      <c r="B37536" t="s">
        <v>12130</v>
      </c>
    </row>
    <row r="37538" spans="1:2" x14ac:dyDescent="0.2">
      <c r="A37538" t="s">
        <v>12129</v>
      </c>
      <c r="B37538" t="str">
        <f>HYPERLINK("https://lindat.mff.cuni.cz/services/teitok/pdtc10/index.php?action=vallex&amp;frame=v-w5119f3", "přihlásit (v-w5119f3) - substituted with v-w5119f5_ZU")</f>
        <v>přihlásit (v-w5119f3) - substituted with v-w5119f5_ZU</v>
      </c>
    </row>
    <row r="37539" spans="1:2" x14ac:dyDescent="0.2">
      <c r="B37539" t="s">
        <v>1</v>
      </c>
    </row>
    <row r="37540" spans="1:2" x14ac:dyDescent="0.2">
      <c r="B37540" t="s">
        <v>8</v>
      </c>
    </row>
    <row r="37541" spans="1:2" x14ac:dyDescent="0.2">
      <c r="B37541" t="s">
        <v>35</v>
      </c>
    </row>
    <row r="37542" spans="1:2" x14ac:dyDescent="0.2">
      <c r="B37542" t="s">
        <v>12130</v>
      </c>
    </row>
    <row r="37544" spans="1:2" x14ac:dyDescent="0.2">
      <c r="A37544" t="s">
        <v>12129</v>
      </c>
      <c r="B37544" t="str">
        <f>HYPERLINK("https://lindat.mff.cuni.cz/services/teitok/pdtc10/index.php?action=vallex&amp;frame=v-w5119f4_ZU", "přihlásit (v-w5119f4_ZU) - substituted with v-w5119f5_ZU")</f>
        <v>přihlásit (v-w5119f4_ZU) - substituted with v-w5119f5_ZU</v>
      </c>
    </row>
    <row r="37545" spans="1:2" x14ac:dyDescent="0.2">
      <c r="B37545" t="s">
        <v>1</v>
      </c>
    </row>
    <row r="37546" spans="1:2" x14ac:dyDescent="0.2">
      <c r="B37546" t="s">
        <v>8</v>
      </c>
    </row>
    <row r="37547" spans="1:2" x14ac:dyDescent="0.2">
      <c r="B37547" t="s">
        <v>35</v>
      </c>
    </row>
    <row r="37548" spans="1:2" x14ac:dyDescent="0.2">
      <c r="B37548" t="s">
        <v>12130</v>
      </c>
    </row>
    <row r="37550" spans="1:2" x14ac:dyDescent="0.2">
      <c r="A37550" t="s">
        <v>12131</v>
      </c>
      <c r="B37550" t="str">
        <f>HYPERLINK("https://lindat.mff.cuni.cz/services/teitok/pdtc10/index.php?action=vallex&amp;frame=v-w5119f2", "přihlásit (v-w5119f2)")</f>
        <v>přihlásit (v-w5119f2)</v>
      </c>
    </row>
    <row r="37551" spans="1:2" x14ac:dyDescent="0.2">
      <c r="B37551" t="s">
        <v>1</v>
      </c>
    </row>
    <row r="37552" spans="1:2" x14ac:dyDescent="0.2">
      <c r="B37552" t="s">
        <v>8</v>
      </c>
    </row>
    <row r="37553" spans="1:4" x14ac:dyDescent="0.2">
      <c r="B37553" t="s">
        <v>5</v>
      </c>
    </row>
    <row r="37555" spans="1:4" x14ac:dyDescent="0.2">
      <c r="A37555" t="s">
        <v>12132</v>
      </c>
      <c r="B37555" t="str">
        <f>HYPERLINK("https://lindat.mff.cuni.cz/services/teitok/pdtc10/index.php?action=vallex&amp;frame=v-w5119f1", "přihlásit (v-w5119f1)")</f>
        <v>přihlásit (v-w5119f1)</v>
      </c>
    </row>
    <row r="37556" spans="1:4" x14ac:dyDescent="0.2">
      <c r="B37556" t="s">
        <v>1</v>
      </c>
    </row>
    <row r="37557" spans="1:4" x14ac:dyDescent="0.2">
      <c r="B37557" t="s">
        <v>8</v>
      </c>
    </row>
    <row r="37558" spans="1:4" x14ac:dyDescent="0.2">
      <c r="B37558" t="s">
        <v>90</v>
      </c>
    </row>
    <row r="37560" spans="1:4" x14ac:dyDescent="0.2">
      <c r="A37560" t="s">
        <v>12133</v>
      </c>
      <c r="B37560" t="str">
        <f>HYPERLINK("https://lindat.mff.cuni.cz/services/teitok/pdtc10/index.php?action=vallex&amp;frame=v-w5120f5", "přihlásit se (v-w5120f5)")</f>
        <v>přihlásit se (v-w5120f5)</v>
      </c>
    </row>
    <row r="37561" spans="1:4" x14ac:dyDescent="0.2">
      <c r="B37561" t="s">
        <v>1</v>
      </c>
      <c r="C37561" t="s">
        <v>2008</v>
      </c>
      <c r="D37561" t="s">
        <v>24061</v>
      </c>
    </row>
    <row r="37562" spans="1:4" x14ac:dyDescent="0.2">
      <c r="B37562" t="s">
        <v>103</v>
      </c>
      <c r="C37562" t="s">
        <v>12134</v>
      </c>
      <c r="D37562" t="s">
        <v>24062</v>
      </c>
    </row>
    <row r="37564" spans="1:4" x14ac:dyDescent="0.2">
      <c r="A37564" t="s">
        <v>12135</v>
      </c>
      <c r="B37564" t="str">
        <f>HYPERLINK("https://lindat.mff.cuni.cz/services/teitok/pdtc10/index.php?action=vallex&amp;frame=v-w5120f1", "přihlásit se (v-w5120f1)")</f>
        <v>přihlásit se (v-w5120f1)</v>
      </c>
    </row>
    <row r="37565" spans="1:4" x14ac:dyDescent="0.2">
      <c r="B37565" t="s">
        <v>1</v>
      </c>
      <c r="C37565" t="s">
        <v>990</v>
      </c>
    </row>
    <row r="37566" spans="1:4" x14ac:dyDescent="0.2">
      <c r="B37566" t="s">
        <v>176</v>
      </c>
      <c r="C37566" t="s">
        <v>1190</v>
      </c>
    </row>
    <row r="37568" spans="1:4" x14ac:dyDescent="0.2">
      <c r="A37568" t="s">
        <v>12136</v>
      </c>
      <c r="B37568" t="str">
        <f>HYPERLINK("https://lindat.mff.cuni.cz/services/teitok/pdtc10/index.php?action=vallex&amp;frame=v-w5120f4", "přihlásit se (v-w5120f4)")</f>
        <v>přihlásit se (v-w5120f4)</v>
      </c>
    </row>
    <row r="37569" spans="1:4" x14ac:dyDescent="0.2">
      <c r="B37569" t="s">
        <v>1</v>
      </c>
      <c r="C37569" t="s">
        <v>249</v>
      </c>
      <c r="D37569" t="s">
        <v>9603</v>
      </c>
    </row>
    <row r="37570" spans="1:4" x14ac:dyDescent="0.2">
      <c r="B37570" t="s">
        <v>467</v>
      </c>
      <c r="D37570" t="s">
        <v>19237</v>
      </c>
    </row>
    <row r="37572" spans="1:4" x14ac:dyDescent="0.2">
      <c r="A37572" t="s">
        <v>12137</v>
      </c>
      <c r="B37572" t="str">
        <f>HYPERLINK("https://lindat.mff.cuni.cz/services/teitok/pdtc10/index.php?action=vallex&amp;frame=v-w5120f3", "přihlásit se (v-w5120f3)")</f>
        <v>přihlásit se (v-w5120f3)</v>
      </c>
    </row>
    <row r="37573" spans="1:4" x14ac:dyDescent="0.2">
      <c r="B37573" t="s">
        <v>1</v>
      </c>
    </row>
    <row r="37574" spans="1:4" x14ac:dyDescent="0.2">
      <c r="B37574" t="s">
        <v>5</v>
      </c>
    </row>
    <row r="37576" spans="1:4" x14ac:dyDescent="0.2">
      <c r="A37576" t="s">
        <v>12138</v>
      </c>
      <c r="B37576" t="str">
        <f>HYPERLINK("https://lindat.mff.cuni.cz/services/teitok/pdtc10/index.php?action=vallex&amp;frame=v-w5120f2", "přihlásit se (v-w5120f2)")</f>
        <v>přihlásit se (v-w5120f2)</v>
      </c>
    </row>
    <row r="37577" spans="1:4" x14ac:dyDescent="0.2">
      <c r="B37577" t="s">
        <v>1</v>
      </c>
      <c r="C37577" t="s">
        <v>1709</v>
      </c>
      <c r="D37577" t="s">
        <v>23334</v>
      </c>
    </row>
    <row r="37578" spans="1:4" x14ac:dyDescent="0.2">
      <c r="B37578" t="s">
        <v>90</v>
      </c>
      <c r="D37578" t="s">
        <v>23571</v>
      </c>
    </row>
    <row r="37580" spans="1:4" x14ac:dyDescent="0.2">
      <c r="A37580" t="s">
        <v>12139</v>
      </c>
      <c r="B37580" t="str">
        <f>HYPERLINK("https://lindat.mff.cuni.cz/services/teitok/pdtc10/index.php?action=vallex&amp;frame=v-w5120f7_ZU", "přihlásit se (v-w5120f7_ZU)")</f>
        <v>přihlásit se (v-w5120f7_ZU)</v>
      </c>
    </row>
    <row r="37581" spans="1:4" x14ac:dyDescent="0.2">
      <c r="B37581" t="s">
        <v>1</v>
      </c>
    </row>
    <row r="37582" spans="1:4" x14ac:dyDescent="0.2">
      <c r="B37582" t="s">
        <v>3344</v>
      </c>
    </row>
    <row r="37584" spans="1:4" x14ac:dyDescent="0.2">
      <c r="A37584" t="s">
        <v>12139</v>
      </c>
      <c r="B37584" t="str">
        <f>HYPERLINK("https://lindat.mff.cuni.cz/services/teitok/pdtc10/index.php?action=vallex&amp;frame=v-w5120f6_ZU", "přihlásit se (v-w5120f6_ZU) - substituted with v-w5120f7_ZU")</f>
        <v>přihlásit se (v-w5120f6_ZU) - substituted with v-w5120f7_ZU</v>
      </c>
    </row>
    <row r="37585" spans="1:3" x14ac:dyDescent="0.2">
      <c r="B37585" t="s">
        <v>1</v>
      </c>
    </row>
    <row r="37586" spans="1:3" x14ac:dyDescent="0.2">
      <c r="B37586" t="s">
        <v>3344</v>
      </c>
    </row>
    <row r="37588" spans="1:3" x14ac:dyDescent="0.2">
      <c r="A37588" t="s">
        <v>12140</v>
      </c>
      <c r="B37588" t="str">
        <f>HYPERLINK("https://lindat.mff.cuni.cz/services/teitok/pdtc10/index.php?action=vallex&amp;frame=v-w5120hsa_87", "přihlásit se (v-w5120hsa_87)")</f>
        <v>přihlásit se (v-w5120hsa_87)</v>
      </c>
    </row>
    <row r="37589" spans="1:3" x14ac:dyDescent="0.2">
      <c r="B37589" t="s">
        <v>1</v>
      </c>
    </row>
    <row r="37591" spans="1:3" x14ac:dyDescent="0.2">
      <c r="A37591" t="s">
        <v>12141</v>
      </c>
      <c r="B37591" t="str">
        <f>HYPERLINK("https://lindat.mff.cuni.cz/services/teitok/pdtc10/index.php?action=vallex&amp;frame=v-w5127f1", "přihlédnout (v-w5127f1)")</f>
        <v>přihlédnout (v-w5127f1)</v>
      </c>
    </row>
    <row r="37592" spans="1:3" x14ac:dyDescent="0.2">
      <c r="B37592" t="s">
        <v>1</v>
      </c>
      <c r="C37592" t="s">
        <v>83</v>
      </c>
    </row>
    <row r="37593" spans="1:3" x14ac:dyDescent="0.2">
      <c r="B37593" t="s">
        <v>176</v>
      </c>
      <c r="C37593" t="s">
        <v>2755</v>
      </c>
    </row>
    <row r="37595" spans="1:3" x14ac:dyDescent="0.2">
      <c r="A37595" t="s">
        <v>12142</v>
      </c>
      <c r="B37595" t="str">
        <f>HYPERLINK("https://lindat.mff.cuni.cz/services/teitok/pdtc10/index.php?action=vallex&amp;frame=v-w5130f1", "přihlížet (v-w5130f1)")</f>
        <v>přihlížet (v-w5130f1)</v>
      </c>
    </row>
    <row r="37596" spans="1:3" x14ac:dyDescent="0.2">
      <c r="B37596" t="s">
        <v>1</v>
      </c>
      <c r="C37596" t="s">
        <v>12143</v>
      </c>
    </row>
    <row r="37597" spans="1:3" x14ac:dyDescent="0.2">
      <c r="B37597" t="s">
        <v>12144</v>
      </c>
      <c r="C37597" t="s">
        <v>12145</v>
      </c>
    </row>
    <row r="37599" spans="1:3" x14ac:dyDescent="0.2">
      <c r="A37599" t="s">
        <v>12146</v>
      </c>
      <c r="B37599" t="str">
        <f>HYPERLINK("https://lindat.mff.cuni.cz/services/teitok/pdtc10/index.php?action=vallex&amp;frame=v-w5130f2", "přihlížet (v-w5130f2)")</f>
        <v>přihlížet (v-w5130f2)</v>
      </c>
    </row>
    <row r="37600" spans="1:3" x14ac:dyDescent="0.2">
      <c r="B37600" t="s">
        <v>1</v>
      </c>
      <c r="C37600" t="s">
        <v>33</v>
      </c>
    </row>
    <row r="37601" spans="1:3" x14ac:dyDescent="0.2">
      <c r="B37601" t="s">
        <v>176</v>
      </c>
      <c r="C37601" t="s">
        <v>1128</v>
      </c>
    </row>
    <row r="37603" spans="1:3" x14ac:dyDescent="0.2">
      <c r="A37603" t="s">
        <v>12147</v>
      </c>
      <c r="B37603" t="str">
        <f>HYPERLINK("https://lindat.mff.cuni.cz/services/teitok/pdtc10/index.php?action=vallex&amp;frame=v-w5131f1", "přihnat (v-w5131f1)")</f>
        <v>přihnat (v-w5131f1)</v>
      </c>
    </row>
    <row r="37604" spans="1:3" x14ac:dyDescent="0.2">
      <c r="B37604" t="s">
        <v>1</v>
      </c>
    </row>
    <row r="37605" spans="1:3" x14ac:dyDescent="0.2">
      <c r="B37605" t="s">
        <v>8</v>
      </c>
    </row>
    <row r="37606" spans="1:3" x14ac:dyDescent="0.2">
      <c r="B37606" t="s">
        <v>90</v>
      </c>
    </row>
    <row r="37608" spans="1:3" x14ac:dyDescent="0.2">
      <c r="A37608" t="s">
        <v>12148</v>
      </c>
      <c r="B37608" t="str">
        <f>HYPERLINK("https://lindat.mff.cuni.cz/services/teitok/pdtc10/index.php?action=vallex&amp;frame=v-w5131f2_ZU", "přihnat (v-w5131f2_ZU)")</f>
        <v>přihnat (v-w5131f2_ZU)</v>
      </c>
    </row>
    <row r="37609" spans="1:3" x14ac:dyDescent="0.2">
      <c r="B37609" t="s">
        <v>1</v>
      </c>
    </row>
    <row r="37610" spans="1:3" x14ac:dyDescent="0.2">
      <c r="B37610" t="s">
        <v>58</v>
      </c>
    </row>
    <row r="37611" spans="1:3" x14ac:dyDescent="0.2">
      <c r="B37611" t="s">
        <v>176</v>
      </c>
    </row>
    <row r="37613" spans="1:3" x14ac:dyDescent="0.2">
      <c r="A37613" t="s">
        <v>12149</v>
      </c>
      <c r="B37613" t="str">
        <f>HYPERLINK("https://lindat.mff.cuni.cz/services/teitok/pdtc10/index.php?action=vallex&amp;frame=v-whsa_658hsa_659", "přihnat se (v-whsa_658hsa_659)")</f>
        <v>přihnat se (v-whsa_658hsa_659)</v>
      </c>
    </row>
    <row r="37614" spans="1:3" x14ac:dyDescent="0.2">
      <c r="B37614" t="s">
        <v>1</v>
      </c>
    </row>
    <row r="37615" spans="1:3" x14ac:dyDescent="0.2">
      <c r="B37615" t="s">
        <v>90</v>
      </c>
    </row>
    <row r="37617" spans="1:4" x14ac:dyDescent="0.2">
      <c r="A37617" t="s">
        <v>12150</v>
      </c>
      <c r="B37617" t="str">
        <f>HYPERLINK("https://lindat.mff.cuni.cz/services/teitok/pdtc10/index.php?action=vallex&amp;frame=v-w5132f1", "přihodit (v-w5132f1)")</f>
        <v>přihodit (v-w5132f1)</v>
      </c>
    </row>
    <row r="37618" spans="1:4" x14ac:dyDescent="0.2">
      <c r="B37618" t="s">
        <v>1</v>
      </c>
    </row>
    <row r="37619" spans="1:4" x14ac:dyDescent="0.2">
      <c r="B37619" t="s">
        <v>8</v>
      </c>
    </row>
    <row r="37620" spans="1:4" x14ac:dyDescent="0.2">
      <c r="B37620" t="s">
        <v>90</v>
      </c>
    </row>
    <row r="37622" spans="1:4" x14ac:dyDescent="0.2">
      <c r="A37622" t="s">
        <v>12151</v>
      </c>
      <c r="B37622" t="str">
        <f>HYPERLINK("https://lindat.mff.cuni.cz/services/teitok/pdtc10/index.php?action=vallex&amp;frame=v-w5133f1", "přihodit se (v-w5133f1)")</f>
        <v>přihodit se (v-w5133f1)</v>
      </c>
    </row>
    <row r="37623" spans="1:4" x14ac:dyDescent="0.2">
      <c r="B37623" t="s">
        <v>488</v>
      </c>
      <c r="C37623" t="s">
        <v>3781</v>
      </c>
      <c r="D37623" t="s">
        <v>20058</v>
      </c>
    </row>
    <row r="37624" spans="1:4" x14ac:dyDescent="0.2">
      <c r="B37624" t="s">
        <v>86</v>
      </c>
      <c r="C37624" t="s">
        <v>2868</v>
      </c>
      <c r="D37624" t="s">
        <v>2868</v>
      </c>
    </row>
    <row r="37626" spans="1:4" x14ac:dyDescent="0.2">
      <c r="A37626" t="s">
        <v>12152</v>
      </c>
      <c r="B37626" t="str">
        <f>HYPERLINK("https://lindat.mff.cuni.cz/services/teitok/pdtc10/index.php?action=vallex&amp;frame=v-w5133f2", "přihodit se (v-w5133f2)")</f>
        <v>přihodit se (v-w5133f2)</v>
      </c>
    </row>
    <row r="37627" spans="1:4" x14ac:dyDescent="0.2">
      <c r="B37627" t="s">
        <v>1</v>
      </c>
      <c r="C37627" t="s">
        <v>12153</v>
      </c>
      <c r="D37627" t="s">
        <v>22988</v>
      </c>
    </row>
    <row r="37629" spans="1:4" x14ac:dyDescent="0.2">
      <c r="A37629" t="s">
        <v>12154</v>
      </c>
      <c r="B37629" t="str">
        <f>HYPERLINK("https://lindat.mff.cuni.cz/services/teitok/pdtc10/index.php?action=vallex&amp;frame=v-w5134f1", "přihoršit (v-w5134f1)")</f>
        <v>přihoršit (v-w5134f1)</v>
      </c>
    </row>
    <row r="37630" spans="1:4" x14ac:dyDescent="0.2">
      <c r="B37630" t="s">
        <v>1</v>
      </c>
    </row>
    <row r="37631" spans="1:4" x14ac:dyDescent="0.2">
      <c r="B37631" t="s">
        <v>103</v>
      </c>
    </row>
    <row r="37633" spans="1:2" x14ac:dyDescent="0.2">
      <c r="A37633" t="s">
        <v>12155</v>
      </c>
      <c r="B37633" t="str">
        <f>HYPERLINK("https://lindat.mff.cuni.cz/services/teitok/pdtc10/index.php?action=vallex&amp;frame=v-w12144_ZUf1_ZU", "přihořívat (v-w12144_ZUf1_ZU)")</f>
        <v>přihořívat (v-w12144_ZUf1_ZU)</v>
      </c>
    </row>
    <row r="37634" spans="1:2" x14ac:dyDescent="0.2">
      <c r="B37634" t="s">
        <v>1</v>
      </c>
    </row>
    <row r="37636" spans="1:2" x14ac:dyDescent="0.2">
      <c r="A37636" t="s">
        <v>12156</v>
      </c>
      <c r="B37636" t="str">
        <f>HYPERLINK("https://lindat.mff.cuni.cz/services/teitok/pdtc10/index.php?action=vallex&amp;frame=v-w12144_ZUf3_MM", "přihořívat (v-w12144_ZUf3_MM)")</f>
        <v>přihořívat (v-w12144_ZUf3_MM)</v>
      </c>
    </row>
    <row r="37637" spans="1:2" x14ac:dyDescent="0.2">
      <c r="B37637" t="s">
        <v>1</v>
      </c>
    </row>
    <row r="37638" spans="1:2" x14ac:dyDescent="0.2">
      <c r="B37638" t="s">
        <v>86</v>
      </c>
    </row>
    <row r="37640" spans="1:2" x14ac:dyDescent="0.2">
      <c r="A37640" t="s">
        <v>12156</v>
      </c>
      <c r="B37640" t="str">
        <f>HYPERLINK("https://lindat.mff.cuni.cz/services/teitok/pdtc10/index.php?action=vallex&amp;frame=v-w12144_ZUf2_ZU", "přihořívat (v-w12144_ZUf2_ZU) - substituted with v-w12144_ZUf3_MM")</f>
        <v>přihořívat (v-w12144_ZUf2_ZU) - substituted with v-w12144_ZUf3_MM</v>
      </c>
    </row>
    <row r="37641" spans="1:2" x14ac:dyDescent="0.2">
      <c r="B37641" t="s">
        <v>1</v>
      </c>
    </row>
    <row r="37642" spans="1:2" x14ac:dyDescent="0.2">
      <c r="B37642" t="s">
        <v>86</v>
      </c>
    </row>
    <row r="37644" spans="1:2" x14ac:dyDescent="0.2">
      <c r="A37644" t="s">
        <v>12157</v>
      </c>
      <c r="B37644" t="str">
        <f>HYPERLINK("https://lindat.mff.cuni.cz/services/teitok/pdtc10/index.php?action=vallex&amp;frame=v-w11128f2", "přihrnout (v-w11128f2)")</f>
        <v>přihrnout (v-w11128f2)</v>
      </c>
    </row>
    <row r="37645" spans="1:2" x14ac:dyDescent="0.2">
      <c r="B37645" t="s">
        <v>1</v>
      </c>
    </row>
    <row r="37646" spans="1:2" x14ac:dyDescent="0.2">
      <c r="B37646" t="s">
        <v>8</v>
      </c>
    </row>
    <row r="37647" spans="1:2" x14ac:dyDescent="0.2">
      <c r="B37647" t="s">
        <v>90</v>
      </c>
    </row>
    <row r="37649" spans="1:4" x14ac:dyDescent="0.2">
      <c r="A37649" t="s">
        <v>12158</v>
      </c>
      <c r="B37649" t="str">
        <f>HYPERLINK("https://lindat.mff.cuni.cz/services/teitok/pdtc10/index.php?action=vallex&amp;frame=v-w5135f1", "přihrát (v-w5135f1)")</f>
        <v>přihrát (v-w5135f1)</v>
      </c>
    </row>
    <row r="37650" spans="1:4" x14ac:dyDescent="0.2">
      <c r="B37650" t="s">
        <v>1</v>
      </c>
      <c r="D37650" t="s">
        <v>9612</v>
      </c>
    </row>
    <row r="37651" spans="1:4" x14ac:dyDescent="0.2">
      <c r="B37651" t="s">
        <v>8</v>
      </c>
      <c r="D37651" t="s">
        <v>23646</v>
      </c>
    </row>
    <row r="37652" spans="1:4" x14ac:dyDescent="0.2">
      <c r="B37652" t="s">
        <v>35</v>
      </c>
      <c r="D37652" t="s">
        <v>23862</v>
      </c>
    </row>
    <row r="37654" spans="1:4" x14ac:dyDescent="0.2">
      <c r="A37654" t="s">
        <v>12159</v>
      </c>
      <c r="B37654" t="str">
        <f>HYPERLINK("https://lindat.mff.cuni.cz/services/teitok/pdtc10/index.php?action=vallex&amp;frame=v-w5136f1", "přihrávat (v-w5136f1)")</f>
        <v>přihrávat (v-w5136f1)</v>
      </c>
    </row>
    <row r="37655" spans="1:4" x14ac:dyDescent="0.2">
      <c r="B37655" t="s">
        <v>1</v>
      </c>
    </row>
    <row r="37656" spans="1:4" x14ac:dyDescent="0.2">
      <c r="B37656" t="s">
        <v>8</v>
      </c>
    </row>
    <row r="37657" spans="1:4" x14ac:dyDescent="0.2">
      <c r="B37657" t="s">
        <v>35</v>
      </c>
    </row>
    <row r="37659" spans="1:4" x14ac:dyDescent="0.2">
      <c r="A37659" t="s">
        <v>12160</v>
      </c>
      <c r="B37659" t="str">
        <f>HYPERLINK("https://lindat.mff.cuni.cz/services/teitok/pdtc10/index.php?action=vallex&amp;frame=v-w5141f1", "přihustit (v-w5141f1)")</f>
        <v>přihustit (v-w5141f1)</v>
      </c>
    </row>
    <row r="37660" spans="1:4" x14ac:dyDescent="0.2">
      <c r="B37660" t="s">
        <v>1</v>
      </c>
    </row>
    <row r="37661" spans="1:4" x14ac:dyDescent="0.2">
      <c r="B37661" t="s">
        <v>8</v>
      </c>
    </row>
    <row r="37663" spans="1:4" x14ac:dyDescent="0.2">
      <c r="A37663" t="s">
        <v>12161</v>
      </c>
      <c r="B37663" t="str">
        <f>HYPERLINK("https://lindat.mff.cuni.cz/services/teitok/pdtc10/index.php?action=vallex&amp;frame=v-w5138f1", "přihřát (v-w5138f1)")</f>
        <v>přihřát (v-w5138f1)</v>
      </c>
    </row>
    <row r="37664" spans="1:4" x14ac:dyDescent="0.2">
      <c r="B37664" t="s">
        <v>1</v>
      </c>
    </row>
    <row r="37665" spans="1:4" x14ac:dyDescent="0.2">
      <c r="B37665" t="s">
        <v>8</v>
      </c>
    </row>
    <row r="37667" spans="1:4" x14ac:dyDescent="0.2">
      <c r="A37667" t="s">
        <v>12162</v>
      </c>
      <c r="B37667" t="str">
        <f>HYPERLINK("https://lindat.mff.cuni.cz/services/teitok/pdtc10/index.php?action=vallex&amp;frame=v-w5139f1", "přihřát se (v-w5139f1)")</f>
        <v>přihřát se (v-w5139f1)</v>
      </c>
    </row>
    <row r="37668" spans="1:4" x14ac:dyDescent="0.2">
      <c r="B37668" t="s">
        <v>1</v>
      </c>
    </row>
    <row r="37670" spans="1:4" x14ac:dyDescent="0.2">
      <c r="A37670" t="s">
        <v>12163</v>
      </c>
      <c r="B37670" t="str">
        <f>HYPERLINK("https://lindat.mff.cuni.cz/services/teitok/pdtc10/index.php?action=vallex&amp;frame=v-w5140f1", "přihřát si (v-w5140f1)")</f>
        <v>přihřát si (v-w5140f1)</v>
      </c>
    </row>
    <row r="37671" spans="1:4" x14ac:dyDescent="0.2">
      <c r="B37671" t="s">
        <v>1</v>
      </c>
    </row>
    <row r="37672" spans="1:4" x14ac:dyDescent="0.2">
      <c r="B37672" t="s">
        <v>12164</v>
      </c>
    </row>
    <row r="37674" spans="1:4" x14ac:dyDescent="0.2">
      <c r="A37674" t="s">
        <v>12165</v>
      </c>
      <c r="B37674" t="str">
        <f>HYPERLINK("https://lindat.mff.cuni.cz/services/teitok/pdtc10/index.php?action=vallex&amp;frame=v-whsa_996hsa_997", "přihřívat (v-whsa_996hsa_997)")</f>
        <v>přihřívat (v-whsa_996hsa_997)</v>
      </c>
    </row>
    <row r="37675" spans="1:4" x14ac:dyDescent="0.2">
      <c r="B37675" t="s">
        <v>1</v>
      </c>
    </row>
    <row r="37676" spans="1:4" x14ac:dyDescent="0.2">
      <c r="B37676" t="s">
        <v>8</v>
      </c>
    </row>
    <row r="37678" spans="1:4" x14ac:dyDescent="0.2">
      <c r="A37678" t="s">
        <v>12166</v>
      </c>
      <c r="B37678" t="str">
        <f>HYPERLINK("https://lindat.mff.cuni.cz/services/teitok/pdtc10/index.php?action=vallex&amp;frame=v-w5152f1", "přijet (v-w5152f1)")</f>
        <v>přijet (v-w5152f1)</v>
      </c>
    </row>
    <row r="37679" spans="1:4" x14ac:dyDescent="0.2">
      <c r="B37679" t="s">
        <v>1</v>
      </c>
      <c r="C37679" t="s">
        <v>12167</v>
      </c>
      <c r="D37679" t="s">
        <v>23107</v>
      </c>
    </row>
    <row r="37680" spans="1:4" x14ac:dyDescent="0.2">
      <c r="B37680" t="s">
        <v>90</v>
      </c>
      <c r="D37680" t="s">
        <v>23108</v>
      </c>
    </row>
    <row r="37682" spans="1:4" x14ac:dyDescent="0.2">
      <c r="A37682" t="s">
        <v>12168</v>
      </c>
      <c r="B37682" t="str">
        <f>HYPERLINK("https://lindat.mff.cuni.cz/services/teitok/pdtc10/index.php?action=vallex&amp;frame=v-w5152f2_ZU", "přijet (v-w5152f2_ZU)")</f>
        <v>přijet (v-w5152f2_ZU)</v>
      </c>
    </row>
    <row r="37683" spans="1:4" x14ac:dyDescent="0.2">
      <c r="B37683" t="s">
        <v>1</v>
      </c>
    </row>
    <row r="37684" spans="1:4" x14ac:dyDescent="0.2">
      <c r="B37684" t="s">
        <v>8</v>
      </c>
    </row>
    <row r="37686" spans="1:4" x14ac:dyDescent="0.2">
      <c r="A37686" t="s">
        <v>12169</v>
      </c>
      <c r="B37686" t="str">
        <f>HYPERLINK("https://lindat.mff.cuni.cz/services/teitok/pdtc10/index.php?action=vallex&amp;frame=v-w5161f3", "přijmout (v-w5161f3)")</f>
        <v>přijmout (v-w5161f3)</v>
      </c>
    </row>
    <row r="37687" spans="1:4" x14ac:dyDescent="0.2">
      <c r="B37687" t="s">
        <v>1</v>
      </c>
      <c r="C37687" t="s">
        <v>12170</v>
      </c>
      <c r="D37687" t="s">
        <v>23111</v>
      </c>
    </row>
    <row r="37688" spans="1:4" x14ac:dyDescent="0.2">
      <c r="B37688" t="s">
        <v>1417</v>
      </c>
      <c r="C37688" t="s">
        <v>12171</v>
      </c>
      <c r="D37688" t="s">
        <v>23112</v>
      </c>
    </row>
    <row r="37689" spans="1:4" x14ac:dyDescent="0.2">
      <c r="B37689" t="s">
        <v>321</v>
      </c>
      <c r="C37689" t="s">
        <v>12172</v>
      </c>
      <c r="D37689" t="s">
        <v>23113</v>
      </c>
    </row>
    <row r="37691" spans="1:4" x14ac:dyDescent="0.2">
      <c r="A37691" t="s">
        <v>12173</v>
      </c>
      <c r="B37691" t="str">
        <f>HYPERLINK("https://lindat.mff.cuni.cz/services/teitok/pdtc10/index.php?action=vallex&amp;frame=v-w5161f5", "přijmout (v-w5161f5)")</f>
        <v>přijmout (v-w5161f5)</v>
      </c>
    </row>
    <row r="37692" spans="1:4" x14ac:dyDescent="0.2">
      <c r="B37692" t="s">
        <v>1</v>
      </c>
      <c r="C37692" t="s">
        <v>115</v>
      </c>
    </row>
    <row r="37693" spans="1:4" x14ac:dyDescent="0.2">
      <c r="B37693" t="s">
        <v>8</v>
      </c>
      <c r="C37693" t="s">
        <v>338</v>
      </c>
    </row>
    <row r="37694" spans="1:4" x14ac:dyDescent="0.2">
      <c r="B37694" t="s">
        <v>71</v>
      </c>
    </row>
    <row r="37696" spans="1:4" x14ac:dyDescent="0.2">
      <c r="A37696" t="s">
        <v>12174</v>
      </c>
      <c r="B37696" t="str">
        <f>HYPERLINK("https://lindat.mff.cuni.cz/services/teitok/pdtc10/index.php?action=vallex&amp;frame=v-w5161f1", "přijmout (v-w5161f1)")</f>
        <v>přijmout (v-w5161f1)</v>
      </c>
    </row>
    <row r="37697" spans="1:4" x14ac:dyDescent="0.2">
      <c r="B37697" t="s">
        <v>1</v>
      </c>
      <c r="C37697" t="s">
        <v>12175</v>
      </c>
      <c r="D37697" t="s">
        <v>22965</v>
      </c>
    </row>
    <row r="37698" spans="1:4" x14ac:dyDescent="0.2">
      <c r="B37698" t="s">
        <v>8</v>
      </c>
      <c r="C37698" t="s">
        <v>12176</v>
      </c>
      <c r="D37698" t="s">
        <v>22966</v>
      </c>
    </row>
    <row r="37700" spans="1:4" x14ac:dyDescent="0.2">
      <c r="A37700" t="s">
        <v>12177</v>
      </c>
      <c r="B37700" t="str">
        <f>HYPERLINK("https://lindat.mff.cuni.cz/services/teitok/pdtc10/index.php?action=vallex&amp;frame=v-w5161f2", "přijmout (v-w5161f2)")</f>
        <v>přijmout (v-w5161f2)</v>
      </c>
    </row>
    <row r="37701" spans="1:4" x14ac:dyDescent="0.2">
      <c r="B37701" t="s">
        <v>1</v>
      </c>
      <c r="C37701" t="s">
        <v>12178</v>
      </c>
      <c r="D37701" t="s">
        <v>96</v>
      </c>
    </row>
    <row r="37702" spans="1:4" x14ac:dyDescent="0.2">
      <c r="B37702" t="s">
        <v>8</v>
      </c>
      <c r="C37702" t="s">
        <v>12179</v>
      </c>
      <c r="D37702" t="s">
        <v>23533</v>
      </c>
    </row>
    <row r="37704" spans="1:4" x14ac:dyDescent="0.2">
      <c r="A37704" t="s">
        <v>12180</v>
      </c>
      <c r="B37704" t="str">
        <f>HYPERLINK("https://lindat.mff.cuni.cz/services/teitok/pdtc10/index.php?action=vallex&amp;frame=v-w5161f9_ZU", "přijmout (v-w5161f9_ZU)")</f>
        <v>přijmout (v-w5161f9_ZU)</v>
      </c>
    </row>
    <row r="37705" spans="1:4" x14ac:dyDescent="0.2">
      <c r="B37705" t="s">
        <v>1</v>
      </c>
      <c r="C37705" t="s">
        <v>9239</v>
      </c>
      <c r="D37705" t="s">
        <v>22965</v>
      </c>
    </row>
    <row r="37706" spans="1:4" x14ac:dyDescent="0.2">
      <c r="B37706" t="s">
        <v>12181</v>
      </c>
      <c r="C37706" t="s">
        <v>12182</v>
      </c>
      <c r="D37706" t="s">
        <v>24063</v>
      </c>
    </row>
    <row r="37708" spans="1:4" x14ac:dyDescent="0.2">
      <c r="A37708" t="s">
        <v>12180</v>
      </c>
      <c r="B37708" t="str">
        <f>HYPERLINK("https://lindat.mff.cuni.cz/services/teitok/pdtc10/index.php?action=vallex&amp;frame=v-w5161f4", "přijmout (v-w5161f4) - substituted with v-w5161f9_ZU")</f>
        <v>přijmout (v-w5161f4) - substituted with v-w5161f9_ZU</v>
      </c>
    </row>
    <row r="37709" spans="1:4" x14ac:dyDescent="0.2">
      <c r="B37709" t="s">
        <v>1</v>
      </c>
      <c r="C37709" t="s">
        <v>12183</v>
      </c>
    </row>
    <row r="37710" spans="1:4" x14ac:dyDescent="0.2">
      <c r="B37710" t="s">
        <v>12181</v>
      </c>
      <c r="C37710" t="s">
        <v>12184</v>
      </c>
    </row>
    <row r="37712" spans="1:4" x14ac:dyDescent="0.2">
      <c r="A37712" t="s">
        <v>12180</v>
      </c>
      <c r="B37712" t="str">
        <f>HYPERLINK("https://lindat.mff.cuni.cz/services/teitok/pdtc10/index.php?action=vallex&amp;frame=v-w5161f8_ZU", "přijmout (v-w5161f8_ZU) - substituted with v-w5161f9_ZU")</f>
        <v>přijmout (v-w5161f8_ZU) - substituted with v-w5161f9_ZU</v>
      </c>
    </row>
    <row r="37713" spans="1:3" x14ac:dyDescent="0.2">
      <c r="B37713" t="s">
        <v>1</v>
      </c>
      <c r="C37713" t="s">
        <v>12185</v>
      </c>
    </row>
    <row r="37714" spans="1:3" x14ac:dyDescent="0.2">
      <c r="B37714" t="s">
        <v>12181</v>
      </c>
      <c r="C37714" t="s">
        <v>12186</v>
      </c>
    </row>
    <row r="37716" spans="1:3" x14ac:dyDescent="0.2">
      <c r="A37716" t="s">
        <v>12180</v>
      </c>
      <c r="B37716" t="str">
        <f>HYPERLINK("https://lindat.mff.cuni.cz/services/teitok/pdtc10/index.php?action=vallex&amp;frame=v-w5161hsa_124", "přijmout (v-w5161hsa_124) - substituted with v-w5161f9_ZU")</f>
        <v>přijmout (v-w5161hsa_124) - substituted with v-w5161f9_ZU</v>
      </c>
    </row>
    <row r="37717" spans="1:3" x14ac:dyDescent="0.2">
      <c r="B37717" t="s">
        <v>1</v>
      </c>
      <c r="C37717" t="s">
        <v>12187</v>
      </c>
    </row>
    <row r="37718" spans="1:3" x14ac:dyDescent="0.2">
      <c r="B37718" t="s">
        <v>12181</v>
      </c>
      <c r="C37718" t="s">
        <v>12188</v>
      </c>
    </row>
    <row r="37720" spans="1:3" x14ac:dyDescent="0.2">
      <c r="A37720" t="s">
        <v>12189</v>
      </c>
      <c r="B37720" t="str">
        <f>HYPERLINK("https://lindat.mff.cuni.cz/services/teitok/pdtc10/index.php?action=vallex&amp;frame=v-w5161f7", "přijmout (v-w5161f7)")</f>
        <v>přijmout (v-w5161f7)</v>
      </c>
    </row>
    <row r="37721" spans="1:3" x14ac:dyDescent="0.2">
      <c r="B37721" t="s">
        <v>1</v>
      </c>
    </row>
    <row r="37722" spans="1:3" x14ac:dyDescent="0.2">
      <c r="B37722" t="s">
        <v>11193</v>
      </c>
    </row>
    <row r="37723" spans="1:3" x14ac:dyDescent="0.2">
      <c r="B37723" t="s">
        <v>8</v>
      </c>
    </row>
    <row r="37725" spans="1:3" x14ac:dyDescent="0.2">
      <c r="A37725" t="s">
        <v>12190</v>
      </c>
      <c r="B37725" t="str">
        <f>HYPERLINK("https://lindat.mff.cuni.cz/services/teitok/pdtc10/index.php?action=vallex&amp;frame=v-w5161f6", "přijmout (v-w5161f6)")</f>
        <v>přijmout (v-w5161f6)</v>
      </c>
    </row>
    <row r="37726" spans="1:3" x14ac:dyDescent="0.2">
      <c r="B37726" t="s">
        <v>1</v>
      </c>
    </row>
    <row r="37727" spans="1:3" x14ac:dyDescent="0.2">
      <c r="B37727" t="s">
        <v>12191</v>
      </c>
    </row>
    <row r="37728" spans="1:3" x14ac:dyDescent="0.2">
      <c r="B37728" t="s">
        <v>124</v>
      </c>
    </row>
    <row r="37730" spans="1:3" x14ac:dyDescent="0.2">
      <c r="A37730" t="s">
        <v>12192</v>
      </c>
      <c r="B37730" t="str">
        <f>HYPERLINK("https://lindat.mff.cuni.cz/services/teitok/pdtc10/index.php?action=vallex&amp;frame=v-w5161hsa_123", "přijmout (v-w5161hsa_123)")</f>
        <v>přijmout (v-w5161hsa_123)</v>
      </c>
    </row>
    <row r="37731" spans="1:3" x14ac:dyDescent="0.2">
      <c r="B37731" t="s">
        <v>1</v>
      </c>
      <c r="C37731" t="s">
        <v>1949</v>
      </c>
    </row>
    <row r="37732" spans="1:3" x14ac:dyDescent="0.2">
      <c r="B37732" t="s">
        <v>8</v>
      </c>
      <c r="C37732" t="s">
        <v>8630</v>
      </c>
    </row>
    <row r="37734" spans="1:3" x14ac:dyDescent="0.2">
      <c r="A37734" t="s">
        <v>12193</v>
      </c>
      <c r="B37734" t="str">
        <f>HYPERLINK("https://lindat.mff.cuni.cz/services/teitok/pdtc10/index.php?action=vallex&amp;frame=v-w5161f12_ZU", "přijmout (v-w5161f12_ZU)")</f>
        <v>přijmout (v-w5161f12_ZU)</v>
      </c>
    </row>
    <row r="37735" spans="1:3" x14ac:dyDescent="0.2">
      <c r="B37735" t="s">
        <v>1</v>
      </c>
    </row>
    <row r="37736" spans="1:3" x14ac:dyDescent="0.2">
      <c r="B37736" t="s">
        <v>8</v>
      </c>
    </row>
    <row r="37738" spans="1:3" x14ac:dyDescent="0.2">
      <c r="A37738" t="s">
        <v>12193</v>
      </c>
      <c r="B37738" t="str">
        <f>HYPERLINK("https://lindat.mff.cuni.cz/services/teitok/pdtc10/index.php?action=vallex&amp;frame=v-w5161f10_ZU", "přijmout (v-w5161f10_ZU) - substituted with v-w5161f12_ZU")</f>
        <v>přijmout (v-w5161f10_ZU) - substituted with v-w5161f12_ZU</v>
      </c>
    </row>
    <row r="37739" spans="1:3" x14ac:dyDescent="0.2">
      <c r="B37739" t="s">
        <v>1</v>
      </c>
    </row>
    <row r="37740" spans="1:3" x14ac:dyDescent="0.2">
      <c r="B37740" t="s">
        <v>8</v>
      </c>
    </row>
    <row r="37742" spans="1:3" x14ac:dyDescent="0.2">
      <c r="A37742" t="s">
        <v>12193</v>
      </c>
      <c r="B37742" t="str">
        <f>HYPERLINK("https://lindat.mff.cuni.cz/services/teitok/pdtc10/index.php?action=vallex&amp;frame=v-w5161f11_ZU", "přijmout (v-w5161f11_ZU) - substituted with v-w5161f12_ZU")</f>
        <v>přijmout (v-w5161f11_ZU) - substituted with v-w5161f12_ZU</v>
      </c>
    </row>
    <row r="37743" spans="1:3" x14ac:dyDescent="0.2">
      <c r="B37743" t="s">
        <v>1</v>
      </c>
    </row>
    <row r="37744" spans="1:3" x14ac:dyDescent="0.2">
      <c r="B37744" t="s">
        <v>8</v>
      </c>
    </row>
    <row r="37746" spans="1:4" x14ac:dyDescent="0.2">
      <c r="A37746" t="s">
        <v>12194</v>
      </c>
      <c r="B37746" t="str">
        <f>HYPERLINK("https://lindat.mff.cuni.cz/services/teitok/pdtc10/index.php?action=vallex&amp;frame=v-w5157f2", "přijímat (v-w5157f2)")</f>
        <v>přijímat (v-w5157f2)</v>
      </c>
    </row>
    <row r="37747" spans="1:4" x14ac:dyDescent="0.2">
      <c r="B37747" t="s">
        <v>1</v>
      </c>
      <c r="C37747" t="s">
        <v>12195</v>
      </c>
      <c r="D37747" t="s">
        <v>23111</v>
      </c>
    </row>
    <row r="37748" spans="1:4" x14ac:dyDescent="0.2">
      <c r="B37748" t="s">
        <v>1417</v>
      </c>
      <c r="C37748" t="s">
        <v>12196</v>
      </c>
      <c r="D37748" t="s">
        <v>23112</v>
      </c>
    </row>
    <row r="37749" spans="1:4" x14ac:dyDescent="0.2">
      <c r="B37749" t="s">
        <v>321</v>
      </c>
      <c r="C37749" t="s">
        <v>12197</v>
      </c>
      <c r="D37749" t="s">
        <v>23113</v>
      </c>
    </row>
    <row r="37751" spans="1:4" x14ac:dyDescent="0.2">
      <c r="A37751" t="s">
        <v>12198</v>
      </c>
      <c r="B37751" t="str">
        <f>HYPERLINK("https://lindat.mff.cuni.cz/services/teitok/pdtc10/index.php?action=vallex&amp;frame=v-w5157f8", "přijímat (v-w5157f8)")</f>
        <v>přijímat (v-w5157f8)</v>
      </c>
    </row>
    <row r="37752" spans="1:4" x14ac:dyDescent="0.2">
      <c r="B37752" t="s">
        <v>1</v>
      </c>
    </row>
    <row r="37753" spans="1:4" x14ac:dyDescent="0.2">
      <c r="B37753" t="s">
        <v>8</v>
      </c>
    </row>
    <row r="37754" spans="1:4" x14ac:dyDescent="0.2">
      <c r="B37754" t="s">
        <v>71</v>
      </c>
    </row>
    <row r="37756" spans="1:4" x14ac:dyDescent="0.2">
      <c r="A37756" t="s">
        <v>12199</v>
      </c>
      <c r="B37756" t="str">
        <f>HYPERLINK("https://lindat.mff.cuni.cz/services/teitok/pdtc10/index.php?action=vallex&amp;frame=v-w5157f4", "přijímat (v-w5157f4)")</f>
        <v>přijímat (v-w5157f4)</v>
      </c>
    </row>
    <row r="37757" spans="1:4" x14ac:dyDescent="0.2">
      <c r="B37757" t="s">
        <v>1</v>
      </c>
      <c r="C37757" t="s">
        <v>12200</v>
      </c>
      <c r="D37757" t="s">
        <v>22965</v>
      </c>
    </row>
    <row r="37758" spans="1:4" x14ac:dyDescent="0.2">
      <c r="B37758" t="s">
        <v>41</v>
      </c>
      <c r="C37758" t="s">
        <v>12201</v>
      </c>
      <c r="D37758" t="s">
        <v>22966</v>
      </c>
    </row>
    <row r="37760" spans="1:4" x14ac:dyDescent="0.2">
      <c r="A37760" t="s">
        <v>12202</v>
      </c>
      <c r="B37760" t="str">
        <f>HYPERLINK("https://lindat.mff.cuni.cz/services/teitok/pdtc10/index.php?action=vallex&amp;frame=v-w5157f1", "přijímat (v-w5157f1)")</f>
        <v>přijímat (v-w5157f1)</v>
      </c>
    </row>
    <row r="37761" spans="1:4" x14ac:dyDescent="0.2">
      <c r="B37761" t="s">
        <v>1</v>
      </c>
      <c r="C37761" t="s">
        <v>12203</v>
      </c>
    </row>
    <row r="37762" spans="1:4" x14ac:dyDescent="0.2">
      <c r="B37762" t="s">
        <v>8</v>
      </c>
      <c r="C37762" t="s">
        <v>12204</v>
      </c>
    </row>
    <row r="37764" spans="1:4" x14ac:dyDescent="0.2">
      <c r="A37764" t="s">
        <v>12205</v>
      </c>
      <c r="B37764" t="str">
        <f>HYPERLINK("https://lindat.mff.cuni.cz/services/teitok/pdtc10/index.php?action=vallex&amp;frame=v-w5157f6", "přijímat (v-w5157f6)")</f>
        <v>přijímat (v-w5157f6)</v>
      </c>
    </row>
    <row r="37765" spans="1:4" x14ac:dyDescent="0.2">
      <c r="B37765" t="s">
        <v>1</v>
      </c>
      <c r="C37765" t="s">
        <v>9612</v>
      </c>
      <c r="D37765" t="s">
        <v>96</v>
      </c>
    </row>
    <row r="37766" spans="1:4" x14ac:dyDescent="0.2">
      <c r="B37766" t="s">
        <v>8</v>
      </c>
      <c r="C37766" t="s">
        <v>12206</v>
      </c>
      <c r="D37766" t="s">
        <v>23533</v>
      </c>
    </row>
    <row r="37768" spans="1:4" x14ac:dyDescent="0.2">
      <c r="A37768" t="s">
        <v>12207</v>
      </c>
      <c r="B37768" t="str">
        <f>HYPERLINK("https://lindat.mff.cuni.cz/services/teitok/pdtc10/index.php?action=vallex&amp;frame=v-w5157f5", "přijímat (v-w5157f5)")</f>
        <v>přijímat (v-w5157f5)</v>
      </c>
    </row>
    <row r="37769" spans="1:4" x14ac:dyDescent="0.2">
      <c r="B37769" t="s">
        <v>1</v>
      </c>
      <c r="C37769" t="s">
        <v>3580</v>
      </c>
    </row>
    <row r="37770" spans="1:4" x14ac:dyDescent="0.2">
      <c r="B37770" t="s">
        <v>8</v>
      </c>
      <c r="C37770" t="s">
        <v>12208</v>
      </c>
    </row>
    <row r="37772" spans="1:4" x14ac:dyDescent="0.2">
      <c r="A37772" t="s">
        <v>12209</v>
      </c>
      <c r="B37772" t="str">
        <f>HYPERLINK("https://lindat.mff.cuni.cz/services/teitok/pdtc10/index.php?action=vallex&amp;frame=v-w5157f7", "přijímat (v-w5157f7)")</f>
        <v>přijímat (v-w5157f7)</v>
      </c>
    </row>
    <row r="37773" spans="1:4" x14ac:dyDescent="0.2">
      <c r="B37773" t="s">
        <v>1</v>
      </c>
      <c r="C37773" t="s">
        <v>1949</v>
      </c>
    </row>
    <row r="37774" spans="1:4" x14ac:dyDescent="0.2">
      <c r="B37774" t="s">
        <v>8</v>
      </c>
      <c r="C37774" t="s">
        <v>8630</v>
      </c>
    </row>
    <row r="37776" spans="1:4" x14ac:dyDescent="0.2">
      <c r="A37776" t="s">
        <v>12210</v>
      </c>
      <c r="B37776" t="str">
        <f>HYPERLINK("https://lindat.mff.cuni.cz/services/teitok/pdtc10/index.php?action=vallex&amp;frame=v-w5157hsa_613", "přijímat (v-w5157hsa_613)")</f>
        <v>přijímat (v-w5157hsa_613)</v>
      </c>
    </row>
    <row r="37777" spans="1:4" x14ac:dyDescent="0.2">
      <c r="B37777" t="s">
        <v>1</v>
      </c>
      <c r="C37777" t="s">
        <v>3542</v>
      </c>
      <c r="D37777" t="s">
        <v>430</v>
      </c>
    </row>
    <row r="37778" spans="1:4" x14ac:dyDescent="0.2">
      <c r="B37778" t="s">
        <v>12211</v>
      </c>
      <c r="C37778" t="s">
        <v>12212</v>
      </c>
      <c r="D37778" t="s">
        <v>24064</v>
      </c>
    </row>
    <row r="37780" spans="1:4" x14ac:dyDescent="0.2">
      <c r="A37780" t="s">
        <v>12210</v>
      </c>
      <c r="B37780" t="str">
        <f>HYPERLINK("https://lindat.mff.cuni.cz/services/teitok/pdtc10/index.php?action=vallex&amp;frame=v-w5157f3", "přijímat (v-w5157f3) - substituted with v-w5157hsa_613")</f>
        <v>přijímat (v-w5157f3) - substituted with v-w5157hsa_613</v>
      </c>
    </row>
    <row r="37781" spans="1:4" x14ac:dyDescent="0.2">
      <c r="B37781" t="s">
        <v>1</v>
      </c>
    </row>
    <row r="37782" spans="1:4" x14ac:dyDescent="0.2">
      <c r="B37782" t="s">
        <v>12211</v>
      </c>
    </row>
    <row r="37784" spans="1:4" x14ac:dyDescent="0.2">
      <c r="A37784" t="s">
        <v>12213</v>
      </c>
      <c r="B37784" t="str">
        <f>HYPERLINK("https://lindat.mff.cuni.cz/services/teitok/pdtc10/index.php?action=vallex&amp;frame=v-w5158f50_ZU", "přijít (v-w5158f50_ZU)")</f>
        <v>přijít (v-w5158f50_ZU)</v>
      </c>
    </row>
    <row r="37785" spans="1:4" x14ac:dyDescent="0.2">
      <c r="B37785" t="s">
        <v>196</v>
      </c>
    </row>
    <row r="37786" spans="1:4" x14ac:dyDescent="0.2">
      <c r="B37786" t="s">
        <v>28</v>
      </c>
    </row>
    <row r="37787" spans="1:4" x14ac:dyDescent="0.2">
      <c r="B37787" t="s">
        <v>58</v>
      </c>
    </row>
    <row r="37789" spans="1:4" x14ac:dyDescent="0.2">
      <c r="A37789" t="s">
        <v>12213</v>
      </c>
      <c r="B37789" t="str">
        <f>HYPERLINK("https://lindat.mff.cuni.cz/services/teitok/pdtc10/index.php?action=vallex&amp;frame=v-w5158f4", "přijít (v-w5158f4) - substituted with v-w5158f50_ZU")</f>
        <v>přijít (v-w5158f4) - substituted with v-w5158f50_ZU</v>
      </c>
    </row>
    <row r="37790" spans="1:4" x14ac:dyDescent="0.2">
      <c r="B37790" t="s">
        <v>196</v>
      </c>
      <c r="C37790" t="s">
        <v>12214</v>
      </c>
      <c r="D37790" t="s">
        <v>17822</v>
      </c>
    </row>
    <row r="37791" spans="1:4" x14ac:dyDescent="0.2">
      <c r="B37791" t="s">
        <v>28</v>
      </c>
      <c r="C37791" t="s">
        <v>12215</v>
      </c>
      <c r="D37791" t="s">
        <v>17823</v>
      </c>
    </row>
    <row r="37792" spans="1:4" x14ac:dyDescent="0.2">
      <c r="B37792" t="s">
        <v>58</v>
      </c>
      <c r="C37792" t="s">
        <v>12216</v>
      </c>
      <c r="D37792" t="s">
        <v>12216</v>
      </c>
    </row>
    <row r="37794" spans="1:2" x14ac:dyDescent="0.2">
      <c r="A37794" t="s">
        <v>12217</v>
      </c>
      <c r="B37794" t="str">
        <f>HYPERLINK("https://lindat.mff.cuni.cz/services/teitok/pdtc10/index.php?action=vallex&amp;frame=v-w5158f59_ZU", "přijít (v-w5158f59_ZU)")</f>
        <v>přijít (v-w5158f59_ZU)</v>
      </c>
    </row>
    <row r="37795" spans="1:2" x14ac:dyDescent="0.2">
      <c r="B37795" t="s">
        <v>455</v>
      </c>
    </row>
    <row r="37796" spans="1:2" x14ac:dyDescent="0.2">
      <c r="B37796" t="s">
        <v>3702</v>
      </c>
    </row>
    <row r="37797" spans="1:2" x14ac:dyDescent="0.2">
      <c r="B37797" t="s">
        <v>12218</v>
      </c>
    </row>
    <row r="37799" spans="1:2" x14ac:dyDescent="0.2">
      <c r="A37799" t="s">
        <v>12217</v>
      </c>
      <c r="B37799" t="str">
        <f>HYPERLINK("https://lindat.mff.cuni.cz/services/teitok/pdtc10/index.php?action=vallex&amp;frame=v-w5158f16", "přijít (v-w5158f16) - substituted with v-w5158f59_ZU")</f>
        <v>přijít (v-w5158f16) - substituted with v-w5158f59_ZU</v>
      </c>
    </row>
    <row r="37800" spans="1:2" x14ac:dyDescent="0.2">
      <c r="B37800" t="s">
        <v>455</v>
      </c>
    </row>
    <row r="37801" spans="1:2" x14ac:dyDescent="0.2">
      <c r="B37801" t="s">
        <v>3702</v>
      </c>
    </row>
    <row r="37802" spans="1:2" x14ac:dyDescent="0.2">
      <c r="B37802" t="s">
        <v>12218</v>
      </c>
    </row>
    <row r="37804" spans="1:2" x14ac:dyDescent="0.2">
      <c r="A37804" t="s">
        <v>12217</v>
      </c>
      <c r="B37804" t="str">
        <f>HYPERLINK("https://lindat.mff.cuni.cz/services/teitok/pdtc10/index.php?action=vallex&amp;frame=v-w5158f46_ZU", "přijít (v-w5158f46_ZU) - substituted with v-w5158f59_ZU")</f>
        <v>přijít (v-w5158f46_ZU) - substituted with v-w5158f59_ZU</v>
      </c>
    </row>
    <row r="37805" spans="1:2" x14ac:dyDescent="0.2">
      <c r="B37805" t="s">
        <v>455</v>
      </c>
    </row>
    <row r="37806" spans="1:2" x14ac:dyDescent="0.2">
      <c r="B37806" t="s">
        <v>3702</v>
      </c>
    </row>
    <row r="37807" spans="1:2" x14ac:dyDescent="0.2">
      <c r="B37807" t="s">
        <v>12218</v>
      </c>
    </row>
    <row r="37809" spans="1:2" x14ac:dyDescent="0.2">
      <c r="A37809" t="s">
        <v>12217</v>
      </c>
      <c r="B37809" t="str">
        <f>HYPERLINK("https://lindat.mff.cuni.cz/services/teitok/pdtc10/index.php?action=vallex&amp;frame=v-w5158f49_ZU", "přijít (v-w5158f49_ZU) - substituted with v-w5158f59_ZU")</f>
        <v>přijít (v-w5158f49_ZU) - substituted with v-w5158f59_ZU</v>
      </c>
    </row>
    <row r="37810" spans="1:2" x14ac:dyDescent="0.2">
      <c r="B37810" t="s">
        <v>455</v>
      </c>
    </row>
    <row r="37811" spans="1:2" x14ac:dyDescent="0.2">
      <c r="B37811" t="s">
        <v>3702</v>
      </c>
    </row>
    <row r="37812" spans="1:2" x14ac:dyDescent="0.2">
      <c r="B37812" t="s">
        <v>12218</v>
      </c>
    </row>
    <row r="37814" spans="1:2" x14ac:dyDescent="0.2">
      <c r="A37814" t="s">
        <v>12217</v>
      </c>
      <c r="B37814" t="str">
        <f>HYPERLINK("https://lindat.mff.cuni.cz/services/teitok/pdtc10/index.php?action=vallex&amp;frame=v-w5158f54_ZU", "přijít (v-w5158f54_ZU) - substituted with v-w5158f59_ZU")</f>
        <v>přijít (v-w5158f54_ZU) - substituted with v-w5158f59_ZU</v>
      </c>
    </row>
    <row r="37815" spans="1:2" x14ac:dyDescent="0.2">
      <c r="B37815" t="s">
        <v>455</v>
      </c>
    </row>
    <row r="37816" spans="1:2" x14ac:dyDescent="0.2">
      <c r="B37816" t="s">
        <v>3702</v>
      </c>
    </row>
    <row r="37817" spans="1:2" x14ac:dyDescent="0.2">
      <c r="B37817" t="s">
        <v>12218</v>
      </c>
    </row>
    <row r="37819" spans="1:2" x14ac:dyDescent="0.2">
      <c r="A37819" t="s">
        <v>12217</v>
      </c>
      <c r="B37819" t="str">
        <f>HYPERLINK("https://lindat.mff.cuni.cz/services/teitok/pdtc10/index.php?action=vallex&amp;frame=v-w5158f58_ZU", "přijít (v-w5158f58_ZU) - substituted with v-w5158f59_ZU")</f>
        <v>přijít (v-w5158f58_ZU) - substituted with v-w5158f59_ZU</v>
      </c>
    </row>
    <row r="37820" spans="1:2" x14ac:dyDescent="0.2">
      <c r="B37820" t="s">
        <v>455</v>
      </c>
    </row>
    <row r="37821" spans="1:2" x14ac:dyDescent="0.2">
      <c r="B37821" t="s">
        <v>3702</v>
      </c>
    </row>
    <row r="37822" spans="1:2" x14ac:dyDescent="0.2">
      <c r="B37822" t="s">
        <v>12218</v>
      </c>
    </row>
    <row r="37824" spans="1:2" x14ac:dyDescent="0.2">
      <c r="A37824" t="s">
        <v>12217</v>
      </c>
      <c r="B37824" t="str">
        <f>HYPERLINK("https://lindat.mff.cuni.cz/services/teitok/pdtc10/index.php?action=vallex&amp;frame=v-w5158hsa_938", "přijít (v-w5158hsa_938) - substituted with v-w5158f59_ZU")</f>
        <v>přijít (v-w5158hsa_938) - substituted with v-w5158f59_ZU</v>
      </c>
    </row>
    <row r="37825" spans="1:4" x14ac:dyDescent="0.2">
      <c r="B37825" t="s">
        <v>455</v>
      </c>
    </row>
    <row r="37826" spans="1:4" x14ac:dyDescent="0.2">
      <c r="B37826" t="s">
        <v>3702</v>
      </c>
    </row>
    <row r="37827" spans="1:4" x14ac:dyDescent="0.2">
      <c r="B37827" t="s">
        <v>12218</v>
      </c>
    </row>
    <row r="37829" spans="1:4" x14ac:dyDescent="0.2">
      <c r="A37829" t="s">
        <v>12219</v>
      </c>
      <c r="B37829" t="str">
        <f>HYPERLINK("https://lindat.mff.cuni.cz/services/teitok/pdtc10/index.php?action=vallex&amp;frame=v-w5158f55_ZU", "přijít (v-w5158f55_ZU)")</f>
        <v>přijít (v-w5158f55_ZU)</v>
      </c>
    </row>
    <row r="37830" spans="1:4" x14ac:dyDescent="0.2">
      <c r="B37830" t="s">
        <v>1</v>
      </c>
    </row>
    <row r="37831" spans="1:4" x14ac:dyDescent="0.2">
      <c r="B37831" t="s">
        <v>176</v>
      </c>
    </row>
    <row r="37833" spans="1:4" x14ac:dyDescent="0.2">
      <c r="A37833" t="s">
        <v>12219</v>
      </c>
      <c r="B37833" t="str">
        <f>HYPERLINK("https://lindat.mff.cuni.cz/services/teitok/pdtc10/index.php?action=vallex&amp;frame=v-w5158f7", "přijít (v-w5158f7) - substituted with v-w5158f55_ZU")</f>
        <v>přijít (v-w5158f7) - substituted with v-w5158f55_ZU</v>
      </c>
    </row>
    <row r="37834" spans="1:4" x14ac:dyDescent="0.2">
      <c r="B37834" t="s">
        <v>1</v>
      </c>
      <c r="C37834" t="s">
        <v>8011</v>
      </c>
      <c r="D37834" t="s">
        <v>23198</v>
      </c>
    </row>
    <row r="37835" spans="1:4" x14ac:dyDescent="0.2">
      <c r="B37835" t="s">
        <v>176</v>
      </c>
      <c r="C37835" t="s">
        <v>1078</v>
      </c>
      <c r="D37835" t="s">
        <v>23199</v>
      </c>
    </row>
    <row r="37837" spans="1:4" x14ac:dyDescent="0.2">
      <c r="A37837" t="s">
        <v>12220</v>
      </c>
      <c r="B37837" t="str">
        <f>HYPERLINK("https://lindat.mff.cuni.cz/services/teitok/pdtc10/index.php?action=vallex&amp;frame=v-w5158f11", "přijít (v-w5158f11)")</f>
        <v>přijít (v-w5158f11)</v>
      </c>
    </row>
    <row r="37838" spans="1:4" x14ac:dyDescent="0.2">
      <c r="B37838" t="s">
        <v>1</v>
      </c>
      <c r="C37838" t="s">
        <v>12221</v>
      </c>
      <c r="D37838" t="s">
        <v>23513</v>
      </c>
    </row>
    <row r="37839" spans="1:4" x14ac:dyDescent="0.2">
      <c r="B37839" t="s">
        <v>28</v>
      </c>
      <c r="C37839" t="s">
        <v>12222</v>
      </c>
      <c r="D37839" t="s">
        <v>23514</v>
      </c>
    </row>
    <row r="37841" spans="1:4" x14ac:dyDescent="0.2">
      <c r="A37841" t="s">
        <v>12223</v>
      </c>
      <c r="B37841" t="str">
        <f>HYPERLINK("https://lindat.mff.cuni.cz/services/teitok/pdtc10/index.php?action=vallex&amp;frame=v-w5158f28", "přijít (v-w5158f28)")</f>
        <v>přijít (v-w5158f28)</v>
      </c>
    </row>
    <row r="37842" spans="1:4" x14ac:dyDescent="0.2">
      <c r="B37842" t="s">
        <v>1</v>
      </c>
      <c r="C37842" t="s">
        <v>12224</v>
      </c>
      <c r="D37842" t="s">
        <v>23513</v>
      </c>
    </row>
    <row r="37843" spans="1:4" x14ac:dyDescent="0.2">
      <c r="B37843" t="s">
        <v>28</v>
      </c>
      <c r="C37843" t="s">
        <v>12225</v>
      </c>
      <c r="D37843" t="s">
        <v>23514</v>
      </c>
    </row>
    <row r="37845" spans="1:4" x14ac:dyDescent="0.2">
      <c r="A37845" t="s">
        <v>12226</v>
      </c>
      <c r="B37845" t="str">
        <f>HYPERLINK("https://lindat.mff.cuni.cz/services/teitok/pdtc10/index.php?action=vallex&amp;frame=v-w5158f62_ZU", "přijít (v-w5158f62_ZU)")</f>
        <v>přijít (v-w5158f62_ZU)</v>
      </c>
    </row>
    <row r="37846" spans="1:4" x14ac:dyDescent="0.2">
      <c r="B37846" t="s">
        <v>1</v>
      </c>
    </row>
    <row r="37847" spans="1:4" x14ac:dyDescent="0.2">
      <c r="B37847" t="s">
        <v>467</v>
      </c>
    </row>
    <row r="37849" spans="1:4" x14ac:dyDescent="0.2">
      <c r="A37849" t="s">
        <v>12226</v>
      </c>
      <c r="B37849" t="str">
        <f>HYPERLINK("https://lindat.mff.cuni.cz/services/teitok/pdtc10/index.php?action=vallex&amp;frame=v-w5158f2", "přijít (v-w5158f2) - substituted with v-w5158f62_ZU")</f>
        <v>přijít (v-w5158f2) - substituted with v-w5158f62_ZU</v>
      </c>
    </row>
    <row r="37850" spans="1:4" x14ac:dyDescent="0.2">
      <c r="B37850" t="s">
        <v>1</v>
      </c>
      <c r="C37850" t="s">
        <v>12227</v>
      </c>
      <c r="D37850" t="s">
        <v>19497</v>
      </c>
    </row>
    <row r="37851" spans="1:4" x14ac:dyDescent="0.2">
      <c r="B37851" t="s">
        <v>467</v>
      </c>
      <c r="C37851" t="s">
        <v>12228</v>
      </c>
      <c r="D37851" t="s">
        <v>24048</v>
      </c>
    </row>
    <row r="37853" spans="1:4" x14ac:dyDescent="0.2">
      <c r="A37853" t="s">
        <v>12229</v>
      </c>
      <c r="B37853" t="str">
        <f>HYPERLINK("https://lindat.mff.cuni.cz/services/teitok/pdtc10/index.php?action=vallex&amp;frame=v-w5158f5", "přijít (v-w5158f5)")</f>
        <v>přijít (v-w5158f5)</v>
      </c>
    </row>
    <row r="37854" spans="1:4" x14ac:dyDescent="0.2">
      <c r="B37854" t="s">
        <v>1</v>
      </c>
      <c r="C37854" t="s">
        <v>12230</v>
      </c>
      <c r="D37854" t="s">
        <v>24049</v>
      </c>
    </row>
    <row r="37855" spans="1:4" x14ac:dyDescent="0.2">
      <c r="B37855" t="s">
        <v>411</v>
      </c>
      <c r="C37855" t="s">
        <v>12231</v>
      </c>
      <c r="D37855" t="s">
        <v>24050</v>
      </c>
    </row>
    <row r="37857" spans="1:4" x14ac:dyDescent="0.2">
      <c r="A37857" t="s">
        <v>12232</v>
      </c>
      <c r="B37857" t="str">
        <f>HYPERLINK("https://lindat.mff.cuni.cz/services/teitok/pdtc10/index.php?action=vallex&amp;frame=v-w5158f34", "přijít (v-w5158f34)")</f>
        <v>přijít (v-w5158f34)</v>
      </c>
    </row>
    <row r="37858" spans="1:4" x14ac:dyDescent="0.2">
      <c r="B37858" t="s">
        <v>455</v>
      </c>
    </row>
    <row r="37859" spans="1:4" x14ac:dyDescent="0.2">
      <c r="B37859" t="s">
        <v>2480</v>
      </c>
    </row>
    <row r="37861" spans="1:4" x14ac:dyDescent="0.2">
      <c r="A37861" t="s">
        <v>12233</v>
      </c>
      <c r="B37861" t="str">
        <f>HYPERLINK("https://lindat.mff.cuni.cz/services/teitok/pdtc10/index.php?action=vallex&amp;frame=v-w5158f64_ZU", "přijít (v-w5158f64_ZU)")</f>
        <v>přijít (v-w5158f64_ZU)</v>
      </c>
    </row>
    <row r="37862" spans="1:4" x14ac:dyDescent="0.2">
      <c r="B37862" t="s">
        <v>1</v>
      </c>
    </row>
    <row r="37863" spans="1:4" x14ac:dyDescent="0.2">
      <c r="B37863" t="s">
        <v>7033</v>
      </c>
    </row>
    <row r="37865" spans="1:4" x14ac:dyDescent="0.2">
      <c r="A37865" t="s">
        <v>12233</v>
      </c>
      <c r="B37865" t="str">
        <f>HYPERLINK("https://lindat.mff.cuni.cz/services/teitok/pdtc10/index.php?action=vallex&amp;frame=v-w5158f39_ZU", "přijít (v-w5158f39_ZU) - substituted with v-w5158f64_ZU")</f>
        <v>přijít (v-w5158f39_ZU) - substituted with v-w5158f64_ZU</v>
      </c>
    </row>
    <row r="37866" spans="1:4" x14ac:dyDescent="0.2">
      <c r="B37866" t="s">
        <v>1</v>
      </c>
      <c r="C37866" t="s">
        <v>1168</v>
      </c>
    </row>
    <row r="37867" spans="1:4" x14ac:dyDescent="0.2">
      <c r="B37867" t="s">
        <v>7033</v>
      </c>
    </row>
    <row r="37869" spans="1:4" x14ac:dyDescent="0.2">
      <c r="A37869" t="s">
        <v>12233</v>
      </c>
      <c r="B37869" t="str">
        <f>HYPERLINK("https://lindat.mff.cuni.cz/services/teitok/pdtc10/index.php?action=vallex&amp;frame=v-w5158f41_ZU", "přijít (v-w5158f41_ZU) - substituted with v-w5158f64_ZU")</f>
        <v>přijít (v-w5158f41_ZU) - substituted with v-w5158f64_ZU</v>
      </c>
    </row>
    <row r="37870" spans="1:4" x14ac:dyDescent="0.2">
      <c r="B37870" t="s">
        <v>1</v>
      </c>
      <c r="C37870" t="s">
        <v>12046</v>
      </c>
      <c r="D37870" t="s">
        <v>23789</v>
      </c>
    </row>
    <row r="37871" spans="1:4" x14ac:dyDescent="0.2">
      <c r="B37871" t="s">
        <v>7033</v>
      </c>
      <c r="D37871" t="s">
        <v>23790</v>
      </c>
    </row>
    <row r="37873" spans="1:4" x14ac:dyDescent="0.2">
      <c r="A37873" t="s">
        <v>12234</v>
      </c>
      <c r="B37873" t="str">
        <f>HYPERLINK("https://lindat.mff.cuni.cz/services/teitok/pdtc10/index.php?action=vallex&amp;frame=v-w5158f68_ZU", "přijít (v-w5158f68_ZU)")</f>
        <v>přijít (v-w5158f68_ZU)</v>
      </c>
    </row>
    <row r="37874" spans="1:4" x14ac:dyDescent="0.2">
      <c r="B37874" t="s">
        <v>1</v>
      </c>
    </row>
    <row r="37875" spans="1:4" x14ac:dyDescent="0.2">
      <c r="B37875" t="s">
        <v>90</v>
      </c>
    </row>
    <row r="37877" spans="1:4" x14ac:dyDescent="0.2">
      <c r="A37877" t="s">
        <v>12234</v>
      </c>
      <c r="B37877" t="str">
        <f>HYPERLINK("https://lindat.mff.cuni.cz/services/teitok/pdtc10/index.php?action=vallex&amp;frame=v-w5158f1", "přijít (v-w5158f1) - substituted with v-w5158f68_ZU")</f>
        <v>přijít (v-w5158f1) - substituted with v-w5158f68_ZU</v>
      </c>
    </row>
    <row r="37878" spans="1:4" x14ac:dyDescent="0.2">
      <c r="B37878" t="s">
        <v>1</v>
      </c>
      <c r="C37878" t="s">
        <v>12235</v>
      </c>
      <c r="D37878" t="s">
        <v>23107</v>
      </c>
    </row>
    <row r="37879" spans="1:4" x14ac:dyDescent="0.2">
      <c r="B37879" t="s">
        <v>90</v>
      </c>
      <c r="C37879" t="s">
        <v>12236</v>
      </c>
      <c r="D37879" t="s">
        <v>23108</v>
      </c>
    </row>
    <row r="37881" spans="1:4" x14ac:dyDescent="0.2">
      <c r="A37881" t="s">
        <v>12234</v>
      </c>
      <c r="B37881" t="str">
        <f>HYPERLINK("https://lindat.mff.cuni.cz/services/teitok/pdtc10/index.php?action=vallex&amp;frame=v-w5158f66_ZU", "přijít (v-w5158f66_ZU) - substituted with v-w5158f68_ZU")</f>
        <v>přijít (v-w5158f66_ZU) - substituted with v-w5158f68_ZU</v>
      </c>
    </row>
    <row r="37882" spans="1:4" x14ac:dyDescent="0.2">
      <c r="B37882" t="s">
        <v>1</v>
      </c>
    </row>
    <row r="37883" spans="1:4" x14ac:dyDescent="0.2">
      <c r="B37883" t="s">
        <v>90</v>
      </c>
    </row>
    <row r="37885" spans="1:4" x14ac:dyDescent="0.2">
      <c r="A37885" t="s">
        <v>12237</v>
      </c>
      <c r="B37885" t="str">
        <f>HYPERLINK("https://lindat.mff.cuni.cz/services/teitok/pdtc10/index.php?action=vallex&amp;frame=v-w5158f40_ZU", "přijít (v-w5158f40_ZU)")</f>
        <v>přijít (v-w5158f40_ZU)</v>
      </c>
    </row>
    <row r="37886" spans="1:4" x14ac:dyDescent="0.2">
      <c r="B37886" t="s">
        <v>1</v>
      </c>
      <c r="C37886" t="s">
        <v>12238</v>
      </c>
    </row>
    <row r="37887" spans="1:4" x14ac:dyDescent="0.2">
      <c r="B37887" t="s">
        <v>205</v>
      </c>
      <c r="C37887" t="s">
        <v>8497</v>
      </c>
    </row>
    <row r="37889" spans="1:4" x14ac:dyDescent="0.2">
      <c r="A37889" t="s">
        <v>12237</v>
      </c>
      <c r="B37889" t="str">
        <f>HYPERLINK("https://lindat.mff.cuni.cz/services/teitok/pdtc10/index.php?action=vallex&amp;frame=v-w5158f30", "přijít (v-w5158f30) - substituted with v-w5158f40_ZU")</f>
        <v>přijít (v-w5158f30) - substituted with v-w5158f40_ZU</v>
      </c>
    </row>
    <row r="37890" spans="1:4" x14ac:dyDescent="0.2">
      <c r="B37890" t="s">
        <v>1</v>
      </c>
      <c r="C37890" t="s">
        <v>3303</v>
      </c>
    </row>
    <row r="37891" spans="1:4" x14ac:dyDescent="0.2">
      <c r="B37891" t="s">
        <v>205</v>
      </c>
    </row>
    <row r="37893" spans="1:4" x14ac:dyDescent="0.2">
      <c r="A37893" t="s">
        <v>12239</v>
      </c>
      <c r="B37893" t="str">
        <f>HYPERLINK("https://lindat.mff.cuni.cz/services/teitok/pdtc10/index.php?action=vallex&amp;frame=v-w5158f12", "přijít (v-w5158f12)")</f>
        <v>přijít (v-w5158f12)</v>
      </c>
    </row>
    <row r="37894" spans="1:4" x14ac:dyDescent="0.2">
      <c r="B37894" t="s">
        <v>1</v>
      </c>
      <c r="C37894" t="s">
        <v>364</v>
      </c>
    </row>
    <row r="37895" spans="1:4" x14ac:dyDescent="0.2">
      <c r="B37895" t="s">
        <v>507</v>
      </c>
      <c r="C37895" t="s">
        <v>12240</v>
      </c>
    </row>
    <row r="37896" spans="1:4" x14ac:dyDescent="0.2">
      <c r="B37896" t="s">
        <v>220</v>
      </c>
    </row>
    <row r="37898" spans="1:4" x14ac:dyDescent="0.2">
      <c r="A37898" t="s">
        <v>12241</v>
      </c>
      <c r="B37898" t="str">
        <f>HYPERLINK("https://lindat.mff.cuni.cz/services/teitok/pdtc10/index.php?action=vallex&amp;frame=v-w5158f65_ZU", "přijít (v-w5158f65_ZU)")</f>
        <v>přijít (v-w5158f65_ZU)</v>
      </c>
    </row>
    <row r="37899" spans="1:4" x14ac:dyDescent="0.2">
      <c r="B37899" t="s">
        <v>1</v>
      </c>
    </row>
    <row r="37901" spans="1:4" x14ac:dyDescent="0.2">
      <c r="A37901" t="s">
        <v>12241</v>
      </c>
      <c r="B37901" t="str">
        <f>HYPERLINK("https://lindat.mff.cuni.cz/services/teitok/pdtc10/index.php?action=vallex&amp;frame=v-w5158f3", "přijít (v-w5158f3) - substituted with v-w5158f65_ZU")</f>
        <v>přijít (v-w5158f3) - substituted with v-w5158f65_ZU</v>
      </c>
    </row>
    <row r="37902" spans="1:4" x14ac:dyDescent="0.2">
      <c r="B37902" t="s">
        <v>1</v>
      </c>
      <c r="C37902" t="s">
        <v>12242</v>
      </c>
      <c r="D37902" t="s">
        <v>23208</v>
      </c>
    </row>
    <row r="37904" spans="1:4" x14ac:dyDescent="0.2">
      <c r="A37904" t="s">
        <v>12243</v>
      </c>
      <c r="B37904" t="str">
        <f>HYPERLINK("https://lindat.mff.cuni.cz/services/teitok/pdtc10/index.php?action=vallex&amp;frame=v-w5158f35_ZU", "přijít (v-w5158f35_ZU)")</f>
        <v>přijít (v-w5158f35_ZU)</v>
      </c>
    </row>
    <row r="37905" spans="1:4" x14ac:dyDescent="0.2">
      <c r="B37905" t="s">
        <v>761</v>
      </c>
      <c r="C37905" t="s">
        <v>1593</v>
      </c>
    </row>
    <row r="37907" spans="1:4" x14ac:dyDescent="0.2">
      <c r="A37907" t="s">
        <v>12244</v>
      </c>
      <c r="B37907" t="str">
        <f>HYPERLINK("https://lindat.mff.cuni.cz/services/teitok/pdtc10/index.php?action=vallex&amp;frame=v-w5158f9", "přijít (v-w5158f9)")</f>
        <v>přijít (v-w5158f9)</v>
      </c>
    </row>
    <row r="37908" spans="1:4" x14ac:dyDescent="0.2">
      <c r="B37908" t="s">
        <v>1</v>
      </c>
    </row>
    <row r="37909" spans="1:4" x14ac:dyDescent="0.2">
      <c r="B37909" t="s">
        <v>12054</v>
      </c>
    </row>
    <row r="37911" spans="1:4" x14ac:dyDescent="0.2">
      <c r="A37911" t="s">
        <v>12245</v>
      </c>
      <c r="B37911" t="str">
        <f>HYPERLINK("https://lindat.mff.cuni.cz/services/teitok/pdtc10/index.php?action=vallex&amp;frame=v-w5158f19", "přijít (v-w5158f19)")</f>
        <v>přijít (v-w5158f19)</v>
      </c>
    </row>
    <row r="37912" spans="1:4" x14ac:dyDescent="0.2">
      <c r="B37912" t="s">
        <v>1</v>
      </c>
    </row>
    <row r="37913" spans="1:4" x14ac:dyDescent="0.2">
      <c r="B37913" t="s">
        <v>12056</v>
      </c>
    </row>
    <row r="37915" spans="1:4" x14ac:dyDescent="0.2">
      <c r="A37915" t="s">
        <v>12246</v>
      </c>
      <c r="B37915" t="str">
        <f>HYPERLINK("https://lindat.mff.cuni.cz/services/teitok/pdtc10/index.php?action=vallex&amp;frame=v-w5158f10", "přijít (v-w5158f10)")</f>
        <v>přijít (v-w5158f10)</v>
      </c>
    </row>
    <row r="37916" spans="1:4" x14ac:dyDescent="0.2">
      <c r="B37916" t="s">
        <v>1</v>
      </c>
    </row>
    <row r="37917" spans="1:4" x14ac:dyDescent="0.2">
      <c r="B37917" t="s">
        <v>12247</v>
      </c>
    </row>
    <row r="37919" spans="1:4" x14ac:dyDescent="0.2">
      <c r="A37919" t="s">
        <v>12248</v>
      </c>
      <c r="B37919" t="str">
        <f>HYPERLINK("https://lindat.mff.cuni.cz/services/teitok/pdtc10/index.php?action=vallex&amp;frame=v-w5158f45_ZU", "přijít (v-w5158f45_ZU)")</f>
        <v>přijít (v-w5158f45_ZU)</v>
      </c>
    </row>
    <row r="37920" spans="1:4" x14ac:dyDescent="0.2">
      <c r="B37920" t="s">
        <v>1</v>
      </c>
      <c r="C37920" t="s">
        <v>2106</v>
      </c>
      <c r="D37920" t="s">
        <v>24053</v>
      </c>
    </row>
    <row r="37921" spans="1:4" x14ac:dyDescent="0.2">
      <c r="B37921" t="s">
        <v>12249</v>
      </c>
      <c r="C37921" t="s">
        <v>12250</v>
      </c>
      <c r="D37921" t="s">
        <v>24054</v>
      </c>
    </row>
    <row r="37923" spans="1:4" x14ac:dyDescent="0.2">
      <c r="A37923" t="s">
        <v>12248</v>
      </c>
      <c r="B37923" t="str">
        <f>HYPERLINK("https://lindat.mff.cuni.cz/services/teitok/pdtc10/index.php?action=vallex&amp;frame=v-w5158f6", "přijít (v-w5158f6) - substituted with v-w5158f45_ZU")</f>
        <v>přijít (v-w5158f6) - substituted with v-w5158f45_ZU</v>
      </c>
    </row>
    <row r="37924" spans="1:4" x14ac:dyDescent="0.2">
      <c r="B37924" t="s">
        <v>1</v>
      </c>
      <c r="C37924" t="s">
        <v>2444</v>
      </c>
    </row>
    <row r="37925" spans="1:4" x14ac:dyDescent="0.2">
      <c r="B37925" t="s">
        <v>12249</v>
      </c>
    </row>
    <row r="37927" spans="1:4" x14ac:dyDescent="0.2">
      <c r="A37927" t="s">
        <v>12251</v>
      </c>
      <c r="B37927" t="str">
        <f>HYPERLINK("https://lindat.mff.cuni.cz/services/teitok/pdtc10/index.php?action=vallex&amp;frame=v-w5158f36_ZU", "přijít (v-w5158f36_ZU)")</f>
        <v>přijít (v-w5158f36_ZU)</v>
      </c>
    </row>
    <row r="37928" spans="1:4" x14ac:dyDescent="0.2">
      <c r="B37928" t="s">
        <v>1</v>
      </c>
      <c r="C37928" t="s">
        <v>186</v>
      </c>
      <c r="D37928" t="s">
        <v>24053</v>
      </c>
    </row>
    <row r="37929" spans="1:4" x14ac:dyDescent="0.2">
      <c r="B37929" t="s">
        <v>12252</v>
      </c>
      <c r="D37929" t="s">
        <v>24054</v>
      </c>
    </row>
    <row r="37931" spans="1:4" x14ac:dyDescent="0.2">
      <c r="A37931" t="s">
        <v>12253</v>
      </c>
      <c r="B37931" t="str">
        <f>HYPERLINK("https://lindat.mff.cuni.cz/services/teitok/pdtc10/index.php?action=vallex&amp;frame=v-w5158f20", "přijít (v-w5158f20)")</f>
        <v>přijít (v-w5158f20)</v>
      </c>
    </row>
    <row r="37932" spans="1:4" x14ac:dyDescent="0.2">
      <c r="B37932" t="s">
        <v>331</v>
      </c>
      <c r="C37932" t="s">
        <v>2172</v>
      </c>
    </row>
    <row r="37933" spans="1:4" x14ac:dyDescent="0.2">
      <c r="B37933" t="s">
        <v>12254</v>
      </c>
    </row>
    <row r="37934" spans="1:4" x14ac:dyDescent="0.2">
      <c r="B37934" t="s">
        <v>103</v>
      </c>
    </row>
    <row r="37936" spans="1:4" x14ac:dyDescent="0.2">
      <c r="A37936" t="s">
        <v>12255</v>
      </c>
      <c r="B37936" t="str">
        <f>HYPERLINK("https://lindat.mff.cuni.cz/services/teitok/pdtc10/index.php?action=vallex&amp;frame=v-w5158f15", "přijít (v-w5158f15)")</f>
        <v>přijít (v-w5158f15)</v>
      </c>
    </row>
    <row r="37937" spans="1:2" x14ac:dyDescent="0.2">
      <c r="B37937" t="s">
        <v>1</v>
      </c>
    </row>
    <row r="37938" spans="1:2" x14ac:dyDescent="0.2">
      <c r="B37938" t="s">
        <v>12256</v>
      </c>
    </row>
    <row r="37939" spans="1:2" x14ac:dyDescent="0.2">
      <c r="B37939" t="s">
        <v>103</v>
      </c>
    </row>
    <row r="37941" spans="1:2" x14ac:dyDescent="0.2">
      <c r="A37941" t="s">
        <v>12257</v>
      </c>
      <c r="B37941" t="str">
        <f>HYPERLINK("https://lindat.mff.cuni.cz/services/teitok/pdtc10/index.php?action=vallex&amp;frame=v-w5158f23", "přijít (v-w5158f23)")</f>
        <v>přijít (v-w5158f23)</v>
      </c>
    </row>
    <row r="37942" spans="1:2" x14ac:dyDescent="0.2">
      <c r="B37942" t="s">
        <v>1</v>
      </c>
    </row>
    <row r="37943" spans="1:2" x14ac:dyDescent="0.2">
      <c r="B37943" t="s">
        <v>12258</v>
      </c>
    </row>
    <row r="37944" spans="1:2" x14ac:dyDescent="0.2">
      <c r="B37944" t="s">
        <v>103</v>
      </c>
    </row>
    <row r="37946" spans="1:2" x14ac:dyDescent="0.2">
      <c r="A37946" t="s">
        <v>12259</v>
      </c>
      <c r="B37946" t="str">
        <f>HYPERLINK("https://lindat.mff.cuni.cz/services/teitok/pdtc10/index.php?action=vallex&amp;frame=v-w5158f27", "přijít (v-w5158f27)")</f>
        <v>přijít (v-w5158f27)</v>
      </c>
    </row>
    <row r="37947" spans="1:2" x14ac:dyDescent="0.2">
      <c r="B37947" t="s">
        <v>455</v>
      </c>
    </row>
    <row r="37948" spans="1:2" x14ac:dyDescent="0.2">
      <c r="B37948" t="s">
        <v>12260</v>
      </c>
    </row>
    <row r="37949" spans="1:2" x14ac:dyDescent="0.2">
      <c r="B37949" t="s">
        <v>12261</v>
      </c>
    </row>
    <row r="37951" spans="1:2" x14ac:dyDescent="0.2">
      <c r="A37951" t="s">
        <v>12262</v>
      </c>
      <c r="B37951" t="str">
        <f>HYPERLINK("https://lindat.mff.cuni.cz/services/teitok/pdtc10/index.php?action=vallex&amp;frame=v-w5158f29", "přijít (v-w5158f29)")</f>
        <v>přijít (v-w5158f29)</v>
      </c>
    </row>
    <row r="37952" spans="1:2" x14ac:dyDescent="0.2">
      <c r="B37952" t="s">
        <v>488</v>
      </c>
    </row>
    <row r="37953" spans="1:2" x14ac:dyDescent="0.2">
      <c r="B37953" t="s">
        <v>12263</v>
      </c>
    </row>
    <row r="37955" spans="1:2" x14ac:dyDescent="0.2">
      <c r="A37955" t="s">
        <v>12264</v>
      </c>
      <c r="B37955" t="str">
        <f>HYPERLINK("https://lindat.mff.cuni.cz/services/teitok/pdtc10/index.php?action=vallex&amp;frame=v-w5158f26", "přijít (v-w5158f26)")</f>
        <v>přijít (v-w5158f26)</v>
      </c>
    </row>
    <row r="37956" spans="1:2" x14ac:dyDescent="0.2">
      <c r="B37956" t="s">
        <v>1</v>
      </c>
    </row>
    <row r="37957" spans="1:2" x14ac:dyDescent="0.2">
      <c r="B37957" t="s">
        <v>12265</v>
      </c>
    </row>
    <row r="37959" spans="1:2" x14ac:dyDescent="0.2">
      <c r="A37959" t="s">
        <v>12266</v>
      </c>
      <c r="B37959" t="str">
        <f>HYPERLINK("https://lindat.mff.cuni.cz/services/teitok/pdtc10/index.php?action=vallex&amp;frame=v-w5158f33", "přijít (v-w5158f33)")</f>
        <v>přijít (v-w5158f33)</v>
      </c>
    </row>
    <row r="37960" spans="1:2" x14ac:dyDescent="0.2">
      <c r="B37960" t="s">
        <v>1</v>
      </c>
    </row>
    <row r="37961" spans="1:2" x14ac:dyDescent="0.2">
      <c r="B37961" t="s">
        <v>12267</v>
      </c>
    </row>
    <row r="37963" spans="1:2" x14ac:dyDescent="0.2">
      <c r="A37963" t="s">
        <v>12268</v>
      </c>
      <c r="B37963" t="str">
        <f>HYPERLINK("https://lindat.mff.cuni.cz/services/teitok/pdtc10/index.php?action=vallex&amp;frame=v-w5158f32", "přijít (v-w5158f32)")</f>
        <v>přijít (v-w5158f32)</v>
      </c>
    </row>
    <row r="37964" spans="1:2" x14ac:dyDescent="0.2">
      <c r="B37964" t="s">
        <v>1</v>
      </c>
    </row>
    <row r="37965" spans="1:2" x14ac:dyDescent="0.2">
      <c r="B37965" t="s">
        <v>12269</v>
      </c>
    </row>
    <row r="37967" spans="1:2" x14ac:dyDescent="0.2">
      <c r="A37967" t="s">
        <v>12270</v>
      </c>
      <c r="B37967" t="str">
        <f>HYPERLINK("https://lindat.mff.cuni.cz/services/teitok/pdtc10/index.php?action=vallex&amp;frame=v-w5158f8", "přijít (v-w5158f8)")</f>
        <v>přijít (v-w5158f8)</v>
      </c>
    </row>
    <row r="37968" spans="1:2" x14ac:dyDescent="0.2">
      <c r="B37968" t="s">
        <v>1</v>
      </c>
    </row>
    <row r="37969" spans="1:3" x14ac:dyDescent="0.2">
      <c r="B37969" t="s">
        <v>11111</v>
      </c>
    </row>
    <row r="37971" spans="1:3" x14ac:dyDescent="0.2">
      <c r="A37971" t="s">
        <v>12271</v>
      </c>
      <c r="B37971" t="str">
        <f>HYPERLINK("https://lindat.mff.cuni.cz/services/teitok/pdtc10/index.php?action=vallex&amp;frame=v-w5158f24", "přijít (v-w5158f24)")</f>
        <v>přijít (v-w5158f24)</v>
      </c>
    </row>
    <row r="37972" spans="1:3" x14ac:dyDescent="0.2">
      <c r="B37972" t="s">
        <v>1</v>
      </c>
    </row>
    <row r="37973" spans="1:3" x14ac:dyDescent="0.2">
      <c r="B37973" t="s">
        <v>12272</v>
      </c>
    </row>
    <row r="37975" spans="1:3" x14ac:dyDescent="0.2">
      <c r="A37975" t="s">
        <v>12273</v>
      </c>
      <c r="B37975" t="str">
        <f>HYPERLINK("https://lindat.mff.cuni.cz/services/teitok/pdtc10/index.php?action=vallex&amp;frame=v-w5158f31", "přijít (v-w5158f31)")</f>
        <v>přijít (v-w5158f31)</v>
      </c>
    </row>
    <row r="37976" spans="1:3" x14ac:dyDescent="0.2">
      <c r="B37976" t="s">
        <v>1</v>
      </c>
    </row>
    <row r="37977" spans="1:3" x14ac:dyDescent="0.2">
      <c r="B37977" t="s">
        <v>12065</v>
      </c>
    </row>
    <row r="37979" spans="1:3" x14ac:dyDescent="0.2">
      <c r="A37979" t="s">
        <v>12274</v>
      </c>
      <c r="B37979" t="str">
        <f>HYPERLINK("https://lindat.mff.cuni.cz/services/teitok/pdtc10/index.php?action=vallex&amp;frame=v-w5158f14", "přijít (v-w5158f14)")</f>
        <v>přijít (v-w5158f14)</v>
      </c>
    </row>
    <row r="37980" spans="1:3" x14ac:dyDescent="0.2">
      <c r="B37980" t="s">
        <v>1</v>
      </c>
      <c r="C37980" t="s">
        <v>12275</v>
      </c>
    </row>
    <row r="37981" spans="1:3" x14ac:dyDescent="0.2">
      <c r="B37981" t="s">
        <v>12068</v>
      </c>
    </row>
    <row r="37983" spans="1:3" x14ac:dyDescent="0.2">
      <c r="A37983" t="s">
        <v>12276</v>
      </c>
      <c r="B37983" t="str">
        <f>HYPERLINK("https://lindat.mff.cuni.cz/services/teitok/pdtc10/index.php?action=vallex&amp;frame=v-w5158f18", "přijít (v-w5158f18)")</f>
        <v>přijít (v-w5158f18)</v>
      </c>
    </row>
    <row r="37984" spans="1:3" x14ac:dyDescent="0.2">
      <c r="B37984" t="s">
        <v>1</v>
      </c>
    </row>
    <row r="37985" spans="1:4" x14ac:dyDescent="0.2">
      <c r="B37985" t="s">
        <v>12075</v>
      </c>
    </row>
    <row r="37987" spans="1:4" x14ac:dyDescent="0.2">
      <c r="A37987" t="s">
        <v>12277</v>
      </c>
      <c r="B37987" t="str">
        <f>HYPERLINK("https://lindat.mff.cuni.cz/services/teitok/pdtc10/index.php?action=vallex&amp;frame=v-w5158f25", "přijít (v-w5158f25)")</f>
        <v>přijít (v-w5158f25)</v>
      </c>
    </row>
    <row r="37988" spans="1:4" x14ac:dyDescent="0.2">
      <c r="B37988" t="s">
        <v>1</v>
      </c>
    </row>
    <row r="37989" spans="1:4" x14ac:dyDescent="0.2">
      <c r="B37989" t="s">
        <v>12278</v>
      </c>
    </row>
    <row r="37991" spans="1:4" x14ac:dyDescent="0.2">
      <c r="A37991" t="s">
        <v>12279</v>
      </c>
      <c r="B37991" t="str">
        <f>HYPERLINK("https://lindat.mff.cuni.cz/services/teitok/pdtc10/index.php?action=vallex&amp;frame=v-w5158f17", "přijít (v-w5158f17)")</f>
        <v>přijít (v-w5158f17)</v>
      </c>
    </row>
    <row r="37992" spans="1:4" x14ac:dyDescent="0.2">
      <c r="B37992" t="s">
        <v>1</v>
      </c>
      <c r="C37992" t="s">
        <v>147</v>
      </c>
      <c r="D37992" t="s">
        <v>147</v>
      </c>
    </row>
    <row r="37993" spans="1:4" x14ac:dyDescent="0.2">
      <c r="B37993" t="s">
        <v>12263</v>
      </c>
      <c r="C37993" t="s">
        <v>6839</v>
      </c>
    </row>
    <row r="37995" spans="1:4" x14ac:dyDescent="0.2">
      <c r="A37995" t="s">
        <v>12280</v>
      </c>
      <c r="B37995" t="str">
        <f>HYPERLINK("https://lindat.mff.cuni.cz/services/teitok/pdtc10/index.php?action=vallex&amp;frame=v-w5158f22", "přijít (v-w5158f22)")</f>
        <v>přijít (v-w5158f22)</v>
      </c>
    </row>
    <row r="37996" spans="1:4" x14ac:dyDescent="0.2">
      <c r="B37996" t="s">
        <v>1</v>
      </c>
    </row>
    <row r="37997" spans="1:4" x14ac:dyDescent="0.2">
      <c r="B37997" t="s">
        <v>3893</v>
      </c>
    </row>
    <row r="37999" spans="1:4" x14ac:dyDescent="0.2">
      <c r="A37999" t="s">
        <v>12281</v>
      </c>
      <c r="B37999" t="str">
        <f>HYPERLINK("https://lindat.mff.cuni.cz/services/teitok/pdtc10/index.php?action=vallex&amp;frame=v-w5158f13", "přijít (v-w5158f13)")</f>
        <v>přijít (v-w5158f13)</v>
      </c>
    </row>
    <row r="38000" spans="1:4" x14ac:dyDescent="0.2">
      <c r="B38000" t="s">
        <v>1</v>
      </c>
    </row>
    <row r="38001" spans="1:3" x14ac:dyDescent="0.2">
      <c r="B38001" t="s">
        <v>12070</v>
      </c>
    </row>
    <row r="38003" spans="1:3" x14ac:dyDescent="0.2">
      <c r="A38003" t="s">
        <v>12282</v>
      </c>
      <c r="B38003" t="str">
        <f>HYPERLINK("https://lindat.mff.cuni.cz/services/teitok/pdtc10/index.php?action=vallex&amp;frame=v-w5158f21", "přijít (v-w5158f21)")</f>
        <v>přijít (v-w5158f21)</v>
      </c>
    </row>
    <row r="38004" spans="1:3" x14ac:dyDescent="0.2">
      <c r="B38004" t="s">
        <v>761</v>
      </c>
    </row>
    <row r="38005" spans="1:3" x14ac:dyDescent="0.2">
      <c r="B38005" t="s">
        <v>12072</v>
      </c>
    </row>
    <row r="38007" spans="1:3" x14ac:dyDescent="0.2">
      <c r="A38007" t="s">
        <v>12283</v>
      </c>
      <c r="B38007" t="str">
        <f>HYPERLINK("https://lindat.mff.cuni.cz/services/teitok/pdtc10/index.php?action=vallex&amp;frame=v-w5158f37_ZU", "přijít (v-w5158f37_ZU)")</f>
        <v>přijít (v-w5158f37_ZU)</v>
      </c>
    </row>
    <row r="38008" spans="1:3" x14ac:dyDescent="0.2">
      <c r="B38008" t="s">
        <v>1</v>
      </c>
      <c r="C38008" t="s">
        <v>1586</v>
      </c>
    </row>
    <row r="38009" spans="1:3" x14ac:dyDescent="0.2">
      <c r="B38009" t="s">
        <v>12284</v>
      </c>
    </row>
    <row r="38011" spans="1:3" x14ac:dyDescent="0.2">
      <c r="A38011" t="s">
        <v>12285</v>
      </c>
      <c r="B38011" t="str">
        <f>HYPERLINK("https://lindat.mff.cuni.cz/services/teitok/pdtc10/index.php?action=vallex&amp;frame=v-w5158f42_ZU", "přijít (v-w5158f42_ZU)")</f>
        <v>přijít (v-w5158f42_ZU)</v>
      </c>
    </row>
    <row r="38012" spans="1:3" x14ac:dyDescent="0.2">
      <c r="B38012" t="s">
        <v>1</v>
      </c>
      <c r="C38012" t="s">
        <v>2444</v>
      </c>
    </row>
    <row r="38013" spans="1:3" x14ac:dyDescent="0.2">
      <c r="B38013" t="s">
        <v>28</v>
      </c>
      <c r="C38013" t="s">
        <v>12286</v>
      </c>
    </row>
    <row r="38015" spans="1:3" x14ac:dyDescent="0.2">
      <c r="A38015" t="s">
        <v>12285</v>
      </c>
      <c r="B38015" t="str">
        <f>HYPERLINK("https://lindat.mff.cuni.cz/services/teitok/pdtc10/index.php?action=vallex&amp;frame=v-w5158hsa_1092", "přijít (v-w5158hsa_1092) - substituted with v-w5158f42_ZU")</f>
        <v>přijít (v-w5158hsa_1092) - substituted with v-w5158f42_ZU</v>
      </c>
    </row>
    <row r="38016" spans="1:3" x14ac:dyDescent="0.2">
      <c r="B38016" t="s">
        <v>1</v>
      </c>
    </row>
    <row r="38017" spans="1:2" x14ac:dyDescent="0.2">
      <c r="B38017" t="s">
        <v>28</v>
      </c>
    </row>
    <row r="38019" spans="1:2" x14ac:dyDescent="0.2">
      <c r="A38019" t="s">
        <v>12287</v>
      </c>
      <c r="B38019" t="str">
        <f>HYPERLINK("https://lindat.mff.cuni.cz/services/teitok/pdtc10/index.php?action=vallex&amp;frame=v-w5158f43_ZU", "přijít (v-w5158f43_ZU)")</f>
        <v>přijít (v-w5158f43_ZU)</v>
      </c>
    </row>
    <row r="38020" spans="1:2" x14ac:dyDescent="0.2">
      <c r="B38020" t="s">
        <v>1</v>
      </c>
    </row>
    <row r="38021" spans="1:2" x14ac:dyDescent="0.2">
      <c r="B38021" t="s">
        <v>12288</v>
      </c>
    </row>
    <row r="38023" spans="1:2" x14ac:dyDescent="0.2">
      <c r="A38023" t="s">
        <v>12287</v>
      </c>
      <c r="B38023" t="str">
        <f>HYPERLINK("https://lindat.mff.cuni.cz/services/teitok/pdtc10/index.php?action=vallex&amp;frame=v-w5158hsa_1093", "přijít (v-w5158hsa_1093) - substituted with v-w5158f43_ZU")</f>
        <v>přijít (v-w5158hsa_1093) - substituted with v-w5158f43_ZU</v>
      </c>
    </row>
    <row r="38024" spans="1:2" x14ac:dyDescent="0.2">
      <c r="B38024" t="s">
        <v>1</v>
      </c>
    </row>
    <row r="38025" spans="1:2" x14ac:dyDescent="0.2">
      <c r="B38025" t="s">
        <v>12288</v>
      </c>
    </row>
    <row r="38027" spans="1:2" x14ac:dyDescent="0.2">
      <c r="A38027" t="s">
        <v>12289</v>
      </c>
      <c r="B38027" t="str">
        <f>HYPERLINK("https://lindat.mff.cuni.cz/services/teitok/pdtc10/index.php?action=vallex&amp;frame=v-w5158f44_ZU", "přijít (v-w5158f44_ZU)")</f>
        <v>přijít (v-w5158f44_ZU)</v>
      </c>
    </row>
    <row r="38028" spans="1:2" x14ac:dyDescent="0.2">
      <c r="B38028" t="s">
        <v>1</v>
      </c>
    </row>
    <row r="38029" spans="1:2" x14ac:dyDescent="0.2">
      <c r="B38029" t="s">
        <v>12290</v>
      </c>
    </row>
    <row r="38031" spans="1:2" x14ac:dyDescent="0.2">
      <c r="A38031" t="s">
        <v>12289</v>
      </c>
      <c r="B38031" t="str">
        <f>HYPERLINK("https://lindat.mff.cuni.cz/services/teitok/pdtc10/index.php?action=vallex&amp;frame=v-w5158hsa_1094", "přijít (v-w5158hsa_1094) - substituted with v-w5158f44_ZU")</f>
        <v>přijít (v-w5158hsa_1094) - substituted with v-w5158f44_ZU</v>
      </c>
    </row>
    <row r="38032" spans="1:2" x14ac:dyDescent="0.2">
      <c r="B38032" t="s">
        <v>1</v>
      </c>
    </row>
    <row r="38033" spans="1:2" x14ac:dyDescent="0.2">
      <c r="B38033" t="s">
        <v>12290</v>
      </c>
    </row>
    <row r="38035" spans="1:2" x14ac:dyDescent="0.2">
      <c r="A38035" t="s">
        <v>12291</v>
      </c>
      <c r="B38035" t="str">
        <f>HYPERLINK("https://lindat.mff.cuni.cz/services/teitok/pdtc10/index.php?action=vallex&amp;frame=v-w5158f38_ZU", "přijít (v-w5158f38_ZU)")</f>
        <v>přijít (v-w5158f38_ZU)</v>
      </c>
    </row>
    <row r="38036" spans="1:2" x14ac:dyDescent="0.2">
      <c r="B38036" t="s">
        <v>1</v>
      </c>
    </row>
    <row r="38037" spans="1:2" x14ac:dyDescent="0.2">
      <c r="B38037" t="s">
        <v>205</v>
      </c>
    </row>
    <row r="38039" spans="1:2" x14ac:dyDescent="0.2">
      <c r="A38039" t="s">
        <v>12292</v>
      </c>
      <c r="B38039" t="str">
        <f>HYPERLINK("https://lindat.mff.cuni.cz/services/teitok/pdtc10/index.php?action=vallex&amp;frame=v-w5158f47_ZU", "přijít (v-w5158f47_ZU)")</f>
        <v>přijít (v-w5158f47_ZU)</v>
      </c>
    </row>
    <row r="38040" spans="1:2" x14ac:dyDescent="0.2">
      <c r="B38040" t="s">
        <v>488</v>
      </c>
    </row>
    <row r="38041" spans="1:2" x14ac:dyDescent="0.2">
      <c r="B38041" t="s">
        <v>103</v>
      </c>
    </row>
    <row r="38042" spans="1:2" x14ac:dyDescent="0.2">
      <c r="B38042" t="s">
        <v>1142</v>
      </c>
    </row>
    <row r="38044" spans="1:2" x14ac:dyDescent="0.2">
      <c r="A38044" t="s">
        <v>12292</v>
      </c>
      <c r="B38044" t="str">
        <f>HYPERLINK("https://lindat.mff.cuni.cz/services/teitok/pdtc10/index.php?action=vallex&amp;frame=v-w5158hsa_941", "přijít (v-w5158hsa_941) - substituted with v-w5158f47_ZU")</f>
        <v>přijít (v-w5158hsa_941) - substituted with v-w5158f47_ZU</v>
      </c>
    </row>
    <row r="38045" spans="1:2" x14ac:dyDescent="0.2">
      <c r="B38045" t="s">
        <v>488</v>
      </c>
    </row>
    <row r="38046" spans="1:2" x14ac:dyDescent="0.2">
      <c r="B38046" t="s">
        <v>103</v>
      </c>
    </row>
    <row r="38047" spans="1:2" x14ac:dyDescent="0.2">
      <c r="B38047" t="s">
        <v>1142</v>
      </c>
    </row>
    <row r="38049" spans="1:2" x14ac:dyDescent="0.2">
      <c r="A38049" t="s">
        <v>12293</v>
      </c>
      <c r="B38049" t="str">
        <f>HYPERLINK("https://lindat.mff.cuni.cz/services/teitok/pdtc10/index.php?action=vallex&amp;frame=v-w5158f51_ZU", "přijít (v-w5158f51_ZU)")</f>
        <v>přijít (v-w5158f51_ZU)</v>
      </c>
    </row>
    <row r="38050" spans="1:2" x14ac:dyDescent="0.2">
      <c r="B38050" t="s">
        <v>455</v>
      </c>
    </row>
    <row r="38051" spans="1:2" x14ac:dyDescent="0.2">
      <c r="B38051" t="s">
        <v>243</v>
      </c>
    </row>
    <row r="38052" spans="1:2" x14ac:dyDescent="0.2">
      <c r="B38052" t="s">
        <v>536</v>
      </c>
    </row>
    <row r="38054" spans="1:2" x14ac:dyDescent="0.2">
      <c r="A38054" t="s">
        <v>12294</v>
      </c>
      <c r="B38054" t="str">
        <f>HYPERLINK("https://lindat.mff.cuni.cz/services/teitok/pdtc10/index.php?action=vallex&amp;frame=v-w5158f52_ZU", "přijít (v-w5158f52_ZU)")</f>
        <v>přijít (v-w5158f52_ZU)</v>
      </c>
    </row>
    <row r="38055" spans="1:2" x14ac:dyDescent="0.2">
      <c r="B38055" t="s">
        <v>1</v>
      </c>
    </row>
    <row r="38056" spans="1:2" x14ac:dyDescent="0.2">
      <c r="B38056" t="s">
        <v>12295</v>
      </c>
    </row>
    <row r="38057" spans="1:2" x14ac:dyDescent="0.2">
      <c r="B38057" t="s">
        <v>103</v>
      </c>
    </row>
    <row r="38059" spans="1:2" x14ac:dyDescent="0.2">
      <c r="A38059" t="s">
        <v>12296</v>
      </c>
      <c r="B38059" t="str">
        <f>HYPERLINK("https://lindat.mff.cuni.cz/services/teitok/pdtc10/index.php?action=vallex&amp;frame=v-w5158f53_ZU", "přijít (v-w5158f53_ZU)")</f>
        <v>přijít (v-w5158f53_ZU)</v>
      </c>
    </row>
    <row r="38060" spans="1:2" x14ac:dyDescent="0.2">
      <c r="B38060" t="s">
        <v>3867</v>
      </c>
    </row>
    <row r="38062" spans="1:2" x14ac:dyDescent="0.2">
      <c r="A38062" t="s">
        <v>12297</v>
      </c>
      <c r="B38062" t="str">
        <f>HYPERLINK("https://lindat.mff.cuni.cz/services/teitok/pdtc10/index.php?action=vallex&amp;frame=v-w5158f56_ZU", "přijít (v-w5158f56_ZU)")</f>
        <v>přijít (v-w5158f56_ZU)</v>
      </c>
    </row>
    <row r="38063" spans="1:2" x14ac:dyDescent="0.2">
      <c r="B38063" t="s">
        <v>1</v>
      </c>
    </row>
    <row r="38064" spans="1:2" x14ac:dyDescent="0.2">
      <c r="B38064" t="s">
        <v>12062</v>
      </c>
    </row>
    <row r="38066" spans="1:2" x14ac:dyDescent="0.2">
      <c r="A38066" t="s">
        <v>12298</v>
      </c>
      <c r="B38066" t="str">
        <f>HYPERLINK("https://lindat.mff.cuni.cz/services/teitok/pdtc10/index.php?action=vallex&amp;frame=v-w5158f57_ZU", "přijít (v-w5158f57_ZU)")</f>
        <v>přijít (v-w5158f57_ZU)</v>
      </c>
    </row>
    <row r="38067" spans="1:2" x14ac:dyDescent="0.2">
      <c r="B38067" t="s">
        <v>1</v>
      </c>
    </row>
    <row r="38068" spans="1:2" x14ac:dyDescent="0.2">
      <c r="B38068" t="s">
        <v>12299</v>
      </c>
    </row>
    <row r="38070" spans="1:2" x14ac:dyDescent="0.2">
      <c r="A38070" t="s">
        <v>12300</v>
      </c>
      <c r="B38070" t="str">
        <f>HYPERLINK("https://lindat.mff.cuni.cz/services/teitok/pdtc10/index.php?action=vallex&amp;frame=v-w5158f61_ZU", "přijít (v-w5158f61_ZU)")</f>
        <v>přijít (v-w5158f61_ZU)</v>
      </c>
    </row>
    <row r="38071" spans="1:2" x14ac:dyDescent="0.2">
      <c r="B38071" t="s">
        <v>1</v>
      </c>
    </row>
    <row r="38072" spans="1:2" x14ac:dyDescent="0.2">
      <c r="B38072" t="s">
        <v>176</v>
      </c>
    </row>
    <row r="38074" spans="1:2" x14ac:dyDescent="0.2">
      <c r="A38074" t="s">
        <v>12301</v>
      </c>
      <c r="B38074" t="str">
        <f>HYPERLINK("https://lindat.mff.cuni.cz/services/teitok/pdtc10/index.php?action=vallex&amp;frame=v-w5158f63_ZU", "přijít (v-w5158f63_ZU)")</f>
        <v>přijít (v-w5158f63_ZU)</v>
      </c>
    </row>
    <row r="38075" spans="1:2" x14ac:dyDescent="0.2">
      <c r="B38075" t="s">
        <v>1</v>
      </c>
    </row>
    <row r="38077" spans="1:2" x14ac:dyDescent="0.2">
      <c r="A38077" t="s">
        <v>12302</v>
      </c>
      <c r="B38077" t="str">
        <f>HYPERLINK("https://lindat.mff.cuni.cz/services/teitok/pdtc10/index.php?action=vallex&amp;frame=v-w5158f67_ZU", "přijít (v-w5158f67_ZU)")</f>
        <v>přijít (v-w5158f67_ZU)</v>
      </c>
    </row>
    <row r="38078" spans="1:2" x14ac:dyDescent="0.2">
      <c r="B38078" t="s">
        <v>1</v>
      </c>
    </row>
    <row r="38079" spans="1:2" x14ac:dyDescent="0.2">
      <c r="B38079" t="s">
        <v>252</v>
      </c>
    </row>
    <row r="38081" spans="1:2" x14ac:dyDescent="0.2">
      <c r="A38081" t="s">
        <v>12302</v>
      </c>
      <c r="B38081" t="str">
        <f>HYPERLINK("https://lindat.mff.cuni.cz/services/teitok/pdtc10/index.php?action=vallex&amp;frame=v-w5158f48_ZU", "přijít (v-w5158f48_ZU) - substituted with v-w5158f67_ZU")</f>
        <v>přijít (v-w5158f48_ZU) - substituted with v-w5158f67_ZU</v>
      </c>
    </row>
    <row r="38082" spans="1:2" x14ac:dyDescent="0.2">
      <c r="B38082" t="s">
        <v>1</v>
      </c>
    </row>
    <row r="38083" spans="1:2" x14ac:dyDescent="0.2">
      <c r="B38083" t="s">
        <v>252</v>
      </c>
    </row>
    <row r="38085" spans="1:2" x14ac:dyDescent="0.2">
      <c r="A38085" t="s">
        <v>12302</v>
      </c>
      <c r="B38085" t="str">
        <f>HYPERLINK("https://lindat.mff.cuni.cz/services/teitok/pdtc10/index.php?action=vallex&amp;frame=v-w5158f60_ZU", "přijít (v-w5158f60_ZU) - substituted with v-w5158f67_ZU")</f>
        <v>přijít (v-w5158f60_ZU) - substituted with v-w5158f67_ZU</v>
      </c>
    </row>
    <row r="38086" spans="1:2" x14ac:dyDescent="0.2">
      <c r="B38086" t="s">
        <v>1</v>
      </c>
    </row>
    <row r="38087" spans="1:2" x14ac:dyDescent="0.2">
      <c r="B38087" t="s">
        <v>252</v>
      </c>
    </row>
    <row r="38089" spans="1:2" x14ac:dyDescent="0.2">
      <c r="A38089" t="s">
        <v>12303</v>
      </c>
      <c r="B38089" t="str">
        <f>HYPERLINK("https://lindat.mff.cuni.cz/services/teitok/pdtc10/index.php?action=vallex&amp;frame=v-w5158hsa_939", "přijít (v-w5158hsa_939)")</f>
        <v>přijít (v-w5158hsa_939)</v>
      </c>
    </row>
    <row r="38090" spans="1:2" x14ac:dyDescent="0.2">
      <c r="B38090" t="s">
        <v>1</v>
      </c>
    </row>
    <row r="38091" spans="1:2" x14ac:dyDescent="0.2">
      <c r="B38091" t="s">
        <v>28</v>
      </c>
    </row>
    <row r="38093" spans="1:2" x14ac:dyDescent="0.2">
      <c r="A38093" t="s">
        <v>12304</v>
      </c>
      <c r="B38093" t="str">
        <f>HYPERLINK("https://lindat.mff.cuni.cz/services/teitok/pdtc10/index.php?action=vallex&amp;frame=v-w5158hsa_940", "přijít (v-w5158hsa_940)")</f>
        <v>přijít (v-w5158hsa_940)</v>
      </c>
    </row>
    <row r="38094" spans="1:2" x14ac:dyDescent="0.2">
      <c r="B38094" t="s">
        <v>1</v>
      </c>
    </row>
    <row r="38095" spans="1:2" x14ac:dyDescent="0.2">
      <c r="B38095" t="s">
        <v>90</v>
      </c>
    </row>
    <row r="38097" spans="1:4" x14ac:dyDescent="0.2">
      <c r="A38097" t="s">
        <v>12305</v>
      </c>
      <c r="B38097" t="str">
        <f>HYPERLINK("https://lindat.mff.cuni.cz/services/teitok/pdtc10/index.php?action=vallex&amp;frame=v-w5159f1", "přijít si (v-w5159f1)")</f>
        <v>přijít si (v-w5159f1)</v>
      </c>
    </row>
    <row r="38098" spans="1:4" x14ac:dyDescent="0.2">
      <c r="B38098" t="s">
        <v>1</v>
      </c>
    </row>
    <row r="38099" spans="1:4" x14ac:dyDescent="0.2">
      <c r="B38099" t="s">
        <v>28</v>
      </c>
    </row>
    <row r="38101" spans="1:4" x14ac:dyDescent="0.2">
      <c r="A38101" t="s">
        <v>12306</v>
      </c>
      <c r="B38101" t="str">
        <f>HYPERLINK("https://lindat.mff.cuni.cz/services/teitok/pdtc10/index.php?action=vallex&amp;frame=v-w5159f2", "přijít si (v-w5159f2)")</f>
        <v>přijít si (v-w5159f2)</v>
      </c>
    </row>
    <row r="38102" spans="1:4" x14ac:dyDescent="0.2">
      <c r="B38102" t="s">
        <v>1</v>
      </c>
    </row>
    <row r="38103" spans="1:4" x14ac:dyDescent="0.2">
      <c r="B38103" t="s">
        <v>12082</v>
      </c>
    </row>
    <row r="38105" spans="1:4" x14ac:dyDescent="0.2">
      <c r="A38105" t="s">
        <v>12307</v>
      </c>
      <c r="B38105" t="str">
        <f>HYPERLINK("https://lindat.mff.cuni.cz/services/teitok/pdtc10/index.php?action=vallex&amp;frame=v-w5159f3_ZU", "přijít si (v-w5159f3_ZU)")</f>
        <v>přijít si (v-w5159f3_ZU)</v>
      </c>
    </row>
    <row r="38106" spans="1:4" x14ac:dyDescent="0.2">
      <c r="B38106" t="s">
        <v>1</v>
      </c>
    </row>
    <row r="38107" spans="1:4" x14ac:dyDescent="0.2">
      <c r="B38107" t="s">
        <v>28</v>
      </c>
    </row>
    <row r="38109" spans="1:4" x14ac:dyDescent="0.2">
      <c r="A38109" t="s">
        <v>12308</v>
      </c>
      <c r="B38109" t="str">
        <f>HYPERLINK("https://lindat.mff.cuni.cz/services/teitok/pdtc10/index.php?action=vallex&amp;frame=v-w5160f1", "přijíždět (v-w5160f1)")</f>
        <v>přijíždět (v-w5160f1)</v>
      </c>
    </row>
    <row r="38110" spans="1:4" x14ac:dyDescent="0.2">
      <c r="B38110" t="s">
        <v>1</v>
      </c>
      <c r="C38110" t="s">
        <v>12309</v>
      </c>
      <c r="D38110" t="s">
        <v>23107</v>
      </c>
    </row>
    <row r="38111" spans="1:4" x14ac:dyDescent="0.2">
      <c r="B38111" t="s">
        <v>90</v>
      </c>
      <c r="D38111" t="s">
        <v>23108</v>
      </c>
    </row>
    <row r="38113" spans="1:4" x14ac:dyDescent="0.2">
      <c r="A38113" t="s">
        <v>12310</v>
      </c>
      <c r="B38113" t="str">
        <f>HYPERLINK("https://lindat.mff.cuni.cz/services/teitok/pdtc10/index.php?action=vallex&amp;frame=v-w5164f1", "přikazovat (v-w5164f1)")</f>
        <v>přikazovat (v-w5164f1)</v>
      </c>
    </row>
    <row r="38114" spans="1:4" x14ac:dyDescent="0.2">
      <c r="B38114" t="s">
        <v>1</v>
      </c>
      <c r="C38114" t="s">
        <v>12311</v>
      </c>
      <c r="D38114" t="s">
        <v>1992</v>
      </c>
    </row>
    <row r="38115" spans="1:4" x14ac:dyDescent="0.2">
      <c r="B38115" t="s">
        <v>1339</v>
      </c>
      <c r="C38115" t="s">
        <v>12312</v>
      </c>
      <c r="D38115" t="s">
        <v>23096</v>
      </c>
    </row>
    <row r="38116" spans="1:4" x14ac:dyDescent="0.2">
      <c r="B38116" t="s">
        <v>35</v>
      </c>
      <c r="C38116" t="s">
        <v>12313</v>
      </c>
      <c r="D38116" t="s">
        <v>23097</v>
      </c>
    </row>
    <row r="38118" spans="1:4" x14ac:dyDescent="0.2">
      <c r="A38118" t="s">
        <v>12314</v>
      </c>
      <c r="B38118" t="str">
        <f>HYPERLINK("https://lindat.mff.cuni.cz/services/teitok/pdtc10/index.php?action=vallex&amp;frame=v-w5169f1", "přiklonit se (v-w5169f1)")</f>
        <v>přiklonit se (v-w5169f1)</v>
      </c>
    </row>
    <row r="38119" spans="1:4" x14ac:dyDescent="0.2">
      <c r="B38119" t="s">
        <v>1</v>
      </c>
      <c r="C38119" t="s">
        <v>12315</v>
      </c>
      <c r="D38119" t="s">
        <v>23274</v>
      </c>
    </row>
    <row r="38120" spans="1:4" x14ac:dyDescent="0.2">
      <c r="B38120" t="s">
        <v>176</v>
      </c>
      <c r="D38120" t="s">
        <v>3736</v>
      </c>
    </row>
    <row r="38122" spans="1:4" x14ac:dyDescent="0.2">
      <c r="A38122" t="s">
        <v>12316</v>
      </c>
      <c r="B38122" t="str">
        <f>HYPERLINK("https://lindat.mff.cuni.cz/services/teitok/pdtc10/index.php?action=vallex&amp;frame=v-w5169f2", "přiklonit se (v-w5169f2)")</f>
        <v>přiklonit se (v-w5169f2)</v>
      </c>
    </row>
    <row r="38123" spans="1:4" x14ac:dyDescent="0.2">
      <c r="B38123" t="s">
        <v>1</v>
      </c>
      <c r="C38123" t="s">
        <v>715</v>
      </c>
      <c r="D38123" t="s">
        <v>23552</v>
      </c>
    </row>
    <row r="38124" spans="1:4" x14ac:dyDescent="0.2">
      <c r="B38124" t="s">
        <v>90</v>
      </c>
      <c r="C38124" t="s">
        <v>12317</v>
      </c>
      <c r="D38124" t="s">
        <v>24065</v>
      </c>
    </row>
    <row r="38126" spans="1:4" x14ac:dyDescent="0.2">
      <c r="A38126" t="s">
        <v>12318</v>
      </c>
      <c r="B38126" t="str">
        <f>HYPERLINK("https://lindat.mff.cuni.cz/services/teitok/pdtc10/index.php?action=vallex&amp;frame=v-w5169f3", "přiklonit se (v-w5169f3)")</f>
        <v>přiklonit se (v-w5169f3)</v>
      </c>
    </row>
    <row r="38127" spans="1:4" x14ac:dyDescent="0.2">
      <c r="B38127" t="s">
        <v>1</v>
      </c>
    </row>
    <row r="38128" spans="1:4" x14ac:dyDescent="0.2">
      <c r="B38128" t="s">
        <v>90</v>
      </c>
    </row>
    <row r="38130" spans="1:4" x14ac:dyDescent="0.2">
      <c r="A38130" t="s">
        <v>12319</v>
      </c>
      <c r="B38130" t="str">
        <f>HYPERLINK("https://lindat.mff.cuni.cz/services/teitok/pdtc10/index.php?action=vallex&amp;frame=v-w5166f1", "přikládat (v-w5166f1)")</f>
        <v>přikládat (v-w5166f1)</v>
      </c>
    </row>
    <row r="38131" spans="1:4" x14ac:dyDescent="0.2">
      <c r="B38131" t="s">
        <v>1</v>
      </c>
      <c r="C38131" t="s">
        <v>682</v>
      </c>
    </row>
    <row r="38132" spans="1:4" x14ac:dyDescent="0.2">
      <c r="B38132" t="s">
        <v>8</v>
      </c>
      <c r="C38132" t="s">
        <v>12320</v>
      </c>
    </row>
    <row r="38133" spans="1:4" x14ac:dyDescent="0.2">
      <c r="B38133" t="s">
        <v>35</v>
      </c>
      <c r="C38133" t="s">
        <v>12321</v>
      </c>
    </row>
    <row r="38135" spans="1:4" x14ac:dyDescent="0.2">
      <c r="A38135" t="s">
        <v>12322</v>
      </c>
      <c r="B38135" t="str">
        <f>HYPERLINK("https://lindat.mff.cuni.cz/services/teitok/pdtc10/index.php?action=vallex&amp;frame=v-w5166f2", "přikládat (v-w5166f2)")</f>
        <v>přikládat (v-w5166f2)</v>
      </c>
    </row>
    <row r="38136" spans="1:4" x14ac:dyDescent="0.2">
      <c r="B38136" t="s">
        <v>1</v>
      </c>
      <c r="C38136" t="s">
        <v>2749</v>
      </c>
      <c r="D38136" t="s">
        <v>23181</v>
      </c>
    </row>
    <row r="38137" spans="1:4" x14ac:dyDescent="0.2">
      <c r="B38137" t="s">
        <v>8</v>
      </c>
      <c r="C38137" t="s">
        <v>2750</v>
      </c>
      <c r="D38137" t="s">
        <v>23182</v>
      </c>
    </row>
    <row r="38138" spans="1:4" x14ac:dyDescent="0.2">
      <c r="B38138" t="s">
        <v>90</v>
      </c>
      <c r="D38138" t="s">
        <v>11579</v>
      </c>
    </row>
    <row r="38140" spans="1:4" x14ac:dyDescent="0.2">
      <c r="A38140" t="s">
        <v>12323</v>
      </c>
      <c r="B38140" t="str">
        <f>HYPERLINK("https://lindat.mff.cuni.cz/services/teitok/pdtc10/index.php?action=vallex&amp;frame=v-w5167f1", "přiklánět se (v-w5167f1)")</f>
        <v>přiklánět se (v-w5167f1)</v>
      </c>
    </row>
    <row r="38141" spans="1:4" x14ac:dyDescent="0.2">
      <c r="B38141" t="s">
        <v>1</v>
      </c>
      <c r="C38141" t="s">
        <v>7995</v>
      </c>
      <c r="D38141" t="s">
        <v>23274</v>
      </c>
    </row>
    <row r="38142" spans="1:4" x14ac:dyDescent="0.2">
      <c r="B38142" t="s">
        <v>176</v>
      </c>
      <c r="D38142" t="s">
        <v>3736</v>
      </c>
    </row>
    <row r="38144" spans="1:4" x14ac:dyDescent="0.2">
      <c r="A38144" t="s">
        <v>12324</v>
      </c>
      <c r="B38144" t="str">
        <f>HYPERLINK("https://lindat.mff.cuni.cz/services/teitok/pdtc10/index.php?action=vallex&amp;frame=v-w5167f2", "přiklánět se (v-w5167f2)")</f>
        <v>přiklánět se (v-w5167f2)</v>
      </c>
    </row>
    <row r="38145" spans="1:4" x14ac:dyDescent="0.2">
      <c r="B38145" t="s">
        <v>1</v>
      </c>
      <c r="D38145" t="s">
        <v>23274</v>
      </c>
    </row>
    <row r="38146" spans="1:4" x14ac:dyDescent="0.2">
      <c r="B38146" t="s">
        <v>90</v>
      </c>
      <c r="D38146" t="s">
        <v>24066</v>
      </c>
    </row>
    <row r="38148" spans="1:4" x14ac:dyDescent="0.2">
      <c r="A38148" t="s">
        <v>12325</v>
      </c>
      <c r="B38148" t="str">
        <f>HYPERLINK("https://lindat.mff.cuni.cz/services/teitok/pdtc10/index.php?action=vallex&amp;frame=v-w5167f3", "přiklánět se (v-w5167f3)")</f>
        <v>přiklánět se (v-w5167f3)</v>
      </c>
    </row>
    <row r="38149" spans="1:4" x14ac:dyDescent="0.2">
      <c r="B38149" t="s">
        <v>1</v>
      </c>
      <c r="D38149" t="s">
        <v>24067</v>
      </c>
    </row>
    <row r="38150" spans="1:4" x14ac:dyDescent="0.2">
      <c r="B38150" t="s">
        <v>90</v>
      </c>
    </row>
    <row r="38152" spans="1:4" x14ac:dyDescent="0.2">
      <c r="A38152" t="s">
        <v>12326</v>
      </c>
      <c r="B38152" t="str">
        <f>HYPERLINK("https://lindat.mff.cuni.cz/services/teitok/pdtc10/index.php?action=vallex&amp;frame=v-w10376f2", "přikoupit (v-w10376f2)")</f>
        <v>přikoupit (v-w10376f2)</v>
      </c>
    </row>
    <row r="38153" spans="1:4" x14ac:dyDescent="0.2">
      <c r="B38153" t="s">
        <v>1</v>
      </c>
      <c r="C38153" t="s">
        <v>12327</v>
      </c>
      <c r="D38153" t="s">
        <v>23430</v>
      </c>
    </row>
    <row r="38154" spans="1:4" x14ac:dyDescent="0.2">
      <c r="B38154" t="s">
        <v>8</v>
      </c>
      <c r="C38154" t="s">
        <v>12328</v>
      </c>
      <c r="D38154" t="s">
        <v>23431</v>
      </c>
    </row>
    <row r="38155" spans="1:4" x14ac:dyDescent="0.2">
      <c r="B38155" t="s">
        <v>1629</v>
      </c>
      <c r="C38155" t="s">
        <v>10147</v>
      </c>
      <c r="D38155" t="s">
        <v>4242</v>
      </c>
    </row>
    <row r="38156" spans="1:4" x14ac:dyDescent="0.2">
      <c r="B38156" t="s">
        <v>321</v>
      </c>
      <c r="C38156" t="s">
        <v>12329</v>
      </c>
      <c r="D38156" t="s">
        <v>5731</v>
      </c>
    </row>
    <row r="38158" spans="1:4" x14ac:dyDescent="0.2">
      <c r="A38158" t="s">
        <v>12330</v>
      </c>
      <c r="B38158" t="str">
        <f>HYPERLINK("https://lindat.mff.cuni.cz/services/teitok/pdtc10/index.php?action=vallex&amp;frame=v-w5170f1", "přikovat (v-w5170f1)")</f>
        <v>přikovat (v-w5170f1)</v>
      </c>
    </row>
    <row r="38159" spans="1:4" x14ac:dyDescent="0.2">
      <c r="B38159" t="s">
        <v>1</v>
      </c>
    </row>
    <row r="38160" spans="1:4" x14ac:dyDescent="0.2">
      <c r="B38160" t="s">
        <v>8</v>
      </c>
    </row>
    <row r="38161" spans="1:4" x14ac:dyDescent="0.2">
      <c r="B38161" t="s">
        <v>90</v>
      </c>
    </row>
    <row r="38163" spans="1:4" x14ac:dyDescent="0.2">
      <c r="A38163" t="s">
        <v>12331</v>
      </c>
      <c r="B38163" t="str">
        <f>HYPERLINK("https://lindat.mff.cuni.cz/services/teitok/pdtc10/index.php?action=vallex&amp;frame=v-w10597f2", "přikračovat (v-w10597f2)")</f>
        <v>přikračovat (v-w10597f2)</v>
      </c>
    </row>
    <row r="38164" spans="1:4" x14ac:dyDescent="0.2">
      <c r="B38164" t="s">
        <v>1</v>
      </c>
      <c r="D38164" t="s">
        <v>109</v>
      </c>
    </row>
    <row r="38165" spans="1:4" x14ac:dyDescent="0.2">
      <c r="B38165" t="s">
        <v>176</v>
      </c>
      <c r="D38165" t="s">
        <v>2886</v>
      </c>
    </row>
    <row r="38167" spans="1:4" x14ac:dyDescent="0.2">
      <c r="A38167" t="s">
        <v>12332</v>
      </c>
      <c r="B38167" t="str">
        <f>HYPERLINK("https://lindat.mff.cuni.cz/services/teitok/pdtc10/index.php?action=vallex&amp;frame=v-whsa_533hsa_534", "přikreslit (v-whsa_533hsa_534)")</f>
        <v>přikreslit (v-whsa_533hsa_534)</v>
      </c>
    </row>
    <row r="38168" spans="1:4" x14ac:dyDescent="0.2">
      <c r="B38168" t="s">
        <v>1</v>
      </c>
    </row>
    <row r="38169" spans="1:4" x14ac:dyDescent="0.2">
      <c r="B38169" t="s">
        <v>8</v>
      </c>
    </row>
    <row r="38170" spans="1:4" x14ac:dyDescent="0.2">
      <c r="B38170" t="s">
        <v>90</v>
      </c>
    </row>
    <row r="38172" spans="1:4" x14ac:dyDescent="0.2">
      <c r="A38172" t="s">
        <v>12333</v>
      </c>
      <c r="B38172" t="str">
        <f>HYPERLINK("https://lindat.mff.cuni.cz/services/teitok/pdtc10/index.php?action=vallex&amp;frame=v-w10106f2", "přikrmit (v-w10106f2)")</f>
        <v>přikrmit (v-w10106f2)</v>
      </c>
    </row>
    <row r="38173" spans="1:4" x14ac:dyDescent="0.2">
      <c r="B38173" t="s">
        <v>1</v>
      </c>
    </row>
    <row r="38174" spans="1:4" x14ac:dyDescent="0.2">
      <c r="B38174" t="s">
        <v>8</v>
      </c>
    </row>
    <row r="38176" spans="1:4" x14ac:dyDescent="0.2">
      <c r="A38176" t="s">
        <v>12334</v>
      </c>
      <c r="B38176" t="str">
        <f>HYPERLINK("https://lindat.mff.cuni.cz/services/teitok/pdtc10/index.php?action=vallex&amp;frame=v-w11887_ZUf2_ZU", "přikrmovat (v-w11887_ZUf2_ZU)")</f>
        <v>přikrmovat (v-w11887_ZUf2_ZU)</v>
      </c>
    </row>
    <row r="38177" spans="1:4" x14ac:dyDescent="0.2">
      <c r="B38177" t="s">
        <v>1</v>
      </c>
    </row>
    <row r="38178" spans="1:4" x14ac:dyDescent="0.2">
      <c r="B38178" t="s">
        <v>8</v>
      </c>
    </row>
    <row r="38180" spans="1:4" x14ac:dyDescent="0.2">
      <c r="A38180" t="s">
        <v>12334</v>
      </c>
      <c r="B38180" t="str">
        <f>HYPERLINK("https://lindat.mff.cuni.cz/services/teitok/pdtc10/index.php?action=vallex&amp;frame=v-w11887_ZUf1_ZU", "přikrmovat (v-w11887_ZUf1_ZU) - substituted with v-w11887_ZUf2_ZU")</f>
        <v>přikrmovat (v-w11887_ZUf1_ZU) - substituted with v-w11887_ZUf2_ZU</v>
      </c>
    </row>
    <row r="38181" spans="1:4" x14ac:dyDescent="0.2">
      <c r="B38181" t="s">
        <v>1</v>
      </c>
    </row>
    <row r="38182" spans="1:4" x14ac:dyDescent="0.2">
      <c r="B38182" t="s">
        <v>8</v>
      </c>
    </row>
    <row r="38184" spans="1:4" x14ac:dyDescent="0.2">
      <c r="A38184" t="s">
        <v>12335</v>
      </c>
      <c r="B38184" t="str">
        <f>HYPERLINK("https://lindat.mff.cuni.cz/services/teitok/pdtc10/index.php?action=vallex&amp;frame=v-w5173f1", "přikročit (v-w5173f1)")</f>
        <v>přikročit (v-w5173f1)</v>
      </c>
    </row>
    <row r="38185" spans="1:4" x14ac:dyDescent="0.2">
      <c r="B38185" t="s">
        <v>1</v>
      </c>
      <c r="C38185" t="s">
        <v>12336</v>
      </c>
      <c r="D38185" t="s">
        <v>109</v>
      </c>
    </row>
    <row r="38186" spans="1:4" x14ac:dyDescent="0.2">
      <c r="B38186" t="s">
        <v>176</v>
      </c>
      <c r="C38186" t="s">
        <v>12337</v>
      </c>
      <c r="D38186" t="s">
        <v>2886</v>
      </c>
    </row>
    <row r="38188" spans="1:4" x14ac:dyDescent="0.2">
      <c r="A38188" t="s">
        <v>12338</v>
      </c>
      <c r="B38188" t="str">
        <f>HYPERLINK("https://lindat.mff.cuni.cz/services/teitok/pdtc10/index.php?action=vallex&amp;frame=v-w5173f2", "přikročit (v-w5173f2)")</f>
        <v>přikročit (v-w5173f2)</v>
      </c>
    </row>
    <row r="38189" spans="1:4" x14ac:dyDescent="0.2">
      <c r="B38189" t="s">
        <v>1</v>
      </c>
      <c r="D38189" t="s">
        <v>22987</v>
      </c>
    </row>
    <row r="38190" spans="1:4" x14ac:dyDescent="0.2">
      <c r="B38190" t="s">
        <v>90</v>
      </c>
      <c r="D38190" t="s">
        <v>209</v>
      </c>
    </row>
    <row r="38192" spans="1:4" x14ac:dyDescent="0.2">
      <c r="A38192" t="s">
        <v>12339</v>
      </c>
      <c r="B38192" t="str">
        <f>HYPERLINK("https://lindat.mff.cuni.cz/services/teitok/pdtc10/index.php?action=vallex&amp;frame=v-w5171f1", "přikráčet (v-w5171f1)")</f>
        <v>přikráčet (v-w5171f1)</v>
      </c>
    </row>
    <row r="38193" spans="1:4" x14ac:dyDescent="0.2">
      <c r="B38193" t="s">
        <v>1</v>
      </c>
      <c r="D38193" t="s">
        <v>22987</v>
      </c>
    </row>
    <row r="38194" spans="1:4" x14ac:dyDescent="0.2">
      <c r="B38194" t="s">
        <v>90</v>
      </c>
      <c r="D38194" t="s">
        <v>209</v>
      </c>
    </row>
    <row r="38196" spans="1:4" x14ac:dyDescent="0.2">
      <c r="A38196" t="s">
        <v>12340</v>
      </c>
      <c r="B38196" t="str">
        <f>HYPERLINK("https://lindat.mff.cuni.cz/services/teitok/pdtc10/index.php?action=vallex&amp;frame=v-w12211_ZUf1_ZU", "přikrášlit (v-w12211_ZUf1_ZU)")</f>
        <v>přikrášlit (v-w12211_ZUf1_ZU)</v>
      </c>
    </row>
    <row r="38197" spans="1:4" x14ac:dyDescent="0.2">
      <c r="B38197" t="s">
        <v>1</v>
      </c>
    </row>
    <row r="38198" spans="1:4" x14ac:dyDescent="0.2">
      <c r="B38198" t="s">
        <v>8</v>
      </c>
    </row>
    <row r="38200" spans="1:4" x14ac:dyDescent="0.2">
      <c r="A38200" t="s">
        <v>12341</v>
      </c>
      <c r="B38200" t="str">
        <f>HYPERLINK("https://lindat.mff.cuni.cz/services/teitok/pdtc10/index.php?action=vallex&amp;frame=v-whsa_831f1_ZU", "přikrýt (v-whsa_831f1_ZU)")</f>
        <v>přikrýt (v-whsa_831f1_ZU)</v>
      </c>
    </row>
    <row r="38201" spans="1:4" x14ac:dyDescent="0.2">
      <c r="B38201" t="s">
        <v>1</v>
      </c>
    </row>
    <row r="38202" spans="1:4" x14ac:dyDescent="0.2">
      <c r="B38202" t="s">
        <v>8</v>
      </c>
    </row>
    <row r="38204" spans="1:4" x14ac:dyDescent="0.2">
      <c r="A38204" t="s">
        <v>12341</v>
      </c>
      <c r="B38204" t="str">
        <f>HYPERLINK("https://lindat.mff.cuni.cz/services/teitok/pdtc10/index.php?action=vallex&amp;frame=v-whsa_831hsa_833", "přikrýt (v-whsa_831hsa_833) - substituted with v-whsa_831f1_ZU")</f>
        <v>přikrýt (v-whsa_831hsa_833) - substituted with v-whsa_831f1_ZU</v>
      </c>
    </row>
    <row r="38205" spans="1:4" x14ac:dyDescent="0.2">
      <c r="B38205" t="s">
        <v>1</v>
      </c>
    </row>
    <row r="38206" spans="1:4" x14ac:dyDescent="0.2">
      <c r="B38206" t="s">
        <v>8</v>
      </c>
    </row>
    <row r="38208" spans="1:4" x14ac:dyDescent="0.2">
      <c r="A38208" t="s">
        <v>12342</v>
      </c>
      <c r="B38208" t="str">
        <f>HYPERLINK("https://lindat.mff.cuni.cz/services/teitok/pdtc10/index.php?action=vallex&amp;frame=v-whsa_831hsa_832", "přikrýt (v-whsa_831hsa_832)")</f>
        <v>přikrýt (v-whsa_831hsa_832)</v>
      </c>
    </row>
    <row r="38209" spans="1:4" x14ac:dyDescent="0.2">
      <c r="B38209" t="s">
        <v>1</v>
      </c>
    </row>
    <row r="38210" spans="1:4" x14ac:dyDescent="0.2">
      <c r="B38210" t="s">
        <v>8</v>
      </c>
    </row>
    <row r="38212" spans="1:4" x14ac:dyDescent="0.2">
      <c r="A38212" t="s">
        <v>12343</v>
      </c>
      <c r="B38212" t="str">
        <f>HYPERLINK("https://lindat.mff.cuni.cz/services/teitok/pdtc10/index.php?action=vallex&amp;frame=v-w11417f1", "přikrčit se (v-w11417f1)")</f>
        <v>přikrčit se (v-w11417f1)</v>
      </c>
    </row>
    <row r="38213" spans="1:4" x14ac:dyDescent="0.2">
      <c r="B38213" t="s">
        <v>1</v>
      </c>
      <c r="D38213" t="s">
        <v>186</v>
      </c>
    </row>
    <row r="38215" spans="1:4" x14ac:dyDescent="0.2">
      <c r="A38215" t="s">
        <v>12344</v>
      </c>
      <c r="B38215" t="str">
        <f>HYPERLINK("https://lindat.mff.cuni.cz/services/teitok/pdtc10/index.php?action=vallex&amp;frame=v-w5174f1", "přikusovat (v-w5174f1)")</f>
        <v>přikusovat (v-w5174f1)</v>
      </c>
    </row>
    <row r="38216" spans="1:4" x14ac:dyDescent="0.2">
      <c r="B38216" t="s">
        <v>1</v>
      </c>
    </row>
    <row r="38217" spans="1:4" x14ac:dyDescent="0.2">
      <c r="B38217" t="s">
        <v>8</v>
      </c>
    </row>
    <row r="38218" spans="1:4" x14ac:dyDescent="0.2">
      <c r="B38218" t="s">
        <v>12345</v>
      </c>
    </row>
    <row r="38220" spans="1:4" x14ac:dyDescent="0.2">
      <c r="A38220" t="s">
        <v>12346</v>
      </c>
      <c r="B38220" t="str">
        <f>HYPERLINK("https://lindat.mff.cuni.cz/services/teitok/pdtc10/index.php?action=vallex&amp;frame=v-w10299f2", "přikyvovat (v-w10299f2)")</f>
        <v>přikyvovat (v-w10299f2)</v>
      </c>
    </row>
    <row r="38221" spans="1:4" x14ac:dyDescent="0.2">
      <c r="B38221" t="s">
        <v>1</v>
      </c>
      <c r="C38221" t="s">
        <v>33</v>
      </c>
      <c r="D38221" t="s">
        <v>23303</v>
      </c>
    </row>
    <row r="38222" spans="1:4" x14ac:dyDescent="0.2">
      <c r="B38222" t="s">
        <v>12347</v>
      </c>
      <c r="C38222" t="s">
        <v>397</v>
      </c>
      <c r="D38222" t="s">
        <v>24068</v>
      </c>
    </row>
    <row r="38223" spans="1:4" x14ac:dyDescent="0.2">
      <c r="B38223" t="s">
        <v>103</v>
      </c>
      <c r="D38223" t="s">
        <v>24069</v>
      </c>
    </row>
    <row r="38225" spans="1:4" x14ac:dyDescent="0.2">
      <c r="A38225" t="s">
        <v>12348</v>
      </c>
      <c r="B38225" t="str">
        <f>HYPERLINK("https://lindat.mff.cuni.cz/services/teitok/pdtc10/index.php?action=vallex&amp;frame=v-w10299hsa_744", "přikyvovat (v-w10299hsa_744)")</f>
        <v>přikyvovat (v-w10299hsa_744)</v>
      </c>
    </row>
    <row r="38226" spans="1:4" x14ac:dyDescent="0.2">
      <c r="B38226" t="s">
        <v>1</v>
      </c>
      <c r="C38226" t="s">
        <v>3413</v>
      </c>
    </row>
    <row r="38227" spans="1:4" x14ac:dyDescent="0.2">
      <c r="B38227" t="s">
        <v>1826</v>
      </c>
      <c r="C38227" t="s">
        <v>1472</v>
      </c>
    </row>
    <row r="38228" spans="1:4" x14ac:dyDescent="0.2">
      <c r="B38228" t="s">
        <v>78</v>
      </c>
      <c r="C38228" t="s">
        <v>3280</v>
      </c>
    </row>
    <row r="38230" spans="1:4" x14ac:dyDescent="0.2">
      <c r="A38230" t="s">
        <v>12349</v>
      </c>
      <c r="B38230" t="str">
        <f>HYPERLINK("https://lindat.mff.cuni.cz/services/teitok/pdtc10/index.php?action=vallex&amp;frame=v-w5163f1", "přikázat (v-w5163f1)")</f>
        <v>přikázat (v-w5163f1)</v>
      </c>
    </row>
    <row r="38231" spans="1:4" x14ac:dyDescent="0.2">
      <c r="B38231" t="s">
        <v>1</v>
      </c>
      <c r="C38231" t="s">
        <v>12350</v>
      </c>
      <c r="D38231" t="s">
        <v>1992</v>
      </c>
    </row>
    <row r="38232" spans="1:4" x14ac:dyDescent="0.2">
      <c r="B38232" t="s">
        <v>1339</v>
      </c>
      <c r="C38232" t="s">
        <v>12351</v>
      </c>
      <c r="D38232" t="s">
        <v>23096</v>
      </c>
    </row>
    <row r="38233" spans="1:4" x14ac:dyDescent="0.2">
      <c r="B38233" t="s">
        <v>35</v>
      </c>
      <c r="C38233" t="s">
        <v>12352</v>
      </c>
      <c r="D38233" t="s">
        <v>23097</v>
      </c>
    </row>
    <row r="38235" spans="1:4" x14ac:dyDescent="0.2">
      <c r="A38235" t="s">
        <v>12353</v>
      </c>
      <c r="B38235" t="str">
        <f>HYPERLINK("https://lindat.mff.cuni.cz/services/teitok/pdtc10/index.php?action=vallex&amp;frame=v-w5175f1", "přikývnout (v-w5175f1)")</f>
        <v>přikývnout (v-w5175f1)</v>
      </c>
    </row>
    <row r="38236" spans="1:4" x14ac:dyDescent="0.2">
      <c r="B38236" t="s">
        <v>1</v>
      </c>
    </row>
    <row r="38237" spans="1:4" x14ac:dyDescent="0.2">
      <c r="B38237" t="s">
        <v>1826</v>
      </c>
    </row>
    <row r="38238" spans="1:4" x14ac:dyDescent="0.2">
      <c r="B38238" t="s">
        <v>78</v>
      </c>
    </row>
    <row r="38240" spans="1:4" x14ac:dyDescent="0.2">
      <c r="A38240" t="s">
        <v>12354</v>
      </c>
      <c r="B38240" t="str">
        <f>HYPERLINK("https://lindat.mff.cuni.cz/services/teitok/pdtc10/index.php?action=vallex&amp;frame=v-w10489f3", "přilepit (v-w10489f3)")</f>
        <v>přilepit (v-w10489f3)</v>
      </c>
    </row>
    <row r="38241" spans="1:4" x14ac:dyDescent="0.2">
      <c r="B38241" t="s">
        <v>1</v>
      </c>
      <c r="D38241" t="s">
        <v>83</v>
      </c>
    </row>
    <row r="38242" spans="1:4" x14ac:dyDescent="0.2">
      <c r="B38242" t="s">
        <v>8</v>
      </c>
      <c r="C38242" t="s">
        <v>113</v>
      </c>
      <c r="D38242" t="s">
        <v>8366</v>
      </c>
    </row>
    <row r="38244" spans="1:4" x14ac:dyDescent="0.2">
      <c r="A38244" t="s">
        <v>12355</v>
      </c>
      <c r="B38244" t="str">
        <f>HYPERLINK("https://lindat.mff.cuni.cz/services/teitok/pdtc10/index.php?action=vallex&amp;frame=v-whsa_1188hsa_1189", "přilepit se (v-whsa_1188hsa_1189)")</f>
        <v>přilepit se (v-whsa_1188hsa_1189)</v>
      </c>
    </row>
    <row r="38245" spans="1:4" x14ac:dyDescent="0.2">
      <c r="B38245" t="s">
        <v>1</v>
      </c>
    </row>
    <row r="38246" spans="1:4" x14ac:dyDescent="0.2">
      <c r="B38246" t="s">
        <v>90</v>
      </c>
    </row>
    <row r="38248" spans="1:4" x14ac:dyDescent="0.2">
      <c r="A38248" t="s">
        <v>12356</v>
      </c>
      <c r="B38248" t="str">
        <f>HYPERLINK("https://lindat.mff.cuni.cz/services/teitok/pdtc10/index.php?action=vallex&amp;frame=v-w5179f1", "přilepšit (v-w5179f1)")</f>
        <v>přilepšit (v-w5179f1)</v>
      </c>
    </row>
    <row r="38249" spans="1:4" x14ac:dyDescent="0.2">
      <c r="B38249" t="s">
        <v>1</v>
      </c>
      <c r="C38249" t="s">
        <v>2787</v>
      </c>
    </row>
    <row r="38250" spans="1:4" x14ac:dyDescent="0.2">
      <c r="B38250" t="s">
        <v>103</v>
      </c>
      <c r="C38250" t="s">
        <v>2788</v>
      </c>
    </row>
    <row r="38252" spans="1:4" x14ac:dyDescent="0.2">
      <c r="A38252" t="s">
        <v>12357</v>
      </c>
      <c r="B38252" t="str">
        <f>HYPERLINK("https://lindat.mff.cuni.cz/services/teitok/pdtc10/index.php?action=vallex&amp;frame=v-w5180f1", "přiletět (v-w5180f1)")</f>
        <v>přiletět (v-w5180f1)</v>
      </c>
    </row>
    <row r="38253" spans="1:4" x14ac:dyDescent="0.2">
      <c r="B38253" t="s">
        <v>1</v>
      </c>
      <c r="C38253" t="s">
        <v>4529</v>
      </c>
    </row>
    <row r="38254" spans="1:4" x14ac:dyDescent="0.2">
      <c r="B38254" t="s">
        <v>90</v>
      </c>
    </row>
    <row r="38256" spans="1:4" x14ac:dyDescent="0.2">
      <c r="A38256" t="s">
        <v>12358</v>
      </c>
      <c r="B38256" t="str">
        <f>HYPERLINK("https://lindat.mff.cuni.cz/services/teitok/pdtc10/index.php?action=vallex&amp;frame=v-w5180hsa_866", "přiletět (v-w5180hsa_866)")</f>
        <v>přiletět (v-w5180hsa_866)</v>
      </c>
    </row>
    <row r="38257" spans="1:3" x14ac:dyDescent="0.2">
      <c r="B38257" t="s">
        <v>1</v>
      </c>
    </row>
    <row r="38258" spans="1:3" x14ac:dyDescent="0.2">
      <c r="B38258" t="s">
        <v>90</v>
      </c>
    </row>
    <row r="38260" spans="1:3" x14ac:dyDescent="0.2">
      <c r="A38260" t="s">
        <v>12359</v>
      </c>
      <c r="B38260" t="str">
        <f>HYPERLINK("https://lindat.mff.cuni.cz/services/teitok/pdtc10/index.php?action=vallex&amp;frame=v-w11560_ZUf1_ZU", "přilnout (v-w11560_ZUf1_ZU)")</f>
        <v>přilnout (v-w11560_ZUf1_ZU)</v>
      </c>
    </row>
    <row r="38261" spans="1:3" x14ac:dyDescent="0.2">
      <c r="B38261" t="s">
        <v>1</v>
      </c>
      <c r="C38261" t="s">
        <v>133</v>
      </c>
    </row>
    <row r="38262" spans="1:3" x14ac:dyDescent="0.2">
      <c r="B38262" t="s">
        <v>252</v>
      </c>
    </row>
    <row r="38264" spans="1:3" x14ac:dyDescent="0.2">
      <c r="A38264" t="s">
        <v>12360</v>
      </c>
      <c r="B38264" t="str">
        <f>HYPERLINK("https://lindat.mff.cuni.cz/services/teitok/pdtc10/index.php?action=vallex&amp;frame=v-w11560_ZUf2_ZU", "přilnout (v-w11560_ZUf2_ZU)")</f>
        <v>přilnout (v-w11560_ZUf2_ZU)</v>
      </c>
    </row>
    <row r="38265" spans="1:3" x14ac:dyDescent="0.2">
      <c r="B38265" t="s">
        <v>1</v>
      </c>
    </row>
    <row r="38266" spans="1:3" x14ac:dyDescent="0.2">
      <c r="B38266" t="s">
        <v>12361</v>
      </c>
    </row>
    <row r="38267" spans="1:3" x14ac:dyDescent="0.2">
      <c r="B38267" t="s">
        <v>103</v>
      </c>
    </row>
    <row r="38269" spans="1:3" x14ac:dyDescent="0.2">
      <c r="A38269" t="s">
        <v>12360</v>
      </c>
      <c r="B38269" t="str">
        <f>HYPERLINK("https://lindat.mff.cuni.cz/services/teitok/pdtc10/index.php?action=vallex&amp;frame=v-w11560_ZUhsa_241", "přilnout (v-w11560_ZUhsa_241) - substituted with v-w11560_ZUf2_ZU")</f>
        <v>přilnout (v-w11560_ZUhsa_241) - substituted with v-w11560_ZUf2_ZU</v>
      </c>
    </row>
    <row r="38270" spans="1:3" x14ac:dyDescent="0.2">
      <c r="B38270" t="s">
        <v>1</v>
      </c>
    </row>
    <row r="38271" spans="1:3" x14ac:dyDescent="0.2">
      <c r="B38271" t="s">
        <v>12361</v>
      </c>
    </row>
    <row r="38272" spans="1:3" x14ac:dyDescent="0.2">
      <c r="B38272" t="s">
        <v>103</v>
      </c>
    </row>
    <row r="38274" spans="1:4" x14ac:dyDescent="0.2">
      <c r="A38274" t="s">
        <v>12362</v>
      </c>
      <c r="B38274" t="str">
        <f>HYPERLINK("https://lindat.mff.cuni.cz/services/teitok/pdtc10/index.php?action=vallex&amp;frame=v-w11560_ZUf4_ZU", "přilnout (v-w11560_ZUf4_ZU)")</f>
        <v>přilnout (v-w11560_ZUf4_ZU)</v>
      </c>
    </row>
    <row r="38275" spans="1:4" x14ac:dyDescent="0.2">
      <c r="B38275" t="s">
        <v>1</v>
      </c>
    </row>
    <row r="38276" spans="1:4" x14ac:dyDescent="0.2">
      <c r="B38276" t="s">
        <v>176</v>
      </c>
    </row>
    <row r="38278" spans="1:4" x14ac:dyDescent="0.2">
      <c r="A38278" t="s">
        <v>12362</v>
      </c>
      <c r="B38278" t="str">
        <f>HYPERLINK("https://lindat.mff.cuni.cz/services/teitok/pdtc10/index.php?action=vallex&amp;frame=v-w11560_ZUf3_ZU", "přilnout (v-w11560_ZUf3_ZU) - substituted with v-w11560_ZUf4_ZU")</f>
        <v>přilnout (v-w11560_ZUf3_ZU) - substituted with v-w11560_ZUf4_ZU</v>
      </c>
    </row>
    <row r="38279" spans="1:4" x14ac:dyDescent="0.2">
      <c r="B38279" t="s">
        <v>1</v>
      </c>
    </row>
    <row r="38280" spans="1:4" x14ac:dyDescent="0.2">
      <c r="B38280" t="s">
        <v>176</v>
      </c>
    </row>
    <row r="38282" spans="1:4" x14ac:dyDescent="0.2">
      <c r="A38282" t="s">
        <v>12363</v>
      </c>
      <c r="B38282" t="str">
        <f>HYPERLINK("https://lindat.mff.cuni.cz/services/teitok/pdtc10/index.php?action=vallex&amp;frame=v-w5184f2", "přiložit (v-w5184f2)")</f>
        <v>přiložit (v-w5184f2)</v>
      </c>
    </row>
    <row r="38283" spans="1:4" x14ac:dyDescent="0.2">
      <c r="B38283" t="s">
        <v>331</v>
      </c>
    </row>
    <row r="38284" spans="1:4" x14ac:dyDescent="0.2">
      <c r="B38284" t="s">
        <v>8</v>
      </c>
    </row>
    <row r="38285" spans="1:4" x14ac:dyDescent="0.2">
      <c r="B38285" t="s">
        <v>5</v>
      </c>
    </row>
    <row r="38287" spans="1:4" x14ac:dyDescent="0.2">
      <c r="A38287" t="s">
        <v>12364</v>
      </c>
      <c r="B38287" t="str">
        <f>HYPERLINK("https://lindat.mff.cuni.cz/services/teitok/pdtc10/index.php?action=vallex&amp;frame=v-w5184f1", "přiložit (v-w5184f1)")</f>
        <v>přiložit (v-w5184f1)</v>
      </c>
    </row>
    <row r="38288" spans="1:4" x14ac:dyDescent="0.2">
      <c r="B38288" t="s">
        <v>1</v>
      </c>
      <c r="C38288" t="s">
        <v>5659</v>
      </c>
      <c r="D38288" t="s">
        <v>24070</v>
      </c>
    </row>
    <row r="38289" spans="1:4" x14ac:dyDescent="0.2">
      <c r="B38289" t="s">
        <v>8</v>
      </c>
      <c r="C38289" t="s">
        <v>12365</v>
      </c>
      <c r="D38289" t="s">
        <v>24071</v>
      </c>
    </row>
    <row r="38290" spans="1:4" x14ac:dyDescent="0.2">
      <c r="B38290" t="s">
        <v>90</v>
      </c>
      <c r="C38290" t="s">
        <v>3819</v>
      </c>
      <c r="D38290" t="s">
        <v>24072</v>
      </c>
    </row>
    <row r="38292" spans="1:4" x14ac:dyDescent="0.2">
      <c r="A38292" t="s">
        <v>12366</v>
      </c>
      <c r="B38292" t="str">
        <f>HYPERLINK("https://lindat.mff.cuni.cz/services/teitok/pdtc10/index.php?action=vallex&amp;frame=v-w5184hsa_1322", "přiložit (v-w5184hsa_1322)")</f>
        <v>přiložit (v-w5184hsa_1322)</v>
      </c>
    </row>
    <row r="38293" spans="1:4" x14ac:dyDescent="0.2">
      <c r="B38293" t="s">
        <v>1</v>
      </c>
    </row>
    <row r="38294" spans="1:4" x14ac:dyDescent="0.2">
      <c r="B38294" t="s">
        <v>8</v>
      </c>
    </row>
    <row r="38295" spans="1:4" x14ac:dyDescent="0.2">
      <c r="B38295" t="s">
        <v>90</v>
      </c>
    </row>
    <row r="38297" spans="1:4" x14ac:dyDescent="0.2">
      <c r="A38297" t="s">
        <v>12367</v>
      </c>
      <c r="B38297" t="str">
        <f>HYPERLINK("https://lindat.mff.cuni.cz/services/teitok/pdtc10/index.php?action=vallex&amp;frame=v-w5177f1", "přilákat (v-w5177f1)")</f>
        <v>přilákat (v-w5177f1)</v>
      </c>
    </row>
    <row r="38298" spans="1:4" x14ac:dyDescent="0.2">
      <c r="B38298" t="s">
        <v>1</v>
      </c>
      <c r="C38298" t="s">
        <v>1224</v>
      </c>
      <c r="D38298" t="s">
        <v>23742</v>
      </c>
    </row>
    <row r="38299" spans="1:4" x14ac:dyDescent="0.2">
      <c r="B38299" t="s">
        <v>8</v>
      </c>
      <c r="C38299" t="s">
        <v>5639</v>
      </c>
      <c r="D38299" t="s">
        <v>56</v>
      </c>
    </row>
    <row r="38300" spans="1:4" x14ac:dyDescent="0.2">
      <c r="B38300" t="s">
        <v>90</v>
      </c>
    </row>
    <row r="38302" spans="1:4" x14ac:dyDescent="0.2">
      <c r="A38302" t="s">
        <v>12368</v>
      </c>
      <c r="B38302" t="str">
        <f>HYPERLINK("https://lindat.mff.cuni.cz/services/teitok/pdtc10/index.php?action=vallex&amp;frame=v-w5177f2", "přilákat (v-w5177f2)")</f>
        <v>přilákat (v-w5177f2)</v>
      </c>
    </row>
    <row r="38303" spans="1:4" x14ac:dyDescent="0.2">
      <c r="B38303" t="s">
        <v>1</v>
      </c>
      <c r="C38303" t="s">
        <v>12369</v>
      </c>
      <c r="D38303" t="s">
        <v>23460</v>
      </c>
    </row>
    <row r="38304" spans="1:4" x14ac:dyDescent="0.2">
      <c r="B38304" t="s">
        <v>58</v>
      </c>
      <c r="C38304" t="s">
        <v>12370</v>
      </c>
      <c r="D38304" t="s">
        <v>23461</v>
      </c>
    </row>
    <row r="38305" spans="1:4" x14ac:dyDescent="0.2">
      <c r="B38305" t="s">
        <v>5522</v>
      </c>
      <c r="C38305" t="s">
        <v>12371</v>
      </c>
      <c r="D38305" t="s">
        <v>23462</v>
      </c>
    </row>
    <row r="38307" spans="1:4" x14ac:dyDescent="0.2">
      <c r="A38307" t="s">
        <v>12372</v>
      </c>
      <c r="B38307" t="str">
        <f>HYPERLINK("https://lindat.mff.cuni.cz/services/teitok/pdtc10/index.php?action=vallex&amp;frame=v-w5178f1", "přiléhat (v-w5178f1)")</f>
        <v>přiléhat (v-w5178f1)</v>
      </c>
    </row>
    <row r="38308" spans="1:4" x14ac:dyDescent="0.2">
      <c r="B38308" t="s">
        <v>1</v>
      </c>
    </row>
    <row r="38309" spans="1:4" x14ac:dyDescent="0.2">
      <c r="B38309" t="s">
        <v>90</v>
      </c>
    </row>
    <row r="38311" spans="1:4" x14ac:dyDescent="0.2">
      <c r="A38311" t="s">
        <v>12373</v>
      </c>
      <c r="B38311" t="str">
        <f>HYPERLINK("https://lindat.mff.cuni.cz/services/teitok/pdtc10/index.php?action=vallex&amp;frame=v-w5178f3_ZU", "přiléhat (v-w5178f3_ZU)")</f>
        <v>přiléhat (v-w5178f3_ZU)</v>
      </c>
    </row>
    <row r="38312" spans="1:4" x14ac:dyDescent="0.2">
      <c r="B38312" t="s">
        <v>1</v>
      </c>
    </row>
    <row r="38313" spans="1:4" x14ac:dyDescent="0.2">
      <c r="B38313" t="s">
        <v>252</v>
      </c>
    </row>
    <row r="38315" spans="1:4" x14ac:dyDescent="0.2">
      <c r="A38315" t="s">
        <v>12373</v>
      </c>
      <c r="B38315" t="str">
        <f>HYPERLINK("https://lindat.mff.cuni.cz/services/teitok/pdtc10/index.php?action=vallex&amp;frame=v-w5178f2_ZU", "přiléhat (v-w5178f2_ZU) - substituted with v-w5178f3_ZU")</f>
        <v>přiléhat (v-w5178f2_ZU) - substituted with v-w5178f3_ZU</v>
      </c>
    </row>
    <row r="38316" spans="1:4" x14ac:dyDescent="0.2">
      <c r="B38316" t="s">
        <v>1</v>
      </c>
    </row>
    <row r="38317" spans="1:4" x14ac:dyDescent="0.2">
      <c r="B38317" t="s">
        <v>252</v>
      </c>
    </row>
    <row r="38319" spans="1:4" x14ac:dyDescent="0.2">
      <c r="A38319" t="s">
        <v>12374</v>
      </c>
      <c r="B38319" t="str">
        <f>HYPERLINK("https://lindat.mff.cuni.cz/services/teitok/pdtc10/index.php?action=vallex&amp;frame=v-whsa_1489hsa_1490", "přilétnout (v-whsa_1489hsa_1490)")</f>
        <v>přilétnout (v-whsa_1489hsa_1490)</v>
      </c>
    </row>
    <row r="38320" spans="1:4" x14ac:dyDescent="0.2">
      <c r="B38320" t="s">
        <v>1</v>
      </c>
    </row>
    <row r="38321" spans="1:2" x14ac:dyDescent="0.2">
      <c r="B38321" t="s">
        <v>90</v>
      </c>
    </row>
    <row r="38323" spans="1:2" x14ac:dyDescent="0.2">
      <c r="A38323" t="s">
        <v>12375</v>
      </c>
      <c r="B38323" t="str">
        <f>HYPERLINK("https://lindat.mff.cuni.cz/services/teitok/pdtc10/index.php?action=vallex&amp;frame=v-w5181f1", "přilévat (v-w5181f1)")</f>
        <v>přilévat (v-w5181f1)</v>
      </c>
    </row>
    <row r="38324" spans="1:2" x14ac:dyDescent="0.2">
      <c r="B38324" t="s">
        <v>1</v>
      </c>
    </row>
    <row r="38325" spans="1:2" x14ac:dyDescent="0.2">
      <c r="B38325" t="s">
        <v>8</v>
      </c>
    </row>
    <row r="38326" spans="1:2" x14ac:dyDescent="0.2">
      <c r="B38326" t="s">
        <v>90</v>
      </c>
    </row>
    <row r="38328" spans="1:2" x14ac:dyDescent="0.2">
      <c r="A38328" t="s">
        <v>12376</v>
      </c>
      <c r="B38328" t="str">
        <f>HYPERLINK("https://lindat.mff.cuni.cz/services/teitok/pdtc10/index.php?action=vallex&amp;frame=v-w5181f2_ZU", "přilévat (v-w5181f2_ZU)")</f>
        <v>přilévat (v-w5181f2_ZU)</v>
      </c>
    </row>
    <row r="38329" spans="1:2" x14ac:dyDescent="0.2">
      <c r="B38329" t="s">
        <v>1</v>
      </c>
    </row>
    <row r="38330" spans="1:2" x14ac:dyDescent="0.2">
      <c r="B38330" t="s">
        <v>12377</v>
      </c>
    </row>
    <row r="38332" spans="1:2" x14ac:dyDescent="0.2">
      <c r="A38332" t="s">
        <v>12376</v>
      </c>
      <c r="B38332" t="str">
        <f>HYPERLINK("https://lindat.mff.cuni.cz/services/teitok/pdtc10/index.php?action=vallex&amp;frame=v-w5181hsa_1064", "přilévat (v-w5181hsa_1064) - substituted with v-w5181f2_ZU")</f>
        <v>přilévat (v-w5181hsa_1064) - substituted with v-w5181f2_ZU</v>
      </c>
    </row>
    <row r="38333" spans="1:2" x14ac:dyDescent="0.2">
      <c r="B38333" t="s">
        <v>1</v>
      </c>
    </row>
    <row r="38334" spans="1:2" x14ac:dyDescent="0.2">
      <c r="B38334" t="s">
        <v>12377</v>
      </c>
    </row>
    <row r="38336" spans="1:2" x14ac:dyDescent="0.2">
      <c r="A38336" t="s">
        <v>12378</v>
      </c>
      <c r="B38336" t="str">
        <f>HYPERLINK("https://lindat.mff.cuni.cz/services/teitok/pdtc10/index.php?action=vallex&amp;frame=v-w10243f2", "přilít (v-w10243f2)")</f>
        <v>přilít (v-w10243f2)</v>
      </c>
    </row>
    <row r="38337" spans="1:3" x14ac:dyDescent="0.2">
      <c r="B38337" t="s">
        <v>1</v>
      </c>
    </row>
    <row r="38338" spans="1:3" x14ac:dyDescent="0.2">
      <c r="B38338" t="s">
        <v>8</v>
      </c>
    </row>
    <row r="38339" spans="1:3" x14ac:dyDescent="0.2">
      <c r="B38339" t="s">
        <v>90</v>
      </c>
    </row>
    <row r="38341" spans="1:3" x14ac:dyDescent="0.2">
      <c r="A38341" t="s">
        <v>12379</v>
      </c>
      <c r="B38341" t="str">
        <f>HYPERLINK("https://lindat.mff.cuni.cz/services/teitok/pdtc10/index.php?action=vallex&amp;frame=v-w10243f4_ZU", "přilít (v-w10243f4_ZU)")</f>
        <v>přilít (v-w10243f4_ZU)</v>
      </c>
    </row>
    <row r="38342" spans="1:3" x14ac:dyDescent="0.2">
      <c r="B38342" t="s">
        <v>1</v>
      </c>
      <c r="C38342" t="s">
        <v>12380</v>
      </c>
    </row>
    <row r="38343" spans="1:3" x14ac:dyDescent="0.2">
      <c r="B38343" t="s">
        <v>12381</v>
      </c>
      <c r="C38343" t="s">
        <v>12382</v>
      </c>
    </row>
    <row r="38345" spans="1:3" x14ac:dyDescent="0.2">
      <c r="A38345" t="s">
        <v>12379</v>
      </c>
      <c r="B38345" t="str">
        <f>HYPERLINK("https://lindat.mff.cuni.cz/services/teitok/pdtc10/index.php?action=vallex&amp;frame=v-w10243f3_ZU", "přilít (v-w10243f3_ZU) - substituted with v-w10243f4_ZU")</f>
        <v>přilít (v-w10243f3_ZU) - substituted with v-w10243f4_ZU</v>
      </c>
    </row>
    <row r="38346" spans="1:3" x14ac:dyDescent="0.2">
      <c r="B38346" t="s">
        <v>1</v>
      </c>
    </row>
    <row r="38347" spans="1:3" x14ac:dyDescent="0.2">
      <c r="B38347" t="s">
        <v>12381</v>
      </c>
      <c r="C38347" t="s">
        <v>283</v>
      </c>
    </row>
    <row r="38349" spans="1:3" x14ac:dyDescent="0.2">
      <c r="A38349" t="s">
        <v>12383</v>
      </c>
      <c r="B38349" t="str">
        <f>HYPERLINK("https://lindat.mff.cuni.cz/services/teitok/pdtc10/index.php?action=vallex&amp;frame=v-whsb_506hsa_507", "přilítnout (v-whsb_506hsa_507)")</f>
        <v>přilítnout (v-whsb_506hsa_507)</v>
      </c>
    </row>
    <row r="38350" spans="1:3" x14ac:dyDescent="0.2">
      <c r="B38350" t="s">
        <v>1</v>
      </c>
    </row>
    <row r="38351" spans="1:3" x14ac:dyDescent="0.2">
      <c r="B38351" t="s">
        <v>90</v>
      </c>
    </row>
    <row r="38353" spans="1:3" x14ac:dyDescent="0.2">
      <c r="A38353" t="s">
        <v>12384</v>
      </c>
      <c r="B38353" t="str">
        <f>HYPERLINK("https://lindat.mff.cuni.cz/services/teitok/pdtc10/index.php?action=vallex&amp;frame=v-whsa_506hsa_508", "přilítnout (v-whsa_506hsa_508)")</f>
        <v>přilítnout (v-whsa_506hsa_508)</v>
      </c>
    </row>
    <row r="38354" spans="1:3" x14ac:dyDescent="0.2">
      <c r="B38354" t="s">
        <v>1</v>
      </c>
    </row>
    <row r="38355" spans="1:3" x14ac:dyDescent="0.2">
      <c r="B38355" t="s">
        <v>28</v>
      </c>
    </row>
    <row r="38357" spans="1:3" x14ac:dyDescent="0.2">
      <c r="A38357" t="s">
        <v>12385</v>
      </c>
      <c r="B38357" t="str">
        <f>HYPERLINK("https://lindat.mff.cuni.cz/services/teitok/pdtc10/index.php?action=vallex&amp;frame=v-w10488f2", "přilívat (v-w10488f2)")</f>
        <v>přilívat (v-w10488f2)</v>
      </c>
    </row>
    <row r="38358" spans="1:3" x14ac:dyDescent="0.2">
      <c r="B38358" t="s">
        <v>1</v>
      </c>
    </row>
    <row r="38359" spans="1:3" x14ac:dyDescent="0.2">
      <c r="B38359" t="s">
        <v>12377</v>
      </c>
    </row>
    <row r="38361" spans="1:3" x14ac:dyDescent="0.2">
      <c r="A38361" t="s">
        <v>12386</v>
      </c>
      <c r="B38361" t="str">
        <f>HYPERLINK("https://lindat.mff.cuni.cz/services/teitok/pdtc10/index.php?action=vallex&amp;frame=v-whsa_769f3_ZU", "přimhouřit (v-whsa_769f3_ZU)")</f>
        <v>přimhouřit (v-whsa_769f3_ZU)</v>
      </c>
    </row>
    <row r="38362" spans="1:3" x14ac:dyDescent="0.2">
      <c r="B38362" t="s">
        <v>1</v>
      </c>
      <c r="C38362" t="s">
        <v>33</v>
      </c>
    </row>
    <row r="38363" spans="1:3" x14ac:dyDescent="0.2">
      <c r="B38363" t="s">
        <v>12387</v>
      </c>
    </row>
    <row r="38364" spans="1:3" x14ac:dyDescent="0.2">
      <c r="B38364" t="s">
        <v>3091</v>
      </c>
    </row>
    <row r="38366" spans="1:3" x14ac:dyDescent="0.2">
      <c r="A38366" t="s">
        <v>12386</v>
      </c>
      <c r="B38366" t="str">
        <f>HYPERLINK("https://lindat.mff.cuni.cz/services/teitok/pdtc10/index.php?action=vallex&amp;frame=v-whsa_769f1_ZU", "přimhouřit (v-whsa_769f1_ZU) - substituted with v-whsa_769f3_ZU")</f>
        <v>přimhouřit (v-whsa_769f1_ZU) - substituted with v-whsa_769f3_ZU</v>
      </c>
    </row>
    <row r="38367" spans="1:3" x14ac:dyDescent="0.2">
      <c r="B38367" t="s">
        <v>1</v>
      </c>
    </row>
    <row r="38368" spans="1:3" x14ac:dyDescent="0.2">
      <c r="B38368" t="s">
        <v>12387</v>
      </c>
    </row>
    <row r="38369" spans="1:2" x14ac:dyDescent="0.2">
      <c r="B38369" t="s">
        <v>3091</v>
      </c>
    </row>
    <row r="38371" spans="1:2" x14ac:dyDescent="0.2">
      <c r="A38371" t="s">
        <v>12386</v>
      </c>
      <c r="B38371" t="str">
        <f>HYPERLINK("https://lindat.mff.cuni.cz/services/teitok/pdtc10/index.php?action=vallex&amp;frame=v-whsa_769f2_ZU", "přimhouřit (v-whsa_769f2_ZU) - substituted with v-whsa_769f3_ZU")</f>
        <v>přimhouřit (v-whsa_769f2_ZU) - substituted with v-whsa_769f3_ZU</v>
      </c>
    </row>
    <row r="38372" spans="1:2" x14ac:dyDescent="0.2">
      <c r="B38372" t="s">
        <v>1</v>
      </c>
    </row>
    <row r="38373" spans="1:2" x14ac:dyDescent="0.2">
      <c r="B38373" t="s">
        <v>12387</v>
      </c>
    </row>
    <row r="38374" spans="1:2" x14ac:dyDescent="0.2">
      <c r="B38374" t="s">
        <v>3091</v>
      </c>
    </row>
    <row r="38376" spans="1:2" x14ac:dyDescent="0.2">
      <c r="A38376" t="s">
        <v>12386</v>
      </c>
      <c r="B38376" t="str">
        <f>HYPERLINK("https://lindat.mff.cuni.cz/services/teitok/pdtc10/index.php?action=vallex&amp;frame=v-whsa_769hsa_770", "přimhouřit (v-whsa_769hsa_770) - substituted with v-whsa_769f3_ZU")</f>
        <v>přimhouřit (v-whsa_769hsa_770) - substituted with v-whsa_769f3_ZU</v>
      </c>
    </row>
    <row r="38377" spans="1:2" x14ac:dyDescent="0.2">
      <c r="B38377" t="s">
        <v>1</v>
      </c>
    </row>
    <row r="38378" spans="1:2" x14ac:dyDescent="0.2">
      <c r="B38378" t="s">
        <v>12387</v>
      </c>
    </row>
    <row r="38379" spans="1:2" x14ac:dyDescent="0.2">
      <c r="B38379" t="s">
        <v>3091</v>
      </c>
    </row>
    <row r="38381" spans="1:2" x14ac:dyDescent="0.2">
      <c r="A38381" t="s">
        <v>12388</v>
      </c>
      <c r="B38381" t="str">
        <f>HYPERLINK("https://lindat.mff.cuni.cz/services/teitok/pdtc10/index.php?action=vallex&amp;frame=v-whsa_767hsa_768", "přimhouřit (v-whsa_767hsa_768)")</f>
        <v>přimhouřit (v-whsa_767hsa_768)</v>
      </c>
    </row>
    <row r="38382" spans="1:2" x14ac:dyDescent="0.2">
      <c r="B38382" t="s">
        <v>1</v>
      </c>
    </row>
    <row r="38383" spans="1:2" x14ac:dyDescent="0.2">
      <c r="B38383" t="s">
        <v>8</v>
      </c>
    </row>
    <row r="38385" spans="1:4" x14ac:dyDescent="0.2">
      <c r="A38385" t="s">
        <v>12389</v>
      </c>
      <c r="B38385" t="str">
        <f>HYPERLINK("https://lindat.mff.cuni.cz/services/teitok/pdtc10/index.php?action=vallex&amp;frame=v-w5191f1", "přimknout se (v-w5191f1)")</f>
        <v>přimknout se (v-w5191f1)</v>
      </c>
    </row>
    <row r="38386" spans="1:4" x14ac:dyDescent="0.2">
      <c r="B38386" t="s">
        <v>1</v>
      </c>
    </row>
    <row r="38387" spans="1:4" x14ac:dyDescent="0.2">
      <c r="B38387" t="s">
        <v>176</v>
      </c>
    </row>
    <row r="38389" spans="1:4" x14ac:dyDescent="0.2">
      <c r="A38389" t="s">
        <v>12390</v>
      </c>
      <c r="B38389" t="str">
        <f>HYPERLINK("https://lindat.mff.cuni.cz/services/teitok/pdtc10/index.php?action=vallex&amp;frame=v-w5191f2", "přimknout se (v-w5191f2)")</f>
        <v>přimknout se (v-w5191f2)</v>
      </c>
    </row>
    <row r="38390" spans="1:4" x14ac:dyDescent="0.2">
      <c r="B38390" t="s">
        <v>1</v>
      </c>
    </row>
    <row r="38391" spans="1:4" x14ac:dyDescent="0.2">
      <c r="B38391" t="s">
        <v>90</v>
      </c>
    </row>
    <row r="38393" spans="1:4" x14ac:dyDescent="0.2">
      <c r="A38393" t="s">
        <v>12391</v>
      </c>
      <c r="B38393" t="str">
        <f>HYPERLINK("https://lindat.mff.cuni.cz/services/teitok/pdtc10/index.php?action=vallex&amp;frame=v-w11472f1", "přimlouvat se (v-w11472f1)")</f>
        <v>přimlouvat se (v-w11472f1)</v>
      </c>
    </row>
    <row r="38394" spans="1:4" x14ac:dyDescent="0.2">
      <c r="B38394" t="s">
        <v>1</v>
      </c>
      <c r="C38394" t="s">
        <v>373</v>
      </c>
      <c r="D38394" t="s">
        <v>23552</v>
      </c>
    </row>
    <row r="38395" spans="1:4" x14ac:dyDescent="0.2">
      <c r="B38395" t="s">
        <v>1382</v>
      </c>
      <c r="C38395" t="s">
        <v>354</v>
      </c>
      <c r="D38395" t="s">
        <v>23553</v>
      </c>
    </row>
    <row r="38397" spans="1:4" x14ac:dyDescent="0.2">
      <c r="A38397" t="s">
        <v>12392</v>
      </c>
      <c r="B38397" t="str">
        <f>HYPERLINK("https://lindat.mff.cuni.cz/services/teitok/pdtc10/index.php?action=vallex&amp;frame=v-w11482f1", "přimluvit se (v-w11482f1)")</f>
        <v>přimluvit se (v-w11482f1)</v>
      </c>
    </row>
    <row r="38398" spans="1:4" x14ac:dyDescent="0.2">
      <c r="B38398" t="s">
        <v>1</v>
      </c>
      <c r="D38398" t="s">
        <v>23552</v>
      </c>
    </row>
    <row r="38399" spans="1:4" x14ac:dyDescent="0.2">
      <c r="B38399" t="s">
        <v>1382</v>
      </c>
      <c r="C38399" t="s">
        <v>1301</v>
      </c>
      <c r="D38399" t="s">
        <v>23553</v>
      </c>
    </row>
    <row r="38401" spans="1:4" x14ac:dyDescent="0.2">
      <c r="A38401" t="s">
        <v>12393</v>
      </c>
      <c r="B38401" t="str">
        <f>HYPERLINK("https://lindat.mff.cuni.cz/services/teitok/pdtc10/index.php?action=vallex&amp;frame=v-w10132f2", "přimontovat (v-w10132f2)")</f>
        <v>přimontovat (v-w10132f2)</v>
      </c>
    </row>
    <row r="38402" spans="1:4" x14ac:dyDescent="0.2">
      <c r="B38402" t="s">
        <v>1</v>
      </c>
    </row>
    <row r="38403" spans="1:4" x14ac:dyDescent="0.2">
      <c r="B38403" t="s">
        <v>8</v>
      </c>
    </row>
    <row r="38404" spans="1:4" x14ac:dyDescent="0.2">
      <c r="B38404" t="s">
        <v>90</v>
      </c>
    </row>
    <row r="38406" spans="1:4" x14ac:dyDescent="0.2">
      <c r="A38406" t="s">
        <v>12394</v>
      </c>
      <c r="B38406" t="str">
        <f>HYPERLINK("https://lindat.mff.cuni.cz/services/teitok/pdtc10/index.php?action=vallex&amp;frame=v-w5185f1", "přimáčknout (v-w5185f1)")</f>
        <v>přimáčknout (v-w5185f1)</v>
      </c>
    </row>
    <row r="38407" spans="1:4" x14ac:dyDescent="0.2">
      <c r="B38407" t="s">
        <v>1</v>
      </c>
    </row>
    <row r="38408" spans="1:4" x14ac:dyDescent="0.2">
      <c r="B38408" t="s">
        <v>8</v>
      </c>
    </row>
    <row r="38409" spans="1:4" x14ac:dyDescent="0.2">
      <c r="B38409" t="s">
        <v>90</v>
      </c>
    </row>
    <row r="38411" spans="1:4" x14ac:dyDescent="0.2">
      <c r="A38411" t="s">
        <v>12395</v>
      </c>
      <c r="B38411" t="str">
        <f>HYPERLINK("https://lindat.mff.cuni.cz/services/teitok/pdtc10/index.php?action=vallex&amp;frame=v-w5190f1", "přimíchat se (v-w5190f1)")</f>
        <v>přimíchat se (v-w5190f1)</v>
      </c>
    </row>
    <row r="38412" spans="1:4" x14ac:dyDescent="0.2">
      <c r="B38412" t="s">
        <v>1</v>
      </c>
    </row>
    <row r="38413" spans="1:4" x14ac:dyDescent="0.2">
      <c r="B38413" t="s">
        <v>90</v>
      </c>
    </row>
    <row r="38415" spans="1:4" x14ac:dyDescent="0.2">
      <c r="A38415" t="s">
        <v>12396</v>
      </c>
      <c r="B38415" t="str">
        <f>HYPERLINK("https://lindat.mff.cuni.cz/services/teitok/pdtc10/index.php?action=vallex&amp;frame=v-w5189f2_ZU", "přimět (v-w5189f2_ZU)")</f>
        <v>přimět (v-w5189f2_ZU)</v>
      </c>
    </row>
    <row r="38416" spans="1:4" x14ac:dyDescent="0.2">
      <c r="B38416" t="s">
        <v>1</v>
      </c>
      <c r="C38416" t="s">
        <v>12397</v>
      </c>
      <c r="D38416" t="s">
        <v>23152</v>
      </c>
    </row>
    <row r="38417" spans="1:4" x14ac:dyDescent="0.2">
      <c r="B38417" t="s">
        <v>7943</v>
      </c>
      <c r="C38417" t="s">
        <v>12398</v>
      </c>
      <c r="D38417" t="s">
        <v>23153</v>
      </c>
    </row>
    <row r="38418" spans="1:4" x14ac:dyDescent="0.2">
      <c r="B38418" t="s">
        <v>58</v>
      </c>
      <c r="C38418" t="s">
        <v>12399</v>
      </c>
      <c r="D38418" t="s">
        <v>23154</v>
      </c>
    </row>
    <row r="38420" spans="1:4" x14ac:dyDescent="0.2">
      <c r="A38420" t="s">
        <v>12396</v>
      </c>
      <c r="B38420" t="str">
        <f>HYPERLINK("https://lindat.mff.cuni.cz/services/teitok/pdtc10/index.php?action=vallex&amp;frame=v-w5189f1", "přimět (v-w5189f1) - substituted with v-w5189f2_ZU")</f>
        <v>přimět (v-w5189f1) - substituted with v-w5189f2_ZU</v>
      </c>
    </row>
    <row r="38421" spans="1:4" x14ac:dyDescent="0.2">
      <c r="B38421" t="s">
        <v>1</v>
      </c>
      <c r="C38421" t="s">
        <v>12400</v>
      </c>
    </row>
    <row r="38422" spans="1:4" x14ac:dyDescent="0.2">
      <c r="B38422" t="s">
        <v>7943</v>
      </c>
      <c r="C38422" t="s">
        <v>12401</v>
      </c>
    </row>
    <row r="38423" spans="1:4" x14ac:dyDescent="0.2">
      <c r="B38423" t="s">
        <v>58</v>
      </c>
      <c r="C38423" t="s">
        <v>12402</v>
      </c>
    </row>
    <row r="38425" spans="1:4" x14ac:dyDescent="0.2">
      <c r="A38425" t="s">
        <v>12403</v>
      </c>
      <c r="B38425" t="str">
        <f>HYPERLINK("https://lindat.mff.cuni.cz/services/teitok/pdtc10/index.php?action=vallex&amp;frame=v-w5200f2_ZU", "přinutit (v-w5200f2_ZU)")</f>
        <v>přinutit (v-w5200f2_ZU)</v>
      </c>
    </row>
    <row r="38426" spans="1:4" x14ac:dyDescent="0.2">
      <c r="B38426" t="s">
        <v>1</v>
      </c>
      <c r="C38426" t="s">
        <v>12404</v>
      </c>
      <c r="D38426" t="s">
        <v>23152</v>
      </c>
    </row>
    <row r="38427" spans="1:4" x14ac:dyDescent="0.2">
      <c r="B38427" t="s">
        <v>2149</v>
      </c>
      <c r="C38427" t="s">
        <v>12405</v>
      </c>
      <c r="D38427" t="s">
        <v>23153</v>
      </c>
    </row>
    <row r="38428" spans="1:4" x14ac:dyDescent="0.2">
      <c r="B38428" t="s">
        <v>58</v>
      </c>
      <c r="C38428" t="s">
        <v>12406</v>
      </c>
      <c r="D38428" t="s">
        <v>23154</v>
      </c>
    </row>
    <row r="38430" spans="1:4" x14ac:dyDescent="0.2">
      <c r="A38430" t="s">
        <v>12403</v>
      </c>
      <c r="B38430" t="str">
        <f>HYPERLINK("https://lindat.mff.cuni.cz/services/teitok/pdtc10/index.php?action=vallex&amp;frame=v-w5200f1", "přinutit (v-w5200f1) - substituted with v-w5200f2_ZU")</f>
        <v>přinutit (v-w5200f1) - substituted with v-w5200f2_ZU</v>
      </c>
    </row>
    <row r="38431" spans="1:4" x14ac:dyDescent="0.2">
      <c r="B38431" t="s">
        <v>1</v>
      </c>
      <c r="C38431" t="s">
        <v>12407</v>
      </c>
    </row>
    <row r="38432" spans="1:4" x14ac:dyDescent="0.2">
      <c r="B38432" t="s">
        <v>2149</v>
      </c>
      <c r="C38432" t="s">
        <v>12408</v>
      </c>
    </row>
    <row r="38433" spans="1:4" x14ac:dyDescent="0.2">
      <c r="B38433" t="s">
        <v>58</v>
      </c>
      <c r="C38433" t="s">
        <v>12409</v>
      </c>
    </row>
    <row r="38435" spans="1:4" x14ac:dyDescent="0.2">
      <c r="A38435" t="s">
        <v>12410</v>
      </c>
      <c r="B38435" t="str">
        <f>HYPERLINK("https://lindat.mff.cuni.cz/services/teitok/pdtc10/index.php?action=vallex&amp;frame=v-w5194f1", "přináležet (v-w5194f1)")</f>
        <v>přináležet (v-w5194f1)</v>
      </c>
    </row>
    <row r="38436" spans="1:4" x14ac:dyDescent="0.2">
      <c r="B38436" t="s">
        <v>1</v>
      </c>
    </row>
    <row r="38437" spans="1:4" x14ac:dyDescent="0.2">
      <c r="B38437" t="s">
        <v>103</v>
      </c>
    </row>
    <row r="38439" spans="1:4" x14ac:dyDescent="0.2">
      <c r="A38439" t="s">
        <v>12411</v>
      </c>
      <c r="B38439" t="str">
        <f>HYPERLINK("https://lindat.mff.cuni.cz/services/teitok/pdtc10/index.php?action=vallex&amp;frame=v-w5194f2", "přináležet (v-w5194f2)")</f>
        <v>přináležet (v-w5194f2)</v>
      </c>
    </row>
    <row r="38440" spans="1:4" x14ac:dyDescent="0.2">
      <c r="B38440" t="s">
        <v>1</v>
      </c>
    </row>
    <row r="38441" spans="1:4" x14ac:dyDescent="0.2">
      <c r="B38441" t="s">
        <v>90</v>
      </c>
    </row>
    <row r="38443" spans="1:4" x14ac:dyDescent="0.2">
      <c r="A38443" t="s">
        <v>12412</v>
      </c>
      <c r="B38443" t="str">
        <f>HYPERLINK("https://lindat.mff.cuni.cz/services/teitok/pdtc10/index.php?action=vallex&amp;frame=v-w5195f2", "přinášet (v-w5195f2)")</f>
        <v>přinášet (v-w5195f2)</v>
      </c>
    </row>
    <row r="38444" spans="1:4" x14ac:dyDescent="0.2">
      <c r="B38444" t="s">
        <v>1</v>
      </c>
      <c r="C38444" t="s">
        <v>12413</v>
      </c>
      <c r="D38444" t="s">
        <v>7915</v>
      </c>
    </row>
    <row r="38445" spans="1:4" x14ac:dyDescent="0.2">
      <c r="B38445" t="s">
        <v>8</v>
      </c>
      <c r="C38445" t="s">
        <v>12414</v>
      </c>
      <c r="D38445" t="s">
        <v>23119</v>
      </c>
    </row>
    <row r="38446" spans="1:4" x14ac:dyDescent="0.2">
      <c r="B38446" t="s">
        <v>2542</v>
      </c>
      <c r="C38446" t="s">
        <v>12415</v>
      </c>
      <c r="D38446" t="s">
        <v>1544</v>
      </c>
    </row>
    <row r="38448" spans="1:4" x14ac:dyDescent="0.2">
      <c r="A38448" t="s">
        <v>12416</v>
      </c>
      <c r="B38448" t="str">
        <f>HYPERLINK("https://lindat.mff.cuni.cz/services/teitok/pdtc10/index.php?action=vallex&amp;frame=v-w5195f3", "přinášet (v-w5195f3)")</f>
        <v>přinášet (v-w5195f3)</v>
      </c>
    </row>
    <row r="38449" spans="1:4" x14ac:dyDescent="0.2">
      <c r="B38449" t="s">
        <v>1</v>
      </c>
      <c r="C38449" t="s">
        <v>92</v>
      </c>
      <c r="D38449" t="s">
        <v>7915</v>
      </c>
    </row>
    <row r="38450" spans="1:4" x14ac:dyDescent="0.2">
      <c r="B38450" t="s">
        <v>8</v>
      </c>
      <c r="C38450" t="s">
        <v>81</v>
      </c>
      <c r="D38450" t="s">
        <v>23119</v>
      </c>
    </row>
    <row r="38451" spans="1:4" x14ac:dyDescent="0.2">
      <c r="B38451" t="s">
        <v>90</v>
      </c>
      <c r="C38451" t="s">
        <v>12417</v>
      </c>
      <c r="D38451" t="s">
        <v>1466</v>
      </c>
    </row>
    <row r="38453" spans="1:4" x14ac:dyDescent="0.2">
      <c r="A38453" t="s">
        <v>12418</v>
      </c>
      <c r="B38453" t="str">
        <f>HYPERLINK("https://lindat.mff.cuni.cz/services/teitok/pdtc10/index.php?action=vallex&amp;frame=v-w5195f1", "přinášet (v-w5195f1)")</f>
        <v>přinášet (v-w5195f1)</v>
      </c>
    </row>
    <row r="38454" spans="1:4" x14ac:dyDescent="0.2">
      <c r="B38454" t="s">
        <v>1</v>
      </c>
      <c r="C38454" t="s">
        <v>12419</v>
      </c>
      <c r="D38454" t="s">
        <v>23327</v>
      </c>
    </row>
    <row r="38455" spans="1:4" x14ac:dyDescent="0.2">
      <c r="B38455" t="s">
        <v>8</v>
      </c>
      <c r="C38455" t="s">
        <v>12420</v>
      </c>
      <c r="D38455" t="s">
        <v>23328</v>
      </c>
    </row>
    <row r="38457" spans="1:4" x14ac:dyDescent="0.2">
      <c r="A38457" t="s">
        <v>12421</v>
      </c>
      <c r="B38457" t="str">
        <f>HYPERLINK("https://lindat.mff.cuni.cz/services/teitok/pdtc10/index.php?action=vallex&amp;frame=v-w5195f4_ZU", "přinášet (v-w5195f4_ZU)")</f>
        <v>přinášet (v-w5195f4_ZU)</v>
      </c>
    </row>
    <row r="38458" spans="1:4" x14ac:dyDescent="0.2">
      <c r="B38458" t="s">
        <v>1</v>
      </c>
      <c r="C38458" t="s">
        <v>3277</v>
      </c>
      <c r="D38458" t="s">
        <v>22967</v>
      </c>
    </row>
    <row r="38459" spans="1:4" x14ac:dyDescent="0.2">
      <c r="B38459" t="s">
        <v>8</v>
      </c>
      <c r="C38459" t="s">
        <v>11300</v>
      </c>
      <c r="D38459" t="s">
        <v>22968</v>
      </c>
    </row>
    <row r="38460" spans="1:4" x14ac:dyDescent="0.2">
      <c r="B38460" t="s">
        <v>78</v>
      </c>
      <c r="C38460" t="s">
        <v>3280</v>
      </c>
      <c r="D38460" t="s">
        <v>22969</v>
      </c>
    </row>
    <row r="38462" spans="1:4" x14ac:dyDescent="0.2">
      <c r="A38462" t="s">
        <v>12421</v>
      </c>
      <c r="B38462" t="str">
        <f>HYPERLINK("https://lindat.mff.cuni.cz/services/teitok/pdtc10/index.php?action=vallex&amp;frame=v-w5195hsa_34", "přinášet (v-w5195hsa_34) - substituted with v-w5195f4_ZU")</f>
        <v>přinášet (v-w5195hsa_34) - substituted with v-w5195f4_ZU</v>
      </c>
    </row>
    <row r="38463" spans="1:4" x14ac:dyDescent="0.2">
      <c r="B38463" t="s">
        <v>1</v>
      </c>
    </row>
    <row r="38464" spans="1:4" x14ac:dyDescent="0.2">
      <c r="B38464" t="s">
        <v>8</v>
      </c>
    </row>
    <row r="38465" spans="1:4" x14ac:dyDescent="0.2">
      <c r="B38465" t="s">
        <v>78</v>
      </c>
    </row>
    <row r="38467" spans="1:4" x14ac:dyDescent="0.2">
      <c r="A38467" t="s">
        <v>12422</v>
      </c>
      <c r="B38467" t="str">
        <f>HYPERLINK("https://lindat.mff.cuni.cz/services/teitok/pdtc10/index.php?action=vallex&amp;frame=v-w5195f5_MM", "přinášet (v-w5195f5_MM)")</f>
        <v>přinášet (v-w5195f5_MM)</v>
      </c>
    </row>
    <row r="38468" spans="1:4" x14ac:dyDescent="0.2">
      <c r="B38468" t="s">
        <v>1</v>
      </c>
    </row>
    <row r="38469" spans="1:4" x14ac:dyDescent="0.2">
      <c r="B38469" t="s">
        <v>6623</v>
      </c>
    </row>
    <row r="38470" spans="1:4" x14ac:dyDescent="0.2">
      <c r="B38470" t="s">
        <v>41</v>
      </c>
    </row>
    <row r="38472" spans="1:4" x14ac:dyDescent="0.2">
      <c r="A38472" t="s">
        <v>12423</v>
      </c>
      <c r="B38472" t="str">
        <f>HYPERLINK("https://lindat.mff.cuni.cz/services/teitok/pdtc10/index.php?action=vallex&amp;frame=v-w5195hsa_37", "přinášet (v-w5195hsa_37)")</f>
        <v>přinášet (v-w5195hsa_37)</v>
      </c>
    </row>
    <row r="38473" spans="1:4" x14ac:dyDescent="0.2">
      <c r="B38473" t="s">
        <v>1</v>
      </c>
    </row>
    <row r="38474" spans="1:4" x14ac:dyDescent="0.2">
      <c r="B38474" t="s">
        <v>12424</v>
      </c>
    </row>
    <row r="38475" spans="1:4" x14ac:dyDescent="0.2">
      <c r="B38475" t="s">
        <v>35</v>
      </c>
    </row>
    <row r="38477" spans="1:4" x14ac:dyDescent="0.2">
      <c r="A38477" t="s">
        <v>12425</v>
      </c>
      <c r="B38477" t="str">
        <f>HYPERLINK("https://lindat.mff.cuni.cz/services/teitok/pdtc10/index.php?action=vallex&amp;frame=v-w5197f1", "přinést (v-w5197f1)")</f>
        <v>přinést (v-w5197f1)</v>
      </c>
    </row>
    <row r="38478" spans="1:4" x14ac:dyDescent="0.2">
      <c r="B38478" t="s">
        <v>1</v>
      </c>
      <c r="C38478" t="s">
        <v>12426</v>
      </c>
      <c r="D38478" t="s">
        <v>23116</v>
      </c>
    </row>
    <row r="38479" spans="1:4" x14ac:dyDescent="0.2">
      <c r="B38479" t="s">
        <v>8</v>
      </c>
      <c r="C38479" t="s">
        <v>12427</v>
      </c>
      <c r="D38479" t="s">
        <v>23117</v>
      </c>
    </row>
    <row r="38480" spans="1:4" x14ac:dyDescent="0.2">
      <c r="B38480" t="s">
        <v>2542</v>
      </c>
      <c r="C38480" t="s">
        <v>12428</v>
      </c>
      <c r="D38480" t="s">
        <v>23118</v>
      </c>
    </row>
    <row r="38482" spans="1:4" x14ac:dyDescent="0.2">
      <c r="A38482" t="s">
        <v>12429</v>
      </c>
      <c r="B38482" t="str">
        <f>HYPERLINK("https://lindat.mff.cuni.cz/services/teitok/pdtc10/index.php?action=vallex&amp;frame=v-w5197f8_ZU", "přinést (v-w5197f8_ZU)")</f>
        <v>přinést (v-w5197f8_ZU)</v>
      </c>
    </row>
    <row r="38483" spans="1:4" x14ac:dyDescent="0.2">
      <c r="B38483" t="s">
        <v>1</v>
      </c>
      <c r="C38483" t="s">
        <v>92</v>
      </c>
      <c r="D38483" t="s">
        <v>23327</v>
      </c>
    </row>
    <row r="38484" spans="1:4" x14ac:dyDescent="0.2">
      <c r="B38484" t="s">
        <v>8</v>
      </c>
      <c r="C38484" t="s">
        <v>81</v>
      </c>
      <c r="D38484" t="s">
        <v>23328</v>
      </c>
    </row>
    <row r="38485" spans="1:4" x14ac:dyDescent="0.2">
      <c r="B38485" t="s">
        <v>78</v>
      </c>
      <c r="C38485" t="s">
        <v>12430</v>
      </c>
      <c r="D38485" t="s">
        <v>24073</v>
      </c>
    </row>
    <row r="38487" spans="1:4" x14ac:dyDescent="0.2">
      <c r="A38487" t="s">
        <v>12429</v>
      </c>
      <c r="B38487" t="str">
        <f>HYPERLINK("https://lindat.mff.cuni.cz/services/teitok/pdtc10/index.php?action=vallex&amp;frame=v-w5197f2", "přinést (v-w5197f2) - substituted with v-w5197f8_ZU")</f>
        <v>přinést (v-w5197f2) - substituted with v-w5197f8_ZU</v>
      </c>
    </row>
    <row r="38488" spans="1:4" x14ac:dyDescent="0.2">
      <c r="B38488" t="s">
        <v>1</v>
      </c>
      <c r="C38488" t="s">
        <v>12431</v>
      </c>
    </row>
    <row r="38489" spans="1:4" x14ac:dyDescent="0.2">
      <c r="B38489" t="s">
        <v>8</v>
      </c>
      <c r="C38489" t="s">
        <v>12432</v>
      </c>
    </row>
    <row r="38490" spans="1:4" x14ac:dyDescent="0.2">
      <c r="B38490" t="s">
        <v>78</v>
      </c>
    </row>
    <row r="38492" spans="1:4" x14ac:dyDescent="0.2">
      <c r="A38492" t="s">
        <v>12429</v>
      </c>
      <c r="B38492" t="str">
        <f>HYPERLINK("https://lindat.mff.cuni.cz/services/teitok/pdtc10/index.php?action=vallex&amp;frame=v-w5197f6_ZU", "přinést (v-w5197f6_ZU) - substituted with v-w5197f8_ZU")</f>
        <v>přinést (v-w5197f6_ZU) - substituted with v-w5197f8_ZU</v>
      </c>
    </row>
    <row r="38493" spans="1:4" x14ac:dyDescent="0.2">
      <c r="B38493" t="s">
        <v>1</v>
      </c>
      <c r="C38493" t="s">
        <v>12433</v>
      </c>
    </row>
    <row r="38494" spans="1:4" x14ac:dyDescent="0.2">
      <c r="B38494" t="s">
        <v>8</v>
      </c>
      <c r="C38494" t="s">
        <v>12434</v>
      </c>
    </row>
    <row r="38495" spans="1:4" x14ac:dyDescent="0.2">
      <c r="B38495" t="s">
        <v>78</v>
      </c>
      <c r="C38495" t="s">
        <v>12435</v>
      </c>
    </row>
    <row r="38497" spans="1:4" x14ac:dyDescent="0.2">
      <c r="A38497" t="s">
        <v>12429</v>
      </c>
      <c r="B38497" t="str">
        <f>HYPERLINK("https://lindat.mff.cuni.cz/services/teitok/pdtc10/index.php?action=vallex&amp;frame=v-w5197f7_ZU", "přinést (v-w5197f7_ZU) - substituted with v-w5197f8_ZU")</f>
        <v>přinést (v-w5197f7_ZU) - substituted with v-w5197f8_ZU</v>
      </c>
    </row>
    <row r="38498" spans="1:4" x14ac:dyDescent="0.2">
      <c r="B38498" t="s">
        <v>1</v>
      </c>
    </row>
    <row r="38499" spans="1:4" x14ac:dyDescent="0.2">
      <c r="B38499" t="s">
        <v>8</v>
      </c>
    </row>
    <row r="38500" spans="1:4" x14ac:dyDescent="0.2">
      <c r="B38500" t="s">
        <v>78</v>
      </c>
    </row>
    <row r="38502" spans="1:4" x14ac:dyDescent="0.2">
      <c r="A38502" t="s">
        <v>12429</v>
      </c>
      <c r="B38502" t="str">
        <f>HYPERLINK("https://lindat.mff.cuni.cz/services/teitok/pdtc10/index.php?action=vallex&amp;frame=v-w5197hsa_434", "přinést (v-w5197hsa_434) - substituted with v-w5197f8_ZU")</f>
        <v>přinést (v-w5197hsa_434) - substituted with v-w5197f8_ZU</v>
      </c>
    </row>
    <row r="38503" spans="1:4" x14ac:dyDescent="0.2">
      <c r="B38503" t="s">
        <v>1</v>
      </c>
    </row>
    <row r="38504" spans="1:4" x14ac:dyDescent="0.2">
      <c r="B38504" t="s">
        <v>8</v>
      </c>
    </row>
    <row r="38505" spans="1:4" x14ac:dyDescent="0.2">
      <c r="B38505" t="s">
        <v>78</v>
      </c>
    </row>
    <row r="38507" spans="1:4" x14ac:dyDescent="0.2">
      <c r="A38507" t="s">
        <v>12436</v>
      </c>
      <c r="B38507" t="str">
        <f>HYPERLINK("https://lindat.mff.cuni.cz/services/teitok/pdtc10/index.php?action=vallex&amp;frame=v-w5197f3", "přinést (v-w5197f3)")</f>
        <v>přinést (v-w5197f3)</v>
      </c>
    </row>
    <row r="38508" spans="1:4" x14ac:dyDescent="0.2">
      <c r="B38508" t="s">
        <v>1</v>
      </c>
      <c r="C38508" t="s">
        <v>12437</v>
      </c>
      <c r="D38508" t="s">
        <v>9876</v>
      </c>
    </row>
    <row r="38509" spans="1:4" x14ac:dyDescent="0.2">
      <c r="B38509" t="s">
        <v>8</v>
      </c>
      <c r="C38509" t="s">
        <v>12438</v>
      </c>
      <c r="D38509" t="s">
        <v>23179</v>
      </c>
    </row>
    <row r="38510" spans="1:4" x14ac:dyDescent="0.2">
      <c r="B38510" t="s">
        <v>90</v>
      </c>
      <c r="C38510" t="s">
        <v>12439</v>
      </c>
      <c r="D38510" t="s">
        <v>23180</v>
      </c>
    </row>
    <row r="38512" spans="1:4" x14ac:dyDescent="0.2">
      <c r="A38512" t="s">
        <v>12440</v>
      </c>
      <c r="B38512" t="str">
        <f>HYPERLINK("https://lindat.mff.cuni.cz/services/teitok/pdtc10/index.php?action=vallex&amp;frame=v-w5197f4", "přinést (v-w5197f4)")</f>
        <v>přinést (v-w5197f4)</v>
      </c>
    </row>
    <row r="38513" spans="1:2" x14ac:dyDescent="0.2">
      <c r="B38513" t="s">
        <v>1</v>
      </c>
    </row>
    <row r="38514" spans="1:2" x14ac:dyDescent="0.2">
      <c r="B38514" t="s">
        <v>5164</v>
      </c>
    </row>
    <row r="38516" spans="1:2" x14ac:dyDescent="0.2">
      <c r="A38516" t="s">
        <v>12441</v>
      </c>
      <c r="B38516" t="str">
        <f>HYPERLINK("https://lindat.mff.cuni.cz/services/teitok/pdtc10/index.php?action=vallex&amp;frame=v-w5197f5", "přinést (v-w5197f5)")</f>
        <v>přinést (v-w5197f5)</v>
      </c>
    </row>
    <row r="38517" spans="1:2" x14ac:dyDescent="0.2">
      <c r="B38517" t="s">
        <v>1</v>
      </c>
    </row>
    <row r="38518" spans="1:2" x14ac:dyDescent="0.2">
      <c r="B38518" t="s">
        <v>12442</v>
      </c>
    </row>
    <row r="38520" spans="1:2" x14ac:dyDescent="0.2">
      <c r="A38520" t="s">
        <v>12443</v>
      </c>
      <c r="B38520" t="str">
        <f>HYPERLINK("https://lindat.mff.cuni.cz/services/teitok/pdtc10/index.php?action=vallex&amp;frame=v-w5197hsa_328", "přinést (v-w5197hsa_328)")</f>
        <v>přinést (v-w5197hsa_328)</v>
      </c>
    </row>
    <row r="38521" spans="1:2" x14ac:dyDescent="0.2">
      <c r="B38521" t="s">
        <v>1</v>
      </c>
    </row>
    <row r="38522" spans="1:2" x14ac:dyDescent="0.2">
      <c r="B38522" t="s">
        <v>8</v>
      </c>
    </row>
    <row r="38523" spans="1:2" x14ac:dyDescent="0.2">
      <c r="B38523" t="s">
        <v>333</v>
      </c>
    </row>
    <row r="38525" spans="1:2" x14ac:dyDescent="0.2">
      <c r="A38525" t="s">
        <v>12444</v>
      </c>
      <c r="B38525" t="str">
        <f>HYPERLINK("https://lindat.mff.cuni.cz/services/teitok/pdtc10/index.php?action=vallex&amp;frame=v-w5197hsa_432", "přinést (v-w5197hsa_432)")</f>
        <v>přinést (v-w5197hsa_432)</v>
      </c>
    </row>
    <row r="38526" spans="1:2" x14ac:dyDescent="0.2">
      <c r="B38526" t="s">
        <v>1</v>
      </c>
    </row>
    <row r="38527" spans="1:2" x14ac:dyDescent="0.2">
      <c r="B38527" t="s">
        <v>12445</v>
      </c>
    </row>
    <row r="38528" spans="1:2" x14ac:dyDescent="0.2">
      <c r="B38528" t="s">
        <v>35</v>
      </c>
    </row>
    <row r="38530" spans="1:2" x14ac:dyDescent="0.2">
      <c r="A38530" t="s">
        <v>12446</v>
      </c>
      <c r="B38530" t="str">
        <f>HYPERLINK("https://lindat.mff.cuni.cz/services/teitok/pdtc10/index.php?action=vallex&amp;frame=v-w5197hsa_433", "přinést (v-w5197hsa_433)")</f>
        <v>přinést (v-w5197hsa_433)</v>
      </c>
    </row>
    <row r="38531" spans="1:2" x14ac:dyDescent="0.2">
      <c r="B38531" t="s">
        <v>1</v>
      </c>
    </row>
    <row r="38532" spans="1:2" x14ac:dyDescent="0.2">
      <c r="B38532" t="s">
        <v>8</v>
      </c>
    </row>
    <row r="38534" spans="1:2" x14ac:dyDescent="0.2">
      <c r="A38534" t="s">
        <v>12447</v>
      </c>
      <c r="B38534" t="str">
        <f>HYPERLINK("https://lindat.mff.cuni.cz/services/teitok/pdtc10/index.php?action=vallex&amp;frame=v-whsa_522hsa_523", "přiobjednat (v-whsa_522hsa_523)")</f>
        <v>přiobjednat (v-whsa_522hsa_523)</v>
      </c>
    </row>
    <row r="38535" spans="1:2" x14ac:dyDescent="0.2">
      <c r="B38535" t="s">
        <v>1</v>
      </c>
    </row>
    <row r="38536" spans="1:2" x14ac:dyDescent="0.2">
      <c r="B38536" t="s">
        <v>8</v>
      </c>
    </row>
    <row r="38538" spans="1:2" x14ac:dyDescent="0.2">
      <c r="A38538" t="s">
        <v>12448</v>
      </c>
      <c r="B38538" t="str">
        <f>HYPERLINK("https://lindat.mff.cuni.cz/services/teitok/pdtc10/index.php?action=vallex&amp;frame=v-w12173_ZUf1_ZU", "přiopravit (v-w12173_ZUf1_ZU)")</f>
        <v>přiopravit (v-w12173_ZUf1_ZU)</v>
      </c>
    </row>
    <row r="38539" spans="1:2" x14ac:dyDescent="0.2">
      <c r="B38539" t="s">
        <v>1</v>
      </c>
    </row>
    <row r="38540" spans="1:2" x14ac:dyDescent="0.2">
      <c r="B38540" t="s">
        <v>8</v>
      </c>
    </row>
    <row r="38542" spans="1:2" x14ac:dyDescent="0.2">
      <c r="A38542" t="s">
        <v>12449</v>
      </c>
      <c r="B38542" t="str">
        <f>HYPERLINK("https://lindat.mff.cuni.cz/services/teitok/pdtc10/index.php?action=vallex&amp;frame=v-w10138f3", "přiostřit (v-w10138f3)")</f>
        <v>přiostřit (v-w10138f3)</v>
      </c>
    </row>
    <row r="38543" spans="1:2" x14ac:dyDescent="0.2">
      <c r="B38543" t="s">
        <v>1</v>
      </c>
    </row>
    <row r="38544" spans="1:2" x14ac:dyDescent="0.2">
      <c r="B38544" t="s">
        <v>8</v>
      </c>
    </row>
    <row r="38546" spans="1:4" x14ac:dyDescent="0.2">
      <c r="A38546" t="s">
        <v>12450</v>
      </c>
      <c r="B38546" t="str">
        <f>HYPERLINK("https://lindat.mff.cuni.cz/services/teitok/pdtc10/index.php?action=vallex&amp;frame=v-w10138f2", "přiostřit (v-w10138f2)")</f>
        <v>přiostřit (v-w10138f2)</v>
      </c>
    </row>
    <row r="38547" spans="1:4" x14ac:dyDescent="0.2">
      <c r="B38547" t="s">
        <v>1</v>
      </c>
      <c r="C38547" t="s">
        <v>83</v>
      </c>
      <c r="D38547" t="s">
        <v>1680</v>
      </c>
    </row>
    <row r="38548" spans="1:4" x14ac:dyDescent="0.2">
      <c r="B38548" t="s">
        <v>8</v>
      </c>
      <c r="C38548" t="s">
        <v>1044</v>
      </c>
      <c r="D38548" t="s">
        <v>17650</v>
      </c>
    </row>
    <row r="38550" spans="1:4" x14ac:dyDescent="0.2">
      <c r="A38550" t="s">
        <v>12451</v>
      </c>
      <c r="B38550" t="str">
        <f>HYPERLINK("https://lindat.mff.cuni.cz/services/teitok/pdtc10/index.php?action=vallex&amp;frame=v-whsa_846f2_ZU", "přiostřit se (v-whsa_846f2_ZU)")</f>
        <v>přiostřit se (v-whsa_846f2_ZU)</v>
      </c>
    </row>
    <row r="38551" spans="1:4" x14ac:dyDescent="0.2">
      <c r="B38551" t="s">
        <v>1</v>
      </c>
      <c r="C38551" t="s">
        <v>12452</v>
      </c>
      <c r="D38551" t="s">
        <v>24074</v>
      </c>
    </row>
    <row r="38553" spans="1:4" x14ac:dyDescent="0.2">
      <c r="A38553" t="s">
        <v>12451</v>
      </c>
      <c r="B38553" t="str">
        <f>HYPERLINK("https://lindat.mff.cuni.cz/services/teitok/pdtc10/index.php?action=vallex&amp;frame=v-whsa_846f1_ZU", "přiostřit se (v-whsa_846f1_ZU) - substituted with v-whsa_846f2_ZU")</f>
        <v>přiostřit se (v-whsa_846f1_ZU) - substituted with v-whsa_846f2_ZU</v>
      </c>
    </row>
    <row r="38554" spans="1:4" x14ac:dyDescent="0.2">
      <c r="B38554" t="s">
        <v>1</v>
      </c>
    </row>
    <row r="38556" spans="1:4" x14ac:dyDescent="0.2">
      <c r="A38556" t="s">
        <v>12451</v>
      </c>
      <c r="B38556" t="str">
        <f>HYPERLINK("https://lindat.mff.cuni.cz/services/teitok/pdtc10/index.php?action=vallex&amp;frame=v-whsa_846hsa_847", "přiostřit se (v-whsa_846hsa_847) - substituted with v-whsa_846f2_ZU")</f>
        <v>přiostřit se (v-whsa_846hsa_847) - substituted with v-whsa_846f2_ZU</v>
      </c>
    </row>
    <row r="38557" spans="1:4" x14ac:dyDescent="0.2">
      <c r="B38557" t="s">
        <v>1</v>
      </c>
    </row>
    <row r="38559" spans="1:4" x14ac:dyDescent="0.2">
      <c r="A38559" t="s">
        <v>12453</v>
      </c>
      <c r="B38559" t="str">
        <f>HYPERLINK("https://lindat.mff.cuni.cz/services/teitok/pdtc10/index.php?action=vallex&amp;frame=v-whsa_419hsa_420", "přiostřovat (v-whsa_419hsa_420)")</f>
        <v>přiostřovat (v-whsa_419hsa_420)</v>
      </c>
    </row>
    <row r="38560" spans="1:4" x14ac:dyDescent="0.2">
      <c r="B38560" t="s">
        <v>1</v>
      </c>
      <c r="C38560" t="s">
        <v>140</v>
      </c>
      <c r="D38560" t="s">
        <v>1680</v>
      </c>
    </row>
    <row r="38561" spans="1:4" x14ac:dyDescent="0.2">
      <c r="B38561" t="s">
        <v>8</v>
      </c>
      <c r="C38561" t="s">
        <v>34</v>
      </c>
      <c r="D38561" t="s">
        <v>17650</v>
      </c>
    </row>
    <row r="38563" spans="1:4" x14ac:dyDescent="0.2">
      <c r="A38563" t="s">
        <v>12454</v>
      </c>
      <c r="B38563" t="str">
        <f>HYPERLINK("https://lindat.mff.cuni.cz/services/teitok/pdtc10/index.php?action=vallex&amp;frame=v-whsa_1118f1_ZU", "přiotrávit (v-whsa_1118f1_ZU)")</f>
        <v>přiotrávit (v-whsa_1118f1_ZU)</v>
      </c>
    </row>
    <row r="38564" spans="1:4" x14ac:dyDescent="0.2">
      <c r="B38564" t="s">
        <v>1</v>
      </c>
    </row>
    <row r="38565" spans="1:4" x14ac:dyDescent="0.2">
      <c r="B38565" t="s">
        <v>8</v>
      </c>
    </row>
    <row r="38567" spans="1:4" x14ac:dyDescent="0.2">
      <c r="A38567" t="s">
        <v>12454</v>
      </c>
      <c r="B38567" t="str">
        <f>HYPERLINK("https://lindat.mff.cuni.cz/services/teitok/pdtc10/index.php?action=vallex&amp;frame=v-whsa_1118hsa_1119", "přiotrávit (v-whsa_1118hsa_1119) - substituted with v-whsa_1118f1_ZU")</f>
        <v>přiotrávit (v-whsa_1118hsa_1119) - substituted with v-whsa_1118f1_ZU</v>
      </c>
    </row>
    <row r="38568" spans="1:4" x14ac:dyDescent="0.2">
      <c r="B38568" t="s">
        <v>1</v>
      </c>
    </row>
    <row r="38569" spans="1:4" x14ac:dyDescent="0.2">
      <c r="B38569" t="s">
        <v>8</v>
      </c>
    </row>
    <row r="38571" spans="1:4" x14ac:dyDescent="0.2">
      <c r="A38571" t="s">
        <v>12455</v>
      </c>
      <c r="B38571" t="str">
        <f>HYPERLINK("https://lindat.mff.cuni.cz/services/teitok/pdtc10/index.php?action=vallex&amp;frame=v-whsa_915hsa_916", "připachtovat si (v-whsa_915hsa_916)")</f>
        <v>připachtovat si (v-whsa_915hsa_916)</v>
      </c>
    </row>
    <row r="38572" spans="1:4" x14ac:dyDescent="0.2">
      <c r="B38572" t="s">
        <v>1</v>
      </c>
    </row>
    <row r="38573" spans="1:4" x14ac:dyDescent="0.2">
      <c r="B38573" t="s">
        <v>8</v>
      </c>
    </row>
    <row r="38575" spans="1:4" x14ac:dyDescent="0.2">
      <c r="A38575" t="s">
        <v>12456</v>
      </c>
      <c r="B38575" t="str">
        <f>HYPERLINK("https://lindat.mff.cuni.cz/services/teitok/pdtc10/index.php?action=vallex&amp;frame=v-w5202f9_ZU", "připadat (v-w5202f9_ZU)")</f>
        <v>připadat (v-w5202f9_ZU)</v>
      </c>
    </row>
    <row r="38576" spans="1:4" x14ac:dyDescent="0.2">
      <c r="B38576" t="s">
        <v>455</v>
      </c>
    </row>
    <row r="38577" spans="1:4" x14ac:dyDescent="0.2">
      <c r="B38577" t="s">
        <v>12457</v>
      </c>
    </row>
    <row r="38578" spans="1:4" x14ac:dyDescent="0.2">
      <c r="B38578" t="s">
        <v>12458</v>
      </c>
    </row>
    <row r="38580" spans="1:4" x14ac:dyDescent="0.2">
      <c r="A38580" t="s">
        <v>12456</v>
      </c>
      <c r="B38580" t="str">
        <f>HYPERLINK("https://lindat.mff.cuni.cz/services/teitok/pdtc10/index.php?action=vallex&amp;frame=v-w5202f2", "připadat (v-w5202f2) - substituted with v-w5202f9_ZU")</f>
        <v>připadat (v-w5202f2) - substituted with v-w5202f9_ZU</v>
      </c>
    </row>
    <row r="38581" spans="1:4" x14ac:dyDescent="0.2">
      <c r="B38581" t="s">
        <v>455</v>
      </c>
      <c r="C38581" t="s">
        <v>12459</v>
      </c>
      <c r="D38581" t="s">
        <v>23149</v>
      </c>
    </row>
    <row r="38582" spans="1:4" x14ac:dyDescent="0.2">
      <c r="B38582" t="s">
        <v>12457</v>
      </c>
      <c r="C38582" t="s">
        <v>12460</v>
      </c>
      <c r="D38582" t="s">
        <v>23151</v>
      </c>
    </row>
    <row r="38583" spans="1:4" x14ac:dyDescent="0.2">
      <c r="B38583" t="s">
        <v>12458</v>
      </c>
      <c r="C38583" t="s">
        <v>12461</v>
      </c>
      <c r="D38583" t="s">
        <v>23150</v>
      </c>
    </row>
    <row r="38585" spans="1:4" x14ac:dyDescent="0.2">
      <c r="A38585" t="s">
        <v>12456</v>
      </c>
      <c r="B38585" t="str">
        <f>HYPERLINK("https://lindat.mff.cuni.cz/services/teitok/pdtc10/index.php?action=vallex&amp;frame=v-w5202f8_ZU", "připadat (v-w5202f8_ZU) - substituted with v-w5202f9_ZU")</f>
        <v>připadat (v-w5202f8_ZU) - substituted with v-w5202f9_ZU</v>
      </c>
    </row>
    <row r="38586" spans="1:4" x14ac:dyDescent="0.2">
      <c r="B38586" t="s">
        <v>455</v>
      </c>
    </row>
    <row r="38587" spans="1:4" x14ac:dyDescent="0.2">
      <c r="B38587" t="s">
        <v>12457</v>
      </c>
    </row>
    <row r="38588" spans="1:4" x14ac:dyDescent="0.2">
      <c r="B38588" t="s">
        <v>12458</v>
      </c>
    </row>
    <row r="38590" spans="1:4" x14ac:dyDescent="0.2">
      <c r="A38590" t="s">
        <v>12456</v>
      </c>
      <c r="B38590" t="str">
        <f>HYPERLINK("https://lindat.mff.cuni.cz/services/teitok/pdtc10/index.php?action=vallex&amp;frame=v-w5202hsa_1896", "připadat (v-w5202hsa_1896) - substituted with v-w5202f9_ZU")</f>
        <v>připadat (v-w5202hsa_1896) - substituted with v-w5202f9_ZU</v>
      </c>
    </row>
    <row r="38591" spans="1:4" x14ac:dyDescent="0.2">
      <c r="B38591" t="s">
        <v>455</v>
      </c>
    </row>
    <row r="38592" spans="1:4" x14ac:dyDescent="0.2">
      <c r="B38592" t="s">
        <v>12457</v>
      </c>
    </row>
    <row r="38593" spans="1:4" x14ac:dyDescent="0.2">
      <c r="B38593" t="s">
        <v>12458</v>
      </c>
    </row>
    <row r="38595" spans="1:4" x14ac:dyDescent="0.2">
      <c r="A38595" t="s">
        <v>12462</v>
      </c>
      <c r="B38595" t="str">
        <f>HYPERLINK("https://lindat.mff.cuni.cz/services/teitok/pdtc10/index.php?action=vallex&amp;frame=v-w5202f7", "připadat (v-w5202f7)")</f>
        <v>připadat (v-w5202f7)</v>
      </c>
    </row>
    <row r="38596" spans="1:4" x14ac:dyDescent="0.2">
      <c r="B38596" t="s">
        <v>1</v>
      </c>
    </row>
    <row r="38597" spans="1:4" x14ac:dyDescent="0.2">
      <c r="B38597" t="s">
        <v>103</v>
      </c>
    </row>
    <row r="38599" spans="1:4" x14ac:dyDescent="0.2">
      <c r="A38599" t="s">
        <v>12463</v>
      </c>
      <c r="B38599" t="str">
        <f>HYPERLINK("https://lindat.mff.cuni.cz/services/teitok/pdtc10/index.php?action=vallex&amp;frame=v-w5202f1", "připadat (v-w5202f1)")</f>
        <v>připadat (v-w5202f1)</v>
      </c>
    </row>
    <row r="38600" spans="1:4" x14ac:dyDescent="0.2">
      <c r="B38600" t="s">
        <v>1</v>
      </c>
      <c r="C38600" t="s">
        <v>12464</v>
      </c>
    </row>
    <row r="38601" spans="1:4" x14ac:dyDescent="0.2">
      <c r="B38601" t="s">
        <v>28</v>
      </c>
      <c r="C38601" t="s">
        <v>12465</v>
      </c>
    </row>
    <row r="38603" spans="1:4" x14ac:dyDescent="0.2">
      <c r="A38603" t="s">
        <v>12466</v>
      </c>
      <c r="B38603" t="str">
        <f>HYPERLINK("https://lindat.mff.cuni.cz/services/teitok/pdtc10/index.php?action=vallex&amp;frame=v-w5202f4", "připadat (v-w5202f4)")</f>
        <v>připadat (v-w5202f4)</v>
      </c>
    </row>
    <row r="38604" spans="1:4" x14ac:dyDescent="0.2">
      <c r="B38604" t="s">
        <v>455</v>
      </c>
      <c r="C38604" t="s">
        <v>12467</v>
      </c>
      <c r="D38604" t="s">
        <v>24075</v>
      </c>
    </row>
    <row r="38605" spans="1:4" x14ac:dyDescent="0.2">
      <c r="B38605" t="s">
        <v>2480</v>
      </c>
      <c r="C38605" t="s">
        <v>2213</v>
      </c>
      <c r="D38605" t="s">
        <v>24076</v>
      </c>
    </row>
    <row r="38607" spans="1:4" x14ac:dyDescent="0.2">
      <c r="A38607" t="s">
        <v>12468</v>
      </c>
      <c r="B38607" t="str">
        <f>HYPERLINK("https://lindat.mff.cuni.cz/services/teitok/pdtc10/index.php?action=vallex&amp;frame=v-w5202f5", "připadat (v-w5202f5)")</f>
        <v>připadat (v-w5202f5)</v>
      </c>
    </row>
    <row r="38608" spans="1:4" x14ac:dyDescent="0.2">
      <c r="B38608" t="s">
        <v>1</v>
      </c>
      <c r="C38608" t="s">
        <v>186</v>
      </c>
      <c r="D38608" t="s">
        <v>715</v>
      </c>
    </row>
    <row r="38609" spans="1:4" x14ac:dyDescent="0.2">
      <c r="B38609" t="s">
        <v>12469</v>
      </c>
      <c r="C38609" t="s">
        <v>12470</v>
      </c>
      <c r="D38609" t="s">
        <v>1261</v>
      </c>
    </row>
    <row r="38611" spans="1:4" x14ac:dyDescent="0.2">
      <c r="A38611" t="s">
        <v>12471</v>
      </c>
      <c r="B38611" t="str">
        <f>HYPERLINK("https://lindat.mff.cuni.cz/services/teitok/pdtc10/index.php?action=vallex&amp;frame=v-w5202f6", "připadat (v-w5202f6)")</f>
        <v>připadat (v-w5202f6)</v>
      </c>
    </row>
    <row r="38612" spans="1:4" x14ac:dyDescent="0.2">
      <c r="B38612" t="s">
        <v>2003</v>
      </c>
    </row>
    <row r="38614" spans="1:4" x14ac:dyDescent="0.2">
      <c r="A38614" t="s">
        <v>12472</v>
      </c>
      <c r="B38614" t="str">
        <f>HYPERLINK("https://lindat.mff.cuni.cz/services/teitok/pdtc10/index.php?action=vallex&amp;frame=v-w5202f3", "připadat (v-w5202f3)")</f>
        <v>připadat (v-w5202f3)</v>
      </c>
    </row>
    <row r="38615" spans="1:4" x14ac:dyDescent="0.2">
      <c r="B38615" t="s">
        <v>196</v>
      </c>
    </row>
    <row r="38616" spans="1:4" x14ac:dyDescent="0.2">
      <c r="B38616" t="s">
        <v>12062</v>
      </c>
    </row>
    <row r="38618" spans="1:4" x14ac:dyDescent="0.2">
      <c r="A38618" t="s">
        <v>12473</v>
      </c>
      <c r="B38618" t="str">
        <f>HYPERLINK("https://lindat.mff.cuni.cz/services/teitok/pdtc10/index.php?action=vallex&amp;frame=v-w5203f2", "připadat si (v-w5203f2)")</f>
        <v>připadat si (v-w5203f2)</v>
      </c>
    </row>
    <row r="38619" spans="1:4" x14ac:dyDescent="0.2">
      <c r="B38619" t="s">
        <v>1</v>
      </c>
    </row>
    <row r="38620" spans="1:4" x14ac:dyDescent="0.2">
      <c r="B38620" t="s">
        <v>12474</v>
      </c>
    </row>
    <row r="38622" spans="1:4" x14ac:dyDescent="0.2">
      <c r="A38622" t="s">
        <v>12475</v>
      </c>
      <c r="B38622" t="str">
        <f>HYPERLINK("https://lindat.mff.cuni.cz/services/teitok/pdtc10/index.php?action=vallex&amp;frame=v-w5203f1", "připadat si (v-w5203f1)")</f>
        <v>připadat si (v-w5203f1)</v>
      </c>
    </row>
    <row r="38623" spans="1:4" x14ac:dyDescent="0.2">
      <c r="B38623" t="s">
        <v>1</v>
      </c>
      <c r="C38623" t="s">
        <v>12476</v>
      </c>
      <c r="D38623" t="s">
        <v>23072</v>
      </c>
    </row>
    <row r="38624" spans="1:4" x14ac:dyDescent="0.2">
      <c r="B38624" t="s">
        <v>346</v>
      </c>
      <c r="C38624" t="s">
        <v>1251</v>
      </c>
      <c r="D38624" t="s">
        <v>23074</v>
      </c>
    </row>
    <row r="38625" spans="1:4" x14ac:dyDescent="0.2">
      <c r="B38625" t="s">
        <v>351</v>
      </c>
      <c r="D38625" t="s">
        <v>23075</v>
      </c>
    </row>
    <row r="38627" spans="1:4" x14ac:dyDescent="0.2">
      <c r="A38627" t="s">
        <v>12477</v>
      </c>
      <c r="B38627" t="str">
        <f>HYPERLINK("https://lindat.mff.cuni.cz/services/teitok/pdtc10/index.php?action=vallex&amp;frame=v-w5204f5", "připadnout (v-w5204f5)")</f>
        <v>připadnout (v-w5204f5)</v>
      </c>
    </row>
    <row r="38628" spans="1:4" x14ac:dyDescent="0.2">
      <c r="B38628" t="s">
        <v>455</v>
      </c>
      <c r="D38628" t="s">
        <v>23149</v>
      </c>
    </row>
    <row r="38629" spans="1:4" x14ac:dyDescent="0.2">
      <c r="B38629" t="s">
        <v>12478</v>
      </c>
      <c r="D38629" t="s">
        <v>23151</v>
      </c>
    </row>
    <row r="38630" spans="1:4" x14ac:dyDescent="0.2">
      <c r="B38630" t="s">
        <v>12479</v>
      </c>
      <c r="D38630" t="s">
        <v>23150</v>
      </c>
    </row>
    <row r="38632" spans="1:4" x14ac:dyDescent="0.2">
      <c r="A38632" t="s">
        <v>12480</v>
      </c>
      <c r="B38632" t="str">
        <f>HYPERLINK("https://lindat.mff.cuni.cz/services/teitok/pdtc10/index.php?action=vallex&amp;frame=v-w5204f1", "připadnout (v-w5204f1)")</f>
        <v>připadnout (v-w5204f1)</v>
      </c>
    </row>
    <row r="38633" spans="1:4" x14ac:dyDescent="0.2">
      <c r="B38633" t="s">
        <v>1</v>
      </c>
      <c r="C38633" t="s">
        <v>12481</v>
      </c>
      <c r="D38633" t="s">
        <v>3797</v>
      </c>
    </row>
    <row r="38634" spans="1:4" x14ac:dyDescent="0.2">
      <c r="B38634" t="s">
        <v>103</v>
      </c>
      <c r="C38634" t="s">
        <v>12482</v>
      </c>
      <c r="D38634" t="s">
        <v>3798</v>
      </c>
    </row>
    <row r="38636" spans="1:4" x14ac:dyDescent="0.2">
      <c r="A38636" t="s">
        <v>12483</v>
      </c>
      <c r="B38636" t="str">
        <f>HYPERLINK("https://lindat.mff.cuni.cz/services/teitok/pdtc10/index.php?action=vallex&amp;frame=v-w5204f8_ZU", "připadnout (v-w5204f8_ZU)")</f>
        <v>připadnout (v-w5204f8_ZU)</v>
      </c>
    </row>
    <row r="38637" spans="1:4" x14ac:dyDescent="0.2">
      <c r="B38637" t="s">
        <v>1</v>
      </c>
    </row>
    <row r="38638" spans="1:4" x14ac:dyDescent="0.2">
      <c r="B38638" t="s">
        <v>28</v>
      </c>
    </row>
    <row r="38640" spans="1:4" x14ac:dyDescent="0.2">
      <c r="A38640" t="s">
        <v>12483</v>
      </c>
      <c r="B38640" t="str">
        <f>HYPERLINK("https://lindat.mff.cuni.cz/services/teitok/pdtc10/index.php?action=vallex&amp;frame=v-w5204f2", "připadnout (v-w5204f2) - substituted with v-w5204f8_ZU")</f>
        <v>připadnout (v-w5204f2) - substituted with v-w5204f8_ZU</v>
      </c>
    </row>
    <row r="38641" spans="1:4" x14ac:dyDescent="0.2">
      <c r="B38641" t="s">
        <v>1</v>
      </c>
      <c r="C38641" t="s">
        <v>2172</v>
      </c>
    </row>
    <row r="38642" spans="1:4" x14ac:dyDescent="0.2">
      <c r="B38642" t="s">
        <v>28</v>
      </c>
      <c r="C38642" t="s">
        <v>12484</v>
      </c>
    </row>
    <row r="38644" spans="1:4" x14ac:dyDescent="0.2">
      <c r="A38644" t="s">
        <v>12483</v>
      </c>
      <c r="B38644" t="str">
        <f>HYPERLINK("https://lindat.mff.cuni.cz/services/teitok/pdtc10/index.php?action=vallex&amp;frame=v-w5204f7_ZU", "připadnout (v-w5204f7_ZU) - substituted with v-w5204f8_ZU")</f>
        <v>připadnout (v-w5204f7_ZU) - substituted with v-w5204f8_ZU</v>
      </c>
    </row>
    <row r="38645" spans="1:4" x14ac:dyDescent="0.2">
      <c r="B38645" t="s">
        <v>1</v>
      </c>
    </row>
    <row r="38646" spans="1:4" x14ac:dyDescent="0.2">
      <c r="B38646" t="s">
        <v>28</v>
      </c>
    </row>
    <row r="38648" spans="1:4" x14ac:dyDescent="0.2">
      <c r="A38648" t="s">
        <v>12485</v>
      </c>
      <c r="B38648" t="str">
        <f>HYPERLINK("https://lindat.mff.cuni.cz/services/teitok/pdtc10/index.php?action=vallex&amp;frame=v-w5204f6", "připadnout (v-w5204f6)")</f>
        <v>připadnout (v-w5204f6)</v>
      </c>
    </row>
    <row r="38649" spans="1:4" x14ac:dyDescent="0.2">
      <c r="B38649" t="s">
        <v>455</v>
      </c>
      <c r="D38649" t="s">
        <v>24075</v>
      </c>
    </row>
    <row r="38650" spans="1:4" x14ac:dyDescent="0.2">
      <c r="B38650" t="s">
        <v>2480</v>
      </c>
      <c r="D38650" t="s">
        <v>24076</v>
      </c>
    </row>
    <row r="38652" spans="1:4" x14ac:dyDescent="0.2">
      <c r="A38652" t="s">
        <v>12486</v>
      </c>
      <c r="B38652" t="str">
        <f>HYPERLINK("https://lindat.mff.cuni.cz/services/teitok/pdtc10/index.php?action=vallex&amp;frame=v-w5204f4", "připadnout (v-w5204f4)")</f>
        <v>připadnout (v-w5204f4)</v>
      </c>
    </row>
    <row r="38653" spans="1:4" x14ac:dyDescent="0.2">
      <c r="B38653" t="s">
        <v>1</v>
      </c>
    </row>
    <row r="38654" spans="1:4" x14ac:dyDescent="0.2">
      <c r="B38654" t="s">
        <v>90</v>
      </c>
    </row>
    <row r="38656" spans="1:4" x14ac:dyDescent="0.2">
      <c r="A38656" t="s">
        <v>12487</v>
      </c>
      <c r="B38656" t="str">
        <f>HYPERLINK("https://lindat.mff.cuni.cz/services/teitok/pdtc10/index.php?action=vallex&amp;frame=v-w5204f3", "připadnout (v-w5204f3)")</f>
        <v>připadnout (v-w5204f3)</v>
      </c>
    </row>
    <row r="38657" spans="1:4" x14ac:dyDescent="0.2">
      <c r="B38657" t="s">
        <v>1</v>
      </c>
      <c r="C38657" t="s">
        <v>186</v>
      </c>
      <c r="D38657" t="s">
        <v>715</v>
      </c>
    </row>
    <row r="38658" spans="1:4" x14ac:dyDescent="0.2">
      <c r="B38658" t="s">
        <v>12469</v>
      </c>
      <c r="C38658" t="s">
        <v>12470</v>
      </c>
      <c r="D38658" t="s">
        <v>1261</v>
      </c>
    </row>
    <row r="38660" spans="1:4" x14ac:dyDescent="0.2">
      <c r="A38660" t="s">
        <v>12488</v>
      </c>
      <c r="B38660" t="str">
        <f>HYPERLINK("https://lindat.mff.cuni.cz/services/teitok/pdtc10/index.php?action=vallex&amp;frame=v-w5204f9_ZU", "připadnout (v-w5204f9_ZU)")</f>
        <v>připadnout (v-w5204f9_ZU)</v>
      </c>
    </row>
    <row r="38661" spans="1:4" x14ac:dyDescent="0.2">
      <c r="B38661" t="s">
        <v>1</v>
      </c>
    </row>
    <row r="38662" spans="1:4" x14ac:dyDescent="0.2">
      <c r="B38662" t="s">
        <v>28</v>
      </c>
    </row>
    <row r="38664" spans="1:4" x14ac:dyDescent="0.2">
      <c r="A38664" t="s">
        <v>12489</v>
      </c>
      <c r="B38664" t="str">
        <f>HYPERLINK("https://lindat.mff.cuni.cz/services/teitok/pdtc10/index.php?action=vallex&amp;frame=v-w5205f1", "připevnit (v-w5205f1)")</f>
        <v>připevnit (v-w5205f1)</v>
      </c>
    </row>
    <row r="38665" spans="1:4" x14ac:dyDescent="0.2">
      <c r="B38665" t="s">
        <v>1</v>
      </c>
      <c r="C38665" t="s">
        <v>33</v>
      </c>
      <c r="D38665" t="s">
        <v>83</v>
      </c>
    </row>
    <row r="38666" spans="1:4" x14ac:dyDescent="0.2">
      <c r="B38666" t="s">
        <v>8</v>
      </c>
      <c r="C38666" t="s">
        <v>113</v>
      </c>
      <c r="D38666" t="s">
        <v>8366</v>
      </c>
    </row>
    <row r="38668" spans="1:4" x14ac:dyDescent="0.2">
      <c r="A38668" t="s">
        <v>12490</v>
      </c>
      <c r="B38668" t="str">
        <f>HYPERLINK("https://lindat.mff.cuni.cz/services/teitok/pdtc10/index.php?action=vallex&amp;frame=v-whsa_724hsa_725", "připevňovat (v-whsa_724hsa_725)")</f>
        <v>připevňovat (v-whsa_724hsa_725)</v>
      </c>
    </row>
    <row r="38669" spans="1:4" x14ac:dyDescent="0.2">
      <c r="B38669" t="s">
        <v>1</v>
      </c>
      <c r="C38669" t="s">
        <v>140</v>
      </c>
      <c r="D38669" t="s">
        <v>83</v>
      </c>
    </row>
    <row r="38670" spans="1:4" x14ac:dyDescent="0.2">
      <c r="B38670" t="s">
        <v>8</v>
      </c>
      <c r="C38670" t="s">
        <v>113</v>
      </c>
      <c r="D38670" t="s">
        <v>8366</v>
      </c>
    </row>
    <row r="38672" spans="1:4" x14ac:dyDescent="0.2">
      <c r="A38672" t="s">
        <v>12491</v>
      </c>
      <c r="B38672" t="str">
        <f>HYPERLINK("https://lindat.mff.cuni.cz/services/teitok/pdtc10/index.php?action=vallex&amp;frame=v-w5207f1", "připisovat (v-w5207f1)")</f>
        <v>připisovat (v-w5207f1)</v>
      </c>
    </row>
    <row r="38673" spans="1:4" x14ac:dyDescent="0.2">
      <c r="B38673" t="s">
        <v>1</v>
      </c>
      <c r="C38673" t="s">
        <v>12492</v>
      </c>
      <c r="D38673" t="s">
        <v>6039</v>
      </c>
    </row>
    <row r="38674" spans="1:4" x14ac:dyDescent="0.2">
      <c r="B38674" t="s">
        <v>41</v>
      </c>
      <c r="C38674" t="s">
        <v>12493</v>
      </c>
      <c r="D38674" t="s">
        <v>23799</v>
      </c>
    </row>
    <row r="38675" spans="1:4" x14ac:dyDescent="0.2">
      <c r="B38675" t="s">
        <v>35</v>
      </c>
      <c r="C38675" t="s">
        <v>12494</v>
      </c>
      <c r="D38675" t="s">
        <v>23800</v>
      </c>
    </row>
    <row r="38677" spans="1:4" x14ac:dyDescent="0.2">
      <c r="A38677" t="s">
        <v>12495</v>
      </c>
      <c r="B38677" t="str">
        <f>HYPERLINK("https://lindat.mff.cuni.cz/services/teitok/pdtc10/index.php?action=vallex&amp;frame=v-w5207f2", "připisovat (v-w5207f2)")</f>
        <v>připisovat (v-w5207f2)</v>
      </c>
    </row>
    <row r="38678" spans="1:4" x14ac:dyDescent="0.2">
      <c r="B38678" t="s">
        <v>1</v>
      </c>
      <c r="C38678" t="s">
        <v>2239</v>
      </c>
      <c r="D38678" t="s">
        <v>24045</v>
      </c>
    </row>
    <row r="38679" spans="1:4" x14ac:dyDescent="0.2">
      <c r="B38679" t="s">
        <v>8</v>
      </c>
      <c r="C38679" t="s">
        <v>1044</v>
      </c>
      <c r="D38679" t="s">
        <v>24046</v>
      </c>
    </row>
    <row r="38680" spans="1:4" x14ac:dyDescent="0.2">
      <c r="B38680" t="s">
        <v>90</v>
      </c>
      <c r="D38680" t="s">
        <v>23366</v>
      </c>
    </row>
    <row r="38682" spans="1:4" x14ac:dyDescent="0.2">
      <c r="A38682" t="s">
        <v>12496</v>
      </c>
      <c r="B38682" t="str">
        <f>HYPERLINK("https://lindat.mff.cuni.cz/services/teitok/pdtc10/index.php?action=vallex&amp;frame=v-w5211f1", "připlatit (v-w5211f1)")</f>
        <v>připlatit (v-w5211f1)</v>
      </c>
    </row>
    <row r="38683" spans="1:4" x14ac:dyDescent="0.2">
      <c r="B38683" t="s">
        <v>1</v>
      </c>
      <c r="C38683" t="s">
        <v>12497</v>
      </c>
    </row>
    <row r="38684" spans="1:4" x14ac:dyDescent="0.2">
      <c r="B38684" t="s">
        <v>524</v>
      </c>
    </row>
    <row r="38685" spans="1:4" x14ac:dyDescent="0.2">
      <c r="B38685" t="s">
        <v>1382</v>
      </c>
      <c r="C38685" t="s">
        <v>8545</v>
      </c>
    </row>
    <row r="38686" spans="1:4" x14ac:dyDescent="0.2">
      <c r="B38686" t="s">
        <v>78</v>
      </c>
      <c r="C38686" t="s">
        <v>8546</v>
      </c>
    </row>
    <row r="38688" spans="1:4" x14ac:dyDescent="0.2">
      <c r="A38688" t="s">
        <v>12498</v>
      </c>
      <c r="B38688" t="str">
        <f>HYPERLINK("https://lindat.mff.cuni.cz/services/teitok/pdtc10/index.php?action=vallex&amp;frame=v-whsa_864hsa_865", "připlavat (v-whsa_864hsa_865)")</f>
        <v>připlavat (v-whsa_864hsa_865)</v>
      </c>
    </row>
    <row r="38689" spans="1:4" x14ac:dyDescent="0.2">
      <c r="B38689" t="s">
        <v>1</v>
      </c>
    </row>
    <row r="38690" spans="1:4" x14ac:dyDescent="0.2">
      <c r="B38690" t="s">
        <v>90</v>
      </c>
    </row>
    <row r="38692" spans="1:4" x14ac:dyDescent="0.2">
      <c r="A38692" t="s">
        <v>12499</v>
      </c>
      <c r="B38692" t="str">
        <f>HYPERLINK("https://lindat.mff.cuni.cz/services/teitok/pdtc10/index.php?action=vallex&amp;frame=v-w5212f1", "připlout (v-w5212f1)")</f>
        <v>připlout (v-w5212f1)</v>
      </c>
    </row>
    <row r="38693" spans="1:4" x14ac:dyDescent="0.2">
      <c r="B38693" t="s">
        <v>1</v>
      </c>
    </row>
    <row r="38694" spans="1:4" x14ac:dyDescent="0.2">
      <c r="B38694" t="s">
        <v>90</v>
      </c>
    </row>
    <row r="38696" spans="1:4" x14ac:dyDescent="0.2">
      <c r="A38696" t="s">
        <v>12500</v>
      </c>
      <c r="B38696" t="str">
        <f>HYPERLINK("https://lindat.mff.cuni.cz/services/teitok/pdtc10/index.php?action=vallex&amp;frame=v-w11562_ZUf1_ZU", "připlouvat (v-w11562_ZUf1_ZU)")</f>
        <v>připlouvat (v-w11562_ZUf1_ZU)</v>
      </c>
    </row>
    <row r="38697" spans="1:4" x14ac:dyDescent="0.2">
      <c r="B38697" t="s">
        <v>1</v>
      </c>
      <c r="D38697" t="s">
        <v>22987</v>
      </c>
    </row>
    <row r="38698" spans="1:4" x14ac:dyDescent="0.2">
      <c r="B38698" t="s">
        <v>252</v>
      </c>
      <c r="D38698" t="s">
        <v>209</v>
      </c>
    </row>
    <row r="38700" spans="1:4" x14ac:dyDescent="0.2">
      <c r="A38700" t="s">
        <v>12501</v>
      </c>
      <c r="B38700" t="str">
        <f>HYPERLINK("https://lindat.mff.cuni.cz/services/teitok/pdtc10/index.php?action=vallex&amp;frame=v-w5213f1", "připlynout (v-w5213f1)")</f>
        <v>připlynout (v-w5213f1)</v>
      </c>
    </row>
    <row r="38701" spans="1:4" x14ac:dyDescent="0.2">
      <c r="B38701" t="s">
        <v>1</v>
      </c>
    </row>
    <row r="38702" spans="1:4" x14ac:dyDescent="0.2">
      <c r="B38702" t="s">
        <v>90</v>
      </c>
    </row>
    <row r="38704" spans="1:4" x14ac:dyDescent="0.2">
      <c r="A38704" t="s">
        <v>12502</v>
      </c>
      <c r="B38704" t="str">
        <f>HYPERLINK("https://lindat.mff.cuni.cz/services/teitok/pdtc10/index.php?action=vallex&amp;frame=v-w5209f1", "připlácet (v-w5209f1)")</f>
        <v>připlácet (v-w5209f1)</v>
      </c>
    </row>
    <row r="38705" spans="1:4" x14ac:dyDescent="0.2">
      <c r="B38705" t="s">
        <v>1</v>
      </c>
      <c r="D38705" t="s">
        <v>23164</v>
      </c>
    </row>
    <row r="38706" spans="1:4" x14ac:dyDescent="0.2">
      <c r="B38706" t="s">
        <v>524</v>
      </c>
      <c r="D38706" t="s">
        <v>23169</v>
      </c>
    </row>
    <row r="38707" spans="1:4" x14ac:dyDescent="0.2">
      <c r="B38707" t="s">
        <v>1382</v>
      </c>
    </row>
    <row r="38708" spans="1:4" x14ac:dyDescent="0.2">
      <c r="B38708" t="s">
        <v>78</v>
      </c>
      <c r="D38708" t="s">
        <v>23166</v>
      </c>
    </row>
    <row r="38710" spans="1:4" x14ac:dyDescent="0.2">
      <c r="A38710" t="s">
        <v>12503</v>
      </c>
      <c r="B38710" t="str">
        <f>HYPERLINK("https://lindat.mff.cuni.cz/services/teitok/pdtc10/index.php?action=vallex&amp;frame=v-w11372f1", "připlést se (v-w11372f1)")</f>
        <v>připlést se (v-w11372f1)</v>
      </c>
    </row>
    <row r="38711" spans="1:4" x14ac:dyDescent="0.2">
      <c r="B38711" t="s">
        <v>1</v>
      </c>
      <c r="C38711" t="s">
        <v>186</v>
      </c>
      <c r="D38711" t="s">
        <v>23493</v>
      </c>
    </row>
    <row r="38712" spans="1:4" x14ac:dyDescent="0.2">
      <c r="B38712" t="s">
        <v>205</v>
      </c>
      <c r="C38712" t="s">
        <v>4392</v>
      </c>
      <c r="D38712" t="s">
        <v>24077</v>
      </c>
    </row>
    <row r="38714" spans="1:4" x14ac:dyDescent="0.2">
      <c r="A38714" t="s">
        <v>12504</v>
      </c>
      <c r="B38714" t="str">
        <f>HYPERLINK("https://lindat.mff.cuni.cz/services/teitok/pdtc10/index.php?action=vallex&amp;frame=v-w11699_ZUf1_ZU", "připlížit se (v-w11699_ZUf1_ZU)")</f>
        <v>připlížit se (v-w11699_ZUf1_ZU)</v>
      </c>
    </row>
    <row r="38715" spans="1:4" x14ac:dyDescent="0.2">
      <c r="B38715" t="s">
        <v>1</v>
      </c>
    </row>
    <row r="38716" spans="1:4" x14ac:dyDescent="0.2">
      <c r="B38716" t="s">
        <v>252</v>
      </c>
    </row>
    <row r="38718" spans="1:4" x14ac:dyDescent="0.2">
      <c r="A38718" t="s">
        <v>12505</v>
      </c>
      <c r="B38718" t="str">
        <f>HYPERLINK("https://lindat.mff.cuni.cz/services/teitok/pdtc10/index.php?action=vallex&amp;frame=v-w12305_MMf1_MM", "připnout (v-w12305_MMf1_MM)")</f>
        <v>připnout (v-w12305_MMf1_MM)</v>
      </c>
    </row>
    <row r="38719" spans="1:4" x14ac:dyDescent="0.2">
      <c r="B38719" t="s">
        <v>1</v>
      </c>
    </row>
    <row r="38720" spans="1:4" x14ac:dyDescent="0.2">
      <c r="B38720" t="s">
        <v>8</v>
      </c>
    </row>
    <row r="38722" spans="1:4" x14ac:dyDescent="0.2">
      <c r="A38722" t="s">
        <v>12506</v>
      </c>
      <c r="B38722" t="str">
        <f>HYPERLINK("https://lindat.mff.cuni.cz/services/teitok/pdtc10/index.php?action=vallex&amp;frame=v-whsa_348hsa_349", "připodobňovat (v-whsa_348hsa_349)")</f>
        <v>připodobňovat (v-whsa_348hsa_349)</v>
      </c>
    </row>
    <row r="38723" spans="1:4" x14ac:dyDescent="0.2">
      <c r="B38723" t="s">
        <v>1</v>
      </c>
      <c r="C38723" t="s">
        <v>140</v>
      </c>
      <c r="D38723" t="s">
        <v>1524</v>
      </c>
    </row>
    <row r="38724" spans="1:4" x14ac:dyDescent="0.2">
      <c r="B38724" t="s">
        <v>176</v>
      </c>
      <c r="C38724" t="s">
        <v>2691</v>
      </c>
      <c r="D38724" t="s">
        <v>24078</v>
      </c>
    </row>
    <row r="38725" spans="1:4" x14ac:dyDescent="0.2">
      <c r="B38725" t="s">
        <v>58</v>
      </c>
      <c r="C38725" t="s">
        <v>297</v>
      </c>
      <c r="D38725" t="s">
        <v>24079</v>
      </c>
    </row>
    <row r="38727" spans="1:4" x14ac:dyDescent="0.2">
      <c r="A38727" t="s">
        <v>12507</v>
      </c>
      <c r="B38727" t="str">
        <f>HYPERLINK("https://lindat.mff.cuni.cz/services/teitok/pdtc10/index.php?action=vallex&amp;frame=v-w5219f1", "připojistit (v-w5219f1)")</f>
        <v>připojistit (v-w5219f1)</v>
      </c>
    </row>
    <row r="38728" spans="1:4" x14ac:dyDescent="0.2">
      <c r="B38728" t="s">
        <v>1</v>
      </c>
    </row>
    <row r="38729" spans="1:4" x14ac:dyDescent="0.2">
      <c r="B38729" t="s">
        <v>8</v>
      </c>
    </row>
    <row r="38731" spans="1:4" x14ac:dyDescent="0.2">
      <c r="A38731" t="s">
        <v>12508</v>
      </c>
      <c r="B38731" t="str">
        <f>HYPERLINK("https://lindat.mff.cuni.cz/services/teitok/pdtc10/index.php?action=vallex&amp;frame=v-w5221f3", "připojit (v-w5221f3)")</f>
        <v>připojit (v-w5221f3)</v>
      </c>
    </row>
    <row r="38732" spans="1:4" x14ac:dyDescent="0.2">
      <c r="B38732" t="s">
        <v>1</v>
      </c>
      <c r="C38732" t="s">
        <v>12509</v>
      </c>
      <c r="D38732" t="s">
        <v>24080</v>
      </c>
    </row>
    <row r="38733" spans="1:4" x14ac:dyDescent="0.2">
      <c r="B38733" t="s">
        <v>8</v>
      </c>
      <c r="C38733" t="s">
        <v>4686</v>
      </c>
      <c r="D38733" t="s">
        <v>24081</v>
      </c>
    </row>
    <row r="38734" spans="1:4" x14ac:dyDescent="0.2">
      <c r="B38734" t="s">
        <v>90</v>
      </c>
      <c r="C38734" t="s">
        <v>12510</v>
      </c>
      <c r="D38734" t="s">
        <v>24082</v>
      </c>
    </row>
    <row r="38736" spans="1:4" x14ac:dyDescent="0.2">
      <c r="A38736" t="s">
        <v>12508</v>
      </c>
      <c r="B38736" t="str">
        <f>HYPERLINK("https://lindat.mff.cuni.cz/services/teitok/pdtc10/index.php?action=vallex&amp;frame=v-w5221f1", "připojit (v-w5221f1) - substituted with v-w5221f3")</f>
        <v>připojit (v-w5221f1) - substituted with v-w5221f3</v>
      </c>
    </row>
    <row r="38737" spans="1:4" x14ac:dyDescent="0.2">
      <c r="B38737" t="s">
        <v>1</v>
      </c>
      <c r="C38737" t="s">
        <v>133</v>
      </c>
    </row>
    <row r="38738" spans="1:4" x14ac:dyDescent="0.2">
      <c r="B38738" t="s">
        <v>8</v>
      </c>
      <c r="C38738" t="s">
        <v>56</v>
      </c>
    </row>
    <row r="38739" spans="1:4" x14ac:dyDescent="0.2">
      <c r="B38739" t="s">
        <v>90</v>
      </c>
      <c r="C38739" t="s">
        <v>12511</v>
      </c>
    </row>
    <row r="38741" spans="1:4" x14ac:dyDescent="0.2">
      <c r="A38741" t="s">
        <v>12512</v>
      </c>
      <c r="B38741" t="str">
        <f>HYPERLINK("https://lindat.mff.cuni.cz/services/teitok/pdtc10/index.php?action=vallex&amp;frame=v-w5221f2", "připojit (v-w5221f2)")</f>
        <v>připojit (v-w5221f2)</v>
      </c>
    </row>
    <row r="38742" spans="1:4" x14ac:dyDescent="0.2">
      <c r="B38742" t="s">
        <v>1</v>
      </c>
      <c r="C38742" t="s">
        <v>12513</v>
      </c>
    </row>
    <row r="38743" spans="1:4" x14ac:dyDescent="0.2">
      <c r="B38743" t="s">
        <v>4749</v>
      </c>
      <c r="C38743" t="s">
        <v>12514</v>
      </c>
    </row>
    <row r="38744" spans="1:4" x14ac:dyDescent="0.2">
      <c r="B38744" t="s">
        <v>8854</v>
      </c>
    </row>
    <row r="38746" spans="1:4" x14ac:dyDescent="0.2">
      <c r="A38746" t="s">
        <v>12515</v>
      </c>
      <c r="B38746" t="str">
        <f>HYPERLINK("https://lindat.mff.cuni.cz/services/teitok/pdtc10/index.php?action=vallex&amp;frame=v-w5221f4_ZU", "připojit (v-w5221f4_ZU)")</f>
        <v>připojit (v-w5221f4_ZU)</v>
      </c>
    </row>
    <row r="38747" spans="1:4" x14ac:dyDescent="0.2">
      <c r="B38747" t="s">
        <v>1</v>
      </c>
      <c r="D38747" t="s">
        <v>12645</v>
      </c>
    </row>
    <row r="38748" spans="1:4" x14ac:dyDescent="0.2">
      <c r="B38748" t="s">
        <v>8</v>
      </c>
      <c r="C38748" t="s">
        <v>113</v>
      </c>
      <c r="D38748" t="s">
        <v>24083</v>
      </c>
    </row>
    <row r="38749" spans="1:4" x14ac:dyDescent="0.2">
      <c r="B38749" t="s">
        <v>90</v>
      </c>
      <c r="C38749" t="s">
        <v>11579</v>
      </c>
      <c r="D38749" t="s">
        <v>24084</v>
      </c>
    </row>
    <row r="38751" spans="1:4" x14ac:dyDescent="0.2">
      <c r="A38751" t="s">
        <v>12515</v>
      </c>
      <c r="B38751" t="str">
        <f>HYPERLINK("https://lindat.mff.cuni.cz/services/teitok/pdtc10/index.php?action=vallex&amp;frame=v-w5221hsa_256", "připojit (v-w5221hsa_256) - substituted with v-w5221f4_ZU")</f>
        <v>připojit (v-w5221hsa_256) - substituted with v-w5221f4_ZU</v>
      </c>
    </row>
    <row r="38752" spans="1:4" x14ac:dyDescent="0.2">
      <c r="B38752" t="s">
        <v>1</v>
      </c>
      <c r="C38752" t="s">
        <v>133</v>
      </c>
    </row>
    <row r="38753" spans="1:4" x14ac:dyDescent="0.2">
      <c r="B38753" t="s">
        <v>8</v>
      </c>
      <c r="C38753" t="s">
        <v>56</v>
      </c>
    </row>
    <row r="38754" spans="1:4" x14ac:dyDescent="0.2">
      <c r="B38754" t="s">
        <v>90</v>
      </c>
      <c r="C38754" t="s">
        <v>12511</v>
      </c>
    </row>
    <row r="38756" spans="1:4" x14ac:dyDescent="0.2">
      <c r="A38756" t="s">
        <v>12516</v>
      </c>
      <c r="B38756" t="str">
        <f>HYPERLINK("https://lindat.mff.cuni.cz/services/teitok/pdtc10/index.php?action=vallex&amp;frame=v-w5222f2", "připojit se (v-w5222f2)")</f>
        <v>připojit se (v-w5222f2)</v>
      </c>
    </row>
    <row r="38757" spans="1:4" x14ac:dyDescent="0.2">
      <c r="B38757" t="s">
        <v>1</v>
      </c>
      <c r="C38757" t="s">
        <v>12517</v>
      </c>
      <c r="D38757" t="s">
        <v>24085</v>
      </c>
    </row>
    <row r="38758" spans="1:4" x14ac:dyDescent="0.2">
      <c r="B38758" t="s">
        <v>176</v>
      </c>
      <c r="C38758" t="s">
        <v>12518</v>
      </c>
      <c r="D38758" t="s">
        <v>21283</v>
      </c>
    </row>
    <row r="38760" spans="1:4" x14ac:dyDescent="0.2">
      <c r="A38760" t="s">
        <v>12519</v>
      </c>
      <c r="B38760" t="str">
        <f>HYPERLINK("https://lindat.mff.cuni.cz/services/teitok/pdtc10/index.php?action=vallex&amp;frame=v-w5222f1", "připojit se (v-w5222f1)")</f>
        <v>připojit se (v-w5222f1)</v>
      </c>
    </row>
    <row r="38761" spans="1:4" x14ac:dyDescent="0.2">
      <c r="B38761" t="s">
        <v>1</v>
      </c>
      <c r="C38761" t="s">
        <v>12520</v>
      </c>
      <c r="D38761" t="s">
        <v>23334</v>
      </c>
    </row>
    <row r="38762" spans="1:4" x14ac:dyDescent="0.2">
      <c r="B38762" t="s">
        <v>90</v>
      </c>
      <c r="C38762" t="s">
        <v>12521</v>
      </c>
      <c r="D38762" t="s">
        <v>23571</v>
      </c>
    </row>
    <row r="38764" spans="1:4" x14ac:dyDescent="0.2">
      <c r="A38764" t="s">
        <v>12522</v>
      </c>
      <c r="B38764" t="str">
        <f>HYPERLINK("https://lindat.mff.cuni.cz/services/teitok/pdtc10/index.php?action=vallex&amp;frame=v-w5222hsa_708", "připojit se (v-w5222hsa_708)")</f>
        <v>připojit se (v-w5222hsa_708)</v>
      </c>
    </row>
    <row r="38765" spans="1:4" x14ac:dyDescent="0.2">
      <c r="B38765" t="s">
        <v>1</v>
      </c>
    </row>
    <row r="38766" spans="1:4" x14ac:dyDescent="0.2">
      <c r="B38766" t="s">
        <v>90</v>
      </c>
    </row>
    <row r="38768" spans="1:4" x14ac:dyDescent="0.2">
      <c r="A38768" t="s">
        <v>12523</v>
      </c>
      <c r="B38768" t="str">
        <f>HYPERLINK("https://lindat.mff.cuni.cz/services/teitok/pdtc10/index.php?action=vallex&amp;frame=v-w5223f2", "připojovat (v-w5223f2)")</f>
        <v>připojovat (v-w5223f2)</v>
      </c>
    </row>
    <row r="38769" spans="1:4" x14ac:dyDescent="0.2">
      <c r="B38769" t="s">
        <v>1</v>
      </c>
      <c r="C38769" t="s">
        <v>6770</v>
      </c>
      <c r="D38769" t="s">
        <v>24055</v>
      </c>
    </row>
    <row r="38770" spans="1:4" x14ac:dyDescent="0.2">
      <c r="B38770" t="s">
        <v>8</v>
      </c>
      <c r="C38770" t="s">
        <v>5497</v>
      </c>
      <c r="D38770" t="s">
        <v>24056</v>
      </c>
    </row>
    <row r="38771" spans="1:4" x14ac:dyDescent="0.2">
      <c r="B38771" t="s">
        <v>90</v>
      </c>
      <c r="D38771" t="s">
        <v>24057</v>
      </c>
    </row>
    <row r="38773" spans="1:4" x14ac:dyDescent="0.2">
      <c r="A38773" t="s">
        <v>12524</v>
      </c>
      <c r="B38773" t="str">
        <f>HYPERLINK("https://lindat.mff.cuni.cz/services/teitok/pdtc10/index.php?action=vallex&amp;frame=v-w5223f1", "připojovat (v-w5223f1)")</f>
        <v>připojovat (v-w5223f1)</v>
      </c>
    </row>
    <row r="38774" spans="1:4" x14ac:dyDescent="0.2">
      <c r="B38774" t="s">
        <v>1</v>
      </c>
      <c r="C38774" t="s">
        <v>4281</v>
      </c>
      <c r="D38774" t="s">
        <v>12645</v>
      </c>
    </row>
    <row r="38775" spans="1:4" x14ac:dyDescent="0.2">
      <c r="B38775" t="s">
        <v>8</v>
      </c>
      <c r="C38775" t="s">
        <v>11241</v>
      </c>
      <c r="D38775" t="s">
        <v>24083</v>
      </c>
    </row>
    <row r="38776" spans="1:4" x14ac:dyDescent="0.2">
      <c r="B38776" t="s">
        <v>90</v>
      </c>
      <c r="C38776" t="s">
        <v>12525</v>
      </c>
      <c r="D38776" t="s">
        <v>24084</v>
      </c>
    </row>
    <row r="38778" spans="1:4" x14ac:dyDescent="0.2">
      <c r="A38778" t="s">
        <v>12526</v>
      </c>
      <c r="B38778" t="str">
        <f>HYPERLINK("https://lindat.mff.cuni.cz/services/teitok/pdtc10/index.php?action=vallex&amp;frame=v-w5223f3", "připojovat (v-w5223f3)")</f>
        <v>připojovat (v-w5223f3)</v>
      </c>
    </row>
    <row r="38779" spans="1:4" x14ac:dyDescent="0.2">
      <c r="B38779" t="s">
        <v>1</v>
      </c>
      <c r="C38779" t="s">
        <v>12513</v>
      </c>
    </row>
    <row r="38780" spans="1:4" x14ac:dyDescent="0.2">
      <c r="B38780" t="s">
        <v>4749</v>
      </c>
      <c r="C38780" t="s">
        <v>12514</v>
      </c>
    </row>
    <row r="38781" spans="1:4" x14ac:dyDescent="0.2">
      <c r="B38781" t="s">
        <v>8854</v>
      </c>
    </row>
    <row r="38783" spans="1:4" x14ac:dyDescent="0.2">
      <c r="A38783" t="s">
        <v>12527</v>
      </c>
      <c r="B38783" t="str">
        <f>HYPERLINK("https://lindat.mff.cuni.cz/services/teitok/pdtc10/index.php?action=vallex&amp;frame=v-w5224f1", "připojovat se (v-w5224f1)")</f>
        <v>připojovat se (v-w5224f1)</v>
      </c>
    </row>
    <row r="38784" spans="1:4" x14ac:dyDescent="0.2">
      <c r="B38784" t="s">
        <v>1</v>
      </c>
      <c r="C38784" t="s">
        <v>12528</v>
      </c>
      <c r="D38784" t="s">
        <v>23334</v>
      </c>
    </row>
    <row r="38785" spans="1:4" x14ac:dyDescent="0.2">
      <c r="B38785" t="s">
        <v>176</v>
      </c>
      <c r="C38785" t="s">
        <v>1437</v>
      </c>
      <c r="D38785" t="s">
        <v>10414</v>
      </c>
    </row>
    <row r="38787" spans="1:4" x14ac:dyDescent="0.2">
      <c r="A38787" t="s">
        <v>12529</v>
      </c>
      <c r="B38787" t="str">
        <f>HYPERLINK("https://lindat.mff.cuni.cz/services/teitok/pdtc10/index.php?action=vallex&amp;frame=v-w5225f2", "připomenout (v-w5225f2)")</f>
        <v>připomenout (v-w5225f2)</v>
      </c>
    </row>
    <row r="38788" spans="1:4" x14ac:dyDescent="0.2">
      <c r="B38788" t="s">
        <v>1</v>
      </c>
      <c r="C38788" t="s">
        <v>12530</v>
      </c>
      <c r="D38788" t="s">
        <v>109</v>
      </c>
    </row>
    <row r="38789" spans="1:4" x14ac:dyDescent="0.2">
      <c r="B38789" t="s">
        <v>12531</v>
      </c>
      <c r="C38789" t="s">
        <v>12532</v>
      </c>
      <c r="D38789" t="s">
        <v>3773</v>
      </c>
    </row>
    <row r="38790" spans="1:4" x14ac:dyDescent="0.2">
      <c r="B38790" t="s">
        <v>35</v>
      </c>
      <c r="C38790" t="s">
        <v>12533</v>
      </c>
      <c r="D38790" t="s">
        <v>12533</v>
      </c>
    </row>
    <row r="38792" spans="1:4" x14ac:dyDescent="0.2">
      <c r="A38792" t="s">
        <v>12534</v>
      </c>
      <c r="B38792" t="str">
        <f>HYPERLINK("https://lindat.mff.cuni.cz/services/teitok/pdtc10/index.php?action=vallex&amp;frame=v-w5225f1", "připomenout (v-w5225f1)")</f>
        <v>připomenout (v-w5225f1)</v>
      </c>
    </row>
    <row r="38793" spans="1:4" x14ac:dyDescent="0.2">
      <c r="B38793" t="s">
        <v>1</v>
      </c>
      <c r="C38793" t="s">
        <v>12535</v>
      </c>
      <c r="D38793" t="s">
        <v>24086</v>
      </c>
    </row>
    <row r="38794" spans="1:4" x14ac:dyDescent="0.2">
      <c r="B38794" t="s">
        <v>1284</v>
      </c>
      <c r="C38794" t="s">
        <v>12536</v>
      </c>
      <c r="D38794" t="s">
        <v>24087</v>
      </c>
    </row>
    <row r="38795" spans="1:4" x14ac:dyDescent="0.2">
      <c r="B38795" t="s">
        <v>78</v>
      </c>
      <c r="C38795" t="s">
        <v>2817</v>
      </c>
      <c r="D38795" t="s">
        <v>2817</v>
      </c>
    </row>
    <row r="38797" spans="1:4" x14ac:dyDescent="0.2">
      <c r="A38797" t="s">
        <v>12537</v>
      </c>
      <c r="B38797" t="str">
        <f>HYPERLINK("https://lindat.mff.cuni.cz/services/teitok/pdtc10/index.php?action=vallex&amp;frame=v-w5228f2", "připomínat (v-w5228f2)")</f>
        <v>připomínat (v-w5228f2)</v>
      </c>
    </row>
    <row r="38798" spans="1:4" x14ac:dyDescent="0.2">
      <c r="B38798" t="s">
        <v>1</v>
      </c>
      <c r="C38798" t="s">
        <v>12538</v>
      </c>
      <c r="D38798" t="s">
        <v>109</v>
      </c>
    </row>
    <row r="38799" spans="1:4" x14ac:dyDescent="0.2">
      <c r="B38799" t="s">
        <v>12531</v>
      </c>
      <c r="C38799" t="s">
        <v>12539</v>
      </c>
      <c r="D38799" t="s">
        <v>3773</v>
      </c>
    </row>
    <row r="38800" spans="1:4" x14ac:dyDescent="0.2">
      <c r="B38800" t="s">
        <v>35</v>
      </c>
      <c r="C38800" t="s">
        <v>12540</v>
      </c>
      <c r="D38800" t="s">
        <v>12533</v>
      </c>
    </row>
    <row r="38802" spans="1:4" x14ac:dyDescent="0.2">
      <c r="A38802" t="s">
        <v>12541</v>
      </c>
      <c r="B38802" t="str">
        <f>HYPERLINK("https://lindat.mff.cuni.cz/services/teitok/pdtc10/index.php?action=vallex&amp;frame=v-w5228f1", "připomínat (v-w5228f1)")</f>
        <v>připomínat (v-w5228f1)</v>
      </c>
    </row>
    <row r="38803" spans="1:4" x14ac:dyDescent="0.2">
      <c r="B38803" t="s">
        <v>1</v>
      </c>
      <c r="C38803" t="s">
        <v>12542</v>
      </c>
      <c r="D38803" t="s">
        <v>24086</v>
      </c>
    </row>
    <row r="38804" spans="1:4" x14ac:dyDescent="0.2">
      <c r="B38804" t="s">
        <v>2158</v>
      </c>
      <c r="C38804" t="s">
        <v>12543</v>
      </c>
      <c r="D38804" t="s">
        <v>24087</v>
      </c>
    </row>
    <row r="38805" spans="1:4" x14ac:dyDescent="0.2">
      <c r="B38805" t="s">
        <v>78</v>
      </c>
      <c r="C38805" t="s">
        <v>3041</v>
      </c>
      <c r="D38805" t="s">
        <v>2817</v>
      </c>
    </row>
    <row r="38807" spans="1:4" x14ac:dyDescent="0.2">
      <c r="A38807" t="s">
        <v>12544</v>
      </c>
      <c r="B38807" t="str">
        <f>HYPERLINK("https://lindat.mff.cuni.cz/services/teitok/pdtc10/index.php?action=vallex&amp;frame=v-w5233f1", "připoutat (v-w5233f1)")</f>
        <v>připoutat (v-w5233f1)</v>
      </c>
    </row>
    <row r="38808" spans="1:4" x14ac:dyDescent="0.2">
      <c r="B38808" t="s">
        <v>1</v>
      </c>
      <c r="D38808" t="s">
        <v>83</v>
      </c>
    </row>
    <row r="38809" spans="1:4" x14ac:dyDescent="0.2">
      <c r="B38809" t="s">
        <v>8</v>
      </c>
      <c r="D38809" t="s">
        <v>8366</v>
      </c>
    </row>
    <row r="38811" spans="1:4" x14ac:dyDescent="0.2">
      <c r="A38811" t="s">
        <v>12545</v>
      </c>
      <c r="B38811" t="str">
        <f>HYPERLINK("https://lindat.mff.cuni.cz/services/teitok/pdtc10/index.php?action=vallex&amp;frame=v-w5234f1", "připoutávat (v-w5234f1)")</f>
        <v>připoutávat (v-w5234f1)</v>
      </c>
    </row>
    <row r="38812" spans="1:4" x14ac:dyDescent="0.2">
      <c r="B38812" t="s">
        <v>1</v>
      </c>
    </row>
    <row r="38813" spans="1:4" x14ac:dyDescent="0.2">
      <c r="B38813" t="s">
        <v>8</v>
      </c>
    </row>
    <row r="38814" spans="1:4" x14ac:dyDescent="0.2">
      <c r="B38814" t="s">
        <v>90</v>
      </c>
    </row>
    <row r="38816" spans="1:4" x14ac:dyDescent="0.2">
      <c r="A38816" t="s">
        <v>12546</v>
      </c>
      <c r="B38816" t="str">
        <f>HYPERLINK("https://lindat.mff.cuni.cz/services/teitok/pdtc10/index.php?action=vallex&amp;frame=v-w5234f2", "připoutávat (v-w5234f2)")</f>
        <v>připoutávat (v-w5234f2)</v>
      </c>
    </row>
    <row r="38817" spans="1:4" x14ac:dyDescent="0.2">
      <c r="B38817" t="s">
        <v>1</v>
      </c>
    </row>
    <row r="38818" spans="1:4" x14ac:dyDescent="0.2">
      <c r="B38818" t="s">
        <v>8</v>
      </c>
    </row>
    <row r="38820" spans="1:4" x14ac:dyDescent="0.2">
      <c r="A38820" t="s">
        <v>12547</v>
      </c>
      <c r="B38820" t="str">
        <f>HYPERLINK("https://lindat.mff.cuni.cz/services/teitok/pdtc10/index.php?action=vallex&amp;frame=v-w5230f3", "připouštět (v-w5230f3)")</f>
        <v>připouštět (v-w5230f3)</v>
      </c>
    </row>
    <row r="38821" spans="1:4" x14ac:dyDescent="0.2">
      <c r="B38821" t="s">
        <v>1</v>
      </c>
    </row>
    <row r="38822" spans="1:4" x14ac:dyDescent="0.2">
      <c r="B38822" t="s">
        <v>8</v>
      </c>
    </row>
    <row r="38823" spans="1:4" x14ac:dyDescent="0.2">
      <c r="B38823" t="s">
        <v>90</v>
      </c>
    </row>
    <row r="38825" spans="1:4" x14ac:dyDescent="0.2">
      <c r="A38825" t="s">
        <v>12548</v>
      </c>
      <c r="B38825" t="str">
        <f>HYPERLINK("https://lindat.mff.cuni.cz/services/teitok/pdtc10/index.php?action=vallex&amp;frame=v-w5230f2", "připouštět (v-w5230f2)")</f>
        <v>připouštět (v-w5230f2)</v>
      </c>
    </row>
    <row r="38826" spans="1:4" x14ac:dyDescent="0.2">
      <c r="B38826" t="s">
        <v>1</v>
      </c>
    </row>
    <row r="38827" spans="1:4" x14ac:dyDescent="0.2">
      <c r="B38827" t="s">
        <v>1181</v>
      </c>
    </row>
    <row r="38829" spans="1:4" x14ac:dyDescent="0.2">
      <c r="A38829" t="s">
        <v>12549</v>
      </c>
      <c r="B38829" t="str">
        <f>HYPERLINK("https://lindat.mff.cuni.cz/services/teitok/pdtc10/index.php?action=vallex&amp;frame=v-w5230f1", "připouštět (v-w5230f1)")</f>
        <v>připouštět (v-w5230f1)</v>
      </c>
    </row>
    <row r="38830" spans="1:4" x14ac:dyDescent="0.2">
      <c r="B38830" t="s">
        <v>1</v>
      </c>
      <c r="C38830" t="s">
        <v>12550</v>
      </c>
      <c r="D38830" t="s">
        <v>23213</v>
      </c>
    </row>
    <row r="38831" spans="1:4" x14ac:dyDescent="0.2">
      <c r="B38831" t="s">
        <v>12551</v>
      </c>
      <c r="C38831" t="s">
        <v>9761</v>
      </c>
      <c r="D38831" t="s">
        <v>23229</v>
      </c>
    </row>
    <row r="38833" spans="1:2" x14ac:dyDescent="0.2">
      <c r="A38833" t="s">
        <v>12552</v>
      </c>
      <c r="B38833" t="str">
        <f>HYPERLINK("https://lindat.mff.cuni.cz/services/teitok/pdtc10/index.php?action=vallex&amp;frame=v-w5230f4", "připouštět (v-w5230f4)")</f>
        <v>připouštět (v-w5230f4)</v>
      </c>
    </row>
    <row r="38834" spans="1:2" x14ac:dyDescent="0.2">
      <c r="B38834" t="s">
        <v>1</v>
      </c>
    </row>
    <row r="38835" spans="1:2" x14ac:dyDescent="0.2">
      <c r="B38835" t="s">
        <v>8</v>
      </c>
    </row>
    <row r="38837" spans="1:2" x14ac:dyDescent="0.2">
      <c r="A38837" t="s">
        <v>12553</v>
      </c>
      <c r="B38837" t="str">
        <f>HYPERLINK("https://lindat.mff.cuni.cz/services/teitok/pdtc10/index.php?action=vallex&amp;frame=v-w5231f1", "připouštět si (v-w5231f1)")</f>
        <v>připouštět si (v-w5231f1)</v>
      </c>
    </row>
    <row r="38838" spans="1:2" x14ac:dyDescent="0.2">
      <c r="B38838" t="s">
        <v>1</v>
      </c>
    </row>
    <row r="38839" spans="1:2" x14ac:dyDescent="0.2">
      <c r="B38839" t="s">
        <v>8</v>
      </c>
    </row>
    <row r="38841" spans="1:2" x14ac:dyDescent="0.2">
      <c r="A38841" t="s">
        <v>12554</v>
      </c>
      <c r="B38841" t="str">
        <f>HYPERLINK("https://lindat.mff.cuni.cz/services/teitok/pdtc10/index.php?action=vallex&amp;frame=v-w11776_ZUf1_ZU", "připozastavit (v-w11776_ZUf1_ZU)")</f>
        <v>připozastavit (v-w11776_ZUf1_ZU)</v>
      </c>
    </row>
    <row r="38842" spans="1:2" x14ac:dyDescent="0.2">
      <c r="B38842" t="s">
        <v>1</v>
      </c>
    </row>
    <row r="38843" spans="1:2" x14ac:dyDescent="0.2">
      <c r="B38843" t="s">
        <v>8</v>
      </c>
    </row>
    <row r="38845" spans="1:2" x14ac:dyDescent="0.2">
      <c r="A38845" t="s">
        <v>12555</v>
      </c>
      <c r="B38845" t="str">
        <f>HYPERLINK("https://lindat.mff.cuni.cz/services/teitok/pdtc10/index.php?action=vallex&amp;frame=v-w5214f2", "připočíst (v-w5214f2)")</f>
        <v>připočíst (v-w5214f2)</v>
      </c>
    </row>
    <row r="38846" spans="1:2" x14ac:dyDescent="0.2">
      <c r="B38846" t="s">
        <v>1</v>
      </c>
    </row>
    <row r="38847" spans="1:2" x14ac:dyDescent="0.2">
      <c r="B38847" t="s">
        <v>8</v>
      </c>
    </row>
    <row r="38848" spans="1:2" x14ac:dyDescent="0.2">
      <c r="B38848" t="s">
        <v>35</v>
      </c>
    </row>
    <row r="38850" spans="1:4" x14ac:dyDescent="0.2">
      <c r="A38850" t="s">
        <v>12556</v>
      </c>
      <c r="B38850" t="str">
        <f>HYPERLINK("https://lindat.mff.cuni.cz/services/teitok/pdtc10/index.php?action=vallex&amp;frame=v-w5214f1", "připočíst (v-w5214f1)")</f>
        <v>připočíst (v-w5214f1)</v>
      </c>
    </row>
    <row r="38851" spans="1:4" x14ac:dyDescent="0.2">
      <c r="B38851" t="s">
        <v>1</v>
      </c>
    </row>
    <row r="38852" spans="1:4" x14ac:dyDescent="0.2">
      <c r="B38852" t="s">
        <v>8</v>
      </c>
    </row>
    <row r="38853" spans="1:4" x14ac:dyDescent="0.2">
      <c r="B38853" t="s">
        <v>90</v>
      </c>
    </row>
    <row r="38855" spans="1:4" x14ac:dyDescent="0.2">
      <c r="A38855" t="s">
        <v>12557</v>
      </c>
      <c r="B38855" t="str">
        <f>HYPERLINK("https://lindat.mff.cuni.cz/services/teitok/pdtc10/index.php?action=vallex&amp;frame=v-w5215f1", "připočítávat (v-w5215f1)")</f>
        <v>připočítávat (v-w5215f1)</v>
      </c>
    </row>
    <row r="38856" spans="1:4" x14ac:dyDescent="0.2">
      <c r="B38856" t="s">
        <v>1</v>
      </c>
    </row>
    <row r="38857" spans="1:4" x14ac:dyDescent="0.2">
      <c r="B38857" t="s">
        <v>8</v>
      </c>
    </row>
    <row r="38858" spans="1:4" x14ac:dyDescent="0.2">
      <c r="B38858" t="s">
        <v>90</v>
      </c>
    </row>
    <row r="38860" spans="1:4" x14ac:dyDescent="0.2">
      <c r="A38860" t="s">
        <v>12558</v>
      </c>
      <c r="B38860" t="str">
        <f>HYPERLINK("https://lindat.mff.cuni.cz/services/teitok/pdtc10/index.php?action=vallex&amp;frame=v-w5238f3", "připravit (v-w5238f3)")</f>
        <v>připravit (v-w5238f3)</v>
      </c>
    </row>
    <row r="38861" spans="1:4" x14ac:dyDescent="0.2">
      <c r="B38861" t="s">
        <v>1</v>
      </c>
      <c r="C38861" t="s">
        <v>990</v>
      </c>
      <c r="D38861" t="s">
        <v>33</v>
      </c>
    </row>
    <row r="38862" spans="1:4" x14ac:dyDescent="0.2">
      <c r="B38862" t="s">
        <v>467</v>
      </c>
      <c r="C38862" t="s">
        <v>12559</v>
      </c>
      <c r="D38862" t="s">
        <v>6970</v>
      </c>
    </row>
    <row r="38863" spans="1:4" x14ac:dyDescent="0.2">
      <c r="B38863" t="s">
        <v>58</v>
      </c>
      <c r="C38863" t="s">
        <v>12560</v>
      </c>
      <c r="D38863" t="s">
        <v>6971</v>
      </c>
    </row>
    <row r="38865" spans="1:4" x14ac:dyDescent="0.2">
      <c r="A38865" t="s">
        <v>12561</v>
      </c>
      <c r="B38865" t="str">
        <f>HYPERLINK("https://lindat.mff.cuni.cz/services/teitok/pdtc10/index.php?action=vallex&amp;frame=v-w5238f1", "připravit (v-w5238f1)")</f>
        <v>připravit (v-w5238f1)</v>
      </c>
    </row>
    <row r="38866" spans="1:4" x14ac:dyDescent="0.2">
      <c r="B38866" t="s">
        <v>1</v>
      </c>
      <c r="C38866" t="s">
        <v>12562</v>
      </c>
      <c r="D38866" t="s">
        <v>24088</v>
      </c>
    </row>
    <row r="38867" spans="1:4" x14ac:dyDescent="0.2">
      <c r="B38867" t="s">
        <v>8</v>
      </c>
      <c r="C38867" t="s">
        <v>12563</v>
      </c>
      <c r="D38867" t="s">
        <v>9172</v>
      </c>
    </row>
    <row r="38868" spans="1:4" x14ac:dyDescent="0.2">
      <c r="B38868" t="s">
        <v>24</v>
      </c>
      <c r="C38868" t="s">
        <v>4604</v>
      </c>
      <c r="D38868" t="s">
        <v>7352</v>
      </c>
    </row>
    <row r="38870" spans="1:4" x14ac:dyDescent="0.2">
      <c r="A38870" t="s">
        <v>12564</v>
      </c>
      <c r="B38870" t="str">
        <f>HYPERLINK("https://lindat.mff.cuni.cz/services/teitok/pdtc10/index.php?action=vallex&amp;frame=v-w5238f2", "připravit (v-w5238f2)")</f>
        <v>připravit (v-w5238f2)</v>
      </c>
    </row>
    <row r="38871" spans="1:4" x14ac:dyDescent="0.2">
      <c r="B38871" t="s">
        <v>1</v>
      </c>
      <c r="C38871" t="s">
        <v>12565</v>
      </c>
      <c r="D38871" t="s">
        <v>23061</v>
      </c>
    </row>
    <row r="38872" spans="1:4" x14ac:dyDescent="0.2">
      <c r="B38872" t="s">
        <v>8</v>
      </c>
      <c r="C38872" t="s">
        <v>8252</v>
      </c>
      <c r="D38872" t="s">
        <v>2374</v>
      </c>
    </row>
    <row r="38874" spans="1:4" x14ac:dyDescent="0.2">
      <c r="A38874" t="s">
        <v>12566</v>
      </c>
      <c r="B38874" t="str">
        <f>HYPERLINK("https://lindat.mff.cuni.cz/services/teitok/pdtc10/index.php?action=vallex&amp;frame=v-w5238f5_ZU", "připravit (v-w5238f5_ZU)")</f>
        <v>připravit (v-w5238f5_ZU)</v>
      </c>
    </row>
    <row r="38875" spans="1:4" x14ac:dyDescent="0.2">
      <c r="B38875" t="s">
        <v>1</v>
      </c>
      <c r="C38875" t="s">
        <v>5517</v>
      </c>
      <c r="D38875" t="s">
        <v>23181</v>
      </c>
    </row>
    <row r="38876" spans="1:4" x14ac:dyDescent="0.2">
      <c r="B38876" t="s">
        <v>8</v>
      </c>
      <c r="C38876" t="s">
        <v>12567</v>
      </c>
      <c r="D38876" t="s">
        <v>24047</v>
      </c>
    </row>
    <row r="38878" spans="1:4" x14ac:dyDescent="0.2">
      <c r="A38878" t="s">
        <v>12566</v>
      </c>
      <c r="B38878" t="str">
        <f>HYPERLINK("https://lindat.mff.cuni.cz/services/teitok/pdtc10/index.php?action=vallex&amp;frame=v-w5238f4", "připravit (v-w5238f4) - substituted with v-w5238f5_ZU")</f>
        <v>připravit (v-w5238f4) - substituted with v-w5238f5_ZU</v>
      </c>
    </row>
    <row r="38879" spans="1:4" x14ac:dyDescent="0.2">
      <c r="B38879" t="s">
        <v>1</v>
      </c>
      <c r="C38879" t="s">
        <v>12568</v>
      </c>
    </row>
    <row r="38880" spans="1:4" x14ac:dyDescent="0.2">
      <c r="B38880" t="s">
        <v>8</v>
      </c>
      <c r="C38880" t="s">
        <v>12569</v>
      </c>
    </row>
    <row r="38882" spans="1:4" x14ac:dyDescent="0.2">
      <c r="A38882" t="s">
        <v>12570</v>
      </c>
      <c r="B38882" t="str">
        <f>HYPERLINK("https://lindat.mff.cuni.cz/services/teitok/pdtc10/index.php?action=vallex&amp;frame=v-w5239f1", "připravit se (v-w5239f1)")</f>
        <v>připravit se (v-w5239f1)</v>
      </c>
    </row>
    <row r="38883" spans="1:4" x14ac:dyDescent="0.2">
      <c r="B38883" t="s">
        <v>1</v>
      </c>
      <c r="C38883" t="s">
        <v>12571</v>
      </c>
      <c r="D38883" t="s">
        <v>964</v>
      </c>
    </row>
    <row r="38884" spans="1:4" x14ac:dyDescent="0.2">
      <c r="B38884" t="s">
        <v>12033</v>
      </c>
      <c r="C38884" t="s">
        <v>12572</v>
      </c>
      <c r="D38884" t="s">
        <v>8875</v>
      </c>
    </row>
    <row r="38886" spans="1:4" x14ac:dyDescent="0.2">
      <c r="A38886" t="s">
        <v>12573</v>
      </c>
      <c r="B38886" t="str">
        <f>HYPERLINK("https://lindat.mff.cuni.cz/services/teitok/pdtc10/index.php?action=vallex&amp;frame=v-w5241f4", "připravovat (v-w5241f4)")</f>
        <v>připravovat (v-w5241f4)</v>
      </c>
    </row>
    <row r="38887" spans="1:4" x14ac:dyDescent="0.2">
      <c r="B38887" t="s">
        <v>1</v>
      </c>
      <c r="C38887" t="s">
        <v>83</v>
      </c>
    </row>
    <row r="38888" spans="1:4" x14ac:dyDescent="0.2">
      <c r="B38888" t="s">
        <v>467</v>
      </c>
      <c r="C38888" t="s">
        <v>1190</v>
      </c>
    </row>
    <row r="38889" spans="1:4" x14ac:dyDescent="0.2">
      <c r="B38889" t="s">
        <v>58</v>
      </c>
      <c r="C38889" t="s">
        <v>3185</v>
      </c>
    </row>
    <row r="38891" spans="1:4" x14ac:dyDescent="0.2">
      <c r="A38891" t="s">
        <v>12574</v>
      </c>
      <c r="B38891" t="str">
        <f>HYPERLINK("https://lindat.mff.cuni.cz/services/teitok/pdtc10/index.php?action=vallex&amp;frame=v-w5241f2", "připravovat (v-w5241f2)")</f>
        <v>připravovat (v-w5241f2)</v>
      </c>
    </row>
    <row r="38892" spans="1:4" x14ac:dyDescent="0.2">
      <c r="B38892" t="s">
        <v>1</v>
      </c>
      <c r="C38892" t="s">
        <v>3307</v>
      </c>
      <c r="D38892" t="s">
        <v>19002</v>
      </c>
    </row>
    <row r="38893" spans="1:4" x14ac:dyDescent="0.2">
      <c r="B38893" t="s">
        <v>8</v>
      </c>
      <c r="C38893" t="s">
        <v>12575</v>
      </c>
      <c r="D38893" t="s">
        <v>7224</v>
      </c>
    </row>
    <row r="38894" spans="1:4" x14ac:dyDescent="0.2">
      <c r="B38894" t="s">
        <v>24</v>
      </c>
      <c r="D38894" t="s">
        <v>7352</v>
      </c>
    </row>
    <row r="38896" spans="1:4" x14ac:dyDescent="0.2">
      <c r="A38896" t="s">
        <v>12576</v>
      </c>
      <c r="B38896" t="str">
        <f>HYPERLINK("https://lindat.mff.cuni.cz/services/teitok/pdtc10/index.php?action=vallex&amp;frame=v-w5241f6_ZU", "připravovat (v-w5241f6_ZU)")</f>
        <v>připravovat (v-w5241f6_ZU)</v>
      </c>
    </row>
    <row r="38897" spans="1:4" x14ac:dyDescent="0.2">
      <c r="B38897" t="s">
        <v>1</v>
      </c>
    </row>
    <row r="38898" spans="1:4" x14ac:dyDescent="0.2">
      <c r="B38898" t="s">
        <v>8</v>
      </c>
    </row>
    <row r="38900" spans="1:4" x14ac:dyDescent="0.2">
      <c r="A38900" t="s">
        <v>12576</v>
      </c>
      <c r="B38900" t="str">
        <f>HYPERLINK("https://lindat.mff.cuni.cz/services/teitok/pdtc10/index.php?action=vallex&amp;frame=v-w5241f1", "připravovat (v-w5241f1) - substituted with v-w5241f6_ZU")</f>
        <v>připravovat (v-w5241f1) - substituted with v-w5241f6_ZU</v>
      </c>
    </row>
    <row r="38901" spans="1:4" x14ac:dyDescent="0.2">
      <c r="B38901" t="s">
        <v>1</v>
      </c>
      <c r="C38901" t="s">
        <v>12577</v>
      </c>
      <c r="D38901" t="s">
        <v>23061</v>
      </c>
    </row>
    <row r="38902" spans="1:4" x14ac:dyDescent="0.2">
      <c r="B38902" t="s">
        <v>8</v>
      </c>
      <c r="C38902" t="s">
        <v>12578</v>
      </c>
      <c r="D38902" t="s">
        <v>2374</v>
      </c>
    </row>
    <row r="38904" spans="1:4" x14ac:dyDescent="0.2">
      <c r="A38904" t="s">
        <v>12579</v>
      </c>
      <c r="B38904" t="str">
        <f>HYPERLINK("https://lindat.mff.cuni.cz/services/teitok/pdtc10/index.php?action=vallex&amp;frame=v-w5241f5_ZU", "připravovat (v-w5241f5_ZU)")</f>
        <v>připravovat (v-w5241f5_ZU)</v>
      </c>
    </row>
    <row r="38905" spans="1:4" x14ac:dyDescent="0.2">
      <c r="B38905" t="s">
        <v>1</v>
      </c>
    </row>
    <row r="38906" spans="1:4" x14ac:dyDescent="0.2">
      <c r="B38906" t="s">
        <v>41</v>
      </c>
    </row>
    <row r="38908" spans="1:4" x14ac:dyDescent="0.2">
      <c r="A38908" t="s">
        <v>12579</v>
      </c>
      <c r="B38908" t="str">
        <f>HYPERLINK("https://lindat.mff.cuni.cz/services/teitok/pdtc10/index.php?action=vallex&amp;frame=v-w5241f3", "připravovat (v-w5241f3) - substituted with v-w5241f5_ZU")</f>
        <v>připravovat (v-w5241f3) - substituted with v-w5241f5_ZU</v>
      </c>
    </row>
    <row r="38909" spans="1:4" x14ac:dyDescent="0.2">
      <c r="B38909" t="s">
        <v>1</v>
      </c>
      <c r="C38909" t="s">
        <v>12580</v>
      </c>
      <c r="D38909" t="s">
        <v>23061</v>
      </c>
    </row>
    <row r="38910" spans="1:4" x14ac:dyDescent="0.2">
      <c r="B38910" t="s">
        <v>41</v>
      </c>
      <c r="C38910" t="s">
        <v>12581</v>
      </c>
      <c r="D38910" t="s">
        <v>2374</v>
      </c>
    </row>
    <row r="38912" spans="1:4" x14ac:dyDescent="0.2">
      <c r="A38912" t="s">
        <v>12582</v>
      </c>
      <c r="B38912" t="str">
        <f>HYPERLINK("https://lindat.mff.cuni.cz/services/teitok/pdtc10/index.php?action=vallex&amp;frame=v-w5242f3_ZU", "připravovat se (v-w5242f3_ZU)")</f>
        <v>připravovat se (v-w5242f3_ZU)</v>
      </c>
    </row>
    <row r="38913" spans="1:4" x14ac:dyDescent="0.2">
      <c r="B38913" t="s">
        <v>1</v>
      </c>
    </row>
    <row r="38914" spans="1:4" x14ac:dyDescent="0.2">
      <c r="B38914" t="s">
        <v>12583</v>
      </c>
    </row>
    <row r="38916" spans="1:4" x14ac:dyDescent="0.2">
      <c r="A38916" t="s">
        <v>12582</v>
      </c>
      <c r="B38916" t="str">
        <f>HYPERLINK("https://lindat.mff.cuni.cz/services/teitok/pdtc10/index.php?action=vallex&amp;frame=v-w5242f1", "připravovat se (v-w5242f1) - substituted with v-w5242f3_ZU")</f>
        <v>připravovat se (v-w5242f1) - substituted with v-w5242f3_ZU</v>
      </c>
    </row>
    <row r="38917" spans="1:4" x14ac:dyDescent="0.2">
      <c r="B38917" t="s">
        <v>1</v>
      </c>
      <c r="C38917" t="s">
        <v>12584</v>
      </c>
      <c r="D38917" t="s">
        <v>964</v>
      </c>
    </row>
    <row r="38918" spans="1:4" x14ac:dyDescent="0.2">
      <c r="B38918" t="s">
        <v>12583</v>
      </c>
      <c r="C38918" t="s">
        <v>12585</v>
      </c>
      <c r="D38918" t="s">
        <v>8875</v>
      </c>
    </row>
    <row r="38920" spans="1:4" x14ac:dyDescent="0.2">
      <c r="A38920" t="s">
        <v>12586</v>
      </c>
      <c r="B38920" t="str">
        <f>HYPERLINK("https://lindat.mff.cuni.cz/services/teitok/pdtc10/index.php?action=vallex&amp;frame=v-w5242f2", "připravovat se (v-w5242f2)")</f>
        <v>připravovat se (v-w5242f2)</v>
      </c>
    </row>
    <row r="38921" spans="1:4" x14ac:dyDescent="0.2">
      <c r="B38921" t="s">
        <v>1</v>
      </c>
    </row>
    <row r="38922" spans="1:4" x14ac:dyDescent="0.2">
      <c r="B38922" t="s">
        <v>467</v>
      </c>
    </row>
    <row r="38924" spans="1:4" x14ac:dyDescent="0.2">
      <c r="A38924" t="s">
        <v>12587</v>
      </c>
      <c r="B38924" t="str">
        <f>HYPERLINK("https://lindat.mff.cuni.cz/services/teitok/pdtc10/index.php?action=vallex&amp;frame=v-w5245f1", "připsat (v-w5245f1)")</f>
        <v>připsat (v-w5245f1)</v>
      </c>
    </row>
    <row r="38925" spans="1:4" x14ac:dyDescent="0.2">
      <c r="B38925" t="s">
        <v>1</v>
      </c>
      <c r="C38925" t="s">
        <v>2566</v>
      </c>
      <c r="D38925" t="s">
        <v>6039</v>
      </c>
    </row>
    <row r="38926" spans="1:4" x14ac:dyDescent="0.2">
      <c r="B38926" t="s">
        <v>41</v>
      </c>
      <c r="C38926" t="s">
        <v>12588</v>
      </c>
      <c r="D38926" t="s">
        <v>23799</v>
      </c>
    </row>
    <row r="38927" spans="1:4" x14ac:dyDescent="0.2">
      <c r="B38927" t="s">
        <v>9699</v>
      </c>
      <c r="C38927" t="s">
        <v>12589</v>
      </c>
      <c r="D38927" t="s">
        <v>23800</v>
      </c>
    </row>
    <row r="38929" spans="1:4" x14ac:dyDescent="0.2">
      <c r="A38929" t="s">
        <v>12590</v>
      </c>
      <c r="B38929" t="str">
        <f>HYPERLINK("https://lindat.mff.cuni.cz/services/teitok/pdtc10/index.php?action=vallex&amp;frame=v-w5245f2", "připsat (v-w5245f2)")</f>
        <v>připsat (v-w5245f2)</v>
      </c>
    </row>
    <row r="38930" spans="1:4" x14ac:dyDescent="0.2">
      <c r="B38930" t="s">
        <v>1</v>
      </c>
      <c r="C38930" t="s">
        <v>140</v>
      </c>
      <c r="D38930" t="s">
        <v>23115</v>
      </c>
    </row>
    <row r="38931" spans="1:4" x14ac:dyDescent="0.2">
      <c r="B38931" t="s">
        <v>8</v>
      </c>
      <c r="C38931" t="s">
        <v>113</v>
      </c>
      <c r="D38931" t="s">
        <v>5754</v>
      </c>
    </row>
    <row r="38932" spans="1:4" x14ac:dyDescent="0.2">
      <c r="B38932" t="s">
        <v>35</v>
      </c>
    </row>
    <row r="38934" spans="1:4" x14ac:dyDescent="0.2">
      <c r="A38934" t="s">
        <v>12591</v>
      </c>
      <c r="B38934" t="str">
        <f>HYPERLINK("https://lindat.mff.cuni.cz/services/teitok/pdtc10/index.php?action=vallex&amp;frame=v-w5245f4", "připsat (v-w5245f4)")</f>
        <v>připsat (v-w5245f4)</v>
      </c>
    </row>
    <row r="38935" spans="1:4" x14ac:dyDescent="0.2">
      <c r="B38935" t="s">
        <v>1</v>
      </c>
      <c r="C38935" t="s">
        <v>230</v>
      </c>
    </row>
    <row r="38936" spans="1:4" x14ac:dyDescent="0.2">
      <c r="B38936" t="s">
        <v>8</v>
      </c>
      <c r="C38936" t="s">
        <v>1264</v>
      </c>
    </row>
    <row r="38937" spans="1:4" x14ac:dyDescent="0.2">
      <c r="B38937" t="s">
        <v>90</v>
      </c>
    </row>
    <row r="38939" spans="1:4" x14ac:dyDescent="0.2">
      <c r="A38939" t="s">
        <v>12592</v>
      </c>
      <c r="B38939" t="str">
        <f>HYPERLINK("https://lindat.mff.cuni.cz/services/teitok/pdtc10/index.php?action=vallex&amp;frame=v-w5245f3", "připsat (v-w5245f3)")</f>
        <v>připsat (v-w5245f3)</v>
      </c>
    </row>
    <row r="38940" spans="1:4" x14ac:dyDescent="0.2">
      <c r="B38940" t="s">
        <v>1</v>
      </c>
    </row>
    <row r="38941" spans="1:4" x14ac:dyDescent="0.2">
      <c r="B38941" t="s">
        <v>12593</v>
      </c>
    </row>
    <row r="38942" spans="1:4" x14ac:dyDescent="0.2">
      <c r="B38942" t="s">
        <v>41</v>
      </c>
    </row>
    <row r="38943" spans="1:4" x14ac:dyDescent="0.2">
      <c r="B38943" t="s">
        <v>35</v>
      </c>
    </row>
    <row r="38945" spans="1:4" x14ac:dyDescent="0.2">
      <c r="A38945" t="s">
        <v>12594</v>
      </c>
      <c r="B38945" t="str">
        <f>HYPERLINK("https://lindat.mff.cuni.cz/services/teitok/pdtc10/index.php?action=vallex&amp;frame=v-w5246f3", "připustit (v-w5246f3)")</f>
        <v>připustit (v-w5246f3)</v>
      </c>
    </row>
    <row r="38946" spans="1:4" x14ac:dyDescent="0.2">
      <c r="B38946" t="s">
        <v>1</v>
      </c>
    </row>
    <row r="38947" spans="1:4" x14ac:dyDescent="0.2">
      <c r="B38947" t="s">
        <v>8</v>
      </c>
    </row>
    <row r="38948" spans="1:4" x14ac:dyDescent="0.2">
      <c r="B38948" t="s">
        <v>90</v>
      </c>
    </row>
    <row r="38950" spans="1:4" x14ac:dyDescent="0.2">
      <c r="A38950" t="s">
        <v>12595</v>
      </c>
      <c r="B38950" t="str">
        <f>HYPERLINK("https://lindat.mff.cuni.cz/services/teitok/pdtc10/index.php?action=vallex&amp;frame=v-w5246f5", "připustit (v-w5246f5)")</f>
        <v>připustit (v-w5246f5)</v>
      </c>
    </row>
    <row r="38951" spans="1:4" x14ac:dyDescent="0.2">
      <c r="B38951" t="s">
        <v>1</v>
      </c>
    </row>
    <row r="38952" spans="1:4" x14ac:dyDescent="0.2">
      <c r="B38952" t="s">
        <v>8</v>
      </c>
    </row>
    <row r="38953" spans="1:4" x14ac:dyDescent="0.2">
      <c r="B38953" t="s">
        <v>12596</v>
      </c>
    </row>
    <row r="38955" spans="1:4" x14ac:dyDescent="0.2">
      <c r="A38955" t="s">
        <v>12597</v>
      </c>
      <c r="B38955" t="str">
        <f>HYPERLINK("https://lindat.mff.cuni.cz/services/teitok/pdtc10/index.php?action=vallex&amp;frame=v-w5246f2", "připustit (v-w5246f2)")</f>
        <v>připustit (v-w5246f2)</v>
      </c>
    </row>
    <row r="38956" spans="1:4" x14ac:dyDescent="0.2">
      <c r="B38956" t="s">
        <v>1</v>
      </c>
      <c r="C38956" t="s">
        <v>12598</v>
      </c>
    </row>
    <row r="38957" spans="1:4" x14ac:dyDescent="0.2">
      <c r="B38957" t="s">
        <v>1181</v>
      </c>
      <c r="C38957" t="s">
        <v>12599</v>
      </c>
    </row>
    <row r="38959" spans="1:4" x14ac:dyDescent="0.2">
      <c r="A38959" t="s">
        <v>12600</v>
      </c>
      <c r="B38959" t="str">
        <f>HYPERLINK("https://lindat.mff.cuni.cz/services/teitok/pdtc10/index.php?action=vallex&amp;frame=v-w5246f1", "připustit (v-w5246f1)")</f>
        <v>připustit (v-w5246f1)</v>
      </c>
    </row>
    <row r="38960" spans="1:4" x14ac:dyDescent="0.2">
      <c r="B38960" t="s">
        <v>1</v>
      </c>
      <c r="C38960" t="s">
        <v>12601</v>
      </c>
      <c r="D38960" t="s">
        <v>23213</v>
      </c>
    </row>
    <row r="38961" spans="1:4" x14ac:dyDescent="0.2">
      <c r="B38961" t="s">
        <v>12551</v>
      </c>
      <c r="C38961" t="s">
        <v>12602</v>
      </c>
      <c r="D38961" t="s">
        <v>23229</v>
      </c>
    </row>
    <row r="38963" spans="1:4" x14ac:dyDescent="0.2">
      <c r="A38963" t="s">
        <v>12603</v>
      </c>
      <c r="B38963" t="str">
        <f>HYPERLINK("https://lindat.mff.cuni.cz/services/teitok/pdtc10/index.php?action=vallex&amp;frame=v-w5246f4", "připustit (v-w5246f4)")</f>
        <v>připustit (v-w5246f4)</v>
      </c>
    </row>
    <row r="38964" spans="1:4" x14ac:dyDescent="0.2">
      <c r="B38964" t="s">
        <v>1</v>
      </c>
    </row>
    <row r="38965" spans="1:4" x14ac:dyDescent="0.2">
      <c r="B38965" t="s">
        <v>8</v>
      </c>
    </row>
    <row r="38967" spans="1:4" x14ac:dyDescent="0.2">
      <c r="A38967" t="s">
        <v>12604</v>
      </c>
      <c r="B38967" t="str">
        <f>HYPERLINK("https://lindat.mff.cuni.cz/services/teitok/pdtc10/index.php?action=vallex&amp;frame=v-w5247f1", "připustit si (v-w5247f1)")</f>
        <v>připustit si (v-w5247f1)</v>
      </c>
    </row>
    <row r="38968" spans="1:4" x14ac:dyDescent="0.2">
      <c r="B38968" t="s">
        <v>1</v>
      </c>
    </row>
    <row r="38969" spans="1:4" x14ac:dyDescent="0.2">
      <c r="B38969" t="s">
        <v>41</v>
      </c>
    </row>
    <row r="38971" spans="1:4" x14ac:dyDescent="0.2">
      <c r="A38971" t="s">
        <v>12605</v>
      </c>
      <c r="B38971" t="str">
        <f>HYPERLINK("https://lindat.mff.cuni.cz/services/teitok/pdtc10/index.php?action=vallex&amp;frame=v-w5247f2", "připustit si (v-w5247f2)")</f>
        <v>připustit si (v-w5247f2)</v>
      </c>
    </row>
    <row r="38972" spans="1:4" x14ac:dyDescent="0.2">
      <c r="B38972" t="s">
        <v>1</v>
      </c>
    </row>
    <row r="38973" spans="1:4" x14ac:dyDescent="0.2">
      <c r="B38973" t="s">
        <v>12606</v>
      </c>
    </row>
    <row r="38974" spans="1:4" x14ac:dyDescent="0.2">
      <c r="B38974" t="s">
        <v>8</v>
      </c>
    </row>
    <row r="38976" spans="1:4" x14ac:dyDescent="0.2">
      <c r="A38976" t="s">
        <v>12607</v>
      </c>
      <c r="B38976" t="str">
        <f>HYPERLINK("https://lindat.mff.cuni.cz/services/teitok/pdtc10/index.php?action=vallex&amp;frame=v-w12343_MMf1_MM", "připálit (v-w12343_MMf1_MM)")</f>
        <v>připálit (v-w12343_MMf1_MM)</v>
      </c>
    </row>
    <row r="38977" spans="1:4" x14ac:dyDescent="0.2">
      <c r="B38977" t="s">
        <v>1</v>
      </c>
    </row>
    <row r="38978" spans="1:4" x14ac:dyDescent="0.2">
      <c r="B38978" t="s">
        <v>8</v>
      </c>
    </row>
    <row r="38980" spans="1:4" x14ac:dyDescent="0.2">
      <c r="A38980" t="s">
        <v>12608</v>
      </c>
      <c r="B38980" t="str">
        <f>HYPERLINK("https://lindat.mff.cuni.cz/services/teitok/pdtc10/index.php?action=vallex&amp;frame=v-w5206f1", "připíchnout (v-w5206f1)")</f>
        <v>připíchnout (v-w5206f1)</v>
      </c>
    </row>
    <row r="38981" spans="1:4" x14ac:dyDescent="0.2">
      <c r="B38981" t="s">
        <v>1</v>
      </c>
    </row>
    <row r="38982" spans="1:4" x14ac:dyDescent="0.2">
      <c r="B38982" t="s">
        <v>8</v>
      </c>
    </row>
    <row r="38983" spans="1:4" x14ac:dyDescent="0.2">
      <c r="B38983" t="s">
        <v>90</v>
      </c>
    </row>
    <row r="38985" spans="1:4" x14ac:dyDescent="0.2">
      <c r="A38985" t="s">
        <v>12609</v>
      </c>
      <c r="B38985" t="str">
        <f>HYPERLINK("https://lindat.mff.cuni.cz/services/teitok/pdtc10/index.php?action=vallex&amp;frame=v-w10726f2", "připíchávat (v-w10726f2)")</f>
        <v>připíchávat (v-w10726f2)</v>
      </c>
    </row>
    <row r="38986" spans="1:4" x14ac:dyDescent="0.2">
      <c r="B38986" t="s">
        <v>1</v>
      </c>
    </row>
    <row r="38987" spans="1:4" x14ac:dyDescent="0.2">
      <c r="B38987" t="s">
        <v>8</v>
      </c>
    </row>
    <row r="38988" spans="1:4" x14ac:dyDescent="0.2">
      <c r="B38988" t="s">
        <v>90</v>
      </c>
    </row>
    <row r="38990" spans="1:4" x14ac:dyDescent="0.2">
      <c r="A38990" t="s">
        <v>12610</v>
      </c>
      <c r="B38990" t="str">
        <f>HYPERLINK("https://lindat.mff.cuni.cz/services/teitok/pdtc10/index.php?action=vallex&amp;frame=v-w10478f2", "připíjet (v-w10478f2)")</f>
        <v>připíjet (v-w10478f2)</v>
      </c>
    </row>
    <row r="38991" spans="1:4" x14ac:dyDescent="0.2">
      <c r="B38991" t="s">
        <v>1</v>
      </c>
      <c r="C38991" t="s">
        <v>140</v>
      </c>
      <c r="D38991" t="s">
        <v>33</v>
      </c>
    </row>
    <row r="38992" spans="1:4" x14ac:dyDescent="0.2">
      <c r="B38992" t="s">
        <v>35</v>
      </c>
    </row>
    <row r="38993" spans="1:4" x14ac:dyDescent="0.2">
      <c r="B38993" t="s">
        <v>46</v>
      </c>
      <c r="C38993" t="s">
        <v>113</v>
      </c>
      <c r="D38993" t="s">
        <v>34</v>
      </c>
    </row>
    <row r="38995" spans="1:4" x14ac:dyDescent="0.2">
      <c r="A38995" t="s">
        <v>12611</v>
      </c>
      <c r="B38995" t="str">
        <f>HYPERLINK("https://lindat.mff.cuni.cz/services/teitok/pdtc10/index.php?action=vallex&amp;frame=v-whsb_614hsa_615", "připíjet si (v-whsb_614hsa_615)")</f>
        <v>připíjet si (v-whsb_614hsa_615)</v>
      </c>
    </row>
    <row r="38996" spans="1:4" x14ac:dyDescent="0.2">
      <c r="B38996" t="s">
        <v>1</v>
      </c>
    </row>
    <row r="38997" spans="1:4" x14ac:dyDescent="0.2">
      <c r="B38997" t="s">
        <v>153</v>
      </c>
    </row>
    <row r="38998" spans="1:4" x14ac:dyDescent="0.2">
      <c r="B38998" t="s">
        <v>46</v>
      </c>
    </row>
    <row r="39000" spans="1:4" x14ac:dyDescent="0.2">
      <c r="A39000" t="s">
        <v>12612</v>
      </c>
      <c r="B39000" t="str">
        <f>HYPERLINK("https://lindat.mff.cuni.cz/services/teitok/pdtc10/index.php?action=vallex&amp;frame=v-w12136_ZUf1_ZU", "připínat (v-w12136_ZUf1_ZU)")</f>
        <v>připínat (v-w12136_ZUf1_ZU)</v>
      </c>
    </row>
    <row r="39001" spans="1:4" x14ac:dyDescent="0.2">
      <c r="B39001" t="s">
        <v>1</v>
      </c>
    </row>
    <row r="39002" spans="1:4" x14ac:dyDescent="0.2">
      <c r="B39002" t="s">
        <v>8</v>
      </c>
    </row>
    <row r="39003" spans="1:4" x14ac:dyDescent="0.2">
      <c r="B39003" t="s">
        <v>252</v>
      </c>
    </row>
    <row r="39005" spans="1:4" x14ac:dyDescent="0.2">
      <c r="A39005" t="s">
        <v>12613</v>
      </c>
      <c r="B39005" t="str">
        <f>HYPERLINK("https://lindat.mff.cuni.cz/services/teitok/pdtc10/index.php?action=vallex&amp;frame=v-w12283_ZUf1_ZU", "připít (v-w12283_ZUf1_ZU)")</f>
        <v>připít (v-w12283_ZUf1_ZU)</v>
      </c>
    </row>
    <row r="39006" spans="1:4" x14ac:dyDescent="0.2">
      <c r="B39006" t="s">
        <v>1</v>
      </c>
    </row>
    <row r="39007" spans="1:4" x14ac:dyDescent="0.2">
      <c r="B39007" t="s">
        <v>35</v>
      </c>
    </row>
    <row r="39008" spans="1:4" x14ac:dyDescent="0.2">
      <c r="B39008" t="s">
        <v>46</v>
      </c>
    </row>
    <row r="39010" spans="1:4" x14ac:dyDescent="0.2">
      <c r="A39010" t="s">
        <v>12614</v>
      </c>
      <c r="B39010" t="str">
        <f>HYPERLINK("https://lindat.mff.cuni.cz/services/teitok/pdtc10/index.php?action=vallex&amp;frame=v-whsa_517hsa_518", "připít si (v-whsa_517hsa_518)")</f>
        <v>připít si (v-whsa_517hsa_518)</v>
      </c>
    </row>
    <row r="39011" spans="1:4" x14ac:dyDescent="0.2">
      <c r="B39011" t="s">
        <v>1</v>
      </c>
    </row>
    <row r="39012" spans="1:4" x14ac:dyDescent="0.2">
      <c r="B39012" t="s">
        <v>153</v>
      </c>
    </row>
    <row r="39013" spans="1:4" x14ac:dyDescent="0.2">
      <c r="B39013" t="s">
        <v>46</v>
      </c>
    </row>
    <row r="39015" spans="1:4" x14ac:dyDescent="0.2">
      <c r="A39015" t="s">
        <v>12615</v>
      </c>
      <c r="B39015" t="str">
        <f>HYPERLINK("https://lindat.mff.cuni.cz/services/teitok/pdtc10/index.php?action=vallex&amp;frame=v-w5250f1", "přirovnat (v-w5250f1)")</f>
        <v>přirovnat (v-w5250f1)</v>
      </c>
    </row>
    <row r="39016" spans="1:4" x14ac:dyDescent="0.2">
      <c r="B39016" t="s">
        <v>1</v>
      </c>
      <c r="C39016" t="s">
        <v>3307</v>
      </c>
      <c r="D39016" t="s">
        <v>1524</v>
      </c>
    </row>
    <row r="39017" spans="1:4" x14ac:dyDescent="0.2">
      <c r="B39017" t="s">
        <v>176</v>
      </c>
      <c r="C39017" t="s">
        <v>12616</v>
      </c>
      <c r="D39017" t="s">
        <v>24078</v>
      </c>
    </row>
    <row r="39018" spans="1:4" x14ac:dyDescent="0.2">
      <c r="B39018" t="s">
        <v>58</v>
      </c>
      <c r="C39018" t="s">
        <v>12617</v>
      </c>
      <c r="D39018" t="s">
        <v>24079</v>
      </c>
    </row>
    <row r="39020" spans="1:4" x14ac:dyDescent="0.2">
      <c r="A39020" t="s">
        <v>12618</v>
      </c>
      <c r="B39020" t="str">
        <f>HYPERLINK("https://lindat.mff.cuni.cz/services/teitok/pdtc10/index.php?action=vallex&amp;frame=v-w5251f1", "přirovnávat (v-w5251f1)")</f>
        <v>přirovnávat (v-w5251f1)</v>
      </c>
    </row>
    <row r="39021" spans="1:4" x14ac:dyDescent="0.2">
      <c r="B39021" t="s">
        <v>1</v>
      </c>
      <c r="C39021" t="s">
        <v>230</v>
      </c>
      <c r="D39021" t="s">
        <v>1524</v>
      </c>
    </row>
    <row r="39022" spans="1:4" x14ac:dyDescent="0.2">
      <c r="B39022" t="s">
        <v>176</v>
      </c>
      <c r="C39022" t="s">
        <v>12619</v>
      </c>
      <c r="D39022" t="s">
        <v>24078</v>
      </c>
    </row>
    <row r="39023" spans="1:4" x14ac:dyDescent="0.2">
      <c r="B39023" t="s">
        <v>58</v>
      </c>
      <c r="C39023" t="s">
        <v>12617</v>
      </c>
      <c r="D39023" t="s">
        <v>24079</v>
      </c>
    </row>
    <row r="39025" spans="1:2" x14ac:dyDescent="0.2">
      <c r="A39025" t="s">
        <v>12620</v>
      </c>
      <c r="B39025" t="str">
        <f>HYPERLINK("https://lindat.mff.cuni.cz/services/teitok/pdtc10/index.php?action=vallex&amp;frame=v-whsa_2005hsa_2006", "přirážet (v-whsa_2005hsa_2006)")</f>
        <v>přirážet (v-whsa_2005hsa_2006)</v>
      </c>
    </row>
    <row r="39026" spans="1:2" x14ac:dyDescent="0.2">
      <c r="B39026" t="s">
        <v>1</v>
      </c>
    </row>
    <row r="39027" spans="1:2" x14ac:dyDescent="0.2">
      <c r="B39027" t="s">
        <v>8</v>
      </c>
    </row>
    <row r="39028" spans="1:2" x14ac:dyDescent="0.2">
      <c r="B39028" t="s">
        <v>90</v>
      </c>
    </row>
    <row r="39030" spans="1:2" x14ac:dyDescent="0.2">
      <c r="A39030" t="s">
        <v>12621</v>
      </c>
      <c r="B39030" t="str">
        <f>HYPERLINK("https://lindat.mff.cuni.cz/services/teitok/pdtc10/index.php?action=vallex&amp;frame=v-whsa_587f1_ZU", "přirůst (v-whsa_587f1_ZU)")</f>
        <v>přirůst (v-whsa_587f1_ZU)</v>
      </c>
    </row>
    <row r="39031" spans="1:2" x14ac:dyDescent="0.2">
      <c r="B39031" t="s">
        <v>1</v>
      </c>
    </row>
    <row r="39032" spans="1:2" x14ac:dyDescent="0.2">
      <c r="B39032" t="s">
        <v>12361</v>
      </c>
    </row>
    <row r="39033" spans="1:2" x14ac:dyDescent="0.2">
      <c r="B39033" t="s">
        <v>103</v>
      </c>
    </row>
    <row r="39035" spans="1:2" x14ac:dyDescent="0.2">
      <c r="A39035" t="s">
        <v>12621</v>
      </c>
      <c r="B39035" t="str">
        <f>HYPERLINK("https://lindat.mff.cuni.cz/services/teitok/pdtc10/index.php?action=vallex&amp;frame=v-whsa_587hsa_588", "přirůst (v-whsa_587hsa_588) - substituted with v-whsa_587f1_ZU")</f>
        <v>přirůst (v-whsa_587hsa_588) - substituted with v-whsa_587f1_ZU</v>
      </c>
    </row>
    <row r="39036" spans="1:2" x14ac:dyDescent="0.2">
      <c r="B39036" t="s">
        <v>1</v>
      </c>
    </row>
    <row r="39037" spans="1:2" x14ac:dyDescent="0.2">
      <c r="B39037" t="s">
        <v>12361</v>
      </c>
    </row>
    <row r="39038" spans="1:2" x14ac:dyDescent="0.2">
      <c r="B39038" t="s">
        <v>103</v>
      </c>
    </row>
    <row r="39040" spans="1:2" x14ac:dyDescent="0.2">
      <c r="A39040" t="s">
        <v>12622</v>
      </c>
      <c r="B39040" t="str">
        <f>HYPERLINK("https://lindat.mff.cuni.cz/services/teitok/pdtc10/index.php?action=vallex&amp;frame=v-w5252f1", "přirůstat (v-w5252f1)")</f>
        <v>přirůstat (v-w5252f1)</v>
      </c>
    </row>
    <row r="39041" spans="1:2" x14ac:dyDescent="0.2">
      <c r="B39041" t="s">
        <v>2003</v>
      </c>
    </row>
    <row r="39043" spans="1:2" x14ac:dyDescent="0.2">
      <c r="A39043" t="s">
        <v>12623</v>
      </c>
      <c r="B39043" t="str">
        <f>HYPERLINK("https://lindat.mff.cuni.cz/services/teitok/pdtc10/index.php?action=vallex&amp;frame=v-w11259f1", "přisadit si (v-w11259f1)")</f>
        <v>přisadit si (v-w11259f1)</v>
      </c>
    </row>
    <row r="39044" spans="1:2" x14ac:dyDescent="0.2">
      <c r="B39044" t="s">
        <v>1</v>
      </c>
    </row>
    <row r="39045" spans="1:2" x14ac:dyDescent="0.2">
      <c r="B39045" t="s">
        <v>8</v>
      </c>
    </row>
    <row r="39046" spans="1:2" x14ac:dyDescent="0.2">
      <c r="B39046" t="s">
        <v>61</v>
      </c>
    </row>
    <row r="39048" spans="1:2" x14ac:dyDescent="0.2">
      <c r="A39048" t="s">
        <v>12624</v>
      </c>
      <c r="B39048" t="str">
        <f>HYPERLINK("https://lindat.mff.cuni.cz/services/teitok/pdtc10/index.php?action=vallex&amp;frame=v-w11994_ZUf1_ZU", "přisedat si (v-w11994_ZUf1_ZU)")</f>
        <v>přisedat si (v-w11994_ZUf1_ZU)</v>
      </c>
    </row>
    <row r="39049" spans="1:2" x14ac:dyDescent="0.2">
      <c r="B39049" t="s">
        <v>1</v>
      </c>
    </row>
    <row r="39050" spans="1:2" x14ac:dyDescent="0.2">
      <c r="B39050" t="s">
        <v>252</v>
      </c>
    </row>
    <row r="39052" spans="1:2" x14ac:dyDescent="0.2">
      <c r="A39052" t="s">
        <v>12625</v>
      </c>
      <c r="B39052" t="str">
        <f>HYPERLINK("https://lindat.mff.cuni.cz/services/teitok/pdtc10/index.php?action=vallex&amp;frame=v-whsa_659hsa_660", "přisednout si (v-whsa_659hsa_660)")</f>
        <v>přisednout si (v-whsa_659hsa_660)</v>
      </c>
    </row>
    <row r="39053" spans="1:2" x14ac:dyDescent="0.2">
      <c r="B39053" t="s">
        <v>1</v>
      </c>
    </row>
    <row r="39054" spans="1:2" x14ac:dyDescent="0.2">
      <c r="B39054" t="s">
        <v>90</v>
      </c>
    </row>
    <row r="39056" spans="1:2" x14ac:dyDescent="0.2">
      <c r="A39056" t="s">
        <v>12626</v>
      </c>
      <c r="B39056" t="str">
        <f>HYPERLINK("https://lindat.mff.cuni.cz/services/teitok/pdtc10/index.php?action=vallex&amp;frame=v-w10589f2", "přiskakovat (v-w10589f2)")</f>
        <v>přiskakovat (v-w10589f2)</v>
      </c>
    </row>
    <row r="39057" spans="1:3" x14ac:dyDescent="0.2">
      <c r="B39057" t="s">
        <v>1</v>
      </c>
    </row>
    <row r="39058" spans="1:3" x14ac:dyDescent="0.2">
      <c r="B39058" t="s">
        <v>90</v>
      </c>
    </row>
    <row r="39060" spans="1:3" x14ac:dyDescent="0.2">
      <c r="A39060" t="s">
        <v>12627</v>
      </c>
      <c r="B39060" t="str">
        <f>HYPERLINK("https://lindat.mff.cuni.cz/services/teitok/pdtc10/index.php?action=vallex&amp;frame=v-whsa_1741hsa_1742", "přiskočit (v-whsa_1741hsa_1742)")</f>
        <v>přiskočit (v-whsa_1741hsa_1742)</v>
      </c>
    </row>
    <row r="39061" spans="1:3" x14ac:dyDescent="0.2">
      <c r="B39061" t="s">
        <v>1</v>
      </c>
    </row>
    <row r="39062" spans="1:3" x14ac:dyDescent="0.2">
      <c r="B39062" t="s">
        <v>90</v>
      </c>
    </row>
    <row r="39064" spans="1:3" x14ac:dyDescent="0.2">
      <c r="A39064" t="s">
        <v>12628</v>
      </c>
      <c r="B39064" t="str">
        <f>HYPERLINK("https://lindat.mff.cuni.cz/services/teitok/pdtc10/index.php?action=vallex&amp;frame=v-w11563_ZUf1_ZU", "přiskřípnout (v-w11563_ZUf1_ZU)")</f>
        <v>přiskřípnout (v-w11563_ZUf1_ZU)</v>
      </c>
    </row>
    <row r="39065" spans="1:3" x14ac:dyDescent="0.2">
      <c r="B39065" t="s">
        <v>1</v>
      </c>
      <c r="C39065" t="s">
        <v>140</v>
      </c>
    </row>
    <row r="39066" spans="1:3" x14ac:dyDescent="0.2">
      <c r="B39066" t="s">
        <v>8</v>
      </c>
      <c r="C39066" t="s">
        <v>113</v>
      </c>
    </row>
    <row r="39068" spans="1:3" x14ac:dyDescent="0.2">
      <c r="A39068" t="s">
        <v>12629</v>
      </c>
      <c r="B39068" t="str">
        <f>HYPERLINK("https://lindat.mff.cuni.cz/services/teitok/pdtc10/index.php?action=vallex&amp;frame=v-w10872f2", "přisladit (v-w10872f2)")</f>
        <v>přisladit (v-w10872f2)</v>
      </c>
    </row>
    <row r="39069" spans="1:3" x14ac:dyDescent="0.2">
      <c r="B39069" t="s">
        <v>1</v>
      </c>
      <c r="C39069" t="s">
        <v>334</v>
      </c>
    </row>
    <row r="39070" spans="1:3" x14ac:dyDescent="0.2">
      <c r="B39070" t="s">
        <v>8</v>
      </c>
      <c r="C39070" t="s">
        <v>1025</v>
      </c>
    </row>
    <row r="39072" spans="1:3" x14ac:dyDescent="0.2">
      <c r="A39072" t="s">
        <v>12630</v>
      </c>
      <c r="B39072" t="str">
        <f>HYPERLINK("https://lindat.mff.cuni.cz/services/teitok/pdtc10/index.php?action=vallex&amp;frame=v-w5264f1", "přislíbit (v-w5264f1)")</f>
        <v>přislíbit (v-w5264f1)</v>
      </c>
    </row>
    <row r="39073" spans="1:4" x14ac:dyDescent="0.2">
      <c r="B39073" t="s">
        <v>1</v>
      </c>
      <c r="C39073" t="s">
        <v>12631</v>
      </c>
      <c r="D39073" t="s">
        <v>24089</v>
      </c>
    </row>
    <row r="39074" spans="1:4" x14ac:dyDescent="0.2">
      <c r="B39074" t="s">
        <v>12632</v>
      </c>
      <c r="C39074" t="s">
        <v>12633</v>
      </c>
      <c r="D39074" t="s">
        <v>24090</v>
      </c>
    </row>
    <row r="39075" spans="1:4" x14ac:dyDescent="0.2">
      <c r="B39075" t="s">
        <v>35</v>
      </c>
      <c r="C39075" t="s">
        <v>3627</v>
      </c>
      <c r="D39075" t="s">
        <v>24091</v>
      </c>
    </row>
    <row r="39077" spans="1:4" x14ac:dyDescent="0.2">
      <c r="A39077" t="s">
        <v>12634</v>
      </c>
      <c r="B39077" t="str">
        <f>HYPERLINK("https://lindat.mff.cuni.cz/services/teitok/pdtc10/index.php?action=vallex&amp;frame=v-w5275f1", "přisoudit (v-w5275f1)")</f>
        <v>přisoudit (v-w5275f1)</v>
      </c>
    </row>
    <row r="39078" spans="1:4" x14ac:dyDescent="0.2">
      <c r="B39078" t="s">
        <v>1</v>
      </c>
      <c r="C39078" t="s">
        <v>7313</v>
      </c>
      <c r="D39078" t="s">
        <v>6039</v>
      </c>
    </row>
    <row r="39079" spans="1:4" x14ac:dyDescent="0.2">
      <c r="B39079" t="s">
        <v>41</v>
      </c>
      <c r="C39079" t="s">
        <v>155</v>
      </c>
      <c r="D39079" t="s">
        <v>23799</v>
      </c>
    </row>
    <row r="39080" spans="1:4" x14ac:dyDescent="0.2">
      <c r="B39080" t="s">
        <v>35</v>
      </c>
      <c r="C39080" t="s">
        <v>12635</v>
      </c>
      <c r="D39080" t="s">
        <v>23800</v>
      </c>
    </row>
    <row r="39082" spans="1:4" x14ac:dyDescent="0.2">
      <c r="A39082" t="s">
        <v>12636</v>
      </c>
      <c r="B39082" t="str">
        <f>HYPERLINK("https://lindat.mff.cuni.cz/services/teitok/pdtc10/index.php?action=vallex&amp;frame=v-w5281f2", "přispívat (v-w5281f2)")</f>
        <v>přispívat (v-w5281f2)</v>
      </c>
    </row>
    <row r="39083" spans="1:4" x14ac:dyDescent="0.2">
      <c r="B39083" t="s">
        <v>1</v>
      </c>
      <c r="C39083" t="s">
        <v>10589</v>
      </c>
      <c r="D39083" t="s">
        <v>23606</v>
      </c>
    </row>
    <row r="39084" spans="1:4" x14ac:dyDescent="0.2">
      <c r="B39084" t="s">
        <v>1532</v>
      </c>
      <c r="C39084" t="s">
        <v>12637</v>
      </c>
      <c r="D39084" t="s">
        <v>24092</v>
      </c>
    </row>
    <row r="39085" spans="1:4" x14ac:dyDescent="0.2">
      <c r="B39085" t="s">
        <v>35</v>
      </c>
      <c r="D39085" t="s">
        <v>24093</v>
      </c>
    </row>
    <row r="39087" spans="1:4" x14ac:dyDescent="0.2">
      <c r="A39087" t="s">
        <v>12638</v>
      </c>
      <c r="B39087" t="str">
        <f>HYPERLINK("https://lindat.mff.cuni.cz/services/teitok/pdtc10/index.php?action=vallex&amp;frame=v-w5281f4_ZU", "přispívat (v-w5281f4_ZU)")</f>
        <v>přispívat (v-w5281f4_ZU)</v>
      </c>
    </row>
    <row r="39088" spans="1:4" x14ac:dyDescent="0.2">
      <c r="B39088" t="s">
        <v>196</v>
      </c>
      <c r="C39088" t="s">
        <v>10589</v>
      </c>
      <c r="D39088" t="s">
        <v>22962</v>
      </c>
    </row>
    <row r="39089" spans="1:4" x14ac:dyDescent="0.2">
      <c r="B39089" t="s">
        <v>12639</v>
      </c>
      <c r="C39089" t="s">
        <v>12637</v>
      </c>
      <c r="D39089" t="s">
        <v>22963</v>
      </c>
    </row>
    <row r="39091" spans="1:4" x14ac:dyDescent="0.2">
      <c r="A39091" t="s">
        <v>12638</v>
      </c>
      <c r="B39091" t="str">
        <f>HYPERLINK("https://lindat.mff.cuni.cz/services/teitok/pdtc10/index.php?action=vallex&amp;frame=v-w5281f1", "přispívat (v-w5281f1) - substituted with v-w5281f4_ZU")</f>
        <v>přispívat (v-w5281f1) - substituted with v-w5281f4_ZU</v>
      </c>
    </row>
    <row r="39092" spans="1:4" x14ac:dyDescent="0.2">
      <c r="B39092" t="s">
        <v>196</v>
      </c>
      <c r="C39092" t="s">
        <v>12640</v>
      </c>
    </row>
    <row r="39093" spans="1:4" x14ac:dyDescent="0.2">
      <c r="B39093" t="s">
        <v>12639</v>
      </c>
      <c r="C39093" t="s">
        <v>12641</v>
      </c>
    </row>
    <row r="39095" spans="1:4" x14ac:dyDescent="0.2">
      <c r="A39095" t="s">
        <v>12642</v>
      </c>
      <c r="B39095" t="str">
        <f>HYPERLINK("https://lindat.mff.cuni.cz/services/teitok/pdtc10/index.php?action=vallex&amp;frame=v-w5281f3", "přispívat (v-w5281f3)")</f>
        <v>přispívat (v-w5281f3)</v>
      </c>
    </row>
    <row r="39096" spans="1:4" x14ac:dyDescent="0.2">
      <c r="B39096" t="s">
        <v>1</v>
      </c>
      <c r="C39096" t="s">
        <v>6115</v>
      </c>
    </row>
    <row r="39097" spans="1:4" x14ac:dyDescent="0.2">
      <c r="B39097" t="s">
        <v>90</v>
      </c>
    </row>
    <row r="39099" spans="1:4" x14ac:dyDescent="0.2">
      <c r="A39099" t="s">
        <v>12643</v>
      </c>
      <c r="B39099" t="str">
        <f>HYPERLINK("https://lindat.mff.cuni.cz/services/teitok/pdtc10/index.php?action=vallex&amp;frame=v-w5276f1", "přispěchat (v-w5276f1)")</f>
        <v>přispěchat (v-w5276f1)</v>
      </c>
    </row>
    <row r="39100" spans="1:4" x14ac:dyDescent="0.2">
      <c r="B39100" t="s">
        <v>1</v>
      </c>
      <c r="C39100" t="s">
        <v>9634</v>
      </c>
      <c r="D39100" t="s">
        <v>147</v>
      </c>
    </row>
    <row r="39101" spans="1:4" x14ac:dyDescent="0.2">
      <c r="B39101" t="s">
        <v>90</v>
      </c>
    </row>
    <row r="39103" spans="1:4" x14ac:dyDescent="0.2">
      <c r="A39103" t="s">
        <v>12644</v>
      </c>
      <c r="B39103" t="str">
        <f>HYPERLINK("https://lindat.mff.cuni.cz/services/teitok/pdtc10/index.php?action=vallex&amp;frame=v-w5278hsa_592", "přispět (v-w5278hsa_592)")</f>
        <v>přispět (v-w5278hsa_592)</v>
      </c>
    </row>
    <row r="39104" spans="1:4" x14ac:dyDescent="0.2">
      <c r="B39104" t="s">
        <v>1</v>
      </c>
      <c r="C39104" t="s">
        <v>12645</v>
      </c>
      <c r="D39104" t="s">
        <v>23606</v>
      </c>
    </row>
    <row r="39105" spans="1:4" x14ac:dyDescent="0.2">
      <c r="B39105" t="s">
        <v>1532</v>
      </c>
      <c r="C39105" t="s">
        <v>12646</v>
      </c>
      <c r="D39105" t="s">
        <v>24092</v>
      </c>
    </row>
    <row r="39106" spans="1:4" x14ac:dyDescent="0.2">
      <c r="B39106" t="s">
        <v>35</v>
      </c>
      <c r="C39106" t="s">
        <v>12647</v>
      </c>
      <c r="D39106" t="s">
        <v>24093</v>
      </c>
    </row>
    <row r="39108" spans="1:4" x14ac:dyDescent="0.2">
      <c r="A39108" t="s">
        <v>12644</v>
      </c>
      <c r="B39108" t="str">
        <f>HYPERLINK("https://lindat.mff.cuni.cz/services/teitok/pdtc10/index.php?action=vallex&amp;frame=v-w5278f2", "přispět (v-w5278f2) - substituted with v-w5278hsa_592")</f>
        <v>přispět (v-w5278f2) - substituted with v-w5278hsa_592</v>
      </c>
    </row>
    <row r="39109" spans="1:4" x14ac:dyDescent="0.2">
      <c r="B39109" t="s">
        <v>1</v>
      </c>
      <c r="C39109" t="s">
        <v>12648</v>
      </c>
    </row>
    <row r="39110" spans="1:4" x14ac:dyDescent="0.2">
      <c r="B39110" t="s">
        <v>1532</v>
      </c>
      <c r="C39110" t="s">
        <v>2344</v>
      </c>
    </row>
    <row r="39111" spans="1:4" x14ac:dyDescent="0.2">
      <c r="B39111" t="s">
        <v>35</v>
      </c>
      <c r="C39111" t="s">
        <v>3185</v>
      </c>
    </row>
    <row r="39113" spans="1:4" x14ac:dyDescent="0.2">
      <c r="A39113" t="s">
        <v>12649</v>
      </c>
      <c r="B39113" t="str">
        <f>HYPERLINK("https://lindat.mff.cuni.cz/services/teitok/pdtc10/index.php?action=vallex&amp;frame=v-w5278f4_ZU", "přispět (v-w5278f4_ZU)")</f>
        <v>přispět (v-w5278f4_ZU)</v>
      </c>
    </row>
    <row r="39114" spans="1:4" x14ac:dyDescent="0.2">
      <c r="B39114" t="s">
        <v>1</v>
      </c>
    </row>
    <row r="39115" spans="1:4" x14ac:dyDescent="0.2">
      <c r="B39115" t="s">
        <v>12639</v>
      </c>
    </row>
    <row r="39117" spans="1:4" x14ac:dyDescent="0.2">
      <c r="A39117" t="s">
        <v>12649</v>
      </c>
      <c r="B39117" t="str">
        <f>HYPERLINK("https://lindat.mff.cuni.cz/services/teitok/pdtc10/index.php?action=vallex&amp;frame=v-w5278f1", "přispět (v-w5278f1) - substituted with v-w5278f4_ZU")</f>
        <v>přispět (v-w5278f1) - substituted with v-w5278f4_ZU</v>
      </c>
    </row>
    <row r="39118" spans="1:4" x14ac:dyDescent="0.2">
      <c r="B39118" t="s">
        <v>1</v>
      </c>
      <c r="C39118" t="s">
        <v>12650</v>
      </c>
      <c r="D39118" t="s">
        <v>22962</v>
      </c>
    </row>
    <row r="39119" spans="1:4" x14ac:dyDescent="0.2">
      <c r="B39119" t="s">
        <v>12639</v>
      </c>
      <c r="C39119" t="s">
        <v>12651</v>
      </c>
      <c r="D39119" t="s">
        <v>22963</v>
      </c>
    </row>
    <row r="39121" spans="1:3" x14ac:dyDescent="0.2">
      <c r="A39121" t="s">
        <v>12652</v>
      </c>
      <c r="B39121" t="str">
        <f>HYPERLINK("https://lindat.mff.cuni.cz/services/teitok/pdtc10/index.php?action=vallex&amp;frame=v-w5278f3", "přispět (v-w5278f3)")</f>
        <v>přispět (v-w5278f3)</v>
      </c>
    </row>
    <row r="39122" spans="1:3" x14ac:dyDescent="0.2">
      <c r="B39122" t="s">
        <v>1</v>
      </c>
      <c r="C39122" t="s">
        <v>12653</v>
      </c>
    </row>
    <row r="39123" spans="1:3" x14ac:dyDescent="0.2">
      <c r="B39123" t="s">
        <v>90</v>
      </c>
      <c r="C39123" t="s">
        <v>12654</v>
      </c>
    </row>
    <row r="39125" spans="1:3" x14ac:dyDescent="0.2">
      <c r="A39125" t="s">
        <v>12655</v>
      </c>
      <c r="B39125" t="str">
        <f>HYPERLINK("https://lindat.mff.cuni.cz/services/teitok/pdtc10/index.php?action=vallex&amp;frame=v-whsa_1921f1_ZU", "přistavit (v-whsa_1921f1_ZU)")</f>
        <v>přistavit (v-whsa_1921f1_ZU)</v>
      </c>
    </row>
    <row r="39126" spans="1:3" x14ac:dyDescent="0.2">
      <c r="B39126" t="s">
        <v>1</v>
      </c>
    </row>
    <row r="39127" spans="1:3" x14ac:dyDescent="0.2">
      <c r="B39127" t="s">
        <v>8</v>
      </c>
    </row>
    <row r="39128" spans="1:3" x14ac:dyDescent="0.2">
      <c r="B39128" t="s">
        <v>24</v>
      </c>
    </row>
    <row r="39130" spans="1:3" x14ac:dyDescent="0.2">
      <c r="A39130" t="s">
        <v>12655</v>
      </c>
      <c r="B39130" t="str">
        <f>HYPERLINK("https://lindat.mff.cuni.cz/services/teitok/pdtc10/index.php?action=vallex&amp;frame=v-whsa_1921hsa_1922", "přistavit (v-whsa_1921hsa_1922) - substituted with v-whsa_1921f1_ZU")</f>
        <v>přistavit (v-whsa_1921hsa_1922) - substituted with v-whsa_1921f1_ZU</v>
      </c>
    </row>
    <row r="39131" spans="1:3" x14ac:dyDescent="0.2">
      <c r="B39131" t="s">
        <v>1</v>
      </c>
    </row>
    <row r="39132" spans="1:3" x14ac:dyDescent="0.2">
      <c r="B39132" t="s">
        <v>8</v>
      </c>
    </row>
    <row r="39133" spans="1:3" x14ac:dyDescent="0.2">
      <c r="B39133" t="s">
        <v>24</v>
      </c>
    </row>
    <row r="39135" spans="1:3" x14ac:dyDescent="0.2">
      <c r="A39135" t="s">
        <v>12656</v>
      </c>
      <c r="B39135" t="str">
        <f>HYPERLINK("https://lindat.mff.cuni.cz/services/teitok/pdtc10/index.php?action=vallex&amp;frame=v-whsa_1921f2_ZU", "přistavit (v-whsa_1921f2_ZU)")</f>
        <v>přistavit (v-whsa_1921f2_ZU)</v>
      </c>
    </row>
    <row r="39136" spans="1:3" x14ac:dyDescent="0.2">
      <c r="B39136" t="s">
        <v>1</v>
      </c>
    </row>
    <row r="39137" spans="1:2" x14ac:dyDescent="0.2">
      <c r="B39137" t="s">
        <v>8</v>
      </c>
    </row>
    <row r="39138" spans="1:2" x14ac:dyDescent="0.2">
      <c r="B39138" t="s">
        <v>90</v>
      </c>
    </row>
    <row r="39140" spans="1:2" x14ac:dyDescent="0.2">
      <c r="A39140" t="s">
        <v>12656</v>
      </c>
      <c r="B39140" t="str">
        <f>HYPERLINK("https://lindat.mff.cuni.cz/services/teitok/pdtc10/index.php?action=vallex&amp;frame=v-whsa_1921hsa_1923", "přistavit (v-whsa_1921hsa_1923) - substituted with v-whsa_1921f2_ZU")</f>
        <v>přistavit (v-whsa_1921hsa_1923) - substituted with v-whsa_1921f2_ZU</v>
      </c>
    </row>
    <row r="39141" spans="1:2" x14ac:dyDescent="0.2">
      <c r="B39141" t="s">
        <v>1</v>
      </c>
    </row>
    <row r="39142" spans="1:2" x14ac:dyDescent="0.2">
      <c r="B39142" t="s">
        <v>8</v>
      </c>
    </row>
    <row r="39143" spans="1:2" x14ac:dyDescent="0.2">
      <c r="B39143" t="s">
        <v>90</v>
      </c>
    </row>
    <row r="39145" spans="1:2" x14ac:dyDescent="0.2">
      <c r="A39145" t="s">
        <v>12657</v>
      </c>
      <c r="B39145" t="str">
        <f>HYPERLINK("https://lindat.mff.cuni.cz/services/teitok/pdtc10/index.php?action=vallex&amp;frame=v-w5286f1", "přistavovat (v-w5286f1)")</f>
        <v>přistavovat (v-w5286f1)</v>
      </c>
    </row>
    <row r="39146" spans="1:2" x14ac:dyDescent="0.2">
      <c r="B39146" t="s">
        <v>1</v>
      </c>
    </row>
    <row r="39147" spans="1:2" x14ac:dyDescent="0.2">
      <c r="B39147" t="s">
        <v>8</v>
      </c>
    </row>
    <row r="39148" spans="1:2" x14ac:dyDescent="0.2">
      <c r="B39148" t="s">
        <v>24</v>
      </c>
    </row>
    <row r="39150" spans="1:2" x14ac:dyDescent="0.2">
      <c r="A39150" t="s">
        <v>12658</v>
      </c>
      <c r="B39150" t="str">
        <f>HYPERLINK("https://lindat.mff.cuni.cz/services/teitok/pdtc10/index.php?action=vallex&amp;frame=v-w5285f1", "přistavět (v-w5285f1)")</f>
        <v>přistavět (v-w5285f1)</v>
      </c>
    </row>
    <row r="39151" spans="1:2" x14ac:dyDescent="0.2">
      <c r="B39151" t="s">
        <v>1</v>
      </c>
    </row>
    <row r="39152" spans="1:2" x14ac:dyDescent="0.2">
      <c r="B39152" t="s">
        <v>8</v>
      </c>
    </row>
    <row r="39153" spans="1:4" x14ac:dyDescent="0.2">
      <c r="B39153" t="s">
        <v>24</v>
      </c>
    </row>
    <row r="39155" spans="1:4" x14ac:dyDescent="0.2">
      <c r="A39155" t="s">
        <v>12659</v>
      </c>
      <c r="B39155" t="str">
        <f>HYPERLINK("https://lindat.mff.cuni.cz/services/teitok/pdtc10/index.php?action=vallex&amp;frame=v-w5289f1", "přistihnout (v-w5289f1)")</f>
        <v>přistihnout (v-w5289f1)</v>
      </c>
    </row>
    <row r="39156" spans="1:4" x14ac:dyDescent="0.2">
      <c r="B39156" t="s">
        <v>1</v>
      </c>
      <c r="C39156" t="s">
        <v>12660</v>
      </c>
    </row>
    <row r="39157" spans="1:4" x14ac:dyDescent="0.2">
      <c r="B39157" t="s">
        <v>8</v>
      </c>
      <c r="C39157" t="s">
        <v>12661</v>
      </c>
    </row>
    <row r="39159" spans="1:4" x14ac:dyDescent="0.2">
      <c r="A39159" t="s">
        <v>12662</v>
      </c>
      <c r="B39159" t="str">
        <f>HYPERLINK("https://lindat.mff.cuni.cz/services/teitok/pdtc10/index.php?action=vallex&amp;frame=v-w5291f4", "přistoupit (v-w5291f4)")</f>
        <v>přistoupit (v-w5291f4)</v>
      </c>
    </row>
    <row r="39160" spans="1:4" x14ac:dyDescent="0.2">
      <c r="B39160" t="s">
        <v>1</v>
      </c>
      <c r="C39160" t="s">
        <v>12663</v>
      </c>
      <c r="D39160" t="s">
        <v>22950</v>
      </c>
    </row>
    <row r="39161" spans="1:4" x14ac:dyDescent="0.2">
      <c r="B39161" t="s">
        <v>176</v>
      </c>
      <c r="C39161" t="s">
        <v>125</v>
      </c>
      <c r="D39161" t="s">
        <v>22951</v>
      </c>
    </row>
    <row r="39163" spans="1:4" x14ac:dyDescent="0.2">
      <c r="A39163" t="s">
        <v>12664</v>
      </c>
      <c r="B39163" t="str">
        <f>HYPERLINK("https://lindat.mff.cuni.cz/services/teitok/pdtc10/index.php?action=vallex&amp;frame=v-w5291f1", "přistoupit (v-w5291f1)")</f>
        <v>přistoupit (v-w5291f1)</v>
      </c>
    </row>
    <row r="39164" spans="1:4" x14ac:dyDescent="0.2">
      <c r="B39164" t="s">
        <v>1</v>
      </c>
      <c r="C39164" t="s">
        <v>12665</v>
      </c>
      <c r="D39164" t="s">
        <v>22948</v>
      </c>
    </row>
    <row r="39165" spans="1:4" x14ac:dyDescent="0.2">
      <c r="B39165" t="s">
        <v>28</v>
      </c>
      <c r="C39165" t="s">
        <v>12666</v>
      </c>
      <c r="D39165" t="s">
        <v>22949</v>
      </c>
    </row>
    <row r="39167" spans="1:4" x14ac:dyDescent="0.2">
      <c r="A39167" t="s">
        <v>12667</v>
      </c>
      <c r="B39167" t="str">
        <f>HYPERLINK("https://lindat.mff.cuni.cz/services/teitok/pdtc10/index.php?action=vallex&amp;frame=v-w5291f3", "přistoupit (v-w5291f3)")</f>
        <v>přistoupit (v-w5291f3)</v>
      </c>
    </row>
    <row r="39168" spans="1:4" x14ac:dyDescent="0.2">
      <c r="B39168" t="s">
        <v>1</v>
      </c>
      <c r="D39168" t="s">
        <v>23107</v>
      </c>
    </row>
    <row r="39169" spans="1:4" x14ac:dyDescent="0.2">
      <c r="B39169" t="s">
        <v>90</v>
      </c>
      <c r="D39169" t="s">
        <v>23108</v>
      </c>
    </row>
    <row r="39171" spans="1:4" x14ac:dyDescent="0.2">
      <c r="A39171" t="s">
        <v>12668</v>
      </c>
      <c r="B39171" t="str">
        <f>HYPERLINK("https://lindat.mff.cuni.cz/services/teitok/pdtc10/index.php?action=vallex&amp;frame=v-w5291f5", "přistoupit (v-w5291f5)")</f>
        <v>přistoupit (v-w5291f5)</v>
      </c>
    </row>
    <row r="39172" spans="1:4" x14ac:dyDescent="0.2">
      <c r="B39172" t="s">
        <v>1</v>
      </c>
      <c r="C39172" t="s">
        <v>370</v>
      </c>
      <c r="D39172" t="s">
        <v>23107</v>
      </c>
    </row>
    <row r="39173" spans="1:4" x14ac:dyDescent="0.2">
      <c r="B39173" t="s">
        <v>90</v>
      </c>
      <c r="D39173" t="s">
        <v>23108</v>
      </c>
    </row>
    <row r="39175" spans="1:4" x14ac:dyDescent="0.2">
      <c r="A39175" t="s">
        <v>12669</v>
      </c>
      <c r="B39175" t="str">
        <f>HYPERLINK("https://lindat.mff.cuni.cz/services/teitok/pdtc10/index.php?action=vallex&amp;frame=v-w5291f9_ZU", "přistoupit (v-w5291f9_ZU)")</f>
        <v>přistoupit (v-w5291f9_ZU)</v>
      </c>
    </row>
    <row r="39176" spans="1:4" x14ac:dyDescent="0.2">
      <c r="B39176" t="s">
        <v>1</v>
      </c>
      <c r="D39176" t="s">
        <v>109</v>
      </c>
    </row>
    <row r="39177" spans="1:4" x14ac:dyDescent="0.2">
      <c r="B39177" t="s">
        <v>12670</v>
      </c>
      <c r="D39177" t="s">
        <v>6340</v>
      </c>
    </row>
    <row r="39179" spans="1:4" x14ac:dyDescent="0.2">
      <c r="A39179" t="s">
        <v>12669</v>
      </c>
      <c r="B39179" t="str">
        <f>HYPERLINK("https://lindat.mff.cuni.cz/services/teitok/pdtc10/index.php?action=vallex&amp;frame=v-w5291f2", "přistoupit (v-w5291f2) - substituted with v-w5291f9_ZU")</f>
        <v>přistoupit (v-w5291f2) - substituted with v-w5291f9_ZU</v>
      </c>
    </row>
    <row r="39180" spans="1:4" x14ac:dyDescent="0.2">
      <c r="B39180" t="s">
        <v>1</v>
      </c>
      <c r="C39180" t="s">
        <v>12671</v>
      </c>
    </row>
    <row r="39181" spans="1:4" x14ac:dyDescent="0.2">
      <c r="B39181" t="s">
        <v>12670</v>
      </c>
      <c r="C39181" t="s">
        <v>12672</v>
      </c>
    </row>
    <row r="39183" spans="1:4" x14ac:dyDescent="0.2">
      <c r="A39183" t="s">
        <v>12669</v>
      </c>
      <c r="B39183" t="str">
        <f>HYPERLINK("https://lindat.mff.cuni.cz/services/teitok/pdtc10/index.php?action=vallex&amp;frame=v-w5291f6_ZU", "přistoupit (v-w5291f6_ZU) - substituted with v-w5291f9_ZU")</f>
        <v>přistoupit (v-w5291f6_ZU) - substituted with v-w5291f9_ZU</v>
      </c>
    </row>
    <row r="39184" spans="1:4" x14ac:dyDescent="0.2">
      <c r="B39184" t="s">
        <v>1</v>
      </c>
      <c r="C39184" t="s">
        <v>2717</v>
      </c>
    </row>
    <row r="39185" spans="1:4" x14ac:dyDescent="0.2">
      <c r="B39185" t="s">
        <v>12670</v>
      </c>
      <c r="C39185" t="s">
        <v>12673</v>
      </c>
    </row>
    <row r="39187" spans="1:4" x14ac:dyDescent="0.2">
      <c r="A39187" t="s">
        <v>12669</v>
      </c>
      <c r="B39187" t="str">
        <f>HYPERLINK("https://lindat.mff.cuni.cz/services/teitok/pdtc10/index.php?action=vallex&amp;frame=v-w5291f7_ZU", "přistoupit (v-w5291f7_ZU) - substituted with v-w5291f9_ZU")</f>
        <v>přistoupit (v-w5291f7_ZU) - substituted with v-w5291f9_ZU</v>
      </c>
    </row>
    <row r="39188" spans="1:4" x14ac:dyDescent="0.2">
      <c r="B39188" t="s">
        <v>1</v>
      </c>
    </row>
    <row r="39189" spans="1:4" x14ac:dyDescent="0.2">
      <c r="B39189" t="s">
        <v>12670</v>
      </c>
    </row>
    <row r="39191" spans="1:4" x14ac:dyDescent="0.2">
      <c r="A39191" t="s">
        <v>12669</v>
      </c>
      <c r="B39191" t="str">
        <f>HYPERLINK("https://lindat.mff.cuni.cz/services/teitok/pdtc10/index.php?action=vallex&amp;frame=v-w5291hsa_1040", "přistoupit (v-w5291hsa_1040) - substituted with v-w5291f9_ZU")</f>
        <v>přistoupit (v-w5291hsa_1040) - substituted with v-w5291f9_ZU</v>
      </c>
    </row>
    <row r="39192" spans="1:4" x14ac:dyDescent="0.2">
      <c r="B39192" t="s">
        <v>1</v>
      </c>
      <c r="C39192" t="s">
        <v>2717</v>
      </c>
    </row>
    <row r="39193" spans="1:4" x14ac:dyDescent="0.2">
      <c r="B39193" t="s">
        <v>12670</v>
      </c>
      <c r="C39193" t="s">
        <v>12673</v>
      </c>
    </row>
    <row r="39195" spans="1:4" x14ac:dyDescent="0.2">
      <c r="A39195" t="s">
        <v>12674</v>
      </c>
      <c r="B39195" t="str">
        <f>HYPERLINK("https://lindat.mff.cuni.cz/services/teitok/pdtc10/index.php?action=vallex&amp;frame=v-w5291f8_ZU", "přistoupit (v-w5291f8_ZU)")</f>
        <v>přistoupit (v-w5291f8_ZU)</v>
      </c>
    </row>
    <row r="39196" spans="1:4" x14ac:dyDescent="0.2">
      <c r="B39196" t="s">
        <v>1</v>
      </c>
      <c r="C39196" t="s">
        <v>1593</v>
      </c>
      <c r="D39196" t="s">
        <v>230</v>
      </c>
    </row>
    <row r="39197" spans="1:4" x14ac:dyDescent="0.2">
      <c r="B39197" t="s">
        <v>12675</v>
      </c>
      <c r="C39197" t="s">
        <v>12676</v>
      </c>
      <c r="D39197" t="s">
        <v>1078</v>
      </c>
    </row>
    <row r="39198" spans="1:4" x14ac:dyDescent="0.2">
      <c r="B39198" t="s">
        <v>346</v>
      </c>
      <c r="D39198" t="s">
        <v>23051</v>
      </c>
    </row>
    <row r="39199" spans="1:4" x14ac:dyDescent="0.2">
      <c r="B39199" t="s">
        <v>349</v>
      </c>
      <c r="D39199" t="s">
        <v>24094</v>
      </c>
    </row>
    <row r="39200" spans="1:4" x14ac:dyDescent="0.2">
      <c r="B39200" t="s">
        <v>350</v>
      </c>
      <c r="D39200" t="s">
        <v>24095</v>
      </c>
    </row>
    <row r="39201" spans="1:4" x14ac:dyDescent="0.2">
      <c r="B39201" t="s">
        <v>351</v>
      </c>
      <c r="D39201" t="s">
        <v>24096</v>
      </c>
    </row>
    <row r="39202" spans="1:4" x14ac:dyDescent="0.2">
      <c r="B39202" t="s">
        <v>2009</v>
      </c>
      <c r="D39202" t="s">
        <v>24097</v>
      </c>
    </row>
    <row r="39204" spans="1:4" x14ac:dyDescent="0.2">
      <c r="A39204" t="s">
        <v>12674</v>
      </c>
      <c r="B39204" t="str">
        <f>HYPERLINK("https://lindat.mff.cuni.cz/services/teitok/pdtc10/index.php?action=vallex&amp;frame=v-w5291hsa_1039", "přistoupit (v-w5291hsa_1039) - substituted with v-w5291f8_ZU")</f>
        <v>přistoupit (v-w5291hsa_1039) - substituted with v-w5291f8_ZU</v>
      </c>
    </row>
    <row r="39205" spans="1:4" x14ac:dyDescent="0.2">
      <c r="B39205" t="s">
        <v>1</v>
      </c>
    </row>
    <row r="39206" spans="1:4" x14ac:dyDescent="0.2">
      <c r="B39206" t="s">
        <v>12675</v>
      </c>
    </row>
    <row r="39207" spans="1:4" x14ac:dyDescent="0.2">
      <c r="B39207" t="s">
        <v>346</v>
      </c>
    </row>
    <row r="39208" spans="1:4" x14ac:dyDescent="0.2">
      <c r="B39208" t="s">
        <v>349</v>
      </c>
    </row>
    <row r="39209" spans="1:4" x14ac:dyDescent="0.2">
      <c r="B39209" t="s">
        <v>350</v>
      </c>
    </row>
    <row r="39210" spans="1:4" x14ac:dyDescent="0.2">
      <c r="B39210" t="s">
        <v>351</v>
      </c>
    </row>
    <row r="39211" spans="1:4" x14ac:dyDescent="0.2">
      <c r="B39211" t="s">
        <v>2009</v>
      </c>
    </row>
    <row r="39213" spans="1:4" x14ac:dyDescent="0.2">
      <c r="A39213" t="s">
        <v>12677</v>
      </c>
      <c r="B39213" t="str">
        <f>HYPERLINK("https://lindat.mff.cuni.cz/services/teitok/pdtc10/index.php?action=vallex&amp;frame=v-w11966_ZUf1_ZU", "přistrojit (v-w11966_ZUf1_ZU)")</f>
        <v>přistrojit (v-w11966_ZUf1_ZU)</v>
      </c>
    </row>
    <row r="39214" spans="1:4" x14ac:dyDescent="0.2">
      <c r="B39214" t="s">
        <v>1</v>
      </c>
    </row>
    <row r="39215" spans="1:4" x14ac:dyDescent="0.2">
      <c r="B39215" t="s">
        <v>8</v>
      </c>
    </row>
    <row r="39217" spans="1:4" x14ac:dyDescent="0.2">
      <c r="A39217" t="s">
        <v>12678</v>
      </c>
      <c r="B39217" t="str">
        <f>HYPERLINK("https://lindat.mff.cuni.cz/services/teitok/pdtc10/index.php?action=vallex&amp;frame=v-w5296f1", "přistupovat (v-w5296f1)")</f>
        <v>přistupovat (v-w5296f1)</v>
      </c>
    </row>
    <row r="39218" spans="1:4" x14ac:dyDescent="0.2">
      <c r="B39218" t="s">
        <v>1</v>
      </c>
      <c r="C39218" t="s">
        <v>12679</v>
      </c>
      <c r="D39218" t="s">
        <v>230</v>
      </c>
    </row>
    <row r="39219" spans="1:4" x14ac:dyDescent="0.2">
      <c r="B39219" t="s">
        <v>12680</v>
      </c>
      <c r="C39219" t="s">
        <v>12681</v>
      </c>
      <c r="D39219" t="s">
        <v>1078</v>
      </c>
    </row>
    <row r="39220" spans="1:4" x14ac:dyDescent="0.2">
      <c r="B39220" t="s">
        <v>346</v>
      </c>
      <c r="C39220" t="s">
        <v>12682</v>
      </c>
      <c r="D39220" t="s">
        <v>23051</v>
      </c>
    </row>
    <row r="39221" spans="1:4" x14ac:dyDescent="0.2">
      <c r="B39221" t="s">
        <v>349</v>
      </c>
      <c r="D39221" t="s">
        <v>24094</v>
      </c>
    </row>
    <row r="39222" spans="1:4" x14ac:dyDescent="0.2">
      <c r="B39222" t="s">
        <v>350</v>
      </c>
      <c r="D39222" t="s">
        <v>24095</v>
      </c>
    </row>
    <row r="39223" spans="1:4" x14ac:dyDescent="0.2">
      <c r="B39223" t="s">
        <v>351</v>
      </c>
      <c r="D39223" t="s">
        <v>24096</v>
      </c>
    </row>
    <row r="39224" spans="1:4" x14ac:dyDescent="0.2">
      <c r="B39224" t="s">
        <v>2009</v>
      </c>
      <c r="D39224" t="s">
        <v>24097</v>
      </c>
    </row>
    <row r="39226" spans="1:4" x14ac:dyDescent="0.2">
      <c r="A39226" t="s">
        <v>12683</v>
      </c>
      <c r="B39226" t="str">
        <f>HYPERLINK("https://lindat.mff.cuni.cz/services/teitok/pdtc10/index.php?action=vallex&amp;frame=v-w5296f3", "přistupovat (v-w5296f3)")</f>
        <v>přistupovat (v-w5296f3)</v>
      </c>
    </row>
    <row r="39227" spans="1:4" x14ac:dyDescent="0.2">
      <c r="B39227" t="s">
        <v>1</v>
      </c>
      <c r="D39227" t="s">
        <v>22948</v>
      </c>
    </row>
    <row r="39228" spans="1:4" x14ac:dyDescent="0.2">
      <c r="B39228" t="s">
        <v>28</v>
      </c>
      <c r="D39228" t="s">
        <v>22949</v>
      </c>
    </row>
    <row r="39230" spans="1:4" x14ac:dyDescent="0.2">
      <c r="A39230" t="s">
        <v>12684</v>
      </c>
      <c r="B39230" t="str">
        <f>HYPERLINK("https://lindat.mff.cuni.cz/services/teitok/pdtc10/index.php?action=vallex&amp;frame=v-w5296f2", "přistupovat (v-w5296f2)")</f>
        <v>přistupovat (v-w5296f2)</v>
      </c>
    </row>
    <row r="39231" spans="1:4" x14ac:dyDescent="0.2">
      <c r="B39231" t="s">
        <v>1</v>
      </c>
    </row>
    <row r="39232" spans="1:4" x14ac:dyDescent="0.2">
      <c r="B39232" t="s">
        <v>90</v>
      </c>
    </row>
    <row r="39234" spans="1:4" x14ac:dyDescent="0.2">
      <c r="A39234" t="s">
        <v>12685</v>
      </c>
      <c r="B39234" t="str">
        <f>HYPERLINK("https://lindat.mff.cuni.cz/services/teitok/pdtc10/index.php?action=vallex&amp;frame=v-w5296f6", "přistupovat (v-w5296f6)")</f>
        <v>přistupovat (v-w5296f6)</v>
      </c>
    </row>
    <row r="39235" spans="1:4" x14ac:dyDescent="0.2">
      <c r="B39235" t="s">
        <v>1</v>
      </c>
      <c r="C39235" t="s">
        <v>6317</v>
      </c>
      <c r="D39235" t="s">
        <v>23107</v>
      </c>
    </row>
    <row r="39236" spans="1:4" x14ac:dyDescent="0.2">
      <c r="B39236" t="s">
        <v>90</v>
      </c>
      <c r="C39236" t="s">
        <v>12686</v>
      </c>
      <c r="D39236" t="s">
        <v>23108</v>
      </c>
    </row>
    <row r="39238" spans="1:4" x14ac:dyDescent="0.2">
      <c r="A39238" t="s">
        <v>12687</v>
      </c>
      <c r="B39238" t="str">
        <f>HYPERLINK("https://lindat.mff.cuni.cz/services/teitok/pdtc10/index.php?action=vallex&amp;frame=v-w5296f5", "přistupovat (v-w5296f5)")</f>
        <v>přistupovat (v-w5296f5)</v>
      </c>
    </row>
    <row r="39239" spans="1:4" x14ac:dyDescent="0.2">
      <c r="B39239" t="s">
        <v>1</v>
      </c>
      <c r="D39239" t="s">
        <v>23107</v>
      </c>
    </row>
    <row r="39240" spans="1:4" x14ac:dyDescent="0.2">
      <c r="B39240" t="s">
        <v>90</v>
      </c>
      <c r="D39240" t="s">
        <v>23108</v>
      </c>
    </row>
    <row r="39242" spans="1:4" x14ac:dyDescent="0.2">
      <c r="A39242" t="s">
        <v>12688</v>
      </c>
      <c r="B39242" t="str">
        <f>HYPERLINK("https://lindat.mff.cuni.cz/services/teitok/pdtc10/index.php?action=vallex&amp;frame=v-w5296f4", "přistupovat (v-w5296f4)")</f>
        <v>přistupovat (v-w5296f4)</v>
      </c>
    </row>
    <row r="39243" spans="1:4" x14ac:dyDescent="0.2">
      <c r="B39243" t="s">
        <v>1</v>
      </c>
      <c r="D39243" t="s">
        <v>109</v>
      </c>
    </row>
    <row r="39244" spans="1:4" x14ac:dyDescent="0.2">
      <c r="B39244" t="s">
        <v>12689</v>
      </c>
      <c r="D39244" t="s">
        <v>6340</v>
      </c>
    </row>
    <row r="39246" spans="1:4" x14ac:dyDescent="0.2">
      <c r="A39246" t="s">
        <v>12690</v>
      </c>
      <c r="B39246" t="str">
        <f>HYPERLINK("https://lindat.mff.cuni.cz/services/teitok/pdtc10/index.php?action=vallex&amp;frame=v-w5284f1", "přistát (v-w5284f1)")</f>
        <v>přistát (v-w5284f1)</v>
      </c>
    </row>
    <row r="39247" spans="1:4" x14ac:dyDescent="0.2">
      <c r="B39247" t="s">
        <v>1</v>
      </c>
      <c r="C39247" t="s">
        <v>12691</v>
      </c>
      <c r="D39247" t="s">
        <v>12452</v>
      </c>
    </row>
    <row r="39248" spans="1:4" x14ac:dyDescent="0.2">
      <c r="B39248" t="s">
        <v>5</v>
      </c>
      <c r="C39248" t="s">
        <v>12692</v>
      </c>
      <c r="D39248" t="s">
        <v>3435</v>
      </c>
    </row>
    <row r="39250" spans="1:4" x14ac:dyDescent="0.2">
      <c r="A39250" t="s">
        <v>12693</v>
      </c>
      <c r="B39250" t="str">
        <f>HYPERLINK("https://lindat.mff.cuni.cz/services/teitok/pdtc10/index.php?action=vallex&amp;frame=v-w5284f2", "přistát (v-w5284f2)")</f>
        <v>přistát (v-w5284f2)</v>
      </c>
    </row>
    <row r="39251" spans="1:4" x14ac:dyDescent="0.2">
      <c r="B39251" t="s">
        <v>1</v>
      </c>
    </row>
    <row r="39252" spans="1:4" x14ac:dyDescent="0.2">
      <c r="B39252" t="s">
        <v>90</v>
      </c>
    </row>
    <row r="39254" spans="1:4" x14ac:dyDescent="0.2">
      <c r="A39254" t="s">
        <v>12694</v>
      </c>
      <c r="B39254" t="str">
        <f>HYPERLINK("https://lindat.mff.cuni.cz/services/teitok/pdtc10/index.php?action=vallex&amp;frame=v-w10235f3", "přistávat (v-w10235f3)")</f>
        <v>přistávat (v-w10235f3)</v>
      </c>
    </row>
    <row r="39255" spans="1:4" x14ac:dyDescent="0.2">
      <c r="B39255" t="s">
        <v>1</v>
      </c>
      <c r="C39255" t="s">
        <v>201</v>
      </c>
      <c r="D39255" t="s">
        <v>12452</v>
      </c>
    </row>
    <row r="39256" spans="1:4" x14ac:dyDescent="0.2">
      <c r="B39256" t="s">
        <v>5</v>
      </c>
      <c r="D39256" t="s">
        <v>3435</v>
      </c>
    </row>
    <row r="39258" spans="1:4" x14ac:dyDescent="0.2">
      <c r="A39258" t="s">
        <v>12695</v>
      </c>
      <c r="B39258" t="str">
        <f>HYPERLINK("https://lindat.mff.cuni.cz/services/teitok/pdtc10/index.php?action=vallex&amp;frame=v-w10235f4", "přistávat (v-w10235f4)")</f>
        <v>přistávat (v-w10235f4)</v>
      </c>
    </row>
    <row r="39259" spans="1:4" x14ac:dyDescent="0.2">
      <c r="B39259" t="s">
        <v>1</v>
      </c>
    </row>
    <row r="39260" spans="1:4" x14ac:dyDescent="0.2">
      <c r="B39260" t="s">
        <v>90</v>
      </c>
    </row>
    <row r="39262" spans="1:4" x14ac:dyDescent="0.2">
      <c r="A39262" t="s">
        <v>12696</v>
      </c>
      <c r="B39262" t="str">
        <f>HYPERLINK("https://lindat.mff.cuni.cz/services/teitok/pdtc10/index.php?action=vallex&amp;frame=v-w11694_ZUf1_ZU", "přistínit (v-w11694_ZUf1_ZU)")</f>
        <v>přistínit (v-w11694_ZUf1_ZU)</v>
      </c>
    </row>
    <row r="39263" spans="1:4" x14ac:dyDescent="0.2">
      <c r="B39263" t="s">
        <v>1</v>
      </c>
    </row>
    <row r="39264" spans="1:4" x14ac:dyDescent="0.2">
      <c r="B39264" t="s">
        <v>8</v>
      </c>
    </row>
    <row r="39266" spans="1:4" x14ac:dyDescent="0.2">
      <c r="A39266" t="s">
        <v>12697</v>
      </c>
      <c r="B39266" t="str">
        <f>HYPERLINK("https://lindat.mff.cuni.cz/services/teitok/pdtc10/index.php?action=vallex&amp;frame=v-w5288f1", "přistěhovat se (v-w5288f1)")</f>
        <v>přistěhovat se (v-w5288f1)</v>
      </c>
    </row>
    <row r="39267" spans="1:4" x14ac:dyDescent="0.2">
      <c r="B39267" t="s">
        <v>1</v>
      </c>
      <c r="C39267" t="s">
        <v>33</v>
      </c>
      <c r="D39267" t="s">
        <v>23107</v>
      </c>
    </row>
    <row r="39268" spans="1:4" x14ac:dyDescent="0.2">
      <c r="B39268" t="s">
        <v>90</v>
      </c>
      <c r="D39268" t="s">
        <v>23108</v>
      </c>
    </row>
    <row r="39270" spans="1:4" x14ac:dyDescent="0.2">
      <c r="A39270" t="s">
        <v>12698</v>
      </c>
      <c r="B39270" t="str">
        <f>HYPERLINK("https://lindat.mff.cuni.cz/services/teitok/pdtc10/index.php?action=vallex&amp;frame=v-w5293f1", "přistřihnout (v-w5293f1)")</f>
        <v>přistřihnout (v-w5293f1)</v>
      </c>
    </row>
    <row r="39271" spans="1:4" x14ac:dyDescent="0.2">
      <c r="B39271" t="s">
        <v>1</v>
      </c>
    </row>
    <row r="39272" spans="1:4" x14ac:dyDescent="0.2">
      <c r="B39272" t="s">
        <v>8</v>
      </c>
    </row>
    <row r="39273" spans="1:4" x14ac:dyDescent="0.2">
      <c r="B39273" t="s">
        <v>24</v>
      </c>
    </row>
    <row r="39274" spans="1:4" x14ac:dyDescent="0.2">
      <c r="B39274" t="s">
        <v>61</v>
      </c>
    </row>
    <row r="39276" spans="1:4" x14ac:dyDescent="0.2">
      <c r="A39276" t="s">
        <v>12699</v>
      </c>
      <c r="B39276" t="str">
        <f>HYPERLINK("https://lindat.mff.cuni.cz/services/teitok/pdtc10/index.php?action=vallex&amp;frame=v-w5298f1", "přisunout (v-w5298f1)")</f>
        <v>přisunout (v-w5298f1)</v>
      </c>
    </row>
    <row r="39277" spans="1:4" x14ac:dyDescent="0.2">
      <c r="B39277" t="s">
        <v>1</v>
      </c>
    </row>
    <row r="39278" spans="1:4" x14ac:dyDescent="0.2">
      <c r="B39278" t="s">
        <v>8</v>
      </c>
    </row>
    <row r="39279" spans="1:4" x14ac:dyDescent="0.2">
      <c r="B39279" t="s">
        <v>90</v>
      </c>
    </row>
    <row r="39281" spans="1:4" x14ac:dyDescent="0.2">
      <c r="A39281" t="s">
        <v>12700</v>
      </c>
      <c r="B39281" t="str">
        <f>HYPERLINK("https://lindat.mff.cuni.cz/services/teitok/pdtc10/index.php?action=vallex&amp;frame=v-w5299f1", "přisuzovat (v-w5299f1)")</f>
        <v>přisuzovat (v-w5299f1)</v>
      </c>
    </row>
    <row r="39282" spans="1:4" x14ac:dyDescent="0.2">
      <c r="B39282" t="s">
        <v>1</v>
      </c>
      <c r="C39282" t="s">
        <v>12701</v>
      </c>
      <c r="D39282" t="s">
        <v>6039</v>
      </c>
    </row>
    <row r="39283" spans="1:4" x14ac:dyDescent="0.2">
      <c r="B39283" t="s">
        <v>41</v>
      </c>
      <c r="C39283" t="s">
        <v>12702</v>
      </c>
      <c r="D39283" t="s">
        <v>23799</v>
      </c>
    </row>
    <row r="39284" spans="1:4" x14ac:dyDescent="0.2">
      <c r="B39284" t="s">
        <v>35</v>
      </c>
      <c r="C39284" t="s">
        <v>12703</v>
      </c>
      <c r="D39284" t="s">
        <v>23800</v>
      </c>
    </row>
    <row r="39286" spans="1:4" x14ac:dyDescent="0.2">
      <c r="A39286" t="s">
        <v>12704</v>
      </c>
      <c r="B39286" t="str">
        <f>HYPERLINK("https://lindat.mff.cuni.cz/services/teitok/pdtc10/index.php?action=vallex&amp;frame=v-w5300f1", "přisvojit si (v-w5300f1)")</f>
        <v>přisvojit si (v-w5300f1)</v>
      </c>
    </row>
    <row r="39287" spans="1:4" x14ac:dyDescent="0.2">
      <c r="B39287" t="s">
        <v>1</v>
      </c>
    </row>
    <row r="39288" spans="1:4" x14ac:dyDescent="0.2">
      <c r="B39288" t="s">
        <v>8</v>
      </c>
    </row>
    <row r="39290" spans="1:4" x14ac:dyDescent="0.2">
      <c r="A39290" t="s">
        <v>12705</v>
      </c>
      <c r="B39290" t="str">
        <f>HYPERLINK("https://lindat.mff.cuni.cz/services/teitok/pdtc10/index.php?action=vallex&amp;frame=v-w10492f3", "přisypávat (v-w10492f3)")</f>
        <v>přisypávat (v-w10492f3)</v>
      </c>
    </row>
    <row r="39291" spans="1:4" x14ac:dyDescent="0.2">
      <c r="B39291" t="s">
        <v>1</v>
      </c>
      <c r="C39291" t="s">
        <v>33</v>
      </c>
      <c r="D39291" t="s">
        <v>14079</v>
      </c>
    </row>
    <row r="39292" spans="1:4" x14ac:dyDescent="0.2">
      <c r="B39292" t="s">
        <v>8</v>
      </c>
      <c r="C39292" t="s">
        <v>84</v>
      </c>
      <c r="D39292" t="s">
        <v>24098</v>
      </c>
    </row>
    <row r="39293" spans="1:4" x14ac:dyDescent="0.2">
      <c r="B39293" t="s">
        <v>90</v>
      </c>
      <c r="D39293" t="s">
        <v>24099</v>
      </c>
    </row>
    <row r="39295" spans="1:4" x14ac:dyDescent="0.2">
      <c r="A39295" t="s">
        <v>12706</v>
      </c>
      <c r="B39295" t="str">
        <f>HYPERLINK("https://lindat.mff.cuni.cz/services/teitok/pdtc10/index.php?action=vallex&amp;frame=v-w5303f2_MM", "přitahovat (v-w5303f2_MM)")</f>
        <v>přitahovat (v-w5303f2_MM)</v>
      </c>
    </row>
    <row r="39296" spans="1:4" x14ac:dyDescent="0.2">
      <c r="B39296" t="s">
        <v>488</v>
      </c>
    </row>
    <row r="39297" spans="1:4" x14ac:dyDescent="0.2">
      <c r="B39297" t="s">
        <v>8</v>
      </c>
    </row>
    <row r="39299" spans="1:4" x14ac:dyDescent="0.2">
      <c r="A39299" t="s">
        <v>12706</v>
      </c>
      <c r="B39299" t="str">
        <f>HYPERLINK("https://lindat.mff.cuni.cz/services/teitok/pdtc10/index.php?action=vallex&amp;frame=v-w5303f1", "přitahovat (v-w5303f1) - substituted with v-w5303f2_MM")</f>
        <v>přitahovat (v-w5303f1) - substituted with v-w5303f2_MM</v>
      </c>
    </row>
    <row r="39300" spans="1:4" x14ac:dyDescent="0.2">
      <c r="B39300" t="s">
        <v>488</v>
      </c>
      <c r="C39300" t="s">
        <v>12707</v>
      </c>
      <c r="D39300" t="s">
        <v>23742</v>
      </c>
    </row>
    <row r="39301" spans="1:4" x14ac:dyDescent="0.2">
      <c r="B39301" t="s">
        <v>8</v>
      </c>
      <c r="C39301" t="s">
        <v>12708</v>
      </c>
      <c r="D39301" t="s">
        <v>56</v>
      </c>
    </row>
    <row r="39303" spans="1:4" x14ac:dyDescent="0.2">
      <c r="A39303" t="s">
        <v>12709</v>
      </c>
      <c r="B39303" t="str">
        <f>HYPERLINK("https://lindat.mff.cuni.cz/services/teitok/pdtc10/index.php?action=vallex&amp;frame=v-w5314f1", "přitlačit (v-w5314f1)")</f>
        <v>přitlačit (v-w5314f1)</v>
      </c>
    </row>
    <row r="39304" spans="1:4" x14ac:dyDescent="0.2">
      <c r="B39304" t="s">
        <v>1</v>
      </c>
    </row>
    <row r="39305" spans="1:4" x14ac:dyDescent="0.2">
      <c r="B39305" t="s">
        <v>8</v>
      </c>
    </row>
    <row r="39306" spans="1:4" x14ac:dyDescent="0.2">
      <c r="B39306" t="s">
        <v>90</v>
      </c>
    </row>
    <row r="39308" spans="1:4" x14ac:dyDescent="0.2">
      <c r="A39308" t="s">
        <v>12710</v>
      </c>
      <c r="B39308" t="str">
        <f>HYPERLINK("https://lindat.mff.cuni.cz/services/teitok/pdtc10/index.php?action=vallex&amp;frame=v-whsa_1793hsa_1794", "přitlouci (v-whsa_1793hsa_1794)")</f>
        <v>přitlouci (v-whsa_1793hsa_1794)</v>
      </c>
    </row>
    <row r="39309" spans="1:4" x14ac:dyDescent="0.2">
      <c r="B39309" t="s">
        <v>1</v>
      </c>
    </row>
    <row r="39310" spans="1:4" x14ac:dyDescent="0.2">
      <c r="B39310" t="s">
        <v>8</v>
      </c>
    </row>
    <row r="39312" spans="1:4" x14ac:dyDescent="0.2">
      <c r="A39312" t="s">
        <v>12711</v>
      </c>
      <c r="B39312" t="str">
        <f>HYPERLINK("https://lindat.mff.cuni.cz/services/teitok/pdtc10/index.php?action=vallex&amp;frame=v-whsa_48f1_ZU", "přitopit (v-whsa_48f1_ZU)")</f>
        <v>přitopit (v-whsa_48f1_ZU)</v>
      </c>
    </row>
    <row r="39313" spans="1:4" x14ac:dyDescent="0.2">
      <c r="B39313" t="s">
        <v>1</v>
      </c>
    </row>
    <row r="39315" spans="1:4" x14ac:dyDescent="0.2">
      <c r="A39315" t="s">
        <v>12711</v>
      </c>
      <c r="B39315" t="str">
        <f>HYPERLINK("https://lindat.mff.cuni.cz/services/teitok/pdtc10/index.php?action=vallex&amp;frame=v-whsa_48hsa_49", "přitopit (v-whsa_48hsa_49) - substituted with v-whsa_48f1_ZU")</f>
        <v>přitopit (v-whsa_48hsa_49) - substituted with v-whsa_48f1_ZU</v>
      </c>
    </row>
    <row r="39316" spans="1:4" x14ac:dyDescent="0.2">
      <c r="B39316" t="s">
        <v>1</v>
      </c>
    </row>
    <row r="39318" spans="1:4" x14ac:dyDescent="0.2">
      <c r="A39318" t="s">
        <v>12712</v>
      </c>
      <c r="B39318" t="str">
        <f>HYPERLINK("https://lindat.mff.cuni.cz/services/teitok/pdtc10/index.php?action=vallex&amp;frame=v-whsa_48f2_ZU", "přitopit (v-whsa_48f2_ZU)")</f>
        <v>přitopit (v-whsa_48f2_ZU)</v>
      </c>
    </row>
    <row r="39319" spans="1:4" x14ac:dyDescent="0.2">
      <c r="B39319" t="s">
        <v>1</v>
      </c>
    </row>
    <row r="39321" spans="1:4" x14ac:dyDescent="0.2">
      <c r="A39321" t="s">
        <v>12713</v>
      </c>
      <c r="B39321" t="str">
        <f>HYPERLINK("https://lindat.mff.cuni.cz/services/teitok/pdtc10/index.php?action=vallex&amp;frame=v-w5319f1", "přituhnout (v-w5319f1)")</f>
        <v>přituhnout (v-w5319f1)</v>
      </c>
    </row>
    <row r="39323" spans="1:4" x14ac:dyDescent="0.2">
      <c r="A39323" t="s">
        <v>12714</v>
      </c>
      <c r="B39323" t="str">
        <f>HYPERLINK("https://lindat.mff.cuni.cz/services/teitok/pdtc10/index.php?action=vallex&amp;frame=v-w10326f2", "přituhovat (v-w10326f2)")</f>
        <v>přituhovat (v-w10326f2)</v>
      </c>
    </row>
    <row r="39325" spans="1:4" x14ac:dyDescent="0.2">
      <c r="A39325" t="s">
        <v>12715</v>
      </c>
      <c r="B39325" t="str">
        <f>HYPERLINK("https://lindat.mff.cuni.cz/services/teitok/pdtc10/index.php?action=vallex&amp;frame=v-w5322f2_ZU", "přitvrdit (v-w5322f2_ZU)")</f>
        <v>přitvrdit (v-w5322f2_ZU)</v>
      </c>
    </row>
    <row r="39326" spans="1:4" x14ac:dyDescent="0.2">
      <c r="B39326" t="s">
        <v>1</v>
      </c>
      <c r="D39326" t="s">
        <v>11122</v>
      </c>
    </row>
    <row r="39327" spans="1:4" x14ac:dyDescent="0.2">
      <c r="B39327" t="s">
        <v>10429</v>
      </c>
      <c r="C39327" t="s">
        <v>113</v>
      </c>
      <c r="D39327" t="s">
        <v>17729</v>
      </c>
    </row>
    <row r="39329" spans="1:4" x14ac:dyDescent="0.2">
      <c r="A39329" t="s">
        <v>12715</v>
      </c>
      <c r="B39329" t="str">
        <f>HYPERLINK("https://lindat.mff.cuni.cz/services/teitok/pdtc10/index.php?action=vallex&amp;frame=v-w5322f1", "přitvrdit (v-w5322f1) - substituted with v-w5322f2_ZU")</f>
        <v>přitvrdit (v-w5322f1) - substituted with v-w5322f2_ZU</v>
      </c>
    </row>
    <row r="39330" spans="1:4" x14ac:dyDescent="0.2">
      <c r="B39330" t="s">
        <v>1</v>
      </c>
    </row>
    <row r="39331" spans="1:4" x14ac:dyDescent="0.2">
      <c r="B39331" t="s">
        <v>10429</v>
      </c>
    </row>
    <row r="39333" spans="1:4" x14ac:dyDescent="0.2">
      <c r="A39333" t="s">
        <v>12716</v>
      </c>
      <c r="B39333" t="str">
        <f>HYPERLINK("https://lindat.mff.cuni.cz/services/teitok/pdtc10/index.php?action=vallex&amp;frame=v-w5322hsa_6", "přitvrdit (v-w5322hsa_6)")</f>
        <v>přitvrdit (v-w5322hsa_6)</v>
      </c>
    </row>
    <row r="39334" spans="1:4" x14ac:dyDescent="0.2">
      <c r="B39334" t="s">
        <v>1</v>
      </c>
    </row>
    <row r="39336" spans="1:4" x14ac:dyDescent="0.2">
      <c r="A39336" t="s">
        <v>12717</v>
      </c>
      <c r="B39336" t="str">
        <f>HYPERLINK("https://lindat.mff.cuni.cz/services/teitok/pdtc10/index.php?action=vallex&amp;frame=v-w10480f3_ZU", "přitvrzovat (v-w10480f3_ZU)")</f>
        <v>přitvrzovat (v-w10480f3_ZU)</v>
      </c>
    </row>
    <row r="39337" spans="1:4" x14ac:dyDescent="0.2">
      <c r="B39337" t="s">
        <v>1</v>
      </c>
      <c r="C39337" t="s">
        <v>201</v>
      </c>
      <c r="D39337" t="s">
        <v>11122</v>
      </c>
    </row>
    <row r="39338" spans="1:4" x14ac:dyDescent="0.2">
      <c r="B39338" t="s">
        <v>10429</v>
      </c>
      <c r="D39338" t="s">
        <v>17729</v>
      </c>
    </row>
    <row r="39340" spans="1:4" x14ac:dyDescent="0.2">
      <c r="A39340" t="s">
        <v>12717</v>
      </c>
      <c r="B39340" t="str">
        <f>HYPERLINK("https://lindat.mff.cuni.cz/services/teitok/pdtc10/index.php?action=vallex&amp;frame=v-w10480f2", "přitvrzovat (v-w10480f2) - substituted with v-w10480f3_ZU")</f>
        <v>přitvrzovat (v-w10480f2) - substituted with v-w10480f3_ZU</v>
      </c>
    </row>
    <row r="39341" spans="1:4" x14ac:dyDescent="0.2">
      <c r="B39341" t="s">
        <v>1</v>
      </c>
    </row>
    <row r="39342" spans="1:4" x14ac:dyDescent="0.2">
      <c r="B39342" t="s">
        <v>10429</v>
      </c>
    </row>
    <row r="39344" spans="1:4" x14ac:dyDescent="0.2">
      <c r="A39344" t="s">
        <v>12718</v>
      </c>
      <c r="B39344" t="str">
        <f>HYPERLINK("https://lindat.mff.cuni.cz/services/teitok/pdtc10/index.php?action=vallex&amp;frame=v-w10480hsa_842", "přitvrzovat (v-w10480hsa_842)")</f>
        <v>přitvrzovat (v-w10480hsa_842)</v>
      </c>
    </row>
    <row r="39345" spans="1:4" x14ac:dyDescent="0.2">
      <c r="B39345" t="s">
        <v>1</v>
      </c>
    </row>
    <row r="39347" spans="1:4" x14ac:dyDescent="0.2">
      <c r="A39347" t="s">
        <v>12719</v>
      </c>
      <c r="B39347" t="str">
        <f>HYPERLINK("https://lindat.mff.cuni.cz/services/teitok/pdtc10/index.php?action=vallex&amp;frame=v-w5302f3", "přitáhnout (v-w5302f3)")</f>
        <v>přitáhnout (v-w5302f3)</v>
      </c>
    </row>
    <row r="39348" spans="1:4" x14ac:dyDescent="0.2">
      <c r="B39348" t="s">
        <v>1</v>
      </c>
    </row>
    <row r="39349" spans="1:4" x14ac:dyDescent="0.2">
      <c r="B39349" t="s">
        <v>8</v>
      </c>
    </row>
    <row r="39350" spans="1:4" x14ac:dyDescent="0.2">
      <c r="B39350" t="s">
        <v>90</v>
      </c>
    </row>
    <row r="39352" spans="1:4" x14ac:dyDescent="0.2">
      <c r="A39352" t="s">
        <v>12720</v>
      </c>
      <c r="B39352" t="str">
        <f>HYPERLINK("https://lindat.mff.cuni.cz/services/teitok/pdtc10/index.php?action=vallex&amp;frame=v-w5302f1", "přitáhnout (v-w5302f1)")</f>
        <v>přitáhnout (v-w5302f1)</v>
      </c>
    </row>
    <row r="39353" spans="1:4" x14ac:dyDescent="0.2">
      <c r="B39353" t="s">
        <v>1</v>
      </c>
      <c r="C39353" t="s">
        <v>12721</v>
      </c>
      <c r="D39353" t="s">
        <v>23742</v>
      </c>
    </row>
    <row r="39354" spans="1:4" x14ac:dyDescent="0.2">
      <c r="B39354" t="s">
        <v>8</v>
      </c>
      <c r="C39354" t="s">
        <v>12722</v>
      </c>
      <c r="D39354" t="s">
        <v>56</v>
      </c>
    </row>
    <row r="39356" spans="1:4" x14ac:dyDescent="0.2">
      <c r="A39356" t="s">
        <v>12723</v>
      </c>
      <c r="B39356" t="str">
        <f>HYPERLINK("https://lindat.mff.cuni.cz/services/teitok/pdtc10/index.php?action=vallex&amp;frame=v-w5302f2", "přitáhnout (v-w5302f2)")</f>
        <v>přitáhnout (v-w5302f2)</v>
      </c>
    </row>
    <row r="39357" spans="1:4" x14ac:dyDescent="0.2">
      <c r="B39357" t="s">
        <v>1</v>
      </c>
    </row>
    <row r="39358" spans="1:4" x14ac:dyDescent="0.2">
      <c r="B39358" t="s">
        <v>8</v>
      </c>
    </row>
    <row r="39360" spans="1:4" x14ac:dyDescent="0.2">
      <c r="A39360" t="s">
        <v>12724</v>
      </c>
      <c r="B39360" t="str">
        <f>HYPERLINK("https://lindat.mff.cuni.cz/services/teitok/pdtc10/index.php?action=vallex&amp;frame=v-w5302hsa_448", "přitáhnout (v-w5302hsa_448)")</f>
        <v>přitáhnout (v-w5302hsa_448)</v>
      </c>
    </row>
    <row r="39361" spans="1:4" x14ac:dyDescent="0.2">
      <c r="B39361" t="s">
        <v>1</v>
      </c>
      <c r="C39361" t="s">
        <v>22</v>
      </c>
      <c r="D39361" t="s">
        <v>24100</v>
      </c>
    </row>
    <row r="39362" spans="1:4" x14ac:dyDescent="0.2">
      <c r="B39362" t="s">
        <v>12725</v>
      </c>
      <c r="C39362" t="s">
        <v>12726</v>
      </c>
      <c r="D39362" t="s">
        <v>24101</v>
      </c>
    </row>
    <row r="39364" spans="1:4" x14ac:dyDescent="0.2">
      <c r="A39364" t="s">
        <v>12727</v>
      </c>
      <c r="B39364" t="str">
        <f>HYPERLINK("https://lindat.mff.cuni.cz/services/teitok/pdtc10/index.php?action=vallex&amp;frame=v-w5302f4_ZU", "přitáhnout (v-w5302f4_ZU)")</f>
        <v>přitáhnout (v-w5302f4_ZU)</v>
      </c>
    </row>
    <row r="39365" spans="1:4" x14ac:dyDescent="0.2">
      <c r="B39365" t="s">
        <v>1</v>
      </c>
    </row>
    <row r="39366" spans="1:4" x14ac:dyDescent="0.2">
      <c r="B39366" t="s">
        <v>12728</v>
      </c>
    </row>
    <row r="39367" spans="1:4" x14ac:dyDescent="0.2">
      <c r="B39367" t="s">
        <v>103</v>
      </c>
    </row>
    <row r="39369" spans="1:4" x14ac:dyDescent="0.2">
      <c r="A39369" t="s">
        <v>12727</v>
      </c>
      <c r="B39369" t="str">
        <f>HYPERLINK("https://lindat.mff.cuni.cz/services/teitok/pdtc10/index.php?action=vallex&amp;frame=v-w5302hsa_449", "přitáhnout (v-w5302hsa_449) - substituted with v-w5302f4_ZU")</f>
        <v>přitáhnout (v-w5302hsa_449) - substituted with v-w5302f4_ZU</v>
      </c>
    </row>
    <row r="39370" spans="1:4" x14ac:dyDescent="0.2">
      <c r="B39370" t="s">
        <v>1</v>
      </c>
    </row>
    <row r="39371" spans="1:4" x14ac:dyDescent="0.2">
      <c r="B39371" t="s">
        <v>12728</v>
      </c>
    </row>
    <row r="39372" spans="1:4" x14ac:dyDescent="0.2">
      <c r="B39372" t="s">
        <v>103</v>
      </c>
    </row>
    <row r="39374" spans="1:4" x14ac:dyDescent="0.2">
      <c r="A39374" t="s">
        <v>12729</v>
      </c>
      <c r="B39374" t="str">
        <f>HYPERLINK("https://lindat.mff.cuni.cz/services/teitok/pdtc10/index.php?action=vallex&amp;frame=v-w5308f1", "přitéci (v-w5308f1)")</f>
        <v>přitéci (v-w5308f1)</v>
      </c>
    </row>
    <row r="39375" spans="1:4" x14ac:dyDescent="0.2">
      <c r="B39375" t="s">
        <v>1</v>
      </c>
      <c r="D39375" t="s">
        <v>23219</v>
      </c>
    </row>
    <row r="39376" spans="1:4" x14ac:dyDescent="0.2">
      <c r="B39376" t="s">
        <v>90</v>
      </c>
      <c r="D39376" t="s">
        <v>23108</v>
      </c>
    </row>
    <row r="39378" spans="1:3" x14ac:dyDescent="0.2">
      <c r="A39378" t="s">
        <v>12730</v>
      </c>
      <c r="B39378" t="str">
        <f>HYPERLINK("https://lindat.mff.cuni.cz/services/teitok/pdtc10/index.php?action=vallex&amp;frame=v-w5309f1", "přitékat (v-w5309f1)")</f>
        <v>přitékat (v-w5309f1)</v>
      </c>
    </row>
    <row r="39379" spans="1:3" x14ac:dyDescent="0.2">
      <c r="B39379" t="s">
        <v>1</v>
      </c>
      <c r="C39379" t="s">
        <v>201</v>
      </c>
    </row>
    <row r="39380" spans="1:3" x14ac:dyDescent="0.2">
      <c r="B39380" t="s">
        <v>90</v>
      </c>
    </row>
    <row r="39382" spans="1:3" x14ac:dyDescent="0.2">
      <c r="A39382" t="s">
        <v>12731</v>
      </c>
      <c r="B39382" t="str">
        <f>HYPERLINK("https://lindat.mff.cuni.cz/services/teitok/pdtc10/index.php?action=vallex&amp;frame=v-w5312f1", "přitížit (v-w5312f1)")</f>
        <v>přitížit (v-w5312f1)</v>
      </c>
    </row>
    <row r="39383" spans="1:3" x14ac:dyDescent="0.2">
      <c r="B39383" t="s">
        <v>1</v>
      </c>
    </row>
    <row r="39384" spans="1:3" x14ac:dyDescent="0.2">
      <c r="B39384" t="s">
        <v>103</v>
      </c>
    </row>
    <row r="39386" spans="1:3" x14ac:dyDescent="0.2">
      <c r="A39386" t="s">
        <v>12732</v>
      </c>
      <c r="B39386" t="str">
        <f>HYPERLINK("https://lindat.mff.cuni.cz/services/teitok/pdtc10/index.php?action=vallex&amp;frame=v-w5313f1", "přitížit se (v-w5313f1)")</f>
        <v>přitížit se (v-w5313f1)</v>
      </c>
    </row>
    <row r="39387" spans="1:3" x14ac:dyDescent="0.2">
      <c r="B39387" t="s">
        <v>455</v>
      </c>
    </row>
    <row r="39389" spans="1:3" x14ac:dyDescent="0.2">
      <c r="A39389" t="s">
        <v>12733</v>
      </c>
      <c r="B39389" t="str">
        <f>HYPERLINK("https://lindat.mff.cuni.cz/services/teitok/pdtc10/index.php?action=vallex&amp;frame=v-w5311f1", "přitěžovat (v-w5311f1)")</f>
        <v>přitěžovat (v-w5311f1)</v>
      </c>
    </row>
    <row r="39390" spans="1:3" x14ac:dyDescent="0.2">
      <c r="B39390" t="s">
        <v>1</v>
      </c>
    </row>
    <row r="39391" spans="1:3" x14ac:dyDescent="0.2">
      <c r="B39391" t="s">
        <v>103</v>
      </c>
    </row>
    <row r="39393" spans="1:4" x14ac:dyDescent="0.2">
      <c r="A39393" t="s">
        <v>12734</v>
      </c>
      <c r="B39393" t="str">
        <f>HYPERLINK("https://lindat.mff.cuni.cz/services/teitok/pdtc10/index.php?action=vallex&amp;frame=v-w12174_ZUf1_ZU", "přiupravit (v-w12174_ZUf1_ZU)")</f>
        <v>přiupravit (v-w12174_ZUf1_ZU)</v>
      </c>
    </row>
    <row r="39394" spans="1:4" x14ac:dyDescent="0.2">
      <c r="B39394" t="s">
        <v>1</v>
      </c>
    </row>
    <row r="39395" spans="1:4" x14ac:dyDescent="0.2">
      <c r="B39395" t="s">
        <v>8</v>
      </c>
    </row>
    <row r="39397" spans="1:4" x14ac:dyDescent="0.2">
      <c r="A39397" t="s">
        <v>12735</v>
      </c>
      <c r="B39397" t="str">
        <f>HYPERLINK("https://lindat.mff.cuni.cz/services/teitok/pdtc10/index.php?action=vallex&amp;frame=v-w5325f1", "přiučit se (v-w5325f1)")</f>
        <v>přiučit se (v-w5325f1)</v>
      </c>
    </row>
    <row r="39398" spans="1:4" x14ac:dyDescent="0.2">
      <c r="B39398" t="s">
        <v>1</v>
      </c>
      <c r="C39398" t="s">
        <v>1992</v>
      </c>
      <c r="D39398" t="s">
        <v>9234</v>
      </c>
    </row>
    <row r="39399" spans="1:4" x14ac:dyDescent="0.2">
      <c r="B39399" t="s">
        <v>2196</v>
      </c>
      <c r="C39399" t="s">
        <v>2253</v>
      </c>
      <c r="D39399" t="s">
        <v>23186</v>
      </c>
    </row>
    <row r="39400" spans="1:4" x14ac:dyDescent="0.2">
      <c r="B39400" t="s">
        <v>321</v>
      </c>
      <c r="C39400" t="s">
        <v>2079</v>
      </c>
      <c r="D39400" t="s">
        <v>2915</v>
      </c>
    </row>
    <row r="39402" spans="1:4" x14ac:dyDescent="0.2">
      <c r="A39402" t="s">
        <v>12736</v>
      </c>
      <c r="B39402" t="str">
        <f>HYPERLINK("https://lindat.mff.cuni.cz/services/teitok/pdtc10/index.php?action=vallex&amp;frame=v-whsa_1493hsa_1494", "přivařit (v-whsa_1493hsa_1494)")</f>
        <v>přivařit (v-whsa_1493hsa_1494)</v>
      </c>
    </row>
    <row r="39403" spans="1:4" x14ac:dyDescent="0.2">
      <c r="B39403" t="s">
        <v>1</v>
      </c>
    </row>
    <row r="39404" spans="1:4" x14ac:dyDescent="0.2">
      <c r="B39404" t="s">
        <v>8</v>
      </c>
    </row>
    <row r="39405" spans="1:4" x14ac:dyDescent="0.2">
      <c r="B39405" t="s">
        <v>90</v>
      </c>
    </row>
    <row r="39407" spans="1:4" x14ac:dyDescent="0.2">
      <c r="A39407" t="s">
        <v>12737</v>
      </c>
      <c r="B39407" t="str">
        <f>HYPERLINK("https://lindat.mff.cuni.cz/services/teitok/pdtc10/index.php?action=vallex&amp;frame=v-whsa_1658f1_ZU", "přivdat se (v-whsa_1658f1_ZU)")</f>
        <v>přivdat se (v-whsa_1658f1_ZU)</v>
      </c>
    </row>
    <row r="39408" spans="1:4" x14ac:dyDescent="0.2">
      <c r="B39408" t="s">
        <v>1</v>
      </c>
    </row>
    <row r="39409" spans="1:4" x14ac:dyDescent="0.2">
      <c r="B39409" t="s">
        <v>1382</v>
      </c>
    </row>
    <row r="39410" spans="1:4" x14ac:dyDescent="0.2">
      <c r="B39410" t="s">
        <v>90</v>
      </c>
    </row>
    <row r="39412" spans="1:4" x14ac:dyDescent="0.2">
      <c r="A39412" t="s">
        <v>12737</v>
      </c>
      <c r="B39412" t="str">
        <f>HYPERLINK("https://lindat.mff.cuni.cz/services/teitok/pdtc10/index.php?action=vallex&amp;frame=v-whsa_1658hsa_1659", "přivdat se (v-whsa_1658hsa_1659) - substituted with v-whsa_1658f1_ZU")</f>
        <v>přivdat se (v-whsa_1658hsa_1659) - substituted with v-whsa_1658f1_ZU</v>
      </c>
    </row>
    <row r="39413" spans="1:4" x14ac:dyDescent="0.2">
      <c r="B39413" t="s">
        <v>1</v>
      </c>
    </row>
    <row r="39414" spans="1:4" x14ac:dyDescent="0.2">
      <c r="B39414" t="s">
        <v>1382</v>
      </c>
    </row>
    <row r="39415" spans="1:4" x14ac:dyDescent="0.2">
      <c r="B39415" t="s">
        <v>90</v>
      </c>
    </row>
    <row r="39417" spans="1:4" x14ac:dyDescent="0.2">
      <c r="A39417" t="s">
        <v>12738</v>
      </c>
      <c r="B39417" t="str">
        <f>HYPERLINK("https://lindat.mff.cuni.cz/services/teitok/pdtc10/index.php?action=vallex&amp;frame=v-w5332f1", "přivlastnit si (v-w5332f1)")</f>
        <v>přivlastnit si (v-w5332f1)</v>
      </c>
    </row>
    <row r="39418" spans="1:4" x14ac:dyDescent="0.2">
      <c r="B39418" t="s">
        <v>1</v>
      </c>
      <c r="C39418" t="s">
        <v>249</v>
      </c>
      <c r="D39418" t="s">
        <v>294</v>
      </c>
    </row>
    <row r="39419" spans="1:4" x14ac:dyDescent="0.2">
      <c r="B39419" t="s">
        <v>8</v>
      </c>
      <c r="C39419" t="s">
        <v>84</v>
      </c>
      <c r="D39419" t="s">
        <v>6566</v>
      </c>
    </row>
    <row r="39421" spans="1:4" x14ac:dyDescent="0.2">
      <c r="A39421" t="s">
        <v>12739</v>
      </c>
      <c r="B39421" t="str">
        <f>HYPERLINK("https://lindat.mff.cuni.cz/services/teitok/pdtc10/index.php?action=vallex&amp;frame=v-w5333f2_ZU", "přivlastňovat si (v-w5333f2_ZU)")</f>
        <v>přivlastňovat si (v-w5333f2_ZU)</v>
      </c>
    </row>
    <row r="39422" spans="1:4" x14ac:dyDescent="0.2">
      <c r="B39422" t="s">
        <v>1</v>
      </c>
    </row>
    <row r="39423" spans="1:4" x14ac:dyDescent="0.2">
      <c r="B39423" t="s">
        <v>8</v>
      </c>
    </row>
    <row r="39425" spans="1:4" x14ac:dyDescent="0.2">
      <c r="A39425" t="s">
        <v>12739</v>
      </c>
      <c r="B39425" t="str">
        <f>HYPERLINK("https://lindat.mff.cuni.cz/services/teitok/pdtc10/index.php?action=vallex&amp;frame=v-w5333f1", "přivlastňovat si (v-w5333f1) - substituted with v-w5333f2_ZU")</f>
        <v>přivlastňovat si (v-w5333f1) - substituted with v-w5333f2_ZU</v>
      </c>
    </row>
    <row r="39426" spans="1:4" x14ac:dyDescent="0.2">
      <c r="B39426" t="s">
        <v>1</v>
      </c>
    </row>
    <row r="39427" spans="1:4" x14ac:dyDescent="0.2">
      <c r="B39427" t="s">
        <v>8</v>
      </c>
    </row>
    <row r="39429" spans="1:4" x14ac:dyDescent="0.2">
      <c r="A39429" t="s">
        <v>12740</v>
      </c>
      <c r="B39429" t="str">
        <f>HYPERLINK("https://lindat.mff.cuni.cz/services/teitok/pdtc10/index.php?action=vallex&amp;frame=v-w5335f1", "přivodit (v-w5335f1)")</f>
        <v>přivodit (v-w5335f1)</v>
      </c>
    </row>
    <row r="39430" spans="1:4" x14ac:dyDescent="0.2">
      <c r="B39430" t="s">
        <v>1</v>
      </c>
      <c r="C39430" t="s">
        <v>1581</v>
      </c>
      <c r="D39430" t="s">
        <v>23017</v>
      </c>
    </row>
    <row r="39431" spans="1:4" x14ac:dyDescent="0.2">
      <c r="B39431" t="s">
        <v>8</v>
      </c>
      <c r="C39431" t="s">
        <v>12741</v>
      </c>
      <c r="D39431" t="s">
        <v>23498</v>
      </c>
    </row>
    <row r="39432" spans="1:4" x14ac:dyDescent="0.2">
      <c r="B39432" t="s">
        <v>35</v>
      </c>
      <c r="C39432" t="s">
        <v>12430</v>
      </c>
      <c r="D39432" t="s">
        <v>23522</v>
      </c>
    </row>
    <row r="39434" spans="1:4" x14ac:dyDescent="0.2">
      <c r="A39434" t="s">
        <v>12742</v>
      </c>
      <c r="B39434" t="str">
        <f>HYPERLINK("https://lindat.mff.cuni.cz/services/teitok/pdtc10/index.php?action=vallex&amp;frame=v-w5336f1", "přivolat (v-w5336f1)")</f>
        <v>přivolat (v-w5336f1)</v>
      </c>
    </row>
    <row r="39435" spans="1:4" x14ac:dyDescent="0.2">
      <c r="B39435" t="s">
        <v>1</v>
      </c>
    </row>
    <row r="39436" spans="1:4" x14ac:dyDescent="0.2">
      <c r="B39436" t="s">
        <v>8</v>
      </c>
    </row>
    <row r="39438" spans="1:4" x14ac:dyDescent="0.2">
      <c r="A39438" t="s">
        <v>12743</v>
      </c>
      <c r="B39438" t="str">
        <f>HYPERLINK("https://lindat.mff.cuni.cz/services/teitok/pdtc10/index.php?action=vallex&amp;frame=v-w5338f1", "přivolit (v-w5338f1)")</f>
        <v>přivolit (v-w5338f1)</v>
      </c>
    </row>
    <row r="39439" spans="1:4" x14ac:dyDescent="0.2">
      <c r="B39439" t="s">
        <v>1</v>
      </c>
    </row>
    <row r="39440" spans="1:4" x14ac:dyDescent="0.2">
      <c r="B39440" t="s">
        <v>198</v>
      </c>
    </row>
    <row r="39442" spans="1:2" x14ac:dyDescent="0.2">
      <c r="A39442" t="s">
        <v>12744</v>
      </c>
      <c r="B39442" t="str">
        <f>HYPERLINK("https://lindat.mff.cuni.cz/services/teitok/pdtc10/index.php?action=vallex&amp;frame=v-w11947_ZUf2_ZU", "přivonět (v-w11947_ZUf2_ZU)")</f>
        <v>přivonět (v-w11947_ZUf2_ZU)</v>
      </c>
    </row>
    <row r="39443" spans="1:2" x14ac:dyDescent="0.2">
      <c r="B39443" t="s">
        <v>1</v>
      </c>
    </row>
    <row r="39444" spans="1:2" x14ac:dyDescent="0.2">
      <c r="B39444" t="s">
        <v>176</v>
      </c>
    </row>
    <row r="39446" spans="1:2" x14ac:dyDescent="0.2">
      <c r="A39446" t="s">
        <v>12744</v>
      </c>
      <c r="B39446" t="str">
        <f>HYPERLINK("https://lindat.mff.cuni.cz/services/teitok/pdtc10/index.php?action=vallex&amp;frame=v-w11947_ZUf1_ZU", "přivonět (v-w11947_ZUf1_ZU) - substituted with v-w11947_ZUf2_ZU")</f>
        <v>přivonět (v-w11947_ZUf1_ZU) - substituted with v-w11947_ZUf2_ZU</v>
      </c>
    </row>
    <row r="39447" spans="1:2" x14ac:dyDescent="0.2">
      <c r="B39447" t="s">
        <v>1</v>
      </c>
    </row>
    <row r="39448" spans="1:2" x14ac:dyDescent="0.2">
      <c r="B39448" t="s">
        <v>176</v>
      </c>
    </row>
    <row r="39450" spans="1:2" x14ac:dyDescent="0.2">
      <c r="A39450" t="s">
        <v>12745</v>
      </c>
      <c r="B39450" t="str">
        <f>HYPERLINK("https://lindat.mff.cuni.cz/services/teitok/pdtc10/index.php?action=vallex&amp;frame=v-w5340f1", "přivrhnout (v-w5340f1)")</f>
        <v>přivrhnout (v-w5340f1)</v>
      </c>
    </row>
    <row r="39451" spans="1:2" x14ac:dyDescent="0.2">
      <c r="B39451" t="s">
        <v>1</v>
      </c>
    </row>
    <row r="39452" spans="1:2" x14ac:dyDescent="0.2">
      <c r="B39452" t="s">
        <v>8</v>
      </c>
    </row>
    <row r="39453" spans="1:2" x14ac:dyDescent="0.2">
      <c r="B39453" t="s">
        <v>35</v>
      </c>
    </row>
    <row r="39455" spans="1:2" x14ac:dyDescent="0.2">
      <c r="A39455" t="s">
        <v>12746</v>
      </c>
      <c r="B39455" t="str">
        <f>HYPERLINK("https://lindat.mff.cuni.cz/services/teitok/pdtc10/index.php?action=vallex&amp;frame=v-w11715_ZUf1_ZU", "přivydělat (v-w11715_ZUf1_ZU)")</f>
        <v>přivydělat (v-w11715_ZUf1_ZU)</v>
      </c>
    </row>
    <row r="39456" spans="1:2" x14ac:dyDescent="0.2">
      <c r="B39456" t="s">
        <v>1</v>
      </c>
    </row>
    <row r="39457" spans="1:2" x14ac:dyDescent="0.2">
      <c r="B39457" t="s">
        <v>8</v>
      </c>
    </row>
    <row r="39458" spans="1:2" x14ac:dyDescent="0.2">
      <c r="B39458" t="s">
        <v>442</v>
      </c>
    </row>
    <row r="39460" spans="1:2" x14ac:dyDescent="0.2">
      <c r="A39460" t="s">
        <v>12747</v>
      </c>
      <c r="B39460" t="str">
        <f>HYPERLINK("https://lindat.mff.cuni.cz/services/teitok/pdtc10/index.php?action=vallex&amp;frame=v-w5343f1", "přivydělat si (v-w5343f1)")</f>
        <v>přivydělat si (v-w5343f1)</v>
      </c>
    </row>
    <row r="39461" spans="1:2" x14ac:dyDescent="0.2">
      <c r="B39461" t="s">
        <v>1</v>
      </c>
    </row>
    <row r="39462" spans="1:2" x14ac:dyDescent="0.2">
      <c r="B39462" t="s">
        <v>8</v>
      </c>
    </row>
    <row r="39463" spans="1:2" x14ac:dyDescent="0.2">
      <c r="B39463" t="s">
        <v>442</v>
      </c>
    </row>
    <row r="39465" spans="1:2" x14ac:dyDescent="0.2">
      <c r="A39465" t="s">
        <v>12748</v>
      </c>
      <c r="B39465" t="str">
        <f>HYPERLINK("https://lindat.mff.cuni.cz/services/teitok/pdtc10/index.php?action=vallex&amp;frame=v-w12255_ZUf1_ZU", "přivydělávat (v-w12255_ZUf1_ZU)")</f>
        <v>přivydělávat (v-w12255_ZUf1_ZU)</v>
      </c>
    </row>
    <row r="39466" spans="1:2" x14ac:dyDescent="0.2">
      <c r="B39466" t="s">
        <v>1</v>
      </c>
    </row>
    <row r="39467" spans="1:2" x14ac:dyDescent="0.2">
      <c r="B39467" t="s">
        <v>8</v>
      </c>
    </row>
    <row r="39469" spans="1:2" x14ac:dyDescent="0.2">
      <c r="A39469" t="s">
        <v>12749</v>
      </c>
      <c r="B39469" t="str">
        <f>HYPERLINK("https://lindat.mff.cuni.cz/services/teitok/pdtc10/index.php?action=vallex&amp;frame=v-w5344f1", "přivydělávat si (v-w5344f1)")</f>
        <v>přivydělávat si (v-w5344f1)</v>
      </c>
    </row>
    <row r="39470" spans="1:2" x14ac:dyDescent="0.2">
      <c r="B39470" t="s">
        <v>1</v>
      </c>
    </row>
    <row r="39471" spans="1:2" x14ac:dyDescent="0.2">
      <c r="B39471" t="s">
        <v>8</v>
      </c>
    </row>
    <row r="39472" spans="1:2" x14ac:dyDescent="0.2">
      <c r="B39472" t="s">
        <v>442</v>
      </c>
    </row>
    <row r="39474" spans="1:4" x14ac:dyDescent="0.2">
      <c r="A39474" t="s">
        <v>12750</v>
      </c>
      <c r="B39474" t="str">
        <f>HYPERLINK("https://lindat.mff.cuni.cz/services/teitok/pdtc10/index.php?action=vallex&amp;frame=v-w5345f1", "přivyknout (v-w5345f1)")</f>
        <v>přivyknout (v-w5345f1)</v>
      </c>
    </row>
    <row r="39475" spans="1:4" x14ac:dyDescent="0.2">
      <c r="B39475" t="s">
        <v>1</v>
      </c>
      <c r="C39475" t="s">
        <v>249</v>
      </c>
      <c r="D39475" t="s">
        <v>24102</v>
      </c>
    </row>
    <row r="39476" spans="1:4" x14ac:dyDescent="0.2">
      <c r="B39476" t="s">
        <v>12751</v>
      </c>
      <c r="C39476" t="s">
        <v>2902</v>
      </c>
      <c r="D39476" t="s">
        <v>24103</v>
      </c>
    </row>
    <row r="39478" spans="1:4" x14ac:dyDescent="0.2">
      <c r="A39478" t="s">
        <v>12752</v>
      </c>
      <c r="B39478" t="str">
        <f>HYPERLINK("https://lindat.mff.cuni.cz/services/teitok/pdtc10/index.php?action=vallex&amp;frame=v-w10096f2", "přivábit (v-w10096f2)")</f>
        <v>přivábit (v-w10096f2)</v>
      </c>
    </row>
    <row r="39479" spans="1:4" x14ac:dyDescent="0.2">
      <c r="B39479" t="s">
        <v>1</v>
      </c>
    </row>
    <row r="39480" spans="1:4" x14ac:dyDescent="0.2">
      <c r="B39480" t="s">
        <v>8</v>
      </c>
    </row>
    <row r="39481" spans="1:4" x14ac:dyDescent="0.2">
      <c r="B39481" t="s">
        <v>90</v>
      </c>
    </row>
    <row r="39483" spans="1:4" x14ac:dyDescent="0.2">
      <c r="A39483" t="s">
        <v>12753</v>
      </c>
      <c r="B39483" t="str">
        <f>HYPERLINK("https://lindat.mff.cuni.cz/services/teitok/pdtc10/index.php?action=vallex&amp;frame=v-w5326f4", "přivádět (v-w5326f4)")</f>
        <v>přivádět (v-w5326f4)</v>
      </c>
    </row>
    <row r="39484" spans="1:4" x14ac:dyDescent="0.2">
      <c r="B39484" t="s">
        <v>1</v>
      </c>
      <c r="C39484" t="s">
        <v>2787</v>
      </c>
      <c r="D39484" t="s">
        <v>23152</v>
      </c>
    </row>
    <row r="39485" spans="1:4" x14ac:dyDescent="0.2">
      <c r="B39485" t="s">
        <v>7943</v>
      </c>
      <c r="C39485" t="s">
        <v>12754</v>
      </c>
      <c r="D39485" t="s">
        <v>23153</v>
      </c>
    </row>
    <row r="39486" spans="1:4" x14ac:dyDescent="0.2">
      <c r="B39486" t="s">
        <v>58</v>
      </c>
      <c r="C39486" t="s">
        <v>12755</v>
      </c>
      <c r="D39486" t="s">
        <v>23154</v>
      </c>
    </row>
    <row r="39488" spans="1:4" x14ac:dyDescent="0.2">
      <c r="A39488" t="s">
        <v>12756</v>
      </c>
      <c r="B39488" t="str">
        <f>HYPERLINK("https://lindat.mff.cuni.cz/services/teitok/pdtc10/index.php?action=vallex&amp;frame=v-w5326f2", "přivádět (v-w5326f2)")</f>
        <v>přivádět (v-w5326f2)</v>
      </c>
    </row>
    <row r="39489" spans="1:4" x14ac:dyDescent="0.2">
      <c r="B39489" t="s">
        <v>1</v>
      </c>
      <c r="C39489" t="s">
        <v>3307</v>
      </c>
      <c r="D39489" t="s">
        <v>13976</v>
      </c>
    </row>
    <row r="39490" spans="1:4" x14ac:dyDescent="0.2">
      <c r="B39490" t="s">
        <v>8</v>
      </c>
      <c r="C39490" t="s">
        <v>5674</v>
      </c>
      <c r="D39490" t="s">
        <v>10414</v>
      </c>
    </row>
    <row r="39491" spans="1:4" x14ac:dyDescent="0.2">
      <c r="B39491" t="s">
        <v>205</v>
      </c>
      <c r="C39491" t="s">
        <v>12757</v>
      </c>
      <c r="D39491" t="s">
        <v>23197</v>
      </c>
    </row>
    <row r="39493" spans="1:4" x14ac:dyDescent="0.2">
      <c r="A39493" t="s">
        <v>12758</v>
      </c>
      <c r="B39493" t="str">
        <f>HYPERLINK("https://lindat.mff.cuni.cz/services/teitok/pdtc10/index.php?action=vallex&amp;frame=v-w5326f1", "přivádět (v-w5326f1)")</f>
        <v>přivádět (v-w5326f1)</v>
      </c>
    </row>
    <row r="39494" spans="1:4" x14ac:dyDescent="0.2">
      <c r="B39494" t="s">
        <v>1</v>
      </c>
      <c r="C39494" t="s">
        <v>12759</v>
      </c>
      <c r="D39494" t="s">
        <v>23691</v>
      </c>
    </row>
    <row r="39495" spans="1:4" x14ac:dyDescent="0.2">
      <c r="B39495" t="s">
        <v>8</v>
      </c>
      <c r="C39495" t="s">
        <v>12760</v>
      </c>
      <c r="D39495" t="s">
        <v>23692</v>
      </c>
    </row>
    <row r="39496" spans="1:4" x14ac:dyDescent="0.2">
      <c r="B39496" t="s">
        <v>90</v>
      </c>
      <c r="D39496" t="s">
        <v>1466</v>
      </c>
    </row>
    <row r="39498" spans="1:4" x14ac:dyDescent="0.2">
      <c r="A39498" t="s">
        <v>12761</v>
      </c>
      <c r="B39498" t="str">
        <f>HYPERLINK("https://lindat.mff.cuni.cz/services/teitok/pdtc10/index.php?action=vallex&amp;frame=v-w5326f3", "přivádět (v-w5326f3)")</f>
        <v>přivádět (v-w5326f3)</v>
      </c>
    </row>
    <row r="39499" spans="1:4" x14ac:dyDescent="0.2">
      <c r="B39499" t="s">
        <v>1</v>
      </c>
    </row>
    <row r="39500" spans="1:4" x14ac:dyDescent="0.2">
      <c r="B39500" t="s">
        <v>12075</v>
      </c>
    </row>
    <row r="39501" spans="1:4" x14ac:dyDescent="0.2">
      <c r="B39501" t="s">
        <v>8</v>
      </c>
    </row>
    <row r="39503" spans="1:4" x14ac:dyDescent="0.2">
      <c r="A39503" t="s">
        <v>12762</v>
      </c>
      <c r="B39503" t="str">
        <f>HYPERLINK("https://lindat.mff.cuni.cz/services/teitok/pdtc10/index.php?action=vallex&amp;frame=v-w10654f2", "přivázat (v-w10654f2)")</f>
        <v>přivázat (v-w10654f2)</v>
      </c>
    </row>
    <row r="39504" spans="1:4" x14ac:dyDescent="0.2">
      <c r="B39504" t="s">
        <v>1</v>
      </c>
      <c r="D39504" t="s">
        <v>83</v>
      </c>
    </row>
    <row r="39505" spans="1:4" x14ac:dyDescent="0.2">
      <c r="B39505" t="s">
        <v>8</v>
      </c>
      <c r="D39505" t="s">
        <v>8366</v>
      </c>
    </row>
    <row r="39507" spans="1:4" x14ac:dyDescent="0.2">
      <c r="A39507" t="s">
        <v>12763</v>
      </c>
      <c r="B39507" t="str">
        <f>HYPERLINK("https://lindat.mff.cuni.cz/services/teitok/pdtc10/index.php?action=vallex&amp;frame=v-w5328f1", "přivážet (v-w5328f1)")</f>
        <v>přivážet (v-w5328f1)</v>
      </c>
    </row>
    <row r="39508" spans="1:4" x14ac:dyDescent="0.2">
      <c r="B39508" t="s">
        <v>1</v>
      </c>
      <c r="C39508" t="s">
        <v>80</v>
      </c>
      <c r="D39508" t="s">
        <v>7915</v>
      </c>
    </row>
    <row r="39509" spans="1:4" x14ac:dyDescent="0.2">
      <c r="B39509" t="s">
        <v>8</v>
      </c>
      <c r="C39509" t="s">
        <v>1798</v>
      </c>
      <c r="D39509" t="s">
        <v>23119</v>
      </c>
    </row>
    <row r="39510" spans="1:4" x14ac:dyDescent="0.2">
      <c r="B39510" t="s">
        <v>90</v>
      </c>
      <c r="D39510" t="s">
        <v>1466</v>
      </c>
    </row>
    <row r="39512" spans="1:4" x14ac:dyDescent="0.2">
      <c r="A39512" t="s">
        <v>12764</v>
      </c>
      <c r="B39512" t="str">
        <f>HYPERLINK("https://lindat.mff.cuni.cz/services/teitok/pdtc10/index.php?action=vallex&amp;frame=v-w5329f3", "přivést (v-w5329f3)")</f>
        <v>přivést (v-w5329f3)</v>
      </c>
    </row>
    <row r="39513" spans="1:4" x14ac:dyDescent="0.2">
      <c r="B39513" t="s">
        <v>1</v>
      </c>
      <c r="C39513" t="s">
        <v>2168</v>
      </c>
      <c r="D39513" t="s">
        <v>23152</v>
      </c>
    </row>
    <row r="39514" spans="1:4" x14ac:dyDescent="0.2">
      <c r="B39514" t="s">
        <v>7943</v>
      </c>
      <c r="C39514" t="s">
        <v>12765</v>
      </c>
      <c r="D39514" t="s">
        <v>23153</v>
      </c>
    </row>
    <row r="39515" spans="1:4" x14ac:dyDescent="0.2">
      <c r="B39515" t="s">
        <v>58</v>
      </c>
      <c r="C39515" t="s">
        <v>12766</v>
      </c>
      <c r="D39515" t="s">
        <v>23154</v>
      </c>
    </row>
    <row r="39517" spans="1:4" x14ac:dyDescent="0.2">
      <c r="A39517" t="s">
        <v>12767</v>
      </c>
      <c r="B39517" t="str">
        <f>HYPERLINK("https://lindat.mff.cuni.cz/services/teitok/pdtc10/index.php?action=vallex&amp;frame=v-w5329f6_ZU", "přivést (v-w5329f6_ZU)")</f>
        <v>přivést (v-w5329f6_ZU)</v>
      </c>
    </row>
    <row r="39518" spans="1:4" x14ac:dyDescent="0.2">
      <c r="B39518" t="s">
        <v>1</v>
      </c>
      <c r="C39518" t="s">
        <v>12768</v>
      </c>
      <c r="D39518" t="s">
        <v>13976</v>
      </c>
    </row>
    <row r="39519" spans="1:4" x14ac:dyDescent="0.2">
      <c r="B39519" t="s">
        <v>8</v>
      </c>
      <c r="C39519" t="s">
        <v>12769</v>
      </c>
      <c r="D39519" t="s">
        <v>10414</v>
      </c>
    </row>
    <row r="39520" spans="1:4" x14ac:dyDescent="0.2">
      <c r="B39520" t="s">
        <v>205</v>
      </c>
      <c r="C39520" t="s">
        <v>12770</v>
      </c>
      <c r="D39520" t="s">
        <v>23197</v>
      </c>
    </row>
    <row r="39522" spans="1:4" x14ac:dyDescent="0.2">
      <c r="A39522" t="s">
        <v>12767</v>
      </c>
      <c r="B39522" t="str">
        <f>HYPERLINK("https://lindat.mff.cuni.cz/services/teitok/pdtc10/index.php?action=vallex&amp;frame=v-w5329f1", "přivést (v-w5329f1) - substituted with v-w5329f6_ZU")</f>
        <v>přivést (v-w5329f1) - substituted with v-w5329f6_ZU</v>
      </c>
    </row>
    <row r="39523" spans="1:4" x14ac:dyDescent="0.2">
      <c r="B39523" t="s">
        <v>1</v>
      </c>
      <c r="C39523" t="s">
        <v>12771</v>
      </c>
    </row>
    <row r="39524" spans="1:4" x14ac:dyDescent="0.2">
      <c r="B39524" t="s">
        <v>8</v>
      </c>
      <c r="C39524" t="s">
        <v>12772</v>
      </c>
    </row>
    <row r="39525" spans="1:4" x14ac:dyDescent="0.2">
      <c r="B39525" t="s">
        <v>205</v>
      </c>
      <c r="C39525" t="s">
        <v>12773</v>
      </c>
    </row>
    <row r="39527" spans="1:4" x14ac:dyDescent="0.2">
      <c r="A39527" t="s">
        <v>12774</v>
      </c>
      <c r="B39527" t="str">
        <f>HYPERLINK("https://lindat.mff.cuni.cz/services/teitok/pdtc10/index.php?action=vallex&amp;frame=v-w5329f2", "přivést (v-w5329f2)")</f>
        <v>přivést (v-w5329f2)</v>
      </c>
    </row>
    <row r="39528" spans="1:4" x14ac:dyDescent="0.2">
      <c r="B39528" t="s">
        <v>1</v>
      </c>
      <c r="C39528" t="s">
        <v>8876</v>
      </c>
      <c r="D39528" t="s">
        <v>9876</v>
      </c>
    </row>
    <row r="39529" spans="1:4" x14ac:dyDescent="0.2">
      <c r="B39529" t="s">
        <v>8</v>
      </c>
      <c r="C39529" t="s">
        <v>12775</v>
      </c>
      <c r="D39529" t="s">
        <v>23179</v>
      </c>
    </row>
    <row r="39530" spans="1:4" x14ac:dyDescent="0.2">
      <c r="B39530" t="s">
        <v>90</v>
      </c>
      <c r="C39530" t="s">
        <v>12776</v>
      </c>
      <c r="D39530" t="s">
        <v>23180</v>
      </c>
    </row>
    <row r="39532" spans="1:4" x14ac:dyDescent="0.2">
      <c r="A39532" t="s">
        <v>12777</v>
      </c>
      <c r="B39532" t="str">
        <f>HYPERLINK("https://lindat.mff.cuni.cz/services/teitok/pdtc10/index.php?action=vallex&amp;frame=v-w5329f4", "přivést (v-w5329f4)")</f>
        <v>přivést (v-w5329f4)</v>
      </c>
    </row>
    <row r="39533" spans="1:4" x14ac:dyDescent="0.2">
      <c r="B39533" t="s">
        <v>1</v>
      </c>
    </row>
    <row r="39534" spans="1:4" x14ac:dyDescent="0.2">
      <c r="B39534" t="s">
        <v>12075</v>
      </c>
    </row>
    <row r="39535" spans="1:4" x14ac:dyDescent="0.2">
      <c r="B39535" t="s">
        <v>8</v>
      </c>
    </row>
    <row r="39537" spans="1:2" x14ac:dyDescent="0.2">
      <c r="A39537" t="s">
        <v>12778</v>
      </c>
      <c r="B39537" t="str">
        <f>HYPERLINK("https://lindat.mff.cuni.cz/services/teitok/pdtc10/index.php?action=vallex&amp;frame=v-w5329f5", "přivést (v-w5329f5)")</f>
        <v>přivést (v-w5329f5)</v>
      </c>
    </row>
    <row r="39538" spans="1:2" x14ac:dyDescent="0.2">
      <c r="B39538" t="s">
        <v>1</v>
      </c>
    </row>
    <row r="39539" spans="1:2" x14ac:dyDescent="0.2">
      <c r="B39539" t="s">
        <v>3893</v>
      </c>
    </row>
    <row r="39540" spans="1:2" x14ac:dyDescent="0.2">
      <c r="B39540" t="s">
        <v>8</v>
      </c>
    </row>
    <row r="39542" spans="1:2" x14ac:dyDescent="0.2">
      <c r="A39542" t="s">
        <v>12779</v>
      </c>
      <c r="B39542" t="str">
        <f>HYPERLINK("https://lindat.mff.cuni.cz/services/teitok/pdtc10/index.php?action=vallex&amp;frame=v-w5329f7_ZU", "přivést (v-w5329f7_ZU)")</f>
        <v>přivést (v-w5329f7_ZU)</v>
      </c>
    </row>
    <row r="39543" spans="1:2" x14ac:dyDescent="0.2">
      <c r="B39543" t="s">
        <v>1</v>
      </c>
    </row>
    <row r="39544" spans="1:2" x14ac:dyDescent="0.2">
      <c r="B39544" t="s">
        <v>8</v>
      </c>
    </row>
    <row r="39545" spans="1:2" x14ac:dyDescent="0.2">
      <c r="B39545" t="s">
        <v>90</v>
      </c>
    </row>
    <row r="39547" spans="1:2" x14ac:dyDescent="0.2">
      <c r="A39547" t="s">
        <v>12780</v>
      </c>
      <c r="B39547" t="str">
        <f>HYPERLINK("https://lindat.mff.cuni.cz/services/teitok/pdtc10/index.php?action=vallex&amp;frame=v-w5329f8_ZU", "přivést (v-w5329f8_ZU)")</f>
        <v>přivést (v-w5329f8_ZU)</v>
      </c>
    </row>
    <row r="39548" spans="1:2" x14ac:dyDescent="0.2">
      <c r="B39548" t="s">
        <v>1</v>
      </c>
    </row>
    <row r="39549" spans="1:2" x14ac:dyDescent="0.2">
      <c r="B39549" t="s">
        <v>8</v>
      </c>
    </row>
    <row r="39550" spans="1:2" x14ac:dyDescent="0.2">
      <c r="B39550" t="s">
        <v>12781</v>
      </c>
    </row>
    <row r="39552" spans="1:2" x14ac:dyDescent="0.2">
      <c r="A39552" t="s">
        <v>12782</v>
      </c>
      <c r="B39552" t="str">
        <f>HYPERLINK("https://lindat.mff.cuni.cz/services/teitok/pdtc10/index.php?action=vallex&amp;frame=v-w5329f10_MM", "přivést (v-w5329f10_MM)")</f>
        <v>přivést (v-w5329f10_MM)</v>
      </c>
    </row>
    <row r="39553" spans="1:4" x14ac:dyDescent="0.2">
      <c r="B39553" t="s">
        <v>1</v>
      </c>
    </row>
    <row r="39554" spans="1:4" x14ac:dyDescent="0.2">
      <c r="B39554" t="s">
        <v>8</v>
      </c>
    </row>
    <row r="39555" spans="1:4" x14ac:dyDescent="0.2">
      <c r="B39555" t="s">
        <v>252</v>
      </c>
    </row>
    <row r="39557" spans="1:4" x14ac:dyDescent="0.2">
      <c r="A39557" t="s">
        <v>12782</v>
      </c>
      <c r="B39557" t="str">
        <f>HYPERLINK("https://lindat.mff.cuni.cz/services/teitok/pdtc10/index.php?action=vallex&amp;frame=v-w5329f9_ZU", "přivést (v-w5329f9_ZU) - substituted with v-w5329f10_MM")</f>
        <v>přivést (v-w5329f9_ZU) - substituted with v-w5329f10_MM</v>
      </c>
    </row>
    <row r="39558" spans="1:4" x14ac:dyDescent="0.2">
      <c r="B39558" t="s">
        <v>1</v>
      </c>
    </row>
    <row r="39559" spans="1:4" x14ac:dyDescent="0.2">
      <c r="B39559" t="s">
        <v>8</v>
      </c>
    </row>
    <row r="39560" spans="1:4" x14ac:dyDescent="0.2">
      <c r="B39560" t="s">
        <v>252</v>
      </c>
    </row>
    <row r="39562" spans="1:4" x14ac:dyDescent="0.2">
      <c r="A39562" t="s">
        <v>12783</v>
      </c>
      <c r="B39562" t="str">
        <f>HYPERLINK("https://lindat.mff.cuni.cz/services/teitok/pdtc10/index.php?action=vallex&amp;frame=v-w5330f2", "přivézt (v-w5330f2)")</f>
        <v>přivézt (v-w5330f2)</v>
      </c>
    </row>
    <row r="39563" spans="1:4" x14ac:dyDescent="0.2">
      <c r="B39563" t="s">
        <v>1</v>
      </c>
      <c r="C39563" t="s">
        <v>1275</v>
      </c>
      <c r="D39563" t="s">
        <v>7915</v>
      </c>
    </row>
    <row r="39564" spans="1:4" x14ac:dyDescent="0.2">
      <c r="B39564" t="s">
        <v>8</v>
      </c>
      <c r="C39564" t="s">
        <v>12784</v>
      </c>
      <c r="D39564" t="s">
        <v>23119</v>
      </c>
    </row>
    <row r="39565" spans="1:4" x14ac:dyDescent="0.2">
      <c r="B39565" t="s">
        <v>2542</v>
      </c>
      <c r="D39565" t="s">
        <v>1544</v>
      </c>
    </row>
    <row r="39567" spans="1:4" x14ac:dyDescent="0.2">
      <c r="A39567" t="s">
        <v>12785</v>
      </c>
      <c r="B39567" t="str">
        <f>HYPERLINK("https://lindat.mff.cuni.cz/services/teitok/pdtc10/index.php?action=vallex&amp;frame=v-w5330f1", "přivézt (v-w5330f1)")</f>
        <v>přivézt (v-w5330f1)</v>
      </c>
    </row>
    <row r="39568" spans="1:4" x14ac:dyDescent="0.2">
      <c r="B39568" t="s">
        <v>1</v>
      </c>
      <c r="C39568" t="s">
        <v>12786</v>
      </c>
      <c r="D39568" t="s">
        <v>9876</v>
      </c>
    </row>
    <row r="39569" spans="1:4" x14ac:dyDescent="0.2">
      <c r="B39569" t="s">
        <v>8</v>
      </c>
      <c r="C39569" t="s">
        <v>12787</v>
      </c>
      <c r="D39569" t="s">
        <v>23179</v>
      </c>
    </row>
    <row r="39570" spans="1:4" x14ac:dyDescent="0.2">
      <c r="B39570" t="s">
        <v>90</v>
      </c>
      <c r="D39570" t="s">
        <v>23180</v>
      </c>
    </row>
    <row r="39572" spans="1:4" x14ac:dyDescent="0.2">
      <c r="A39572" t="s">
        <v>12788</v>
      </c>
      <c r="B39572" t="str">
        <f>HYPERLINK("https://lindat.mff.cuni.cz/services/teitok/pdtc10/index.php?action=vallex&amp;frame=v-w5331f2", "přivítat (v-w5331f2)")</f>
        <v>přivítat (v-w5331f2)</v>
      </c>
    </row>
    <row r="39573" spans="1:4" x14ac:dyDescent="0.2">
      <c r="B39573" t="s">
        <v>1</v>
      </c>
      <c r="C39573" t="s">
        <v>230</v>
      </c>
      <c r="D39573" t="s">
        <v>990</v>
      </c>
    </row>
    <row r="39574" spans="1:4" x14ac:dyDescent="0.2">
      <c r="B39574" t="s">
        <v>12789</v>
      </c>
      <c r="C39574" t="s">
        <v>295</v>
      </c>
      <c r="D39574" t="s">
        <v>1340</v>
      </c>
    </row>
    <row r="39576" spans="1:4" x14ac:dyDescent="0.2">
      <c r="A39576" t="s">
        <v>12790</v>
      </c>
      <c r="B39576" t="str">
        <f>HYPERLINK("https://lindat.mff.cuni.cz/services/teitok/pdtc10/index.php?action=vallex&amp;frame=v-w5331f1", "přivítat (v-w5331f1)")</f>
        <v>přivítat (v-w5331f1)</v>
      </c>
    </row>
    <row r="39577" spans="1:4" x14ac:dyDescent="0.2">
      <c r="B39577" t="s">
        <v>1</v>
      </c>
      <c r="C39577" t="s">
        <v>1065</v>
      </c>
      <c r="D39577" t="s">
        <v>1566</v>
      </c>
    </row>
    <row r="39578" spans="1:4" x14ac:dyDescent="0.2">
      <c r="B39578" t="s">
        <v>8</v>
      </c>
      <c r="C39578" t="s">
        <v>4676</v>
      </c>
      <c r="D39578" t="s">
        <v>2213</v>
      </c>
    </row>
    <row r="39580" spans="1:4" x14ac:dyDescent="0.2">
      <c r="A39580" t="s">
        <v>12791</v>
      </c>
      <c r="B39580" t="str">
        <f>HYPERLINK("https://lindat.mff.cuni.cz/services/teitok/pdtc10/index.php?action=vallex&amp;frame=v-w5342f1", "přivřít (v-w5342f1)")</f>
        <v>přivřít (v-w5342f1)</v>
      </c>
    </row>
    <row r="39581" spans="1:4" x14ac:dyDescent="0.2">
      <c r="B39581" t="s">
        <v>1</v>
      </c>
    </row>
    <row r="39582" spans="1:4" x14ac:dyDescent="0.2">
      <c r="B39582" t="s">
        <v>8</v>
      </c>
    </row>
    <row r="39584" spans="1:4" x14ac:dyDescent="0.2">
      <c r="A39584" t="s">
        <v>12792</v>
      </c>
      <c r="B39584" t="str">
        <f>HYPERLINK("https://lindat.mff.cuni.cz/services/teitok/pdtc10/index.php?action=vallex&amp;frame=v-w5342f2", "přivřít (v-w5342f2)")</f>
        <v>přivřít (v-w5342f2)</v>
      </c>
    </row>
    <row r="39585" spans="1:4" x14ac:dyDescent="0.2">
      <c r="B39585" t="s">
        <v>1</v>
      </c>
    </row>
    <row r="39586" spans="1:4" x14ac:dyDescent="0.2">
      <c r="B39586" t="s">
        <v>8</v>
      </c>
      <c r="C39586" t="s">
        <v>338</v>
      </c>
    </row>
    <row r="39588" spans="1:4" x14ac:dyDescent="0.2">
      <c r="A39588" t="s">
        <v>12793</v>
      </c>
      <c r="B39588" t="str">
        <f>HYPERLINK("https://lindat.mff.cuni.cz/services/teitok/pdtc10/index.php?action=vallex&amp;frame=v-w5346f1", "přizdobit (v-w5346f1)")</f>
        <v>přizdobit (v-w5346f1)</v>
      </c>
    </row>
    <row r="39589" spans="1:4" x14ac:dyDescent="0.2">
      <c r="B39589" t="s">
        <v>1</v>
      </c>
      <c r="D39589" t="s">
        <v>430</v>
      </c>
    </row>
    <row r="39590" spans="1:4" x14ac:dyDescent="0.2">
      <c r="B39590" t="s">
        <v>8</v>
      </c>
      <c r="D39590" t="s">
        <v>335</v>
      </c>
    </row>
    <row r="39592" spans="1:4" x14ac:dyDescent="0.2">
      <c r="A39592" t="s">
        <v>12794</v>
      </c>
      <c r="B39592" t="str">
        <f>HYPERLINK("https://lindat.mff.cuni.cz/services/teitok/pdtc10/index.php?action=vallex&amp;frame=v-w5352f2", "přiznat (v-w5352f2)")</f>
        <v>přiznat (v-w5352f2)</v>
      </c>
    </row>
    <row r="39593" spans="1:4" x14ac:dyDescent="0.2">
      <c r="B39593" t="s">
        <v>1</v>
      </c>
      <c r="C39593" t="s">
        <v>12645</v>
      </c>
      <c r="D39593" t="s">
        <v>22965</v>
      </c>
    </row>
    <row r="39594" spans="1:4" x14ac:dyDescent="0.2">
      <c r="B39594" t="s">
        <v>8</v>
      </c>
      <c r="C39594" t="s">
        <v>12795</v>
      </c>
      <c r="D39594" t="s">
        <v>22966</v>
      </c>
    </row>
    <row r="39595" spans="1:4" x14ac:dyDescent="0.2">
      <c r="B39595" t="s">
        <v>35</v>
      </c>
      <c r="C39595" t="s">
        <v>12796</v>
      </c>
      <c r="D39595" t="s">
        <v>4440</v>
      </c>
    </row>
    <row r="39597" spans="1:4" x14ac:dyDescent="0.2">
      <c r="A39597" t="s">
        <v>12797</v>
      </c>
      <c r="B39597" t="str">
        <f>HYPERLINK("https://lindat.mff.cuni.cz/services/teitok/pdtc10/index.php?action=vallex&amp;frame=v-w5352f1", "přiznat (v-w5352f1)")</f>
        <v>přiznat (v-w5352f1)</v>
      </c>
    </row>
    <row r="39598" spans="1:4" x14ac:dyDescent="0.2">
      <c r="B39598" t="s">
        <v>1</v>
      </c>
      <c r="C39598" t="s">
        <v>12798</v>
      </c>
      <c r="D39598" t="s">
        <v>23213</v>
      </c>
    </row>
    <row r="39599" spans="1:4" x14ac:dyDescent="0.2">
      <c r="B39599" t="s">
        <v>12799</v>
      </c>
      <c r="C39599" t="s">
        <v>12800</v>
      </c>
      <c r="D39599" t="s">
        <v>23229</v>
      </c>
    </row>
    <row r="39600" spans="1:4" x14ac:dyDescent="0.2">
      <c r="B39600" t="s">
        <v>78</v>
      </c>
      <c r="C39600" t="s">
        <v>12801</v>
      </c>
      <c r="D39600" t="s">
        <v>4440</v>
      </c>
    </row>
    <row r="39602" spans="1:4" x14ac:dyDescent="0.2">
      <c r="A39602" t="s">
        <v>12802</v>
      </c>
      <c r="B39602" t="str">
        <f>HYPERLINK("https://lindat.mff.cuni.cz/services/teitok/pdtc10/index.php?action=vallex&amp;frame=v-w5353f2_ZU", "přiznat se (v-w5353f2_ZU)")</f>
        <v>přiznat se (v-w5353f2_ZU)</v>
      </c>
    </row>
    <row r="39603" spans="1:4" x14ac:dyDescent="0.2">
      <c r="B39603" t="s">
        <v>1</v>
      </c>
    </row>
    <row r="39604" spans="1:4" x14ac:dyDescent="0.2">
      <c r="B39604" t="s">
        <v>12803</v>
      </c>
    </row>
    <row r="39605" spans="1:4" x14ac:dyDescent="0.2">
      <c r="B39605" t="s">
        <v>78</v>
      </c>
    </row>
    <row r="39607" spans="1:4" x14ac:dyDescent="0.2">
      <c r="A39607" t="s">
        <v>12802</v>
      </c>
      <c r="B39607" t="str">
        <f>HYPERLINK("https://lindat.mff.cuni.cz/services/teitok/pdtc10/index.php?action=vallex&amp;frame=v-w5353f1", "přiznat se (v-w5353f1) - substituted with v-w5353f2_ZU")</f>
        <v>přiznat se (v-w5353f1) - substituted with v-w5353f2_ZU</v>
      </c>
    </row>
    <row r="39608" spans="1:4" x14ac:dyDescent="0.2">
      <c r="B39608" t="s">
        <v>1</v>
      </c>
      <c r="C39608" t="s">
        <v>1003</v>
      </c>
      <c r="D39608" t="s">
        <v>23213</v>
      </c>
    </row>
    <row r="39609" spans="1:4" x14ac:dyDescent="0.2">
      <c r="B39609" t="s">
        <v>12803</v>
      </c>
      <c r="C39609" t="s">
        <v>12804</v>
      </c>
      <c r="D39609" t="s">
        <v>23229</v>
      </c>
    </row>
    <row r="39610" spans="1:4" x14ac:dyDescent="0.2">
      <c r="B39610" t="s">
        <v>78</v>
      </c>
      <c r="D39610" t="s">
        <v>4440</v>
      </c>
    </row>
    <row r="39612" spans="1:4" x14ac:dyDescent="0.2">
      <c r="A39612" t="s">
        <v>12805</v>
      </c>
      <c r="B39612" t="str">
        <f>HYPERLINK("https://lindat.mff.cuni.cz/services/teitok/pdtc10/index.php?action=vallex&amp;frame=v-w5354f2", "přiznávat (v-w5354f2)")</f>
        <v>přiznávat (v-w5354f2)</v>
      </c>
    </row>
    <row r="39613" spans="1:4" x14ac:dyDescent="0.2">
      <c r="B39613" t="s">
        <v>1</v>
      </c>
    </row>
    <row r="39614" spans="1:4" x14ac:dyDescent="0.2">
      <c r="B39614" t="s">
        <v>8</v>
      </c>
    </row>
    <row r="39615" spans="1:4" x14ac:dyDescent="0.2">
      <c r="B39615" t="s">
        <v>35</v>
      </c>
    </row>
    <row r="39617" spans="1:4" x14ac:dyDescent="0.2">
      <c r="A39617" t="s">
        <v>12806</v>
      </c>
      <c r="B39617" t="str">
        <f>HYPERLINK("https://lindat.mff.cuni.cz/services/teitok/pdtc10/index.php?action=vallex&amp;frame=v-w5354f1", "přiznávat (v-w5354f1)")</f>
        <v>přiznávat (v-w5354f1)</v>
      </c>
    </row>
    <row r="39618" spans="1:4" x14ac:dyDescent="0.2">
      <c r="B39618" t="s">
        <v>1</v>
      </c>
      <c r="C39618" t="s">
        <v>12807</v>
      </c>
      <c r="D39618" t="s">
        <v>23213</v>
      </c>
    </row>
    <row r="39619" spans="1:4" x14ac:dyDescent="0.2">
      <c r="B39619" t="s">
        <v>12799</v>
      </c>
      <c r="C39619" t="s">
        <v>12808</v>
      </c>
      <c r="D39619" t="s">
        <v>23229</v>
      </c>
    </row>
    <row r="39620" spans="1:4" x14ac:dyDescent="0.2">
      <c r="B39620" t="s">
        <v>78</v>
      </c>
      <c r="C39620" t="s">
        <v>7119</v>
      </c>
      <c r="D39620" t="s">
        <v>4440</v>
      </c>
    </row>
    <row r="39622" spans="1:4" x14ac:dyDescent="0.2">
      <c r="A39622" t="s">
        <v>12809</v>
      </c>
      <c r="B39622" t="str">
        <f>HYPERLINK("https://lindat.mff.cuni.cz/services/teitok/pdtc10/index.php?action=vallex&amp;frame=v-w5355f1", "přiznávat se (v-w5355f1)")</f>
        <v>přiznávat se (v-w5355f1)</v>
      </c>
    </row>
    <row r="39623" spans="1:4" x14ac:dyDescent="0.2">
      <c r="B39623" t="s">
        <v>1</v>
      </c>
      <c r="C39623" t="s">
        <v>990</v>
      </c>
      <c r="D39623" t="s">
        <v>23213</v>
      </c>
    </row>
    <row r="39624" spans="1:4" x14ac:dyDescent="0.2">
      <c r="B39624" t="s">
        <v>2265</v>
      </c>
      <c r="C39624" t="s">
        <v>1190</v>
      </c>
      <c r="D39624" t="s">
        <v>23229</v>
      </c>
    </row>
    <row r="39625" spans="1:4" x14ac:dyDescent="0.2">
      <c r="B39625" t="s">
        <v>78</v>
      </c>
      <c r="D39625" t="s">
        <v>4440</v>
      </c>
    </row>
    <row r="39627" spans="1:4" x14ac:dyDescent="0.2">
      <c r="A39627" t="s">
        <v>12810</v>
      </c>
      <c r="B39627" t="str">
        <f>HYPERLINK("https://lindat.mff.cuni.cz/services/teitok/pdtc10/index.php?action=vallex&amp;frame=v-w5358f3_MM", "přizpůsobit (v-w5358f3_MM)")</f>
        <v>přizpůsobit (v-w5358f3_MM)</v>
      </c>
    </row>
    <row r="39628" spans="1:4" x14ac:dyDescent="0.2">
      <c r="B39628" t="s">
        <v>1</v>
      </c>
    </row>
    <row r="39629" spans="1:4" x14ac:dyDescent="0.2">
      <c r="B39629" t="s">
        <v>8</v>
      </c>
    </row>
    <row r="39630" spans="1:4" x14ac:dyDescent="0.2">
      <c r="B39630" t="s">
        <v>9699</v>
      </c>
    </row>
    <row r="39632" spans="1:4" x14ac:dyDescent="0.2">
      <c r="A39632" t="s">
        <v>12810</v>
      </c>
      <c r="B39632" t="str">
        <f>HYPERLINK("https://lindat.mff.cuni.cz/services/teitok/pdtc10/index.php?action=vallex&amp;frame=v-w5358f1", "přizpůsobit (v-w5358f1) - substituted with v-w5358f3_MM")</f>
        <v>přizpůsobit (v-w5358f1) - substituted with v-w5358f3_MM</v>
      </c>
    </row>
    <row r="39633" spans="1:4" x14ac:dyDescent="0.2">
      <c r="B39633" t="s">
        <v>1</v>
      </c>
      <c r="C39633" t="s">
        <v>12811</v>
      </c>
      <c r="D39633" t="s">
        <v>7995</v>
      </c>
    </row>
    <row r="39634" spans="1:4" x14ac:dyDescent="0.2">
      <c r="B39634" t="s">
        <v>8</v>
      </c>
      <c r="C39634" t="s">
        <v>977</v>
      </c>
      <c r="D39634" t="s">
        <v>969</v>
      </c>
    </row>
    <row r="39635" spans="1:4" x14ac:dyDescent="0.2">
      <c r="B39635" t="s">
        <v>9699</v>
      </c>
      <c r="C39635" t="s">
        <v>12812</v>
      </c>
      <c r="D39635" t="s">
        <v>24104</v>
      </c>
    </row>
    <row r="39637" spans="1:4" x14ac:dyDescent="0.2">
      <c r="A39637" t="s">
        <v>12810</v>
      </c>
      <c r="B39637" t="str">
        <f>HYPERLINK("https://lindat.mff.cuni.cz/services/teitok/pdtc10/index.php?action=vallex&amp;frame=v-w5358f2_ZU", "přizpůsobit (v-w5358f2_ZU) - substituted with v-w5358f3_MM")</f>
        <v>přizpůsobit (v-w5358f2_ZU) - substituted with v-w5358f3_MM</v>
      </c>
    </row>
    <row r="39638" spans="1:4" x14ac:dyDescent="0.2">
      <c r="B39638" t="s">
        <v>1</v>
      </c>
    </row>
    <row r="39639" spans="1:4" x14ac:dyDescent="0.2">
      <c r="B39639" t="s">
        <v>8</v>
      </c>
    </row>
    <row r="39640" spans="1:4" x14ac:dyDescent="0.2">
      <c r="B39640" t="s">
        <v>9699</v>
      </c>
    </row>
    <row r="39642" spans="1:4" x14ac:dyDescent="0.2">
      <c r="A39642" t="s">
        <v>12810</v>
      </c>
      <c r="B39642" t="str">
        <f>HYPERLINK("https://lindat.mff.cuni.cz/services/teitok/pdtc10/index.php?action=vallex&amp;frame=v-w5358hsa_209", "přizpůsobit (v-w5358hsa_209) - substituted with v-w5358f3_MM")</f>
        <v>přizpůsobit (v-w5358hsa_209) - substituted with v-w5358f3_MM</v>
      </c>
    </row>
    <row r="39643" spans="1:4" x14ac:dyDescent="0.2">
      <c r="B39643" t="s">
        <v>1</v>
      </c>
    </row>
    <row r="39644" spans="1:4" x14ac:dyDescent="0.2">
      <c r="B39644" t="s">
        <v>8</v>
      </c>
    </row>
    <row r="39645" spans="1:4" x14ac:dyDescent="0.2">
      <c r="B39645" t="s">
        <v>9699</v>
      </c>
    </row>
    <row r="39647" spans="1:4" x14ac:dyDescent="0.2">
      <c r="A39647" t="s">
        <v>12813</v>
      </c>
      <c r="B39647" t="str">
        <f>HYPERLINK("https://lindat.mff.cuni.cz/services/teitok/pdtc10/index.php?action=vallex&amp;frame=v-w5359f1", "přizpůsobit se (v-w5359f1)")</f>
        <v>přizpůsobit se (v-w5359f1)</v>
      </c>
    </row>
    <row r="39648" spans="1:4" x14ac:dyDescent="0.2">
      <c r="B39648" t="s">
        <v>1</v>
      </c>
      <c r="C39648" t="s">
        <v>12814</v>
      </c>
      <c r="D39648" t="s">
        <v>24102</v>
      </c>
    </row>
    <row r="39649" spans="1:4" x14ac:dyDescent="0.2">
      <c r="B39649" t="s">
        <v>103</v>
      </c>
      <c r="C39649" t="s">
        <v>12815</v>
      </c>
      <c r="D39649" t="s">
        <v>24103</v>
      </c>
    </row>
    <row r="39651" spans="1:4" x14ac:dyDescent="0.2">
      <c r="A39651" t="s">
        <v>12816</v>
      </c>
      <c r="B39651" t="str">
        <f>HYPERLINK("https://lindat.mff.cuni.cz/services/teitok/pdtc10/index.php?action=vallex&amp;frame=v-w5361f1", "přizpůsobovat (v-w5361f1)")</f>
        <v>přizpůsobovat (v-w5361f1)</v>
      </c>
    </row>
    <row r="39652" spans="1:4" x14ac:dyDescent="0.2">
      <c r="B39652" t="s">
        <v>1</v>
      </c>
      <c r="C39652" t="s">
        <v>12817</v>
      </c>
      <c r="D39652" t="s">
        <v>7995</v>
      </c>
    </row>
    <row r="39653" spans="1:4" x14ac:dyDescent="0.2">
      <c r="B39653" t="s">
        <v>8</v>
      </c>
      <c r="C39653" t="s">
        <v>12818</v>
      </c>
      <c r="D39653" t="s">
        <v>969</v>
      </c>
    </row>
    <row r="39654" spans="1:4" x14ac:dyDescent="0.2">
      <c r="B39654" t="s">
        <v>35</v>
      </c>
      <c r="C39654" t="s">
        <v>12819</v>
      </c>
      <c r="D39654" t="s">
        <v>24104</v>
      </c>
    </row>
    <row r="39656" spans="1:4" x14ac:dyDescent="0.2">
      <c r="A39656" t="s">
        <v>12820</v>
      </c>
      <c r="B39656" t="str">
        <f>HYPERLINK("https://lindat.mff.cuni.cz/services/teitok/pdtc10/index.php?action=vallex&amp;frame=v-w5362f1", "přizpůsobovat se (v-w5362f1)")</f>
        <v>přizpůsobovat se (v-w5362f1)</v>
      </c>
    </row>
    <row r="39657" spans="1:4" x14ac:dyDescent="0.2">
      <c r="B39657" t="s">
        <v>1</v>
      </c>
      <c r="C39657" t="s">
        <v>12821</v>
      </c>
      <c r="D39657" t="s">
        <v>24102</v>
      </c>
    </row>
    <row r="39658" spans="1:4" x14ac:dyDescent="0.2">
      <c r="B39658" t="s">
        <v>103</v>
      </c>
      <c r="C39658" t="s">
        <v>12822</v>
      </c>
      <c r="D39658" t="s">
        <v>24103</v>
      </c>
    </row>
    <row r="39660" spans="1:4" x14ac:dyDescent="0.2">
      <c r="A39660" t="s">
        <v>12823</v>
      </c>
      <c r="B39660" t="str">
        <f>HYPERLINK("https://lindat.mff.cuni.cz/services/teitok/pdtc10/index.php?action=vallex&amp;frame=v-w5364f1", "přizvat (v-w5364f1)")</f>
        <v>přizvat (v-w5364f1)</v>
      </c>
    </row>
    <row r="39661" spans="1:4" x14ac:dyDescent="0.2">
      <c r="B39661" t="s">
        <v>1</v>
      </c>
      <c r="C39661" t="s">
        <v>2571</v>
      </c>
      <c r="D39661" t="s">
        <v>990</v>
      </c>
    </row>
    <row r="39662" spans="1:4" x14ac:dyDescent="0.2">
      <c r="B39662" t="s">
        <v>8</v>
      </c>
      <c r="C39662" t="s">
        <v>338</v>
      </c>
      <c r="D39662" t="s">
        <v>2886</v>
      </c>
    </row>
    <row r="39664" spans="1:4" x14ac:dyDescent="0.2">
      <c r="A39664" t="s">
        <v>12824</v>
      </c>
      <c r="B39664" t="str">
        <f>HYPERLINK("https://lindat.mff.cuni.cz/services/teitok/pdtc10/index.php?action=vallex&amp;frame=v-whsa_222hsa_223", "přičichnout (v-whsa_222hsa_223)")</f>
        <v>přičichnout (v-whsa_222hsa_223)</v>
      </c>
    </row>
    <row r="39665" spans="1:4" x14ac:dyDescent="0.2">
      <c r="B39665" t="s">
        <v>1</v>
      </c>
    </row>
    <row r="39666" spans="1:4" x14ac:dyDescent="0.2">
      <c r="B39666" t="s">
        <v>176</v>
      </c>
    </row>
    <row r="39668" spans="1:4" x14ac:dyDescent="0.2">
      <c r="A39668" t="s">
        <v>12825</v>
      </c>
      <c r="B39668" t="str">
        <f>HYPERLINK("https://lindat.mff.cuni.cz/services/teitok/pdtc10/index.php?action=vallex&amp;frame=v-w5098f1", "přičinit se (v-w5098f1)")</f>
        <v>přičinit se (v-w5098f1)</v>
      </c>
    </row>
    <row r="39669" spans="1:4" x14ac:dyDescent="0.2">
      <c r="B39669" t="s">
        <v>1</v>
      </c>
    </row>
    <row r="39670" spans="1:4" x14ac:dyDescent="0.2">
      <c r="B39670" t="s">
        <v>12826</v>
      </c>
    </row>
    <row r="39672" spans="1:4" x14ac:dyDescent="0.2">
      <c r="A39672" t="s">
        <v>12827</v>
      </c>
      <c r="B39672" t="str">
        <f>HYPERLINK("https://lindat.mff.cuni.cz/services/teitok/pdtc10/index.php?action=vallex&amp;frame=v-w5102f1", "přičlenit (v-w5102f1)")</f>
        <v>přičlenit (v-w5102f1)</v>
      </c>
    </row>
    <row r="39673" spans="1:4" x14ac:dyDescent="0.2">
      <c r="B39673" t="s">
        <v>1</v>
      </c>
    </row>
    <row r="39674" spans="1:4" x14ac:dyDescent="0.2">
      <c r="B39674" t="s">
        <v>8</v>
      </c>
    </row>
    <row r="39675" spans="1:4" x14ac:dyDescent="0.2">
      <c r="B39675" t="s">
        <v>90</v>
      </c>
    </row>
    <row r="39677" spans="1:4" x14ac:dyDescent="0.2">
      <c r="A39677" t="s">
        <v>12828</v>
      </c>
      <c r="B39677" t="str">
        <f>HYPERLINK("https://lindat.mff.cuni.cz/services/teitok/pdtc10/index.php?action=vallex&amp;frame=v-w5099f2", "přičíst (v-w5099f2)")</f>
        <v>přičíst (v-w5099f2)</v>
      </c>
    </row>
    <row r="39678" spans="1:4" x14ac:dyDescent="0.2">
      <c r="B39678" t="s">
        <v>488</v>
      </c>
      <c r="C39678" t="s">
        <v>7313</v>
      </c>
      <c r="D39678" t="s">
        <v>6039</v>
      </c>
    </row>
    <row r="39679" spans="1:4" x14ac:dyDescent="0.2">
      <c r="B39679" t="s">
        <v>8</v>
      </c>
      <c r="C39679" t="s">
        <v>155</v>
      </c>
      <c r="D39679" t="s">
        <v>23799</v>
      </c>
    </row>
    <row r="39680" spans="1:4" x14ac:dyDescent="0.2">
      <c r="B39680" t="s">
        <v>12829</v>
      </c>
      <c r="C39680" t="s">
        <v>12635</v>
      </c>
      <c r="D39680" t="s">
        <v>23800</v>
      </c>
    </row>
    <row r="39682" spans="1:4" x14ac:dyDescent="0.2">
      <c r="A39682" t="s">
        <v>12830</v>
      </c>
      <c r="B39682" t="str">
        <f>HYPERLINK("https://lindat.mff.cuni.cz/services/teitok/pdtc10/index.php?action=vallex&amp;frame=v-w5099f1", "přičíst (v-w5099f1)")</f>
        <v>přičíst (v-w5099f1)</v>
      </c>
    </row>
    <row r="39683" spans="1:4" x14ac:dyDescent="0.2">
      <c r="B39683" t="s">
        <v>488</v>
      </c>
      <c r="C39683" t="s">
        <v>12831</v>
      </c>
      <c r="D39683" t="s">
        <v>24045</v>
      </c>
    </row>
    <row r="39684" spans="1:4" x14ac:dyDescent="0.2">
      <c r="B39684" t="s">
        <v>41</v>
      </c>
      <c r="C39684" t="s">
        <v>12087</v>
      </c>
      <c r="D39684" t="s">
        <v>24046</v>
      </c>
    </row>
    <row r="39685" spans="1:4" x14ac:dyDescent="0.2">
      <c r="B39685" t="s">
        <v>90</v>
      </c>
      <c r="C39685" t="s">
        <v>3819</v>
      </c>
      <c r="D39685" t="s">
        <v>23366</v>
      </c>
    </row>
    <row r="39687" spans="1:4" x14ac:dyDescent="0.2">
      <c r="A39687" t="s">
        <v>12832</v>
      </c>
      <c r="B39687" t="str">
        <f>HYPERLINK("https://lindat.mff.cuni.cz/services/teitok/pdtc10/index.php?action=vallex&amp;frame=v-w5100f1", "přičítat (v-w5100f1)")</f>
        <v>přičítat (v-w5100f1)</v>
      </c>
    </row>
    <row r="39688" spans="1:4" x14ac:dyDescent="0.2">
      <c r="B39688" t="s">
        <v>488</v>
      </c>
      <c r="C39688" t="s">
        <v>12833</v>
      </c>
      <c r="D39688" t="s">
        <v>6039</v>
      </c>
    </row>
    <row r="39689" spans="1:4" x14ac:dyDescent="0.2">
      <c r="B39689" t="s">
        <v>8</v>
      </c>
      <c r="C39689" t="s">
        <v>12834</v>
      </c>
      <c r="D39689" t="s">
        <v>23799</v>
      </c>
    </row>
    <row r="39690" spans="1:4" x14ac:dyDescent="0.2">
      <c r="B39690" t="s">
        <v>35</v>
      </c>
      <c r="C39690" t="s">
        <v>12835</v>
      </c>
      <c r="D39690" t="s">
        <v>23800</v>
      </c>
    </row>
    <row r="39692" spans="1:4" x14ac:dyDescent="0.2">
      <c r="A39692" t="s">
        <v>12836</v>
      </c>
      <c r="B39692" t="str">
        <f>HYPERLINK("https://lindat.mff.cuni.cz/services/teitok/pdtc10/index.php?action=vallex&amp;frame=v-w5100f2", "přičítat (v-w5100f2)")</f>
        <v>přičítat (v-w5100f2)</v>
      </c>
    </row>
    <row r="39693" spans="1:4" x14ac:dyDescent="0.2">
      <c r="B39693" t="s">
        <v>1</v>
      </c>
      <c r="C39693" t="s">
        <v>7313</v>
      </c>
    </row>
    <row r="39694" spans="1:4" x14ac:dyDescent="0.2">
      <c r="B39694" t="s">
        <v>8</v>
      </c>
      <c r="C39694" t="s">
        <v>155</v>
      </c>
    </row>
    <row r="39695" spans="1:4" x14ac:dyDescent="0.2">
      <c r="B39695" t="s">
        <v>90</v>
      </c>
      <c r="C39695" t="s">
        <v>12837</v>
      </c>
    </row>
    <row r="39697" spans="1:4" x14ac:dyDescent="0.2">
      <c r="A39697" t="s">
        <v>12838</v>
      </c>
      <c r="B39697" t="str">
        <f>HYPERLINK("https://lindat.mff.cuni.cz/services/teitok/pdtc10/index.php?action=vallex&amp;frame=v-w5254f3", "přiřadit (v-w5254f3)")</f>
        <v>přiřadit (v-w5254f3)</v>
      </c>
    </row>
    <row r="39698" spans="1:4" x14ac:dyDescent="0.2">
      <c r="B39698" t="s">
        <v>1</v>
      </c>
      <c r="C39698" t="s">
        <v>249</v>
      </c>
      <c r="D39698" t="s">
        <v>6039</v>
      </c>
    </row>
    <row r="39699" spans="1:4" x14ac:dyDescent="0.2">
      <c r="B39699" t="s">
        <v>8</v>
      </c>
      <c r="C39699" t="s">
        <v>9698</v>
      </c>
      <c r="D39699" t="s">
        <v>23799</v>
      </c>
    </row>
    <row r="39700" spans="1:4" x14ac:dyDescent="0.2">
      <c r="B39700" t="s">
        <v>35</v>
      </c>
      <c r="C39700" t="s">
        <v>6457</v>
      </c>
      <c r="D39700" t="s">
        <v>23800</v>
      </c>
    </row>
    <row r="39702" spans="1:4" x14ac:dyDescent="0.2">
      <c r="A39702" t="s">
        <v>12839</v>
      </c>
      <c r="B39702" t="str">
        <f>HYPERLINK("https://lindat.mff.cuni.cz/services/teitok/pdtc10/index.php?action=vallex&amp;frame=v-w5254f1", "přiřadit (v-w5254f1)")</f>
        <v>přiřadit (v-w5254f1)</v>
      </c>
    </row>
    <row r="39703" spans="1:4" x14ac:dyDescent="0.2">
      <c r="B39703" t="s">
        <v>1</v>
      </c>
      <c r="C39703" t="s">
        <v>373</v>
      </c>
    </row>
    <row r="39704" spans="1:4" x14ac:dyDescent="0.2">
      <c r="B39704" t="s">
        <v>8</v>
      </c>
      <c r="C39704" t="s">
        <v>125</v>
      </c>
    </row>
    <row r="39705" spans="1:4" x14ac:dyDescent="0.2">
      <c r="B39705" t="s">
        <v>90</v>
      </c>
    </row>
    <row r="39707" spans="1:4" x14ac:dyDescent="0.2">
      <c r="A39707" t="s">
        <v>12840</v>
      </c>
      <c r="B39707" t="str">
        <f>HYPERLINK("https://lindat.mff.cuni.cz/services/teitok/pdtc10/index.php?action=vallex&amp;frame=v-w5254f2", "přiřadit (v-w5254f2)")</f>
        <v>přiřadit (v-w5254f2)</v>
      </c>
    </row>
    <row r="39708" spans="1:4" x14ac:dyDescent="0.2">
      <c r="B39708" t="s">
        <v>1</v>
      </c>
    </row>
    <row r="39709" spans="1:4" x14ac:dyDescent="0.2">
      <c r="B39709" t="s">
        <v>8</v>
      </c>
    </row>
    <row r="39710" spans="1:4" x14ac:dyDescent="0.2">
      <c r="B39710" t="s">
        <v>90</v>
      </c>
    </row>
    <row r="39712" spans="1:4" x14ac:dyDescent="0.2">
      <c r="A39712" t="s">
        <v>12841</v>
      </c>
      <c r="B39712" t="str">
        <f>HYPERLINK("https://lindat.mff.cuni.cz/services/teitok/pdtc10/index.php?action=vallex&amp;frame=v-w5255f1", "přiřadit se (v-w5255f1)")</f>
        <v>přiřadit se (v-w5255f1)</v>
      </c>
    </row>
    <row r="39713" spans="1:2" x14ac:dyDescent="0.2">
      <c r="B39713" t="s">
        <v>1</v>
      </c>
    </row>
    <row r="39714" spans="1:2" x14ac:dyDescent="0.2">
      <c r="B39714" t="s">
        <v>176</v>
      </c>
    </row>
    <row r="39716" spans="1:2" x14ac:dyDescent="0.2">
      <c r="A39716" t="s">
        <v>12842</v>
      </c>
      <c r="B39716" t="str">
        <f>HYPERLINK("https://lindat.mff.cuni.cz/services/teitok/pdtc10/index.php?action=vallex&amp;frame=v-w5255f2", "přiřadit se (v-w5255f2)")</f>
        <v>přiřadit se (v-w5255f2)</v>
      </c>
    </row>
    <row r="39717" spans="1:2" x14ac:dyDescent="0.2">
      <c r="B39717" t="s">
        <v>1</v>
      </c>
    </row>
    <row r="39718" spans="1:2" x14ac:dyDescent="0.2">
      <c r="B39718" t="s">
        <v>90</v>
      </c>
    </row>
    <row r="39720" spans="1:2" x14ac:dyDescent="0.2">
      <c r="A39720" t="s">
        <v>12843</v>
      </c>
      <c r="B39720" t="str">
        <f>HYPERLINK("https://lindat.mff.cuni.cz/services/teitok/pdtc10/index.php?action=vallex&amp;frame=v-w5257f2", "přiřazovat (v-w5257f2)")</f>
        <v>přiřazovat (v-w5257f2)</v>
      </c>
    </row>
    <row r="39721" spans="1:2" x14ac:dyDescent="0.2">
      <c r="B39721" t="s">
        <v>1</v>
      </c>
    </row>
    <row r="39722" spans="1:2" x14ac:dyDescent="0.2">
      <c r="B39722" t="s">
        <v>8</v>
      </c>
    </row>
    <row r="39723" spans="1:2" x14ac:dyDescent="0.2">
      <c r="B39723" t="s">
        <v>35</v>
      </c>
    </row>
    <row r="39725" spans="1:2" x14ac:dyDescent="0.2">
      <c r="A39725" t="s">
        <v>12844</v>
      </c>
      <c r="B39725" t="str">
        <f>HYPERLINK("https://lindat.mff.cuni.cz/services/teitok/pdtc10/index.php?action=vallex&amp;frame=v-w5257f1", "přiřazovat (v-w5257f1)")</f>
        <v>přiřazovat (v-w5257f1)</v>
      </c>
    </row>
    <row r="39726" spans="1:2" x14ac:dyDescent="0.2">
      <c r="B39726" t="s">
        <v>1</v>
      </c>
    </row>
    <row r="39727" spans="1:2" x14ac:dyDescent="0.2">
      <c r="B39727" t="s">
        <v>8</v>
      </c>
    </row>
    <row r="39728" spans="1:2" x14ac:dyDescent="0.2">
      <c r="B39728" t="s">
        <v>90</v>
      </c>
    </row>
    <row r="39730" spans="1:2" x14ac:dyDescent="0.2">
      <c r="A39730" t="s">
        <v>12845</v>
      </c>
      <c r="B39730" t="str">
        <f>HYPERLINK("https://lindat.mff.cuni.cz/services/teitok/pdtc10/index.php?action=vallex&amp;frame=v-w5258f2", "přiřazovat se (v-w5258f2)")</f>
        <v>přiřazovat se (v-w5258f2)</v>
      </c>
    </row>
    <row r="39731" spans="1:2" x14ac:dyDescent="0.2">
      <c r="B39731" t="s">
        <v>1</v>
      </c>
    </row>
    <row r="39732" spans="1:2" x14ac:dyDescent="0.2">
      <c r="B39732" t="s">
        <v>176</v>
      </c>
    </row>
    <row r="39734" spans="1:2" x14ac:dyDescent="0.2">
      <c r="A39734" t="s">
        <v>12846</v>
      </c>
      <c r="B39734" t="str">
        <f>HYPERLINK("https://lindat.mff.cuni.cz/services/teitok/pdtc10/index.php?action=vallex&amp;frame=v-w5258f1", "přiřazovat se (v-w5258f1)")</f>
        <v>přiřazovat se (v-w5258f1)</v>
      </c>
    </row>
    <row r="39735" spans="1:2" x14ac:dyDescent="0.2">
      <c r="B39735" t="s">
        <v>1</v>
      </c>
    </row>
    <row r="39736" spans="1:2" x14ac:dyDescent="0.2">
      <c r="B39736" t="s">
        <v>90</v>
      </c>
    </row>
    <row r="39738" spans="1:2" x14ac:dyDescent="0.2">
      <c r="A39738" t="s">
        <v>12847</v>
      </c>
      <c r="B39738" t="str">
        <f>HYPERLINK("https://lindat.mff.cuni.cz/services/teitok/pdtc10/index.php?action=vallex&amp;frame=v-w5260f1", "přiřknout (v-w5260f1)")</f>
        <v>přiřknout (v-w5260f1)</v>
      </c>
    </row>
    <row r="39739" spans="1:2" x14ac:dyDescent="0.2">
      <c r="B39739" t="s">
        <v>1</v>
      </c>
    </row>
    <row r="39740" spans="1:2" x14ac:dyDescent="0.2">
      <c r="B39740" t="s">
        <v>41</v>
      </c>
    </row>
    <row r="39741" spans="1:2" x14ac:dyDescent="0.2">
      <c r="B39741" t="s">
        <v>35</v>
      </c>
    </row>
    <row r="39743" spans="1:2" x14ac:dyDescent="0.2">
      <c r="A39743" t="s">
        <v>12848</v>
      </c>
      <c r="B39743" t="str">
        <f>HYPERLINK("https://lindat.mff.cuni.cz/services/teitok/pdtc10/index.php?action=vallex&amp;frame=v-w5259f1", "přiřítit se (v-w5259f1)")</f>
        <v>přiřítit se (v-w5259f1)</v>
      </c>
    </row>
    <row r="39744" spans="1:2" x14ac:dyDescent="0.2">
      <c r="B39744" t="s">
        <v>1</v>
      </c>
    </row>
    <row r="39745" spans="1:4" x14ac:dyDescent="0.2">
      <c r="B39745" t="s">
        <v>90</v>
      </c>
    </row>
    <row r="39747" spans="1:4" x14ac:dyDescent="0.2">
      <c r="A39747" t="s">
        <v>12849</v>
      </c>
      <c r="B39747" t="str">
        <f>HYPERLINK("https://lindat.mff.cuni.cz/services/teitok/pdtc10/index.php?action=vallex&amp;frame=v-w10835f2", "přišroubovat (v-w10835f2)")</f>
        <v>přišroubovat (v-w10835f2)</v>
      </c>
    </row>
    <row r="39748" spans="1:4" x14ac:dyDescent="0.2">
      <c r="B39748" t="s">
        <v>1</v>
      </c>
      <c r="D39748" t="s">
        <v>370</v>
      </c>
    </row>
    <row r="39749" spans="1:4" x14ac:dyDescent="0.2">
      <c r="B39749" t="s">
        <v>8</v>
      </c>
      <c r="C39749" t="s">
        <v>113</v>
      </c>
      <c r="D39749" t="s">
        <v>6752</v>
      </c>
    </row>
    <row r="39751" spans="1:4" x14ac:dyDescent="0.2">
      <c r="A39751" t="s">
        <v>12850</v>
      </c>
      <c r="B39751" t="str">
        <f>HYPERLINK("https://lindat.mff.cuni.cz/services/teitok/pdtc10/index.php?action=vallex&amp;frame=v-w5301f2", "přišít (v-w5301f2)")</f>
        <v>přišít (v-w5301f2)</v>
      </c>
    </row>
    <row r="39752" spans="1:4" x14ac:dyDescent="0.2">
      <c r="B39752" t="s">
        <v>1</v>
      </c>
    </row>
    <row r="39753" spans="1:4" x14ac:dyDescent="0.2">
      <c r="B39753" t="s">
        <v>8</v>
      </c>
    </row>
    <row r="39754" spans="1:4" x14ac:dyDescent="0.2">
      <c r="B39754" t="s">
        <v>35</v>
      </c>
    </row>
    <row r="39756" spans="1:4" x14ac:dyDescent="0.2">
      <c r="A39756" t="s">
        <v>12851</v>
      </c>
      <c r="B39756" t="str">
        <f>HYPERLINK("https://lindat.mff.cuni.cz/services/teitok/pdtc10/index.php?action=vallex&amp;frame=v-w5301f1", "přišít (v-w5301f1)")</f>
        <v>přišít (v-w5301f1)</v>
      </c>
    </row>
    <row r="39757" spans="1:4" x14ac:dyDescent="0.2">
      <c r="B39757" t="s">
        <v>1</v>
      </c>
    </row>
    <row r="39758" spans="1:4" x14ac:dyDescent="0.2">
      <c r="B39758" t="s">
        <v>8</v>
      </c>
    </row>
    <row r="39759" spans="1:4" x14ac:dyDescent="0.2">
      <c r="B39759" t="s">
        <v>90</v>
      </c>
    </row>
    <row r="39761" spans="1:2" x14ac:dyDescent="0.2">
      <c r="A39761" t="s">
        <v>12852</v>
      </c>
      <c r="B39761" t="str">
        <f>HYPERLINK("https://lindat.mff.cuni.cz/services/teitok/pdtc10/index.php?action=vallex&amp;frame=v-w11940_ZUf1_ZU", "přišívat (v-w11940_ZUf1_ZU)")</f>
        <v>přišívat (v-w11940_ZUf1_ZU)</v>
      </c>
    </row>
    <row r="39762" spans="1:2" x14ac:dyDescent="0.2">
      <c r="B39762" t="s">
        <v>1</v>
      </c>
    </row>
    <row r="39763" spans="1:2" x14ac:dyDescent="0.2">
      <c r="B39763" t="s">
        <v>8</v>
      </c>
    </row>
    <row r="39764" spans="1:2" x14ac:dyDescent="0.2">
      <c r="B39764" t="s">
        <v>252</v>
      </c>
    </row>
    <row r="39766" spans="1:2" x14ac:dyDescent="0.2">
      <c r="A39766" t="s">
        <v>12853</v>
      </c>
      <c r="B39766" t="str">
        <f>HYPERLINK("https://lindat.mff.cuni.cz/services/teitok/pdtc10/index.php?action=vallex&amp;frame=v-w11919_ZUf1_ZU", "přiťukat (v-w11919_ZUf1_ZU)")</f>
        <v>přiťukat (v-w11919_ZUf1_ZU)</v>
      </c>
    </row>
    <row r="39767" spans="1:2" x14ac:dyDescent="0.2">
      <c r="B39767" t="s">
        <v>1</v>
      </c>
    </row>
    <row r="39768" spans="1:2" x14ac:dyDescent="0.2">
      <c r="B39768" t="s">
        <v>8</v>
      </c>
    </row>
    <row r="39770" spans="1:2" x14ac:dyDescent="0.2">
      <c r="A39770" t="s">
        <v>12854</v>
      </c>
      <c r="B39770" t="str">
        <f>HYPERLINK("https://lindat.mff.cuni.cz/services/teitok/pdtc10/index.php?action=vallex&amp;frame=v-w5320f1", "přiťuknout (v-w5320f1)")</f>
        <v>přiťuknout (v-w5320f1)</v>
      </c>
    </row>
    <row r="39771" spans="1:2" x14ac:dyDescent="0.2">
      <c r="B39771" t="s">
        <v>1</v>
      </c>
    </row>
    <row r="39772" spans="1:2" x14ac:dyDescent="0.2">
      <c r="B39772" t="s">
        <v>8</v>
      </c>
    </row>
    <row r="39773" spans="1:2" x14ac:dyDescent="0.2">
      <c r="B39773" t="s">
        <v>35</v>
      </c>
    </row>
    <row r="39775" spans="1:2" x14ac:dyDescent="0.2">
      <c r="A39775" t="s">
        <v>12855</v>
      </c>
      <c r="B39775" t="str">
        <f>HYPERLINK("https://lindat.mff.cuni.cz/services/teitok/pdtc10/index.php?action=vallex&amp;frame=v-w5320f2_ZU", "přiťuknout (v-w5320f2_ZU)")</f>
        <v>přiťuknout (v-w5320f2_ZU)</v>
      </c>
    </row>
    <row r="39776" spans="1:2" x14ac:dyDescent="0.2">
      <c r="B39776" t="s">
        <v>1</v>
      </c>
    </row>
    <row r="39777" spans="1:4" x14ac:dyDescent="0.2">
      <c r="B39777" t="s">
        <v>35</v>
      </c>
    </row>
    <row r="39778" spans="1:4" x14ac:dyDescent="0.2">
      <c r="B39778" t="s">
        <v>46</v>
      </c>
    </row>
    <row r="39780" spans="1:4" x14ac:dyDescent="0.2">
      <c r="A39780" t="s">
        <v>12856</v>
      </c>
      <c r="B39780" t="str">
        <f>HYPERLINK("https://lindat.mff.cuni.cz/services/teitok/pdtc10/index.php?action=vallex&amp;frame=v-whsa_1595hsa_1596", "přiťuknout si (v-whsa_1595hsa_1596)")</f>
        <v>přiťuknout si (v-whsa_1595hsa_1596)</v>
      </c>
    </row>
    <row r="39781" spans="1:4" x14ac:dyDescent="0.2">
      <c r="B39781" t="s">
        <v>1</v>
      </c>
    </row>
    <row r="39782" spans="1:4" x14ac:dyDescent="0.2">
      <c r="B39782" t="s">
        <v>153</v>
      </c>
    </row>
    <row r="39783" spans="1:4" x14ac:dyDescent="0.2">
      <c r="B39783" t="s">
        <v>46</v>
      </c>
    </row>
    <row r="39785" spans="1:4" x14ac:dyDescent="0.2">
      <c r="A39785" t="s">
        <v>12857</v>
      </c>
      <c r="B39785" t="str">
        <f>HYPERLINK("https://lindat.mff.cuni.cz/services/teitok/pdtc10/index.php?action=vallex&amp;frame=v-w11476f1", "přiženit se (v-w11476f1)")</f>
        <v>přiženit se (v-w11476f1)</v>
      </c>
    </row>
    <row r="39786" spans="1:4" x14ac:dyDescent="0.2">
      <c r="B39786" t="s">
        <v>1</v>
      </c>
      <c r="D39786" t="s">
        <v>23107</v>
      </c>
    </row>
    <row r="39787" spans="1:4" x14ac:dyDescent="0.2">
      <c r="B39787" t="s">
        <v>90</v>
      </c>
      <c r="D39787" t="s">
        <v>23108</v>
      </c>
    </row>
    <row r="39789" spans="1:4" x14ac:dyDescent="0.2">
      <c r="A39789" t="s">
        <v>12858</v>
      </c>
      <c r="B39789" t="str">
        <f>HYPERLINK("https://lindat.mff.cuni.cz/services/teitok/pdtc10/index.php?action=vallex&amp;frame=v-w10152f2", "přiživit (v-w10152f2)")</f>
        <v>přiživit (v-w10152f2)</v>
      </c>
    </row>
    <row r="39790" spans="1:4" x14ac:dyDescent="0.2">
      <c r="B39790" t="s">
        <v>1</v>
      </c>
      <c r="C39790" t="s">
        <v>10920</v>
      </c>
    </row>
    <row r="39791" spans="1:4" x14ac:dyDescent="0.2">
      <c r="B39791" t="s">
        <v>8</v>
      </c>
      <c r="C39791" t="s">
        <v>1798</v>
      </c>
    </row>
    <row r="39793" spans="1:4" x14ac:dyDescent="0.2">
      <c r="A39793" t="s">
        <v>12859</v>
      </c>
      <c r="B39793" t="str">
        <f>HYPERLINK("https://lindat.mff.cuni.cz/services/teitok/pdtc10/index.php?action=vallex&amp;frame=v-w11251f1", "přiživit se (v-w11251f1)")</f>
        <v>přiživit se (v-w11251f1)</v>
      </c>
    </row>
    <row r="39794" spans="1:4" x14ac:dyDescent="0.2">
      <c r="B39794" t="s">
        <v>1</v>
      </c>
      <c r="C39794" t="s">
        <v>430</v>
      </c>
    </row>
    <row r="39795" spans="1:4" x14ac:dyDescent="0.2">
      <c r="B39795" t="s">
        <v>12860</v>
      </c>
      <c r="C39795" t="s">
        <v>56</v>
      </c>
    </row>
    <row r="39797" spans="1:4" x14ac:dyDescent="0.2">
      <c r="A39797" t="s">
        <v>12861</v>
      </c>
      <c r="B39797" t="str">
        <f>HYPERLINK("https://lindat.mff.cuni.cz/services/teitok/pdtc10/index.php?action=vallex&amp;frame=v-w5366f1", "přiživovat se (v-w5366f1)")</f>
        <v>přiživovat se (v-w5366f1)</v>
      </c>
    </row>
    <row r="39798" spans="1:4" x14ac:dyDescent="0.2">
      <c r="B39798" t="s">
        <v>1</v>
      </c>
    </row>
    <row r="39799" spans="1:4" x14ac:dyDescent="0.2">
      <c r="B39799" t="s">
        <v>12860</v>
      </c>
    </row>
    <row r="39801" spans="1:4" x14ac:dyDescent="0.2">
      <c r="A39801" t="s">
        <v>12862</v>
      </c>
      <c r="B39801" t="str">
        <f>HYPERLINK("https://lindat.mff.cuni.cz/services/teitok/pdtc10/index.php?action=vallex&amp;frame=v-w4663f3", "přát (v-w4663f3)")</f>
        <v>přát (v-w4663f3)</v>
      </c>
    </row>
    <row r="39802" spans="1:4" x14ac:dyDescent="0.2">
      <c r="B39802" t="s">
        <v>1</v>
      </c>
      <c r="C39802" t="s">
        <v>249</v>
      </c>
      <c r="D39802" t="s">
        <v>249</v>
      </c>
    </row>
    <row r="39803" spans="1:4" x14ac:dyDescent="0.2">
      <c r="B39803" t="s">
        <v>12863</v>
      </c>
      <c r="C39803" t="s">
        <v>84</v>
      </c>
      <c r="D39803" t="s">
        <v>84</v>
      </c>
    </row>
    <row r="39804" spans="1:4" x14ac:dyDescent="0.2">
      <c r="B39804" t="s">
        <v>35</v>
      </c>
      <c r="C39804" t="s">
        <v>10806</v>
      </c>
      <c r="D39804" t="s">
        <v>10806</v>
      </c>
    </row>
    <row r="39806" spans="1:4" x14ac:dyDescent="0.2">
      <c r="A39806" t="s">
        <v>12864</v>
      </c>
      <c r="B39806" t="str">
        <f>HYPERLINK("https://lindat.mff.cuni.cz/services/teitok/pdtc10/index.php?action=vallex&amp;frame=v-w4663f1", "přát (v-w4663f1)")</f>
        <v>přát (v-w4663f1)</v>
      </c>
    </row>
    <row r="39807" spans="1:4" x14ac:dyDescent="0.2">
      <c r="B39807" t="s">
        <v>1</v>
      </c>
      <c r="C39807" t="s">
        <v>249</v>
      </c>
    </row>
    <row r="39808" spans="1:4" x14ac:dyDescent="0.2">
      <c r="B39808" t="s">
        <v>12865</v>
      </c>
      <c r="C39808" t="s">
        <v>84</v>
      </c>
    </row>
    <row r="39809" spans="1:4" x14ac:dyDescent="0.2">
      <c r="B39809" t="s">
        <v>35</v>
      </c>
      <c r="C39809" t="s">
        <v>10806</v>
      </c>
    </row>
    <row r="39811" spans="1:4" x14ac:dyDescent="0.2">
      <c r="A39811" t="s">
        <v>12866</v>
      </c>
      <c r="B39811" t="str">
        <f>HYPERLINK("https://lindat.mff.cuni.cz/services/teitok/pdtc10/index.php?action=vallex&amp;frame=v-w4663f2", "přát (v-w4663f2)")</f>
        <v>přát (v-w4663f2)</v>
      </c>
    </row>
    <row r="39812" spans="1:4" x14ac:dyDescent="0.2">
      <c r="B39812" t="s">
        <v>1</v>
      </c>
    </row>
    <row r="39813" spans="1:4" x14ac:dyDescent="0.2">
      <c r="B39813" t="s">
        <v>103</v>
      </c>
    </row>
    <row r="39815" spans="1:4" x14ac:dyDescent="0.2">
      <c r="A39815" t="s">
        <v>12867</v>
      </c>
      <c r="B39815" t="str">
        <f>HYPERLINK("https://lindat.mff.cuni.cz/services/teitok/pdtc10/index.php?action=vallex&amp;frame=v-w4666f2", "přát si (v-w4666f2)")</f>
        <v>přát si (v-w4666f2)</v>
      </c>
    </row>
    <row r="39816" spans="1:4" x14ac:dyDescent="0.2">
      <c r="B39816" t="s">
        <v>1</v>
      </c>
      <c r="C39816" t="s">
        <v>4667</v>
      </c>
      <c r="D39816" t="s">
        <v>23483</v>
      </c>
    </row>
    <row r="39817" spans="1:4" x14ac:dyDescent="0.2">
      <c r="B39817" t="s">
        <v>12868</v>
      </c>
      <c r="C39817" t="s">
        <v>4668</v>
      </c>
      <c r="D39817" t="s">
        <v>23484</v>
      </c>
    </row>
    <row r="39818" spans="1:4" x14ac:dyDescent="0.2">
      <c r="B39818" t="s">
        <v>321</v>
      </c>
      <c r="D39818" t="s">
        <v>19160</v>
      </c>
    </row>
    <row r="39820" spans="1:4" x14ac:dyDescent="0.2">
      <c r="A39820" t="s">
        <v>12869</v>
      </c>
      <c r="B39820" t="str">
        <f>HYPERLINK("https://lindat.mff.cuni.cz/services/teitok/pdtc10/index.php?action=vallex&amp;frame=v-w4666f1", "přát si (v-w4666f1)")</f>
        <v>přát si (v-w4666f1)</v>
      </c>
    </row>
    <row r="39821" spans="1:4" x14ac:dyDescent="0.2">
      <c r="B39821" t="s">
        <v>1</v>
      </c>
      <c r="C39821" t="s">
        <v>12870</v>
      </c>
      <c r="D39821" t="s">
        <v>24105</v>
      </c>
    </row>
    <row r="39822" spans="1:4" x14ac:dyDescent="0.2">
      <c r="B39822" t="s">
        <v>12871</v>
      </c>
      <c r="C39822" t="s">
        <v>12872</v>
      </c>
      <c r="D39822" t="s">
        <v>24106</v>
      </c>
    </row>
    <row r="39824" spans="1:4" x14ac:dyDescent="0.2">
      <c r="A39824" t="s">
        <v>12873</v>
      </c>
      <c r="B39824" t="str">
        <f>HYPERLINK("https://lindat.mff.cuni.cz/services/teitok/pdtc10/index.php?action=vallex&amp;frame=v-w4664f1", "přátelit se (v-w4664f1)")</f>
        <v>přátelit se (v-w4664f1)</v>
      </c>
    </row>
    <row r="39825" spans="1:4" x14ac:dyDescent="0.2">
      <c r="B39825" t="s">
        <v>1</v>
      </c>
    </row>
    <row r="39826" spans="1:4" x14ac:dyDescent="0.2">
      <c r="B39826" t="s">
        <v>411</v>
      </c>
    </row>
    <row r="39828" spans="1:4" x14ac:dyDescent="0.2">
      <c r="A39828" t="s">
        <v>12874</v>
      </c>
      <c r="B39828" t="str">
        <f>HYPERLINK("https://lindat.mff.cuni.cz/services/teitok/pdtc10/index.php?action=vallex&amp;frame=v-w5262f1", "přísahat (v-w5262f1)")</f>
        <v>přísahat (v-w5262f1)</v>
      </c>
    </row>
    <row r="39829" spans="1:4" x14ac:dyDescent="0.2">
      <c r="B39829" t="s">
        <v>1</v>
      </c>
      <c r="C39829" t="s">
        <v>964</v>
      </c>
      <c r="D39829" t="s">
        <v>24089</v>
      </c>
    </row>
    <row r="39830" spans="1:4" x14ac:dyDescent="0.2">
      <c r="B39830" t="s">
        <v>1221</v>
      </c>
      <c r="C39830" t="s">
        <v>4676</v>
      </c>
      <c r="D39830" t="s">
        <v>24090</v>
      </c>
    </row>
    <row r="39831" spans="1:4" x14ac:dyDescent="0.2">
      <c r="B39831" t="s">
        <v>35</v>
      </c>
      <c r="D39831" t="s">
        <v>24091</v>
      </c>
    </row>
    <row r="39833" spans="1:4" x14ac:dyDescent="0.2">
      <c r="A39833" t="s">
        <v>12875</v>
      </c>
      <c r="B39833" t="str">
        <f>HYPERLINK("https://lindat.mff.cuni.cz/services/teitok/pdtc10/index.php?action=vallex&amp;frame=v-w5268f2", "příslušet (v-w5268f2)")</f>
        <v>příslušet (v-w5268f2)</v>
      </c>
    </row>
    <row r="39834" spans="1:4" x14ac:dyDescent="0.2">
      <c r="B39834" t="s">
        <v>1</v>
      </c>
      <c r="C39834" t="s">
        <v>147</v>
      </c>
    </row>
    <row r="39835" spans="1:4" x14ac:dyDescent="0.2">
      <c r="B39835" t="s">
        <v>198</v>
      </c>
      <c r="C39835" t="s">
        <v>3156</v>
      </c>
    </row>
    <row r="39837" spans="1:4" x14ac:dyDescent="0.2">
      <c r="A39837" t="s">
        <v>12876</v>
      </c>
      <c r="B39837" t="str">
        <f>HYPERLINK("https://lindat.mff.cuni.cz/services/teitok/pdtc10/index.php?action=vallex&amp;frame=v-w5268f4", "příslušet (v-w5268f4)")</f>
        <v>příslušet (v-w5268f4)</v>
      </c>
    </row>
    <row r="39838" spans="1:4" x14ac:dyDescent="0.2">
      <c r="B39838" t="s">
        <v>455</v>
      </c>
    </row>
    <row r="39839" spans="1:4" x14ac:dyDescent="0.2">
      <c r="B39839" t="s">
        <v>2625</v>
      </c>
    </row>
    <row r="39841" spans="1:2" x14ac:dyDescent="0.2">
      <c r="A39841" t="s">
        <v>12877</v>
      </c>
      <c r="B39841" t="str">
        <f>HYPERLINK("https://lindat.mff.cuni.cz/services/teitok/pdtc10/index.php?action=vallex&amp;frame=v-w5268f1", "příslušet (v-w5268f1)")</f>
        <v>příslušet (v-w5268f1)</v>
      </c>
    </row>
    <row r="39842" spans="1:2" x14ac:dyDescent="0.2">
      <c r="B39842" t="s">
        <v>1</v>
      </c>
    </row>
    <row r="39843" spans="1:2" x14ac:dyDescent="0.2">
      <c r="B39843" t="s">
        <v>90</v>
      </c>
    </row>
    <row r="39845" spans="1:2" x14ac:dyDescent="0.2">
      <c r="A39845" t="s">
        <v>12878</v>
      </c>
      <c r="B39845" t="str">
        <f>HYPERLINK("https://lindat.mff.cuni.cz/services/teitok/pdtc10/index.php?action=vallex&amp;frame=v-w5268f3", "příslušet (v-w5268f3)")</f>
        <v>příslušet (v-w5268f3)</v>
      </c>
    </row>
    <row r="39846" spans="1:2" x14ac:dyDescent="0.2">
      <c r="B39846" t="s">
        <v>455</v>
      </c>
    </row>
    <row r="39847" spans="1:2" x14ac:dyDescent="0.2">
      <c r="B39847" t="s">
        <v>6589</v>
      </c>
    </row>
    <row r="39849" spans="1:2" x14ac:dyDescent="0.2">
      <c r="A39849" t="s">
        <v>12879</v>
      </c>
      <c r="B39849" t="str">
        <f>HYPERLINK("https://lindat.mff.cuni.cz/services/teitok/pdtc10/index.php?action=vallex&amp;frame=v-w5269f1", "příslušet se (v-w5269f1)")</f>
        <v>příslušet se (v-w5269f1)</v>
      </c>
    </row>
    <row r="39850" spans="1:2" x14ac:dyDescent="0.2">
      <c r="B39850" t="s">
        <v>4868</v>
      </c>
    </row>
    <row r="39852" spans="1:2" x14ac:dyDescent="0.2">
      <c r="A39852" t="s">
        <v>12880</v>
      </c>
      <c r="B39852" t="str">
        <f>HYPERLINK("https://lindat.mff.cuni.cz/services/teitok/pdtc10/index.php?action=vallex&amp;frame=v-w5282f2", "příst (v-w5282f2)")</f>
        <v>příst (v-w5282f2)</v>
      </c>
    </row>
    <row r="39853" spans="1:2" x14ac:dyDescent="0.2">
      <c r="B39853" t="s">
        <v>1</v>
      </c>
    </row>
    <row r="39854" spans="1:2" x14ac:dyDescent="0.2">
      <c r="B39854" t="s">
        <v>8</v>
      </c>
    </row>
    <row r="39856" spans="1:2" x14ac:dyDescent="0.2">
      <c r="A39856" t="s">
        <v>12881</v>
      </c>
      <c r="B39856" t="str">
        <f>HYPERLINK("https://lindat.mff.cuni.cz/services/teitok/pdtc10/index.php?action=vallex&amp;frame=v-w5282f1", "příst (v-w5282f1)")</f>
        <v>příst (v-w5282f1)</v>
      </c>
    </row>
    <row r="39857" spans="1:4" x14ac:dyDescent="0.2">
      <c r="B39857" t="s">
        <v>1</v>
      </c>
    </row>
    <row r="39859" spans="1:4" x14ac:dyDescent="0.2">
      <c r="A39859" t="s">
        <v>12882</v>
      </c>
      <c r="B39859" t="str">
        <f>HYPERLINK("https://lindat.mff.cuni.cz/services/teitok/pdtc10/index.php?action=vallex&amp;frame=v-w5318hsa_504", "přít se (v-w5318hsa_504)")</f>
        <v>přít se (v-w5318hsa_504)</v>
      </c>
    </row>
    <row r="39860" spans="1:4" x14ac:dyDescent="0.2">
      <c r="B39860" t="s">
        <v>1</v>
      </c>
      <c r="C39860" t="s">
        <v>12517</v>
      </c>
      <c r="D39860" t="s">
        <v>1992</v>
      </c>
    </row>
    <row r="39861" spans="1:4" x14ac:dyDescent="0.2">
      <c r="B39861" t="s">
        <v>153</v>
      </c>
      <c r="D39861" t="s">
        <v>22991</v>
      </c>
    </row>
    <row r="39862" spans="1:4" x14ac:dyDescent="0.2">
      <c r="B39862" t="s">
        <v>12883</v>
      </c>
      <c r="C39862" t="s">
        <v>12884</v>
      </c>
      <c r="D39862" t="s">
        <v>22992</v>
      </c>
    </row>
    <row r="39864" spans="1:4" x14ac:dyDescent="0.2">
      <c r="A39864" t="s">
        <v>12882</v>
      </c>
      <c r="B39864" t="str">
        <f>HYPERLINK("https://lindat.mff.cuni.cz/services/teitok/pdtc10/index.php?action=vallex&amp;frame=v-w5318f1", "přít se (v-w5318f1) - substituted with v-w5318hsa_504")</f>
        <v>přít se (v-w5318f1) - substituted with v-w5318hsa_504</v>
      </c>
    </row>
    <row r="39865" spans="1:4" x14ac:dyDescent="0.2">
      <c r="B39865" t="s">
        <v>1</v>
      </c>
      <c r="C39865" t="s">
        <v>1524</v>
      </c>
    </row>
    <row r="39866" spans="1:4" x14ac:dyDescent="0.2">
      <c r="B39866" t="s">
        <v>153</v>
      </c>
      <c r="C39866" t="s">
        <v>12885</v>
      </c>
    </row>
    <row r="39867" spans="1:4" x14ac:dyDescent="0.2">
      <c r="B39867" t="s">
        <v>12883</v>
      </c>
      <c r="C39867" t="s">
        <v>12886</v>
      </c>
    </row>
    <row r="39869" spans="1:4" x14ac:dyDescent="0.2">
      <c r="A39869" t="s">
        <v>12887</v>
      </c>
      <c r="B39869" t="str">
        <f>HYPERLINK("https://lindat.mff.cuni.cz/services/teitok/pdtc10/index.php?action=vallex&amp;frame=v-w11238f1", "příčit se (v-w11238f1)")</f>
        <v>příčit se (v-w11238f1)</v>
      </c>
    </row>
    <row r="39870" spans="1:4" x14ac:dyDescent="0.2">
      <c r="B39870" t="s">
        <v>1</v>
      </c>
    </row>
    <row r="39871" spans="1:4" x14ac:dyDescent="0.2">
      <c r="B39871" t="s">
        <v>103</v>
      </c>
    </row>
    <row r="39873" spans="1:4" x14ac:dyDescent="0.2">
      <c r="A39873" t="s">
        <v>12888</v>
      </c>
      <c r="B39873" t="str">
        <f>HYPERLINK("https://lindat.mff.cuni.cz/services/teitok/pdtc10/index.php?action=vallex&amp;frame=v-w5376f1", "půjčit (v-w5376f1)")</f>
        <v>půjčit (v-w5376f1)</v>
      </c>
    </row>
    <row r="39874" spans="1:4" x14ac:dyDescent="0.2">
      <c r="B39874" t="s">
        <v>1</v>
      </c>
      <c r="C39874" t="s">
        <v>1294</v>
      </c>
      <c r="D39874" t="s">
        <v>24107</v>
      </c>
    </row>
    <row r="39875" spans="1:4" x14ac:dyDescent="0.2">
      <c r="B39875" t="s">
        <v>8</v>
      </c>
      <c r="C39875" t="s">
        <v>12889</v>
      </c>
      <c r="D39875" t="s">
        <v>24108</v>
      </c>
    </row>
    <row r="39876" spans="1:4" x14ac:dyDescent="0.2">
      <c r="B39876" t="s">
        <v>35</v>
      </c>
      <c r="C39876" t="s">
        <v>12890</v>
      </c>
      <c r="D39876" t="s">
        <v>24109</v>
      </c>
    </row>
    <row r="39878" spans="1:4" x14ac:dyDescent="0.2">
      <c r="A39878" t="s">
        <v>12891</v>
      </c>
      <c r="B39878" t="str">
        <f>HYPERLINK("https://lindat.mff.cuni.cz/services/teitok/pdtc10/index.php?action=vallex&amp;frame=v-w5377f1", "půjčit si (v-w5377f1)")</f>
        <v>půjčit si (v-w5377f1)</v>
      </c>
    </row>
    <row r="39879" spans="1:4" x14ac:dyDescent="0.2">
      <c r="B39879" t="s">
        <v>1</v>
      </c>
      <c r="C39879" t="s">
        <v>230</v>
      </c>
      <c r="D39879" t="s">
        <v>3307</v>
      </c>
    </row>
    <row r="39880" spans="1:4" x14ac:dyDescent="0.2">
      <c r="B39880" t="s">
        <v>8</v>
      </c>
      <c r="C39880" t="s">
        <v>110</v>
      </c>
      <c r="D39880" t="s">
        <v>125</v>
      </c>
    </row>
    <row r="39881" spans="1:4" x14ac:dyDescent="0.2">
      <c r="B39881" t="s">
        <v>1142</v>
      </c>
      <c r="C39881" t="s">
        <v>12892</v>
      </c>
      <c r="D39881" t="s">
        <v>12892</v>
      </c>
    </row>
    <row r="39883" spans="1:4" x14ac:dyDescent="0.2">
      <c r="A39883" t="s">
        <v>12893</v>
      </c>
      <c r="B39883" t="str">
        <f>HYPERLINK("https://lindat.mff.cuni.cz/services/teitok/pdtc10/index.php?action=vallex&amp;frame=v-w5380f1", "půjčovat (v-w5380f1)")</f>
        <v>půjčovat (v-w5380f1)</v>
      </c>
    </row>
    <row r="39884" spans="1:4" x14ac:dyDescent="0.2">
      <c r="B39884" t="s">
        <v>1</v>
      </c>
      <c r="C39884" t="s">
        <v>1234</v>
      </c>
      <c r="D39884" t="s">
        <v>24107</v>
      </c>
    </row>
    <row r="39885" spans="1:4" x14ac:dyDescent="0.2">
      <c r="B39885" t="s">
        <v>8</v>
      </c>
      <c r="C39885" t="s">
        <v>12894</v>
      </c>
      <c r="D39885" t="s">
        <v>24108</v>
      </c>
    </row>
    <row r="39886" spans="1:4" x14ac:dyDescent="0.2">
      <c r="B39886" t="s">
        <v>35</v>
      </c>
      <c r="C39886" t="s">
        <v>12895</v>
      </c>
      <c r="D39886" t="s">
        <v>24109</v>
      </c>
    </row>
    <row r="39888" spans="1:4" x14ac:dyDescent="0.2">
      <c r="A39888" t="s">
        <v>12896</v>
      </c>
      <c r="B39888" t="str">
        <f>HYPERLINK("https://lindat.mff.cuni.cz/services/teitok/pdtc10/index.php?action=vallex&amp;frame=v-w5381f1", "půjčovat si (v-w5381f1)")</f>
        <v>půjčovat si (v-w5381f1)</v>
      </c>
    </row>
    <row r="39889" spans="1:4" x14ac:dyDescent="0.2">
      <c r="B39889" t="s">
        <v>1</v>
      </c>
      <c r="C39889" t="s">
        <v>7592</v>
      </c>
      <c r="D39889" t="s">
        <v>3307</v>
      </c>
    </row>
    <row r="39890" spans="1:4" x14ac:dyDescent="0.2">
      <c r="B39890" t="s">
        <v>8</v>
      </c>
      <c r="C39890" t="s">
        <v>12897</v>
      </c>
      <c r="D39890" t="s">
        <v>125</v>
      </c>
    </row>
    <row r="39891" spans="1:4" x14ac:dyDescent="0.2">
      <c r="B39891" t="s">
        <v>1142</v>
      </c>
      <c r="C39891" t="s">
        <v>12892</v>
      </c>
      <c r="D39891" t="s">
        <v>12892</v>
      </c>
    </row>
    <row r="39893" spans="1:4" x14ac:dyDescent="0.2">
      <c r="A39893" t="s">
        <v>12898</v>
      </c>
      <c r="B39893" t="str">
        <f>HYPERLINK("https://lindat.mff.cuni.cz/services/teitok/pdtc10/index.php?action=vallex&amp;frame=v-w5388f14_ZU", "působit (v-w5388f14_ZU)")</f>
        <v>působit (v-w5388f14_ZU)</v>
      </c>
    </row>
    <row r="39894" spans="1:4" x14ac:dyDescent="0.2">
      <c r="B39894" t="s">
        <v>196</v>
      </c>
    </row>
    <row r="39895" spans="1:4" x14ac:dyDescent="0.2">
      <c r="B39895" t="s">
        <v>8</v>
      </c>
    </row>
    <row r="39896" spans="1:4" x14ac:dyDescent="0.2">
      <c r="B39896" t="s">
        <v>35</v>
      </c>
    </row>
    <row r="39898" spans="1:4" x14ac:dyDescent="0.2">
      <c r="A39898" t="s">
        <v>12898</v>
      </c>
      <c r="B39898" t="str">
        <f>HYPERLINK("https://lindat.mff.cuni.cz/services/teitok/pdtc10/index.php?action=vallex&amp;frame=v-w5388f4", "působit (v-w5388f4) - substituted with v-w5388f14_ZU")</f>
        <v>působit (v-w5388f4) - substituted with v-w5388f14_ZU</v>
      </c>
    </row>
    <row r="39899" spans="1:4" x14ac:dyDescent="0.2">
      <c r="B39899" t="s">
        <v>196</v>
      </c>
      <c r="C39899" t="s">
        <v>12899</v>
      </c>
      <c r="D39899" t="s">
        <v>23017</v>
      </c>
    </row>
    <row r="39900" spans="1:4" x14ac:dyDescent="0.2">
      <c r="B39900" t="s">
        <v>8</v>
      </c>
      <c r="C39900" t="s">
        <v>12900</v>
      </c>
      <c r="D39900" t="s">
        <v>23498</v>
      </c>
    </row>
    <row r="39901" spans="1:4" x14ac:dyDescent="0.2">
      <c r="B39901" t="s">
        <v>35</v>
      </c>
      <c r="D39901" t="s">
        <v>23522</v>
      </c>
    </row>
    <row r="39903" spans="1:4" x14ac:dyDescent="0.2">
      <c r="A39903" t="s">
        <v>12901</v>
      </c>
      <c r="B39903" t="str">
        <f>HYPERLINK("https://lindat.mff.cuni.cz/services/teitok/pdtc10/index.php?action=vallex&amp;frame=v-w5388f5", "působit (v-w5388f5)")</f>
        <v>působit (v-w5388f5)</v>
      </c>
    </row>
    <row r="39904" spans="1:4" x14ac:dyDescent="0.2">
      <c r="B39904" t="s">
        <v>1</v>
      </c>
      <c r="C39904" t="s">
        <v>140</v>
      </c>
      <c r="D39904" t="s">
        <v>22980</v>
      </c>
    </row>
    <row r="39905" spans="1:4" x14ac:dyDescent="0.2">
      <c r="B39905" t="s">
        <v>12902</v>
      </c>
      <c r="C39905" t="s">
        <v>34</v>
      </c>
      <c r="D39905" t="s">
        <v>22981</v>
      </c>
    </row>
    <row r="39907" spans="1:4" x14ac:dyDescent="0.2">
      <c r="A39907" t="s">
        <v>12903</v>
      </c>
      <c r="B39907" t="str">
        <f>HYPERLINK("https://lindat.mff.cuni.cz/services/teitok/pdtc10/index.php?action=vallex&amp;frame=v-w5388f11_ZU", "působit (v-w5388f11_ZU)")</f>
        <v>působit (v-w5388f11_ZU)</v>
      </c>
    </row>
    <row r="39908" spans="1:4" x14ac:dyDescent="0.2">
      <c r="B39908" t="s">
        <v>811</v>
      </c>
      <c r="C39908" t="s">
        <v>12904</v>
      </c>
    </row>
    <row r="39909" spans="1:4" x14ac:dyDescent="0.2">
      <c r="B39909" t="s">
        <v>28</v>
      </c>
      <c r="C39909" t="s">
        <v>12905</v>
      </c>
    </row>
    <row r="39911" spans="1:4" x14ac:dyDescent="0.2">
      <c r="A39911" t="s">
        <v>12903</v>
      </c>
      <c r="B39911" t="str">
        <f>HYPERLINK("https://lindat.mff.cuni.cz/services/teitok/pdtc10/index.php?action=vallex&amp;frame=v-w5388f3", "působit (v-w5388f3) - substituted with v-w5388f11_ZU")</f>
        <v>působit (v-w5388f3) - substituted with v-w5388f11_ZU</v>
      </c>
    </row>
    <row r="39912" spans="1:4" x14ac:dyDescent="0.2">
      <c r="B39912" t="s">
        <v>811</v>
      </c>
      <c r="C39912" t="s">
        <v>12906</v>
      </c>
    </row>
    <row r="39913" spans="1:4" x14ac:dyDescent="0.2">
      <c r="B39913" t="s">
        <v>28</v>
      </c>
      <c r="C39913" t="s">
        <v>12907</v>
      </c>
    </row>
    <row r="39915" spans="1:4" x14ac:dyDescent="0.2">
      <c r="A39915" t="s">
        <v>12903</v>
      </c>
      <c r="B39915" t="str">
        <f>HYPERLINK("https://lindat.mff.cuni.cz/services/teitok/pdtc10/index.php?action=vallex&amp;frame=v-w5388f6_ZU", "působit (v-w5388f6_ZU) - substituted with v-w5388f11_ZU")</f>
        <v>působit (v-w5388f6_ZU) - substituted with v-w5388f11_ZU</v>
      </c>
    </row>
    <row r="39916" spans="1:4" x14ac:dyDescent="0.2">
      <c r="B39916" t="s">
        <v>811</v>
      </c>
    </row>
    <row r="39917" spans="1:4" x14ac:dyDescent="0.2">
      <c r="B39917" t="s">
        <v>28</v>
      </c>
    </row>
    <row r="39919" spans="1:4" x14ac:dyDescent="0.2">
      <c r="A39919" t="s">
        <v>12903</v>
      </c>
      <c r="B39919" t="str">
        <f>HYPERLINK("https://lindat.mff.cuni.cz/services/teitok/pdtc10/index.php?action=vallex&amp;frame=v-w5388f7_ZU", "působit (v-w5388f7_ZU) - substituted with v-w5388f11_ZU")</f>
        <v>působit (v-w5388f7_ZU) - substituted with v-w5388f11_ZU</v>
      </c>
    </row>
    <row r="39920" spans="1:4" x14ac:dyDescent="0.2">
      <c r="B39920" t="s">
        <v>811</v>
      </c>
    </row>
    <row r="39921" spans="1:4" x14ac:dyDescent="0.2">
      <c r="B39921" t="s">
        <v>28</v>
      </c>
    </row>
    <row r="39923" spans="1:4" x14ac:dyDescent="0.2">
      <c r="A39923" t="s">
        <v>12908</v>
      </c>
      <c r="B39923" t="str">
        <f>HYPERLINK("https://lindat.mff.cuni.cz/services/teitok/pdtc10/index.php?action=vallex&amp;frame=v-w5388f1", "působit (v-w5388f1)")</f>
        <v>působit (v-w5388f1)</v>
      </c>
    </row>
    <row r="39924" spans="1:4" x14ac:dyDescent="0.2">
      <c r="B39924" t="s">
        <v>1</v>
      </c>
      <c r="C39924" t="s">
        <v>12909</v>
      </c>
      <c r="D39924" t="s">
        <v>24110</v>
      </c>
    </row>
    <row r="39925" spans="1:4" x14ac:dyDescent="0.2">
      <c r="B39925" t="s">
        <v>5</v>
      </c>
      <c r="C39925" t="s">
        <v>12910</v>
      </c>
      <c r="D39925" t="s">
        <v>23469</v>
      </c>
    </row>
    <row r="39926" spans="1:4" x14ac:dyDescent="0.2">
      <c r="B39926" t="s">
        <v>2712</v>
      </c>
    </row>
    <row r="39928" spans="1:4" x14ac:dyDescent="0.2">
      <c r="A39928" t="s">
        <v>12911</v>
      </c>
      <c r="B39928" t="str">
        <f>HYPERLINK("https://lindat.mff.cuni.cz/services/teitok/pdtc10/index.php?action=vallex&amp;frame=v-w5388f17_ZU", "působit (v-w5388f17_ZU)")</f>
        <v>působit (v-w5388f17_ZU)</v>
      </c>
    </row>
    <row r="39929" spans="1:4" x14ac:dyDescent="0.2">
      <c r="B39929" t="s">
        <v>12912</v>
      </c>
    </row>
    <row r="39930" spans="1:4" x14ac:dyDescent="0.2">
      <c r="B39930" t="s">
        <v>46</v>
      </c>
    </row>
    <row r="39931" spans="1:4" x14ac:dyDescent="0.2">
      <c r="B39931" t="s">
        <v>3495</v>
      </c>
    </row>
    <row r="39932" spans="1:4" x14ac:dyDescent="0.2">
      <c r="B39932" t="s">
        <v>12913</v>
      </c>
    </row>
    <row r="39934" spans="1:4" x14ac:dyDescent="0.2">
      <c r="A39934" t="s">
        <v>12911</v>
      </c>
      <c r="B39934" t="str">
        <f>HYPERLINK("https://lindat.mff.cuni.cz/services/teitok/pdtc10/index.php?action=vallex&amp;frame=v-w5388f10_ZU", "působit (v-w5388f10_ZU) - substituted with v-w5388f17_ZU")</f>
        <v>působit (v-w5388f10_ZU) - substituted with v-w5388f17_ZU</v>
      </c>
    </row>
    <row r="39935" spans="1:4" x14ac:dyDescent="0.2">
      <c r="B39935" t="s">
        <v>12912</v>
      </c>
    </row>
    <row r="39936" spans="1:4" x14ac:dyDescent="0.2">
      <c r="B39936" t="s">
        <v>46</v>
      </c>
    </row>
    <row r="39937" spans="1:4" x14ac:dyDescent="0.2">
      <c r="B39937" t="s">
        <v>3495</v>
      </c>
    </row>
    <row r="39938" spans="1:4" x14ac:dyDescent="0.2">
      <c r="B39938" t="s">
        <v>12913</v>
      </c>
    </row>
    <row r="39940" spans="1:4" x14ac:dyDescent="0.2">
      <c r="A39940" t="s">
        <v>12911</v>
      </c>
      <c r="B39940" t="str">
        <f>HYPERLINK("https://lindat.mff.cuni.cz/services/teitok/pdtc10/index.php?action=vallex&amp;frame=v-w5388f12_ZU", "působit (v-w5388f12_ZU) - substituted with v-w5388f17_ZU")</f>
        <v>působit (v-w5388f12_ZU) - substituted with v-w5388f17_ZU</v>
      </c>
    </row>
    <row r="39941" spans="1:4" x14ac:dyDescent="0.2">
      <c r="B39941" t="s">
        <v>12912</v>
      </c>
      <c r="C39941" t="s">
        <v>12914</v>
      </c>
      <c r="D39941" t="s">
        <v>23373</v>
      </c>
    </row>
    <row r="39942" spans="1:4" x14ac:dyDescent="0.2">
      <c r="B39942" t="s">
        <v>46</v>
      </c>
    </row>
    <row r="39943" spans="1:4" x14ac:dyDescent="0.2">
      <c r="B39943" t="s">
        <v>3495</v>
      </c>
      <c r="C39943" t="s">
        <v>12915</v>
      </c>
      <c r="D39943" t="s">
        <v>23378</v>
      </c>
    </row>
    <row r="39944" spans="1:4" x14ac:dyDescent="0.2">
      <c r="B39944" t="s">
        <v>12913</v>
      </c>
    </row>
    <row r="39946" spans="1:4" x14ac:dyDescent="0.2">
      <c r="A39946" t="s">
        <v>12911</v>
      </c>
      <c r="B39946" t="str">
        <f>HYPERLINK("https://lindat.mff.cuni.cz/services/teitok/pdtc10/index.php?action=vallex&amp;frame=v-w5388f13_ZU", "působit (v-w5388f13_ZU) - substituted with v-w5388f17_ZU")</f>
        <v>působit (v-w5388f13_ZU) - substituted with v-w5388f17_ZU</v>
      </c>
    </row>
    <row r="39947" spans="1:4" x14ac:dyDescent="0.2">
      <c r="B39947" t="s">
        <v>12912</v>
      </c>
    </row>
    <row r="39948" spans="1:4" x14ac:dyDescent="0.2">
      <c r="B39948" t="s">
        <v>46</v>
      </c>
    </row>
    <row r="39949" spans="1:4" x14ac:dyDescent="0.2">
      <c r="B39949" t="s">
        <v>3495</v>
      </c>
    </row>
    <row r="39950" spans="1:4" x14ac:dyDescent="0.2">
      <c r="B39950" t="s">
        <v>12913</v>
      </c>
    </row>
    <row r="39952" spans="1:4" x14ac:dyDescent="0.2">
      <c r="A39952" t="s">
        <v>12911</v>
      </c>
      <c r="B39952" t="str">
        <f>HYPERLINK("https://lindat.mff.cuni.cz/services/teitok/pdtc10/index.php?action=vallex&amp;frame=v-w5388f15_ZU", "působit (v-w5388f15_ZU) - substituted with v-w5388f17_ZU")</f>
        <v>působit (v-w5388f15_ZU) - substituted with v-w5388f17_ZU</v>
      </c>
    </row>
    <row r="39953" spans="1:2" x14ac:dyDescent="0.2">
      <c r="B39953" t="s">
        <v>12912</v>
      </c>
    </row>
    <row r="39954" spans="1:2" x14ac:dyDescent="0.2">
      <c r="B39954" t="s">
        <v>46</v>
      </c>
    </row>
    <row r="39955" spans="1:2" x14ac:dyDescent="0.2">
      <c r="B39955" t="s">
        <v>3495</v>
      </c>
    </row>
    <row r="39956" spans="1:2" x14ac:dyDescent="0.2">
      <c r="B39956" t="s">
        <v>12913</v>
      </c>
    </row>
    <row r="39958" spans="1:2" x14ac:dyDescent="0.2">
      <c r="A39958" t="s">
        <v>12911</v>
      </c>
      <c r="B39958" t="str">
        <f>HYPERLINK("https://lindat.mff.cuni.cz/services/teitok/pdtc10/index.php?action=vallex&amp;frame=v-w5388f8_ZU", "působit (v-w5388f8_ZU) - substituted with v-w5388f17_ZU")</f>
        <v>působit (v-w5388f8_ZU) - substituted with v-w5388f17_ZU</v>
      </c>
    </row>
    <row r="39959" spans="1:2" x14ac:dyDescent="0.2">
      <c r="B39959" t="s">
        <v>12912</v>
      </c>
    </row>
    <row r="39960" spans="1:2" x14ac:dyDescent="0.2">
      <c r="B39960" t="s">
        <v>46</v>
      </c>
    </row>
    <row r="39961" spans="1:2" x14ac:dyDescent="0.2">
      <c r="B39961" t="s">
        <v>3495</v>
      </c>
    </row>
    <row r="39962" spans="1:2" x14ac:dyDescent="0.2">
      <c r="B39962" t="s">
        <v>12913</v>
      </c>
    </row>
    <row r="39964" spans="1:2" x14ac:dyDescent="0.2">
      <c r="A39964" t="s">
        <v>12911</v>
      </c>
      <c r="B39964" t="str">
        <f>HYPERLINK("https://lindat.mff.cuni.cz/services/teitok/pdtc10/index.php?action=vallex&amp;frame=v-w5388f9_ZU", "působit (v-w5388f9_ZU) - substituted with v-w5388f17_ZU")</f>
        <v>působit (v-w5388f9_ZU) - substituted with v-w5388f17_ZU</v>
      </c>
    </row>
    <row r="39965" spans="1:2" x14ac:dyDescent="0.2">
      <c r="B39965" t="s">
        <v>12912</v>
      </c>
    </row>
    <row r="39966" spans="1:2" x14ac:dyDescent="0.2">
      <c r="B39966" t="s">
        <v>46</v>
      </c>
    </row>
    <row r="39967" spans="1:2" x14ac:dyDescent="0.2">
      <c r="B39967" t="s">
        <v>3495</v>
      </c>
    </row>
    <row r="39968" spans="1:2" x14ac:dyDescent="0.2">
      <c r="B39968" t="s">
        <v>12913</v>
      </c>
    </row>
    <row r="39970" spans="1:4" x14ac:dyDescent="0.2">
      <c r="A39970" t="s">
        <v>12916</v>
      </c>
      <c r="B39970" t="str">
        <f>HYPERLINK("https://lindat.mff.cuni.cz/services/teitok/pdtc10/index.php?action=vallex&amp;frame=v-w5388f2", "působit (v-w5388f2)")</f>
        <v>působit (v-w5388f2)</v>
      </c>
    </row>
    <row r="39971" spans="1:4" x14ac:dyDescent="0.2">
      <c r="B39971" t="s">
        <v>1</v>
      </c>
      <c r="C39971" t="s">
        <v>12917</v>
      </c>
      <c r="D39971" t="s">
        <v>23034</v>
      </c>
    </row>
    <row r="39973" spans="1:4" x14ac:dyDescent="0.2">
      <c r="A39973" t="s">
        <v>12918</v>
      </c>
      <c r="B39973" t="str">
        <f>HYPERLINK("https://lindat.mff.cuni.cz/services/teitok/pdtc10/index.php?action=vallex&amp;frame=v-w5388f16_ZU", "působit (v-w5388f16_ZU)")</f>
        <v>působit (v-w5388f16_ZU)</v>
      </c>
    </row>
    <row r="39974" spans="1:4" x14ac:dyDescent="0.2">
      <c r="B39974" t="s">
        <v>1</v>
      </c>
    </row>
    <row r="39976" spans="1:4" x14ac:dyDescent="0.2">
      <c r="A39976" t="s">
        <v>12919</v>
      </c>
      <c r="B39976" t="str">
        <f>HYPERLINK("https://lindat.mff.cuni.cz/services/teitok/pdtc10/index.php?action=vallex&amp;frame=v-w5388hsa_50", "působit (v-w5388hsa_50)")</f>
        <v>působit (v-w5388hsa_50)</v>
      </c>
    </row>
    <row r="39977" spans="1:4" x14ac:dyDescent="0.2">
      <c r="B39977" t="s">
        <v>1</v>
      </c>
    </row>
    <row r="39978" spans="1:4" x14ac:dyDescent="0.2">
      <c r="B39978" t="s">
        <v>41</v>
      </c>
    </row>
    <row r="39980" spans="1:4" x14ac:dyDescent="0.2">
      <c r="A39980" t="s">
        <v>12920</v>
      </c>
      <c r="B39980" t="str">
        <f>HYPERLINK("https://lindat.mff.cuni.cz/services/teitok/pdtc10/index.php?action=vallex&amp;frame=v-whsa_1070hsa_1071", "rabovat (v-whsa_1070hsa_1071)")</f>
        <v>rabovat (v-whsa_1070hsa_1071)</v>
      </c>
    </row>
    <row r="39981" spans="1:4" x14ac:dyDescent="0.2">
      <c r="B39981" t="s">
        <v>1</v>
      </c>
    </row>
    <row r="39982" spans="1:4" x14ac:dyDescent="0.2">
      <c r="B39982" t="s">
        <v>8</v>
      </c>
      <c r="D39982" t="s">
        <v>113</v>
      </c>
    </row>
    <row r="39984" spans="1:4" x14ac:dyDescent="0.2">
      <c r="A39984" t="s">
        <v>12921</v>
      </c>
      <c r="B39984" t="str">
        <f>HYPERLINK("https://lindat.mff.cuni.cz/services/teitok/pdtc10/index.php?action=vallex&amp;frame=v-whsa_1068hsa_1069", "rabovat (v-whsa_1068hsa_1069)")</f>
        <v>rabovat (v-whsa_1068hsa_1069)</v>
      </c>
    </row>
    <row r="39985" spans="1:4" x14ac:dyDescent="0.2">
      <c r="B39985" t="s">
        <v>1</v>
      </c>
    </row>
    <row r="39987" spans="1:4" x14ac:dyDescent="0.2">
      <c r="A39987" t="s">
        <v>12922</v>
      </c>
      <c r="B39987" t="str">
        <f>HYPERLINK("https://lindat.mff.cuni.cz/services/teitok/pdtc10/index.php?action=vallex&amp;frame=v-whsb_1068hsa_1069", "rabovat (v-whsb_1068hsa_1069)")</f>
        <v>rabovat (v-whsb_1068hsa_1069)</v>
      </c>
    </row>
    <row r="39988" spans="1:4" x14ac:dyDescent="0.2">
      <c r="B39988" t="s">
        <v>1</v>
      </c>
    </row>
    <row r="39989" spans="1:4" x14ac:dyDescent="0.2">
      <c r="B39989" t="s">
        <v>8</v>
      </c>
    </row>
    <row r="39991" spans="1:4" x14ac:dyDescent="0.2">
      <c r="A39991" t="s">
        <v>12923</v>
      </c>
      <c r="B39991" t="str">
        <f>HYPERLINK("https://lindat.mff.cuni.cz/services/teitok/pdtc10/index.php?action=vallex&amp;frame=v-whsa_1068hsa_1070", "rabovat (v-whsa_1068hsa_1070)")</f>
        <v>rabovat (v-whsa_1068hsa_1070)</v>
      </c>
    </row>
    <row r="39992" spans="1:4" x14ac:dyDescent="0.2">
      <c r="B39992" t="s">
        <v>1</v>
      </c>
    </row>
    <row r="39993" spans="1:4" x14ac:dyDescent="0.2">
      <c r="B39993" t="s">
        <v>8</v>
      </c>
    </row>
    <row r="39995" spans="1:4" x14ac:dyDescent="0.2">
      <c r="A39995" t="s">
        <v>12924</v>
      </c>
      <c r="B39995" t="str">
        <f>HYPERLINK("https://lindat.mff.cuni.cz/services/teitok/pdtc10/index.php?action=vallex&amp;frame=v-whsa_1070f1_ZU", "rabovat (v-whsa_1070f1_ZU)")</f>
        <v>rabovat (v-whsa_1070f1_ZU)</v>
      </c>
    </row>
    <row r="39996" spans="1:4" x14ac:dyDescent="0.2">
      <c r="B39996" t="s">
        <v>1</v>
      </c>
    </row>
    <row r="39997" spans="1:4" x14ac:dyDescent="0.2">
      <c r="B39997" t="s">
        <v>8</v>
      </c>
    </row>
    <row r="39999" spans="1:4" x14ac:dyDescent="0.2">
      <c r="A39999" t="s">
        <v>12925</v>
      </c>
      <c r="B39999" t="str">
        <f>HYPERLINK("https://lindat.mff.cuni.cz/services/teitok/pdtc10/index.php?action=vallex&amp;frame=v-w10989f2", "rachotit (v-w10989f2)")</f>
        <v>rachotit (v-w10989f2)</v>
      </c>
    </row>
    <row r="40000" spans="1:4" x14ac:dyDescent="0.2">
      <c r="B40000" t="s">
        <v>1</v>
      </c>
      <c r="D40000" t="s">
        <v>1709</v>
      </c>
    </row>
    <row r="40002" spans="1:4" x14ac:dyDescent="0.2">
      <c r="A40002" t="s">
        <v>12926</v>
      </c>
      <c r="B40002" t="str">
        <f>HYPERLINK("https://lindat.mff.cuni.cz/services/teitok/pdtc10/index.php?action=vallex&amp;frame=v-whsa_1239hsa_1240", "rachtat (v-whsa_1239hsa_1240)")</f>
        <v>rachtat (v-whsa_1239hsa_1240)</v>
      </c>
    </row>
    <row r="40003" spans="1:4" x14ac:dyDescent="0.2">
      <c r="B40003" t="s">
        <v>1</v>
      </c>
    </row>
    <row r="40005" spans="1:4" x14ac:dyDescent="0.2">
      <c r="A40005" t="s">
        <v>12927</v>
      </c>
      <c r="B40005" t="str">
        <f>HYPERLINK("https://lindat.mff.cuni.cz/services/teitok/pdtc10/index.php?action=vallex&amp;frame=v-w5400f1", "racionalizovat (v-w5400f1)")</f>
        <v>racionalizovat (v-w5400f1)</v>
      </c>
    </row>
    <row r="40006" spans="1:4" x14ac:dyDescent="0.2">
      <c r="B40006" t="s">
        <v>1</v>
      </c>
    </row>
    <row r="40007" spans="1:4" x14ac:dyDescent="0.2">
      <c r="B40007" t="s">
        <v>8</v>
      </c>
    </row>
    <row r="40009" spans="1:4" x14ac:dyDescent="0.2">
      <c r="A40009" t="s">
        <v>12928</v>
      </c>
      <c r="B40009" t="str">
        <f>HYPERLINK("https://lindat.mff.cuni.cz/services/teitok/pdtc10/index.php?action=vallex&amp;frame=v-w5405f1", "radikalizovat (v-w5405f1)")</f>
        <v>radikalizovat (v-w5405f1)</v>
      </c>
    </row>
    <row r="40010" spans="1:4" x14ac:dyDescent="0.2">
      <c r="B40010" t="s">
        <v>1</v>
      </c>
    </row>
    <row r="40011" spans="1:4" x14ac:dyDescent="0.2">
      <c r="B40011" t="s">
        <v>8</v>
      </c>
    </row>
    <row r="40013" spans="1:4" x14ac:dyDescent="0.2">
      <c r="A40013" t="s">
        <v>12929</v>
      </c>
      <c r="B40013" t="str">
        <f>HYPERLINK("https://lindat.mff.cuni.cz/services/teitok/pdtc10/index.php?action=vallex&amp;frame=v-w5406f3_ZU", "radit (v-w5406f3_ZU)")</f>
        <v>radit (v-w5406f3_ZU)</v>
      </c>
    </row>
    <row r="40014" spans="1:4" x14ac:dyDescent="0.2">
      <c r="B40014" t="s">
        <v>1</v>
      </c>
      <c r="C40014" t="s">
        <v>1504</v>
      </c>
      <c r="D40014" t="s">
        <v>4958</v>
      </c>
    </row>
    <row r="40015" spans="1:4" x14ac:dyDescent="0.2">
      <c r="B40015" t="s">
        <v>12930</v>
      </c>
      <c r="C40015" t="s">
        <v>12931</v>
      </c>
      <c r="D40015" t="s">
        <v>23172</v>
      </c>
    </row>
    <row r="40016" spans="1:4" x14ac:dyDescent="0.2">
      <c r="B40016" t="s">
        <v>35</v>
      </c>
      <c r="C40016" t="s">
        <v>12932</v>
      </c>
      <c r="D40016" t="s">
        <v>23173</v>
      </c>
    </row>
    <row r="40018" spans="1:3" x14ac:dyDescent="0.2">
      <c r="A40018" t="s">
        <v>12929</v>
      </c>
      <c r="B40018" t="str">
        <f>HYPERLINK("https://lindat.mff.cuni.cz/services/teitok/pdtc10/index.php?action=vallex&amp;frame=v-w5406f1", "radit (v-w5406f1) - substituted with v-w5406f3_ZU")</f>
        <v>radit (v-w5406f1) - substituted with v-w5406f3_ZU</v>
      </c>
    </row>
    <row r="40019" spans="1:3" x14ac:dyDescent="0.2">
      <c r="B40019" t="s">
        <v>1</v>
      </c>
      <c r="C40019" t="s">
        <v>12933</v>
      </c>
    </row>
    <row r="40020" spans="1:3" x14ac:dyDescent="0.2">
      <c r="B40020" t="s">
        <v>12930</v>
      </c>
      <c r="C40020" t="s">
        <v>12934</v>
      </c>
    </row>
    <row r="40021" spans="1:3" x14ac:dyDescent="0.2">
      <c r="B40021" t="s">
        <v>35</v>
      </c>
      <c r="C40021" t="s">
        <v>12935</v>
      </c>
    </row>
    <row r="40023" spans="1:3" x14ac:dyDescent="0.2">
      <c r="A40023" t="s">
        <v>12936</v>
      </c>
      <c r="B40023" t="str">
        <f>HYPERLINK("https://lindat.mff.cuni.cz/services/teitok/pdtc10/index.php?action=vallex&amp;frame=v-w5406f2", "radit (v-w5406f2)")</f>
        <v>radit (v-w5406f2)</v>
      </c>
    </row>
    <row r="40024" spans="1:3" x14ac:dyDescent="0.2">
      <c r="B40024" t="s">
        <v>1</v>
      </c>
      <c r="C40024" t="s">
        <v>249</v>
      </c>
    </row>
    <row r="40025" spans="1:3" x14ac:dyDescent="0.2">
      <c r="B40025" t="s">
        <v>103</v>
      </c>
      <c r="C40025" t="s">
        <v>7613</v>
      </c>
    </row>
    <row r="40026" spans="1:3" x14ac:dyDescent="0.2">
      <c r="B40026" t="s">
        <v>415</v>
      </c>
    </row>
    <row r="40027" spans="1:3" x14ac:dyDescent="0.2">
      <c r="B40027" t="s">
        <v>346</v>
      </c>
    </row>
    <row r="40028" spans="1:3" x14ac:dyDescent="0.2">
      <c r="B40028" t="s">
        <v>349</v>
      </c>
    </row>
    <row r="40029" spans="1:3" x14ac:dyDescent="0.2">
      <c r="B40029" t="s">
        <v>350</v>
      </c>
    </row>
    <row r="40030" spans="1:3" x14ac:dyDescent="0.2">
      <c r="B40030" t="s">
        <v>351</v>
      </c>
    </row>
    <row r="40032" spans="1:3" x14ac:dyDescent="0.2">
      <c r="A40032" t="s">
        <v>12937</v>
      </c>
      <c r="B40032" t="str">
        <f>HYPERLINK("https://lindat.mff.cuni.cz/services/teitok/pdtc10/index.php?action=vallex&amp;frame=v-w5407hsa_875", "radit se (v-w5407hsa_875)")</f>
        <v>radit se (v-w5407hsa_875)</v>
      </c>
    </row>
    <row r="40033" spans="1:4" x14ac:dyDescent="0.2">
      <c r="B40033" t="s">
        <v>1</v>
      </c>
      <c r="C40033" t="s">
        <v>249</v>
      </c>
      <c r="D40033" t="s">
        <v>22973</v>
      </c>
    </row>
    <row r="40034" spans="1:4" x14ac:dyDescent="0.2">
      <c r="B40034" t="s">
        <v>153</v>
      </c>
      <c r="C40034" t="s">
        <v>12938</v>
      </c>
      <c r="D40034" t="s">
        <v>22975</v>
      </c>
    </row>
    <row r="40035" spans="1:4" x14ac:dyDescent="0.2">
      <c r="B40035" t="s">
        <v>12939</v>
      </c>
      <c r="C40035" t="s">
        <v>2902</v>
      </c>
      <c r="D40035" t="s">
        <v>22974</v>
      </c>
    </row>
    <row r="40037" spans="1:4" x14ac:dyDescent="0.2">
      <c r="A40037" t="s">
        <v>12937</v>
      </c>
      <c r="B40037" t="str">
        <f>HYPERLINK("https://lindat.mff.cuni.cz/services/teitok/pdtc10/index.php?action=vallex&amp;frame=v-w5407f1", "radit se (v-w5407f1) - substituted with v-w5407hsa_875")</f>
        <v>radit se (v-w5407f1) - substituted with v-w5407hsa_875</v>
      </c>
    </row>
    <row r="40038" spans="1:4" x14ac:dyDescent="0.2">
      <c r="B40038" t="s">
        <v>1</v>
      </c>
      <c r="C40038" t="s">
        <v>12940</v>
      </c>
    </row>
    <row r="40039" spans="1:4" x14ac:dyDescent="0.2">
      <c r="B40039" t="s">
        <v>153</v>
      </c>
      <c r="C40039" t="s">
        <v>12941</v>
      </c>
    </row>
    <row r="40040" spans="1:4" x14ac:dyDescent="0.2">
      <c r="B40040" t="s">
        <v>12939</v>
      </c>
      <c r="C40040" t="s">
        <v>12942</v>
      </c>
    </row>
    <row r="40042" spans="1:4" x14ac:dyDescent="0.2">
      <c r="A40042" t="s">
        <v>12943</v>
      </c>
      <c r="B40042" t="str">
        <f>HYPERLINK("https://lindat.mff.cuni.cz/services/teitok/pdtc10/index.php?action=vallex&amp;frame=v-w5409f1", "radovat se (v-w5409f1)")</f>
        <v>radovat se (v-w5409f1)</v>
      </c>
    </row>
    <row r="40043" spans="1:4" x14ac:dyDescent="0.2">
      <c r="B40043" t="s">
        <v>1</v>
      </c>
      <c r="C40043" t="s">
        <v>12944</v>
      </c>
      <c r="D40043" t="s">
        <v>2400</v>
      </c>
    </row>
    <row r="40044" spans="1:4" x14ac:dyDescent="0.2">
      <c r="B40044" t="s">
        <v>6427</v>
      </c>
      <c r="C40044" t="s">
        <v>6554</v>
      </c>
      <c r="D40044" t="s">
        <v>23178</v>
      </c>
    </row>
    <row r="40046" spans="1:4" x14ac:dyDescent="0.2">
      <c r="A40046" t="s">
        <v>12945</v>
      </c>
      <c r="B40046" t="str">
        <f>HYPERLINK("https://lindat.mff.cuni.cz/services/teitok/pdtc10/index.php?action=vallex&amp;frame=v-w5414f1", "ranit (v-w5414f1)")</f>
        <v>ranit (v-w5414f1)</v>
      </c>
    </row>
    <row r="40047" spans="1:4" x14ac:dyDescent="0.2">
      <c r="B40047" t="s">
        <v>1</v>
      </c>
      <c r="C40047" t="s">
        <v>12946</v>
      </c>
    </row>
    <row r="40048" spans="1:4" x14ac:dyDescent="0.2">
      <c r="B40048" t="s">
        <v>8</v>
      </c>
      <c r="C40048" t="s">
        <v>5971</v>
      </c>
    </row>
    <row r="40050" spans="1:4" x14ac:dyDescent="0.2">
      <c r="A40050" t="s">
        <v>12947</v>
      </c>
      <c r="B40050" t="str">
        <f>HYPERLINK("https://lindat.mff.cuni.cz/services/teitok/pdtc10/index.php?action=vallex&amp;frame=v-w5414f2", "ranit (v-w5414f2)")</f>
        <v>ranit (v-w5414f2)</v>
      </c>
    </row>
    <row r="40051" spans="1:4" x14ac:dyDescent="0.2">
      <c r="B40051" t="s">
        <v>1</v>
      </c>
    </row>
    <row r="40052" spans="1:4" x14ac:dyDescent="0.2">
      <c r="B40052" t="s">
        <v>8</v>
      </c>
    </row>
    <row r="40054" spans="1:4" x14ac:dyDescent="0.2">
      <c r="A40054" t="s">
        <v>12948</v>
      </c>
      <c r="B40054" t="str">
        <f>HYPERLINK("https://lindat.mff.cuni.cz/services/teitok/pdtc10/index.php?action=vallex&amp;frame=v-w5416f1", "ratifikovat (v-w5416f1)")</f>
        <v>ratifikovat (v-w5416f1)</v>
      </c>
    </row>
    <row r="40055" spans="1:4" x14ac:dyDescent="0.2">
      <c r="B40055" t="s">
        <v>1</v>
      </c>
      <c r="C40055" t="s">
        <v>2239</v>
      </c>
      <c r="D40055" t="s">
        <v>22965</v>
      </c>
    </row>
    <row r="40056" spans="1:4" x14ac:dyDescent="0.2">
      <c r="B40056" t="s">
        <v>8</v>
      </c>
      <c r="C40056" t="s">
        <v>56</v>
      </c>
      <c r="D40056" t="s">
        <v>22966</v>
      </c>
    </row>
    <row r="40058" spans="1:4" x14ac:dyDescent="0.2">
      <c r="A40058" t="s">
        <v>12949</v>
      </c>
      <c r="B40058" t="str">
        <f>HYPERLINK("https://lindat.mff.cuni.cz/services/teitok/pdtc10/index.php?action=vallex&amp;frame=v-w5417f1", "razit (v-w5417f1)")</f>
        <v>razit (v-w5417f1)</v>
      </c>
    </row>
    <row r="40059" spans="1:4" x14ac:dyDescent="0.2">
      <c r="B40059" t="s">
        <v>1</v>
      </c>
    </row>
    <row r="40060" spans="1:4" x14ac:dyDescent="0.2">
      <c r="B40060" t="s">
        <v>7272</v>
      </c>
    </row>
    <row r="40062" spans="1:4" x14ac:dyDescent="0.2">
      <c r="A40062" t="s">
        <v>12950</v>
      </c>
      <c r="B40062" t="str">
        <f>HYPERLINK("https://lindat.mff.cuni.cz/services/teitok/pdtc10/index.php?action=vallex&amp;frame=v-w5417hsa_923", "razit (v-w5417hsa_923)")</f>
        <v>razit (v-w5417hsa_923)</v>
      </c>
    </row>
    <row r="40063" spans="1:4" x14ac:dyDescent="0.2">
      <c r="B40063" t="s">
        <v>1</v>
      </c>
    </row>
    <row r="40064" spans="1:4" x14ac:dyDescent="0.2">
      <c r="B40064" t="s">
        <v>8</v>
      </c>
    </row>
    <row r="40066" spans="1:4" x14ac:dyDescent="0.2">
      <c r="A40066" t="s">
        <v>12951</v>
      </c>
      <c r="B40066" t="str">
        <f>HYPERLINK("https://lindat.mff.cuni.cz/services/teitok/pdtc10/index.php?action=vallex&amp;frame=v-w10827f2", "razítkovat (v-w10827f2)")</f>
        <v>razítkovat (v-w10827f2)</v>
      </c>
    </row>
    <row r="40067" spans="1:4" x14ac:dyDescent="0.2">
      <c r="B40067" t="s">
        <v>1</v>
      </c>
    </row>
    <row r="40068" spans="1:4" x14ac:dyDescent="0.2">
      <c r="B40068" t="s">
        <v>8</v>
      </c>
    </row>
    <row r="40070" spans="1:4" x14ac:dyDescent="0.2">
      <c r="A40070" t="s">
        <v>12952</v>
      </c>
      <c r="B40070" t="str">
        <f>HYPERLINK("https://lindat.mff.cuni.cz/services/teitok/pdtc10/index.php?action=vallex&amp;frame=v-w5422f1", "reagovat (v-w5422f1)")</f>
        <v>reagovat (v-w5422f1)</v>
      </c>
    </row>
    <row r="40071" spans="1:4" x14ac:dyDescent="0.2">
      <c r="B40071" t="s">
        <v>1</v>
      </c>
      <c r="C40071" t="s">
        <v>12953</v>
      </c>
      <c r="D40071" t="s">
        <v>3597</v>
      </c>
    </row>
    <row r="40072" spans="1:4" x14ac:dyDescent="0.2">
      <c r="B40072" t="s">
        <v>28</v>
      </c>
      <c r="C40072" t="s">
        <v>12954</v>
      </c>
      <c r="D40072" t="s">
        <v>23660</v>
      </c>
    </row>
    <row r="40074" spans="1:4" x14ac:dyDescent="0.2">
      <c r="A40074" t="s">
        <v>12955</v>
      </c>
      <c r="B40074" t="str">
        <f>HYPERLINK("https://lindat.mff.cuni.cz/services/teitok/pdtc10/index.php?action=vallex&amp;frame=v-w5422hsa_652", "reagovat (v-w5422hsa_652)")</f>
        <v>reagovat (v-w5422hsa_652)</v>
      </c>
    </row>
    <row r="40075" spans="1:4" x14ac:dyDescent="0.2">
      <c r="B40075" t="s">
        <v>1</v>
      </c>
    </row>
    <row r="40076" spans="1:4" x14ac:dyDescent="0.2">
      <c r="B40076" t="s">
        <v>12956</v>
      </c>
    </row>
    <row r="40077" spans="1:4" x14ac:dyDescent="0.2">
      <c r="B40077" t="s">
        <v>46</v>
      </c>
    </row>
    <row r="40079" spans="1:4" x14ac:dyDescent="0.2">
      <c r="A40079" t="s">
        <v>12955</v>
      </c>
      <c r="B40079" t="str">
        <f>HYPERLINK("https://lindat.mff.cuni.cz/services/teitok/pdtc10/index.php?action=vallex&amp;frame=v-w5422f2", "reagovat (v-w5422f2) - substituted with v-w5422hsa_652")</f>
        <v>reagovat (v-w5422f2) - substituted with v-w5422hsa_652</v>
      </c>
    </row>
    <row r="40080" spans="1:4" x14ac:dyDescent="0.2">
      <c r="B40080" t="s">
        <v>1</v>
      </c>
    </row>
    <row r="40081" spans="1:4" x14ac:dyDescent="0.2">
      <c r="B40081" t="s">
        <v>12956</v>
      </c>
    </row>
    <row r="40082" spans="1:4" x14ac:dyDescent="0.2">
      <c r="B40082" t="s">
        <v>46</v>
      </c>
    </row>
    <row r="40084" spans="1:4" x14ac:dyDescent="0.2">
      <c r="A40084" t="s">
        <v>12957</v>
      </c>
      <c r="B40084" t="str">
        <f>HYPERLINK("https://lindat.mff.cuni.cz/services/teitok/pdtc10/index.php?action=vallex&amp;frame=v-w5428f1", "realizovat (v-w5428f1)")</f>
        <v>realizovat (v-w5428f1)</v>
      </c>
    </row>
    <row r="40085" spans="1:4" x14ac:dyDescent="0.2">
      <c r="B40085" t="s">
        <v>1</v>
      </c>
      <c r="C40085" t="s">
        <v>11609</v>
      </c>
      <c r="D40085" t="s">
        <v>24111</v>
      </c>
    </row>
    <row r="40086" spans="1:4" x14ac:dyDescent="0.2">
      <c r="B40086" t="s">
        <v>8</v>
      </c>
      <c r="C40086" t="s">
        <v>12958</v>
      </c>
      <c r="D40086" t="s">
        <v>24112</v>
      </c>
    </row>
    <row r="40087" spans="1:4" x14ac:dyDescent="0.2">
      <c r="B40087" t="s">
        <v>24</v>
      </c>
      <c r="D40087" t="s">
        <v>7067</v>
      </c>
    </row>
    <row r="40089" spans="1:4" x14ac:dyDescent="0.2">
      <c r="A40089" t="s">
        <v>12959</v>
      </c>
      <c r="B40089" t="str">
        <f>HYPERLINK("https://lindat.mff.cuni.cz/services/teitok/pdtc10/index.php?action=vallex&amp;frame=v-w5428f2", "realizovat (v-w5428f2)")</f>
        <v>realizovat (v-w5428f2)</v>
      </c>
    </row>
    <row r="40090" spans="1:4" x14ac:dyDescent="0.2">
      <c r="B40090" t="s">
        <v>1</v>
      </c>
      <c r="C40090" t="s">
        <v>12960</v>
      </c>
      <c r="D40090" t="s">
        <v>1792</v>
      </c>
    </row>
    <row r="40091" spans="1:4" x14ac:dyDescent="0.2">
      <c r="B40091" t="s">
        <v>172</v>
      </c>
      <c r="C40091" t="s">
        <v>12961</v>
      </c>
      <c r="D40091" t="s">
        <v>24113</v>
      </c>
    </row>
    <row r="40093" spans="1:4" x14ac:dyDescent="0.2">
      <c r="A40093" t="s">
        <v>12962</v>
      </c>
      <c r="B40093" t="str">
        <f>HYPERLINK("https://lindat.mff.cuni.cz/services/teitok/pdtc10/index.php?action=vallex&amp;frame=v-w5429f1", "realizovat se (v-w5429f1)")</f>
        <v>realizovat se (v-w5429f1)</v>
      </c>
    </row>
    <row r="40094" spans="1:4" x14ac:dyDescent="0.2">
      <c r="B40094" t="s">
        <v>1</v>
      </c>
    </row>
    <row r="40096" spans="1:4" x14ac:dyDescent="0.2">
      <c r="A40096" t="s">
        <v>12963</v>
      </c>
      <c r="B40096" t="str">
        <f>HYPERLINK("https://lindat.mff.cuni.cz/services/teitok/pdtc10/index.php?action=vallex&amp;frame=v-w5432f1", "recenzovat (v-w5432f1)")</f>
        <v>recenzovat (v-w5432f1)</v>
      </c>
    </row>
    <row r="40097" spans="1:4" x14ac:dyDescent="0.2">
      <c r="B40097" t="s">
        <v>1</v>
      </c>
      <c r="C40097" t="s">
        <v>1106</v>
      </c>
    </row>
    <row r="40098" spans="1:4" x14ac:dyDescent="0.2">
      <c r="B40098" t="s">
        <v>8</v>
      </c>
      <c r="C40098" t="s">
        <v>2262</v>
      </c>
    </row>
    <row r="40100" spans="1:4" x14ac:dyDescent="0.2">
      <c r="A40100" t="s">
        <v>12964</v>
      </c>
      <c r="B40100" t="str">
        <f>HYPERLINK("https://lindat.mff.cuni.cz/services/teitok/pdtc10/index.php?action=vallex&amp;frame=v-w5437f1", "recitovat (v-w5437f1)")</f>
        <v>recitovat (v-w5437f1)</v>
      </c>
    </row>
    <row r="40101" spans="1:4" x14ac:dyDescent="0.2">
      <c r="B40101" t="s">
        <v>1</v>
      </c>
    </row>
    <row r="40102" spans="1:4" x14ac:dyDescent="0.2">
      <c r="B40102" t="s">
        <v>8</v>
      </c>
    </row>
    <row r="40103" spans="1:4" x14ac:dyDescent="0.2">
      <c r="B40103" t="s">
        <v>78</v>
      </c>
    </row>
    <row r="40105" spans="1:4" x14ac:dyDescent="0.2">
      <c r="A40105" t="s">
        <v>12965</v>
      </c>
      <c r="B40105" t="str">
        <f>HYPERLINK("https://lindat.mff.cuni.cz/services/teitok/pdtc10/index.php?action=vallex&amp;frame=v-w5439f2_ZU", "recyklovat (v-w5439f2_ZU)")</f>
        <v>recyklovat (v-w5439f2_ZU)</v>
      </c>
    </row>
    <row r="40106" spans="1:4" x14ac:dyDescent="0.2">
      <c r="B40106" t="s">
        <v>1</v>
      </c>
      <c r="C40106" t="s">
        <v>140</v>
      </c>
      <c r="D40106" t="s">
        <v>140</v>
      </c>
    </row>
    <row r="40107" spans="1:4" x14ac:dyDescent="0.2">
      <c r="B40107" t="s">
        <v>8</v>
      </c>
      <c r="C40107" t="s">
        <v>1340</v>
      </c>
      <c r="D40107" t="s">
        <v>1340</v>
      </c>
    </row>
    <row r="40108" spans="1:4" x14ac:dyDescent="0.2">
      <c r="B40108" t="s">
        <v>61</v>
      </c>
    </row>
    <row r="40110" spans="1:4" x14ac:dyDescent="0.2">
      <c r="A40110" t="s">
        <v>12965</v>
      </c>
      <c r="B40110" t="str">
        <f>HYPERLINK("https://lindat.mff.cuni.cz/services/teitok/pdtc10/index.php?action=vallex&amp;frame=v-w5439f1", "recyklovat (v-w5439f1) - substituted with v-w5439f2_ZU")</f>
        <v>recyklovat (v-w5439f1) - substituted with v-w5439f2_ZU</v>
      </c>
    </row>
    <row r="40111" spans="1:4" x14ac:dyDescent="0.2">
      <c r="B40111" t="s">
        <v>1</v>
      </c>
      <c r="C40111" t="s">
        <v>16</v>
      </c>
    </row>
    <row r="40112" spans="1:4" x14ac:dyDescent="0.2">
      <c r="B40112" t="s">
        <v>8</v>
      </c>
      <c r="C40112" t="s">
        <v>2113</v>
      </c>
    </row>
    <row r="40113" spans="1:4" x14ac:dyDescent="0.2">
      <c r="B40113" t="s">
        <v>61</v>
      </c>
    </row>
    <row r="40115" spans="1:4" x14ac:dyDescent="0.2">
      <c r="A40115" t="s">
        <v>12966</v>
      </c>
      <c r="B40115" t="str">
        <f>HYPERLINK("https://lindat.mff.cuni.cz/services/teitok/pdtc10/index.php?action=vallex&amp;frame=v-w10244f2", "redefinovat (v-w10244f2)")</f>
        <v>redefinovat (v-w10244f2)</v>
      </c>
    </row>
    <row r="40116" spans="1:4" x14ac:dyDescent="0.2">
      <c r="B40116" t="s">
        <v>1</v>
      </c>
      <c r="C40116" t="s">
        <v>33</v>
      </c>
      <c r="D40116" t="s">
        <v>249</v>
      </c>
    </row>
    <row r="40117" spans="1:4" x14ac:dyDescent="0.2">
      <c r="B40117" t="s">
        <v>1284</v>
      </c>
      <c r="C40117" t="s">
        <v>991</v>
      </c>
      <c r="D40117" t="s">
        <v>1128</v>
      </c>
    </row>
    <row r="40119" spans="1:4" x14ac:dyDescent="0.2">
      <c r="A40119" t="s">
        <v>12967</v>
      </c>
      <c r="B40119" t="str">
        <f>HYPERLINK("https://lindat.mff.cuni.cz/services/teitok/pdtc10/index.php?action=vallex&amp;frame=v-w12234_ZUf1_ZU", "redigovat (v-w12234_ZUf1_ZU)")</f>
        <v>redigovat (v-w12234_ZUf1_ZU)</v>
      </c>
    </row>
    <row r="40120" spans="1:4" x14ac:dyDescent="0.2">
      <c r="B40120" t="s">
        <v>1</v>
      </c>
    </row>
    <row r="40121" spans="1:4" x14ac:dyDescent="0.2">
      <c r="B40121" t="s">
        <v>8</v>
      </c>
    </row>
    <row r="40123" spans="1:4" x14ac:dyDescent="0.2">
      <c r="A40123" t="s">
        <v>12968</v>
      </c>
      <c r="B40123" t="str">
        <f>HYPERLINK("https://lindat.mff.cuni.cz/services/teitok/pdtc10/index.php?action=vallex&amp;frame=v-w5445f1", "redukovat (v-w5445f1)")</f>
        <v>redukovat (v-w5445f1)</v>
      </c>
    </row>
    <row r="40124" spans="1:4" x14ac:dyDescent="0.2">
      <c r="B40124" t="s">
        <v>1</v>
      </c>
      <c r="C40124" t="s">
        <v>12969</v>
      </c>
      <c r="D40124" t="s">
        <v>23730</v>
      </c>
    </row>
    <row r="40125" spans="1:4" x14ac:dyDescent="0.2">
      <c r="B40125" t="s">
        <v>8</v>
      </c>
      <c r="C40125" t="s">
        <v>5947</v>
      </c>
      <c r="D40125" t="s">
        <v>23731</v>
      </c>
    </row>
    <row r="40126" spans="1:4" x14ac:dyDescent="0.2">
      <c r="B40126" t="s">
        <v>24</v>
      </c>
      <c r="C40126" t="s">
        <v>12970</v>
      </c>
      <c r="D40126" t="s">
        <v>23732</v>
      </c>
    </row>
    <row r="40127" spans="1:4" x14ac:dyDescent="0.2">
      <c r="B40127" t="s">
        <v>61</v>
      </c>
      <c r="C40127" t="s">
        <v>12971</v>
      </c>
      <c r="D40127" t="s">
        <v>23733</v>
      </c>
    </row>
    <row r="40129" spans="1:4" x14ac:dyDescent="0.2">
      <c r="A40129" t="s">
        <v>12972</v>
      </c>
      <c r="B40129" t="str">
        <f>HYPERLINK("https://lindat.mff.cuni.cz/services/teitok/pdtc10/index.php?action=vallex&amp;frame=v-w5451f1", "referovat (v-w5451f1)")</f>
        <v>referovat (v-w5451f1)</v>
      </c>
    </row>
    <row r="40130" spans="1:4" x14ac:dyDescent="0.2">
      <c r="B40130" t="s">
        <v>1</v>
      </c>
      <c r="C40130" t="s">
        <v>12973</v>
      </c>
      <c r="D40130" t="s">
        <v>22967</v>
      </c>
    </row>
    <row r="40131" spans="1:4" x14ac:dyDescent="0.2">
      <c r="B40131" t="s">
        <v>183</v>
      </c>
      <c r="C40131" t="s">
        <v>12974</v>
      </c>
      <c r="D40131" t="s">
        <v>22968</v>
      </c>
    </row>
    <row r="40132" spans="1:4" x14ac:dyDescent="0.2">
      <c r="B40132" t="s">
        <v>35</v>
      </c>
      <c r="C40132" t="s">
        <v>3280</v>
      </c>
      <c r="D40132" t="s">
        <v>22969</v>
      </c>
    </row>
    <row r="40134" spans="1:4" x14ac:dyDescent="0.2">
      <c r="A40134" t="s">
        <v>12975</v>
      </c>
      <c r="B40134" t="str">
        <f>HYPERLINK("https://lindat.mff.cuni.cz/services/teitok/pdtc10/index.php?action=vallex&amp;frame=v-w5451f2", "referovat (v-w5451f2)")</f>
        <v>referovat (v-w5451f2)</v>
      </c>
    </row>
    <row r="40135" spans="1:4" x14ac:dyDescent="0.2">
      <c r="B40135" t="s">
        <v>1</v>
      </c>
    </row>
    <row r="40136" spans="1:4" x14ac:dyDescent="0.2">
      <c r="B40136" t="s">
        <v>35</v>
      </c>
    </row>
    <row r="40137" spans="1:4" x14ac:dyDescent="0.2">
      <c r="B40137" t="s">
        <v>4749</v>
      </c>
    </row>
    <row r="40138" spans="1:4" x14ac:dyDescent="0.2">
      <c r="B40138" t="s">
        <v>269</v>
      </c>
    </row>
    <row r="40140" spans="1:4" x14ac:dyDescent="0.2">
      <c r="A40140" t="s">
        <v>12976</v>
      </c>
      <c r="B40140" t="str">
        <f>HYPERLINK("https://lindat.mff.cuni.cz/services/teitok/pdtc10/index.php?action=vallex&amp;frame=v-w10773f2", "refinancovat (v-w10773f2)")</f>
        <v>refinancovat (v-w10773f2)</v>
      </c>
    </row>
    <row r="40141" spans="1:4" x14ac:dyDescent="0.2">
      <c r="B40141" t="s">
        <v>1</v>
      </c>
      <c r="C40141" t="s">
        <v>140</v>
      </c>
      <c r="D40141" t="s">
        <v>23164</v>
      </c>
    </row>
    <row r="40142" spans="1:4" x14ac:dyDescent="0.2">
      <c r="B40142" t="s">
        <v>8</v>
      </c>
      <c r="C40142" t="s">
        <v>54</v>
      </c>
      <c r="D40142" t="s">
        <v>23165</v>
      </c>
    </row>
    <row r="40144" spans="1:4" x14ac:dyDescent="0.2">
      <c r="A40144" t="s">
        <v>12977</v>
      </c>
      <c r="B40144" t="str">
        <f>HYPERLINK("https://lindat.mff.cuni.cz/services/teitok/pdtc10/index.php?action=vallex&amp;frame=v-w5452f1", "reflektovat (v-w5452f1)")</f>
        <v>reflektovat (v-w5452f1)</v>
      </c>
    </row>
    <row r="40145" spans="1:4" x14ac:dyDescent="0.2">
      <c r="B40145" t="s">
        <v>1</v>
      </c>
      <c r="C40145" t="s">
        <v>7426</v>
      </c>
      <c r="D40145" t="s">
        <v>13243</v>
      </c>
    </row>
    <row r="40146" spans="1:4" x14ac:dyDescent="0.2">
      <c r="B40146" t="s">
        <v>124</v>
      </c>
      <c r="C40146" t="s">
        <v>7427</v>
      </c>
      <c r="D40146" t="s">
        <v>23359</v>
      </c>
    </row>
    <row r="40148" spans="1:4" x14ac:dyDescent="0.2">
      <c r="A40148" t="s">
        <v>12978</v>
      </c>
      <c r="B40148" t="str">
        <f>HYPERLINK("https://lindat.mff.cuni.cz/services/teitok/pdtc10/index.php?action=vallex&amp;frame=v-w5457f1", "reformovat (v-w5457f1)")</f>
        <v>reformovat (v-w5457f1)</v>
      </c>
    </row>
    <row r="40149" spans="1:4" x14ac:dyDescent="0.2">
      <c r="B40149" t="s">
        <v>1</v>
      </c>
    </row>
    <row r="40150" spans="1:4" x14ac:dyDescent="0.2">
      <c r="B40150" t="s">
        <v>8</v>
      </c>
      <c r="C40150" t="s">
        <v>56</v>
      </c>
    </row>
    <row r="40152" spans="1:4" x14ac:dyDescent="0.2">
      <c r="A40152" t="s">
        <v>12979</v>
      </c>
      <c r="B40152" t="str">
        <f>HYPERLINK("https://lindat.mff.cuni.cz/services/teitok/pdtc10/index.php?action=vallex&amp;frame=v-w5459f1", "regenerovat (v-w5459f1)")</f>
        <v>regenerovat (v-w5459f1)</v>
      </c>
    </row>
    <row r="40153" spans="1:4" x14ac:dyDescent="0.2">
      <c r="B40153" t="s">
        <v>1</v>
      </c>
      <c r="D40153" t="s">
        <v>23613</v>
      </c>
    </row>
    <row r="40154" spans="1:4" x14ac:dyDescent="0.2">
      <c r="B40154" t="s">
        <v>8</v>
      </c>
      <c r="C40154" t="s">
        <v>34</v>
      </c>
      <c r="D40154" t="s">
        <v>12206</v>
      </c>
    </row>
    <row r="40156" spans="1:4" x14ac:dyDescent="0.2">
      <c r="A40156" t="s">
        <v>12980</v>
      </c>
      <c r="B40156" t="str">
        <f>HYPERLINK("https://lindat.mff.cuni.cz/services/teitok/pdtc10/index.php?action=vallex&amp;frame=v-w5461f2", "registrovat (v-w5461f2)")</f>
        <v>registrovat (v-w5461f2)</v>
      </c>
    </row>
    <row r="40157" spans="1:4" x14ac:dyDescent="0.2">
      <c r="B40157" t="s">
        <v>1</v>
      </c>
      <c r="D40157" t="s">
        <v>3542</v>
      </c>
    </row>
    <row r="40158" spans="1:4" x14ac:dyDescent="0.2">
      <c r="B40158" t="s">
        <v>12981</v>
      </c>
      <c r="D40158" t="s">
        <v>1078</v>
      </c>
    </row>
    <row r="40160" spans="1:4" x14ac:dyDescent="0.2">
      <c r="A40160" t="s">
        <v>12982</v>
      </c>
      <c r="B40160" t="str">
        <f>HYPERLINK("https://lindat.mff.cuni.cz/services/teitok/pdtc10/index.php?action=vallex&amp;frame=v-w5461f1", "registrovat (v-w5461f1)")</f>
        <v>registrovat (v-w5461f1)</v>
      </c>
    </row>
    <row r="40161" spans="1:4" x14ac:dyDescent="0.2">
      <c r="B40161" t="s">
        <v>1</v>
      </c>
      <c r="C40161" t="s">
        <v>1349</v>
      </c>
      <c r="D40161" t="s">
        <v>1271</v>
      </c>
    </row>
    <row r="40162" spans="1:4" x14ac:dyDescent="0.2">
      <c r="B40162" t="s">
        <v>124</v>
      </c>
      <c r="C40162" t="s">
        <v>12983</v>
      </c>
      <c r="D40162" t="s">
        <v>24114</v>
      </c>
    </row>
    <row r="40164" spans="1:4" x14ac:dyDescent="0.2">
      <c r="A40164" t="s">
        <v>12984</v>
      </c>
      <c r="B40164" t="str">
        <f>HYPERLINK("https://lindat.mff.cuni.cz/services/teitok/pdtc10/index.php?action=vallex&amp;frame=v-w5465f1", "regulovat (v-w5465f1)")</f>
        <v>regulovat (v-w5465f1)</v>
      </c>
    </row>
    <row r="40165" spans="1:4" x14ac:dyDescent="0.2">
      <c r="B40165" t="s">
        <v>1</v>
      </c>
      <c r="C40165" t="s">
        <v>12985</v>
      </c>
      <c r="D40165" t="s">
        <v>23098</v>
      </c>
    </row>
    <row r="40166" spans="1:4" x14ac:dyDescent="0.2">
      <c r="B40166" t="s">
        <v>8</v>
      </c>
      <c r="C40166" t="s">
        <v>8988</v>
      </c>
      <c r="D40166" t="s">
        <v>16830</v>
      </c>
    </row>
    <row r="40168" spans="1:4" x14ac:dyDescent="0.2">
      <c r="A40168" t="s">
        <v>12986</v>
      </c>
      <c r="B40168" t="str">
        <f>HYPERLINK("https://lindat.mff.cuni.cz/services/teitok/pdtc10/index.php?action=vallex&amp;frame=v-w5467f1", "rehabilitovat (v-w5467f1)")</f>
        <v>rehabilitovat (v-w5467f1)</v>
      </c>
    </row>
    <row r="40169" spans="1:4" x14ac:dyDescent="0.2">
      <c r="B40169" t="s">
        <v>1</v>
      </c>
    </row>
    <row r="40170" spans="1:4" x14ac:dyDescent="0.2">
      <c r="B40170" t="s">
        <v>8</v>
      </c>
    </row>
    <row r="40172" spans="1:4" x14ac:dyDescent="0.2">
      <c r="A40172" t="s">
        <v>12987</v>
      </c>
      <c r="B40172" t="str">
        <f>HYPERLINK("https://lindat.mff.cuni.cz/services/teitok/pdtc10/index.php?action=vallex&amp;frame=v-w5468f1", "reinvestovat (v-w5468f1)")</f>
        <v>reinvestovat (v-w5468f1)</v>
      </c>
    </row>
    <row r="40173" spans="1:4" x14ac:dyDescent="0.2">
      <c r="B40173" t="s">
        <v>1</v>
      </c>
      <c r="C40173" t="s">
        <v>140</v>
      </c>
      <c r="D40173" t="s">
        <v>23066</v>
      </c>
    </row>
    <row r="40174" spans="1:4" x14ac:dyDescent="0.2">
      <c r="B40174" t="s">
        <v>8</v>
      </c>
      <c r="C40174" t="s">
        <v>991</v>
      </c>
      <c r="D40174" t="s">
        <v>23067</v>
      </c>
    </row>
    <row r="40175" spans="1:4" x14ac:dyDescent="0.2">
      <c r="B40175" t="s">
        <v>413</v>
      </c>
      <c r="D40175" t="s">
        <v>23252</v>
      </c>
    </row>
    <row r="40177" spans="1:4" x14ac:dyDescent="0.2">
      <c r="A40177" t="s">
        <v>12988</v>
      </c>
      <c r="B40177" t="str">
        <f>HYPERLINK("https://lindat.mff.cuni.cz/services/teitok/pdtc10/index.php?action=vallex&amp;frame=v-whsa_896hsa_897", "rekapitalizovat (v-whsa_896hsa_897)")</f>
        <v>rekapitalizovat (v-whsa_896hsa_897)</v>
      </c>
    </row>
    <row r="40178" spans="1:4" x14ac:dyDescent="0.2">
      <c r="B40178" t="s">
        <v>1</v>
      </c>
    </row>
    <row r="40179" spans="1:4" x14ac:dyDescent="0.2">
      <c r="B40179" t="s">
        <v>8</v>
      </c>
    </row>
    <row r="40180" spans="1:4" x14ac:dyDescent="0.2">
      <c r="B40180" t="s">
        <v>61</v>
      </c>
    </row>
    <row r="40182" spans="1:4" x14ac:dyDescent="0.2">
      <c r="A40182" t="s">
        <v>12989</v>
      </c>
      <c r="B40182" t="str">
        <f>HYPERLINK("https://lindat.mff.cuni.cz/services/teitok/pdtc10/index.php?action=vallex&amp;frame=v-w5472f1", "reklamovat (v-w5472f1)")</f>
        <v>reklamovat (v-w5472f1)</v>
      </c>
    </row>
    <row r="40183" spans="1:4" x14ac:dyDescent="0.2">
      <c r="B40183" t="s">
        <v>1</v>
      </c>
    </row>
    <row r="40184" spans="1:4" x14ac:dyDescent="0.2">
      <c r="B40184" t="s">
        <v>8</v>
      </c>
    </row>
    <row r="40186" spans="1:4" x14ac:dyDescent="0.2">
      <c r="A40186" t="s">
        <v>12990</v>
      </c>
      <c r="B40186" t="str">
        <f>HYPERLINK("https://lindat.mff.cuni.cz/services/teitok/pdtc10/index.php?action=vallex&amp;frame=v-w5474f1", "rekonstruovat (v-w5474f1)")</f>
        <v>rekonstruovat (v-w5474f1)</v>
      </c>
    </row>
    <row r="40187" spans="1:4" x14ac:dyDescent="0.2">
      <c r="B40187" t="s">
        <v>1</v>
      </c>
      <c r="C40187" t="s">
        <v>33</v>
      </c>
      <c r="D40187" t="s">
        <v>24115</v>
      </c>
    </row>
    <row r="40188" spans="1:4" x14ac:dyDescent="0.2">
      <c r="B40188" t="s">
        <v>8</v>
      </c>
      <c r="C40188" t="s">
        <v>34</v>
      </c>
      <c r="D40188" t="s">
        <v>24116</v>
      </c>
    </row>
    <row r="40189" spans="1:4" x14ac:dyDescent="0.2">
      <c r="B40189" t="s">
        <v>24</v>
      </c>
      <c r="D40189" t="s">
        <v>22946</v>
      </c>
    </row>
    <row r="40190" spans="1:4" x14ac:dyDescent="0.2">
      <c r="B40190" t="s">
        <v>61</v>
      </c>
      <c r="D40190" t="s">
        <v>22947</v>
      </c>
    </row>
    <row r="40192" spans="1:4" x14ac:dyDescent="0.2">
      <c r="A40192" t="s">
        <v>12991</v>
      </c>
      <c r="B40192" t="str">
        <f>HYPERLINK("https://lindat.mff.cuni.cz/services/teitok/pdtc10/index.php?action=vallex&amp;frame=v-w5474f2", "rekonstruovat (v-w5474f2)")</f>
        <v>rekonstruovat (v-w5474f2)</v>
      </c>
    </row>
    <row r="40193" spans="1:4" x14ac:dyDescent="0.2">
      <c r="B40193" t="s">
        <v>1</v>
      </c>
      <c r="D40193" t="s">
        <v>430</v>
      </c>
    </row>
    <row r="40194" spans="1:4" x14ac:dyDescent="0.2">
      <c r="B40194" t="s">
        <v>8</v>
      </c>
      <c r="D40194" t="s">
        <v>116</v>
      </c>
    </row>
    <row r="40195" spans="1:4" x14ac:dyDescent="0.2">
      <c r="B40195" t="s">
        <v>24</v>
      </c>
      <c r="D40195" t="s">
        <v>4604</v>
      </c>
    </row>
    <row r="40197" spans="1:4" x14ac:dyDescent="0.2">
      <c r="A40197" t="s">
        <v>12992</v>
      </c>
      <c r="B40197" t="str">
        <f>HYPERLINK("https://lindat.mff.cuni.cz/services/teitok/pdtc10/index.php?action=vallex&amp;frame=v-w11684_ZUf2_ZU", "rekreovat se (v-w11684_ZUf2_ZU)")</f>
        <v>rekreovat se (v-w11684_ZUf2_ZU)</v>
      </c>
    </row>
    <row r="40198" spans="1:4" x14ac:dyDescent="0.2">
      <c r="B40198" t="s">
        <v>1</v>
      </c>
    </row>
    <row r="40200" spans="1:4" x14ac:dyDescent="0.2">
      <c r="A40200" t="s">
        <v>12992</v>
      </c>
      <c r="B40200" t="str">
        <f>HYPERLINK("https://lindat.mff.cuni.cz/services/teitok/pdtc10/index.php?action=vallex&amp;frame=v-w11684_ZUf1_ZU", "rekreovat se (v-w11684_ZUf1_ZU) - substituted with v-w11684_ZUf2_ZU")</f>
        <v>rekreovat se (v-w11684_ZUf1_ZU) - substituted with v-w11684_ZUf2_ZU</v>
      </c>
    </row>
    <row r="40201" spans="1:4" x14ac:dyDescent="0.2">
      <c r="B40201" t="s">
        <v>1</v>
      </c>
    </row>
    <row r="40203" spans="1:4" x14ac:dyDescent="0.2">
      <c r="A40203" t="s">
        <v>12993</v>
      </c>
      <c r="B40203" t="str">
        <f>HYPERLINK("https://lindat.mff.cuni.cz/services/teitok/pdtc10/index.php?action=vallex&amp;frame=v-w11571_ZUf1_ZU", "rekrutovat (v-w11571_ZUf1_ZU)")</f>
        <v>rekrutovat (v-w11571_ZUf1_ZU)</v>
      </c>
    </row>
    <row r="40204" spans="1:4" x14ac:dyDescent="0.2">
      <c r="B40204" t="s">
        <v>1</v>
      </c>
      <c r="C40204" t="s">
        <v>334</v>
      </c>
    </row>
    <row r="40205" spans="1:4" x14ac:dyDescent="0.2">
      <c r="B40205" t="s">
        <v>8</v>
      </c>
      <c r="C40205" t="s">
        <v>335</v>
      </c>
    </row>
    <row r="40207" spans="1:4" x14ac:dyDescent="0.2">
      <c r="A40207" t="s">
        <v>12994</v>
      </c>
      <c r="B40207" t="str">
        <f>HYPERLINK("https://lindat.mff.cuni.cz/services/teitok/pdtc10/index.php?action=vallex&amp;frame=v-w5476f1", "rekrutovat se (v-w5476f1)")</f>
        <v>rekrutovat se (v-w5476f1)</v>
      </c>
    </row>
    <row r="40208" spans="1:4" x14ac:dyDescent="0.2">
      <c r="B40208" t="s">
        <v>1</v>
      </c>
    </row>
    <row r="40209" spans="1:3" x14ac:dyDescent="0.2">
      <c r="B40209" t="s">
        <v>168</v>
      </c>
    </row>
    <row r="40211" spans="1:3" x14ac:dyDescent="0.2">
      <c r="A40211" t="s">
        <v>12995</v>
      </c>
      <c r="B40211" t="str">
        <f>HYPERLINK("https://lindat.mff.cuni.cz/services/teitok/pdtc10/index.php?action=vallex&amp;frame=v-w5480f1", "rekvalifikovat se (v-w5480f1)")</f>
        <v>rekvalifikovat se (v-w5480f1)</v>
      </c>
    </row>
    <row r="40212" spans="1:3" x14ac:dyDescent="0.2">
      <c r="B40212" t="s">
        <v>1</v>
      </c>
    </row>
    <row r="40214" spans="1:3" x14ac:dyDescent="0.2">
      <c r="A40214" t="s">
        <v>12996</v>
      </c>
      <c r="B40214" t="str">
        <f>HYPERLINK("https://lindat.mff.cuni.cz/services/teitok/pdtc10/index.php?action=vallex&amp;frame=v-w5482f1", "relativizovat (v-w5482f1)")</f>
        <v>relativizovat (v-w5482f1)</v>
      </c>
    </row>
    <row r="40215" spans="1:3" x14ac:dyDescent="0.2">
      <c r="B40215" t="s">
        <v>1</v>
      </c>
    </row>
    <row r="40216" spans="1:3" x14ac:dyDescent="0.2">
      <c r="B40216" t="s">
        <v>8</v>
      </c>
    </row>
    <row r="40218" spans="1:3" x14ac:dyDescent="0.2">
      <c r="A40218" t="s">
        <v>12997</v>
      </c>
      <c r="B40218" t="str">
        <f>HYPERLINK("https://lindat.mff.cuni.cz/services/teitok/pdtc10/index.php?action=vallex&amp;frame=v-w5483f1", "relaxovat (v-w5483f1)")</f>
        <v>relaxovat (v-w5483f1)</v>
      </c>
    </row>
    <row r="40219" spans="1:3" x14ac:dyDescent="0.2">
      <c r="B40219" t="s">
        <v>1</v>
      </c>
      <c r="C40219" t="s">
        <v>2172</v>
      </c>
    </row>
    <row r="40221" spans="1:3" x14ac:dyDescent="0.2">
      <c r="A40221" t="s">
        <v>12998</v>
      </c>
      <c r="B40221" t="str">
        <f>HYPERLINK("https://lindat.mff.cuni.cz/services/teitok/pdtc10/index.php?action=vallex&amp;frame=v-whsb_726hsa_727", "relaxovat se (v-whsb_726hsa_727)")</f>
        <v>relaxovat se (v-whsb_726hsa_727)</v>
      </c>
    </row>
    <row r="40222" spans="1:3" x14ac:dyDescent="0.2">
      <c r="B40222" t="s">
        <v>1</v>
      </c>
    </row>
    <row r="40224" spans="1:3" x14ac:dyDescent="0.2">
      <c r="A40224" t="s">
        <v>12999</v>
      </c>
      <c r="B40224" t="str">
        <f>HYPERLINK("https://lindat.mff.cuni.cz/services/teitok/pdtc10/index.php?action=vallex&amp;frame=v-w5486f1", "remizovat (v-w5486f1)")</f>
        <v>remizovat (v-w5486f1)</v>
      </c>
    </row>
    <row r="40225" spans="1:3" x14ac:dyDescent="0.2">
      <c r="B40225" t="s">
        <v>1</v>
      </c>
    </row>
    <row r="40226" spans="1:3" x14ac:dyDescent="0.2">
      <c r="B40226" t="s">
        <v>231</v>
      </c>
    </row>
    <row r="40228" spans="1:3" x14ac:dyDescent="0.2">
      <c r="A40228" t="s">
        <v>13000</v>
      </c>
      <c r="B40228" t="str">
        <f>HYPERLINK("https://lindat.mff.cuni.cz/services/teitok/pdtc10/index.php?action=vallex&amp;frame=v-w5487f1", "remízovat (v-w5487f1)")</f>
        <v>remízovat (v-w5487f1)</v>
      </c>
    </row>
    <row r="40229" spans="1:3" x14ac:dyDescent="0.2">
      <c r="B40229" t="s">
        <v>1</v>
      </c>
    </row>
    <row r="40230" spans="1:3" x14ac:dyDescent="0.2">
      <c r="B40230" t="s">
        <v>411</v>
      </c>
    </row>
    <row r="40232" spans="1:3" x14ac:dyDescent="0.2">
      <c r="A40232" t="s">
        <v>13001</v>
      </c>
      <c r="B40232" t="str">
        <f>HYPERLINK("https://lindat.mff.cuni.cz/services/teitok/pdtc10/index.php?action=vallex&amp;frame=v-w10284f2", "renovovat (v-w10284f2)")</f>
        <v>renovovat (v-w10284f2)</v>
      </c>
    </row>
    <row r="40233" spans="1:3" x14ac:dyDescent="0.2">
      <c r="B40233" t="s">
        <v>1</v>
      </c>
      <c r="C40233" t="s">
        <v>249</v>
      </c>
    </row>
    <row r="40234" spans="1:3" x14ac:dyDescent="0.2">
      <c r="B40234" t="s">
        <v>8</v>
      </c>
      <c r="C40234" t="s">
        <v>1190</v>
      </c>
    </row>
    <row r="40236" spans="1:3" x14ac:dyDescent="0.2">
      <c r="A40236" t="s">
        <v>13002</v>
      </c>
      <c r="B40236" t="str">
        <f>HYPERLINK("https://lindat.mff.cuni.cz/services/teitok/pdtc10/index.php?action=vallex&amp;frame=v-w11091hsa_1229", "reorganizovat (v-w11091hsa_1229)")</f>
        <v>reorganizovat (v-w11091hsa_1229)</v>
      </c>
    </row>
    <row r="40237" spans="1:3" x14ac:dyDescent="0.2">
      <c r="B40237" t="s">
        <v>1</v>
      </c>
      <c r="C40237" t="s">
        <v>133</v>
      </c>
    </row>
    <row r="40238" spans="1:3" x14ac:dyDescent="0.2">
      <c r="B40238" t="s">
        <v>8</v>
      </c>
      <c r="C40238" t="s">
        <v>1128</v>
      </c>
    </row>
    <row r="40239" spans="1:3" x14ac:dyDescent="0.2">
      <c r="B40239" t="s">
        <v>61</v>
      </c>
      <c r="C40239" t="s">
        <v>5609</v>
      </c>
    </row>
    <row r="40241" spans="1:4" x14ac:dyDescent="0.2">
      <c r="A40241" t="s">
        <v>13002</v>
      </c>
      <c r="B40241" t="str">
        <f>HYPERLINK("https://lindat.mff.cuni.cz/services/teitok/pdtc10/index.php?action=vallex&amp;frame=v-w11091f2", "reorganizovat (v-w11091f2) - substituted with v-w11091hsa_1229")</f>
        <v>reorganizovat (v-w11091f2) - substituted with v-w11091hsa_1229</v>
      </c>
    </row>
    <row r="40242" spans="1:4" x14ac:dyDescent="0.2">
      <c r="B40242" t="s">
        <v>1</v>
      </c>
      <c r="C40242" t="s">
        <v>334</v>
      </c>
    </row>
    <row r="40243" spans="1:4" x14ac:dyDescent="0.2">
      <c r="B40243" t="s">
        <v>8</v>
      </c>
      <c r="C40243" t="s">
        <v>1510</v>
      </c>
    </row>
    <row r="40244" spans="1:4" x14ac:dyDescent="0.2">
      <c r="B40244" t="s">
        <v>61</v>
      </c>
    </row>
    <row r="40246" spans="1:4" x14ac:dyDescent="0.2">
      <c r="A40246" t="s">
        <v>13003</v>
      </c>
      <c r="B40246" t="str">
        <f>HYPERLINK("https://lindat.mff.cuni.cz/services/teitok/pdtc10/index.php?action=vallex&amp;frame=v-w10440f2", "repatriovat (v-w10440f2)")</f>
        <v>repatriovat (v-w10440f2)</v>
      </c>
    </row>
    <row r="40247" spans="1:4" x14ac:dyDescent="0.2">
      <c r="B40247" t="s">
        <v>1</v>
      </c>
      <c r="C40247" t="s">
        <v>140</v>
      </c>
      <c r="D40247" t="s">
        <v>140</v>
      </c>
    </row>
    <row r="40248" spans="1:4" x14ac:dyDescent="0.2">
      <c r="B40248" t="s">
        <v>8</v>
      </c>
      <c r="C40248" t="s">
        <v>113</v>
      </c>
      <c r="D40248" t="s">
        <v>1128</v>
      </c>
    </row>
    <row r="40249" spans="1:4" x14ac:dyDescent="0.2">
      <c r="B40249" t="s">
        <v>90</v>
      </c>
    </row>
    <row r="40251" spans="1:4" x14ac:dyDescent="0.2">
      <c r="A40251" t="s">
        <v>13004</v>
      </c>
      <c r="B40251" t="str">
        <f>HYPERLINK("https://lindat.mff.cuni.cz/services/teitok/pdtc10/index.php?action=vallex&amp;frame=v-w5500f1", "reprezentovat (v-w5500f1)")</f>
        <v>reprezentovat (v-w5500f1)</v>
      </c>
    </row>
    <row r="40252" spans="1:4" x14ac:dyDescent="0.2">
      <c r="B40252" t="s">
        <v>1</v>
      </c>
      <c r="C40252" t="s">
        <v>13005</v>
      </c>
      <c r="D40252" t="s">
        <v>13005</v>
      </c>
    </row>
    <row r="40253" spans="1:4" x14ac:dyDescent="0.2">
      <c r="B40253" t="s">
        <v>8</v>
      </c>
      <c r="C40253" t="s">
        <v>5591</v>
      </c>
      <c r="D40253" t="s">
        <v>14823</v>
      </c>
    </row>
    <row r="40255" spans="1:4" x14ac:dyDescent="0.2">
      <c r="A40255" t="s">
        <v>13006</v>
      </c>
      <c r="B40255" t="str">
        <f>HYPERLINK("https://lindat.mff.cuni.cz/services/teitok/pdtc10/index.php?action=vallex&amp;frame=v-w5504f1", "reprodukovat (v-w5504f1)")</f>
        <v>reprodukovat (v-w5504f1)</v>
      </c>
    </row>
    <row r="40256" spans="1:4" x14ac:dyDescent="0.2">
      <c r="B40256" t="s">
        <v>1</v>
      </c>
    </row>
    <row r="40257" spans="1:4" x14ac:dyDescent="0.2">
      <c r="B40257" t="s">
        <v>8</v>
      </c>
    </row>
    <row r="40259" spans="1:4" x14ac:dyDescent="0.2">
      <c r="A40259" t="s">
        <v>13007</v>
      </c>
      <c r="B40259" t="str">
        <f>HYPERLINK("https://lindat.mff.cuni.cz/services/teitok/pdtc10/index.php?action=vallex&amp;frame=v-w5504f3", "reprodukovat (v-w5504f3)")</f>
        <v>reprodukovat (v-w5504f3)</v>
      </c>
    </row>
    <row r="40260" spans="1:4" x14ac:dyDescent="0.2">
      <c r="B40260" t="s">
        <v>1</v>
      </c>
      <c r="C40260" t="s">
        <v>140</v>
      </c>
    </row>
    <row r="40261" spans="1:4" x14ac:dyDescent="0.2">
      <c r="B40261" t="s">
        <v>8</v>
      </c>
      <c r="C40261" t="s">
        <v>991</v>
      </c>
    </row>
    <row r="40263" spans="1:4" x14ac:dyDescent="0.2">
      <c r="A40263" t="s">
        <v>13008</v>
      </c>
      <c r="B40263" t="str">
        <f>HYPERLINK("https://lindat.mff.cuni.cz/services/teitok/pdtc10/index.php?action=vallex&amp;frame=v-w5504f2", "reprodukovat (v-w5504f2)")</f>
        <v>reprodukovat (v-w5504f2)</v>
      </c>
    </row>
    <row r="40264" spans="1:4" x14ac:dyDescent="0.2">
      <c r="B40264" t="s">
        <v>1</v>
      </c>
    </row>
    <row r="40265" spans="1:4" x14ac:dyDescent="0.2">
      <c r="B40265" t="s">
        <v>8</v>
      </c>
    </row>
    <row r="40267" spans="1:4" x14ac:dyDescent="0.2">
      <c r="A40267" t="s">
        <v>13009</v>
      </c>
      <c r="B40267" t="str">
        <f>HYPERLINK("https://lindat.mff.cuni.cz/services/teitok/pdtc10/index.php?action=vallex&amp;frame=v-w5505f1", "reprodukovat se (v-w5505f1)")</f>
        <v>reprodukovat se (v-w5505f1)</v>
      </c>
    </row>
    <row r="40268" spans="1:4" x14ac:dyDescent="0.2">
      <c r="B40268" t="s">
        <v>1</v>
      </c>
    </row>
    <row r="40270" spans="1:4" x14ac:dyDescent="0.2">
      <c r="A40270" t="s">
        <v>13010</v>
      </c>
      <c r="B40270" t="str">
        <f>HYPERLINK("https://lindat.mff.cuni.cz/services/teitok/pdtc10/index.php?action=vallex&amp;frame=v-w10975f2", "reptat (v-w10975f2)")</f>
        <v>reptat (v-w10975f2)</v>
      </c>
    </row>
    <row r="40271" spans="1:4" x14ac:dyDescent="0.2">
      <c r="B40271" t="s">
        <v>1</v>
      </c>
      <c r="C40271" t="s">
        <v>133</v>
      </c>
      <c r="D40271" t="s">
        <v>2533</v>
      </c>
    </row>
    <row r="40272" spans="1:4" x14ac:dyDescent="0.2">
      <c r="B40272" t="s">
        <v>452</v>
      </c>
      <c r="C40272" t="s">
        <v>34</v>
      </c>
      <c r="D40272" t="s">
        <v>7921</v>
      </c>
    </row>
    <row r="40274" spans="1:4" x14ac:dyDescent="0.2">
      <c r="A40274" t="s">
        <v>13011</v>
      </c>
      <c r="B40274" t="str">
        <f>HYPERLINK("https://lindat.mff.cuni.cz/services/teitok/pdtc10/index.php?action=vallex&amp;frame=v-w5508f1", "respektovat (v-w5508f1)")</f>
        <v>respektovat (v-w5508f1)</v>
      </c>
    </row>
    <row r="40275" spans="1:4" x14ac:dyDescent="0.2">
      <c r="B40275" t="s">
        <v>1</v>
      </c>
      <c r="C40275" t="s">
        <v>13012</v>
      </c>
      <c r="D40275" t="s">
        <v>23082</v>
      </c>
    </row>
    <row r="40276" spans="1:4" x14ac:dyDescent="0.2">
      <c r="B40276" t="s">
        <v>1417</v>
      </c>
      <c r="C40276" t="s">
        <v>3256</v>
      </c>
      <c r="D40276" t="s">
        <v>1478</v>
      </c>
    </row>
    <row r="40278" spans="1:4" x14ac:dyDescent="0.2">
      <c r="A40278" t="s">
        <v>13013</v>
      </c>
      <c r="B40278" t="str">
        <f>HYPERLINK("https://lindat.mff.cuni.cz/services/teitok/pdtc10/index.php?action=vallex&amp;frame=v-w12306_MMf1_MM", "restaurovat (v-w12306_MMf1_MM)")</f>
        <v>restaurovat (v-w12306_MMf1_MM)</v>
      </c>
    </row>
    <row r="40279" spans="1:4" x14ac:dyDescent="0.2">
      <c r="B40279" t="s">
        <v>1</v>
      </c>
    </row>
    <row r="40280" spans="1:4" x14ac:dyDescent="0.2">
      <c r="B40280" t="s">
        <v>8</v>
      </c>
    </row>
    <row r="40282" spans="1:4" x14ac:dyDescent="0.2">
      <c r="A40282" t="s">
        <v>13014</v>
      </c>
      <c r="B40282" t="str">
        <f>HYPERLINK("https://lindat.mff.cuni.cz/services/teitok/pdtc10/index.php?action=vallex&amp;frame=v-w12360_MMf1_MM", "restituovat (v-w12360_MMf1_MM)")</f>
        <v>restituovat (v-w12360_MMf1_MM)</v>
      </c>
    </row>
    <row r="40283" spans="1:4" x14ac:dyDescent="0.2">
      <c r="B40283" t="s">
        <v>1</v>
      </c>
    </row>
    <row r="40284" spans="1:4" x14ac:dyDescent="0.2">
      <c r="B40284" t="s">
        <v>8</v>
      </c>
    </row>
    <row r="40285" spans="1:4" x14ac:dyDescent="0.2">
      <c r="B40285" t="s">
        <v>321</v>
      </c>
    </row>
    <row r="40287" spans="1:4" x14ac:dyDescent="0.2">
      <c r="A40287" t="s">
        <v>13015</v>
      </c>
      <c r="B40287" t="str">
        <f>HYPERLINK("https://lindat.mff.cuni.cz/services/teitok/pdtc10/index.php?action=vallex&amp;frame=v-w5514hsa_440", "restrukturalizovat (v-w5514hsa_440)")</f>
        <v>restrukturalizovat (v-w5514hsa_440)</v>
      </c>
    </row>
    <row r="40288" spans="1:4" x14ac:dyDescent="0.2">
      <c r="B40288" t="s">
        <v>1</v>
      </c>
      <c r="C40288" t="s">
        <v>115</v>
      </c>
      <c r="D40288" t="s">
        <v>22944</v>
      </c>
    </row>
    <row r="40289" spans="1:4" x14ac:dyDescent="0.2">
      <c r="B40289" t="s">
        <v>8</v>
      </c>
      <c r="C40289" t="s">
        <v>4154</v>
      </c>
      <c r="D40289" t="s">
        <v>22945</v>
      </c>
    </row>
    <row r="40290" spans="1:4" x14ac:dyDescent="0.2">
      <c r="B40290" t="s">
        <v>61</v>
      </c>
      <c r="C40290" t="s">
        <v>4156</v>
      </c>
      <c r="D40290" t="s">
        <v>22947</v>
      </c>
    </row>
    <row r="40292" spans="1:4" x14ac:dyDescent="0.2">
      <c r="A40292" t="s">
        <v>13015</v>
      </c>
      <c r="B40292" t="str">
        <f>HYPERLINK("https://lindat.mff.cuni.cz/services/teitok/pdtc10/index.php?action=vallex&amp;frame=v-w5514f1", "restrukturalizovat (v-w5514f1) - substituted with v-w5514hsa_440")</f>
        <v>restrukturalizovat (v-w5514f1) - substituted with v-w5514hsa_440</v>
      </c>
    </row>
    <row r="40293" spans="1:4" x14ac:dyDescent="0.2">
      <c r="B40293" t="s">
        <v>1</v>
      </c>
      <c r="C40293" t="s">
        <v>2409</v>
      </c>
    </row>
    <row r="40294" spans="1:4" x14ac:dyDescent="0.2">
      <c r="B40294" t="s">
        <v>8</v>
      </c>
      <c r="C40294" t="s">
        <v>13016</v>
      </c>
    </row>
    <row r="40295" spans="1:4" x14ac:dyDescent="0.2">
      <c r="B40295" t="s">
        <v>61</v>
      </c>
    </row>
    <row r="40297" spans="1:4" x14ac:dyDescent="0.2">
      <c r="A40297" t="s">
        <v>13017</v>
      </c>
      <c r="B40297" t="str">
        <f>HYPERLINK("https://lindat.mff.cuni.cz/services/teitok/pdtc10/index.php?action=vallex&amp;frame=v-w11481f1", "restrukturalizovat se (v-w11481f1)")</f>
        <v>restrukturalizovat se (v-w11481f1)</v>
      </c>
    </row>
    <row r="40298" spans="1:4" x14ac:dyDescent="0.2">
      <c r="B40298" t="s">
        <v>1</v>
      </c>
      <c r="C40298" t="s">
        <v>13018</v>
      </c>
      <c r="D40298" t="s">
        <v>23506</v>
      </c>
    </row>
    <row r="40299" spans="1:4" x14ac:dyDescent="0.2">
      <c r="B40299" t="s">
        <v>5406</v>
      </c>
      <c r="C40299" t="s">
        <v>13016</v>
      </c>
      <c r="D40299" t="s">
        <v>23507</v>
      </c>
    </row>
    <row r="40300" spans="1:4" x14ac:dyDescent="0.2">
      <c r="B40300" t="s">
        <v>24</v>
      </c>
      <c r="C40300" t="s">
        <v>4604</v>
      </c>
      <c r="D40300" t="s">
        <v>11827</v>
      </c>
    </row>
    <row r="40302" spans="1:4" x14ac:dyDescent="0.2">
      <c r="A40302" t="s">
        <v>13019</v>
      </c>
      <c r="B40302" t="str">
        <f>HYPERLINK("https://lindat.mff.cuni.cz/services/teitok/pdtc10/index.php?action=vallex&amp;frame=v-w10198f2", "restrukturovat (v-w10198f2)")</f>
        <v>restrukturovat (v-w10198f2)</v>
      </c>
    </row>
    <row r="40303" spans="1:4" x14ac:dyDescent="0.2">
      <c r="B40303" t="s">
        <v>1</v>
      </c>
    </row>
    <row r="40304" spans="1:4" x14ac:dyDescent="0.2">
      <c r="B40304" t="s">
        <v>8</v>
      </c>
      <c r="C40304" t="s">
        <v>13020</v>
      </c>
    </row>
    <row r="40306" spans="1:4" x14ac:dyDescent="0.2">
      <c r="A40306" t="s">
        <v>13021</v>
      </c>
      <c r="B40306" t="str">
        <f>HYPERLINK("https://lindat.mff.cuni.cz/services/teitok/pdtc10/index.php?action=vallex&amp;frame=v-w5515f1", "retardovat (v-w5515f1)")</f>
        <v>retardovat (v-w5515f1)</v>
      </c>
    </row>
    <row r="40307" spans="1:4" x14ac:dyDescent="0.2">
      <c r="B40307" t="s">
        <v>1</v>
      </c>
    </row>
    <row r="40308" spans="1:4" x14ac:dyDescent="0.2">
      <c r="B40308" t="s">
        <v>8</v>
      </c>
    </row>
    <row r="40310" spans="1:4" x14ac:dyDescent="0.2">
      <c r="A40310" t="s">
        <v>13022</v>
      </c>
      <c r="B40310" t="str">
        <f>HYPERLINK("https://lindat.mff.cuni.cz/services/teitok/pdtc10/index.php?action=vallex&amp;frame=v-w5519f2", "revalvovat (v-w5519f2)")</f>
        <v>revalvovat (v-w5519f2)</v>
      </c>
    </row>
    <row r="40311" spans="1:4" x14ac:dyDescent="0.2">
      <c r="B40311" t="s">
        <v>1</v>
      </c>
    </row>
    <row r="40312" spans="1:4" x14ac:dyDescent="0.2">
      <c r="B40312" t="s">
        <v>8</v>
      </c>
    </row>
    <row r="40314" spans="1:4" x14ac:dyDescent="0.2">
      <c r="A40314" t="s">
        <v>13023</v>
      </c>
      <c r="B40314" t="str">
        <f>HYPERLINK("https://lindat.mff.cuni.cz/services/teitok/pdtc10/index.php?action=vallex&amp;frame=v-w5519f1", "revalvovat (v-w5519f1)")</f>
        <v>revalvovat (v-w5519f1)</v>
      </c>
    </row>
    <row r="40315" spans="1:4" x14ac:dyDescent="0.2">
      <c r="B40315" t="s">
        <v>1</v>
      </c>
    </row>
    <row r="40317" spans="1:4" x14ac:dyDescent="0.2">
      <c r="A40317" t="s">
        <v>13024</v>
      </c>
      <c r="B40317" t="str">
        <f>HYPERLINK("https://lindat.mff.cuni.cz/services/teitok/pdtc10/index.php?action=vallex&amp;frame=v-w5520f1", "revidovat (v-w5520f1)")</f>
        <v>revidovat (v-w5520f1)</v>
      </c>
    </row>
    <row r="40318" spans="1:4" x14ac:dyDescent="0.2">
      <c r="B40318" t="s">
        <v>1</v>
      </c>
      <c r="C40318" t="s">
        <v>7592</v>
      </c>
      <c r="D40318" t="s">
        <v>24117</v>
      </c>
    </row>
    <row r="40319" spans="1:4" x14ac:dyDescent="0.2">
      <c r="B40319" t="s">
        <v>1693</v>
      </c>
      <c r="C40319" t="s">
        <v>1815</v>
      </c>
      <c r="D40319" t="s">
        <v>24118</v>
      </c>
    </row>
    <row r="40321" spans="1:4" x14ac:dyDescent="0.2">
      <c r="A40321" t="s">
        <v>13025</v>
      </c>
      <c r="B40321" t="str">
        <f>HYPERLINK("https://lindat.mff.cuni.cz/services/teitok/pdtc10/index.php?action=vallex&amp;frame=v-w5525f1", "revokovat (v-w5525f1)")</f>
        <v>revokovat (v-w5525f1)</v>
      </c>
    </row>
    <row r="40322" spans="1:4" x14ac:dyDescent="0.2">
      <c r="B40322" t="s">
        <v>1</v>
      </c>
    </row>
    <row r="40323" spans="1:4" x14ac:dyDescent="0.2">
      <c r="B40323" t="s">
        <v>8</v>
      </c>
    </row>
    <row r="40325" spans="1:4" x14ac:dyDescent="0.2">
      <c r="A40325" t="s">
        <v>13026</v>
      </c>
      <c r="B40325" t="str">
        <f>HYPERLINK("https://lindat.mff.cuni.cz/services/teitok/pdtc10/index.php?action=vallex&amp;frame=v-w5526f1", "rezavět (v-w5526f1)")</f>
        <v>rezavět (v-w5526f1)</v>
      </c>
    </row>
    <row r="40326" spans="1:4" x14ac:dyDescent="0.2">
      <c r="B40326" t="s">
        <v>1</v>
      </c>
    </row>
    <row r="40328" spans="1:4" x14ac:dyDescent="0.2">
      <c r="A40328" t="s">
        <v>13027</v>
      </c>
      <c r="B40328" t="str">
        <f>HYPERLINK("https://lindat.mff.cuni.cz/services/teitok/pdtc10/index.php?action=vallex&amp;frame=v-w5528f1", "rezervovat (v-w5528f1)")</f>
        <v>rezervovat (v-w5528f1)</v>
      </c>
    </row>
    <row r="40329" spans="1:4" x14ac:dyDescent="0.2">
      <c r="B40329" t="s">
        <v>1</v>
      </c>
      <c r="C40329" t="s">
        <v>13028</v>
      </c>
      <c r="D40329" t="s">
        <v>3081</v>
      </c>
    </row>
    <row r="40330" spans="1:4" x14ac:dyDescent="0.2">
      <c r="B40330" t="s">
        <v>8</v>
      </c>
      <c r="C40330" t="s">
        <v>299</v>
      </c>
      <c r="D40330" t="s">
        <v>23630</v>
      </c>
    </row>
    <row r="40331" spans="1:4" x14ac:dyDescent="0.2">
      <c r="B40331" t="s">
        <v>2542</v>
      </c>
      <c r="D40331" t="s">
        <v>11333</v>
      </c>
    </row>
    <row r="40333" spans="1:4" x14ac:dyDescent="0.2">
      <c r="A40333" t="s">
        <v>13029</v>
      </c>
      <c r="B40333" t="str">
        <f>HYPERLINK("https://lindat.mff.cuni.cz/services/teitok/pdtc10/index.php?action=vallex&amp;frame=v-w5530f1", "rezignovat (v-w5530f1)")</f>
        <v>rezignovat (v-w5530f1)</v>
      </c>
    </row>
    <row r="40334" spans="1:4" x14ac:dyDescent="0.2">
      <c r="B40334" t="s">
        <v>1</v>
      </c>
      <c r="C40334" t="s">
        <v>13030</v>
      </c>
      <c r="D40334" t="s">
        <v>23064</v>
      </c>
    </row>
    <row r="40335" spans="1:4" x14ac:dyDescent="0.2">
      <c r="B40335" t="s">
        <v>13031</v>
      </c>
      <c r="C40335" t="s">
        <v>23</v>
      </c>
      <c r="D40335" t="s">
        <v>23065</v>
      </c>
    </row>
    <row r="40337" spans="1:4" x14ac:dyDescent="0.2">
      <c r="A40337" t="s">
        <v>13032</v>
      </c>
      <c r="B40337" t="str">
        <f>HYPERLINK("https://lindat.mff.cuni.cz/services/teitok/pdtc10/index.php?action=vallex&amp;frame=v-whsa_269hsa_270", "rezivět (v-whsa_269hsa_270)")</f>
        <v>rezivět (v-whsa_269hsa_270)</v>
      </c>
    </row>
    <row r="40338" spans="1:4" x14ac:dyDescent="0.2">
      <c r="B40338" t="s">
        <v>1</v>
      </c>
    </row>
    <row r="40340" spans="1:4" x14ac:dyDescent="0.2">
      <c r="A40340" t="s">
        <v>13033</v>
      </c>
      <c r="B40340" t="str">
        <f>HYPERLINK("https://lindat.mff.cuni.cz/services/teitok/pdtc10/index.php?action=vallex&amp;frame=v-w11161f2", "rezonovat (v-w11161f2)")</f>
        <v>rezonovat (v-w11161f2)</v>
      </c>
    </row>
    <row r="40341" spans="1:4" x14ac:dyDescent="0.2">
      <c r="B40341" t="s">
        <v>1</v>
      </c>
      <c r="C40341" t="s">
        <v>2172</v>
      </c>
      <c r="D40341" t="s">
        <v>715</v>
      </c>
    </row>
    <row r="40342" spans="1:4" x14ac:dyDescent="0.2">
      <c r="B40342" t="s">
        <v>411</v>
      </c>
      <c r="D40342" t="s">
        <v>299</v>
      </c>
    </row>
    <row r="40344" spans="1:4" x14ac:dyDescent="0.2">
      <c r="A40344" t="s">
        <v>13034</v>
      </c>
      <c r="B40344" t="str">
        <f>HYPERLINK("https://lindat.mff.cuni.cz/services/teitok/pdtc10/index.php?action=vallex&amp;frame=v-w11161hsa_136", "rezonovat (v-w11161hsa_136)")</f>
        <v>rezonovat (v-w11161hsa_136)</v>
      </c>
    </row>
    <row r="40345" spans="1:4" x14ac:dyDescent="0.2">
      <c r="B40345" t="s">
        <v>1</v>
      </c>
      <c r="C40345" t="s">
        <v>2172</v>
      </c>
    </row>
    <row r="40347" spans="1:4" x14ac:dyDescent="0.2">
      <c r="A40347" t="s">
        <v>13035</v>
      </c>
      <c r="B40347" t="str">
        <f>HYPERLINK("https://lindat.mff.cuni.cz/services/teitok/pdtc10/index.php?action=vallex&amp;frame=v-w5534f1", "rezultovat (v-w5534f1)")</f>
        <v>rezultovat (v-w5534f1)</v>
      </c>
    </row>
    <row r="40348" spans="1:4" x14ac:dyDescent="0.2">
      <c r="B40348" t="s">
        <v>1</v>
      </c>
    </row>
    <row r="40349" spans="1:4" x14ac:dyDescent="0.2">
      <c r="B40349" t="s">
        <v>438</v>
      </c>
    </row>
    <row r="40351" spans="1:4" x14ac:dyDescent="0.2">
      <c r="A40351" t="s">
        <v>13036</v>
      </c>
      <c r="B40351" t="str">
        <f>HYPERLINK("https://lindat.mff.cuni.cz/services/teitok/pdtc10/index.php?action=vallex&amp;frame=v-w5536f1", "režírovat (v-w5536f1)")</f>
        <v>režírovat (v-w5536f1)</v>
      </c>
    </row>
    <row r="40352" spans="1:4" x14ac:dyDescent="0.2">
      <c r="B40352" t="s">
        <v>1</v>
      </c>
      <c r="C40352" t="s">
        <v>109</v>
      </c>
      <c r="D40352" t="s">
        <v>23098</v>
      </c>
    </row>
    <row r="40353" spans="1:4" x14ac:dyDescent="0.2">
      <c r="B40353" t="s">
        <v>8</v>
      </c>
      <c r="C40353" t="s">
        <v>3773</v>
      </c>
      <c r="D40353" t="s">
        <v>16830</v>
      </c>
    </row>
    <row r="40355" spans="1:4" x14ac:dyDescent="0.2">
      <c r="A40355" t="s">
        <v>13037</v>
      </c>
      <c r="B40355" t="str">
        <f>HYPERLINK("https://lindat.mff.cuni.cz/services/teitok/pdtc10/index.php?action=vallex&amp;frame=v-w11572_ZUf1_ZU", "riffovat (v-w11572_ZUf1_ZU)")</f>
        <v>riffovat (v-w11572_ZUf1_ZU)</v>
      </c>
    </row>
    <row r="40356" spans="1:4" x14ac:dyDescent="0.2">
      <c r="B40356" t="s">
        <v>1</v>
      </c>
      <c r="C40356" t="s">
        <v>140</v>
      </c>
    </row>
    <row r="40357" spans="1:4" x14ac:dyDescent="0.2">
      <c r="B40357" t="s">
        <v>269</v>
      </c>
      <c r="C40357" t="s">
        <v>34</v>
      </c>
    </row>
    <row r="40358" spans="1:4" x14ac:dyDescent="0.2">
      <c r="B40358" t="s">
        <v>10113</v>
      </c>
    </row>
    <row r="40360" spans="1:4" x14ac:dyDescent="0.2">
      <c r="A40360" t="s">
        <v>13038</v>
      </c>
      <c r="B40360" t="str">
        <f>HYPERLINK("https://lindat.mff.cuni.cz/services/teitok/pdtc10/index.php?action=vallex&amp;frame=v-whsa_1359hsa_1360", "risknout (v-whsa_1359hsa_1360)")</f>
        <v>risknout (v-whsa_1359hsa_1360)</v>
      </c>
    </row>
    <row r="40361" spans="1:4" x14ac:dyDescent="0.2">
      <c r="B40361" t="s">
        <v>1</v>
      </c>
    </row>
    <row r="40362" spans="1:4" x14ac:dyDescent="0.2">
      <c r="B40362" t="s">
        <v>41</v>
      </c>
    </row>
    <row r="40364" spans="1:4" x14ac:dyDescent="0.2">
      <c r="A40364" t="s">
        <v>13039</v>
      </c>
      <c r="B40364" t="str">
        <f>HYPERLINK("https://lindat.mff.cuni.cz/services/teitok/pdtc10/index.php?action=vallex&amp;frame=v-w5540f1", "riskovat (v-w5540f1)")</f>
        <v>riskovat (v-w5540f1)</v>
      </c>
    </row>
    <row r="40365" spans="1:4" x14ac:dyDescent="0.2">
      <c r="B40365" t="s">
        <v>1</v>
      </c>
      <c r="C40365" t="s">
        <v>337</v>
      </c>
      <c r="D40365" t="s">
        <v>370</v>
      </c>
    </row>
    <row r="40366" spans="1:4" x14ac:dyDescent="0.2">
      <c r="B40366" t="s">
        <v>13040</v>
      </c>
      <c r="C40366" t="s">
        <v>3433</v>
      </c>
      <c r="D40366" t="s">
        <v>4676</v>
      </c>
    </row>
    <row r="40368" spans="1:4" x14ac:dyDescent="0.2">
      <c r="A40368" t="s">
        <v>13041</v>
      </c>
      <c r="B40368" t="str">
        <f>HYPERLINK("https://lindat.mff.cuni.cz/services/teitok/pdtc10/index.php?action=vallex&amp;frame=v-w5543f1", "rmoutit (v-w5543f1)")</f>
        <v>rmoutit (v-w5543f1)</v>
      </c>
    </row>
    <row r="40369" spans="1:2" x14ac:dyDescent="0.2">
      <c r="B40369" t="s">
        <v>488</v>
      </c>
    </row>
    <row r="40370" spans="1:2" x14ac:dyDescent="0.2">
      <c r="B40370" t="s">
        <v>8</v>
      </c>
    </row>
    <row r="40372" spans="1:2" x14ac:dyDescent="0.2">
      <c r="A40372" t="s">
        <v>13042</v>
      </c>
      <c r="B40372" t="str">
        <f>HYPERLINK("https://lindat.mff.cuni.cz/services/teitok/pdtc10/index.php?action=vallex&amp;frame=v-whsa_1826f1_ZU", "rodit (v-whsa_1826f1_ZU)")</f>
        <v>rodit (v-whsa_1826f1_ZU)</v>
      </c>
    </row>
    <row r="40373" spans="1:2" x14ac:dyDescent="0.2">
      <c r="B40373" t="s">
        <v>1</v>
      </c>
    </row>
    <row r="40374" spans="1:2" x14ac:dyDescent="0.2">
      <c r="B40374" t="s">
        <v>8</v>
      </c>
    </row>
    <row r="40376" spans="1:2" x14ac:dyDescent="0.2">
      <c r="A40376" t="s">
        <v>13042</v>
      </c>
      <c r="B40376" t="str">
        <f>HYPERLINK("https://lindat.mff.cuni.cz/services/teitok/pdtc10/index.php?action=vallex&amp;frame=v-whsa_1826hsa_1827", "rodit (v-whsa_1826hsa_1827) - substituted with v-whsa_1826f1_ZU")</f>
        <v>rodit (v-whsa_1826hsa_1827) - substituted with v-whsa_1826f1_ZU</v>
      </c>
    </row>
    <row r="40377" spans="1:2" x14ac:dyDescent="0.2">
      <c r="B40377" t="s">
        <v>1</v>
      </c>
    </row>
    <row r="40378" spans="1:2" x14ac:dyDescent="0.2">
      <c r="B40378" t="s">
        <v>8</v>
      </c>
    </row>
    <row r="40380" spans="1:2" x14ac:dyDescent="0.2">
      <c r="A40380" t="s">
        <v>13043</v>
      </c>
      <c r="B40380" t="str">
        <f>HYPERLINK("https://lindat.mff.cuni.cz/services/teitok/pdtc10/index.php?action=vallex&amp;frame=v-whsa_1826f2_ZU", "rodit (v-whsa_1826f2_ZU)")</f>
        <v>rodit (v-whsa_1826f2_ZU)</v>
      </c>
    </row>
    <row r="40381" spans="1:2" x14ac:dyDescent="0.2">
      <c r="B40381" t="s">
        <v>1</v>
      </c>
    </row>
    <row r="40382" spans="1:2" x14ac:dyDescent="0.2">
      <c r="B40382" t="s">
        <v>8</v>
      </c>
    </row>
    <row r="40384" spans="1:2" x14ac:dyDescent="0.2">
      <c r="A40384" t="s">
        <v>13044</v>
      </c>
      <c r="B40384" t="str">
        <f>HYPERLINK("https://lindat.mff.cuni.cz/services/teitok/pdtc10/index.php?action=vallex&amp;frame=v-w5544f1", "rodit se (v-w5544f1)")</f>
        <v>rodit se (v-w5544f1)</v>
      </c>
    </row>
    <row r="40385" spans="1:4" x14ac:dyDescent="0.2">
      <c r="B40385" t="s">
        <v>1</v>
      </c>
      <c r="C40385" t="s">
        <v>13045</v>
      </c>
      <c r="D40385" t="s">
        <v>147</v>
      </c>
    </row>
    <row r="40386" spans="1:4" x14ac:dyDescent="0.2">
      <c r="B40386" t="s">
        <v>438</v>
      </c>
      <c r="C40386" t="s">
        <v>13046</v>
      </c>
      <c r="D40386" t="s">
        <v>7038</v>
      </c>
    </row>
    <row r="40388" spans="1:4" x14ac:dyDescent="0.2">
      <c r="A40388" t="s">
        <v>13047</v>
      </c>
      <c r="B40388" t="str">
        <f>HYPERLINK("https://lindat.mff.cuni.cz/services/teitok/pdtc10/index.php?action=vallex&amp;frame=v-w5544f2_ZU", "rodit se (v-w5544f2_ZU)")</f>
        <v>rodit se (v-w5544f2_ZU)</v>
      </c>
    </row>
    <row r="40389" spans="1:4" x14ac:dyDescent="0.2">
      <c r="B40389" t="s">
        <v>1</v>
      </c>
    </row>
    <row r="40391" spans="1:4" x14ac:dyDescent="0.2">
      <c r="A40391" t="s">
        <v>13047</v>
      </c>
      <c r="B40391" t="str">
        <f>HYPERLINK("https://lindat.mff.cuni.cz/services/teitok/pdtc10/index.php?action=vallex&amp;frame=v-w5544hsa_1674", "rodit se (v-w5544hsa_1674) - substituted with v-w5544f2_ZU")</f>
        <v>rodit se (v-w5544hsa_1674) - substituted with v-w5544f2_ZU</v>
      </c>
    </row>
    <row r="40392" spans="1:4" x14ac:dyDescent="0.2">
      <c r="B40392" t="s">
        <v>1</v>
      </c>
    </row>
    <row r="40394" spans="1:4" x14ac:dyDescent="0.2">
      <c r="A40394" t="s">
        <v>13048</v>
      </c>
      <c r="B40394" t="str">
        <f>HYPERLINK("https://lindat.mff.cuni.cz/services/teitok/pdtc10/index.php?action=vallex&amp;frame=v-w5544f3_ZU", "rodit se (v-w5544f3_ZU)")</f>
        <v>rodit se (v-w5544f3_ZU)</v>
      </c>
    </row>
    <row r="40395" spans="1:4" x14ac:dyDescent="0.2">
      <c r="B40395" t="s">
        <v>1</v>
      </c>
    </row>
    <row r="40396" spans="1:4" x14ac:dyDescent="0.2">
      <c r="B40396" t="s">
        <v>438</v>
      </c>
    </row>
    <row r="40398" spans="1:4" x14ac:dyDescent="0.2">
      <c r="A40398" t="s">
        <v>13049</v>
      </c>
      <c r="B40398" t="str">
        <f>HYPERLINK("https://lindat.mff.cuni.cz/services/teitok/pdtc10/index.php?action=vallex&amp;frame=v-w5545f1", "rojit se (v-w5545f1)")</f>
        <v>rojit se (v-w5545f1)</v>
      </c>
    </row>
    <row r="40399" spans="1:4" x14ac:dyDescent="0.2">
      <c r="B40399" t="s">
        <v>1</v>
      </c>
    </row>
    <row r="40400" spans="1:4" x14ac:dyDescent="0.2">
      <c r="B40400" t="s">
        <v>5</v>
      </c>
    </row>
    <row r="40402" spans="1:4" x14ac:dyDescent="0.2">
      <c r="A40402" t="s">
        <v>13050</v>
      </c>
      <c r="B40402" t="str">
        <f>HYPERLINK("https://lindat.mff.cuni.cz/services/teitok/pdtc10/index.php?action=vallex&amp;frame=v-w5545f2", "rojit se (v-w5545f2)")</f>
        <v>rojit se (v-w5545f2)</v>
      </c>
    </row>
    <row r="40403" spans="1:4" x14ac:dyDescent="0.2">
      <c r="B40403" t="s">
        <v>1</v>
      </c>
    </row>
    <row r="40404" spans="1:4" x14ac:dyDescent="0.2">
      <c r="B40404" t="s">
        <v>13051</v>
      </c>
    </row>
    <row r="40406" spans="1:4" x14ac:dyDescent="0.2">
      <c r="A40406" t="s">
        <v>13052</v>
      </c>
      <c r="B40406" t="str">
        <f>HYPERLINK("https://lindat.mff.cuni.cz/services/teitok/pdtc10/index.php?action=vallex&amp;frame=v-w5548f1", "rokovat (v-w5548f1)")</f>
        <v>rokovat (v-w5548f1)</v>
      </c>
    </row>
    <row r="40407" spans="1:4" x14ac:dyDescent="0.2">
      <c r="B40407" t="s">
        <v>1</v>
      </c>
      <c r="D40407" t="s">
        <v>23937</v>
      </c>
    </row>
    <row r="40408" spans="1:4" x14ac:dyDescent="0.2">
      <c r="B40408" t="s">
        <v>183</v>
      </c>
      <c r="D40408" t="s">
        <v>23938</v>
      </c>
    </row>
    <row r="40409" spans="1:4" x14ac:dyDescent="0.2">
      <c r="B40409" t="s">
        <v>153</v>
      </c>
      <c r="D40409" t="s">
        <v>23939</v>
      </c>
    </row>
    <row r="40411" spans="1:4" x14ac:dyDescent="0.2">
      <c r="A40411" t="s">
        <v>13053</v>
      </c>
      <c r="B40411" t="str">
        <f>HYPERLINK("https://lindat.mff.cuni.cz/services/teitok/pdtc10/index.php?action=vallex&amp;frame=v-w10083f2", "rotovat (v-w10083f2)")</f>
        <v>rotovat (v-w10083f2)</v>
      </c>
    </row>
    <row r="40412" spans="1:4" x14ac:dyDescent="0.2">
      <c r="B40412" t="s">
        <v>1</v>
      </c>
    </row>
    <row r="40414" spans="1:4" x14ac:dyDescent="0.2">
      <c r="A40414" t="s">
        <v>13054</v>
      </c>
      <c r="B40414" t="str">
        <f>HYPERLINK("https://lindat.mff.cuni.cz/services/teitok/pdtc10/index.php?action=vallex&amp;frame=v-w12370_MMf1_MM", "rovnat (v-w12370_MMf1_MM)")</f>
        <v>rovnat (v-w12370_MMf1_MM)</v>
      </c>
    </row>
    <row r="40415" spans="1:4" x14ac:dyDescent="0.2">
      <c r="B40415" t="s">
        <v>1</v>
      </c>
    </row>
    <row r="40416" spans="1:4" x14ac:dyDescent="0.2">
      <c r="B40416" t="s">
        <v>8</v>
      </c>
    </row>
    <row r="40418" spans="1:4" x14ac:dyDescent="0.2">
      <c r="A40418" t="s">
        <v>13055</v>
      </c>
      <c r="B40418" t="str">
        <f>HYPERLINK("https://lindat.mff.cuni.cz/services/teitok/pdtc10/index.php?action=vallex&amp;frame=v-w5554f2", "rovnat se (v-w5554f2)")</f>
        <v>rovnat se (v-w5554f2)</v>
      </c>
    </row>
    <row r="40419" spans="1:4" x14ac:dyDescent="0.2">
      <c r="B40419" t="s">
        <v>479</v>
      </c>
      <c r="C40419" t="s">
        <v>2458</v>
      </c>
    </row>
    <row r="40420" spans="1:4" x14ac:dyDescent="0.2">
      <c r="B40420" t="s">
        <v>1263</v>
      </c>
      <c r="C40420" t="s">
        <v>13056</v>
      </c>
    </row>
    <row r="40422" spans="1:4" x14ac:dyDescent="0.2">
      <c r="A40422" t="s">
        <v>13057</v>
      </c>
      <c r="B40422" t="str">
        <f>HYPERLINK("https://lindat.mff.cuni.cz/services/teitok/pdtc10/index.php?action=vallex&amp;frame=v-w5554f1", "rovnat se (v-w5554f1)")</f>
        <v>rovnat se (v-w5554f1)</v>
      </c>
    </row>
    <row r="40423" spans="1:4" x14ac:dyDescent="0.2">
      <c r="B40423" t="s">
        <v>1</v>
      </c>
      <c r="C40423" t="s">
        <v>13058</v>
      </c>
      <c r="D40423" t="s">
        <v>3854</v>
      </c>
    </row>
    <row r="40424" spans="1:4" x14ac:dyDescent="0.2">
      <c r="B40424" t="s">
        <v>103</v>
      </c>
      <c r="C40424" t="s">
        <v>13059</v>
      </c>
      <c r="D40424" t="s">
        <v>23659</v>
      </c>
    </row>
    <row r="40426" spans="1:4" x14ac:dyDescent="0.2">
      <c r="A40426" t="s">
        <v>13060</v>
      </c>
      <c r="B40426" t="str">
        <f>HYPERLINK("https://lindat.mff.cuni.cz/services/teitok/pdtc10/index.php?action=vallex&amp;frame=v-w5554f4_ZU", "rovnat se (v-w5554f4_ZU)")</f>
        <v>rovnat se (v-w5554f4_ZU)</v>
      </c>
    </row>
    <row r="40427" spans="1:4" x14ac:dyDescent="0.2">
      <c r="B40427" t="s">
        <v>1</v>
      </c>
      <c r="C40427" t="s">
        <v>6951</v>
      </c>
      <c r="D40427" t="s">
        <v>23183</v>
      </c>
    </row>
    <row r="40428" spans="1:4" x14ac:dyDescent="0.2">
      <c r="B40428" t="s">
        <v>103</v>
      </c>
      <c r="C40428" t="s">
        <v>13061</v>
      </c>
      <c r="D40428" t="s">
        <v>23184</v>
      </c>
    </row>
    <row r="40430" spans="1:4" x14ac:dyDescent="0.2">
      <c r="A40430" t="s">
        <v>13060</v>
      </c>
      <c r="B40430" t="str">
        <f>HYPERLINK("https://lindat.mff.cuni.cz/services/teitok/pdtc10/index.php?action=vallex&amp;frame=v-w5554f3_ZU", "rovnat se (v-w5554f3_ZU) - substituted with v-w5554f4_ZU")</f>
        <v>rovnat se (v-w5554f3_ZU) - substituted with v-w5554f4_ZU</v>
      </c>
    </row>
    <row r="40431" spans="1:4" x14ac:dyDescent="0.2">
      <c r="B40431" t="s">
        <v>1</v>
      </c>
    </row>
    <row r="40432" spans="1:4" x14ac:dyDescent="0.2">
      <c r="B40432" t="s">
        <v>103</v>
      </c>
    </row>
    <row r="40434" spans="1:2" x14ac:dyDescent="0.2">
      <c r="A40434" t="s">
        <v>13062</v>
      </c>
      <c r="B40434" t="str">
        <f>HYPERLINK("https://lindat.mff.cuni.cz/services/teitok/pdtc10/index.php?action=vallex&amp;frame=v-whsa_1644hsa_1645", "rozbalit (v-whsa_1644hsa_1645)")</f>
        <v>rozbalit (v-whsa_1644hsa_1645)</v>
      </c>
    </row>
    <row r="40435" spans="1:2" x14ac:dyDescent="0.2">
      <c r="B40435" t="s">
        <v>1</v>
      </c>
    </row>
    <row r="40436" spans="1:2" x14ac:dyDescent="0.2">
      <c r="B40436" t="s">
        <v>8</v>
      </c>
    </row>
    <row r="40438" spans="1:2" x14ac:dyDescent="0.2">
      <c r="A40438" t="s">
        <v>13063</v>
      </c>
      <c r="B40438" t="str">
        <f>HYPERLINK("https://lindat.mff.cuni.cz/services/teitok/pdtc10/index.php?action=vallex&amp;frame=v-whsa_647hsa_648", "rozbalovat (v-whsa_647hsa_648)")</f>
        <v>rozbalovat (v-whsa_647hsa_648)</v>
      </c>
    </row>
    <row r="40439" spans="1:2" x14ac:dyDescent="0.2">
      <c r="B40439" t="s">
        <v>1</v>
      </c>
    </row>
    <row r="40440" spans="1:2" x14ac:dyDescent="0.2">
      <c r="B40440" t="s">
        <v>8</v>
      </c>
    </row>
    <row r="40442" spans="1:2" x14ac:dyDescent="0.2">
      <c r="A40442" t="s">
        <v>13064</v>
      </c>
      <c r="B40442" t="str">
        <f>HYPERLINK("https://lindat.mff.cuni.cz/services/teitok/pdtc10/index.php?action=vallex&amp;frame=v-w11374f1", "rozbalovat se (v-w11374f1)")</f>
        <v>rozbalovat se (v-w11374f1)</v>
      </c>
    </row>
    <row r="40443" spans="1:2" x14ac:dyDescent="0.2">
      <c r="B40443" t="s">
        <v>1</v>
      </c>
    </row>
    <row r="40445" spans="1:2" x14ac:dyDescent="0.2">
      <c r="A40445" t="s">
        <v>13065</v>
      </c>
      <c r="B40445" t="str">
        <f>HYPERLINK("https://lindat.mff.cuni.cz/services/teitok/pdtc10/index.php?action=vallex&amp;frame=v-whsa_591hsa_592", "rozbourat (v-whsa_591hsa_592)")</f>
        <v>rozbourat (v-whsa_591hsa_592)</v>
      </c>
    </row>
    <row r="40446" spans="1:2" x14ac:dyDescent="0.2">
      <c r="B40446" t="s">
        <v>1</v>
      </c>
    </row>
    <row r="40447" spans="1:2" x14ac:dyDescent="0.2">
      <c r="B40447" t="s">
        <v>8</v>
      </c>
    </row>
    <row r="40449" spans="1:4" x14ac:dyDescent="0.2">
      <c r="A40449" t="s">
        <v>13066</v>
      </c>
      <c r="B40449" t="str">
        <f>HYPERLINK("https://lindat.mff.cuni.cz/services/teitok/pdtc10/index.php?action=vallex&amp;frame=v-w11573_ZUf1_ZU", "rozbouřit (v-w11573_ZUf1_ZU)")</f>
        <v>rozbouřit (v-w11573_ZUf1_ZU)</v>
      </c>
    </row>
    <row r="40450" spans="1:4" x14ac:dyDescent="0.2">
      <c r="B40450" t="s">
        <v>1</v>
      </c>
      <c r="C40450" t="s">
        <v>133</v>
      </c>
      <c r="D40450" t="s">
        <v>249</v>
      </c>
    </row>
    <row r="40451" spans="1:4" x14ac:dyDescent="0.2">
      <c r="B40451" t="s">
        <v>8</v>
      </c>
      <c r="C40451" t="s">
        <v>1128</v>
      </c>
      <c r="D40451" t="s">
        <v>56</v>
      </c>
    </row>
    <row r="40453" spans="1:4" x14ac:dyDescent="0.2">
      <c r="A40453" t="s">
        <v>13067</v>
      </c>
      <c r="B40453" t="str">
        <f>HYPERLINK("https://lindat.mff.cuni.cz/services/teitok/pdtc10/index.php?action=vallex&amp;frame=v-w11961_ZUf1_ZU", "rozbouřit se (v-w11961_ZUf1_ZU)")</f>
        <v>rozbouřit se (v-w11961_ZUf1_ZU)</v>
      </c>
    </row>
    <row r="40454" spans="1:4" x14ac:dyDescent="0.2">
      <c r="B40454" t="s">
        <v>1</v>
      </c>
    </row>
    <row r="40456" spans="1:4" x14ac:dyDescent="0.2">
      <c r="A40456" t="s">
        <v>13068</v>
      </c>
      <c r="B40456" t="str">
        <f>HYPERLINK("https://lindat.mff.cuni.cz/services/teitok/pdtc10/index.php?action=vallex&amp;frame=v-whsa_341hsa_342", "rozbořit (v-whsa_341hsa_342)")</f>
        <v>rozbořit (v-whsa_341hsa_342)</v>
      </c>
    </row>
    <row r="40457" spans="1:4" x14ac:dyDescent="0.2">
      <c r="B40457" t="s">
        <v>1</v>
      </c>
    </row>
    <row r="40458" spans="1:4" x14ac:dyDescent="0.2">
      <c r="B40458" t="s">
        <v>8</v>
      </c>
    </row>
    <row r="40460" spans="1:4" x14ac:dyDescent="0.2">
      <c r="A40460" t="s">
        <v>13069</v>
      </c>
      <c r="B40460" t="str">
        <f>HYPERLINK("https://lindat.mff.cuni.cz/services/teitok/pdtc10/index.php?action=vallex&amp;frame=v-w11970_ZUf1_ZU", "rozbrečet se (v-w11970_ZUf1_ZU)")</f>
        <v>rozbrečet se (v-w11970_ZUf1_ZU)</v>
      </c>
    </row>
    <row r="40461" spans="1:4" x14ac:dyDescent="0.2">
      <c r="B40461" t="s">
        <v>1</v>
      </c>
    </row>
    <row r="40463" spans="1:4" x14ac:dyDescent="0.2">
      <c r="A40463" t="s">
        <v>13070</v>
      </c>
      <c r="B40463" t="str">
        <f>HYPERLINK("https://lindat.mff.cuni.cz/services/teitok/pdtc10/index.php?action=vallex&amp;frame=v-whsa_633hsa_634", "rozbušit se (v-whsa_633hsa_634)")</f>
        <v>rozbušit se (v-whsa_633hsa_634)</v>
      </c>
    </row>
    <row r="40464" spans="1:4" x14ac:dyDescent="0.2">
      <c r="B40464" t="s">
        <v>1</v>
      </c>
    </row>
    <row r="40466" spans="1:4" x14ac:dyDescent="0.2">
      <c r="A40466" t="s">
        <v>13071</v>
      </c>
      <c r="B40466" t="str">
        <f>HYPERLINK("https://lindat.mff.cuni.cz/services/teitok/pdtc10/index.php?action=vallex&amp;frame=v-w12332_MMf1_MM", "rozbíhat (v-w12332_MMf1_MM)")</f>
        <v>rozbíhat (v-w12332_MMf1_MM)</v>
      </c>
    </row>
    <row r="40467" spans="1:4" x14ac:dyDescent="0.2">
      <c r="B40467" t="s">
        <v>1</v>
      </c>
    </row>
    <row r="40468" spans="1:4" x14ac:dyDescent="0.2">
      <c r="B40468" t="s">
        <v>8</v>
      </c>
    </row>
    <row r="40470" spans="1:4" x14ac:dyDescent="0.2">
      <c r="A40470" t="s">
        <v>13072</v>
      </c>
      <c r="B40470" t="str">
        <f>HYPERLINK("https://lindat.mff.cuni.cz/services/teitok/pdtc10/index.php?action=vallex&amp;frame=v-w5561f1", "rozbíhat se (v-w5561f1)")</f>
        <v>rozbíhat se (v-w5561f1)</v>
      </c>
    </row>
    <row r="40471" spans="1:4" x14ac:dyDescent="0.2">
      <c r="B40471" t="s">
        <v>1</v>
      </c>
      <c r="D40471" t="s">
        <v>22988</v>
      </c>
    </row>
    <row r="40473" spans="1:4" x14ac:dyDescent="0.2">
      <c r="A40473" t="s">
        <v>13073</v>
      </c>
      <c r="B40473" t="str">
        <f>HYPERLINK("https://lindat.mff.cuni.cz/services/teitok/pdtc10/index.php?action=vallex&amp;frame=v-w5563f1", "rozbíjet (v-w5563f1)")</f>
        <v>rozbíjet (v-w5563f1)</v>
      </c>
    </row>
    <row r="40474" spans="1:4" x14ac:dyDescent="0.2">
      <c r="B40474" t="s">
        <v>1</v>
      </c>
      <c r="C40474" t="s">
        <v>3307</v>
      </c>
      <c r="D40474" t="s">
        <v>24119</v>
      </c>
    </row>
    <row r="40475" spans="1:4" x14ac:dyDescent="0.2">
      <c r="B40475" t="s">
        <v>172</v>
      </c>
      <c r="C40475" t="s">
        <v>3184</v>
      </c>
      <c r="D40475" t="s">
        <v>18382</v>
      </c>
    </row>
    <row r="40476" spans="1:4" x14ac:dyDescent="0.2">
      <c r="B40476" t="s">
        <v>61</v>
      </c>
      <c r="C40476" t="s">
        <v>13074</v>
      </c>
      <c r="D40476" t="s">
        <v>24120</v>
      </c>
    </row>
    <row r="40478" spans="1:4" x14ac:dyDescent="0.2">
      <c r="A40478" t="s">
        <v>13075</v>
      </c>
      <c r="B40478" t="str">
        <f>HYPERLINK("https://lindat.mff.cuni.cz/services/teitok/pdtc10/index.php?action=vallex&amp;frame=v-w5564f1", "rozbít (v-w5564f1)")</f>
        <v>rozbít (v-w5564f1)</v>
      </c>
    </row>
    <row r="40479" spans="1:4" x14ac:dyDescent="0.2">
      <c r="B40479" t="s">
        <v>1</v>
      </c>
      <c r="C40479" t="s">
        <v>1366</v>
      </c>
      <c r="D40479" t="s">
        <v>24119</v>
      </c>
    </row>
    <row r="40480" spans="1:4" x14ac:dyDescent="0.2">
      <c r="B40480" t="s">
        <v>8</v>
      </c>
      <c r="C40480" t="s">
        <v>2439</v>
      </c>
      <c r="D40480" t="s">
        <v>18382</v>
      </c>
    </row>
    <row r="40481" spans="1:4" x14ac:dyDescent="0.2">
      <c r="B40481" t="s">
        <v>61</v>
      </c>
      <c r="C40481" t="s">
        <v>13074</v>
      </c>
      <c r="D40481" t="s">
        <v>24120</v>
      </c>
    </row>
    <row r="40483" spans="1:4" x14ac:dyDescent="0.2">
      <c r="A40483" t="s">
        <v>13076</v>
      </c>
      <c r="B40483" t="str">
        <f>HYPERLINK("https://lindat.mff.cuni.cz/services/teitok/pdtc10/index.php?action=vallex&amp;frame=v-w5564f2_ZU", "rozbít (v-w5564f2_ZU)")</f>
        <v>rozbít (v-w5564f2_ZU)</v>
      </c>
    </row>
    <row r="40484" spans="1:4" x14ac:dyDescent="0.2">
      <c r="B40484" t="s">
        <v>1</v>
      </c>
    </row>
    <row r="40485" spans="1:4" x14ac:dyDescent="0.2">
      <c r="B40485" t="s">
        <v>8</v>
      </c>
    </row>
    <row r="40487" spans="1:4" x14ac:dyDescent="0.2">
      <c r="A40487" t="s">
        <v>13077</v>
      </c>
      <c r="B40487" t="str">
        <f>HYPERLINK("https://lindat.mff.cuni.cz/services/teitok/pdtc10/index.php?action=vallex&amp;frame=v-whsa_231hsa_232", "rozbít se (v-whsa_231hsa_232)")</f>
        <v>rozbít se (v-whsa_231hsa_232)</v>
      </c>
    </row>
    <row r="40488" spans="1:4" x14ac:dyDescent="0.2">
      <c r="B40488" t="s">
        <v>1</v>
      </c>
      <c r="C40488" t="s">
        <v>13078</v>
      </c>
      <c r="D40488" t="s">
        <v>9773</v>
      </c>
    </row>
    <row r="40490" spans="1:4" x14ac:dyDescent="0.2">
      <c r="A40490" t="s">
        <v>13079</v>
      </c>
      <c r="B40490" t="str">
        <f>HYPERLINK("https://lindat.mff.cuni.cz/services/teitok/pdtc10/index.php?action=vallex&amp;frame=v-whsa_476hsa_477", "rozběhnout (v-whsa_476hsa_477)")</f>
        <v>rozběhnout (v-whsa_476hsa_477)</v>
      </c>
    </row>
    <row r="40491" spans="1:4" x14ac:dyDescent="0.2">
      <c r="B40491" t="s">
        <v>1</v>
      </c>
      <c r="C40491" t="s">
        <v>11122</v>
      </c>
      <c r="D40491" t="s">
        <v>22950</v>
      </c>
    </row>
    <row r="40492" spans="1:4" x14ac:dyDescent="0.2">
      <c r="B40492" t="s">
        <v>8</v>
      </c>
      <c r="C40492" t="s">
        <v>13080</v>
      </c>
      <c r="D40492" t="s">
        <v>22951</v>
      </c>
    </row>
    <row r="40494" spans="1:4" x14ac:dyDescent="0.2">
      <c r="A40494" t="s">
        <v>13081</v>
      </c>
      <c r="B40494" t="str">
        <f>HYPERLINK("https://lindat.mff.cuni.cz/services/teitok/pdtc10/index.php?action=vallex&amp;frame=v-w5560f1", "rozběhnout se (v-w5560f1)")</f>
        <v>rozběhnout se (v-w5560f1)</v>
      </c>
    </row>
    <row r="40495" spans="1:4" x14ac:dyDescent="0.2">
      <c r="B40495" t="s">
        <v>1</v>
      </c>
      <c r="C40495" t="s">
        <v>8131</v>
      </c>
      <c r="D40495" t="s">
        <v>24121</v>
      </c>
    </row>
    <row r="40497" spans="1:4" x14ac:dyDescent="0.2">
      <c r="A40497" t="s">
        <v>13082</v>
      </c>
      <c r="B40497" t="str">
        <f>HYPERLINK("https://lindat.mff.cuni.cz/services/teitok/pdtc10/index.php?action=vallex&amp;frame=v-w5560f2_ZU", "rozběhnout se (v-w5560f2_ZU)")</f>
        <v>rozběhnout se (v-w5560f2_ZU)</v>
      </c>
    </row>
    <row r="40498" spans="1:4" x14ac:dyDescent="0.2">
      <c r="B40498" t="s">
        <v>1</v>
      </c>
    </row>
    <row r="40500" spans="1:4" x14ac:dyDescent="0.2">
      <c r="A40500" t="s">
        <v>13083</v>
      </c>
      <c r="B40500" t="str">
        <f>HYPERLINK("https://lindat.mff.cuni.cz/services/teitok/pdtc10/index.php?action=vallex&amp;frame=v-whsa_252hsa_253", "rozchodit (v-whsa_252hsa_253)")</f>
        <v>rozchodit (v-whsa_252hsa_253)</v>
      </c>
    </row>
    <row r="40501" spans="1:4" x14ac:dyDescent="0.2">
      <c r="B40501" t="s">
        <v>1</v>
      </c>
      <c r="C40501" t="s">
        <v>140</v>
      </c>
      <c r="D40501" t="s">
        <v>140</v>
      </c>
    </row>
    <row r="40502" spans="1:4" x14ac:dyDescent="0.2">
      <c r="B40502" t="s">
        <v>8</v>
      </c>
      <c r="C40502" t="s">
        <v>113</v>
      </c>
      <c r="D40502" t="s">
        <v>113</v>
      </c>
    </row>
    <row r="40504" spans="1:4" x14ac:dyDescent="0.2">
      <c r="A40504" t="s">
        <v>13084</v>
      </c>
      <c r="B40504" t="str">
        <f>HYPERLINK("https://lindat.mff.cuni.cz/services/teitok/pdtc10/index.php?action=vallex&amp;frame=v-w10274f2", "rozchvátit (v-w10274f2)")</f>
        <v>rozchvátit (v-w10274f2)</v>
      </c>
    </row>
    <row r="40505" spans="1:4" x14ac:dyDescent="0.2">
      <c r="B40505" t="s">
        <v>1</v>
      </c>
    </row>
    <row r="40506" spans="1:4" x14ac:dyDescent="0.2">
      <c r="B40506" t="s">
        <v>8</v>
      </c>
    </row>
    <row r="40508" spans="1:4" x14ac:dyDescent="0.2">
      <c r="A40508" t="s">
        <v>13085</v>
      </c>
      <c r="B40508" t="str">
        <f>HYPERLINK("https://lindat.mff.cuni.cz/services/teitok/pdtc10/index.php?action=vallex&amp;frame=v-w5655f3", "rozcházet se (v-w5655f3)")</f>
        <v>rozcházet se (v-w5655f3)</v>
      </c>
    </row>
    <row r="40509" spans="1:4" x14ac:dyDescent="0.2">
      <c r="B40509" t="s">
        <v>1</v>
      </c>
      <c r="C40509" t="s">
        <v>13086</v>
      </c>
      <c r="D40509" t="s">
        <v>24122</v>
      </c>
    </row>
    <row r="40510" spans="1:4" x14ac:dyDescent="0.2">
      <c r="B40510" t="s">
        <v>290</v>
      </c>
      <c r="C40510" t="s">
        <v>13087</v>
      </c>
      <c r="D40510" t="s">
        <v>24123</v>
      </c>
    </row>
    <row r="40511" spans="1:4" x14ac:dyDescent="0.2">
      <c r="B40511" t="s">
        <v>153</v>
      </c>
      <c r="C40511" t="s">
        <v>13088</v>
      </c>
      <c r="D40511" t="s">
        <v>24124</v>
      </c>
    </row>
    <row r="40513" spans="1:4" x14ac:dyDescent="0.2">
      <c r="A40513" t="s">
        <v>13089</v>
      </c>
      <c r="B40513" t="str">
        <f>HYPERLINK("https://lindat.mff.cuni.cz/services/teitok/pdtc10/index.php?action=vallex&amp;frame=v-w5655f1", "rozcházet se (v-w5655f1)")</f>
        <v>rozcházet se (v-w5655f1)</v>
      </c>
    </row>
    <row r="40514" spans="1:4" x14ac:dyDescent="0.2">
      <c r="B40514" t="s">
        <v>1</v>
      </c>
      <c r="C40514" t="s">
        <v>8238</v>
      </c>
      <c r="D40514" t="s">
        <v>24125</v>
      </c>
    </row>
    <row r="40515" spans="1:4" x14ac:dyDescent="0.2">
      <c r="B40515" t="s">
        <v>411</v>
      </c>
      <c r="C40515" t="s">
        <v>13046</v>
      </c>
      <c r="D40515" t="s">
        <v>24126</v>
      </c>
    </row>
    <row r="40517" spans="1:4" x14ac:dyDescent="0.2">
      <c r="A40517" t="s">
        <v>13090</v>
      </c>
      <c r="B40517" t="str">
        <f>HYPERLINK("https://lindat.mff.cuni.cz/services/teitok/pdtc10/index.php?action=vallex&amp;frame=v-w5655f2", "rozcházet se (v-w5655f2)")</f>
        <v>rozcházet se (v-w5655f2)</v>
      </c>
    </row>
    <row r="40518" spans="1:4" x14ac:dyDescent="0.2">
      <c r="B40518" t="s">
        <v>1</v>
      </c>
      <c r="D40518" t="s">
        <v>186</v>
      </c>
    </row>
    <row r="40519" spans="1:4" x14ac:dyDescent="0.2">
      <c r="B40519" t="s">
        <v>411</v>
      </c>
    </row>
    <row r="40521" spans="1:4" x14ac:dyDescent="0.2">
      <c r="A40521" t="s">
        <v>13091</v>
      </c>
      <c r="B40521" t="str">
        <f>HYPERLINK("https://lindat.mff.cuni.cz/services/teitok/pdtc10/index.php?action=vallex&amp;frame=v-w5655hsa_1173", "rozcházet se (v-w5655hsa_1173)")</f>
        <v>rozcházet se (v-w5655hsa_1173)</v>
      </c>
    </row>
    <row r="40522" spans="1:4" x14ac:dyDescent="0.2">
      <c r="B40522" t="s">
        <v>1</v>
      </c>
    </row>
    <row r="40524" spans="1:4" x14ac:dyDescent="0.2">
      <c r="A40524" t="s">
        <v>13092</v>
      </c>
      <c r="B40524" t="str">
        <f>HYPERLINK("https://lindat.mff.cuni.cz/services/teitok/pdtc10/index.php?action=vallex&amp;frame=v-w5568f1", "rozcupovat (v-w5568f1)")</f>
        <v>rozcupovat (v-w5568f1)</v>
      </c>
    </row>
    <row r="40525" spans="1:4" x14ac:dyDescent="0.2">
      <c r="B40525" t="s">
        <v>1</v>
      </c>
      <c r="C40525" t="s">
        <v>33</v>
      </c>
      <c r="D40525" t="s">
        <v>2353</v>
      </c>
    </row>
    <row r="40526" spans="1:4" x14ac:dyDescent="0.2">
      <c r="B40526" t="s">
        <v>8</v>
      </c>
      <c r="C40526" t="s">
        <v>84</v>
      </c>
      <c r="D40526" t="s">
        <v>7127</v>
      </c>
    </row>
    <row r="40527" spans="1:4" x14ac:dyDescent="0.2">
      <c r="B40527" t="s">
        <v>61</v>
      </c>
      <c r="D40527" t="s">
        <v>13074</v>
      </c>
    </row>
    <row r="40529" spans="1:4" x14ac:dyDescent="0.2">
      <c r="A40529" t="s">
        <v>13093</v>
      </c>
      <c r="B40529" t="str">
        <f>HYPERLINK("https://lindat.mff.cuni.cz/services/teitok/pdtc10/index.php?action=vallex&amp;frame=v-whsb_364hsa_365", "rozcvičovat (v-whsb_364hsa_365)")</f>
        <v>rozcvičovat (v-whsb_364hsa_365)</v>
      </c>
    </row>
    <row r="40530" spans="1:4" x14ac:dyDescent="0.2">
      <c r="B40530" t="s">
        <v>1</v>
      </c>
    </row>
    <row r="40531" spans="1:4" x14ac:dyDescent="0.2">
      <c r="B40531" t="s">
        <v>8</v>
      </c>
    </row>
    <row r="40533" spans="1:4" x14ac:dyDescent="0.2">
      <c r="A40533" t="s">
        <v>13094</v>
      </c>
      <c r="B40533" t="str">
        <f>HYPERLINK("https://lindat.mff.cuni.cz/services/teitok/pdtc10/index.php?action=vallex&amp;frame=v-w5571f1", "rozcvičovat se (v-w5571f1)")</f>
        <v>rozcvičovat se (v-w5571f1)</v>
      </c>
    </row>
    <row r="40534" spans="1:4" x14ac:dyDescent="0.2">
      <c r="B40534" t="s">
        <v>1</v>
      </c>
    </row>
    <row r="40536" spans="1:4" x14ac:dyDescent="0.2">
      <c r="A40536" t="s">
        <v>13095</v>
      </c>
      <c r="B40536" t="str">
        <f>HYPERLINK("https://lindat.mff.cuni.cz/services/teitok/pdtc10/index.php?action=vallex&amp;frame=v-w5579f2_ZU", "rozdat (v-w5579f2_ZU)")</f>
        <v>rozdat (v-w5579f2_ZU)</v>
      </c>
    </row>
    <row r="40537" spans="1:4" x14ac:dyDescent="0.2">
      <c r="B40537" t="s">
        <v>1</v>
      </c>
    </row>
    <row r="40538" spans="1:4" x14ac:dyDescent="0.2">
      <c r="B40538" t="s">
        <v>8</v>
      </c>
    </row>
    <row r="40539" spans="1:4" x14ac:dyDescent="0.2">
      <c r="B40539" t="s">
        <v>13096</v>
      </c>
    </row>
    <row r="40541" spans="1:4" x14ac:dyDescent="0.2">
      <c r="A40541" t="s">
        <v>13095</v>
      </c>
      <c r="B40541" t="str">
        <f>HYPERLINK("https://lindat.mff.cuni.cz/services/teitok/pdtc10/index.php?action=vallex&amp;frame=v-w5579f1", "rozdat (v-w5579f1) - substituted with v-w5579f2_ZU")</f>
        <v>rozdat (v-w5579f1) - substituted with v-w5579f2_ZU</v>
      </c>
    </row>
    <row r="40542" spans="1:4" x14ac:dyDescent="0.2">
      <c r="B40542" t="s">
        <v>1</v>
      </c>
      <c r="C40542" t="s">
        <v>430</v>
      </c>
      <c r="D40542" t="s">
        <v>8003</v>
      </c>
    </row>
    <row r="40543" spans="1:4" x14ac:dyDescent="0.2">
      <c r="B40543" t="s">
        <v>8</v>
      </c>
      <c r="C40543" t="s">
        <v>335</v>
      </c>
      <c r="D40543" t="s">
        <v>23102</v>
      </c>
    </row>
    <row r="40544" spans="1:4" x14ac:dyDescent="0.2">
      <c r="B40544" t="s">
        <v>13096</v>
      </c>
      <c r="D40544" t="s">
        <v>23103</v>
      </c>
    </row>
    <row r="40546" spans="1:4" x14ac:dyDescent="0.2">
      <c r="A40546" t="s">
        <v>13097</v>
      </c>
      <c r="B40546" t="str">
        <f>HYPERLINK("https://lindat.mff.cuni.cz/services/teitok/pdtc10/index.php?action=vallex&amp;frame=v-w5579hsa_639", "rozdat (v-w5579hsa_639)")</f>
        <v>rozdat (v-w5579hsa_639)</v>
      </c>
    </row>
    <row r="40547" spans="1:4" x14ac:dyDescent="0.2">
      <c r="B40547" t="s">
        <v>1</v>
      </c>
      <c r="C40547" t="s">
        <v>2486</v>
      </c>
      <c r="D40547" t="s">
        <v>24127</v>
      </c>
    </row>
    <row r="40548" spans="1:4" x14ac:dyDescent="0.2">
      <c r="B40548" t="s">
        <v>8</v>
      </c>
      <c r="C40548" t="s">
        <v>2487</v>
      </c>
      <c r="D40548" t="s">
        <v>24128</v>
      </c>
    </row>
    <row r="40549" spans="1:4" x14ac:dyDescent="0.2">
      <c r="B40549" t="s">
        <v>35</v>
      </c>
      <c r="C40549" t="s">
        <v>2488</v>
      </c>
      <c r="D40549" t="s">
        <v>24129</v>
      </c>
    </row>
    <row r="40551" spans="1:4" x14ac:dyDescent="0.2">
      <c r="A40551" t="s">
        <v>13098</v>
      </c>
      <c r="B40551" t="str">
        <f>HYPERLINK("https://lindat.mff.cuni.cz/services/teitok/pdtc10/index.php?action=vallex&amp;frame=v-w5580f1", "rozdat si (v-w5580f1)")</f>
        <v>rozdat si (v-w5580f1)</v>
      </c>
    </row>
    <row r="40552" spans="1:4" x14ac:dyDescent="0.2">
      <c r="B40552" t="s">
        <v>1</v>
      </c>
    </row>
    <row r="40553" spans="1:4" x14ac:dyDescent="0.2">
      <c r="B40553" t="s">
        <v>390</v>
      </c>
    </row>
    <row r="40554" spans="1:4" x14ac:dyDescent="0.2">
      <c r="B40554" t="s">
        <v>411</v>
      </c>
    </row>
    <row r="40556" spans="1:4" x14ac:dyDescent="0.2">
      <c r="A40556" t="s">
        <v>13099</v>
      </c>
      <c r="B40556" t="str">
        <f>HYPERLINK("https://lindat.mff.cuni.cz/services/teitok/pdtc10/index.php?action=vallex&amp;frame=v-w10433f2", "rozdmýchat (v-w10433f2)")</f>
        <v>rozdmýchat (v-w10433f2)</v>
      </c>
    </row>
    <row r="40557" spans="1:4" x14ac:dyDescent="0.2">
      <c r="B40557" t="s">
        <v>1</v>
      </c>
      <c r="C40557" t="s">
        <v>13100</v>
      </c>
      <c r="D40557" t="s">
        <v>22950</v>
      </c>
    </row>
    <row r="40558" spans="1:4" x14ac:dyDescent="0.2">
      <c r="B40558" t="s">
        <v>8</v>
      </c>
      <c r="C40558" t="s">
        <v>6116</v>
      </c>
      <c r="D40558" t="s">
        <v>22951</v>
      </c>
    </row>
    <row r="40560" spans="1:4" x14ac:dyDescent="0.2">
      <c r="A40560" t="s">
        <v>13101</v>
      </c>
      <c r="B40560" t="str">
        <f>HYPERLINK("https://lindat.mff.cuni.cz/services/teitok/pdtc10/index.php?action=vallex&amp;frame=v-w5594f3", "rozdrobit (v-w5594f3)")</f>
        <v>rozdrobit (v-w5594f3)</v>
      </c>
    </row>
    <row r="40561" spans="1:4" x14ac:dyDescent="0.2">
      <c r="B40561" t="s">
        <v>1</v>
      </c>
    </row>
    <row r="40562" spans="1:4" x14ac:dyDescent="0.2">
      <c r="B40562" t="s">
        <v>8</v>
      </c>
    </row>
    <row r="40563" spans="1:4" x14ac:dyDescent="0.2">
      <c r="B40563" t="s">
        <v>25</v>
      </c>
    </row>
    <row r="40565" spans="1:4" x14ac:dyDescent="0.2">
      <c r="A40565" t="s">
        <v>13101</v>
      </c>
      <c r="B40565" t="str">
        <f>HYPERLINK("https://lindat.mff.cuni.cz/services/teitok/pdtc10/index.php?action=vallex&amp;frame=v-w5594f1", "rozdrobit (v-w5594f1) - substituted with v-w5594f3")</f>
        <v>rozdrobit (v-w5594f1) - substituted with v-w5594f3</v>
      </c>
    </row>
    <row r="40566" spans="1:4" x14ac:dyDescent="0.2">
      <c r="B40566" t="s">
        <v>1</v>
      </c>
    </row>
    <row r="40567" spans="1:4" x14ac:dyDescent="0.2">
      <c r="B40567" t="s">
        <v>8</v>
      </c>
    </row>
    <row r="40568" spans="1:4" x14ac:dyDescent="0.2">
      <c r="B40568" t="s">
        <v>25</v>
      </c>
    </row>
    <row r="40570" spans="1:4" x14ac:dyDescent="0.2">
      <c r="A40570" t="s">
        <v>13102</v>
      </c>
      <c r="B40570" t="str">
        <f>HYPERLINK("https://lindat.mff.cuni.cz/services/teitok/pdtc10/index.php?action=vallex&amp;frame=v-w5594f2", "rozdrobit (v-w5594f2)")</f>
        <v>rozdrobit (v-w5594f2)</v>
      </c>
    </row>
    <row r="40571" spans="1:4" x14ac:dyDescent="0.2">
      <c r="B40571" t="s">
        <v>1</v>
      </c>
    </row>
    <row r="40572" spans="1:4" x14ac:dyDescent="0.2">
      <c r="B40572" t="s">
        <v>8</v>
      </c>
    </row>
    <row r="40573" spans="1:4" x14ac:dyDescent="0.2">
      <c r="B40573" t="s">
        <v>61</v>
      </c>
    </row>
    <row r="40575" spans="1:4" x14ac:dyDescent="0.2">
      <c r="A40575" t="s">
        <v>13103</v>
      </c>
      <c r="B40575" t="str">
        <f>HYPERLINK("https://lindat.mff.cuni.cz/services/teitok/pdtc10/index.php?action=vallex&amp;frame=v-w11413f1", "rozdrolit se (v-w11413f1)")</f>
        <v>rozdrolit se (v-w11413f1)</v>
      </c>
    </row>
    <row r="40576" spans="1:4" x14ac:dyDescent="0.2">
      <c r="B40576" t="s">
        <v>1</v>
      </c>
      <c r="C40576" t="s">
        <v>201</v>
      </c>
      <c r="D40576" t="s">
        <v>23100</v>
      </c>
    </row>
    <row r="40577" spans="1:4" x14ac:dyDescent="0.2">
      <c r="B40577" t="s">
        <v>2336</v>
      </c>
      <c r="D40577" t="s">
        <v>21785</v>
      </c>
    </row>
    <row r="40579" spans="1:4" x14ac:dyDescent="0.2">
      <c r="A40579" t="s">
        <v>13104</v>
      </c>
      <c r="B40579" t="str">
        <f>HYPERLINK("https://lindat.mff.cuni.cz/services/teitok/pdtc10/index.php?action=vallex&amp;frame=v-w5595f1", "rozdrtit (v-w5595f1)")</f>
        <v>rozdrtit (v-w5595f1)</v>
      </c>
    </row>
    <row r="40580" spans="1:4" x14ac:dyDescent="0.2">
      <c r="B40580" t="s">
        <v>1</v>
      </c>
      <c r="C40580" t="s">
        <v>33</v>
      </c>
      <c r="D40580" t="s">
        <v>2353</v>
      </c>
    </row>
    <row r="40581" spans="1:4" x14ac:dyDescent="0.2">
      <c r="B40581" t="s">
        <v>8</v>
      </c>
      <c r="C40581" t="s">
        <v>1025</v>
      </c>
      <c r="D40581" t="s">
        <v>7127</v>
      </c>
    </row>
    <row r="40582" spans="1:4" x14ac:dyDescent="0.2">
      <c r="B40582" t="s">
        <v>61</v>
      </c>
      <c r="D40582" t="s">
        <v>13074</v>
      </c>
    </row>
    <row r="40584" spans="1:4" x14ac:dyDescent="0.2">
      <c r="A40584" t="s">
        <v>13105</v>
      </c>
      <c r="B40584" t="str">
        <f>HYPERLINK("https://lindat.mff.cuni.cz/services/teitok/pdtc10/index.php?action=vallex&amp;frame=v-w5595f2", "rozdrtit (v-w5595f2)")</f>
        <v>rozdrtit (v-w5595f2)</v>
      </c>
    </row>
    <row r="40585" spans="1:4" x14ac:dyDescent="0.2">
      <c r="B40585" t="s">
        <v>1</v>
      </c>
      <c r="C40585" t="s">
        <v>430</v>
      </c>
      <c r="D40585" t="s">
        <v>23088</v>
      </c>
    </row>
    <row r="40586" spans="1:4" x14ac:dyDescent="0.2">
      <c r="B40586" t="s">
        <v>8</v>
      </c>
      <c r="C40586" t="s">
        <v>1066</v>
      </c>
      <c r="D40586" t="s">
        <v>986</v>
      </c>
    </row>
    <row r="40588" spans="1:4" x14ac:dyDescent="0.2">
      <c r="A40588" t="s">
        <v>13106</v>
      </c>
      <c r="B40588" t="str">
        <f>HYPERLINK("https://lindat.mff.cuni.cz/services/teitok/pdtc10/index.php?action=vallex&amp;frame=v-w10067f2", "rozdvojit (v-w10067f2)")</f>
        <v>rozdvojit (v-w10067f2)</v>
      </c>
    </row>
    <row r="40589" spans="1:4" x14ac:dyDescent="0.2">
      <c r="B40589" t="s">
        <v>1</v>
      </c>
      <c r="C40589" t="s">
        <v>140</v>
      </c>
      <c r="D40589" t="s">
        <v>3583</v>
      </c>
    </row>
    <row r="40590" spans="1:4" x14ac:dyDescent="0.2">
      <c r="B40590" t="s">
        <v>8</v>
      </c>
      <c r="C40590" t="s">
        <v>113</v>
      </c>
      <c r="D40590" t="s">
        <v>2113</v>
      </c>
    </row>
    <row r="40591" spans="1:4" x14ac:dyDescent="0.2">
      <c r="B40591" t="s">
        <v>4283</v>
      </c>
      <c r="D40591" t="s">
        <v>23395</v>
      </c>
    </row>
    <row r="40593" spans="1:4" x14ac:dyDescent="0.2">
      <c r="A40593" t="s">
        <v>13107</v>
      </c>
      <c r="B40593" t="str">
        <f>HYPERLINK("https://lindat.mff.cuni.cz/services/teitok/pdtc10/index.php?action=vallex&amp;frame=v-w5581f1", "rozdávat (v-w5581f1)")</f>
        <v>rozdávat (v-w5581f1)</v>
      </c>
    </row>
    <row r="40594" spans="1:4" x14ac:dyDescent="0.2">
      <c r="B40594" t="s">
        <v>1</v>
      </c>
      <c r="C40594" t="s">
        <v>13108</v>
      </c>
      <c r="D40594" t="s">
        <v>24127</v>
      </c>
    </row>
    <row r="40595" spans="1:4" x14ac:dyDescent="0.2">
      <c r="B40595" t="s">
        <v>8</v>
      </c>
      <c r="C40595" t="s">
        <v>13109</v>
      </c>
      <c r="D40595" t="s">
        <v>24128</v>
      </c>
    </row>
    <row r="40596" spans="1:4" x14ac:dyDescent="0.2">
      <c r="B40596" t="s">
        <v>35</v>
      </c>
      <c r="C40596" t="s">
        <v>13110</v>
      </c>
      <c r="D40596" t="s">
        <v>24129</v>
      </c>
    </row>
    <row r="40598" spans="1:4" x14ac:dyDescent="0.2">
      <c r="A40598" t="s">
        <v>13111</v>
      </c>
      <c r="B40598" t="str">
        <f>HYPERLINK("https://lindat.mff.cuni.cz/services/teitok/pdtc10/index.php?action=vallex&amp;frame=v-whsb_538f1_ZU", "rozdýchat (v-whsb_538f1_ZU)")</f>
        <v>rozdýchat (v-whsb_538f1_ZU)</v>
      </c>
    </row>
    <row r="40599" spans="1:4" x14ac:dyDescent="0.2">
      <c r="B40599" t="s">
        <v>1</v>
      </c>
    </row>
    <row r="40600" spans="1:4" x14ac:dyDescent="0.2">
      <c r="B40600" t="s">
        <v>8</v>
      </c>
    </row>
    <row r="40602" spans="1:4" x14ac:dyDescent="0.2">
      <c r="A40602" t="s">
        <v>13112</v>
      </c>
      <c r="B40602" t="str">
        <f>HYPERLINK("https://lindat.mff.cuni.cz/services/teitok/pdtc10/index.php?action=vallex&amp;frame=v-whsb_538hsa_539", "rozdýchat (v-whsb_538hsa_539)")</f>
        <v>rozdýchat (v-whsb_538hsa_539)</v>
      </c>
    </row>
    <row r="40603" spans="1:4" x14ac:dyDescent="0.2">
      <c r="B40603" t="s">
        <v>1</v>
      </c>
    </row>
    <row r="40604" spans="1:4" x14ac:dyDescent="0.2">
      <c r="B40604" t="s">
        <v>8</v>
      </c>
    </row>
    <row r="40606" spans="1:4" x14ac:dyDescent="0.2">
      <c r="A40606" t="s">
        <v>13113</v>
      </c>
      <c r="B40606" t="str">
        <f>HYPERLINK("https://lindat.mff.cuni.cz/services/teitok/pdtc10/index.php?action=vallex&amp;frame=v-w11956_ZUf1_ZU", "rozdýchávat (v-w11956_ZUf1_ZU)")</f>
        <v>rozdýchávat (v-w11956_ZUf1_ZU)</v>
      </c>
    </row>
    <row r="40607" spans="1:4" x14ac:dyDescent="0.2">
      <c r="B40607" t="s">
        <v>1</v>
      </c>
    </row>
    <row r="40608" spans="1:4" x14ac:dyDescent="0.2">
      <c r="B40608" t="s">
        <v>8</v>
      </c>
    </row>
    <row r="40610" spans="1:4" x14ac:dyDescent="0.2">
      <c r="A40610" t="s">
        <v>13114</v>
      </c>
      <c r="B40610" t="str">
        <f>HYPERLINK("https://lindat.mff.cuni.cz/services/teitok/pdtc10/index.php?action=vallex&amp;frame=v-w11958_ZUf1_ZU", "rozdělat (v-w11958_ZUf1_ZU)")</f>
        <v>rozdělat (v-w11958_ZUf1_ZU)</v>
      </c>
    </row>
    <row r="40611" spans="1:4" x14ac:dyDescent="0.2">
      <c r="B40611" t="s">
        <v>1</v>
      </c>
    </row>
    <row r="40612" spans="1:4" x14ac:dyDescent="0.2">
      <c r="B40612" t="s">
        <v>8</v>
      </c>
    </row>
    <row r="40614" spans="1:4" x14ac:dyDescent="0.2">
      <c r="A40614" t="s">
        <v>13115</v>
      </c>
      <c r="B40614" t="str">
        <f>HYPERLINK("https://lindat.mff.cuni.cz/services/teitok/pdtc10/index.php?action=vallex&amp;frame=v-w5584f3", "rozdělit (v-w5584f3)")</f>
        <v>rozdělit (v-w5584f3)</v>
      </c>
    </row>
    <row r="40615" spans="1:4" x14ac:dyDescent="0.2">
      <c r="B40615" t="s">
        <v>1</v>
      </c>
      <c r="C40615" t="s">
        <v>83</v>
      </c>
    </row>
    <row r="40616" spans="1:4" x14ac:dyDescent="0.2">
      <c r="B40616" t="s">
        <v>8</v>
      </c>
      <c r="C40616" t="s">
        <v>1109</v>
      </c>
    </row>
    <row r="40617" spans="1:4" x14ac:dyDescent="0.2">
      <c r="B40617" t="s">
        <v>13116</v>
      </c>
      <c r="C40617" t="s">
        <v>297</v>
      </c>
    </row>
    <row r="40618" spans="1:4" x14ac:dyDescent="0.2">
      <c r="B40618" t="s">
        <v>61</v>
      </c>
    </row>
    <row r="40620" spans="1:4" x14ac:dyDescent="0.2">
      <c r="A40620" t="s">
        <v>13117</v>
      </c>
      <c r="B40620" t="str">
        <f>HYPERLINK("https://lindat.mff.cuni.cz/services/teitok/pdtc10/index.php?action=vallex&amp;frame=v-w5584f2", "rozdělit (v-w5584f2)")</f>
        <v>rozdělit (v-w5584f2)</v>
      </c>
    </row>
    <row r="40621" spans="1:4" x14ac:dyDescent="0.2">
      <c r="B40621" t="s">
        <v>1</v>
      </c>
      <c r="C40621" t="s">
        <v>13118</v>
      </c>
      <c r="D40621" t="s">
        <v>8003</v>
      </c>
    </row>
    <row r="40622" spans="1:4" x14ac:dyDescent="0.2">
      <c r="B40622" t="s">
        <v>8</v>
      </c>
      <c r="C40622" t="s">
        <v>2253</v>
      </c>
      <c r="D40622" t="s">
        <v>23102</v>
      </c>
    </row>
    <row r="40623" spans="1:4" x14ac:dyDescent="0.2">
      <c r="B40623" t="s">
        <v>13119</v>
      </c>
      <c r="C40623" t="s">
        <v>13120</v>
      </c>
      <c r="D40623" t="s">
        <v>23103</v>
      </c>
    </row>
    <row r="40625" spans="1:4" x14ac:dyDescent="0.2">
      <c r="A40625" t="s">
        <v>13121</v>
      </c>
      <c r="B40625" t="str">
        <f>HYPERLINK("https://lindat.mff.cuni.cz/services/teitok/pdtc10/index.php?action=vallex&amp;frame=v-w5584f1", "rozdělit (v-w5584f1)")</f>
        <v>rozdělit (v-w5584f1)</v>
      </c>
    </row>
    <row r="40626" spans="1:4" x14ac:dyDescent="0.2">
      <c r="B40626" t="s">
        <v>1</v>
      </c>
      <c r="C40626" t="s">
        <v>13122</v>
      </c>
      <c r="D40626" t="s">
        <v>24130</v>
      </c>
    </row>
    <row r="40627" spans="1:4" x14ac:dyDescent="0.2">
      <c r="B40627" t="s">
        <v>8</v>
      </c>
      <c r="C40627" t="s">
        <v>2169</v>
      </c>
      <c r="D40627" t="s">
        <v>17979</v>
      </c>
    </row>
    <row r="40628" spans="1:4" x14ac:dyDescent="0.2">
      <c r="B40628" t="s">
        <v>4283</v>
      </c>
      <c r="C40628" t="s">
        <v>13123</v>
      </c>
      <c r="D40628" t="s">
        <v>24131</v>
      </c>
    </row>
    <row r="40630" spans="1:4" x14ac:dyDescent="0.2">
      <c r="A40630" t="s">
        <v>13124</v>
      </c>
      <c r="B40630" t="str">
        <f>HYPERLINK("https://lindat.mff.cuni.cz/services/teitok/pdtc10/index.php?action=vallex&amp;frame=v-w5585f2", "rozdělit se (v-w5585f2)")</f>
        <v>rozdělit se (v-w5585f2)</v>
      </c>
    </row>
    <row r="40631" spans="1:4" x14ac:dyDescent="0.2">
      <c r="B40631" t="s">
        <v>1</v>
      </c>
    </row>
    <row r="40632" spans="1:4" x14ac:dyDescent="0.2">
      <c r="B40632" t="s">
        <v>467</v>
      </c>
    </row>
    <row r="40633" spans="1:4" x14ac:dyDescent="0.2">
      <c r="B40633" t="s">
        <v>153</v>
      </c>
    </row>
    <row r="40635" spans="1:4" x14ac:dyDescent="0.2">
      <c r="A40635" t="s">
        <v>13125</v>
      </c>
      <c r="B40635" t="str">
        <f>HYPERLINK("https://lindat.mff.cuni.cz/services/teitok/pdtc10/index.php?action=vallex&amp;frame=v-w5585f1", "rozdělit se (v-w5585f1)")</f>
        <v>rozdělit se (v-w5585f1)</v>
      </c>
    </row>
    <row r="40636" spans="1:4" x14ac:dyDescent="0.2">
      <c r="B40636" t="s">
        <v>1</v>
      </c>
      <c r="C40636" t="s">
        <v>13126</v>
      </c>
      <c r="D40636" t="s">
        <v>23100</v>
      </c>
    </row>
    <row r="40637" spans="1:4" x14ac:dyDescent="0.2">
      <c r="B40637" t="s">
        <v>13127</v>
      </c>
      <c r="C40637" t="s">
        <v>4151</v>
      </c>
      <c r="D40637" t="s">
        <v>21785</v>
      </c>
    </row>
    <row r="40639" spans="1:4" x14ac:dyDescent="0.2">
      <c r="A40639" t="s">
        <v>13128</v>
      </c>
      <c r="B40639" t="str">
        <f>HYPERLINK("https://lindat.mff.cuni.cz/services/teitok/pdtc10/index.php?action=vallex&amp;frame=v-w5585f3", "rozdělit se (v-w5585f3)")</f>
        <v>rozdělit se (v-w5585f3)</v>
      </c>
    </row>
    <row r="40640" spans="1:4" x14ac:dyDescent="0.2">
      <c r="B40640" t="s">
        <v>1</v>
      </c>
    </row>
    <row r="40641" spans="1:4" x14ac:dyDescent="0.2">
      <c r="B40641" t="s">
        <v>247</v>
      </c>
    </row>
    <row r="40643" spans="1:4" x14ac:dyDescent="0.2">
      <c r="A40643" t="s">
        <v>13129</v>
      </c>
      <c r="B40643" t="str">
        <f>HYPERLINK("https://lindat.mff.cuni.cz/services/teitok/pdtc10/index.php?action=vallex&amp;frame=v-w5587f3_ZU", "rozdělovat (v-w5587f3_ZU)")</f>
        <v>rozdělovat (v-w5587f3_ZU)</v>
      </c>
    </row>
    <row r="40644" spans="1:4" x14ac:dyDescent="0.2">
      <c r="B40644" t="s">
        <v>1</v>
      </c>
    </row>
    <row r="40645" spans="1:4" x14ac:dyDescent="0.2">
      <c r="B40645" t="s">
        <v>172</v>
      </c>
    </row>
    <row r="40646" spans="1:4" x14ac:dyDescent="0.2">
      <c r="B40646" t="s">
        <v>3035</v>
      </c>
    </row>
    <row r="40648" spans="1:4" x14ac:dyDescent="0.2">
      <c r="A40648" t="s">
        <v>13129</v>
      </c>
      <c r="B40648" t="str">
        <f>HYPERLINK("https://lindat.mff.cuni.cz/services/teitok/pdtc10/index.php?action=vallex&amp;frame=v-w5587f1", "rozdělovat (v-w5587f1) - substituted with v-w5587f3_ZU")</f>
        <v>rozdělovat (v-w5587f1) - substituted with v-w5587f3_ZU</v>
      </c>
    </row>
    <row r="40649" spans="1:4" x14ac:dyDescent="0.2">
      <c r="B40649" t="s">
        <v>1</v>
      </c>
      <c r="C40649" t="s">
        <v>1106</v>
      </c>
      <c r="D40649" t="s">
        <v>8003</v>
      </c>
    </row>
    <row r="40650" spans="1:4" x14ac:dyDescent="0.2">
      <c r="B40650" t="s">
        <v>172</v>
      </c>
      <c r="C40650" t="s">
        <v>10031</v>
      </c>
      <c r="D40650" t="s">
        <v>23102</v>
      </c>
    </row>
    <row r="40651" spans="1:4" x14ac:dyDescent="0.2">
      <c r="B40651" t="s">
        <v>3035</v>
      </c>
      <c r="C40651" t="s">
        <v>13130</v>
      </c>
      <c r="D40651" t="s">
        <v>23103</v>
      </c>
    </row>
    <row r="40653" spans="1:4" x14ac:dyDescent="0.2">
      <c r="A40653" t="s">
        <v>13131</v>
      </c>
      <c r="B40653" t="str">
        <f>HYPERLINK("https://lindat.mff.cuni.cz/services/teitok/pdtc10/index.php?action=vallex&amp;frame=v-w5587f2", "rozdělovat (v-w5587f2)")</f>
        <v>rozdělovat (v-w5587f2)</v>
      </c>
    </row>
    <row r="40654" spans="1:4" x14ac:dyDescent="0.2">
      <c r="B40654" t="s">
        <v>1</v>
      </c>
      <c r="C40654" t="s">
        <v>13132</v>
      </c>
      <c r="D40654" t="s">
        <v>3583</v>
      </c>
    </row>
    <row r="40655" spans="1:4" x14ac:dyDescent="0.2">
      <c r="B40655" t="s">
        <v>8</v>
      </c>
      <c r="C40655" t="s">
        <v>2755</v>
      </c>
      <c r="D40655" t="s">
        <v>2113</v>
      </c>
    </row>
    <row r="40656" spans="1:4" x14ac:dyDescent="0.2">
      <c r="B40656" t="s">
        <v>4283</v>
      </c>
      <c r="C40656" t="s">
        <v>8620</v>
      </c>
      <c r="D40656" t="s">
        <v>23395</v>
      </c>
    </row>
    <row r="40658" spans="1:2" x14ac:dyDescent="0.2">
      <c r="A40658" t="s">
        <v>13133</v>
      </c>
      <c r="B40658" t="str">
        <f>HYPERLINK("https://lindat.mff.cuni.cz/services/teitok/pdtc10/index.php?action=vallex&amp;frame=v-whsa_663hsa_664", "rozdělovat se (v-whsa_663hsa_664)")</f>
        <v>rozdělovat se (v-whsa_663hsa_664)</v>
      </c>
    </row>
    <row r="40659" spans="1:2" x14ac:dyDescent="0.2">
      <c r="B40659" t="s">
        <v>1</v>
      </c>
    </row>
    <row r="40660" spans="1:2" x14ac:dyDescent="0.2">
      <c r="B40660" t="s">
        <v>2336</v>
      </c>
    </row>
    <row r="40662" spans="1:2" x14ac:dyDescent="0.2">
      <c r="A40662" t="s">
        <v>13134</v>
      </c>
      <c r="B40662" t="str">
        <f>HYPERLINK("https://lindat.mff.cuni.cz/services/teitok/pdtc10/index.php?action=vallex&amp;frame=v-whsa_2018f2_ZU", "rozdělávat (v-whsa_2018f2_ZU)")</f>
        <v>rozdělávat (v-whsa_2018f2_ZU)</v>
      </c>
    </row>
    <row r="40663" spans="1:2" x14ac:dyDescent="0.2">
      <c r="B40663" t="s">
        <v>1</v>
      </c>
    </row>
    <row r="40664" spans="1:2" x14ac:dyDescent="0.2">
      <c r="B40664" t="s">
        <v>8</v>
      </c>
    </row>
    <row r="40666" spans="1:2" x14ac:dyDescent="0.2">
      <c r="A40666" t="s">
        <v>13134</v>
      </c>
      <c r="B40666" t="str">
        <f>HYPERLINK("https://lindat.mff.cuni.cz/services/teitok/pdtc10/index.php?action=vallex&amp;frame=v-whsa_2018hsa_2020", "rozdělávat (v-whsa_2018hsa_2020) - substituted with v-whsa_2018f2_ZU")</f>
        <v>rozdělávat (v-whsa_2018hsa_2020) - substituted with v-whsa_2018f2_ZU</v>
      </c>
    </row>
    <row r="40667" spans="1:2" x14ac:dyDescent="0.2">
      <c r="B40667" t="s">
        <v>1</v>
      </c>
    </row>
    <row r="40668" spans="1:2" x14ac:dyDescent="0.2">
      <c r="B40668" t="s">
        <v>8</v>
      </c>
    </row>
    <row r="40670" spans="1:2" x14ac:dyDescent="0.2">
      <c r="A40670" t="s">
        <v>13135</v>
      </c>
      <c r="B40670" t="str">
        <f>HYPERLINK("https://lindat.mff.cuni.cz/services/teitok/pdtc10/index.php?action=vallex&amp;frame=v-whsa_2018f3_ZU", "rozdělávat (v-whsa_2018f3_ZU)")</f>
        <v>rozdělávat (v-whsa_2018f3_ZU)</v>
      </c>
    </row>
    <row r="40671" spans="1:2" x14ac:dyDescent="0.2">
      <c r="B40671" t="s">
        <v>1</v>
      </c>
    </row>
    <row r="40672" spans="1:2" x14ac:dyDescent="0.2">
      <c r="B40672" t="s">
        <v>8</v>
      </c>
    </row>
    <row r="40674" spans="1:2" x14ac:dyDescent="0.2">
      <c r="A40674" t="s">
        <v>13135</v>
      </c>
      <c r="B40674" t="str">
        <f>HYPERLINK("https://lindat.mff.cuni.cz/services/teitok/pdtc10/index.php?action=vallex&amp;frame=v-whsa_2018f1_ZU", "rozdělávat (v-whsa_2018f1_ZU) - substituted with v-whsa_2018f3_ZU")</f>
        <v>rozdělávat (v-whsa_2018f1_ZU) - substituted with v-whsa_2018f3_ZU</v>
      </c>
    </row>
    <row r="40675" spans="1:2" x14ac:dyDescent="0.2">
      <c r="B40675" t="s">
        <v>1</v>
      </c>
    </row>
    <row r="40676" spans="1:2" x14ac:dyDescent="0.2">
      <c r="B40676" t="s">
        <v>8</v>
      </c>
    </row>
    <row r="40678" spans="1:2" x14ac:dyDescent="0.2">
      <c r="A40678" t="s">
        <v>13135</v>
      </c>
      <c r="B40678" t="str">
        <f>HYPERLINK("https://lindat.mff.cuni.cz/services/teitok/pdtc10/index.php?action=vallex&amp;frame=v-whsa_2018hsa_2019", "rozdělávat (v-whsa_2018hsa_2019) - substituted with v-whsa_2018f3_ZU")</f>
        <v>rozdělávat (v-whsa_2018hsa_2019) - substituted with v-whsa_2018f3_ZU</v>
      </c>
    </row>
    <row r="40679" spans="1:2" x14ac:dyDescent="0.2">
      <c r="B40679" t="s">
        <v>1</v>
      </c>
    </row>
    <row r="40680" spans="1:2" x14ac:dyDescent="0.2">
      <c r="B40680" t="s">
        <v>8</v>
      </c>
    </row>
    <row r="40682" spans="1:2" x14ac:dyDescent="0.2">
      <c r="A40682" t="s">
        <v>13136</v>
      </c>
      <c r="B40682" t="str">
        <f>HYPERLINK("https://lindat.mff.cuni.cz/services/teitok/pdtc10/index.php?action=vallex&amp;frame=v-w5598f3", "rozebrat (v-w5598f3)")</f>
        <v>rozebrat (v-w5598f3)</v>
      </c>
    </row>
    <row r="40683" spans="1:2" x14ac:dyDescent="0.2">
      <c r="B40683" t="s">
        <v>1</v>
      </c>
    </row>
    <row r="40684" spans="1:2" x14ac:dyDescent="0.2">
      <c r="B40684" t="s">
        <v>8</v>
      </c>
    </row>
    <row r="40685" spans="1:2" x14ac:dyDescent="0.2">
      <c r="B40685" t="s">
        <v>153</v>
      </c>
    </row>
    <row r="40687" spans="1:2" x14ac:dyDescent="0.2">
      <c r="A40687" t="s">
        <v>13137</v>
      </c>
      <c r="B40687" t="str">
        <f>HYPERLINK("https://lindat.mff.cuni.cz/services/teitok/pdtc10/index.php?action=vallex&amp;frame=v-w5598f1", "rozebrat (v-w5598f1)")</f>
        <v>rozebrat (v-w5598f1)</v>
      </c>
    </row>
    <row r="40688" spans="1:2" x14ac:dyDescent="0.2">
      <c r="B40688" t="s">
        <v>1</v>
      </c>
    </row>
    <row r="40689" spans="1:4" x14ac:dyDescent="0.2">
      <c r="B40689" t="s">
        <v>8</v>
      </c>
    </row>
    <row r="40690" spans="1:4" x14ac:dyDescent="0.2">
      <c r="B40690" t="s">
        <v>61</v>
      </c>
    </row>
    <row r="40692" spans="1:4" x14ac:dyDescent="0.2">
      <c r="A40692" t="s">
        <v>13138</v>
      </c>
      <c r="B40692" t="str">
        <f>HYPERLINK("https://lindat.mff.cuni.cz/services/teitok/pdtc10/index.php?action=vallex&amp;frame=v-w5598f2", "rozebrat (v-w5598f2)")</f>
        <v>rozebrat (v-w5598f2)</v>
      </c>
    </row>
    <row r="40693" spans="1:4" x14ac:dyDescent="0.2">
      <c r="B40693" t="s">
        <v>1</v>
      </c>
      <c r="C40693" t="s">
        <v>2239</v>
      </c>
    </row>
    <row r="40694" spans="1:4" x14ac:dyDescent="0.2">
      <c r="B40694" t="s">
        <v>8</v>
      </c>
      <c r="C40694" t="s">
        <v>54</v>
      </c>
    </row>
    <row r="40696" spans="1:4" x14ac:dyDescent="0.2">
      <c r="A40696" t="s">
        <v>13139</v>
      </c>
      <c r="B40696" t="str">
        <f>HYPERLINK("https://lindat.mff.cuni.cz/services/teitok/pdtc10/index.php?action=vallex&amp;frame=v-w5597f1", "rozebírat (v-w5597f1)")</f>
        <v>rozebírat (v-w5597f1)</v>
      </c>
    </row>
    <row r="40697" spans="1:4" x14ac:dyDescent="0.2">
      <c r="B40697" t="s">
        <v>1</v>
      </c>
      <c r="C40697" t="s">
        <v>2566</v>
      </c>
      <c r="D40697" t="s">
        <v>22973</v>
      </c>
    </row>
    <row r="40698" spans="1:4" x14ac:dyDescent="0.2">
      <c r="B40698" t="s">
        <v>8</v>
      </c>
      <c r="C40698" t="s">
        <v>1721</v>
      </c>
      <c r="D40698" t="s">
        <v>22974</v>
      </c>
    </row>
    <row r="40699" spans="1:4" x14ac:dyDescent="0.2">
      <c r="B40699" t="s">
        <v>2328</v>
      </c>
      <c r="C40699" t="s">
        <v>1278</v>
      </c>
      <c r="D40699" t="s">
        <v>22975</v>
      </c>
    </row>
    <row r="40701" spans="1:4" x14ac:dyDescent="0.2">
      <c r="A40701" t="s">
        <v>13140</v>
      </c>
      <c r="B40701" t="str">
        <f>HYPERLINK("https://lindat.mff.cuni.cz/services/teitok/pdtc10/index.php?action=vallex&amp;frame=v-w5597f2", "rozebírat (v-w5597f2)")</f>
        <v>rozebírat (v-w5597f2)</v>
      </c>
    </row>
    <row r="40702" spans="1:4" x14ac:dyDescent="0.2">
      <c r="B40702" t="s">
        <v>1</v>
      </c>
      <c r="C40702" t="s">
        <v>140</v>
      </c>
      <c r="D40702" t="s">
        <v>1275</v>
      </c>
    </row>
    <row r="40703" spans="1:4" x14ac:dyDescent="0.2">
      <c r="B40703" t="s">
        <v>8</v>
      </c>
      <c r="C40703" t="s">
        <v>113</v>
      </c>
      <c r="D40703" t="s">
        <v>14591</v>
      </c>
    </row>
    <row r="40704" spans="1:4" x14ac:dyDescent="0.2">
      <c r="B40704" t="s">
        <v>61</v>
      </c>
      <c r="D40704" t="s">
        <v>24132</v>
      </c>
    </row>
    <row r="40706" spans="1:2" x14ac:dyDescent="0.2">
      <c r="A40706" t="s">
        <v>13141</v>
      </c>
      <c r="B40706" t="str">
        <f>HYPERLINK("https://lindat.mff.cuni.cz/services/teitok/pdtc10/index.php?action=vallex&amp;frame=v-whsa_1977f1_ZU", "rozeběhnout se (v-whsa_1977f1_ZU)")</f>
        <v>rozeběhnout se (v-whsa_1977f1_ZU)</v>
      </c>
    </row>
    <row r="40707" spans="1:2" x14ac:dyDescent="0.2">
      <c r="B40707" t="s">
        <v>1</v>
      </c>
    </row>
    <row r="40709" spans="1:2" x14ac:dyDescent="0.2">
      <c r="A40709" t="s">
        <v>13141</v>
      </c>
      <c r="B40709" t="str">
        <f>HYPERLINK("https://lindat.mff.cuni.cz/services/teitok/pdtc10/index.php?action=vallex&amp;frame=v-whsa_1977hsa_1978", "rozeběhnout se (v-whsa_1977hsa_1978) - substituted with v-whsa_1977f1_ZU")</f>
        <v>rozeběhnout se (v-whsa_1977hsa_1978) - substituted with v-whsa_1977f1_ZU</v>
      </c>
    </row>
    <row r="40710" spans="1:2" x14ac:dyDescent="0.2">
      <c r="B40710" t="s">
        <v>1</v>
      </c>
    </row>
    <row r="40712" spans="1:2" x14ac:dyDescent="0.2">
      <c r="A40712" t="s">
        <v>13142</v>
      </c>
      <c r="B40712" t="str">
        <f>HYPERLINK("https://lindat.mff.cuni.cz/services/teitok/pdtc10/index.php?action=vallex&amp;frame=v-w5610f1", "rozechvívat (v-w5610f1)")</f>
        <v>rozechvívat (v-w5610f1)</v>
      </c>
    </row>
    <row r="40713" spans="1:2" x14ac:dyDescent="0.2">
      <c r="B40713" t="s">
        <v>488</v>
      </c>
    </row>
    <row r="40714" spans="1:2" x14ac:dyDescent="0.2">
      <c r="B40714" t="s">
        <v>8</v>
      </c>
    </row>
    <row r="40716" spans="1:2" x14ac:dyDescent="0.2">
      <c r="A40716" t="s">
        <v>13143</v>
      </c>
      <c r="B40716" t="str">
        <f>HYPERLINK("https://lindat.mff.cuni.cz/services/teitok/pdtc10/index.php?action=vallex&amp;frame=v-w5609f1", "rozechvět (v-w5609f1)")</f>
        <v>rozechvět (v-w5609f1)</v>
      </c>
    </row>
    <row r="40717" spans="1:2" x14ac:dyDescent="0.2">
      <c r="B40717" t="s">
        <v>488</v>
      </c>
    </row>
    <row r="40718" spans="1:2" x14ac:dyDescent="0.2">
      <c r="B40718" t="s">
        <v>8</v>
      </c>
    </row>
    <row r="40720" spans="1:2" x14ac:dyDescent="0.2">
      <c r="A40720" t="s">
        <v>13144</v>
      </c>
      <c r="B40720" t="str">
        <f>HYPERLINK("https://lindat.mff.cuni.cz/services/teitok/pdtc10/index.php?action=vallex&amp;frame=v-w5609f2", "rozechvět (v-w5609f2)")</f>
        <v>rozechvět (v-w5609f2)</v>
      </c>
    </row>
    <row r="40721" spans="1:4" x14ac:dyDescent="0.2">
      <c r="B40721" t="s">
        <v>1</v>
      </c>
    </row>
    <row r="40722" spans="1:4" x14ac:dyDescent="0.2">
      <c r="B40722" t="s">
        <v>8</v>
      </c>
    </row>
    <row r="40724" spans="1:4" x14ac:dyDescent="0.2">
      <c r="A40724" t="s">
        <v>13145</v>
      </c>
      <c r="B40724" t="str">
        <f>HYPERLINK("https://lindat.mff.cuni.cz/services/teitok/pdtc10/index.php?action=vallex&amp;frame=v-whsa_56hsa_57", "rozednít se (v-whsa_56hsa_57)")</f>
        <v>rozednít se (v-whsa_56hsa_57)</v>
      </c>
    </row>
    <row r="40726" spans="1:4" x14ac:dyDescent="0.2">
      <c r="A40726" t="s">
        <v>13146</v>
      </c>
      <c r="B40726" t="str">
        <f>HYPERLINK("https://lindat.mff.cuni.cz/services/teitok/pdtc10/index.php?action=vallex&amp;frame=v-w5599f2", "rozednívat se (v-w5599f2)")</f>
        <v>rozednívat se (v-w5599f2)</v>
      </c>
    </row>
    <row r="40727" spans="1:4" x14ac:dyDescent="0.2">
      <c r="B40727" t="s">
        <v>1</v>
      </c>
    </row>
    <row r="40729" spans="1:4" x14ac:dyDescent="0.2">
      <c r="A40729" t="s">
        <v>13147</v>
      </c>
      <c r="B40729" t="str">
        <f>HYPERLINK("https://lindat.mff.cuni.cz/services/teitok/pdtc10/index.php?action=vallex&amp;frame=v-w5599f1", "rozednívat se (v-w5599f1)")</f>
        <v>rozednívat se (v-w5599f1)</v>
      </c>
    </row>
    <row r="40731" spans="1:4" x14ac:dyDescent="0.2">
      <c r="A40731" t="s">
        <v>13148</v>
      </c>
      <c r="B40731" t="str">
        <f>HYPERLINK("https://lindat.mff.cuni.cz/services/teitok/pdtc10/index.php?action=vallex&amp;frame=v-w5600f1", "rozehnat (v-w5600f1)")</f>
        <v>rozehnat (v-w5600f1)</v>
      </c>
    </row>
    <row r="40732" spans="1:4" x14ac:dyDescent="0.2">
      <c r="B40732" t="s">
        <v>1</v>
      </c>
      <c r="C40732" t="s">
        <v>140</v>
      </c>
      <c r="D40732" t="s">
        <v>133</v>
      </c>
    </row>
    <row r="40733" spans="1:4" x14ac:dyDescent="0.2">
      <c r="B40733" t="s">
        <v>8</v>
      </c>
      <c r="C40733" t="s">
        <v>34</v>
      </c>
      <c r="D40733" t="s">
        <v>335</v>
      </c>
    </row>
    <row r="40735" spans="1:4" x14ac:dyDescent="0.2">
      <c r="A40735" t="s">
        <v>13149</v>
      </c>
      <c r="B40735" t="str">
        <f>HYPERLINK("https://lindat.mff.cuni.cz/services/teitok/pdtc10/index.php?action=vallex&amp;frame=v-w5602f2", "rozehrát (v-w5602f2)")</f>
        <v>rozehrát (v-w5602f2)</v>
      </c>
    </row>
    <row r="40736" spans="1:4" x14ac:dyDescent="0.2">
      <c r="B40736" t="s">
        <v>1</v>
      </c>
    </row>
    <row r="40737" spans="1:2" x14ac:dyDescent="0.2">
      <c r="B40737" t="s">
        <v>8</v>
      </c>
    </row>
    <row r="40738" spans="1:2" x14ac:dyDescent="0.2">
      <c r="B40738" t="s">
        <v>130</v>
      </c>
    </row>
    <row r="40740" spans="1:2" x14ac:dyDescent="0.2">
      <c r="A40740" t="s">
        <v>13150</v>
      </c>
      <c r="B40740" t="str">
        <f>HYPERLINK("https://lindat.mff.cuni.cz/services/teitok/pdtc10/index.php?action=vallex&amp;frame=v-w5602f1", "rozehrát (v-w5602f1)")</f>
        <v>rozehrát (v-w5602f1)</v>
      </c>
    </row>
    <row r="40741" spans="1:2" x14ac:dyDescent="0.2">
      <c r="B40741" t="s">
        <v>1</v>
      </c>
    </row>
    <row r="40742" spans="1:2" x14ac:dyDescent="0.2">
      <c r="B40742" t="s">
        <v>8</v>
      </c>
    </row>
    <row r="40744" spans="1:2" x14ac:dyDescent="0.2">
      <c r="A40744" t="s">
        <v>13151</v>
      </c>
      <c r="B40744" t="str">
        <f>HYPERLINK("https://lindat.mff.cuni.cz/services/teitok/pdtc10/index.php?action=vallex&amp;frame=v-w5603f1", "rozehrát se (v-w5603f1)")</f>
        <v>rozehrát se (v-w5603f1)</v>
      </c>
    </row>
    <row r="40745" spans="1:2" x14ac:dyDescent="0.2">
      <c r="B40745" t="s">
        <v>1</v>
      </c>
    </row>
    <row r="40747" spans="1:2" x14ac:dyDescent="0.2">
      <c r="A40747" t="s">
        <v>13152</v>
      </c>
      <c r="B40747" t="str">
        <f>HYPERLINK("https://lindat.mff.cuni.cz/services/teitok/pdtc10/index.php?action=vallex&amp;frame=v-w5605f1", "rozehrávat (v-w5605f1)")</f>
        <v>rozehrávat (v-w5605f1)</v>
      </c>
    </row>
    <row r="40748" spans="1:2" x14ac:dyDescent="0.2">
      <c r="B40748" t="s">
        <v>1</v>
      </c>
    </row>
    <row r="40749" spans="1:2" x14ac:dyDescent="0.2">
      <c r="B40749" t="s">
        <v>8</v>
      </c>
    </row>
    <row r="40751" spans="1:2" x14ac:dyDescent="0.2">
      <c r="A40751" t="s">
        <v>13153</v>
      </c>
      <c r="B40751" t="str">
        <f>HYPERLINK("https://lindat.mff.cuni.cz/services/teitok/pdtc10/index.php?action=vallex&amp;frame=v-w5607f1", "rozehřát (v-w5607f1)")</f>
        <v>rozehřát (v-w5607f1)</v>
      </c>
    </row>
    <row r="40752" spans="1:2" x14ac:dyDescent="0.2">
      <c r="B40752" t="s">
        <v>1</v>
      </c>
    </row>
    <row r="40753" spans="1:4" x14ac:dyDescent="0.2">
      <c r="B40753" t="s">
        <v>8</v>
      </c>
    </row>
    <row r="40755" spans="1:4" x14ac:dyDescent="0.2">
      <c r="A40755" t="s">
        <v>13154</v>
      </c>
      <c r="B40755" t="str">
        <f>HYPERLINK("https://lindat.mff.cuni.cz/services/teitok/pdtc10/index.php?action=vallex&amp;frame=v-w5607f2", "rozehřát (v-w5607f2)")</f>
        <v>rozehřát (v-w5607f2)</v>
      </c>
    </row>
    <row r="40756" spans="1:4" x14ac:dyDescent="0.2">
      <c r="B40756" t="s">
        <v>1</v>
      </c>
    </row>
    <row r="40757" spans="1:4" x14ac:dyDescent="0.2">
      <c r="B40757" t="s">
        <v>8</v>
      </c>
    </row>
    <row r="40759" spans="1:4" x14ac:dyDescent="0.2">
      <c r="A40759" t="s">
        <v>13155</v>
      </c>
      <c r="B40759" t="str">
        <f>HYPERLINK("https://lindat.mff.cuni.cz/services/teitok/pdtc10/index.php?action=vallex&amp;frame=v-w5611f1", "rozejít se (v-w5611f1)")</f>
        <v>rozejít se (v-w5611f1)</v>
      </c>
    </row>
    <row r="40760" spans="1:4" x14ac:dyDescent="0.2">
      <c r="B40760" t="s">
        <v>1</v>
      </c>
      <c r="C40760" t="s">
        <v>5817</v>
      </c>
      <c r="D40760" t="s">
        <v>186</v>
      </c>
    </row>
    <row r="40761" spans="1:4" x14ac:dyDescent="0.2">
      <c r="B40761" t="s">
        <v>411</v>
      </c>
      <c r="C40761" t="s">
        <v>113</v>
      </c>
    </row>
    <row r="40763" spans="1:4" x14ac:dyDescent="0.2">
      <c r="A40763" t="s">
        <v>13156</v>
      </c>
      <c r="B40763" t="str">
        <f>HYPERLINK("https://lindat.mff.cuni.cz/services/teitok/pdtc10/index.php?action=vallex&amp;frame=v-w5611hsa_779", "rozejít se (v-w5611hsa_779)")</f>
        <v>rozejít se (v-w5611hsa_779)</v>
      </c>
    </row>
    <row r="40764" spans="1:4" x14ac:dyDescent="0.2">
      <c r="B40764" t="s">
        <v>1</v>
      </c>
    </row>
    <row r="40766" spans="1:4" x14ac:dyDescent="0.2">
      <c r="A40766" t="s">
        <v>13157</v>
      </c>
      <c r="B40766" t="str">
        <f>HYPERLINK("https://lindat.mff.cuni.cz/services/teitok/pdtc10/index.php?action=vallex&amp;frame=v-whsb_1271f1_ZU", "rozemlít (v-whsb_1271f1_ZU)")</f>
        <v>rozemlít (v-whsb_1271f1_ZU)</v>
      </c>
    </row>
    <row r="40767" spans="1:4" x14ac:dyDescent="0.2">
      <c r="B40767" t="s">
        <v>1</v>
      </c>
    </row>
    <row r="40768" spans="1:4" x14ac:dyDescent="0.2">
      <c r="B40768" t="s">
        <v>8</v>
      </c>
    </row>
    <row r="40769" spans="1:4" x14ac:dyDescent="0.2">
      <c r="B40769" t="s">
        <v>61</v>
      </c>
    </row>
    <row r="40771" spans="1:4" x14ac:dyDescent="0.2">
      <c r="A40771" t="s">
        <v>13157</v>
      </c>
      <c r="B40771" t="str">
        <f>HYPERLINK("https://lindat.mff.cuni.cz/services/teitok/pdtc10/index.php?action=vallex&amp;frame=v-whsb_1271hsa_1272", "rozemlít (v-whsb_1271hsa_1272) - substituted with v-whsb_1271f1_ZU")</f>
        <v>rozemlít (v-whsb_1271hsa_1272) - substituted with v-whsb_1271f1_ZU</v>
      </c>
    </row>
    <row r="40772" spans="1:4" x14ac:dyDescent="0.2">
      <c r="B40772" t="s">
        <v>1</v>
      </c>
    </row>
    <row r="40773" spans="1:4" x14ac:dyDescent="0.2">
      <c r="B40773" t="s">
        <v>8</v>
      </c>
    </row>
    <row r="40774" spans="1:4" x14ac:dyDescent="0.2">
      <c r="B40774" t="s">
        <v>61</v>
      </c>
    </row>
    <row r="40776" spans="1:4" x14ac:dyDescent="0.2">
      <c r="A40776" t="s">
        <v>13158</v>
      </c>
      <c r="B40776" t="str">
        <f>HYPERLINK("https://lindat.mff.cuni.cz/services/teitok/pdtc10/index.php?action=vallex&amp;frame=v-w11041f2", "rozepisovat (v-w11041f2)")</f>
        <v>rozepisovat (v-w11041f2)</v>
      </c>
    </row>
    <row r="40777" spans="1:4" x14ac:dyDescent="0.2">
      <c r="B40777" t="s">
        <v>1</v>
      </c>
      <c r="C40777" t="s">
        <v>140</v>
      </c>
      <c r="D40777" t="s">
        <v>3583</v>
      </c>
    </row>
    <row r="40778" spans="1:4" x14ac:dyDescent="0.2">
      <c r="B40778" t="s">
        <v>8</v>
      </c>
      <c r="C40778" t="s">
        <v>113</v>
      </c>
      <c r="D40778" t="s">
        <v>2113</v>
      </c>
    </row>
    <row r="40779" spans="1:4" x14ac:dyDescent="0.2">
      <c r="B40779" t="s">
        <v>4283</v>
      </c>
      <c r="D40779" t="s">
        <v>23395</v>
      </c>
    </row>
    <row r="40781" spans="1:4" x14ac:dyDescent="0.2">
      <c r="A40781" t="s">
        <v>13159</v>
      </c>
      <c r="B40781" t="str">
        <f>HYPERLINK("https://lindat.mff.cuni.cz/services/teitok/pdtc10/index.php?action=vallex&amp;frame=v-w12030_ZUf1_ZU", "rozervat (v-w12030_ZUf1_ZU)")</f>
        <v>rozervat (v-w12030_ZUf1_ZU)</v>
      </c>
    </row>
    <row r="40782" spans="1:4" x14ac:dyDescent="0.2">
      <c r="B40782" t="s">
        <v>1</v>
      </c>
    </row>
    <row r="40783" spans="1:4" x14ac:dyDescent="0.2">
      <c r="B40783" t="s">
        <v>8</v>
      </c>
    </row>
    <row r="40784" spans="1:4" x14ac:dyDescent="0.2">
      <c r="B40784" t="s">
        <v>61</v>
      </c>
    </row>
    <row r="40786" spans="1:4" x14ac:dyDescent="0.2">
      <c r="A40786" t="s">
        <v>13160</v>
      </c>
      <c r="B40786" t="str">
        <f>HYPERLINK("https://lindat.mff.cuni.cz/services/teitok/pdtc10/index.php?action=vallex&amp;frame=v-w10820f2", "rozesadit (v-w10820f2)")</f>
        <v>rozesadit (v-w10820f2)</v>
      </c>
    </row>
    <row r="40787" spans="1:4" x14ac:dyDescent="0.2">
      <c r="B40787" t="s">
        <v>1</v>
      </c>
    </row>
    <row r="40788" spans="1:4" x14ac:dyDescent="0.2">
      <c r="B40788" t="s">
        <v>8</v>
      </c>
    </row>
    <row r="40789" spans="1:4" x14ac:dyDescent="0.2">
      <c r="B40789" t="s">
        <v>1334</v>
      </c>
    </row>
    <row r="40791" spans="1:4" x14ac:dyDescent="0.2">
      <c r="A40791" t="s">
        <v>13161</v>
      </c>
      <c r="B40791" t="str">
        <f>HYPERLINK("https://lindat.mff.cuni.cz/services/teitok/pdtc10/index.php?action=vallex&amp;frame=v-w10820f3_ZU", "rozesadit (v-w10820f3_ZU)")</f>
        <v>rozesadit (v-w10820f3_ZU)</v>
      </c>
    </row>
    <row r="40792" spans="1:4" x14ac:dyDescent="0.2">
      <c r="B40792" t="s">
        <v>1</v>
      </c>
    </row>
    <row r="40793" spans="1:4" x14ac:dyDescent="0.2">
      <c r="B40793" t="s">
        <v>8</v>
      </c>
    </row>
    <row r="40795" spans="1:4" x14ac:dyDescent="0.2">
      <c r="A40795" t="s">
        <v>13162</v>
      </c>
      <c r="B40795" t="str">
        <f>HYPERLINK("https://lindat.mff.cuni.cz/services/teitok/pdtc10/index.php?action=vallex&amp;frame=v-w5616f1", "rozeslat (v-w5616f1)")</f>
        <v>rozeslat (v-w5616f1)</v>
      </c>
    </row>
    <row r="40796" spans="1:4" x14ac:dyDescent="0.2">
      <c r="B40796" t="s">
        <v>1</v>
      </c>
      <c r="C40796" t="s">
        <v>13163</v>
      </c>
      <c r="D40796" t="s">
        <v>8003</v>
      </c>
    </row>
    <row r="40797" spans="1:4" x14ac:dyDescent="0.2">
      <c r="B40797" t="s">
        <v>8</v>
      </c>
      <c r="C40797" t="s">
        <v>13164</v>
      </c>
      <c r="D40797" t="s">
        <v>23102</v>
      </c>
    </row>
    <row r="40798" spans="1:4" x14ac:dyDescent="0.2">
      <c r="B40798" t="s">
        <v>35</v>
      </c>
      <c r="C40798" t="s">
        <v>13165</v>
      </c>
      <c r="D40798" t="s">
        <v>23103</v>
      </c>
    </row>
    <row r="40800" spans="1:4" x14ac:dyDescent="0.2">
      <c r="A40800" t="s">
        <v>13166</v>
      </c>
      <c r="B40800" t="str">
        <f>HYPERLINK("https://lindat.mff.cuni.cz/services/teitok/pdtc10/index.php?action=vallex&amp;frame=v-w5616f2", "rozeslat (v-w5616f2)")</f>
        <v>rozeslat (v-w5616f2)</v>
      </c>
    </row>
    <row r="40801" spans="1:3" x14ac:dyDescent="0.2">
      <c r="B40801" t="s">
        <v>1</v>
      </c>
    </row>
    <row r="40802" spans="1:3" x14ac:dyDescent="0.2">
      <c r="B40802" t="s">
        <v>8</v>
      </c>
    </row>
    <row r="40803" spans="1:3" x14ac:dyDescent="0.2">
      <c r="B40803" t="s">
        <v>90</v>
      </c>
    </row>
    <row r="40805" spans="1:3" x14ac:dyDescent="0.2">
      <c r="A40805" t="s">
        <v>13167</v>
      </c>
      <c r="B40805" t="str">
        <f>HYPERLINK("https://lindat.mff.cuni.cz/services/teitok/pdtc10/index.php?action=vallex&amp;frame=v-whsb_317hsa_318", "rozesmutnit (v-whsb_317hsa_318)")</f>
        <v>rozesmutnit (v-whsb_317hsa_318)</v>
      </c>
    </row>
    <row r="40806" spans="1:3" x14ac:dyDescent="0.2">
      <c r="B40806" t="s">
        <v>1</v>
      </c>
    </row>
    <row r="40807" spans="1:3" x14ac:dyDescent="0.2">
      <c r="B40807" t="s">
        <v>8</v>
      </c>
    </row>
    <row r="40809" spans="1:3" x14ac:dyDescent="0.2">
      <c r="A40809" t="s">
        <v>13168</v>
      </c>
      <c r="B40809" t="str">
        <f>HYPERLINK("https://lindat.mff.cuni.cz/services/teitok/pdtc10/index.php?action=vallex&amp;frame=v-w5617f1", "rozesmát (v-w5617f1)")</f>
        <v>rozesmát (v-w5617f1)</v>
      </c>
    </row>
    <row r="40810" spans="1:3" x14ac:dyDescent="0.2">
      <c r="B40810" t="s">
        <v>1</v>
      </c>
      <c r="C40810" t="s">
        <v>3583</v>
      </c>
    </row>
    <row r="40811" spans="1:3" x14ac:dyDescent="0.2">
      <c r="B40811" t="s">
        <v>8</v>
      </c>
      <c r="C40811" t="s">
        <v>13169</v>
      </c>
    </row>
    <row r="40813" spans="1:3" x14ac:dyDescent="0.2">
      <c r="A40813" t="s">
        <v>13170</v>
      </c>
      <c r="B40813" t="str">
        <f>HYPERLINK("https://lindat.mff.cuni.cz/services/teitok/pdtc10/index.php?action=vallex&amp;frame=v-whsa_892hsa_893", "rozesmávat (v-whsa_892hsa_893)")</f>
        <v>rozesmávat (v-whsa_892hsa_893)</v>
      </c>
    </row>
    <row r="40814" spans="1:3" x14ac:dyDescent="0.2">
      <c r="B40814" t="s">
        <v>1</v>
      </c>
    </row>
    <row r="40815" spans="1:3" x14ac:dyDescent="0.2">
      <c r="B40815" t="s">
        <v>8</v>
      </c>
      <c r="C40815" t="s">
        <v>1712</v>
      </c>
    </row>
    <row r="40817" spans="1:2" x14ac:dyDescent="0.2">
      <c r="A40817" t="s">
        <v>13171</v>
      </c>
      <c r="B40817" t="str">
        <f>HYPERLINK("https://lindat.mff.cuni.cz/services/teitok/pdtc10/index.php?action=vallex&amp;frame=v-whsa_1342hsa_1343", "rozesmívat (v-whsa_1342hsa_1343)")</f>
        <v>rozesmívat (v-whsa_1342hsa_1343)</v>
      </c>
    </row>
    <row r="40818" spans="1:2" x14ac:dyDescent="0.2">
      <c r="B40818" t="s">
        <v>1</v>
      </c>
    </row>
    <row r="40819" spans="1:2" x14ac:dyDescent="0.2">
      <c r="B40819" t="s">
        <v>8</v>
      </c>
    </row>
    <row r="40821" spans="1:2" x14ac:dyDescent="0.2">
      <c r="A40821" t="s">
        <v>13172</v>
      </c>
      <c r="B40821" t="str">
        <f>HYPERLINK("https://lindat.mff.cuni.cz/services/teitok/pdtc10/index.php?action=vallex&amp;frame=v-w5619f1", "rozestavit (v-w5619f1)")</f>
        <v>rozestavit (v-w5619f1)</v>
      </c>
    </row>
    <row r="40822" spans="1:2" x14ac:dyDescent="0.2">
      <c r="B40822" t="s">
        <v>1</v>
      </c>
    </row>
    <row r="40823" spans="1:2" x14ac:dyDescent="0.2">
      <c r="B40823" t="s">
        <v>8</v>
      </c>
    </row>
    <row r="40824" spans="1:2" x14ac:dyDescent="0.2">
      <c r="B40824" t="s">
        <v>5</v>
      </c>
    </row>
    <row r="40826" spans="1:2" x14ac:dyDescent="0.2">
      <c r="A40826" t="s">
        <v>13173</v>
      </c>
      <c r="B40826" t="str">
        <f>HYPERLINK("https://lindat.mff.cuni.cz/services/teitok/pdtc10/index.php?action=vallex&amp;frame=v-w5619f2", "rozestavit (v-w5619f2)")</f>
        <v>rozestavit (v-w5619f2)</v>
      </c>
    </row>
    <row r="40827" spans="1:2" x14ac:dyDescent="0.2">
      <c r="B40827" t="s">
        <v>1</v>
      </c>
    </row>
    <row r="40828" spans="1:2" x14ac:dyDescent="0.2">
      <c r="B40828" t="s">
        <v>8</v>
      </c>
    </row>
    <row r="40829" spans="1:2" x14ac:dyDescent="0.2">
      <c r="B40829" t="s">
        <v>90</v>
      </c>
    </row>
    <row r="40831" spans="1:2" x14ac:dyDescent="0.2">
      <c r="A40831" t="s">
        <v>13174</v>
      </c>
      <c r="B40831" t="str">
        <f>HYPERLINK("https://lindat.mff.cuni.cz/services/teitok/pdtc10/index.php?action=vallex&amp;frame=v-w5618f2", "rozestavět (v-w5618f2)")</f>
        <v>rozestavět (v-w5618f2)</v>
      </c>
    </row>
    <row r="40832" spans="1:2" x14ac:dyDescent="0.2">
      <c r="B40832" t="s">
        <v>1</v>
      </c>
    </row>
    <row r="40833" spans="1:2" x14ac:dyDescent="0.2">
      <c r="B40833" t="s">
        <v>8</v>
      </c>
    </row>
    <row r="40834" spans="1:2" x14ac:dyDescent="0.2">
      <c r="B40834" t="s">
        <v>5</v>
      </c>
    </row>
    <row r="40836" spans="1:2" x14ac:dyDescent="0.2">
      <c r="A40836" t="s">
        <v>13175</v>
      </c>
      <c r="B40836" t="str">
        <f>HYPERLINK("https://lindat.mff.cuni.cz/services/teitok/pdtc10/index.php?action=vallex&amp;frame=v-w5618f3", "rozestavět (v-w5618f3)")</f>
        <v>rozestavět (v-w5618f3)</v>
      </c>
    </row>
    <row r="40837" spans="1:2" x14ac:dyDescent="0.2">
      <c r="B40837" t="s">
        <v>1</v>
      </c>
    </row>
    <row r="40838" spans="1:2" x14ac:dyDescent="0.2">
      <c r="B40838" t="s">
        <v>8</v>
      </c>
    </row>
    <row r="40839" spans="1:2" x14ac:dyDescent="0.2">
      <c r="B40839" t="s">
        <v>90</v>
      </c>
    </row>
    <row r="40841" spans="1:2" x14ac:dyDescent="0.2">
      <c r="A40841" t="s">
        <v>13176</v>
      </c>
      <c r="B40841" t="str">
        <f>HYPERLINK("https://lindat.mff.cuni.cz/services/teitok/pdtc10/index.php?action=vallex&amp;frame=v-w5618f1", "rozestavět (v-w5618f1)")</f>
        <v>rozestavět (v-w5618f1)</v>
      </c>
    </row>
    <row r="40842" spans="1:2" x14ac:dyDescent="0.2">
      <c r="B40842" t="s">
        <v>1</v>
      </c>
    </row>
    <row r="40843" spans="1:2" x14ac:dyDescent="0.2">
      <c r="B40843" t="s">
        <v>8</v>
      </c>
    </row>
    <row r="40845" spans="1:2" x14ac:dyDescent="0.2">
      <c r="A40845" t="s">
        <v>13177</v>
      </c>
      <c r="B40845" t="str">
        <f>HYPERLINK("https://lindat.mff.cuni.cz/services/teitok/pdtc10/index.php?action=vallex&amp;frame=v-w11245f1", "rozestoupit se (v-w11245f1)")</f>
        <v>rozestoupit se (v-w11245f1)</v>
      </c>
    </row>
    <row r="40846" spans="1:2" x14ac:dyDescent="0.2">
      <c r="B40846" t="s">
        <v>1</v>
      </c>
    </row>
    <row r="40848" spans="1:2" x14ac:dyDescent="0.2">
      <c r="A40848" t="s">
        <v>13178</v>
      </c>
      <c r="B40848" t="str">
        <f>HYPERLINK("https://lindat.mff.cuni.cz/services/teitok/pdtc10/index.php?action=vallex&amp;frame=v-w5615f1", "rozesílat (v-w5615f1)")</f>
        <v>rozesílat (v-w5615f1)</v>
      </c>
    </row>
    <row r="40849" spans="1:4" x14ac:dyDescent="0.2">
      <c r="B40849" t="s">
        <v>1</v>
      </c>
      <c r="C40849" t="s">
        <v>1234</v>
      </c>
      <c r="D40849" t="s">
        <v>8003</v>
      </c>
    </row>
    <row r="40850" spans="1:4" x14ac:dyDescent="0.2">
      <c r="B40850" t="s">
        <v>8</v>
      </c>
      <c r="C40850" t="s">
        <v>4452</v>
      </c>
      <c r="D40850" t="s">
        <v>23102</v>
      </c>
    </row>
    <row r="40851" spans="1:4" x14ac:dyDescent="0.2">
      <c r="B40851" t="s">
        <v>35</v>
      </c>
      <c r="C40851" t="s">
        <v>13179</v>
      </c>
      <c r="D40851" t="s">
        <v>23103</v>
      </c>
    </row>
    <row r="40853" spans="1:4" x14ac:dyDescent="0.2">
      <c r="A40853" t="s">
        <v>13180</v>
      </c>
      <c r="B40853" t="str">
        <f>HYPERLINK("https://lindat.mff.cuni.cz/services/teitok/pdtc10/index.php?action=vallex&amp;frame=v-w5615f2", "rozesílat (v-w5615f2)")</f>
        <v>rozesílat (v-w5615f2)</v>
      </c>
    </row>
    <row r="40854" spans="1:4" x14ac:dyDescent="0.2">
      <c r="B40854" t="s">
        <v>1</v>
      </c>
    </row>
    <row r="40855" spans="1:4" x14ac:dyDescent="0.2">
      <c r="B40855" t="s">
        <v>8</v>
      </c>
    </row>
    <row r="40856" spans="1:4" x14ac:dyDescent="0.2">
      <c r="B40856" t="s">
        <v>90</v>
      </c>
    </row>
    <row r="40858" spans="1:4" x14ac:dyDescent="0.2">
      <c r="A40858" t="s">
        <v>13181</v>
      </c>
      <c r="B40858" t="str">
        <f>HYPERLINK("https://lindat.mff.cuni.cz/services/teitok/pdtc10/index.php?action=vallex&amp;frame=v-w5620f2", "rozetnout (v-w5620f2)")</f>
        <v>rozetnout (v-w5620f2)</v>
      </c>
    </row>
    <row r="40859" spans="1:4" x14ac:dyDescent="0.2">
      <c r="B40859" t="s">
        <v>1</v>
      </c>
    </row>
    <row r="40860" spans="1:4" x14ac:dyDescent="0.2">
      <c r="B40860" t="s">
        <v>8</v>
      </c>
    </row>
    <row r="40861" spans="1:4" x14ac:dyDescent="0.2">
      <c r="B40861" t="s">
        <v>2334</v>
      </c>
    </row>
    <row r="40863" spans="1:4" x14ac:dyDescent="0.2">
      <c r="A40863" t="s">
        <v>13182</v>
      </c>
      <c r="B40863" t="str">
        <f>HYPERLINK("https://lindat.mff.cuni.cz/services/teitok/pdtc10/index.php?action=vallex&amp;frame=v-w5620f1", "rozetnout (v-w5620f1)")</f>
        <v>rozetnout (v-w5620f1)</v>
      </c>
    </row>
    <row r="40864" spans="1:4" x14ac:dyDescent="0.2">
      <c r="B40864" t="s">
        <v>1</v>
      </c>
    </row>
    <row r="40865" spans="1:2" x14ac:dyDescent="0.2">
      <c r="B40865" t="s">
        <v>8</v>
      </c>
    </row>
    <row r="40867" spans="1:2" x14ac:dyDescent="0.2">
      <c r="A40867" t="s">
        <v>13183</v>
      </c>
      <c r="B40867" t="str">
        <f>HYPERLINK("https://lindat.mff.cuni.cz/services/teitok/pdtc10/index.php?action=vallex&amp;frame=v-w11574_ZUf1_ZU", "rozevírat (v-w11574_ZUf1_ZU)")</f>
        <v>rozevírat (v-w11574_ZUf1_ZU)</v>
      </c>
    </row>
    <row r="40868" spans="1:2" x14ac:dyDescent="0.2">
      <c r="B40868" t="s">
        <v>1</v>
      </c>
    </row>
    <row r="40869" spans="1:2" x14ac:dyDescent="0.2">
      <c r="B40869" t="s">
        <v>8</v>
      </c>
    </row>
    <row r="40871" spans="1:2" x14ac:dyDescent="0.2">
      <c r="A40871" t="s">
        <v>13184</v>
      </c>
      <c r="B40871" t="str">
        <f>HYPERLINK("https://lindat.mff.cuni.cz/services/teitok/pdtc10/index.php?action=vallex&amp;frame=v-w11834_ZUf1_ZU", "rozevřít (v-w11834_ZUf1_ZU)")</f>
        <v>rozevřít (v-w11834_ZUf1_ZU)</v>
      </c>
    </row>
    <row r="40872" spans="1:2" x14ac:dyDescent="0.2">
      <c r="B40872" t="s">
        <v>1</v>
      </c>
    </row>
    <row r="40873" spans="1:2" x14ac:dyDescent="0.2">
      <c r="B40873" t="s">
        <v>8</v>
      </c>
    </row>
    <row r="40875" spans="1:2" x14ac:dyDescent="0.2">
      <c r="A40875" t="s">
        <v>13185</v>
      </c>
      <c r="B40875" t="str">
        <f>HYPERLINK("https://lindat.mff.cuni.cz/services/teitok/pdtc10/index.php?action=vallex&amp;frame=v-w5621f1", "rozevřít se (v-w5621f1)")</f>
        <v>rozevřít se (v-w5621f1)</v>
      </c>
    </row>
    <row r="40876" spans="1:2" x14ac:dyDescent="0.2">
      <c r="B40876" t="s">
        <v>1</v>
      </c>
    </row>
    <row r="40877" spans="1:2" x14ac:dyDescent="0.2">
      <c r="B40877" t="s">
        <v>438</v>
      </c>
    </row>
    <row r="40878" spans="1:2" x14ac:dyDescent="0.2">
      <c r="B40878" t="s">
        <v>8360</v>
      </c>
    </row>
    <row r="40880" spans="1:2" x14ac:dyDescent="0.2">
      <c r="A40880" t="s">
        <v>13186</v>
      </c>
      <c r="B40880" t="str">
        <f>HYPERLINK("https://lindat.mff.cuni.cz/services/teitok/pdtc10/index.php?action=vallex&amp;frame=v-w5622f2", "rozeznat (v-w5622f2)")</f>
        <v>rozeznat (v-w5622f2)</v>
      </c>
    </row>
    <row r="40881" spans="1:4" x14ac:dyDescent="0.2">
      <c r="B40881" t="s">
        <v>1</v>
      </c>
      <c r="C40881" t="s">
        <v>33</v>
      </c>
      <c r="D40881" t="s">
        <v>33</v>
      </c>
    </row>
    <row r="40882" spans="1:4" x14ac:dyDescent="0.2">
      <c r="B40882" t="s">
        <v>8</v>
      </c>
      <c r="C40882" t="s">
        <v>34</v>
      </c>
      <c r="D40882" t="s">
        <v>1109</v>
      </c>
    </row>
    <row r="40883" spans="1:4" x14ac:dyDescent="0.2">
      <c r="B40883" t="s">
        <v>1334</v>
      </c>
      <c r="C40883" t="s">
        <v>4604</v>
      </c>
      <c r="D40883" t="s">
        <v>23655</v>
      </c>
    </row>
    <row r="40885" spans="1:4" x14ac:dyDescent="0.2">
      <c r="A40885" t="s">
        <v>13187</v>
      </c>
      <c r="B40885" t="str">
        <f>HYPERLINK("https://lindat.mff.cuni.cz/services/teitok/pdtc10/index.php?action=vallex&amp;frame=v-w5622f1", "rozeznat (v-w5622f1)")</f>
        <v>rozeznat (v-w5622f1)</v>
      </c>
    </row>
    <row r="40886" spans="1:4" x14ac:dyDescent="0.2">
      <c r="B40886" t="s">
        <v>1</v>
      </c>
      <c r="D40886" t="s">
        <v>2749</v>
      </c>
    </row>
    <row r="40887" spans="1:4" x14ac:dyDescent="0.2">
      <c r="B40887" t="s">
        <v>1284</v>
      </c>
      <c r="D40887" t="s">
        <v>23358</v>
      </c>
    </row>
    <row r="40889" spans="1:4" x14ac:dyDescent="0.2">
      <c r="A40889" t="s">
        <v>13188</v>
      </c>
      <c r="B40889" t="str">
        <f>HYPERLINK("https://lindat.mff.cuni.cz/services/teitok/pdtc10/index.php?action=vallex&amp;frame=v-w5624f1", "rozeznávat (v-w5624f1)")</f>
        <v>rozeznávat (v-w5624f1)</v>
      </c>
    </row>
    <row r="40890" spans="1:4" x14ac:dyDescent="0.2">
      <c r="B40890" t="s">
        <v>1</v>
      </c>
    </row>
    <row r="40891" spans="1:4" x14ac:dyDescent="0.2">
      <c r="B40891" t="s">
        <v>8</v>
      </c>
    </row>
    <row r="40892" spans="1:4" x14ac:dyDescent="0.2">
      <c r="B40892" t="s">
        <v>321</v>
      </c>
    </row>
    <row r="40894" spans="1:4" x14ac:dyDescent="0.2">
      <c r="A40894" t="s">
        <v>13189</v>
      </c>
      <c r="B40894" t="str">
        <f>HYPERLINK("https://lindat.mff.cuni.cz/services/teitok/pdtc10/index.php?action=vallex&amp;frame=v-w5624f2", "rozeznávat (v-w5624f2)")</f>
        <v>rozeznávat (v-w5624f2)</v>
      </c>
    </row>
    <row r="40895" spans="1:4" x14ac:dyDescent="0.2">
      <c r="B40895" t="s">
        <v>1</v>
      </c>
      <c r="C40895" t="s">
        <v>990</v>
      </c>
      <c r="D40895" t="s">
        <v>2749</v>
      </c>
    </row>
    <row r="40896" spans="1:4" x14ac:dyDescent="0.2">
      <c r="B40896" t="s">
        <v>1284</v>
      </c>
      <c r="C40896" t="s">
        <v>1066</v>
      </c>
      <c r="D40896" t="s">
        <v>23358</v>
      </c>
    </row>
    <row r="40898" spans="1:4" x14ac:dyDescent="0.2">
      <c r="A40898" t="s">
        <v>13190</v>
      </c>
      <c r="B40898" t="str">
        <f>HYPERLINK("https://lindat.mff.cuni.cz/services/teitok/pdtc10/index.php?action=vallex&amp;frame=v-w11047f2", "rozeznít (v-w11047f2)")</f>
        <v>rozeznít (v-w11047f2)</v>
      </c>
    </row>
    <row r="40899" spans="1:4" x14ac:dyDescent="0.2">
      <c r="B40899" t="s">
        <v>1</v>
      </c>
      <c r="C40899" t="s">
        <v>83</v>
      </c>
      <c r="D40899" t="s">
        <v>22950</v>
      </c>
    </row>
    <row r="40900" spans="1:4" x14ac:dyDescent="0.2">
      <c r="B40900" t="s">
        <v>8</v>
      </c>
      <c r="C40900" t="s">
        <v>1044</v>
      </c>
      <c r="D40900" t="s">
        <v>22951</v>
      </c>
    </row>
    <row r="40902" spans="1:4" x14ac:dyDescent="0.2">
      <c r="A40902" t="s">
        <v>13191</v>
      </c>
      <c r="B40902" t="str">
        <f>HYPERLINK("https://lindat.mff.cuni.cz/services/teitok/pdtc10/index.php?action=vallex&amp;frame=v-w11450f1", "rozeznít se (v-w11450f1)")</f>
        <v>rozeznít se (v-w11450f1)</v>
      </c>
    </row>
    <row r="40903" spans="1:4" x14ac:dyDescent="0.2">
      <c r="B40903" t="s">
        <v>1</v>
      </c>
      <c r="C40903" t="s">
        <v>147</v>
      </c>
      <c r="D40903" t="s">
        <v>147</v>
      </c>
    </row>
    <row r="40905" spans="1:4" x14ac:dyDescent="0.2">
      <c r="A40905" t="s">
        <v>13192</v>
      </c>
      <c r="B40905" t="str">
        <f>HYPERLINK("https://lindat.mff.cuni.cz/services/teitok/pdtc10/index.php?action=vallex&amp;frame=v-w5625f1", "rozeznívat (v-w5625f1)")</f>
        <v>rozeznívat (v-w5625f1)</v>
      </c>
    </row>
    <row r="40906" spans="1:4" x14ac:dyDescent="0.2">
      <c r="B40906" t="s">
        <v>1</v>
      </c>
    </row>
    <row r="40907" spans="1:4" x14ac:dyDescent="0.2">
      <c r="B40907" t="s">
        <v>8</v>
      </c>
    </row>
    <row r="40909" spans="1:4" x14ac:dyDescent="0.2">
      <c r="A40909" t="s">
        <v>13193</v>
      </c>
      <c r="B40909" t="str">
        <f>HYPERLINK("https://lindat.mff.cuni.cz/services/teitok/pdtc10/index.php?action=vallex&amp;frame=v-whsa_1158hsa_1159", "rozeznívat se (v-whsa_1158hsa_1159)")</f>
        <v>rozeznívat se (v-whsa_1158hsa_1159)</v>
      </c>
    </row>
    <row r="40910" spans="1:4" x14ac:dyDescent="0.2">
      <c r="B40910" t="s">
        <v>1</v>
      </c>
    </row>
    <row r="40912" spans="1:4" x14ac:dyDescent="0.2">
      <c r="A40912" t="s">
        <v>13194</v>
      </c>
      <c r="B40912" t="str">
        <f>HYPERLINK("https://lindat.mff.cuni.cz/services/teitok/pdtc10/index.php?action=vallex&amp;frame=v-w5626f1", "rozezvučet (v-w5626f1)")</f>
        <v>rozezvučet (v-w5626f1)</v>
      </c>
    </row>
    <row r="40913" spans="1:3" x14ac:dyDescent="0.2">
      <c r="B40913" t="s">
        <v>1</v>
      </c>
    </row>
    <row r="40914" spans="1:3" x14ac:dyDescent="0.2">
      <c r="B40914" t="s">
        <v>8</v>
      </c>
    </row>
    <row r="40916" spans="1:3" x14ac:dyDescent="0.2">
      <c r="A40916" t="s">
        <v>13195</v>
      </c>
      <c r="B40916" t="str">
        <f>HYPERLINK("https://lindat.mff.cuni.cz/services/teitok/pdtc10/index.php?action=vallex&amp;frame=v-w11165f2", "rozežrat (v-w11165f2)")</f>
        <v>rozežrat (v-w11165f2)</v>
      </c>
    </row>
    <row r="40917" spans="1:3" x14ac:dyDescent="0.2">
      <c r="B40917" t="s">
        <v>1</v>
      </c>
    </row>
    <row r="40918" spans="1:3" x14ac:dyDescent="0.2">
      <c r="B40918" t="s">
        <v>8</v>
      </c>
    </row>
    <row r="40920" spans="1:3" x14ac:dyDescent="0.2">
      <c r="A40920" t="s">
        <v>13196</v>
      </c>
      <c r="B40920" t="str">
        <f>HYPERLINK("https://lindat.mff.cuni.cz/services/teitok/pdtc10/index.php?action=vallex&amp;frame=v-w10479f2", "rozfázovat (v-w10479f2)")</f>
        <v>rozfázovat (v-w10479f2)</v>
      </c>
    </row>
    <row r="40921" spans="1:3" x14ac:dyDescent="0.2">
      <c r="B40921" t="s">
        <v>1</v>
      </c>
    </row>
    <row r="40922" spans="1:3" x14ac:dyDescent="0.2">
      <c r="B40922" t="s">
        <v>8</v>
      </c>
    </row>
    <row r="40923" spans="1:3" x14ac:dyDescent="0.2">
      <c r="B40923" t="s">
        <v>13197</v>
      </c>
    </row>
    <row r="40925" spans="1:3" x14ac:dyDescent="0.2">
      <c r="A40925" t="s">
        <v>13198</v>
      </c>
      <c r="B40925" t="str">
        <f>HYPERLINK("https://lindat.mff.cuni.cz/services/teitok/pdtc10/index.php?action=vallex&amp;frame=v-w10252f3", "rozhazovat (v-w10252f3)")</f>
        <v>rozhazovat (v-w10252f3)</v>
      </c>
    </row>
    <row r="40926" spans="1:3" x14ac:dyDescent="0.2">
      <c r="B40926" t="s">
        <v>1</v>
      </c>
      <c r="C40926" t="s">
        <v>2303</v>
      </c>
    </row>
    <row r="40927" spans="1:3" x14ac:dyDescent="0.2">
      <c r="B40927" t="s">
        <v>8</v>
      </c>
      <c r="C40927" t="s">
        <v>1109</v>
      </c>
    </row>
    <row r="40929" spans="1:4" x14ac:dyDescent="0.2">
      <c r="A40929" t="s">
        <v>13199</v>
      </c>
      <c r="B40929" t="str">
        <f>HYPERLINK("https://lindat.mff.cuni.cz/services/teitok/pdtc10/index.php?action=vallex&amp;frame=v-w10252f2", "rozhazovat (v-w10252f2)")</f>
        <v>rozhazovat (v-w10252f2)</v>
      </c>
    </row>
    <row r="40930" spans="1:4" x14ac:dyDescent="0.2">
      <c r="B40930" t="s">
        <v>1</v>
      </c>
    </row>
    <row r="40931" spans="1:4" x14ac:dyDescent="0.2">
      <c r="B40931" t="s">
        <v>8</v>
      </c>
    </row>
    <row r="40933" spans="1:4" x14ac:dyDescent="0.2">
      <c r="A40933" t="s">
        <v>13200</v>
      </c>
      <c r="B40933" t="str">
        <f>HYPERLINK("https://lindat.mff.cuni.cz/services/teitok/pdtc10/index.php?action=vallex&amp;frame=v-w10252hsa_849", "rozhazovat (v-w10252hsa_849)")</f>
        <v>rozhazovat (v-w10252hsa_849)</v>
      </c>
    </row>
    <row r="40934" spans="1:4" x14ac:dyDescent="0.2">
      <c r="B40934" t="s">
        <v>1</v>
      </c>
    </row>
    <row r="40935" spans="1:4" x14ac:dyDescent="0.2">
      <c r="B40935" t="s">
        <v>158</v>
      </c>
    </row>
    <row r="40937" spans="1:4" x14ac:dyDescent="0.2">
      <c r="A40937" t="s">
        <v>13201</v>
      </c>
      <c r="B40937" t="str">
        <f>HYPERLINK("https://lindat.mff.cuni.cz/services/teitok/pdtc10/index.php?action=vallex&amp;frame=v-w11575_ZUf1_ZU", "rozhlašovat (v-w11575_ZUf1_ZU)")</f>
        <v>rozhlašovat (v-w11575_ZUf1_ZU)</v>
      </c>
    </row>
    <row r="40938" spans="1:4" x14ac:dyDescent="0.2">
      <c r="B40938" t="s">
        <v>1</v>
      </c>
      <c r="C40938" t="s">
        <v>140</v>
      </c>
      <c r="D40938" t="s">
        <v>22967</v>
      </c>
    </row>
    <row r="40939" spans="1:4" x14ac:dyDescent="0.2">
      <c r="B40939" t="s">
        <v>183</v>
      </c>
      <c r="C40939" t="s">
        <v>113</v>
      </c>
      <c r="D40939" t="s">
        <v>22968</v>
      </c>
    </row>
    <row r="40940" spans="1:4" x14ac:dyDescent="0.2">
      <c r="B40940" t="s">
        <v>1609</v>
      </c>
      <c r="D40940" t="s">
        <v>23120</v>
      </c>
    </row>
    <row r="40941" spans="1:4" x14ac:dyDescent="0.2">
      <c r="B40941" t="s">
        <v>78</v>
      </c>
      <c r="D40941" t="s">
        <v>22969</v>
      </c>
    </row>
    <row r="40943" spans="1:4" x14ac:dyDescent="0.2">
      <c r="A40943" t="s">
        <v>13202</v>
      </c>
      <c r="B40943" t="str">
        <f>HYPERLINK("https://lindat.mff.cuni.cz/services/teitok/pdtc10/index.php?action=vallex&amp;frame=v-w5629f2", "rozhlédnout se (v-w5629f2)")</f>
        <v>rozhlédnout se (v-w5629f2)</v>
      </c>
    </row>
    <row r="40944" spans="1:4" x14ac:dyDescent="0.2">
      <c r="B40944" t="s">
        <v>1</v>
      </c>
    </row>
    <row r="40945" spans="1:4" x14ac:dyDescent="0.2">
      <c r="B40945" t="s">
        <v>1165</v>
      </c>
    </row>
    <row r="40947" spans="1:4" x14ac:dyDescent="0.2">
      <c r="A40947" t="s">
        <v>13203</v>
      </c>
      <c r="B40947" t="str">
        <f>HYPERLINK("https://lindat.mff.cuni.cz/services/teitok/pdtc10/index.php?action=vallex&amp;frame=v-w5629f1", "rozhlédnout se (v-w5629f1)")</f>
        <v>rozhlédnout se (v-w5629f1)</v>
      </c>
    </row>
    <row r="40948" spans="1:4" x14ac:dyDescent="0.2">
      <c r="B40948" t="s">
        <v>1</v>
      </c>
      <c r="D40948" t="s">
        <v>140</v>
      </c>
    </row>
    <row r="40950" spans="1:4" x14ac:dyDescent="0.2">
      <c r="A40950" t="s">
        <v>13204</v>
      </c>
      <c r="B40950" t="str">
        <f>HYPERLINK("https://lindat.mff.cuni.cz/services/teitok/pdtc10/index.php?action=vallex&amp;frame=v-w5630f1", "rozhlížet se (v-w5630f1)")</f>
        <v>rozhlížet se (v-w5630f1)</v>
      </c>
    </row>
    <row r="40951" spans="1:4" x14ac:dyDescent="0.2">
      <c r="B40951" t="s">
        <v>1</v>
      </c>
    </row>
    <row r="40952" spans="1:4" x14ac:dyDescent="0.2">
      <c r="B40952" t="s">
        <v>1165</v>
      </c>
    </row>
    <row r="40954" spans="1:4" x14ac:dyDescent="0.2">
      <c r="A40954" t="s">
        <v>13205</v>
      </c>
      <c r="B40954" t="str">
        <f>HYPERLINK("https://lindat.mff.cuni.cz/services/teitok/pdtc10/index.php?action=vallex&amp;frame=v-w5630f2", "rozhlížet se (v-w5630f2)")</f>
        <v>rozhlížet se (v-w5630f2)</v>
      </c>
    </row>
    <row r="40955" spans="1:4" x14ac:dyDescent="0.2">
      <c r="B40955" t="s">
        <v>1</v>
      </c>
      <c r="D40955" t="s">
        <v>140</v>
      </c>
    </row>
    <row r="40957" spans="1:4" x14ac:dyDescent="0.2">
      <c r="A40957" t="s">
        <v>13206</v>
      </c>
      <c r="B40957" t="str">
        <f>HYPERLINK("https://lindat.mff.cuni.cz/services/teitok/pdtc10/index.php?action=vallex&amp;frame=v-w11367f1", "rozhněvat (v-w11367f1)")</f>
        <v>rozhněvat (v-w11367f1)</v>
      </c>
    </row>
    <row r="40958" spans="1:4" x14ac:dyDescent="0.2">
      <c r="B40958" t="s">
        <v>1</v>
      </c>
    </row>
    <row r="40959" spans="1:4" x14ac:dyDescent="0.2">
      <c r="B40959" t="s">
        <v>8</v>
      </c>
    </row>
    <row r="40961" spans="1:4" x14ac:dyDescent="0.2">
      <c r="A40961" t="s">
        <v>13207</v>
      </c>
      <c r="B40961" t="str">
        <f>HYPERLINK("https://lindat.mff.cuni.cz/services/teitok/pdtc10/index.php?action=vallex&amp;frame=v-w5631f1", "rozhněvat se (v-w5631f1)")</f>
        <v>rozhněvat se (v-w5631f1)</v>
      </c>
    </row>
    <row r="40962" spans="1:4" x14ac:dyDescent="0.2">
      <c r="B40962" t="s">
        <v>1</v>
      </c>
    </row>
    <row r="40963" spans="1:4" x14ac:dyDescent="0.2">
      <c r="B40963" t="s">
        <v>28</v>
      </c>
    </row>
    <row r="40965" spans="1:4" x14ac:dyDescent="0.2">
      <c r="A40965" t="s">
        <v>13208</v>
      </c>
      <c r="B40965" t="str">
        <f>HYPERLINK("https://lindat.mff.cuni.cz/services/teitok/pdtc10/index.php?action=vallex&amp;frame=v-w5632f1", "rozhodit (v-w5632f1)")</f>
        <v>rozhodit (v-w5632f1)</v>
      </c>
    </row>
    <row r="40966" spans="1:4" x14ac:dyDescent="0.2">
      <c r="B40966" t="s">
        <v>1</v>
      </c>
      <c r="D40966" t="s">
        <v>9266</v>
      </c>
    </row>
    <row r="40967" spans="1:4" x14ac:dyDescent="0.2">
      <c r="B40967" t="s">
        <v>8</v>
      </c>
      <c r="D40967" t="s">
        <v>24133</v>
      </c>
    </row>
    <row r="40969" spans="1:4" x14ac:dyDescent="0.2">
      <c r="A40969" t="s">
        <v>13209</v>
      </c>
      <c r="B40969" t="str">
        <f>HYPERLINK("https://lindat.mff.cuni.cz/services/teitok/pdtc10/index.php?action=vallex&amp;frame=v-w5632f3", "rozhodit (v-w5632f3)")</f>
        <v>rozhodit (v-w5632f3)</v>
      </c>
    </row>
    <row r="40970" spans="1:4" x14ac:dyDescent="0.2">
      <c r="B40970" t="s">
        <v>1</v>
      </c>
    </row>
    <row r="40971" spans="1:4" x14ac:dyDescent="0.2">
      <c r="B40971" t="s">
        <v>8</v>
      </c>
    </row>
    <row r="40973" spans="1:4" x14ac:dyDescent="0.2">
      <c r="A40973" t="s">
        <v>13210</v>
      </c>
      <c r="B40973" t="str">
        <f>HYPERLINK("https://lindat.mff.cuni.cz/services/teitok/pdtc10/index.php?action=vallex&amp;frame=v-w5632f2", "rozhodit (v-w5632f2)")</f>
        <v>rozhodit (v-w5632f2)</v>
      </c>
    </row>
    <row r="40974" spans="1:4" x14ac:dyDescent="0.2">
      <c r="B40974" t="s">
        <v>1</v>
      </c>
    </row>
    <row r="40975" spans="1:4" x14ac:dyDescent="0.2">
      <c r="B40975" t="s">
        <v>8</v>
      </c>
    </row>
    <row r="40977" spans="1:4" x14ac:dyDescent="0.2">
      <c r="A40977" t="s">
        <v>13211</v>
      </c>
      <c r="B40977" t="str">
        <f>HYPERLINK("https://lindat.mff.cuni.cz/services/teitok/pdtc10/index.php?action=vallex&amp;frame=v-w5634f3", "rozhodnout (v-w5634f3)")</f>
        <v>rozhodnout (v-w5634f3)</v>
      </c>
    </row>
    <row r="40978" spans="1:4" x14ac:dyDescent="0.2">
      <c r="B40978" t="s">
        <v>1</v>
      </c>
      <c r="C40978" t="s">
        <v>2239</v>
      </c>
    </row>
    <row r="40979" spans="1:4" x14ac:dyDescent="0.2">
      <c r="B40979" t="s">
        <v>12939</v>
      </c>
      <c r="C40979" t="s">
        <v>113</v>
      </c>
    </row>
    <row r="40980" spans="1:4" x14ac:dyDescent="0.2">
      <c r="B40980" t="s">
        <v>13212</v>
      </c>
    </row>
    <row r="40982" spans="1:4" x14ac:dyDescent="0.2">
      <c r="A40982" t="s">
        <v>13213</v>
      </c>
      <c r="B40982" t="str">
        <f>HYPERLINK("https://lindat.mff.cuni.cz/services/teitok/pdtc10/index.php?action=vallex&amp;frame=v-w5634f5_MM", "rozhodnout (v-w5634f5_MM)")</f>
        <v>rozhodnout (v-w5634f5_MM)</v>
      </c>
    </row>
    <row r="40983" spans="1:4" x14ac:dyDescent="0.2">
      <c r="B40983" t="s">
        <v>13214</v>
      </c>
    </row>
    <row r="40984" spans="1:4" x14ac:dyDescent="0.2">
      <c r="B40984" t="s">
        <v>13215</v>
      </c>
    </row>
    <row r="40986" spans="1:4" x14ac:dyDescent="0.2">
      <c r="A40986" t="s">
        <v>13213</v>
      </c>
      <c r="B40986" t="str">
        <f>HYPERLINK("https://lindat.mff.cuni.cz/services/teitok/pdtc10/index.php?action=vallex&amp;frame=v-w5634f1", "rozhodnout (v-w5634f1) - substituted with v-w5634f5_MM")</f>
        <v>rozhodnout (v-w5634f1) - substituted with v-w5634f5_MM</v>
      </c>
    </row>
    <row r="40987" spans="1:4" x14ac:dyDescent="0.2">
      <c r="B40987" t="s">
        <v>13214</v>
      </c>
      <c r="C40987" t="s">
        <v>13216</v>
      </c>
      <c r="D40987" t="s">
        <v>23261</v>
      </c>
    </row>
    <row r="40988" spans="1:4" x14ac:dyDescent="0.2">
      <c r="B40988" t="s">
        <v>13215</v>
      </c>
      <c r="C40988" t="s">
        <v>13217</v>
      </c>
      <c r="D40988" t="s">
        <v>9548</v>
      </c>
    </row>
    <row r="40990" spans="1:4" x14ac:dyDescent="0.2">
      <c r="A40990" t="s">
        <v>13218</v>
      </c>
      <c r="B40990" t="str">
        <f>HYPERLINK("https://lindat.mff.cuni.cz/services/teitok/pdtc10/index.php?action=vallex&amp;frame=v-w5634f2", "rozhodnout (v-w5634f2)")</f>
        <v>rozhodnout (v-w5634f2)</v>
      </c>
    </row>
    <row r="40991" spans="1:4" x14ac:dyDescent="0.2">
      <c r="B40991" t="s">
        <v>1</v>
      </c>
      <c r="C40991" t="s">
        <v>7313</v>
      </c>
      <c r="D40991" t="s">
        <v>24134</v>
      </c>
    </row>
    <row r="40992" spans="1:4" x14ac:dyDescent="0.2">
      <c r="B40992" t="s">
        <v>8</v>
      </c>
      <c r="C40992" t="s">
        <v>3328</v>
      </c>
      <c r="D40992" t="s">
        <v>5591</v>
      </c>
    </row>
    <row r="40994" spans="1:4" x14ac:dyDescent="0.2">
      <c r="A40994" t="s">
        <v>13219</v>
      </c>
      <c r="B40994" t="str">
        <f>HYPERLINK("https://lindat.mff.cuni.cz/services/teitok/pdtc10/index.php?action=vallex&amp;frame=v-w5634f4", "rozhodnout (v-w5634f4)")</f>
        <v>rozhodnout (v-w5634f4)</v>
      </c>
    </row>
    <row r="40995" spans="1:4" x14ac:dyDescent="0.2">
      <c r="B40995" t="s">
        <v>1</v>
      </c>
      <c r="C40995" t="s">
        <v>12771</v>
      </c>
      <c r="D40995" t="s">
        <v>24134</v>
      </c>
    </row>
    <row r="40996" spans="1:4" x14ac:dyDescent="0.2">
      <c r="B40996" t="s">
        <v>2185</v>
      </c>
      <c r="C40996" t="s">
        <v>13220</v>
      </c>
      <c r="D40996" t="s">
        <v>24135</v>
      </c>
    </row>
    <row r="40997" spans="1:4" x14ac:dyDescent="0.2">
      <c r="B40997" t="s">
        <v>269</v>
      </c>
      <c r="D40997" t="s">
        <v>5591</v>
      </c>
    </row>
    <row r="40999" spans="1:4" x14ac:dyDescent="0.2">
      <c r="A40999" t="s">
        <v>13221</v>
      </c>
      <c r="B40999" t="str">
        <f>HYPERLINK("https://lindat.mff.cuni.cz/services/teitok/pdtc10/index.php?action=vallex&amp;frame=v-w5635f2", "rozhodnout se (v-w5635f2)")</f>
        <v>rozhodnout se (v-w5635f2)</v>
      </c>
    </row>
    <row r="41000" spans="1:4" x14ac:dyDescent="0.2">
      <c r="B41000" t="s">
        <v>1</v>
      </c>
      <c r="C41000" t="s">
        <v>13222</v>
      </c>
      <c r="D41000" t="s">
        <v>20601</v>
      </c>
    </row>
    <row r="41001" spans="1:4" x14ac:dyDescent="0.2">
      <c r="B41001" t="s">
        <v>1410</v>
      </c>
      <c r="C41001" t="s">
        <v>13223</v>
      </c>
      <c r="D41001" t="s">
        <v>24136</v>
      </c>
    </row>
    <row r="41002" spans="1:4" x14ac:dyDescent="0.2">
      <c r="B41002" t="s">
        <v>13224</v>
      </c>
      <c r="C41002" t="s">
        <v>13225</v>
      </c>
      <c r="D41002" t="s">
        <v>22284</v>
      </c>
    </row>
    <row r="41004" spans="1:4" x14ac:dyDescent="0.2">
      <c r="A41004" t="s">
        <v>13226</v>
      </c>
      <c r="B41004" t="str">
        <f>HYPERLINK("https://lindat.mff.cuni.cz/services/teitok/pdtc10/index.php?action=vallex&amp;frame=v-w5635f1", "rozhodnout se (v-w5635f1)")</f>
        <v>rozhodnout se (v-w5635f1)</v>
      </c>
    </row>
    <row r="41005" spans="1:4" x14ac:dyDescent="0.2">
      <c r="B41005" t="s">
        <v>11381</v>
      </c>
      <c r="C41005" t="s">
        <v>13227</v>
      </c>
      <c r="D41005" t="s">
        <v>24137</v>
      </c>
    </row>
    <row r="41006" spans="1:4" x14ac:dyDescent="0.2">
      <c r="B41006" t="s">
        <v>13228</v>
      </c>
      <c r="C41006" t="s">
        <v>13229</v>
      </c>
      <c r="D41006" t="s">
        <v>16811</v>
      </c>
    </row>
    <row r="41008" spans="1:4" x14ac:dyDescent="0.2">
      <c r="A41008" t="s">
        <v>13230</v>
      </c>
      <c r="B41008" t="str">
        <f>HYPERLINK("https://lindat.mff.cuni.cz/services/teitok/pdtc10/index.php?action=vallex&amp;frame=v-w5635f3", "rozhodnout se (v-w5635f3)")</f>
        <v>rozhodnout se (v-w5635f3)</v>
      </c>
    </row>
    <row r="41009" spans="1:4" x14ac:dyDescent="0.2">
      <c r="B41009" t="s">
        <v>1</v>
      </c>
      <c r="C41009" t="s">
        <v>10750</v>
      </c>
      <c r="D41009" t="s">
        <v>24137</v>
      </c>
    </row>
    <row r="41010" spans="1:4" x14ac:dyDescent="0.2">
      <c r="B41010" t="s">
        <v>415</v>
      </c>
      <c r="C41010" t="s">
        <v>13231</v>
      </c>
    </row>
    <row r="41011" spans="1:4" x14ac:dyDescent="0.2">
      <c r="B41011" t="s">
        <v>346</v>
      </c>
      <c r="C41011" t="s">
        <v>13232</v>
      </c>
    </row>
    <row r="41012" spans="1:4" x14ac:dyDescent="0.2">
      <c r="B41012" t="s">
        <v>349</v>
      </c>
    </row>
    <row r="41013" spans="1:4" x14ac:dyDescent="0.2">
      <c r="B41013" t="s">
        <v>350</v>
      </c>
    </row>
    <row r="41014" spans="1:4" x14ac:dyDescent="0.2">
      <c r="B41014" t="s">
        <v>351</v>
      </c>
    </row>
    <row r="41016" spans="1:4" x14ac:dyDescent="0.2">
      <c r="A41016" t="s">
        <v>13233</v>
      </c>
      <c r="B41016" t="str">
        <f>HYPERLINK("https://lindat.mff.cuni.cz/services/teitok/pdtc10/index.php?action=vallex&amp;frame=v-w5638f4", "rozhodovat (v-w5638f4)")</f>
        <v>rozhodovat (v-w5638f4)</v>
      </c>
    </row>
    <row r="41017" spans="1:4" x14ac:dyDescent="0.2">
      <c r="B41017" t="s">
        <v>1</v>
      </c>
    </row>
    <row r="41018" spans="1:4" x14ac:dyDescent="0.2">
      <c r="B41018" t="s">
        <v>12939</v>
      </c>
    </row>
    <row r="41019" spans="1:4" x14ac:dyDescent="0.2">
      <c r="B41019" t="s">
        <v>13212</v>
      </c>
    </row>
    <row r="41021" spans="1:4" x14ac:dyDescent="0.2">
      <c r="A41021" t="s">
        <v>13234</v>
      </c>
      <c r="B41021" t="str">
        <f>HYPERLINK("https://lindat.mff.cuni.cz/services/teitok/pdtc10/index.php?action=vallex&amp;frame=v-w5638hsa_1472", "rozhodovat (v-w5638hsa_1472)")</f>
        <v>rozhodovat (v-w5638hsa_1472)</v>
      </c>
    </row>
    <row r="41022" spans="1:4" x14ac:dyDescent="0.2">
      <c r="B41022" t="s">
        <v>13235</v>
      </c>
    </row>
    <row r="41023" spans="1:4" x14ac:dyDescent="0.2">
      <c r="B41023" t="s">
        <v>13236</v>
      </c>
    </row>
    <row r="41025" spans="1:4" x14ac:dyDescent="0.2">
      <c r="A41025" t="s">
        <v>13234</v>
      </c>
      <c r="B41025" t="str">
        <f>HYPERLINK("https://lindat.mff.cuni.cz/services/teitok/pdtc10/index.php?action=vallex&amp;frame=v-w5638f1", "rozhodovat (v-w5638f1) - substituted with v-w5638hsa_1472")</f>
        <v>rozhodovat (v-w5638f1) - substituted with v-w5638hsa_1472</v>
      </c>
    </row>
    <row r="41026" spans="1:4" x14ac:dyDescent="0.2">
      <c r="B41026" t="s">
        <v>13235</v>
      </c>
      <c r="C41026" t="s">
        <v>13237</v>
      </c>
      <c r="D41026" t="s">
        <v>23261</v>
      </c>
    </row>
    <row r="41027" spans="1:4" x14ac:dyDescent="0.2">
      <c r="B41027" t="s">
        <v>13236</v>
      </c>
      <c r="C41027" t="s">
        <v>13238</v>
      </c>
      <c r="D41027" t="s">
        <v>9548</v>
      </c>
    </row>
    <row r="41029" spans="1:4" x14ac:dyDescent="0.2">
      <c r="A41029" t="s">
        <v>13239</v>
      </c>
      <c r="B41029" t="str">
        <f>HYPERLINK("https://lindat.mff.cuni.cz/services/teitok/pdtc10/index.php?action=vallex&amp;frame=v-w5638f2", "rozhodovat (v-w5638f2)")</f>
        <v>rozhodovat (v-w5638f2)</v>
      </c>
    </row>
    <row r="41030" spans="1:4" x14ac:dyDescent="0.2">
      <c r="B41030" t="s">
        <v>1</v>
      </c>
      <c r="D41030" t="s">
        <v>24134</v>
      </c>
    </row>
    <row r="41031" spans="1:4" x14ac:dyDescent="0.2">
      <c r="B41031" t="s">
        <v>8</v>
      </c>
      <c r="D41031" t="s">
        <v>5591</v>
      </c>
    </row>
    <row r="41033" spans="1:4" x14ac:dyDescent="0.2">
      <c r="A41033" t="s">
        <v>13240</v>
      </c>
      <c r="B41033" t="str">
        <f>HYPERLINK("https://lindat.mff.cuni.cz/services/teitok/pdtc10/index.php?action=vallex&amp;frame=v-w5638f3", "rozhodovat (v-w5638f3)")</f>
        <v>rozhodovat (v-w5638f3)</v>
      </c>
    </row>
    <row r="41034" spans="1:4" x14ac:dyDescent="0.2">
      <c r="B41034" t="s">
        <v>1</v>
      </c>
      <c r="D41034" t="s">
        <v>24134</v>
      </c>
    </row>
    <row r="41035" spans="1:4" x14ac:dyDescent="0.2">
      <c r="B41035" t="s">
        <v>2185</v>
      </c>
      <c r="D41035" t="s">
        <v>24135</v>
      </c>
    </row>
    <row r="41036" spans="1:4" x14ac:dyDescent="0.2">
      <c r="B41036" t="s">
        <v>269</v>
      </c>
      <c r="D41036" t="s">
        <v>5591</v>
      </c>
    </row>
    <row r="41038" spans="1:4" x14ac:dyDescent="0.2">
      <c r="A41038" t="s">
        <v>13241</v>
      </c>
      <c r="B41038" t="str">
        <f>HYPERLINK("https://lindat.mff.cuni.cz/services/teitok/pdtc10/index.php?action=vallex&amp;frame=v-w5639f1", "rozhodovat se (v-w5639f1)")</f>
        <v>rozhodovat se (v-w5639f1)</v>
      </c>
    </row>
    <row r="41039" spans="1:4" x14ac:dyDescent="0.2">
      <c r="B41039" t="s">
        <v>1</v>
      </c>
      <c r="C41039" t="s">
        <v>83</v>
      </c>
      <c r="D41039" t="s">
        <v>20601</v>
      </c>
    </row>
    <row r="41040" spans="1:4" x14ac:dyDescent="0.2">
      <c r="B41040" t="s">
        <v>1410</v>
      </c>
      <c r="D41040" t="s">
        <v>24136</v>
      </c>
    </row>
    <row r="41041" spans="1:4" x14ac:dyDescent="0.2">
      <c r="B41041" t="s">
        <v>13224</v>
      </c>
      <c r="D41041" t="s">
        <v>22284</v>
      </c>
    </row>
    <row r="41043" spans="1:4" x14ac:dyDescent="0.2">
      <c r="A41043" t="s">
        <v>13242</v>
      </c>
      <c r="B41043" t="str">
        <f>HYPERLINK("https://lindat.mff.cuni.cz/services/teitok/pdtc10/index.php?action=vallex&amp;frame=v-w5639f2", "rozhodovat se (v-w5639f2)")</f>
        <v>rozhodovat se (v-w5639f2)</v>
      </c>
    </row>
    <row r="41044" spans="1:4" x14ac:dyDescent="0.2">
      <c r="B41044" t="s">
        <v>1</v>
      </c>
      <c r="C41044" t="s">
        <v>13243</v>
      </c>
    </row>
    <row r="41045" spans="1:4" x14ac:dyDescent="0.2">
      <c r="B41045" t="s">
        <v>13228</v>
      </c>
      <c r="C41045" t="s">
        <v>8262</v>
      </c>
    </row>
    <row r="41047" spans="1:4" x14ac:dyDescent="0.2">
      <c r="A41047" t="s">
        <v>13244</v>
      </c>
      <c r="B41047" t="str">
        <f>HYPERLINK("https://lindat.mff.cuni.cz/services/teitok/pdtc10/index.php?action=vallex&amp;frame=v-w5642f1", "rozhorlit se (v-w5642f1)")</f>
        <v>rozhorlit se (v-w5642f1)</v>
      </c>
    </row>
    <row r="41048" spans="1:4" x14ac:dyDescent="0.2">
      <c r="B41048" t="s">
        <v>1</v>
      </c>
    </row>
    <row r="41050" spans="1:4" x14ac:dyDescent="0.2">
      <c r="A41050" t="s">
        <v>13245</v>
      </c>
      <c r="B41050" t="str">
        <f>HYPERLINK("https://lindat.mff.cuni.cz/services/teitok/pdtc10/index.php?action=vallex&amp;frame=v-w5648f1", "rozhostit se (v-w5648f1)")</f>
        <v>rozhostit se (v-w5648f1)</v>
      </c>
    </row>
    <row r="41051" spans="1:4" x14ac:dyDescent="0.2">
      <c r="B41051" t="s">
        <v>1</v>
      </c>
      <c r="D41051" t="s">
        <v>24138</v>
      </c>
    </row>
    <row r="41053" spans="1:4" x14ac:dyDescent="0.2">
      <c r="A41053" t="s">
        <v>13246</v>
      </c>
      <c r="B41053" t="str">
        <f>HYPERLINK("https://lindat.mff.cuni.cz/services/teitok/pdtc10/index.php?action=vallex&amp;frame=v-whsa_497hsa_498", "rozhoupat (v-whsa_497hsa_498)")</f>
        <v>rozhoupat (v-whsa_497hsa_498)</v>
      </c>
    </row>
    <row r="41054" spans="1:4" x14ac:dyDescent="0.2">
      <c r="B41054" t="s">
        <v>1</v>
      </c>
    </row>
    <row r="41055" spans="1:4" x14ac:dyDescent="0.2">
      <c r="B41055" t="s">
        <v>8</v>
      </c>
    </row>
    <row r="41057" spans="1:3" x14ac:dyDescent="0.2">
      <c r="A41057" t="s">
        <v>13247</v>
      </c>
      <c r="B41057" t="str">
        <f>HYPERLINK("https://lindat.mff.cuni.cz/services/teitok/pdtc10/index.php?action=vallex&amp;frame=v-w5649f1", "rozhoupat se (v-w5649f1)")</f>
        <v>rozhoupat se (v-w5649f1)</v>
      </c>
    </row>
    <row r="41058" spans="1:3" x14ac:dyDescent="0.2">
      <c r="B41058" t="s">
        <v>1</v>
      </c>
    </row>
    <row r="41059" spans="1:3" x14ac:dyDescent="0.2">
      <c r="B41059" t="s">
        <v>176</v>
      </c>
    </row>
    <row r="41061" spans="1:3" x14ac:dyDescent="0.2">
      <c r="A41061" t="s">
        <v>13248</v>
      </c>
      <c r="B41061" t="str">
        <f>HYPERLINK("https://lindat.mff.cuni.cz/services/teitok/pdtc10/index.php?action=vallex&amp;frame=v-w5649f2", "rozhoupat se (v-w5649f2)")</f>
        <v>rozhoupat se (v-w5649f2)</v>
      </c>
    </row>
    <row r="41062" spans="1:3" x14ac:dyDescent="0.2">
      <c r="B41062" t="s">
        <v>1</v>
      </c>
    </row>
    <row r="41063" spans="1:3" x14ac:dyDescent="0.2">
      <c r="B41063" t="s">
        <v>1410</v>
      </c>
    </row>
    <row r="41065" spans="1:3" x14ac:dyDescent="0.2">
      <c r="A41065" t="s">
        <v>13249</v>
      </c>
      <c r="B41065" t="str">
        <f>HYPERLINK("https://lindat.mff.cuni.cz/services/teitok/pdtc10/index.php?action=vallex&amp;frame=v-w5649hsa_1182", "rozhoupat se (v-w5649hsa_1182)")</f>
        <v>rozhoupat se (v-w5649hsa_1182)</v>
      </c>
    </row>
    <row r="41066" spans="1:3" x14ac:dyDescent="0.2">
      <c r="B41066" t="s">
        <v>1</v>
      </c>
    </row>
    <row r="41068" spans="1:3" x14ac:dyDescent="0.2">
      <c r="A41068" t="s">
        <v>13250</v>
      </c>
      <c r="B41068" t="str">
        <f>HYPERLINK("https://lindat.mff.cuni.cz/services/teitok/pdtc10/index.php?action=vallex&amp;frame=v-w5649f3_ZU", "rozhoupat se (v-w5649f3_ZU)")</f>
        <v>rozhoupat se (v-w5649f3_ZU)</v>
      </c>
    </row>
    <row r="41069" spans="1:3" x14ac:dyDescent="0.2">
      <c r="B41069" t="s">
        <v>1</v>
      </c>
      <c r="C41069" t="s">
        <v>201</v>
      </c>
    </row>
    <row r="41071" spans="1:3" x14ac:dyDescent="0.2">
      <c r="A41071" t="s">
        <v>13250</v>
      </c>
      <c r="B41071" t="str">
        <f>HYPERLINK("https://lindat.mff.cuni.cz/services/teitok/pdtc10/index.php?action=vallex&amp;frame=v-w5649hsa_1183", "rozhoupat se (v-w5649hsa_1183) - substituted with v-w5649f3_ZU")</f>
        <v>rozhoupat se (v-w5649hsa_1183) - substituted with v-w5649f3_ZU</v>
      </c>
    </row>
    <row r="41072" spans="1:3" x14ac:dyDescent="0.2">
      <c r="B41072" t="s">
        <v>1</v>
      </c>
    </row>
    <row r="41074" spans="1:4" x14ac:dyDescent="0.2">
      <c r="A41074" t="s">
        <v>13251</v>
      </c>
      <c r="B41074" t="str">
        <f>HYPERLINK("https://lindat.mff.cuni.cz/services/teitok/pdtc10/index.php?action=vallex&amp;frame=v-w5651f1", "rozhovořit se (v-w5651f1)")</f>
        <v>rozhovořit se (v-w5651f1)</v>
      </c>
    </row>
    <row r="41075" spans="1:4" x14ac:dyDescent="0.2">
      <c r="B41075" t="s">
        <v>1</v>
      </c>
      <c r="C41075" t="s">
        <v>1065</v>
      </c>
    </row>
    <row r="41076" spans="1:4" x14ac:dyDescent="0.2">
      <c r="B41076" t="s">
        <v>269</v>
      </c>
      <c r="C41076" t="s">
        <v>1340</v>
      </c>
    </row>
    <row r="41078" spans="1:4" x14ac:dyDescent="0.2">
      <c r="A41078" t="s">
        <v>13252</v>
      </c>
      <c r="B41078" t="str">
        <f>HYPERLINK("https://lindat.mff.cuni.cz/services/teitok/pdtc10/index.php?action=vallex&amp;frame=v-w5647f1", "rozhořet se (v-w5647f1)")</f>
        <v>rozhořet se (v-w5647f1)</v>
      </c>
    </row>
    <row r="41079" spans="1:4" x14ac:dyDescent="0.2">
      <c r="B41079" t="s">
        <v>1</v>
      </c>
    </row>
    <row r="41080" spans="1:4" x14ac:dyDescent="0.2">
      <c r="B41080" t="s">
        <v>3390</v>
      </c>
    </row>
    <row r="41081" spans="1:4" x14ac:dyDescent="0.2">
      <c r="B41081" t="s">
        <v>24</v>
      </c>
    </row>
    <row r="41083" spans="1:4" x14ac:dyDescent="0.2">
      <c r="A41083" t="s">
        <v>13253</v>
      </c>
      <c r="B41083" t="str">
        <f>HYPERLINK("https://lindat.mff.cuni.cz/services/teitok/pdtc10/index.php?action=vallex&amp;frame=v-w5644f1", "rozhořčit (v-w5644f1)")</f>
        <v>rozhořčit (v-w5644f1)</v>
      </c>
    </row>
    <row r="41084" spans="1:4" x14ac:dyDescent="0.2">
      <c r="B41084" t="s">
        <v>488</v>
      </c>
      <c r="C41084" t="s">
        <v>2239</v>
      </c>
      <c r="D41084" t="s">
        <v>33</v>
      </c>
    </row>
    <row r="41085" spans="1:4" x14ac:dyDescent="0.2">
      <c r="B41085" t="s">
        <v>8</v>
      </c>
      <c r="C41085" t="s">
        <v>54</v>
      </c>
      <c r="D41085" t="s">
        <v>991</v>
      </c>
    </row>
    <row r="41087" spans="1:4" x14ac:dyDescent="0.2">
      <c r="A41087" t="s">
        <v>13254</v>
      </c>
      <c r="B41087" t="str">
        <f>HYPERLINK("https://lindat.mff.cuni.cz/services/teitok/pdtc10/index.php?action=vallex&amp;frame=v-w5645f1", "rozhořčovat se (v-w5645f1)")</f>
        <v>rozhořčovat se (v-w5645f1)</v>
      </c>
    </row>
    <row r="41088" spans="1:4" x14ac:dyDescent="0.2">
      <c r="B41088" t="s">
        <v>1</v>
      </c>
    </row>
    <row r="41090" spans="1:4" x14ac:dyDescent="0.2">
      <c r="A41090" t="s">
        <v>13255</v>
      </c>
      <c r="B41090" t="str">
        <f>HYPERLINK("https://lindat.mff.cuni.cz/services/teitok/pdtc10/index.php?action=vallex&amp;frame=v-w11390f1", "rozhádat se (v-w11390f1)")</f>
        <v>rozhádat se (v-w11390f1)</v>
      </c>
    </row>
    <row r="41091" spans="1:4" x14ac:dyDescent="0.2">
      <c r="B41091" t="s">
        <v>1</v>
      </c>
      <c r="C41091" t="s">
        <v>249</v>
      </c>
      <c r="D41091" t="s">
        <v>80</v>
      </c>
    </row>
    <row r="41092" spans="1:4" x14ac:dyDescent="0.2">
      <c r="B41092" t="s">
        <v>153</v>
      </c>
    </row>
    <row r="41093" spans="1:4" x14ac:dyDescent="0.2">
      <c r="B41093" t="s">
        <v>269</v>
      </c>
      <c r="D41093" t="s">
        <v>6439</v>
      </c>
    </row>
    <row r="41095" spans="1:4" x14ac:dyDescent="0.2">
      <c r="A41095" t="s">
        <v>13256</v>
      </c>
      <c r="B41095" t="str">
        <f>HYPERLINK("https://lindat.mff.cuni.cz/services/teitok/pdtc10/index.php?action=vallex&amp;frame=v-w11243f1", "rozházet (v-w11243f1)")</f>
        <v>rozházet (v-w11243f1)</v>
      </c>
    </row>
    <row r="41096" spans="1:4" x14ac:dyDescent="0.2">
      <c r="B41096" t="s">
        <v>1</v>
      </c>
      <c r="D41096" t="s">
        <v>9266</v>
      </c>
    </row>
    <row r="41097" spans="1:4" x14ac:dyDescent="0.2">
      <c r="B41097" t="s">
        <v>8</v>
      </c>
      <c r="D41097" t="s">
        <v>24133</v>
      </c>
    </row>
    <row r="41099" spans="1:4" x14ac:dyDescent="0.2">
      <c r="A41099" t="s">
        <v>13257</v>
      </c>
      <c r="B41099" t="str">
        <f>HYPERLINK("https://lindat.mff.cuni.cz/services/teitok/pdtc10/index.php?action=vallex&amp;frame=v-w11243f2_ZU", "rozházet (v-w11243f2_ZU)")</f>
        <v>rozházet (v-w11243f2_ZU)</v>
      </c>
    </row>
    <row r="41100" spans="1:4" x14ac:dyDescent="0.2">
      <c r="B41100" t="s">
        <v>1</v>
      </c>
      <c r="C41100" t="s">
        <v>33</v>
      </c>
      <c r="D41100" t="s">
        <v>133</v>
      </c>
    </row>
    <row r="41101" spans="1:4" x14ac:dyDescent="0.2">
      <c r="B41101" t="s">
        <v>8</v>
      </c>
      <c r="C41101" t="s">
        <v>84</v>
      </c>
      <c r="D41101" t="s">
        <v>1128</v>
      </c>
    </row>
    <row r="41103" spans="1:4" x14ac:dyDescent="0.2">
      <c r="A41103" t="s">
        <v>13258</v>
      </c>
      <c r="B41103" t="str">
        <f>HYPERLINK("https://lindat.mff.cuni.cz/services/teitok/pdtc10/index.php?action=vallex&amp;frame=v-w11243hsa_476", "rozházet (v-w11243hsa_476)")</f>
        <v>rozházet (v-w11243hsa_476)</v>
      </c>
    </row>
    <row r="41104" spans="1:4" x14ac:dyDescent="0.2">
      <c r="B41104" t="s">
        <v>1</v>
      </c>
    </row>
    <row r="41105" spans="1:4" x14ac:dyDescent="0.2">
      <c r="B41105" t="s">
        <v>8</v>
      </c>
    </row>
    <row r="41107" spans="1:4" x14ac:dyDescent="0.2">
      <c r="A41107" t="s">
        <v>13259</v>
      </c>
      <c r="B41107" t="str">
        <f>HYPERLINK("https://lindat.mff.cuni.cz/services/teitok/pdtc10/index.php?action=vallex&amp;frame=v-w5627f1", "rozházet si (v-w5627f1)")</f>
        <v>rozházet si (v-w5627f1)</v>
      </c>
    </row>
    <row r="41108" spans="1:4" x14ac:dyDescent="0.2">
      <c r="B41108" t="s">
        <v>1</v>
      </c>
    </row>
    <row r="41109" spans="1:4" x14ac:dyDescent="0.2">
      <c r="B41109" t="s">
        <v>390</v>
      </c>
    </row>
    <row r="41110" spans="1:4" x14ac:dyDescent="0.2">
      <c r="B41110" t="s">
        <v>411</v>
      </c>
    </row>
    <row r="41112" spans="1:4" x14ac:dyDescent="0.2">
      <c r="A41112" t="s">
        <v>13260</v>
      </c>
      <c r="B41112" t="str">
        <f>HYPERLINK("https://lindat.mff.cuni.cz/services/teitok/pdtc10/index.php?action=vallex&amp;frame=v-w5654f1", "rozhýbat (v-w5654f1)")</f>
        <v>rozhýbat (v-w5654f1)</v>
      </c>
    </row>
    <row r="41113" spans="1:4" x14ac:dyDescent="0.2">
      <c r="B41113" t="s">
        <v>1</v>
      </c>
    </row>
    <row r="41114" spans="1:4" x14ac:dyDescent="0.2">
      <c r="B41114" t="s">
        <v>8</v>
      </c>
    </row>
    <row r="41116" spans="1:4" x14ac:dyDescent="0.2">
      <c r="A41116" t="s">
        <v>13261</v>
      </c>
      <c r="B41116" t="str">
        <f>HYPERLINK("https://lindat.mff.cuni.cz/services/teitok/pdtc10/index.php?action=vallex&amp;frame=v-whsa_244hsa_245", "rozhýbat se (v-whsa_244hsa_245)")</f>
        <v>rozhýbat se (v-whsa_244hsa_245)</v>
      </c>
    </row>
    <row r="41117" spans="1:4" x14ac:dyDescent="0.2">
      <c r="B41117" t="s">
        <v>1</v>
      </c>
      <c r="C41117" t="s">
        <v>147</v>
      </c>
      <c r="D41117" t="s">
        <v>147</v>
      </c>
    </row>
    <row r="41119" spans="1:4" x14ac:dyDescent="0.2">
      <c r="A41119" t="s">
        <v>13262</v>
      </c>
      <c r="B41119" t="str">
        <f>HYPERLINK("https://lindat.mff.cuni.cz/services/teitok/pdtc10/index.php?action=vallex&amp;frame=v-w5658f1", "rozjet (v-w5658f1)")</f>
        <v>rozjet (v-w5658f1)</v>
      </c>
    </row>
    <row r="41120" spans="1:4" x14ac:dyDescent="0.2">
      <c r="B41120" t="s">
        <v>1</v>
      </c>
      <c r="C41120" t="s">
        <v>13263</v>
      </c>
      <c r="D41120" t="s">
        <v>22950</v>
      </c>
    </row>
    <row r="41121" spans="1:4" x14ac:dyDescent="0.2">
      <c r="B41121" t="s">
        <v>8</v>
      </c>
      <c r="C41121" t="s">
        <v>13264</v>
      </c>
      <c r="D41121" t="s">
        <v>22951</v>
      </c>
    </row>
    <row r="41123" spans="1:4" x14ac:dyDescent="0.2">
      <c r="A41123" t="s">
        <v>13265</v>
      </c>
      <c r="B41123" t="str">
        <f>HYPERLINK("https://lindat.mff.cuni.cz/services/teitok/pdtc10/index.php?action=vallex&amp;frame=v-w5658f2", "rozjet (v-w5658f2)")</f>
        <v>rozjet (v-w5658f2)</v>
      </c>
    </row>
    <row r="41124" spans="1:4" x14ac:dyDescent="0.2">
      <c r="B41124" t="s">
        <v>1</v>
      </c>
    </row>
    <row r="41125" spans="1:4" x14ac:dyDescent="0.2">
      <c r="B41125" t="s">
        <v>8</v>
      </c>
    </row>
    <row r="41127" spans="1:4" x14ac:dyDescent="0.2">
      <c r="A41127" t="s">
        <v>13266</v>
      </c>
      <c r="B41127" t="str">
        <f>HYPERLINK("https://lindat.mff.cuni.cz/services/teitok/pdtc10/index.php?action=vallex&amp;frame=v-w5659f3", "rozjet se (v-w5659f3)")</f>
        <v>rozjet se (v-w5659f3)</v>
      </c>
    </row>
    <row r="41128" spans="1:4" x14ac:dyDescent="0.2">
      <c r="B41128" t="s">
        <v>1</v>
      </c>
    </row>
    <row r="41129" spans="1:4" x14ac:dyDescent="0.2">
      <c r="B41129" t="s">
        <v>90</v>
      </c>
    </row>
    <row r="41131" spans="1:4" x14ac:dyDescent="0.2">
      <c r="A41131" t="s">
        <v>13267</v>
      </c>
      <c r="B41131" t="str">
        <f>HYPERLINK("https://lindat.mff.cuni.cz/services/teitok/pdtc10/index.php?action=vallex&amp;frame=v-w5659f1", "rozjet se (v-w5659f1)")</f>
        <v>rozjet se (v-w5659f1)</v>
      </c>
    </row>
    <row r="41132" spans="1:4" x14ac:dyDescent="0.2">
      <c r="B41132" t="s">
        <v>1</v>
      </c>
      <c r="C41132" t="s">
        <v>10109</v>
      </c>
      <c r="D41132" t="s">
        <v>22988</v>
      </c>
    </row>
    <row r="41134" spans="1:4" x14ac:dyDescent="0.2">
      <c r="A41134" t="s">
        <v>13268</v>
      </c>
      <c r="B41134" t="str">
        <f>HYPERLINK("https://lindat.mff.cuni.cz/services/teitok/pdtc10/index.php?action=vallex&amp;frame=v-w5659f2", "rozjet se (v-w5659f2)")</f>
        <v>rozjet se (v-w5659f2)</v>
      </c>
    </row>
    <row r="41135" spans="1:4" x14ac:dyDescent="0.2">
      <c r="B41135" t="s">
        <v>1</v>
      </c>
    </row>
    <row r="41137" spans="1:4" x14ac:dyDescent="0.2">
      <c r="A41137" t="s">
        <v>13269</v>
      </c>
      <c r="B41137" t="str">
        <f>HYPERLINK("https://lindat.mff.cuni.cz/services/teitok/pdtc10/index.php?action=vallex&amp;frame=v-w5657f1", "rozjásat (v-w5657f1)")</f>
        <v>rozjásat (v-w5657f1)</v>
      </c>
    </row>
    <row r="41138" spans="1:4" x14ac:dyDescent="0.2">
      <c r="B41138" t="s">
        <v>1</v>
      </c>
    </row>
    <row r="41139" spans="1:4" x14ac:dyDescent="0.2">
      <c r="B41139" t="s">
        <v>8</v>
      </c>
    </row>
    <row r="41141" spans="1:4" x14ac:dyDescent="0.2">
      <c r="A41141" t="s">
        <v>13270</v>
      </c>
      <c r="B41141" t="str">
        <f>HYPERLINK("https://lindat.mff.cuni.cz/services/teitok/pdtc10/index.php?action=vallex&amp;frame=v-w10088f2", "rozjásávat (v-w10088f2)")</f>
        <v>rozjásávat (v-w10088f2)</v>
      </c>
    </row>
    <row r="41142" spans="1:4" x14ac:dyDescent="0.2">
      <c r="B41142" t="s">
        <v>1</v>
      </c>
    </row>
    <row r="41143" spans="1:4" x14ac:dyDescent="0.2">
      <c r="B41143" t="s">
        <v>8</v>
      </c>
    </row>
    <row r="41145" spans="1:4" x14ac:dyDescent="0.2">
      <c r="A41145" t="s">
        <v>13271</v>
      </c>
      <c r="B41145" t="str">
        <f>HYPERLINK("https://lindat.mff.cuni.cz/services/teitok/pdtc10/index.php?action=vallex&amp;frame=v-w5661f1", "rozjíždět (v-w5661f1)")</f>
        <v>rozjíždět (v-w5661f1)</v>
      </c>
    </row>
    <row r="41146" spans="1:4" x14ac:dyDescent="0.2">
      <c r="B41146" t="s">
        <v>1</v>
      </c>
      <c r="D41146" t="s">
        <v>22950</v>
      </c>
    </row>
    <row r="41147" spans="1:4" x14ac:dyDescent="0.2">
      <c r="B41147" t="s">
        <v>8</v>
      </c>
      <c r="D41147" t="s">
        <v>22951</v>
      </c>
    </row>
    <row r="41149" spans="1:4" x14ac:dyDescent="0.2">
      <c r="A41149" t="s">
        <v>13272</v>
      </c>
      <c r="B41149" t="str">
        <f>HYPERLINK("https://lindat.mff.cuni.cz/services/teitok/pdtc10/index.php?action=vallex&amp;frame=v-w5662f1", "rozjíždět se (v-w5662f1)")</f>
        <v>rozjíždět se (v-w5662f1)</v>
      </c>
    </row>
    <row r="41150" spans="1:4" x14ac:dyDescent="0.2">
      <c r="B41150" t="s">
        <v>1</v>
      </c>
      <c r="D41150" t="s">
        <v>22988</v>
      </c>
    </row>
    <row r="41152" spans="1:4" x14ac:dyDescent="0.2">
      <c r="A41152" t="s">
        <v>13273</v>
      </c>
      <c r="B41152" t="str">
        <f>HYPERLINK("https://lindat.mff.cuni.cz/services/teitok/pdtc10/index.php?action=vallex&amp;frame=v-w5662f2_ZU", "rozjíždět se (v-w5662f2_ZU)")</f>
        <v>rozjíždět se (v-w5662f2_ZU)</v>
      </c>
    </row>
    <row r="41153" spans="1:3" x14ac:dyDescent="0.2">
      <c r="B41153" t="s">
        <v>1</v>
      </c>
      <c r="C41153" t="s">
        <v>6951</v>
      </c>
    </row>
    <row r="41155" spans="1:3" x14ac:dyDescent="0.2">
      <c r="A41155" t="s">
        <v>13274</v>
      </c>
      <c r="B41155" t="str">
        <f>HYPERLINK("https://lindat.mff.cuni.cz/services/teitok/pdtc10/index.php?action=vallex&amp;frame=v-w11858_ZUf1_ZU", "rozkazovat (v-w11858_ZUf1_ZU)")</f>
        <v>rozkazovat (v-w11858_ZUf1_ZU)</v>
      </c>
    </row>
    <row r="41156" spans="1:3" x14ac:dyDescent="0.2">
      <c r="B41156" t="s">
        <v>1</v>
      </c>
    </row>
    <row r="41157" spans="1:3" x14ac:dyDescent="0.2">
      <c r="B41157" t="s">
        <v>35</v>
      </c>
    </row>
    <row r="41158" spans="1:3" x14ac:dyDescent="0.2">
      <c r="B41158" t="s">
        <v>13275</v>
      </c>
    </row>
    <row r="41160" spans="1:3" x14ac:dyDescent="0.2">
      <c r="A41160" t="s">
        <v>13276</v>
      </c>
      <c r="B41160" t="str">
        <f>HYPERLINK("https://lindat.mff.cuni.cz/services/teitok/pdtc10/index.php?action=vallex&amp;frame=v-w5668f1", "rozklepat se (v-w5668f1)")</f>
        <v>rozklepat se (v-w5668f1)</v>
      </c>
    </row>
    <row r="41161" spans="1:3" x14ac:dyDescent="0.2">
      <c r="B41161" t="s">
        <v>1</v>
      </c>
    </row>
    <row r="41163" spans="1:3" x14ac:dyDescent="0.2">
      <c r="A41163" t="s">
        <v>13277</v>
      </c>
      <c r="B41163" t="str">
        <f>HYPERLINK("https://lindat.mff.cuni.cz/services/teitok/pdtc10/index.php?action=vallex&amp;frame=v-w5666f1", "rozkládat (v-w5666f1)")</f>
        <v>rozkládat (v-w5666f1)</v>
      </c>
    </row>
    <row r="41164" spans="1:3" x14ac:dyDescent="0.2">
      <c r="B41164" t="s">
        <v>1</v>
      </c>
    </row>
    <row r="41165" spans="1:3" x14ac:dyDescent="0.2">
      <c r="B41165" t="s">
        <v>13278</v>
      </c>
    </row>
    <row r="41166" spans="1:3" x14ac:dyDescent="0.2">
      <c r="B41166" t="s">
        <v>2328</v>
      </c>
    </row>
    <row r="41168" spans="1:3" x14ac:dyDescent="0.2">
      <c r="A41168" t="s">
        <v>13279</v>
      </c>
      <c r="B41168" t="str">
        <f>HYPERLINK("https://lindat.mff.cuni.cz/services/teitok/pdtc10/index.php?action=vallex&amp;frame=v-w5666hsa_248", "rozkládat (v-w5666hsa_248)")</f>
        <v>rozkládat (v-w5666hsa_248)</v>
      </c>
    </row>
    <row r="41169" spans="1:4" x14ac:dyDescent="0.2">
      <c r="B41169" t="s">
        <v>1</v>
      </c>
      <c r="D41169" t="s">
        <v>3583</v>
      </c>
    </row>
    <row r="41170" spans="1:4" x14ac:dyDescent="0.2">
      <c r="B41170" t="s">
        <v>8</v>
      </c>
      <c r="D41170" t="s">
        <v>2113</v>
      </c>
    </row>
    <row r="41171" spans="1:4" x14ac:dyDescent="0.2">
      <c r="B41171" t="s">
        <v>25</v>
      </c>
      <c r="D41171" t="s">
        <v>23395</v>
      </c>
    </row>
    <row r="41173" spans="1:4" x14ac:dyDescent="0.2">
      <c r="A41173" t="s">
        <v>13279</v>
      </c>
      <c r="B41173" t="str">
        <f>HYPERLINK("https://lindat.mff.cuni.cz/services/teitok/pdtc10/index.php?action=vallex&amp;frame=v-w5666f2", "rozkládat (v-w5666f2) - substituted with v-w5666hsa_248")</f>
        <v>rozkládat (v-w5666f2) - substituted with v-w5666hsa_248</v>
      </c>
    </row>
    <row r="41174" spans="1:4" x14ac:dyDescent="0.2">
      <c r="B41174" t="s">
        <v>1</v>
      </c>
      <c r="C41174" t="s">
        <v>3583</v>
      </c>
    </row>
    <row r="41175" spans="1:4" x14ac:dyDescent="0.2">
      <c r="B41175" t="s">
        <v>8</v>
      </c>
      <c r="C41175" t="s">
        <v>3308</v>
      </c>
    </row>
    <row r="41176" spans="1:4" x14ac:dyDescent="0.2">
      <c r="B41176" t="s">
        <v>25</v>
      </c>
      <c r="C41176" t="s">
        <v>4075</v>
      </c>
    </row>
    <row r="41178" spans="1:4" x14ac:dyDescent="0.2">
      <c r="A41178" t="s">
        <v>13280</v>
      </c>
      <c r="B41178" t="str">
        <f>HYPERLINK("https://lindat.mff.cuni.cz/services/teitok/pdtc10/index.php?action=vallex&amp;frame=v-w5667f3", "rozkládat se (v-w5667f3)")</f>
        <v>rozkládat se (v-w5667f3)</v>
      </c>
    </row>
    <row r="41179" spans="1:4" x14ac:dyDescent="0.2">
      <c r="B41179" t="s">
        <v>1</v>
      </c>
    </row>
    <row r="41180" spans="1:4" x14ac:dyDescent="0.2">
      <c r="B41180" t="s">
        <v>2336</v>
      </c>
    </row>
    <row r="41182" spans="1:4" x14ac:dyDescent="0.2">
      <c r="A41182" t="s">
        <v>13281</v>
      </c>
      <c r="B41182" t="str">
        <f>HYPERLINK("https://lindat.mff.cuni.cz/services/teitok/pdtc10/index.php?action=vallex&amp;frame=v-w5667f1", "rozkládat se (v-w5667f1)")</f>
        <v>rozkládat se (v-w5667f1)</v>
      </c>
    </row>
    <row r="41183" spans="1:4" x14ac:dyDescent="0.2">
      <c r="B41183" t="s">
        <v>1</v>
      </c>
      <c r="C41183" t="s">
        <v>186</v>
      </c>
      <c r="D41183" t="s">
        <v>23456</v>
      </c>
    </row>
    <row r="41184" spans="1:4" x14ac:dyDescent="0.2">
      <c r="B41184" t="s">
        <v>5</v>
      </c>
      <c r="D41184" t="s">
        <v>23457</v>
      </c>
    </row>
    <row r="41186" spans="1:4" x14ac:dyDescent="0.2">
      <c r="A41186" t="s">
        <v>13282</v>
      </c>
      <c r="B41186" t="str">
        <f>HYPERLINK("https://lindat.mff.cuni.cz/services/teitok/pdtc10/index.php?action=vallex&amp;frame=v-w5667f2", "rozkládat se (v-w5667f2)")</f>
        <v>rozkládat se (v-w5667f2)</v>
      </c>
    </row>
    <row r="41187" spans="1:4" x14ac:dyDescent="0.2">
      <c r="B41187" t="s">
        <v>1</v>
      </c>
      <c r="C41187" t="s">
        <v>147</v>
      </c>
      <c r="D41187" t="s">
        <v>2172</v>
      </c>
    </row>
    <row r="41189" spans="1:4" x14ac:dyDescent="0.2">
      <c r="A41189" t="s">
        <v>13283</v>
      </c>
      <c r="B41189" t="str">
        <f>HYPERLINK("https://lindat.mff.cuni.cz/services/teitok/pdtc10/index.php?action=vallex&amp;frame=v-w5667f4_ZU", "rozkládat se (v-w5667f4_ZU)")</f>
        <v>rozkládat se (v-w5667f4_ZU)</v>
      </c>
    </row>
    <row r="41190" spans="1:4" x14ac:dyDescent="0.2">
      <c r="B41190" t="s">
        <v>1</v>
      </c>
    </row>
    <row r="41192" spans="1:4" x14ac:dyDescent="0.2">
      <c r="A41192" t="s">
        <v>13284</v>
      </c>
      <c r="B41192" t="str">
        <f>HYPERLINK("https://lindat.mff.cuni.cz/services/teitok/pdtc10/index.php?action=vallex&amp;frame=v-w5669f1", "rozkmitat (v-w5669f1)")</f>
        <v>rozkmitat (v-w5669f1)</v>
      </c>
    </row>
    <row r="41193" spans="1:4" x14ac:dyDescent="0.2">
      <c r="B41193" t="s">
        <v>1</v>
      </c>
    </row>
    <row r="41194" spans="1:4" x14ac:dyDescent="0.2">
      <c r="B41194" t="s">
        <v>8</v>
      </c>
    </row>
    <row r="41196" spans="1:4" x14ac:dyDescent="0.2">
      <c r="A41196" t="s">
        <v>13285</v>
      </c>
      <c r="B41196" t="str">
        <f>HYPERLINK("https://lindat.mff.cuni.cz/services/teitok/pdtc10/index.php?action=vallex&amp;frame=v-w11277f1", "rozkmotřit se (v-w11277f1)")</f>
        <v>rozkmotřit se (v-w11277f1)</v>
      </c>
    </row>
    <row r="41197" spans="1:4" x14ac:dyDescent="0.2">
      <c r="B41197" t="s">
        <v>1</v>
      </c>
    </row>
    <row r="41198" spans="1:4" x14ac:dyDescent="0.2">
      <c r="B41198" t="s">
        <v>411</v>
      </c>
    </row>
    <row r="41200" spans="1:4" x14ac:dyDescent="0.2">
      <c r="A41200" t="s">
        <v>13286</v>
      </c>
      <c r="B41200" t="str">
        <f>HYPERLINK("https://lindat.mff.cuni.cz/services/teitok/pdtc10/index.php?action=vallex&amp;frame=v-w12083_ZUf1_ZU", "rozkrajovat (v-w12083_ZUf1_ZU)")</f>
        <v>rozkrajovat (v-w12083_ZUf1_ZU)</v>
      </c>
    </row>
    <row r="41201" spans="1:2" x14ac:dyDescent="0.2">
      <c r="B41201" t="s">
        <v>1</v>
      </c>
    </row>
    <row r="41202" spans="1:2" x14ac:dyDescent="0.2">
      <c r="B41202" t="s">
        <v>8</v>
      </c>
    </row>
    <row r="41203" spans="1:2" x14ac:dyDescent="0.2">
      <c r="B41203" t="s">
        <v>61</v>
      </c>
    </row>
    <row r="41205" spans="1:2" x14ac:dyDescent="0.2">
      <c r="A41205" t="s">
        <v>13287</v>
      </c>
      <c r="B41205" t="str">
        <f>HYPERLINK("https://lindat.mff.cuni.cz/services/teitok/pdtc10/index.php?action=vallex&amp;frame=v-w5670f1", "rozkramařit (v-w5670f1)")</f>
        <v>rozkramařit (v-w5670f1)</v>
      </c>
    </row>
    <row r="41206" spans="1:2" x14ac:dyDescent="0.2">
      <c r="B41206" t="s">
        <v>1</v>
      </c>
    </row>
    <row r="41207" spans="1:2" x14ac:dyDescent="0.2">
      <c r="B41207" t="s">
        <v>8</v>
      </c>
    </row>
    <row r="41209" spans="1:2" x14ac:dyDescent="0.2">
      <c r="A41209" t="s">
        <v>13288</v>
      </c>
      <c r="B41209" t="str">
        <f>HYPERLINK("https://lindat.mff.cuni.cz/services/teitok/pdtc10/index.php?action=vallex&amp;frame=v-w12061_ZUf1_ZU", "rozkrojovat (v-w12061_ZUf1_ZU)")</f>
        <v>rozkrojovat (v-w12061_ZUf1_ZU)</v>
      </c>
    </row>
    <row r="41210" spans="1:2" x14ac:dyDescent="0.2">
      <c r="B41210" t="s">
        <v>1</v>
      </c>
    </row>
    <row r="41211" spans="1:2" x14ac:dyDescent="0.2">
      <c r="B41211" t="s">
        <v>8</v>
      </c>
    </row>
    <row r="41212" spans="1:2" x14ac:dyDescent="0.2">
      <c r="B41212" t="s">
        <v>61</v>
      </c>
    </row>
    <row r="41214" spans="1:2" x14ac:dyDescent="0.2">
      <c r="A41214" t="s">
        <v>13289</v>
      </c>
      <c r="B41214" t="str">
        <f>HYPERLINK("https://lindat.mff.cuni.cz/services/teitok/pdtc10/index.php?action=vallex&amp;frame=v-w12017_ZUf1_ZU", "rozkročit se (v-w12017_ZUf1_ZU)")</f>
        <v>rozkročit se (v-w12017_ZUf1_ZU)</v>
      </c>
    </row>
    <row r="41215" spans="1:2" x14ac:dyDescent="0.2">
      <c r="B41215" t="s">
        <v>1</v>
      </c>
    </row>
    <row r="41217" spans="1:4" x14ac:dyDescent="0.2">
      <c r="A41217" t="s">
        <v>13290</v>
      </c>
      <c r="B41217" t="str">
        <f>HYPERLINK("https://lindat.mff.cuni.cz/services/teitok/pdtc10/index.php?action=vallex&amp;frame=v-whsa_1743hsa_1744", "rozkrájet (v-whsa_1743hsa_1744)")</f>
        <v>rozkrájet (v-whsa_1743hsa_1744)</v>
      </c>
    </row>
    <row r="41218" spans="1:4" x14ac:dyDescent="0.2">
      <c r="B41218" t="s">
        <v>1</v>
      </c>
    </row>
    <row r="41219" spans="1:4" x14ac:dyDescent="0.2">
      <c r="B41219" t="s">
        <v>8</v>
      </c>
    </row>
    <row r="41220" spans="1:4" x14ac:dyDescent="0.2">
      <c r="B41220" t="s">
        <v>61</v>
      </c>
    </row>
    <row r="41222" spans="1:4" x14ac:dyDescent="0.2">
      <c r="A41222" t="s">
        <v>13291</v>
      </c>
      <c r="B41222" t="str">
        <f>HYPERLINK("https://lindat.mff.cuni.cz/services/teitok/pdtc10/index.php?action=vallex&amp;frame=v-w5671f1", "rozkrást (v-w5671f1)")</f>
        <v>rozkrást (v-w5671f1)</v>
      </c>
    </row>
    <row r="41223" spans="1:4" x14ac:dyDescent="0.2">
      <c r="B41223" t="s">
        <v>1</v>
      </c>
    </row>
    <row r="41224" spans="1:4" x14ac:dyDescent="0.2">
      <c r="B41224" t="s">
        <v>8</v>
      </c>
    </row>
    <row r="41226" spans="1:4" x14ac:dyDescent="0.2">
      <c r="A41226" t="s">
        <v>13292</v>
      </c>
      <c r="B41226" t="str">
        <f>HYPERLINK("https://lindat.mff.cuni.cz/services/teitok/pdtc10/index.php?action=vallex&amp;frame=v-w5673f1", "rozkvést (v-w5673f1)")</f>
        <v>rozkvést (v-w5673f1)</v>
      </c>
    </row>
    <row r="41227" spans="1:4" x14ac:dyDescent="0.2">
      <c r="B41227" t="s">
        <v>1</v>
      </c>
      <c r="C41227" t="s">
        <v>430</v>
      </c>
    </row>
    <row r="41229" spans="1:4" x14ac:dyDescent="0.2">
      <c r="A41229" t="s">
        <v>13293</v>
      </c>
      <c r="B41229" t="str">
        <f>HYPERLINK("https://lindat.mff.cuni.cz/services/teitok/pdtc10/index.php?action=vallex&amp;frame=v-w5673f2", "rozkvést (v-w5673f2)")</f>
        <v>rozkvést (v-w5673f2)</v>
      </c>
    </row>
    <row r="41230" spans="1:4" x14ac:dyDescent="0.2">
      <c r="B41230" t="s">
        <v>1</v>
      </c>
      <c r="D41230" t="s">
        <v>23449</v>
      </c>
    </row>
    <row r="41232" spans="1:4" x14ac:dyDescent="0.2">
      <c r="A41232" t="s">
        <v>13294</v>
      </c>
      <c r="B41232" t="str">
        <f>HYPERLINK("https://lindat.mff.cuni.cz/services/teitok/pdtc10/index.php?action=vallex&amp;frame=v-w10740f2", "rozkvétat (v-w10740f2)")</f>
        <v>rozkvétat (v-w10740f2)</v>
      </c>
    </row>
    <row r="41233" spans="1:2" x14ac:dyDescent="0.2">
      <c r="B41233" t="s">
        <v>1</v>
      </c>
    </row>
    <row r="41235" spans="1:2" x14ac:dyDescent="0.2">
      <c r="A41235" t="s">
        <v>13295</v>
      </c>
      <c r="B41235" t="str">
        <f>HYPERLINK("https://lindat.mff.cuni.cz/services/teitok/pdtc10/index.php?action=vallex&amp;frame=v-w10562f2", "rozkázat (v-w10562f2)")</f>
        <v>rozkázat (v-w10562f2)</v>
      </c>
    </row>
    <row r="41236" spans="1:2" x14ac:dyDescent="0.2">
      <c r="B41236" t="s">
        <v>1</v>
      </c>
    </row>
    <row r="41237" spans="1:2" x14ac:dyDescent="0.2">
      <c r="B41237" t="s">
        <v>1339</v>
      </c>
    </row>
    <row r="41238" spans="1:2" x14ac:dyDescent="0.2">
      <c r="B41238" t="s">
        <v>35</v>
      </c>
    </row>
    <row r="41240" spans="1:2" x14ac:dyDescent="0.2">
      <c r="A41240" t="s">
        <v>13296</v>
      </c>
      <c r="B41240" t="str">
        <f>HYPERLINK("https://lindat.mff.cuni.cz/services/teitok/pdtc10/index.php?action=vallex&amp;frame=v-w12182_ZUf1_ZU", "rozkřiknout (v-w12182_ZUf1_ZU)")</f>
        <v>rozkřiknout (v-w12182_ZUf1_ZU)</v>
      </c>
    </row>
    <row r="41241" spans="1:2" x14ac:dyDescent="0.2">
      <c r="B41241" t="s">
        <v>1</v>
      </c>
    </row>
    <row r="41242" spans="1:2" x14ac:dyDescent="0.2">
      <c r="B41242" t="s">
        <v>269</v>
      </c>
    </row>
    <row r="41243" spans="1:2" x14ac:dyDescent="0.2">
      <c r="B41243" t="s">
        <v>1609</v>
      </c>
    </row>
    <row r="41245" spans="1:2" x14ac:dyDescent="0.2">
      <c r="A41245" t="s">
        <v>13297</v>
      </c>
      <c r="B41245" t="str">
        <f>HYPERLINK("https://lindat.mff.cuni.cz/services/teitok/pdtc10/index.php?action=vallex&amp;frame=v-w11703_ZUf1_ZU", "rozkřiknout se (v-w11703_ZUf1_ZU)")</f>
        <v>rozkřiknout se (v-w11703_ZUf1_ZU)</v>
      </c>
    </row>
    <row r="41246" spans="1:2" x14ac:dyDescent="0.2">
      <c r="B41246" t="s">
        <v>1</v>
      </c>
    </row>
    <row r="41247" spans="1:2" x14ac:dyDescent="0.2">
      <c r="B41247" t="s">
        <v>948</v>
      </c>
    </row>
    <row r="41248" spans="1:2" x14ac:dyDescent="0.2">
      <c r="B41248" t="s">
        <v>3527</v>
      </c>
    </row>
    <row r="41250" spans="1:4" x14ac:dyDescent="0.2">
      <c r="A41250" t="s">
        <v>13298</v>
      </c>
      <c r="B41250" t="str">
        <f>HYPERLINK("https://lindat.mff.cuni.cz/services/teitok/pdtc10/index.php?action=vallex&amp;frame=v-w5672f1", "rozkřičet (v-w5672f1)")</f>
        <v>rozkřičet (v-w5672f1)</v>
      </c>
    </row>
    <row r="41251" spans="1:4" x14ac:dyDescent="0.2">
      <c r="B41251" t="s">
        <v>1</v>
      </c>
    </row>
    <row r="41252" spans="1:4" x14ac:dyDescent="0.2">
      <c r="B41252" t="s">
        <v>8</v>
      </c>
    </row>
    <row r="41254" spans="1:4" x14ac:dyDescent="0.2">
      <c r="A41254" t="s">
        <v>13299</v>
      </c>
      <c r="B41254" t="str">
        <f>HYPERLINK("https://lindat.mff.cuni.cz/services/teitok/pdtc10/index.php?action=vallex&amp;frame=v-w5675f1", "rozladit (v-w5675f1)")</f>
        <v>rozladit (v-w5675f1)</v>
      </c>
    </row>
    <row r="41255" spans="1:4" x14ac:dyDescent="0.2">
      <c r="B41255" t="s">
        <v>1</v>
      </c>
      <c r="C41255" t="s">
        <v>83</v>
      </c>
      <c r="D41255" t="s">
        <v>337</v>
      </c>
    </row>
    <row r="41256" spans="1:4" x14ac:dyDescent="0.2">
      <c r="B41256" t="s">
        <v>8</v>
      </c>
      <c r="C41256" t="s">
        <v>1128</v>
      </c>
      <c r="D41256" t="s">
        <v>3433</v>
      </c>
    </row>
    <row r="41258" spans="1:4" x14ac:dyDescent="0.2">
      <c r="A41258" t="s">
        <v>13300</v>
      </c>
      <c r="B41258" t="str">
        <f>HYPERLINK("https://lindat.mff.cuni.cz/services/teitok/pdtc10/index.php?action=vallex&amp;frame=v-w5677f1", "rozlehnout se (v-w5677f1)")</f>
        <v>rozlehnout se (v-w5677f1)</v>
      </c>
    </row>
    <row r="41259" spans="1:4" x14ac:dyDescent="0.2">
      <c r="B41259" t="s">
        <v>1</v>
      </c>
    </row>
    <row r="41261" spans="1:4" x14ac:dyDescent="0.2">
      <c r="A41261" t="s">
        <v>13301</v>
      </c>
      <c r="B41261" t="str">
        <f>HYPERLINK("https://lindat.mff.cuni.cz/services/teitok/pdtc10/index.php?action=vallex&amp;frame=v-w5678f1", "rozlepit (v-w5678f1)")</f>
        <v>rozlepit (v-w5678f1)</v>
      </c>
    </row>
    <row r="41262" spans="1:4" x14ac:dyDescent="0.2">
      <c r="B41262" t="s">
        <v>1</v>
      </c>
      <c r="D41262" t="s">
        <v>140</v>
      </c>
    </row>
    <row r="41263" spans="1:4" x14ac:dyDescent="0.2">
      <c r="B41263" t="s">
        <v>8</v>
      </c>
      <c r="D41263" t="s">
        <v>84</v>
      </c>
    </row>
    <row r="41265" spans="1:4" x14ac:dyDescent="0.2">
      <c r="A41265" t="s">
        <v>13302</v>
      </c>
      <c r="B41265" t="str">
        <f>HYPERLINK("https://lindat.mff.cuni.cz/services/teitok/pdtc10/index.php?action=vallex&amp;frame=v-whsa_789hsa_790", "rozležet se (v-whsa_789hsa_790)")</f>
        <v>rozležet se (v-whsa_789hsa_790)</v>
      </c>
    </row>
    <row r="41266" spans="1:4" x14ac:dyDescent="0.2">
      <c r="B41266" t="s">
        <v>1</v>
      </c>
    </row>
    <row r="41268" spans="1:4" x14ac:dyDescent="0.2">
      <c r="A41268" t="s">
        <v>13303</v>
      </c>
      <c r="B41268" t="str">
        <f>HYPERLINK("https://lindat.mff.cuni.cz/services/teitok/pdtc10/index.php?action=vallex&amp;frame=v-w5680f2", "rozlišit (v-w5680f2)")</f>
        <v>rozlišit (v-w5680f2)</v>
      </c>
    </row>
    <row r="41269" spans="1:4" x14ac:dyDescent="0.2">
      <c r="B41269" t="s">
        <v>1</v>
      </c>
      <c r="D41269" t="s">
        <v>33</v>
      </c>
    </row>
    <row r="41270" spans="1:4" x14ac:dyDescent="0.2">
      <c r="B41270" t="s">
        <v>8</v>
      </c>
      <c r="C41270" t="s">
        <v>23</v>
      </c>
      <c r="D41270" t="s">
        <v>1109</v>
      </c>
    </row>
    <row r="41271" spans="1:4" x14ac:dyDescent="0.2">
      <c r="B41271" t="s">
        <v>1334</v>
      </c>
      <c r="D41271" t="s">
        <v>23655</v>
      </c>
    </row>
    <row r="41273" spans="1:4" x14ac:dyDescent="0.2">
      <c r="A41273" t="s">
        <v>13304</v>
      </c>
      <c r="B41273" t="str">
        <f>HYPERLINK("https://lindat.mff.cuni.cz/services/teitok/pdtc10/index.php?action=vallex&amp;frame=v-w5680f1", "rozlišit (v-w5680f1)")</f>
        <v>rozlišit (v-w5680f1)</v>
      </c>
    </row>
    <row r="41274" spans="1:4" x14ac:dyDescent="0.2">
      <c r="B41274" t="s">
        <v>1</v>
      </c>
    </row>
    <row r="41275" spans="1:4" x14ac:dyDescent="0.2">
      <c r="B41275" t="s">
        <v>11388</v>
      </c>
    </row>
    <row r="41277" spans="1:4" x14ac:dyDescent="0.2">
      <c r="A41277" t="s">
        <v>13305</v>
      </c>
      <c r="B41277" t="str">
        <f>HYPERLINK("https://lindat.mff.cuni.cz/services/teitok/pdtc10/index.php?action=vallex&amp;frame=v-w5681f1", "rozlišovat (v-w5681f1)")</f>
        <v>rozlišovat (v-w5681f1)</v>
      </c>
    </row>
    <row r="41278" spans="1:4" x14ac:dyDescent="0.2">
      <c r="B41278" t="s">
        <v>1</v>
      </c>
      <c r="C41278" t="s">
        <v>230</v>
      </c>
      <c r="D41278" t="s">
        <v>33</v>
      </c>
    </row>
    <row r="41279" spans="1:4" x14ac:dyDescent="0.2">
      <c r="B41279" t="s">
        <v>1333</v>
      </c>
      <c r="C41279" t="s">
        <v>4812</v>
      </c>
      <c r="D41279" t="s">
        <v>1109</v>
      </c>
    </row>
    <row r="41280" spans="1:4" x14ac:dyDescent="0.2">
      <c r="B41280" t="s">
        <v>1334</v>
      </c>
      <c r="C41280" t="s">
        <v>2079</v>
      </c>
      <c r="D41280" t="s">
        <v>23655</v>
      </c>
    </row>
    <row r="41282" spans="1:4" x14ac:dyDescent="0.2">
      <c r="A41282" t="s">
        <v>13306</v>
      </c>
      <c r="B41282" t="str">
        <f>HYPERLINK("https://lindat.mff.cuni.cz/services/teitok/pdtc10/index.php?action=vallex&amp;frame=v-w5681f2", "rozlišovat (v-w5681f2)")</f>
        <v>rozlišovat (v-w5681f2)</v>
      </c>
    </row>
    <row r="41283" spans="1:4" x14ac:dyDescent="0.2">
      <c r="B41283" t="s">
        <v>1</v>
      </c>
    </row>
    <row r="41284" spans="1:4" x14ac:dyDescent="0.2">
      <c r="B41284" t="s">
        <v>8</v>
      </c>
    </row>
    <row r="41285" spans="1:4" x14ac:dyDescent="0.2">
      <c r="B41285" t="s">
        <v>4283</v>
      </c>
    </row>
    <row r="41287" spans="1:4" x14ac:dyDescent="0.2">
      <c r="A41287" t="s">
        <v>13307</v>
      </c>
      <c r="B41287" t="str">
        <f>HYPERLINK("https://lindat.mff.cuni.cz/services/teitok/pdtc10/index.php?action=vallex&amp;frame=v-w12366_MMf1_MM", "rozloučit (v-w12366_MMf1_MM)")</f>
        <v>rozloučit (v-w12366_MMf1_MM)</v>
      </c>
    </row>
    <row r="41288" spans="1:4" x14ac:dyDescent="0.2">
      <c r="B41288" t="s">
        <v>1</v>
      </c>
    </row>
    <row r="41289" spans="1:4" x14ac:dyDescent="0.2">
      <c r="B41289" t="s">
        <v>8</v>
      </c>
    </row>
    <row r="41291" spans="1:4" x14ac:dyDescent="0.2">
      <c r="A41291" t="s">
        <v>13308</v>
      </c>
      <c r="B41291" t="str">
        <f>HYPERLINK("https://lindat.mff.cuni.cz/services/teitok/pdtc10/index.php?action=vallex&amp;frame=v-w5684f1", "rozloučit se (v-w5684f1)")</f>
        <v>rozloučit se (v-w5684f1)</v>
      </c>
    </row>
    <row r="41292" spans="1:4" x14ac:dyDescent="0.2">
      <c r="B41292" t="s">
        <v>1</v>
      </c>
    </row>
    <row r="41293" spans="1:4" x14ac:dyDescent="0.2">
      <c r="B41293" t="s">
        <v>411</v>
      </c>
    </row>
    <row r="41295" spans="1:4" x14ac:dyDescent="0.2">
      <c r="A41295" t="s">
        <v>13309</v>
      </c>
      <c r="B41295" t="str">
        <f>HYPERLINK("https://lindat.mff.cuni.cz/services/teitok/pdtc10/index.php?action=vallex&amp;frame=v-w5686f3", "rozložit (v-w5686f3)")</f>
        <v>rozložit (v-w5686f3)</v>
      </c>
    </row>
    <row r="41296" spans="1:4" x14ac:dyDescent="0.2">
      <c r="B41296" t="s">
        <v>1</v>
      </c>
      <c r="C41296" t="s">
        <v>13310</v>
      </c>
      <c r="D41296" t="s">
        <v>2106</v>
      </c>
    </row>
    <row r="41297" spans="1:4" x14ac:dyDescent="0.2">
      <c r="B41297" t="s">
        <v>8</v>
      </c>
      <c r="D41297" t="s">
        <v>5674</v>
      </c>
    </row>
    <row r="41298" spans="1:4" x14ac:dyDescent="0.2">
      <c r="B41298" t="s">
        <v>3035</v>
      </c>
      <c r="C41298" t="s">
        <v>12938</v>
      </c>
      <c r="D41298" t="s">
        <v>11069</v>
      </c>
    </row>
    <row r="41300" spans="1:4" x14ac:dyDescent="0.2">
      <c r="A41300" t="s">
        <v>13311</v>
      </c>
      <c r="B41300" t="str">
        <f>HYPERLINK("https://lindat.mff.cuni.cz/services/teitok/pdtc10/index.php?action=vallex&amp;frame=v-w5686f2", "rozložit (v-w5686f2)")</f>
        <v>rozložit (v-w5686f2)</v>
      </c>
    </row>
    <row r="41301" spans="1:4" x14ac:dyDescent="0.2">
      <c r="B41301" t="s">
        <v>1</v>
      </c>
    </row>
    <row r="41302" spans="1:4" x14ac:dyDescent="0.2">
      <c r="B41302" t="s">
        <v>8</v>
      </c>
    </row>
    <row r="41303" spans="1:4" x14ac:dyDescent="0.2">
      <c r="B41303" t="s">
        <v>61</v>
      </c>
    </row>
    <row r="41305" spans="1:4" x14ac:dyDescent="0.2">
      <c r="A41305" t="s">
        <v>13312</v>
      </c>
      <c r="B41305" t="str">
        <f>HYPERLINK("https://lindat.mff.cuni.cz/services/teitok/pdtc10/index.php?action=vallex&amp;frame=v-w5686f4", "rozložit (v-w5686f4)")</f>
        <v>rozložit (v-w5686f4)</v>
      </c>
    </row>
    <row r="41306" spans="1:4" x14ac:dyDescent="0.2">
      <c r="B41306" t="s">
        <v>1</v>
      </c>
      <c r="C41306" t="s">
        <v>967</v>
      </c>
      <c r="D41306" t="s">
        <v>3583</v>
      </c>
    </row>
    <row r="41307" spans="1:4" x14ac:dyDescent="0.2">
      <c r="B41307" t="s">
        <v>8</v>
      </c>
      <c r="C41307" t="s">
        <v>13313</v>
      </c>
      <c r="D41307" t="s">
        <v>2113</v>
      </c>
    </row>
    <row r="41308" spans="1:4" x14ac:dyDescent="0.2">
      <c r="B41308" t="s">
        <v>61</v>
      </c>
      <c r="D41308" t="s">
        <v>23395</v>
      </c>
    </row>
    <row r="41310" spans="1:4" x14ac:dyDescent="0.2">
      <c r="A41310" t="s">
        <v>13314</v>
      </c>
      <c r="B41310" t="str">
        <f>HYPERLINK("https://lindat.mff.cuni.cz/services/teitok/pdtc10/index.php?action=vallex&amp;frame=v-w5686f6", "rozložit (v-w5686f6)")</f>
        <v>rozložit (v-w5686f6)</v>
      </c>
    </row>
    <row r="41311" spans="1:4" x14ac:dyDescent="0.2">
      <c r="B41311" t="s">
        <v>1</v>
      </c>
    </row>
    <row r="41312" spans="1:4" x14ac:dyDescent="0.2">
      <c r="B41312" t="s">
        <v>8</v>
      </c>
    </row>
    <row r="41313" spans="1:2" x14ac:dyDescent="0.2">
      <c r="B41313" t="s">
        <v>13197</v>
      </c>
    </row>
    <row r="41315" spans="1:2" x14ac:dyDescent="0.2">
      <c r="A41315" t="s">
        <v>13314</v>
      </c>
      <c r="B41315" t="str">
        <f>HYPERLINK("https://lindat.mff.cuni.cz/services/teitok/pdtc10/index.php?action=vallex&amp;frame=v-w5686f1", "rozložit (v-w5686f1) - substituted with v-w5686f6")</f>
        <v>rozložit (v-w5686f1) - substituted with v-w5686f6</v>
      </c>
    </row>
    <row r="41316" spans="1:2" x14ac:dyDescent="0.2">
      <c r="B41316" t="s">
        <v>1</v>
      </c>
    </row>
    <row r="41317" spans="1:2" x14ac:dyDescent="0.2">
      <c r="B41317" t="s">
        <v>8</v>
      </c>
    </row>
    <row r="41318" spans="1:2" x14ac:dyDescent="0.2">
      <c r="B41318" t="s">
        <v>13197</v>
      </c>
    </row>
    <row r="41320" spans="1:2" x14ac:dyDescent="0.2">
      <c r="A41320" t="s">
        <v>13315</v>
      </c>
      <c r="B41320" t="str">
        <f>HYPERLINK("https://lindat.mff.cuni.cz/services/teitok/pdtc10/index.php?action=vallex&amp;frame=v-w5686f5", "rozložit (v-w5686f5)")</f>
        <v>rozložit (v-w5686f5)</v>
      </c>
    </row>
    <row r="41321" spans="1:2" x14ac:dyDescent="0.2">
      <c r="B41321" t="s">
        <v>1</v>
      </c>
    </row>
    <row r="41322" spans="1:2" x14ac:dyDescent="0.2">
      <c r="B41322" t="s">
        <v>8</v>
      </c>
    </row>
    <row r="41324" spans="1:2" x14ac:dyDescent="0.2">
      <c r="A41324" t="s">
        <v>13316</v>
      </c>
      <c r="B41324" t="str">
        <f>HYPERLINK("https://lindat.mff.cuni.cz/services/teitok/pdtc10/index.php?action=vallex&amp;frame=v-w5687f1", "rozložit se (v-w5687f1)")</f>
        <v>rozložit se (v-w5687f1)</v>
      </c>
    </row>
    <row r="41325" spans="1:2" x14ac:dyDescent="0.2">
      <c r="B41325" t="s">
        <v>1</v>
      </c>
    </row>
    <row r="41326" spans="1:2" x14ac:dyDescent="0.2">
      <c r="B41326" t="s">
        <v>5</v>
      </c>
    </row>
    <row r="41328" spans="1:2" x14ac:dyDescent="0.2">
      <c r="A41328" t="s">
        <v>13317</v>
      </c>
      <c r="B41328" t="str">
        <f>HYPERLINK("https://lindat.mff.cuni.cz/services/teitok/pdtc10/index.php?action=vallex&amp;frame=v-w5687f2_ZU", "rozložit se (v-w5687f2_ZU)")</f>
        <v>rozložit se (v-w5687f2_ZU)</v>
      </c>
    </row>
    <row r="41329" spans="1:4" x14ac:dyDescent="0.2">
      <c r="B41329" t="s">
        <v>1</v>
      </c>
      <c r="C41329" t="s">
        <v>186</v>
      </c>
      <c r="D41329" t="s">
        <v>186</v>
      </c>
    </row>
    <row r="41331" spans="1:4" x14ac:dyDescent="0.2">
      <c r="A41331" t="s">
        <v>13318</v>
      </c>
      <c r="B41331" t="str">
        <f>HYPERLINK("https://lindat.mff.cuni.cz/services/teitok/pdtc10/index.php?action=vallex&amp;frame=v-w11814_ZUf1_ZU", "rozlučovat (v-w11814_ZUf1_ZU)")</f>
        <v>rozlučovat (v-w11814_ZUf1_ZU)</v>
      </c>
    </row>
    <row r="41332" spans="1:4" x14ac:dyDescent="0.2">
      <c r="B41332" t="s">
        <v>1</v>
      </c>
    </row>
    <row r="41333" spans="1:4" x14ac:dyDescent="0.2">
      <c r="B41333" t="s">
        <v>8</v>
      </c>
    </row>
    <row r="41334" spans="1:4" x14ac:dyDescent="0.2">
      <c r="B41334" t="s">
        <v>321</v>
      </c>
    </row>
    <row r="41336" spans="1:4" x14ac:dyDescent="0.2">
      <c r="A41336" t="s">
        <v>13319</v>
      </c>
      <c r="B41336" t="str">
        <f>HYPERLINK("https://lindat.mff.cuni.cz/services/teitok/pdtc10/index.php?action=vallex&amp;frame=v-w5688f1", "rozluštit (v-w5688f1)")</f>
        <v>rozluštit (v-w5688f1)</v>
      </c>
    </row>
    <row r="41337" spans="1:4" x14ac:dyDescent="0.2">
      <c r="B41337" t="s">
        <v>1</v>
      </c>
    </row>
    <row r="41338" spans="1:4" x14ac:dyDescent="0.2">
      <c r="B41338" t="s">
        <v>1693</v>
      </c>
    </row>
    <row r="41340" spans="1:4" x14ac:dyDescent="0.2">
      <c r="A41340" t="s">
        <v>13320</v>
      </c>
      <c r="B41340" t="str">
        <f>HYPERLINK("https://lindat.mff.cuni.cz/services/teitok/pdtc10/index.php?action=vallex&amp;frame=v-w10626f2", "rozlámat (v-w10626f2)")</f>
        <v>rozlámat (v-w10626f2)</v>
      </c>
    </row>
    <row r="41341" spans="1:4" x14ac:dyDescent="0.2">
      <c r="B41341" t="s">
        <v>1</v>
      </c>
      <c r="C41341" t="s">
        <v>83</v>
      </c>
      <c r="D41341" t="s">
        <v>24119</v>
      </c>
    </row>
    <row r="41342" spans="1:4" x14ac:dyDescent="0.2">
      <c r="B41342" t="s">
        <v>8</v>
      </c>
      <c r="C41342" t="s">
        <v>1025</v>
      </c>
      <c r="D41342" t="s">
        <v>18382</v>
      </c>
    </row>
    <row r="41343" spans="1:4" x14ac:dyDescent="0.2">
      <c r="B41343" t="s">
        <v>3431</v>
      </c>
      <c r="D41343" t="s">
        <v>24120</v>
      </c>
    </row>
    <row r="41345" spans="1:3" x14ac:dyDescent="0.2">
      <c r="A41345" t="s">
        <v>13321</v>
      </c>
      <c r="B41345" t="str">
        <f>HYPERLINK("https://lindat.mff.cuni.cz/services/teitok/pdtc10/index.php?action=vallex&amp;frame=v-w5676f1", "rozléhat se (v-w5676f1)")</f>
        <v>rozléhat se (v-w5676f1)</v>
      </c>
    </row>
    <row r="41346" spans="1:3" x14ac:dyDescent="0.2">
      <c r="B41346" t="s">
        <v>1</v>
      </c>
      <c r="C41346" t="s">
        <v>186</v>
      </c>
    </row>
    <row r="41348" spans="1:3" x14ac:dyDescent="0.2">
      <c r="A41348" t="s">
        <v>13322</v>
      </c>
      <c r="B41348" t="str">
        <f>HYPERLINK("https://lindat.mff.cuni.cz/services/teitok/pdtc10/index.php?action=vallex&amp;frame=v-w11909_ZUf1_ZU", "rozlít si (v-w11909_ZUf1_ZU)")</f>
        <v>rozlít si (v-w11909_ZUf1_ZU)</v>
      </c>
    </row>
    <row r="41349" spans="1:3" x14ac:dyDescent="0.2">
      <c r="B41349" t="s">
        <v>1</v>
      </c>
    </row>
    <row r="41350" spans="1:3" x14ac:dyDescent="0.2">
      <c r="B41350" t="s">
        <v>390</v>
      </c>
    </row>
    <row r="41351" spans="1:3" x14ac:dyDescent="0.2">
      <c r="B41351" t="s">
        <v>13323</v>
      </c>
    </row>
    <row r="41353" spans="1:3" x14ac:dyDescent="0.2">
      <c r="A41353" t="s">
        <v>13324</v>
      </c>
      <c r="B41353" t="str">
        <f>HYPERLINK("https://lindat.mff.cuni.cz/services/teitok/pdtc10/index.php?action=vallex&amp;frame=v-w5682f1", "rozlítit (v-w5682f1)")</f>
        <v>rozlítit (v-w5682f1)</v>
      </c>
    </row>
    <row r="41354" spans="1:3" x14ac:dyDescent="0.2">
      <c r="B41354" t="s">
        <v>1</v>
      </c>
    </row>
    <row r="41355" spans="1:3" x14ac:dyDescent="0.2">
      <c r="B41355" t="s">
        <v>8</v>
      </c>
    </row>
    <row r="41357" spans="1:3" x14ac:dyDescent="0.2">
      <c r="A41357" t="s">
        <v>13325</v>
      </c>
      <c r="B41357" t="str">
        <f>HYPERLINK("https://lindat.mff.cuni.cz/services/teitok/pdtc10/index.php?action=vallex&amp;frame=v-w11687_ZUf1_ZU", "rozmachovat se (v-w11687_ZUf1_ZU)")</f>
        <v>rozmachovat se (v-w11687_ZUf1_ZU)</v>
      </c>
    </row>
    <row r="41358" spans="1:3" x14ac:dyDescent="0.2">
      <c r="B41358" t="s">
        <v>1</v>
      </c>
    </row>
    <row r="41360" spans="1:3" x14ac:dyDescent="0.2">
      <c r="A41360" t="s">
        <v>13326</v>
      </c>
      <c r="B41360" t="str">
        <f>HYPERLINK("https://lindat.mff.cuni.cz/services/teitok/pdtc10/index.php?action=vallex&amp;frame=v-whsa_1244f1_ZU", "rozmazlovat (v-whsa_1244f1_ZU)")</f>
        <v>rozmazlovat (v-whsa_1244f1_ZU)</v>
      </c>
    </row>
    <row r="41361" spans="1:3" x14ac:dyDescent="0.2">
      <c r="B41361" t="s">
        <v>1</v>
      </c>
      <c r="C41361" t="s">
        <v>140</v>
      </c>
    </row>
    <row r="41362" spans="1:3" x14ac:dyDescent="0.2">
      <c r="B41362" t="s">
        <v>8</v>
      </c>
      <c r="C41362" t="s">
        <v>113</v>
      </c>
    </row>
    <row r="41364" spans="1:3" x14ac:dyDescent="0.2">
      <c r="A41364" t="s">
        <v>13326</v>
      </c>
      <c r="B41364" t="str">
        <f>HYPERLINK("https://lindat.mff.cuni.cz/services/teitok/pdtc10/index.php?action=vallex&amp;frame=v-whsa_1244hsa_1245", "rozmazlovat (v-whsa_1244hsa_1245) - substituted with v-whsa_1244f1_ZU")</f>
        <v>rozmazlovat (v-whsa_1244hsa_1245) - substituted with v-whsa_1244f1_ZU</v>
      </c>
    </row>
    <row r="41365" spans="1:3" x14ac:dyDescent="0.2">
      <c r="B41365" t="s">
        <v>1</v>
      </c>
    </row>
    <row r="41366" spans="1:3" x14ac:dyDescent="0.2">
      <c r="B41366" t="s">
        <v>8</v>
      </c>
    </row>
    <row r="41368" spans="1:3" x14ac:dyDescent="0.2">
      <c r="A41368" t="s">
        <v>13327</v>
      </c>
      <c r="B41368" t="str">
        <f>HYPERLINK("https://lindat.mff.cuni.cz/services/teitok/pdtc10/index.php?action=vallex&amp;frame=v-w10385f2", "rozmazávat (v-w10385f2)")</f>
        <v>rozmazávat (v-w10385f2)</v>
      </c>
    </row>
    <row r="41369" spans="1:3" x14ac:dyDescent="0.2">
      <c r="B41369" t="s">
        <v>1</v>
      </c>
    </row>
    <row r="41370" spans="1:3" x14ac:dyDescent="0.2">
      <c r="B41370" t="s">
        <v>8</v>
      </c>
    </row>
    <row r="41372" spans="1:3" x14ac:dyDescent="0.2">
      <c r="A41372" t="s">
        <v>13328</v>
      </c>
      <c r="B41372" t="str">
        <f>HYPERLINK("https://lindat.mff.cuni.cz/services/teitok/pdtc10/index.php?action=vallex&amp;frame=v-w10057f2", "rozmačkat (v-w10057f2)")</f>
        <v>rozmačkat (v-w10057f2)</v>
      </c>
    </row>
    <row r="41373" spans="1:3" x14ac:dyDescent="0.2">
      <c r="B41373" t="s">
        <v>1</v>
      </c>
    </row>
    <row r="41374" spans="1:3" x14ac:dyDescent="0.2">
      <c r="B41374" t="s">
        <v>8</v>
      </c>
    </row>
    <row r="41375" spans="1:3" x14ac:dyDescent="0.2">
      <c r="B41375" t="s">
        <v>61</v>
      </c>
    </row>
    <row r="41377" spans="1:4" x14ac:dyDescent="0.2">
      <c r="A41377" t="s">
        <v>13329</v>
      </c>
      <c r="B41377" t="str">
        <f>HYPERLINK("https://lindat.mff.cuni.cz/services/teitok/pdtc10/index.php?action=vallex&amp;frame=v-w5695f1", "rozmetat (v-w5695f1)")</f>
        <v>rozmetat (v-w5695f1)</v>
      </c>
    </row>
    <row r="41378" spans="1:4" x14ac:dyDescent="0.2">
      <c r="B41378" t="s">
        <v>1</v>
      </c>
    </row>
    <row r="41379" spans="1:4" x14ac:dyDescent="0.2">
      <c r="B41379" t="s">
        <v>8</v>
      </c>
      <c r="C41379" t="s">
        <v>1128</v>
      </c>
    </row>
    <row r="41381" spans="1:4" x14ac:dyDescent="0.2">
      <c r="A41381" t="s">
        <v>13330</v>
      </c>
      <c r="B41381" t="str">
        <f>HYPERLINK("https://lindat.mff.cuni.cz/services/teitok/pdtc10/index.php?action=vallex&amp;frame=v-w5700f1", "rozmlouvat (v-w5700f1)")</f>
        <v>rozmlouvat (v-w5700f1)</v>
      </c>
    </row>
    <row r="41382" spans="1:4" x14ac:dyDescent="0.2">
      <c r="B41382" t="s">
        <v>1</v>
      </c>
    </row>
    <row r="41383" spans="1:4" x14ac:dyDescent="0.2">
      <c r="B41383" t="s">
        <v>183</v>
      </c>
    </row>
    <row r="41384" spans="1:4" x14ac:dyDescent="0.2">
      <c r="B41384" t="s">
        <v>153</v>
      </c>
    </row>
    <row r="41386" spans="1:4" x14ac:dyDescent="0.2">
      <c r="A41386" t="s">
        <v>13331</v>
      </c>
      <c r="B41386" t="str">
        <f>HYPERLINK("https://lindat.mff.cuni.cz/services/teitok/pdtc10/index.php?action=vallex&amp;frame=v-w5700hsa_1903", "rozmlouvat (v-w5700hsa_1903)")</f>
        <v>rozmlouvat (v-w5700hsa_1903)</v>
      </c>
    </row>
    <row r="41387" spans="1:4" x14ac:dyDescent="0.2">
      <c r="B41387" t="s">
        <v>1</v>
      </c>
    </row>
    <row r="41388" spans="1:4" x14ac:dyDescent="0.2">
      <c r="B41388" t="s">
        <v>8</v>
      </c>
    </row>
    <row r="41389" spans="1:4" x14ac:dyDescent="0.2">
      <c r="B41389" t="s">
        <v>35</v>
      </c>
    </row>
    <row r="41391" spans="1:4" x14ac:dyDescent="0.2">
      <c r="A41391" t="s">
        <v>13332</v>
      </c>
      <c r="B41391" t="str">
        <f>HYPERLINK("https://lindat.mff.cuni.cz/services/teitok/pdtc10/index.php?action=vallex&amp;frame=v-w11032f2", "rozmluvit (v-w11032f2)")</f>
        <v>rozmluvit (v-w11032f2)</v>
      </c>
    </row>
    <row r="41392" spans="1:4" x14ac:dyDescent="0.2">
      <c r="B41392" t="s">
        <v>1</v>
      </c>
      <c r="C41392" t="s">
        <v>140</v>
      </c>
      <c r="D41392" t="s">
        <v>140</v>
      </c>
    </row>
    <row r="41393" spans="1:4" x14ac:dyDescent="0.2">
      <c r="B41393" t="s">
        <v>8</v>
      </c>
      <c r="C41393" t="s">
        <v>7577</v>
      </c>
      <c r="D41393" t="s">
        <v>7577</v>
      </c>
    </row>
    <row r="41394" spans="1:4" x14ac:dyDescent="0.2">
      <c r="B41394" t="s">
        <v>35</v>
      </c>
      <c r="C41394" t="s">
        <v>4016</v>
      </c>
      <c r="D41394" t="s">
        <v>4016</v>
      </c>
    </row>
    <row r="41396" spans="1:4" x14ac:dyDescent="0.2">
      <c r="A41396" t="s">
        <v>13333</v>
      </c>
      <c r="B41396" t="str">
        <f>HYPERLINK("https://lindat.mff.cuni.cz/services/teitok/pdtc10/index.php?action=vallex&amp;frame=v-w12094_ZUf1_ZU", "rozmluvit se (v-w12094_ZUf1_ZU)")</f>
        <v>rozmluvit se (v-w12094_ZUf1_ZU)</v>
      </c>
    </row>
    <row r="41397" spans="1:4" x14ac:dyDescent="0.2">
      <c r="B41397" t="s">
        <v>1</v>
      </c>
    </row>
    <row r="41399" spans="1:4" x14ac:dyDescent="0.2">
      <c r="A41399" t="s">
        <v>13334</v>
      </c>
      <c r="B41399" t="str">
        <f>HYPERLINK("https://lindat.mff.cuni.cz/services/teitok/pdtc10/index.php?action=vallex&amp;frame=v-whsa_1316hsa_1317", "rozmlátit (v-whsa_1316hsa_1317)")</f>
        <v>rozmlátit (v-whsa_1316hsa_1317)</v>
      </c>
    </row>
    <row r="41400" spans="1:4" x14ac:dyDescent="0.2">
      <c r="B41400" t="s">
        <v>1</v>
      </c>
    </row>
    <row r="41401" spans="1:4" x14ac:dyDescent="0.2">
      <c r="B41401" t="s">
        <v>8</v>
      </c>
    </row>
    <row r="41402" spans="1:4" x14ac:dyDescent="0.2">
      <c r="B41402" t="s">
        <v>61</v>
      </c>
    </row>
    <row r="41404" spans="1:4" x14ac:dyDescent="0.2">
      <c r="A41404" t="s">
        <v>13335</v>
      </c>
      <c r="B41404" t="str">
        <f>HYPERLINK("https://lindat.mff.cuni.cz/services/teitok/pdtc10/index.php?action=vallex&amp;frame=v-w5702f1", "rozmnožit (v-w5702f1)")</f>
        <v>rozmnožit (v-w5702f1)</v>
      </c>
    </row>
    <row r="41405" spans="1:4" x14ac:dyDescent="0.2">
      <c r="B41405" t="s">
        <v>1</v>
      </c>
    </row>
    <row r="41406" spans="1:4" x14ac:dyDescent="0.2">
      <c r="B41406" t="s">
        <v>8</v>
      </c>
    </row>
    <row r="41407" spans="1:4" x14ac:dyDescent="0.2">
      <c r="B41407" t="s">
        <v>24</v>
      </c>
    </row>
    <row r="41408" spans="1:4" x14ac:dyDescent="0.2">
      <c r="B41408" t="s">
        <v>61</v>
      </c>
    </row>
    <row r="41410" spans="1:4" x14ac:dyDescent="0.2">
      <c r="A41410" t="s">
        <v>13336</v>
      </c>
      <c r="B41410" t="str">
        <f>HYPERLINK("https://lindat.mff.cuni.cz/services/teitok/pdtc10/index.php?action=vallex&amp;frame=v-w5702f2", "rozmnožit (v-w5702f2)")</f>
        <v>rozmnožit (v-w5702f2)</v>
      </c>
    </row>
    <row r="41411" spans="1:4" x14ac:dyDescent="0.2">
      <c r="B41411" t="s">
        <v>1</v>
      </c>
      <c r="D41411" t="s">
        <v>83</v>
      </c>
    </row>
    <row r="41412" spans="1:4" x14ac:dyDescent="0.2">
      <c r="B41412" t="s">
        <v>8</v>
      </c>
      <c r="D41412" t="s">
        <v>2240</v>
      </c>
    </row>
    <row r="41414" spans="1:4" x14ac:dyDescent="0.2">
      <c r="A41414" t="s">
        <v>13337</v>
      </c>
      <c r="B41414" t="str">
        <f>HYPERLINK("https://lindat.mff.cuni.cz/services/teitok/pdtc10/index.php?action=vallex&amp;frame=v-whsb_159hsa_160", "rozmnožit se (v-whsb_159hsa_160)")</f>
        <v>rozmnožit se (v-whsb_159hsa_160)</v>
      </c>
    </row>
    <row r="41415" spans="1:4" x14ac:dyDescent="0.2">
      <c r="B41415" t="s">
        <v>1</v>
      </c>
    </row>
    <row r="41417" spans="1:4" x14ac:dyDescent="0.2">
      <c r="A41417" t="s">
        <v>13338</v>
      </c>
      <c r="B41417" t="str">
        <f>HYPERLINK("https://lindat.mff.cuni.cz/services/teitok/pdtc10/index.php?action=vallex&amp;frame=v-w11805_ZUf1_ZU", "rozmnožovat (v-w11805_ZUf1_ZU)")</f>
        <v>rozmnožovat (v-w11805_ZUf1_ZU)</v>
      </c>
    </row>
    <row r="41418" spans="1:4" x14ac:dyDescent="0.2">
      <c r="B41418" t="s">
        <v>1</v>
      </c>
    </row>
    <row r="41419" spans="1:4" x14ac:dyDescent="0.2">
      <c r="B41419" t="s">
        <v>8</v>
      </c>
    </row>
    <row r="41421" spans="1:4" x14ac:dyDescent="0.2">
      <c r="A41421" t="s">
        <v>13339</v>
      </c>
      <c r="B41421" t="str">
        <f>HYPERLINK("https://lindat.mff.cuni.cz/services/teitok/pdtc10/index.php?action=vallex&amp;frame=v-w11576_ZUf1_ZU", "rozmoci se (v-w11576_ZUf1_ZU)")</f>
        <v>rozmoci se (v-w11576_ZUf1_ZU)</v>
      </c>
    </row>
    <row r="41422" spans="1:4" x14ac:dyDescent="0.2">
      <c r="B41422" t="s">
        <v>1</v>
      </c>
    </row>
    <row r="41424" spans="1:4" x14ac:dyDescent="0.2">
      <c r="A41424" t="s">
        <v>13340</v>
      </c>
      <c r="B41424" t="str">
        <f>HYPERLINK("https://lindat.mff.cuni.cz/services/teitok/pdtc10/index.php?action=vallex&amp;frame=v-w5703f1", "rozmotat (v-w5703f1)")</f>
        <v>rozmotat (v-w5703f1)</v>
      </c>
    </row>
    <row r="41425" spans="1:4" x14ac:dyDescent="0.2">
      <c r="B41425" t="s">
        <v>1</v>
      </c>
    </row>
    <row r="41426" spans="1:4" x14ac:dyDescent="0.2">
      <c r="B41426" t="s">
        <v>8</v>
      </c>
    </row>
    <row r="41428" spans="1:4" x14ac:dyDescent="0.2">
      <c r="A41428" t="s">
        <v>13341</v>
      </c>
      <c r="B41428" t="str">
        <f>HYPERLINK("https://lindat.mff.cuni.cz/services/teitok/pdtc10/index.php?action=vallex&amp;frame=v-whsa_1430hsa_1431", "rozmrazovat (v-whsa_1430hsa_1431)")</f>
        <v>rozmrazovat (v-whsa_1430hsa_1431)</v>
      </c>
    </row>
    <row r="41429" spans="1:4" x14ac:dyDescent="0.2">
      <c r="B41429" t="s">
        <v>1</v>
      </c>
    </row>
    <row r="41430" spans="1:4" x14ac:dyDescent="0.2">
      <c r="B41430" t="s">
        <v>8</v>
      </c>
    </row>
    <row r="41432" spans="1:4" x14ac:dyDescent="0.2">
      <c r="A41432" t="s">
        <v>13342</v>
      </c>
      <c r="B41432" t="str">
        <f>HYPERLINK("https://lindat.mff.cuni.cz/services/teitok/pdtc10/index.php?action=vallex&amp;frame=v-w5704f1", "rozmrznout (v-w5704f1)")</f>
        <v>rozmrznout (v-w5704f1)</v>
      </c>
    </row>
    <row r="41433" spans="1:4" x14ac:dyDescent="0.2">
      <c r="B41433" t="s">
        <v>1</v>
      </c>
    </row>
    <row r="41435" spans="1:4" x14ac:dyDescent="0.2">
      <c r="A41435" t="s">
        <v>13343</v>
      </c>
      <c r="B41435" t="str">
        <f>HYPERLINK("https://lindat.mff.cuni.cz/services/teitok/pdtc10/index.php?action=vallex&amp;frame=v-whsa_1202hsa_1203", "rozmyslet se (v-whsa_1202hsa_1203)")</f>
        <v>rozmyslet se (v-whsa_1202hsa_1203)</v>
      </c>
    </row>
    <row r="41436" spans="1:4" x14ac:dyDescent="0.2">
      <c r="B41436" t="s">
        <v>1</v>
      </c>
      <c r="C41436" t="s">
        <v>1805</v>
      </c>
      <c r="D41436" t="s">
        <v>2239</v>
      </c>
    </row>
    <row r="41438" spans="1:4" x14ac:dyDescent="0.2">
      <c r="A41438" t="s">
        <v>13344</v>
      </c>
      <c r="B41438" t="str">
        <f>HYPERLINK("https://lindat.mff.cuni.cz/services/teitok/pdtc10/index.php?action=vallex&amp;frame=v-w5705f1", "rozmyslet si (v-w5705f1)")</f>
        <v>rozmyslet si (v-w5705f1)</v>
      </c>
    </row>
    <row r="41439" spans="1:4" x14ac:dyDescent="0.2">
      <c r="B41439" t="s">
        <v>1</v>
      </c>
      <c r="C41439" t="s">
        <v>1805</v>
      </c>
      <c r="D41439" t="s">
        <v>23014</v>
      </c>
    </row>
    <row r="41440" spans="1:4" x14ac:dyDescent="0.2">
      <c r="B41440" t="s">
        <v>13345</v>
      </c>
      <c r="C41440" t="s">
        <v>9298</v>
      </c>
      <c r="D41440" t="s">
        <v>23015</v>
      </c>
    </row>
    <row r="41442" spans="1:4" x14ac:dyDescent="0.2">
      <c r="A41442" t="s">
        <v>13346</v>
      </c>
      <c r="B41442" t="str">
        <f>HYPERLINK("https://lindat.mff.cuni.cz/services/teitok/pdtc10/index.php?action=vallex&amp;frame=v-w5706f1", "rozmyslit si (v-w5706f1)")</f>
        <v>rozmyslit si (v-w5706f1)</v>
      </c>
    </row>
    <row r="41443" spans="1:4" x14ac:dyDescent="0.2">
      <c r="B41443" t="s">
        <v>1</v>
      </c>
      <c r="C41443" t="s">
        <v>6204</v>
      </c>
    </row>
    <row r="41444" spans="1:4" x14ac:dyDescent="0.2">
      <c r="B41444" t="s">
        <v>13345</v>
      </c>
    </row>
    <row r="41446" spans="1:4" x14ac:dyDescent="0.2">
      <c r="A41446" t="s">
        <v>13347</v>
      </c>
      <c r="B41446" t="str">
        <f>HYPERLINK("https://lindat.mff.cuni.cz/services/teitok/pdtc10/index.php?action=vallex&amp;frame=v-w11446f1", "rozmáchnout se (v-w11446f1)")</f>
        <v>rozmáchnout se (v-w11446f1)</v>
      </c>
    </row>
    <row r="41447" spans="1:4" x14ac:dyDescent="0.2">
      <c r="B41447" t="s">
        <v>1</v>
      </c>
    </row>
    <row r="41449" spans="1:4" x14ac:dyDescent="0.2">
      <c r="A41449" t="s">
        <v>13348</v>
      </c>
      <c r="B41449" t="str">
        <f>HYPERLINK("https://lindat.mff.cuni.cz/services/teitok/pdtc10/index.php?action=vallex&amp;frame=v-w5689f1", "rozmáhat se (v-w5689f1)")</f>
        <v>rozmáhat se (v-w5689f1)</v>
      </c>
    </row>
    <row r="41450" spans="1:4" x14ac:dyDescent="0.2">
      <c r="B41450" t="s">
        <v>1</v>
      </c>
    </row>
    <row r="41452" spans="1:4" x14ac:dyDescent="0.2">
      <c r="A41452" t="s">
        <v>13349</v>
      </c>
      <c r="B41452" t="str">
        <f>HYPERLINK("https://lindat.mff.cuni.cz/services/teitok/pdtc10/index.php?action=vallex&amp;frame=v-w5696f1", "rozmíchat (v-w5696f1)")</f>
        <v>rozmíchat (v-w5696f1)</v>
      </c>
    </row>
    <row r="41453" spans="1:4" x14ac:dyDescent="0.2">
      <c r="B41453" t="s">
        <v>1</v>
      </c>
      <c r="D41453" t="s">
        <v>23488</v>
      </c>
    </row>
    <row r="41454" spans="1:4" x14ac:dyDescent="0.2">
      <c r="B41454" t="s">
        <v>8</v>
      </c>
      <c r="D41454" t="s">
        <v>15821</v>
      </c>
    </row>
    <row r="41455" spans="1:4" x14ac:dyDescent="0.2">
      <c r="B41455" t="s">
        <v>24</v>
      </c>
      <c r="D41455" t="s">
        <v>7352</v>
      </c>
    </row>
    <row r="41457" spans="1:4" x14ac:dyDescent="0.2">
      <c r="A41457" t="s">
        <v>13350</v>
      </c>
      <c r="B41457" t="str">
        <f>HYPERLINK("https://lindat.mff.cuni.cz/services/teitok/pdtc10/index.php?action=vallex&amp;frame=v-w5697f1", "rozmístit (v-w5697f1)")</f>
        <v>rozmístit (v-w5697f1)</v>
      </c>
    </row>
    <row r="41458" spans="1:4" x14ac:dyDescent="0.2">
      <c r="B41458" t="s">
        <v>1</v>
      </c>
      <c r="C41458" t="s">
        <v>2118</v>
      </c>
      <c r="D41458" t="s">
        <v>23181</v>
      </c>
    </row>
    <row r="41459" spans="1:4" x14ac:dyDescent="0.2">
      <c r="B41459" t="s">
        <v>8</v>
      </c>
      <c r="C41459" t="s">
        <v>1109</v>
      </c>
      <c r="D41459" t="s">
        <v>23182</v>
      </c>
    </row>
    <row r="41460" spans="1:4" x14ac:dyDescent="0.2">
      <c r="B41460" t="s">
        <v>5</v>
      </c>
      <c r="D41460" t="s">
        <v>15735</v>
      </c>
    </row>
    <row r="41462" spans="1:4" x14ac:dyDescent="0.2">
      <c r="A41462" t="s">
        <v>13351</v>
      </c>
      <c r="B41462" t="str">
        <f>HYPERLINK("https://lindat.mff.cuni.cz/services/teitok/pdtc10/index.php?action=vallex&amp;frame=v-w5697f2", "rozmístit (v-w5697f2)")</f>
        <v>rozmístit (v-w5697f2)</v>
      </c>
    </row>
    <row r="41463" spans="1:4" x14ac:dyDescent="0.2">
      <c r="B41463" t="s">
        <v>1</v>
      </c>
      <c r="D41463" t="s">
        <v>23181</v>
      </c>
    </row>
    <row r="41464" spans="1:4" x14ac:dyDescent="0.2">
      <c r="B41464" t="s">
        <v>8</v>
      </c>
      <c r="D41464" t="s">
        <v>23182</v>
      </c>
    </row>
    <row r="41465" spans="1:4" x14ac:dyDescent="0.2">
      <c r="B41465" t="s">
        <v>90</v>
      </c>
      <c r="D41465" t="s">
        <v>11579</v>
      </c>
    </row>
    <row r="41467" spans="1:4" x14ac:dyDescent="0.2">
      <c r="A41467" t="s">
        <v>13352</v>
      </c>
      <c r="B41467" t="str">
        <f>HYPERLINK("https://lindat.mff.cuni.cz/services/teitok/pdtc10/index.php?action=vallex&amp;frame=v-w12072_ZUf1_ZU", "rozmístit se (v-w12072_ZUf1_ZU)")</f>
        <v>rozmístit se (v-w12072_ZUf1_ZU)</v>
      </c>
    </row>
    <row r="41468" spans="1:4" x14ac:dyDescent="0.2">
      <c r="B41468" t="s">
        <v>1</v>
      </c>
    </row>
    <row r="41470" spans="1:4" x14ac:dyDescent="0.2">
      <c r="A41470" t="s">
        <v>13353</v>
      </c>
      <c r="B41470" t="str">
        <f>HYPERLINK("https://lindat.mff.cuni.cz/services/teitok/pdtc10/index.php?action=vallex&amp;frame=v-w5699f1", "rozmísťovat (v-w5699f1)")</f>
        <v>rozmísťovat (v-w5699f1)</v>
      </c>
    </row>
    <row r="41471" spans="1:4" x14ac:dyDescent="0.2">
      <c r="B41471" t="s">
        <v>1</v>
      </c>
    </row>
    <row r="41472" spans="1:4" x14ac:dyDescent="0.2">
      <c r="B41472" t="s">
        <v>8</v>
      </c>
    </row>
    <row r="41473" spans="1:2" x14ac:dyDescent="0.2">
      <c r="B41473" t="s">
        <v>5</v>
      </c>
    </row>
    <row r="41475" spans="1:2" x14ac:dyDescent="0.2">
      <c r="A41475" t="s">
        <v>13354</v>
      </c>
      <c r="B41475" t="str">
        <f>HYPERLINK("https://lindat.mff.cuni.cz/services/teitok/pdtc10/index.php?action=vallex&amp;frame=v-w5699f2", "rozmísťovat (v-w5699f2)")</f>
        <v>rozmísťovat (v-w5699f2)</v>
      </c>
    </row>
    <row r="41476" spans="1:2" x14ac:dyDescent="0.2">
      <c r="B41476" t="s">
        <v>1</v>
      </c>
    </row>
    <row r="41477" spans="1:2" x14ac:dyDescent="0.2">
      <c r="B41477" t="s">
        <v>8</v>
      </c>
    </row>
    <row r="41478" spans="1:2" x14ac:dyDescent="0.2">
      <c r="B41478" t="s">
        <v>90</v>
      </c>
    </row>
    <row r="41480" spans="1:2" x14ac:dyDescent="0.2">
      <c r="A41480" t="s">
        <v>13355</v>
      </c>
      <c r="B41480" t="str">
        <f>HYPERLINK("https://lindat.mff.cuni.cz/services/teitok/pdtc10/index.php?action=vallex&amp;frame=v-w5707f1", "rozmýšlet (v-w5707f1)")</f>
        <v>rozmýšlet (v-w5707f1)</v>
      </c>
    </row>
    <row r="41481" spans="1:2" x14ac:dyDescent="0.2">
      <c r="B41481" t="s">
        <v>1</v>
      </c>
    </row>
    <row r="41482" spans="1:2" x14ac:dyDescent="0.2">
      <c r="B41482" t="s">
        <v>2469</v>
      </c>
    </row>
    <row r="41484" spans="1:2" x14ac:dyDescent="0.2">
      <c r="A41484" t="s">
        <v>13356</v>
      </c>
      <c r="B41484" t="str">
        <f>HYPERLINK("https://lindat.mff.cuni.cz/services/teitok/pdtc10/index.php?action=vallex&amp;frame=v-w5708f1", "rozmýšlet se (v-w5708f1)")</f>
        <v>rozmýšlet se (v-w5708f1)</v>
      </c>
    </row>
    <row r="41485" spans="1:2" x14ac:dyDescent="0.2">
      <c r="B41485" t="s">
        <v>1</v>
      </c>
    </row>
    <row r="41486" spans="1:2" x14ac:dyDescent="0.2">
      <c r="B41486" t="s">
        <v>13357</v>
      </c>
    </row>
    <row r="41488" spans="1:2" x14ac:dyDescent="0.2">
      <c r="A41488" t="s">
        <v>13358</v>
      </c>
      <c r="B41488" t="str">
        <f>HYPERLINK("https://lindat.mff.cuni.cz/services/teitok/pdtc10/index.php?action=vallex&amp;frame=v-w11577_ZUf1_ZU", "rozmýšlet si (v-w11577_ZUf1_ZU)")</f>
        <v>rozmýšlet si (v-w11577_ZUf1_ZU)</v>
      </c>
    </row>
    <row r="41489" spans="1:4" x14ac:dyDescent="0.2">
      <c r="B41489" t="s">
        <v>1</v>
      </c>
      <c r="D41489" t="s">
        <v>23014</v>
      </c>
    </row>
    <row r="41490" spans="1:4" x14ac:dyDescent="0.2">
      <c r="B41490" t="s">
        <v>13345</v>
      </c>
      <c r="D41490" t="s">
        <v>23015</v>
      </c>
    </row>
    <row r="41492" spans="1:4" x14ac:dyDescent="0.2">
      <c r="A41492" t="s">
        <v>13359</v>
      </c>
      <c r="B41492" t="str">
        <f>HYPERLINK("https://lindat.mff.cuni.cz/services/teitok/pdtc10/index.php?action=vallex&amp;frame=v-w5693f1", "rozmělňovat (v-w5693f1)")</f>
        <v>rozmělňovat (v-w5693f1)</v>
      </c>
    </row>
    <row r="41493" spans="1:4" x14ac:dyDescent="0.2">
      <c r="B41493" t="s">
        <v>1</v>
      </c>
      <c r="C41493" t="s">
        <v>140</v>
      </c>
      <c r="D41493" t="s">
        <v>3583</v>
      </c>
    </row>
    <row r="41494" spans="1:4" x14ac:dyDescent="0.2">
      <c r="B41494" t="s">
        <v>8</v>
      </c>
      <c r="C41494" t="s">
        <v>34</v>
      </c>
      <c r="D41494" t="s">
        <v>2113</v>
      </c>
    </row>
    <row r="41495" spans="1:4" x14ac:dyDescent="0.2">
      <c r="B41495" t="s">
        <v>61</v>
      </c>
      <c r="D41495" t="s">
        <v>23395</v>
      </c>
    </row>
    <row r="41497" spans="1:4" x14ac:dyDescent="0.2">
      <c r="A41497" t="s">
        <v>13360</v>
      </c>
      <c r="B41497" t="str">
        <f>HYPERLINK("https://lindat.mff.cuni.cz/services/teitok/pdtc10/index.php?action=vallex&amp;frame=v-w5694f1", "rozměnit (v-w5694f1)")</f>
        <v>rozměnit (v-w5694f1)</v>
      </c>
    </row>
    <row r="41498" spans="1:4" x14ac:dyDescent="0.2">
      <c r="B41498" t="s">
        <v>1</v>
      </c>
    </row>
    <row r="41499" spans="1:4" x14ac:dyDescent="0.2">
      <c r="B41499" t="s">
        <v>8</v>
      </c>
    </row>
    <row r="41500" spans="1:4" x14ac:dyDescent="0.2">
      <c r="B41500" t="s">
        <v>13361</v>
      </c>
    </row>
    <row r="41502" spans="1:4" x14ac:dyDescent="0.2">
      <c r="A41502" t="s">
        <v>13362</v>
      </c>
      <c r="B41502" t="str">
        <f>HYPERLINK("https://lindat.mff.cuni.cz/services/teitok/pdtc10/index.php?action=vallex&amp;frame=v-w11288f1", "roznásobovat (v-w11288f1)")</f>
        <v>roznásobovat (v-w11288f1)</v>
      </c>
    </row>
    <row r="41503" spans="1:4" x14ac:dyDescent="0.2">
      <c r="B41503" t="s">
        <v>1</v>
      </c>
    </row>
    <row r="41504" spans="1:4" x14ac:dyDescent="0.2">
      <c r="B41504" t="s">
        <v>8</v>
      </c>
    </row>
    <row r="41506" spans="1:2" x14ac:dyDescent="0.2">
      <c r="A41506" t="s">
        <v>13363</v>
      </c>
      <c r="B41506" t="str">
        <f>HYPERLINK("https://lindat.mff.cuni.cz/services/teitok/pdtc10/index.php?action=vallex&amp;frame=v-w5710f1", "roznášet (v-w5710f1)")</f>
        <v>roznášet (v-w5710f1)</v>
      </c>
    </row>
    <row r="41507" spans="1:2" x14ac:dyDescent="0.2">
      <c r="B41507" t="s">
        <v>1</v>
      </c>
    </row>
    <row r="41508" spans="1:2" x14ac:dyDescent="0.2">
      <c r="B41508" t="s">
        <v>8</v>
      </c>
    </row>
    <row r="41510" spans="1:2" x14ac:dyDescent="0.2">
      <c r="A41510" t="s">
        <v>13364</v>
      </c>
      <c r="B41510" t="str">
        <f>HYPERLINK("https://lindat.mff.cuni.cz/services/teitok/pdtc10/index.php?action=vallex&amp;frame=v-w5710f2", "roznášet (v-w5710f2)")</f>
        <v>roznášet (v-w5710f2)</v>
      </c>
    </row>
    <row r="41511" spans="1:2" x14ac:dyDescent="0.2">
      <c r="B41511" t="s">
        <v>1</v>
      </c>
    </row>
    <row r="41512" spans="1:2" x14ac:dyDescent="0.2">
      <c r="B41512" t="s">
        <v>4749</v>
      </c>
    </row>
    <row r="41513" spans="1:2" x14ac:dyDescent="0.2">
      <c r="B41513" t="s">
        <v>269</v>
      </c>
    </row>
    <row r="41515" spans="1:2" x14ac:dyDescent="0.2">
      <c r="A41515" t="s">
        <v>13365</v>
      </c>
      <c r="B41515" t="str">
        <f>HYPERLINK("https://lindat.mff.cuni.cz/services/teitok/pdtc10/index.php?action=vallex&amp;frame=v-w5710f4_ZU", "roznášet (v-w5710f4_ZU)")</f>
        <v>roznášet (v-w5710f4_ZU)</v>
      </c>
    </row>
    <row r="41516" spans="1:2" x14ac:dyDescent="0.2">
      <c r="B41516" t="s">
        <v>1</v>
      </c>
    </row>
    <row r="41517" spans="1:2" x14ac:dyDescent="0.2">
      <c r="B41517" t="s">
        <v>8</v>
      </c>
    </row>
    <row r="41519" spans="1:2" x14ac:dyDescent="0.2">
      <c r="A41519" t="s">
        <v>13365</v>
      </c>
      <c r="B41519" t="str">
        <f>HYPERLINK("https://lindat.mff.cuni.cz/services/teitok/pdtc10/index.php?action=vallex&amp;frame=v-w5710f3_ZU", "roznášet (v-w5710f3_ZU) - substituted with v-w5710f4_ZU")</f>
        <v>roznášet (v-w5710f3_ZU) - substituted with v-w5710f4_ZU</v>
      </c>
    </row>
    <row r="41520" spans="1:2" x14ac:dyDescent="0.2">
      <c r="B41520" t="s">
        <v>1</v>
      </c>
    </row>
    <row r="41521" spans="1:4" x14ac:dyDescent="0.2">
      <c r="B41521" t="s">
        <v>8</v>
      </c>
    </row>
    <row r="41523" spans="1:4" x14ac:dyDescent="0.2">
      <c r="A41523" t="s">
        <v>13366</v>
      </c>
      <c r="B41523" t="str">
        <f>HYPERLINK("https://lindat.mff.cuni.cz/services/teitok/pdtc10/index.php?action=vallex&amp;frame=v-w5712f1", "roznést (v-w5712f1)")</f>
        <v>roznést (v-w5712f1)</v>
      </c>
    </row>
    <row r="41524" spans="1:4" x14ac:dyDescent="0.2">
      <c r="B41524" t="s">
        <v>1</v>
      </c>
      <c r="D41524" t="s">
        <v>24139</v>
      </c>
    </row>
    <row r="41525" spans="1:4" x14ac:dyDescent="0.2">
      <c r="B41525" t="s">
        <v>8</v>
      </c>
      <c r="D41525" t="s">
        <v>19965</v>
      </c>
    </row>
    <row r="41527" spans="1:4" x14ac:dyDescent="0.2">
      <c r="A41527" t="s">
        <v>13367</v>
      </c>
      <c r="B41527" t="str">
        <f>HYPERLINK("https://lindat.mff.cuni.cz/services/teitok/pdtc10/index.php?action=vallex&amp;frame=v-w5712f2", "roznést (v-w5712f2)")</f>
        <v>roznést (v-w5712f2)</v>
      </c>
    </row>
    <row r="41528" spans="1:4" x14ac:dyDescent="0.2">
      <c r="B41528" t="s">
        <v>1</v>
      </c>
    </row>
    <row r="41529" spans="1:4" x14ac:dyDescent="0.2">
      <c r="B41529" t="s">
        <v>4749</v>
      </c>
    </row>
    <row r="41530" spans="1:4" x14ac:dyDescent="0.2">
      <c r="B41530" t="s">
        <v>269</v>
      </c>
    </row>
    <row r="41532" spans="1:4" x14ac:dyDescent="0.2">
      <c r="A41532" t="s">
        <v>13368</v>
      </c>
      <c r="B41532" t="str">
        <f>HYPERLINK("https://lindat.mff.cuni.cz/services/teitok/pdtc10/index.php?action=vallex&amp;frame=v-w5712f3_ZU", "roznést (v-w5712f3_ZU)")</f>
        <v>roznést (v-w5712f3_ZU)</v>
      </c>
    </row>
    <row r="41533" spans="1:4" x14ac:dyDescent="0.2">
      <c r="B41533" t="s">
        <v>1</v>
      </c>
    </row>
    <row r="41534" spans="1:4" x14ac:dyDescent="0.2">
      <c r="B41534" t="s">
        <v>13369</v>
      </c>
    </row>
    <row r="41535" spans="1:4" x14ac:dyDescent="0.2">
      <c r="B41535" t="s">
        <v>8</v>
      </c>
    </row>
    <row r="41537" spans="1:4" x14ac:dyDescent="0.2">
      <c r="A41537" t="s">
        <v>13370</v>
      </c>
      <c r="B41537" t="str">
        <f>HYPERLINK("https://lindat.mff.cuni.cz/services/teitok/pdtc10/index.php?action=vallex&amp;frame=v-w10438f3", "roznítit (v-w10438f3)")</f>
        <v>roznítit (v-w10438f3)</v>
      </c>
    </row>
    <row r="41538" spans="1:4" x14ac:dyDescent="0.2">
      <c r="B41538" t="s">
        <v>1</v>
      </c>
      <c r="C41538" t="s">
        <v>140</v>
      </c>
      <c r="D41538" t="s">
        <v>24140</v>
      </c>
    </row>
    <row r="41539" spans="1:4" x14ac:dyDescent="0.2">
      <c r="B41539" t="s">
        <v>8</v>
      </c>
      <c r="C41539" t="s">
        <v>84</v>
      </c>
      <c r="D41539" t="s">
        <v>24141</v>
      </c>
    </row>
    <row r="41541" spans="1:4" x14ac:dyDescent="0.2">
      <c r="A41541" t="s">
        <v>13371</v>
      </c>
      <c r="B41541" t="str">
        <f>HYPERLINK("https://lindat.mff.cuni.cz/services/teitok/pdtc10/index.php?action=vallex&amp;frame=v-w5711f1", "rozněcovat (v-w5711f1)")</f>
        <v>rozněcovat (v-w5711f1)</v>
      </c>
    </row>
    <row r="41542" spans="1:4" x14ac:dyDescent="0.2">
      <c r="B41542" t="s">
        <v>1</v>
      </c>
    </row>
    <row r="41543" spans="1:4" x14ac:dyDescent="0.2">
      <c r="B41543" t="s">
        <v>8</v>
      </c>
    </row>
    <row r="41545" spans="1:4" x14ac:dyDescent="0.2">
      <c r="A41545" t="s">
        <v>13372</v>
      </c>
      <c r="B41545" t="str">
        <f>HYPERLINK("https://lindat.mff.cuni.cz/services/teitok/pdtc10/index.php?action=vallex&amp;frame=v-w11744_ZUf1_ZU", "rozněžňovat (v-w11744_ZUf1_ZU)")</f>
        <v>rozněžňovat (v-w11744_ZUf1_ZU)</v>
      </c>
    </row>
    <row r="41546" spans="1:4" x14ac:dyDescent="0.2">
      <c r="B41546" t="s">
        <v>1</v>
      </c>
    </row>
    <row r="41547" spans="1:4" x14ac:dyDescent="0.2">
      <c r="B41547" t="s">
        <v>8</v>
      </c>
    </row>
    <row r="41549" spans="1:4" x14ac:dyDescent="0.2">
      <c r="A41549" t="s">
        <v>13373</v>
      </c>
      <c r="B41549" t="str">
        <f>HYPERLINK("https://lindat.mff.cuni.cz/services/teitok/pdtc10/index.php?action=vallex&amp;frame=v-w11241f1", "rozohnit se (v-w11241f1)")</f>
        <v>rozohnit se (v-w11241f1)</v>
      </c>
    </row>
    <row r="41550" spans="1:4" x14ac:dyDescent="0.2">
      <c r="B41550" t="s">
        <v>1</v>
      </c>
    </row>
    <row r="41551" spans="1:4" x14ac:dyDescent="0.2">
      <c r="B41551" t="s">
        <v>46</v>
      </c>
    </row>
    <row r="41553" spans="1:4" x14ac:dyDescent="0.2">
      <c r="A41553" t="s">
        <v>13374</v>
      </c>
      <c r="B41553" t="str">
        <f>HYPERLINK("https://lindat.mff.cuni.cz/services/teitok/pdtc10/index.php?action=vallex&amp;frame=v-w5716f1", "rozpadat se (v-w5716f1)")</f>
        <v>rozpadat se (v-w5716f1)</v>
      </c>
    </row>
    <row r="41554" spans="1:4" x14ac:dyDescent="0.2">
      <c r="B41554" t="s">
        <v>1</v>
      </c>
      <c r="C41554" t="s">
        <v>2458</v>
      </c>
      <c r="D41554" t="s">
        <v>23100</v>
      </c>
    </row>
    <row r="41555" spans="1:4" x14ac:dyDescent="0.2">
      <c r="B41555" t="s">
        <v>2336</v>
      </c>
      <c r="D41555" t="s">
        <v>21785</v>
      </c>
    </row>
    <row r="41557" spans="1:4" x14ac:dyDescent="0.2">
      <c r="A41557" t="s">
        <v>13375</v>
      </c>
      <c r="B41557" t="str">
        <f>HYPERLINK("https://lindat.mff.cuni.cz/services/teitok/pdtc10/index.php?action=vallex&amp;frame=v-w5716f2_ZU", "rozpadat se (v-w5716f2_ZU)")</f>
        <v>rozpadat se (v-w5716f2_ZU)</v>
      </c>
    </row>
    <row r="41558" spans="1:4" x14ac:dyDescent="0.2">
      <c r="B41558" t="s">
        <v>1</v>
      </c>
    </row>
    <row r="41560" spans="1:4" x14ac:dyDescent="0.2">
      <c r="A41560" t="s">
        <v>13376</v>
      </c>
      <c r="B41560" t="str">
        <f>HYPERLINK("https://lindat.mff.cuni.cz/services/teitok/pdtc10/index.php?action=vallex&amp;frame=v-w5717f2", "rozpadnout se (v-w5717f2)")</f>
        <v>rozpadnout se (v-w5717f2)</v>
      </c>
    </row>
    <row r="41561" spans="1:4" x14ac:dyDescent="0.2">
      <c r="B41561" t="s">
        <v>1</v>
      </c>
      <c r="C41561" t="s">
        <v>1168</v>
      </c>
      <c r="D41561" t="s">
        <v>23100</v>
      </c>
    </row>
    <row r="41562" spans="1:4" x14ac:dyDescent="0.2">
      <c r="B41562" t="s">
        <v>2336</v>
      </c>
      <c r="C41562" t="s">
        <v>299</v>
      </c>
      <c r="D41562" t="s">
        <v>21785</v>
      </c>
    </row>
    <row r="41564" spans="1:4" x14ac:dyDescent="0.2">
      <c r="A41564" t="s">
        <v>13377</v>
      </c>
      <c r="B41564" t="str">
        <f>HYPERLINK("https://lindat.mff.cuni.cz/services/teitok/pdtc10/index.php?action=vallex&amp;frame=v-w5717f1", "rozpadnout se (v-w5717f1)")</f>
        <v>rozpadnout se (v-w5717f1)</v>
      </c>
    </row>
    <row r="41565" spans="1:4" x14ac:dyDescent="0.2">
      <c r="B41565" t="s">
        <v>1</v>
      </c>
      <c r="C41565" t="s">
        <v>566</v>
      </c>
      <c r="D41565" t="s">
        <v>23324</v>
      </c>
    </row>
    <row r="41567" spans="1:4" x14ac:dyDescent="0.2">
      <c r="A41567" t="s">
        <v>13378</v>
      </c>
      <c r="B41567" t="str">
        <f>HYPERLINK("https://lindat.mff.cuni.cz/services/teitok/pdtc10/index.php?action=vallex&amp;frame=v-w5718f1", "rozpakovat se (v-w5718f1)")</f>
        <v>rozpakovat se (v-w5718f1)</v>
      </c>
    </row>
    <row r="41568" spans="1:4" x14ac:dyDescent="0.2">
      <c r="B41568" t="s">
        <v>1</v>
      </c>
      <c r="C41568" t="s">
        <v>2239</v>
      </c>
      <c r="D41568" t="s">
        <v>12315</v>
      </c>
    </row>
    <row r="41569" spans="1:4" x14ac:dyDescent="0.2">
      <c r="B41569" t="s">
        <v>8076</v>
      </c>
      <c r="C41569" t="s">
        <v>1044</v>
      </c>
      <c r="D41569" t="s">
        <v>17315</v>
      </c>
    </row>
    <row r="41571" spans="1:4" x14ac:dyDescent="0.2">
      <c r="A41571" t="s">
        <v>13379</v>
      </c>
      <c r="B41571" t="str">
        <f>HYPERLINK("https://lindat.mff.cuni.cz/services/teitok/pdtc10/index.php?action=vallex&amp;frame=v-w5720f1", "rozpalovat (v-w5720f1)")</f>
        <v>rozpalovat (v-w5720f1)</v>
      </c>
    </row>
    <row r="41572" spans="1:4" x14ac:dyDescent="0.2">
      <c r="B41572" t="s">
        <v>1</v>
      </c>
    </row>
    <row r="41573" spans="1:4" x14ac:dyDescent="0.2">
      <c r="B41573" t="s">
        <v>8</v>
      </c>
    </row>
    <row r="41575" spans="1:4" x14ac:dyDescent="0.2">
      <c r="A41575" t="s">
        <v>13380</v>
      </c>
      <c r="B41575" t="str">
        <f>HYPERLINK("https://lindat.mff.cuni.cz/services/teitok/pdtc10/index.php?action=vallex&amp;frame=v-w5720hsa_586", "rozpalovat (v-w5720hsa_586)")</f>
        <v>rozpalovat (v-w5720hsa_586)</v>
      </c>
    </row>
    <row r="41576" spans="1:4" x14ac:dyDescent="0.2">
      <c r="B41576" t="s">
        <v>1</v>
      </c>
    </row>
    <row r="41577" spans="1:4" x14ac:dyDescent="0.2">
      <c r="B41577" t="s">
        <v>8</v>
      </c>
    </row>
    <row r="41579" spans="1:4" x14ac:dyDescent="0.2">
      <c r="A41579" t="s">
        <v>13381</v>
      </c>
      <c r="B41579" t="str">
        <f>HYPERLINK("https://lindat.mff.cuni.cz/services/teitok/pdtc10/index.php?action=vallex&amp;frame=v-w12154_ZUf1_ZU", "rozpažovat (v-w12154_ZUf1_ZU)")</f>
        <v>rozpažovat (v-w12154_ZUf1_ZU)</v>
      </c>
    </row>
    <row r="41580" spans="1:4" x14ac:dyDescent="0.2">
      <c r="B41580" t="s">
        <v>1</v>
      </c>
    </row>
    <row r="41581" spans="1:4" x14ac:dyDescent="0.2">
      <c r="B41581" t="s">
        <v>1532</v>
      </c>
    </row>
    <row r="41583" spans="1:4" x14ac:dyDescent="0.2">
      <c r="A41583" t="s">
        <v>13382</v>
      </c>
      <c r="B41583" t="str">
        <f>HYPERLINK("https://lindat.mff.cuni.cz/services/teitok/pdtc10/index.php?action=vallex&amp;frame=v-w10747f2", "rozpitvávat (v-w10747f2)")</f>
        <v>rozpitvávat (v-w10747f2)</v>
      </c>
    </row>
    <row r="41584" spans="1:4" x14ac:dyDescent="0.2">
      <c r="B41584" t="s">
        <v>1</v>
      </c>
    </row>
    <row r="41585" spans="1:4" x14ac:dyDescent="0.2">
      <c r="B41585" t="s">
        <v>8</v>
      </c>
    </row>
    <row r="41587" spans="1:4" x14ac:dyDescent="0.2">
      <c r="A41587" t="s">
        <v>13383</v>
      </c>
      <c r="B41587" t="str">
        <f>HYPERLINK("https://lindat.mff.cuni.cz/services/teitok/pdtc10/index.php?action=vallex&amp;frame=v-w5725f1", "rozplakat (v-w5725f1)")</f>
        <v>rozplakat (v-w5725f1)</v>
      </c>
    </row>
    <row r="41588" spans="1:4" x14ac:dyDescent="0.2">
      <c r="B41588" t="s">
        <v>1</v>
      </c>
      <c r="D41588" t="s">
        <v>13402</v>
      </c>
    </row>
    <row r="41589" spans="1:4" x14ac:dyDescent="0.2">
      <c r="B41589" t="s">
        <v>8</v>
      </c>
      <c r="D41589" t="s">
        <v>54</v>
      </c>
    </row>
    <row r="41591" spans="1:4" x14ac:dyDescent="0.2">
      <c r="A41591" t="s">
        <v>13384</v>
      </c>
      <c r="B41591" t="str">
        <f>HYPERLINK("https://lindat.mff.cuni.cz/services/teitok/pdtc10/index.php?action=vallex&amp;frame=v-w11398f1", "rozplakat se (v-w11398f1)")</f>
        <v>rozplakat se (v-w11398f1)</v>
      </c>
    </row>
    <row r="41592" spans="1:4" x14ac:dyDescent="0.2">
      <c r="B41592" t="s">
        <v>1</v>
      </c>
      <c r="C41592" t="s">
        <v>2698</v>
      </c>
      <c r="D41592" t="s">
        <v>23719</v>
      </c>
    </row>
    <row r="41594" spans="1:4" x14ac:dyDescent="0.2">
      <c r="A41594" t="s">
        <v>13385</v>
      </c>
      <c r="B41594" t="str">
        <f>HYPERLINK("https://lindat.mff.cuni.cz/services/teitok/pdtc10/index.php?action=vallex&amp;frame=v-whsa_1048hsa_1049", "rozplakávat (v-whsa_1048hsa_1049)")</f>
        <v>rozplakávat (v-whsa_1048hsa_1049)</v>
      </c>
    </row>
    <row r="41595" spans="1:4" x14ac:dyDescent="0.2">
      <c r="B41595" t="s">
        <v>1</v>
      </c>
    </row>
    <row r="41596" spans="1:4" x14ac:dyDescent="0.2">
      <c r="B41596" t="s">
        <v>8</v>
      </c>
    </row>
    <row r="41598" spans="1:4" x14ac:dyDescent="0.2">
      <c r="A41598" t="s">
        <v>13386</v>
      </c>
      <c r="B41598" t="str">
        <f>HYPERLINK("https://lindat.mff.cuni.cz/services/teitok/pdtc10/index.php?action=vallex&amp;frame=v-w5726f1", "rozplynout se (v-w5726f1)")</f>
        <v>rozplynout se (v-w5726f1)</v>
      </c>
    </row>
    <row r="41599" spans="1:4" x14ac:dyDescent="0.2">
      <c r="B41599" t="s">
        <v>1</v>
      </c>
      <c r="C41599" t="s">
        <v>13387</v>
      </c>
    </row>
    <row r="41601" spans="1:4" x14ac:dyDescent="0.2">
      <c r="A41601" t="s">
        <v>13388</v>
      </c>
      <c r="B41601" t="str">
        <f>HYPERLINK("https://lindat.mff.cuni.cz/services/teitok/pdtc10/index.php?action=vallex&amp;frame=v-w10189f2", "rozplácnout (v-w10189f2)")</f>
        <v>rozplácnout (v-w10189f2)</v>
      </c>
    </row>
    <row r="41602" spans="1:4" x14ac:dyDescent="0.2">
      <c r="B41602" t="s">
        <v>1</v>
      </c>
    </row>
    <row r="41603" spans="1:4" x14ac:dyDescent="0.2">
      <c r="B41603" t="s">
        <v>8</v>
      </c>
      <c r="C41603" t="s">
        <v>113</v>
      </c>
      <c r="D41603" t="s">
        <v>113</v>
      </c>
    </row>
    <row r="41605" spans="1:4" x14ac:dyDescent="0.2">
      <c r="A41605" t="s">
        <v>13389</v>
      </c>
      <c r="B41605" t="str">
        <f>HYPERLINK("https://lindat.mff.cuni.cz/services/teitok/pdtc10/index.php?action=vallex&amp;frame=v-w10419f2", "rozplést (v-w10419f2)")</f>
        <v>rozplést (v-w10419f2)</v>
      </c>
    </row>
    <row r="41606" spans="1:4" x14ac:dyDescent="0.2">
      <c r="B41606" t="s">
        <v>1</v>
      </c>
      <c r="C41606" t="s">
        <v>133</v>
      </c>
    </row>
    <row r="41607" spans="1:4" x14ac:dyDescent="0.2">
      <c r="B41607" t="s">
        <v>8</v>
      </c>
      <c r="C41607" t="s">
        <v>991</v>
      </c>
    </row>
    <row r="41609" spans="1:4" x14ac:dyDescent="0.2">
      <c r="A41609" t="s">
        <v>13390</v>
      </c>
      <c r="B41609" t="str">
        <f>HYPERLINK("https://lindat.mff.cuni.cz/services/teitok/pdtc10/index.php?action=vallex&amp;frame=v-w11578_ZUf2_ZU", "rozplétat (v-w11578_ZUf2_ZU)")</f>
        <v>rozplétat (v-w11578_ZUf2_ZU)</v>
      </c>
    </row>
    <row r="41610" spans="1:4" x14ac:dyDescent="0.2">
      <c r="B41610" t="s">
        <v>1</v>
      </c>
      <c r="C41610" t="s">
        <v>4011</v>
      </c>
    </row>
    <row r="41611" spans="1:4" x14ac:dyDescent="0.2">
      <c r="B41611" t="s">
        <v>13391</v>
      </c>
    </row>
    <row r="41613" spans="1:4" x14ac:dyDescent="0.2">
      <c r="A41613" t="s">
        <v>13390</v>
      </c>
      <c r="B41613" t="str">
        <f>HYPERLINK("https://lindat.mff.cuni.cz/services/teitok/pdtc10/index.php?action=vallex&amp;frame=v-w11578_ZUf1_ZU", "rozplétat (v-w11578_ZUf1_ZU) - substituted with v-w11578_ZUf2_ZU")</f>
        <v>rozplétat (v-w11578_ZUf1_ZU) - substituted with v-w11578_ZUf2_ZU</v>
      </c>
    </row>
    <row r="41614" spans="1:4" x14ac:dyDescent="0.2">
      <c r="B41614" t="s">
        <v>1</v>
      </c>
    </row>
    <row r="41615" spans="1:4" x14ac:dyDescent="0.2">
      <c r="B41615" t="s">
        <v>13391</v>
      </c>
    </row>
    <row r="41617" spans="1:4" x14ac:dyDescent="0.2">
      <c r="A41617" t="s">
        <v>13392</v>
      </c>
      <c r="B41617" t="str">
        <f>HYPERLINK("https://lindat.mff.cuni.cz/services/teitok/pdtc10/index.php?action=vallex&amp;frame=v-w5727f1", "rozplývat se (v-w5727f1)")</f>
        <v>rozplývat se (v-w5727f1)</v>
      </c>
    </row>
    <row r="41618" spans="1:4" x14ac:dyDescent="0.2">
      <c r="B41618" t="s">
        <v>1</v>
      </c>
    </row>
    <row r="41620" spans="1:4" x14ac:dyDescent="0.2">
      <c r="A41620" t="s">
        <v>13393</v>
      </c>
      <c r="B41620" t="str">
        <f>HYPERLINK("https://lindat.mff.cuni.cz/services/teitok/pdtc10/index.php?action=vallex&amp;frame=v-w5727f2", "rozplývat se (v-w5727f2)")</f>
        <v>rozplývat se (v-w5727f2)</v>
      </c>
    </row>
    <row r="41621" spans="1:4" x14ac:dyDescent="0.2">
      <c r="B41621" t="s">
        <v>1</v>
      </c>
      <c r="C41621" t="s">
        <v>33</v>
      </c>
      <c r="D41621" t="s">
        <v>33</v>
      </c>
    </row>
    <row r="41623" spans="1:4" x14ac:dyDescent="0.2">
      <c r="A41623" t="s">
        <v>13394</v>
      </c>
      <c r="B41623" t="str">
        <f>HYPERLINK("https://lindat.mff.cuni.cz/services/teitok/pdtc10/index.php?action=vallex&amp;frame=v-w11415f1", "rozpojit se (v-w11415f1)")</f>
        <v>rozpojit se (v-w11415f1)</v>
      </c>
    </row>
    <row r="41624" spans="1:4" x14ac:dyDescent="0.2">
      <c r="B41624" t="s">
        <v>1</v>
      </c>
    </row>
    <row r="41625" spans="1:4" x14ac:dyDescent="0.2">
      <c r="B41625" t="s">
        <v>19</v>
      </c>
    </row>
    <row r="41627" spans="1:4" x14ac:dyDescent="0.2">
      <c r="A41627" t="s">
        <v>13395</v>
      </c>
      <c r="B41627" t="str">
        <f>HYPERLINK("https://lindat.mff.cuni.cz/services/teitok/pdtc10/index.php?action=vallex&amp;frame=v-w10056f2", "rozpoltit (v-w10056f2)")</f>
        <v>rozpoltit (v-w10056f2)</v>
      </c>
    </row>
    <row r="41628" spans="1:4" x14ac:dyDescent="0.2">
      <c r="B41628" t="s">
        <v>1</v>
      </c>
    </row>
    <row r="41629" spans="1:4" x14ac:dyDescent="0.2">
      <c r="B41629" t="s">
        <v>8</v>
      </c>
    </row>
    <row r="41630" spans="1:4" x14ac:dyDescent="0.2">
      <c r="B41630" t="s">
        <v>4283</v>
      </c>
    </row>
    <row r="41632" spans="1:4" x14ac:dyDescent="0.2">
      <c r="A41632" t="s">
        <v>13396</v>
      </c>
      <c r="B41632" t="str">
        <f>HYPERLINK("https://lindat.mff.cuni.cz/services/teitok/pdtc10/index.php?action=vallex&amp;frame=v-w5733f1", "rozpomínat se (v-w5733f1)")</f>
        <v>rozpomínat se (v-w5733f1)</v>
      </c>
    </row>
    <row r="41633" spans="1:4" x14ac:dyDescent="0.2">
      <c r="B41633" t="s">
        <v>1</v>
      </c>
    </row>
    <row r="41634" spans="1:4" x14ac:dyDescent="0.2">
      <c r="B41634" t="s">
        <v>13397</v>
      </c>
    </row>
    <row r="41636" spans="1:4" x14ac:dyDescent="0.2">
      <c r="A41636" t="s">
        <v>13398</v>
      </c>
      <c r="B41636" t="str">
        <f>HYPERLINK("https://lindat.mff.cuni.cz/services/teitok/pdtc10/index.php?action=vallex&amp;frame=v-whsa_848f1_ZU", "rozporcovat (v-whsa_848f1_ZU)")</f>
        <v>rozporcovat (v-whsa_848f1_ZU)</v>
      </c>
    </row>
    <row r="41637" spans="1:4" x14ac:dyDescent="0.2">
      <c r="B41637" t="s">
        <v>1</v>
      </c>
      <c r="D41637" t="s">
        <v>1275</v>
      </c>
    </row>
    <row r="41638" spans="1:4" x14ac:dyDescent="0.2">
      <c r="B41638" t="s">
        <v>8</v>
      </c>
      <c r="D41638" t="s">
        <v>14591</v>
      </c>
    </row>
    <row r="41639" spans="1:4" x14ac:dyDescent="0.2">
      <c r="B41639" t="s">
        <v>61</v>
      </c>
      <c r="D41639" t="s">
        <v>24132</v>
      </c>
    </row>
    <row r="41641" spans="1:4" x14ac:dyDescent="0.2">
      <c r="A41641" t="s">
        <v>13398</v>
      </c>
      <c r="B41641" t="str">
        <f>HYPERLINK("https://lindat.mff.cuni.cz/services/teitok/pdtc10/index.php?action=vallex&amp;frame=v-whsa_848hsa_849", "rozporcovat (v-whsa_848hsa_849) - substituted with v-whsa_848f1_ZU")</f>
        <v>rozporcovat (v-whsa_848hsa_849) - substituted with v-whsa_848f1_ZU</v>
      </c>
    </row>
    <row r="41642" spans="1:4" x14ac:dyDescent="0.2">
      <c r="B41642" t="s">
        <v>1</v>
      </c>
    </row>
    <row r="41643" spans="1:4" x14ac:dyDescent="0.2">
      <c r="B41643" t="s">
        <v>8</v>
      </c>
    </row>
    <row r="41644" spans="1:4" x14ac:dyDescent="0.2">
      <c r="B41644" t="s">
        <v>61</v>
      </c>
    </row>
    <row r="41646" spans="1:4" x14ac:dyDescent="0.2">
      <c r="A41646" t="s">
        <v>13399</v>
      </c>
      <c r="B41646" t="str">
        <f>HYPERLINK("https://lindat.mff.cuni.cz/services/teitok/pdtc10/index.php?action=vallex&amp;frame=v-w5739f1", "rozpoutat (v-w5739f1)")</f>
        <v>rozpoutat (v-w5739f1)</v>
      </c>
    </row>
    <row r="41647" spans="1:4" x14ac:dyDescent="0.2">
      <c r="B41647" t="s">
        <v>1</v>
      </c>
      <c r="C41647" t="s">
        <v>92</v>
      </c>
      <c r="D41647" t="s">
        <v>22950</v>
      </c>
    </row>
    <row r="41648" spans="1:4" x14ac:dyDescent="0.2">
      <c r="B41648" t="s">
        <v>8</v>
      </c>
      <c r="C41648" t="s">
        <v>4676</v>
      </c>
      <c r="D41648" t="s">
        <v>22951</v>
      </c>
    </row>
    <row r="41650" spans="1:4" x14ac:dyDescent="0.2">
      <c r="A41650" t="s">
        <v>13400</v>
      </c>
      <c r="B41650" t="str">
        <f>HYPERLINK("https://lindat.mff.cuni.cz/services/teitok/pdtc10/index.php?action=vallex&amp;frame=v-w5740f1", "rozpoutat se (v-w5740f1)")</f>
        <v>rozpoutat se (v-w5740f1)</v>
      </c>
    </row>
    <row r="41651" spans="1:4" x14ac:dyDescent="0.2">
      <c r="B41651" t="s">
        <v>1</v>
      </c>
      <c r="C41651" t="s">
        <v>147</v>
      </c>
      <c r="D41651" t="s">
        <v>22988</v>
      </c>
    </row>
    <row r="41653" spans="1:4" x14ac:dyDescent="0.2">
      <c r="A41653" t="s">
        <v>13401</v>
      </c>
      <c r="B41653" t="str">
        <f>HYPERLINK("https://lindat.mff.cuni.cz/services/teitok/pdtc10/index.php?action=vallex&amp;frame=v-whsa_918hsa_919", "rozpoutávat (v-whsa_918hsa_919)")</f>
        <v>rozpoutávat (v-whsa_918hsa_919)</v>
      </c>
    </row>
    <row r="41654" spans="1:4" x14ac:dyDescent="0.2">
      <c r="B41654" t="s">
        <v>1</v>
      </c>
      <c r="C41654" t="s">
        <v>13402</v>
      </c>
      <c r="D41654" t="s">
        <v>22950</v>
      </c>
    </row>
    <row r="41655" spans="1:4" x14ac:dyDescent="0.2">
      <c r="B41655" t="s">
        <v>8</v>
      </c>
      <c r="C41655" t="s">
        <v>54</v>
      </c>
      <c r="D41655" t="s">
        <v>22951</v>
      </c>
    </row>
    <row r="41657" spans="1:4" x14ac:dyDescent="0.2">
      <c r="A41657" t="s">
        <v>13403</v>
      </c>
      <c r="B41657" t="str">
        <f>HYPERLINK("https://lindat.mff.cuni.cz/services/teitok/pdtc10/index.php?action=vallex&amp;frame=v-w5736f1", "rozpouštět (v-w5736f1)")</f>
        <v>rozpouštět (v-w5736f1)</v>
      </c>
    </row>
    <row r="41658" spans="1:4" x14ac:dyDescent="0.2">
      <c r="B41658" t="s">
        <v>1</v>
      </c>
      <c r="C41658" t="s">
        <v>33</v>
      </c>
    </row>
    <row r="41659" spans="1:4" x14ac:dyDescent="0.2">
      <c r="B41659" t="s">
        <v>8</v>
      </c>
      <c r="C41659" t="s">
        <v>23</v>
      </c>
    </row>
    <row r="41661" spans="1:4" x14ac:dyDescent="0.2">
      <c r="A41661" t="s">
        <v>13404</v>
      </c>
      <c r="B41661" t="str">
        <f>HYPERLINK("https://lindat.mff.cuni.cz/services/teitok/pdtc10/index.php?action=vallex&amp;frame=v-w5736f2", "rozpouštět (v-w5736f2)")</f>
        <v>rozpouštět (v-w5736f2)</v>
      </c>
    </row>
    <row r="41662" spans="1:4" x14ac:dyDescent="0.2">
      <c r="B41662" t="s">
        <v>1</v>
      </c>
      <c r="C41662" t="s">
        <v>133</v>
      </c>
      <c r="D41662" t="s">
        <v>23598</v>
      </c>
    </row>
    <row r="41663" spans="1:4" x14ac:dyDescent="0.2">
      <c r="B41663" t="s">
        <v>8</v>
      </c>
      <c r="C41663" t="s">
        <v>1128</v>
      </c>
      <c r="D41663" t="s">
        <v>23599</v>
      </c>
    </row>
    <row r="41665" spans="1:4" x14ac:dyDescent="0.2">
      <c r="A41665" t="s">
        <v>13405</v>
      </c>
      <c r="B41665" t="str">
        <f>HYPERLINK("https://lindat.mff.cuni.cz/services/teitok/pdtc10/index.php?action=vallex&amp;frame=v-whsa_423hsa_424", "rozpouštět se (v-whsa_423hsa_424)")</f>
        <v>rozpouštět se (v-whsa_423hsa_424)</v>
      </c>
    </row>
    <row r="41666" spans="1:4" x14ac:dyDescent="0.2">
      <c r="B41666" t="s">
        <v>1</v>
      </c>
    </row>
    <row r="41668" spans="1:4" x14ac:dyDescent="0.2">
      <c r="A41668" t="s">
        <v>13406</v>
      </c>
      <c r="B41668" t="str">
        <f>HYPERLINK("https://lindat.mff.cuni.cz/services/teitok/pdtc10/index.php?action=vallex&amp;frame=v-w5741f1", "rozpovídat se (v-w5741f1)")</f>
        <v>rozpovídat se (v-w5741f1)</v>
      </c>
    </row>
    <row r="41669" spans="1:4" x14ac:dyDescent="0.2">
      <c r="B41669" t="s">
        <v>1</v>
      </c>
      <c r="C41669" t="s">
        <v>140</v>
      </c>
    </row>
    <row r="41670" spans="1:4" x14ac:dyDescent="0.2">
      <c r="B41670" t="s">
        <v>269</v>
      </c>
    </row>
    <row r="41672" spans="1:4" x14ac:dyDescent="0.2">
      <c r="A41672" t="s">
        <v>13407</v>
      </c>
      <c r="B41672" t="str">
        <f>HYPERLINK("https://lindat.mff.cuni.cz/services/teitok/pdtc10/index.php?action=vallex&amp;frame=v-w5742f2", "rozpoznat (v-w5742f2)")</f>
        <v>rozpoznat (v-w5742f2)</v>
      </c>
    </row>
    <row r="41673" spans="1:4" x14ac:dyDescent="0.2">
      <c r="B41673" t="s">
        <v>1</v>
      </c>
      <c r="C41673" t="s">
        <v>1805</v>
      </c>
      <c r="D41673" t="s">
        <v>33</v>
      </c>
    </row>
    <row r="41674" spans="1:4" x14ac:dyDescent="0.2">
      <c r="B41674" t="s">
        <v>8</v>
      </c>
      <c r="C41674" t="s">
        <v>2305</v>
      </c>
      <c r="D41674" t="s">
        <v>1109</v>
      </c>
    </row>
    <row r="41675" spans="1:4" x14ac:dyDescent="0.2">
      <c r="B41675" t="s">
        <v>1334</v>
      </c>
      <c r="D41675" t="s">
        <v>23655</v>
      </c>
    </row>
    <row r="41677" spans="1:4" x14ac:dyDescent="0.2">
      <c r="A41677" t="s">
        <v>13408</v>
      </c>
      <c r="B41677" t="str">
        <f>HYPERLINK("https://lindat.mff.cuni.cz/services/teitok/pdtc10/index.php?action=vallex&amp;frame=v-w5742f1", "rozpoznat (v-w5742f1)")</f>
        <v>rozpoznat (v-w5742f1)</v>
      </c>
    </row>
    <row r="41678" spans="1:4" x14ac:dyDescent="0.2">
      <c r="B41678" t="s">
        <v>1</v>
      </c>
      <c r="C41678" t="s">
        <v>13409</v>
      </c>
      <c r="D41678" t="s">
        <v>2749</v>
      </c>
    </row>
    <row r="41679" spans="1:4" x14ac:dyDescent="0.2">
      <c r="B41679" t="s">
        <v>13410</v>
      </c>
      <c r="C41679" t="s">
        <v>13411</v>
      </c>
      <c r="D41679" t="s">
        <v>23358</v>
      </c>
    </row>
    <row r="41681" spans="1:4" x14ac:dyDescent="0.2">
      <c r="A41681" t="s">
        <v>13412</v>
      </c>
      <c r="B41681" t="str">
        <f>HYPERLINK("https://lindat.mff.cuni.cz/services/teitok/pdtc10/index.php?action=vallex&amp;frame=v-w5744f2", "rozpoznávat (v-w5744f2)")</f>
        <v>rozpoznávat (v-w5744f2)</v>
      </c>
    </row>
    <row r="41682" spans="1:4" x14ac:dyDescent="0.2">
      <c r="B41682" t="s">
        <v>1</v>
      </c>
      <c r="D41682" t="s">
        <v>33</v>
      </c>
    </row>
    <row r="41683" spans="1:4" x14ac:dyDescent="0.2">
      <c r="B41683" t="s">
        <v>8</v>
      </c>
      <c r="D41683" t="s">
        <v>1109</v>
      </c>
    </row>
    <row r="41684" spans="1:4" x14ac:dyDescent="0.2">
      <c r="B41684" t="s">
        <v>1334</v>
      </c>
      <c r="D41684" t="s">
        <v>23655</v>
      </c>
    </row>
    <row r="41686" spans="1:4" x14ac:dyDescent="0.2">
      <c r="A41686" t="s">
        <v>13413</v>
      </c>
      <c r="B41686" t="str">
        <f>HYPERLINK("https://lindat.mff.cuni.cz/services/teitok/pdtc10/index.php?action=vallex&amp;frame=v-w5744f1", "rozpoznávat (v-w5744f1)")</f>
        <v>rozpoznávat (v-w5744f1)</v>
      </c>
    </row>
    <row r="41687" spans="1:4" x14ac:dyDescent="0.2">
      <c r="B41687" t="s">
        <v>1</v>
      </c>
      <c r="D41687" t="s">
        <v>2749</v>
      </c>
    </row>
    <row r="41688" spans="1:4" x14ac:dyDescent="0.2">
      <c r="B41688" t="s">
        <v>13410</v>
      </c>
      <c r="D41688" t="s">
        <v>23358</v>
      </c>
    </row>
    <row r="41690" spans="1:4" x14ac:dyDescent="0.2">
      <c r="A41690" t="s">
        <v>13414</v>
      </c>
      <c r="B41690" t="str">
        <f>HYPERLINK("https://lindat.mff.cuni.cz/services/teitok/pdtc10/index.php?action=vallex&amp;frame=v-w5729f1", "rozpočíst (v-w5729f1)")</f>
        <v>rozpočíst (v-w5729f1)</v>
      </c>
    </row>
    <row r="41691" spans="1:4" x14ac:dyDescent="0.2">
      <c r="B41691" t="s">
        <v>1</v>
      </c>
    </row>
    <row r="41692" spans="1:4" x14ac:dyDescent="0.2">
      <c r="B41692" t="s">
        <v>8</v>
      </c>
    </row>
    <row r="41693" spans="1:4" x14ac:dyDescent="0.2">
      <c r="B41693" t="s">
        <v>13116</v>
      </c>
    </row>
    <row r="41694" spans="1:4" x14ac:dyDescent="0.2">
      <c r="B41694" t="s">
        <v>61</v>
      </c>
    </row>
    <row r="41696" spans="1:4" x14ac:dyDescent="0.2">
      <c r="A41696" t="s">
        <v>13415</v>
      </c>
      <c r="B41696" t="str">
        <f>HYPERLINK("https://lindat.mff.cuni.cz/services/teitok/pdtc10/index.php?action=vallex&amp;frame=v-w5730f1", "rozpočíst se (v-w5730f1)")</f>
        <v>rozpočíst se (v-w5730f1)</v>
      </c>
    </row>
    <row r="41697" spans="1:2" x14ac:dyDescent="0.2">
      <c r="B41697" t="s">
        <v>1</v>
      </c>
    </row>
    <row r="41698" spans="1:2" x14ac:dyDescent="0.2">
      <c r="B41698" t="s">
        <v>13127</v>
      </c>
    </row>
    <row r="41700" spans="1:2" x14ac:dyDescent="0.2">
      <c r="A41700" t="s">
        <v>13416</v>
      </c>
      <c r="B41700" t="str">
        <f>HYPERLINK("https://lindat.mff.cuni.cz/services/teitok/pdtc10/index.php?action=vallex&amp;frame=v-w12274_ZUf2_ZU", "rozpočítat (v-w12274_ZUf2_ZU)")</f>
        <v>rozpočítat (v-w12274_ZUf2_ZU)</v>
      </c>
    </row>
    <row r="41701" spans="1:2" x14ac:dyDescent="0.2">
      <c r="B41701" t="s">
        <v>1</v>
      </c>
    </row>
    <row r="41702" spans="1:2" x14ac:dyDescent="0.2">
      <c r="B41702" t="s">
        <v>8</v>
      </c>
    </row>
    <row r="41703" spans="1:2" x14ac:dyDescent="0.2">
      <c r="B41703" t="s">
        <v>1363</v>
      </c>
    </row>
    <row r="41704" spans="1:2" x14ac:dyDescent="0.2">
      <c r="B41704" t="s">
        <v>61</v>
      </c>
    </row>
    <row r="41706" spans="1:2" x14ac:dyDescent="0.2">
      <c r="A41706" t="s">
        <v>13416</v>
      </c>
      <c r="B41706" t="str">
        <f>HYPERLINK("https://lindat.mff.cuni.cz/services/teitok/pdtc10/index.php?action=vallex&amp;frame=v-w12274_ZUf1_ZU", "rozpočítat (v-w12274_ZUf1_ZU) - substituted with v-w12274_ZUf2_ZU")</f>
        <v>rozpočítat (v-w12274_ZUf1_ZU) - substituted with v-w12274_ZUf2_ZU</v>
      </c>
    </row>
    <row r="41707" spans="1:2" x14ac:dyDescent="0.2">
      <c r="B41707" t="s">
        <v>1</v>
      </c>
    </row>
    <row r="41708" spans="1:2" x14ac:dyDescent="0.2">
      <c r="B41708" t="s">
        <v>8</v>
      </c>
    </row>
    <row r="41709" spans="1:2" x14ac:dyDescent="0.2">
      <c r="B41709" t="s">
        <v>1363</v>
      </c>
    </row>
    <row r="41710" spans="1:2" x14ac:dyDescent="0.2">
      <c r="B41710" t="s">
        <v>61</v>
      </c>
    </row>
    <row r="41712" spans="1:2" x14ac:dyDescent="0.2">
      <c r="A41712" t="s">
        <v>13417</v>
      </c>
      <c r="B41712" t="str">
        <f>HYPERLINK("https://lindat.mff.cuni.cz/services/teitok/pdtc10/index.php?action=vallex&amp;frame=v-w5746f1", "rozpracovat (v-w5746f1)")</f>
        <v>rozpracovat (v-w5746f1)</v>
      </c>
    </row>
    <row r="41713" spans="1:3" x14ac:dyDescent="0.2">
      <c r="B41713" t="s">
        <v>1</v>
      </c>
      <c r="C41713" t="s">
        <v>33</v>
      </c>
    </row>
    <row r="41714" spans="1:3" x14ac:dyDescent="0.2">
      <c r="B41714" t="s">
        <v>8</v>
      </c>
      <c r="C41714" t="s">
        <v>991</v>
      </c>
    </row>
    <row r="41716" spans="1:3" x14ac:dyDescent="0.2">
      <c r="A41716" t="s">
        <v>13418</v>
      </c>
      <c r="B41716" t="str">
        <f>HYPERLINK("https://lindat.mff.cuni.cz/services/teitok/pdtc10/index.php?action=vallex&amp;frame=v-w5747f1", "rozpracovávat (v-w5747f1)")</f>
        <v>rozpracovávat (v-w5747f1)</v>
      </c>
    </row>
    <row r="41717" spans="1:3" x14ac:dyDescent="0.2">
      <c r="B41717" t="s">
        <v>1</v>
      </c>
    </row>
    <row r="41718" spans="1:3" x14ac:dyDescent="0.2">
      <c r="B41718" t="s">
        <v>8</v>
      </c>
    </row>
    <row r="41720" spans="1:3" x14ac:dyDescent="0.2">
      <c r="A41720" t="s">
        <v>13419</v>
      </c>
      <c r="B41720" t="str">
        <f>HYPERLINK("https://lindat.mff.cuni.cz/services/teitok/pdtc10/index.php?action=vallex&amp;frame=v-w11921_ZUf1_ZU", "rozpraskat (v-w11921_ZUf1_ZU)")</f>
        <v>rozpraskat (v-w11921_ZUf1_ZU)</v>
      </c>
    </row>
    <row r="41721" spans="1:3" x14ac:dyDescent="0.2">
      <c r="B41721" t="s">
        <v>1</v>
      </c>
    </row>
    <row r="41723" spans="1:3" x14ac:dyDescent="0.2">
      <c r="A41723" t="s">
        <v>13420</v>
      </c>
      <c r="B41723" t="str">
        <f>HYPERLINK("https://lindat.mff.cuni.cz/services/teitok/pdtc10/index.php?action=vallex&amp;frame=v-whsa_1084hsa_1085", "rozprchnout se (v-whsa_1084hsa_1085)")</f>
        <v>rozprchnout se (v-whsa_1084hsa_1085)</v>
      </c>
    </row>
    <row r="41724" spans="1:3" x14ac:dyDescent="0.2">
      <c r="B41724" t="s">
        <v>1</v>
      </c>
    </row>
    <row r="41726" spans="1:3" x14ac:dyDescent="0.2">
      <c r="A41726" t="s">
        <v>13421</v>
      </c>
      <c r="B41726" t="str">
        <f>HYPERLINK("https://lindat.mff.cuni.cz/services/teitok/pdtc10/index.php?action=vallex&amp;frame=v-whsa_1969hsa_1970", "rozprchávat se (v-whsa_1969hsa_1970)")</f>
        <v>rozprchávat se (v-whsa_1969hsa_1970)</v>
      </c>
    </row>
    <row r="41727" spans="1:3" x14ac:dyDescent="0.2">
      <c r="B41727" t="s">
        <v>1</v>
      </c>
    </row>
    <row r="41729" spans="1:4" x14ac:dyDescent="0.2">
      <c r="A41729" t="s">
        <v>13422</v>
      </c>
      <c r="B41729" t="str">
        <f>HYPERLINK("https://lindat.mff.cuni.cz/services/teitok/pdtc10/index.php?action=vallex&amp;frame=v-w5749f1", "rozprodat (v-w5749f1)")</f>
        <v>rozprodat (v-w5749f1)</v>
      </c>
    </row>
    <row r="41730" spans="1:4" x14ac:dyDescent="0.2">
      <c r="B41730" t="s">
        <v>1</v>
      </c>
      <c r="C41730" t="s">
        <v>13423</v>
      </c>
      <c r="D41730" t="s">
        <v>23665</v>
      </c>
    </row>
    <row r="41731" spans="1:4" x14ac:dyDescent="0.2">
      <c r="B41731" t="s">
        <v>8</v>
      </c>
      <c r="C41731" t="s">
        <v>13424</v>
      </c>
      <c r="D41731" t="s">
        <v>23666</v>
      </c>
    </row>
    <row r="41732" spans="1:4" x14ac:dyDescent="0.2">
      <c r="B41732" t="s">
        <v>35</v>
      </c>
      <c r="C41732" t="s">
        <v>7394</v>
      </c>
    </row>
    <row r="41734" spans="1:4" x14ac:dyDescent="0.2">
      <c r="A41734" t="s">
        <v>13425</v>
      </c>
      <c r="B41734" t="str">
        <f>HYPERLINK("https://lindat.mff.cuni.cz/services/teitok/pdtc10/index.php?action=vallex&amp;frame=v-w5750f1", "rozprodávat (v-w5750f1)")</f>
        <v>rozprodávat (v-w5750f1)</v>
      </c>
    </row>
    <row r="41735" spans="1:4" x14ac:dyDescent="0.2">
      <c r="B41735" t="s">
        <v>1</v>
      </c>
      <c r="C41735" t="s">
        <v>990</v>
      </c>
      <c r="D41735" t="s">
        <v>23665</v>
      </c>
    </row>
    <row r="41736" spans="1:4" x14ac:dyDescent="0.2">
      <c r="B41736" t="s">
        <v>8</v>
      </c>
      <c r="C41736" t="s">
        <v>1510</v>
      </c>
      <c r="D41736" t="s">
        <v>23666</v>
      </c>
    </row>
    <row r="41737" spans="1:4" x14ac:dyDescent="0.2">
      <c r="B41737" t="s">
        <v>35</v>
      </c>
      <c r="C41737" t="s">
        <v>8768</v>
      </c>
      <c r="D41737" t="s">
        <v>7394</v>
      </c>
    </row>
    <row r="41739" spans="1:4" x14ac:dyDescent="0.2">
      <c r="A41739" t="s">
        <v>13426</v>
      </c>
      <c r="B41739" t="str">
        <f>HYPERLINK("https://lindat.mff.cuni.cz/services/teitok/pdtc10/index.php?action=vallex&amp;frame=v-w11666_ZUf1_ZU", "rozprostírat (v-w11666_ZUf1_ZU)")</f>
        <v>rozprostírat (v-w11666_ZUf1_ZU)</v>
      </c>
    </row>
    <row r="41740" spans="1:4" x14ac:dyDescent="0.2">
      <c r="B41740" t="s">
        <v>1</v>
      </c>
      <c r="C41740" t="s">
        <v>249</v>
      </c>
    </row>
    <row r="41741" spans="1:4" x14ac:dyDescent="0.2">
      <c r="B41741" t="s">
        <v>8</v>
      </c>
      <c r="C41741" t="s">
        <v>56</v>
      </c>
    </row>
    <row r="41743" spans="1:4" x14ac:dyDescent="0.2">
      <c r="A41743" t="s">
        <v>13427</v>
      </c>
      <c r="B41743" t="str">
        <f>HYPERLINK("https://lindat.mff.cuni.cz/services/teitok/pdtc10/index.php?action=vallex&amp;frame=v-w5751f1", "rozprostírat se (v-w5751f1)")</f>
        <v>rozprostírat se (v-w5751f1)</v>
      </c>
    </row>
    <row r="41744" spans="1:4" x14ac:dyDescent="0.2">
      <c r="B41744" t="s">
        <v>1</v>
      </c>
      <c r="C41744" t="s">
        <v>9222</v>
      </c>
    </row>
    <row r="41745" spans="1:4" x14ac:dyDescent="0.2">
      <c r="B41745" t="s">
        <v>5</v>
      </c>
    </row>
    <row r="41747" spans="1:4" x14ac:dyDescent="0.2">
      <c r="A41747" t="s">
        <v>13428</v>
      </c>
      <c r="B41747" t="str">
        <f>HYPERLINK("https://lindat.mff.cuni.cz/services/teitok/pdtc10/index.php?action=vallex&amp;frame=v-w10361f6", "rozprostřít (v-w10361f6)")</f>
        <v>rozprostřít (v-w10361f6)</v>
      </c>
    </row>
    <row r="41748" spans="1:4" x14ac:dyDescent="0.2">
      <c r="B41748" t="s">
        <v>1</v>
      </c>
      <c r="C41748" t="s">
        <v>33</v>
      </c>
      <c r="D41748" t="s">
        <v>2106</v>
      </c>
    </row>
    <row r="41749" spans="1:4" x14ac:dyDescent="0.2">
      <c r="B41749" t="s">
        <v>8</v>
      </c>
      <c r="C41749" t="s">
        <v>1025</v>
      </c>
      <c r="D41749" t="s">
        <v>5674</v>
      </c>
    </row>
    <row r="41750" spans="1:4" x14ac:dyDescent="0.2">
      <c r="B41750" t="s">
        <v>1363</v>
      </c>
      <c r="D41750" t="s">
        <v>11069</v>
      </c>
    </row>
    <row r="41752" spans="1:4" x14ac:dyDescent="0.2">
      <c r="A41752" t="s">
        <v>13429</v>
      </c>
      <c r="B41752" t="str">
        <f>HYPERLINK("https://lindat.mff.cuni.cz/services/teitok/pdtc10/index.php?action=vallex&amp;frame=v-w10361f5", "rozprostřít (v-w10361f5)")</f>
        <v>rozprostřít (v-w10361f5)</v>
      </c>
    </row>
    <row r="41753" spans="1:4" x14ac:dyDescent="0.2">
      <c r="B41753" t="s">
        <v>1</v>
      </c>
    </row>
    <row r="41754" spans="1:4" x14ac:dyDescent="0.2">
      <c r="B41754" t="s">
        <v>8</v>
      </c>
      <c r="C41754" t="s">
        <v>84</v>
      </c>
    </row>
    <row r="41755" spans="1:4" x14ac:dyDescent="0.2">
      <c r="B41755" t="s">
        <v>13197</v>
      </c>
    </row>
    <row r="41757" spans="1:4" x14ac:dyDescent="0.2">
      <c r="A41757" t="s">
        <v>13430</v>
      </c>
      <c r="B41757" t="str">
        <f>HYPERLINK("https://lindat.mff.cuni.cz/services/teitok/pdtc10/index.php?action=vallex&amp;frame=v-w10361f2", "rozprostřít (v-w10361f2)")</f>
        <v>rozprostřít (v-w10361f2)</v>
      </c>
    </row>
    <row r="41758" spans="1:4" x14ac:dyDescent="0.2">
      <c r="B41758" t="s">
        <v>1</v>
      </c>
    </row>
    <row r="41759" spans="1:4" x14ac:dyDescent="0.2">
      <c r="B41759" t="s">
        <v>8</v>
      </c>
    </row>
    <row r="41761" spans="1:4" x14ac:dyDescent="0.2">
      <c r="A41761" t="s">
        <v>13431</v>
      </c>
      <c r="B41761" t="str">
        <f>HYPERLINK("https://lindat.mff.cuni.cz/services/teitok/pdtc10/index.php?action=vallex&amp;frame=v-w10361f7_ZU", "rozprostřít (v-w10361f7_ZU)")</f>
        <v>rozprostřít (v-w10361f7_ZU)</v>
      </c>
    </row>
    <row r="41762" spans="1:4" x14ac:dyDescent="0.2">
      <c r="B41762" t="s">
        <v>1</v>
      </c>
    </row>
    <row r="41763" spans="1:4" x14ac:dyDescent="0.2">
      <c r="B41763" t="s">
        <v>8</v>
      </c>
    </row>
    <row r="41765" spans="1:4" x14ac:dyDescent="0.2">
      <c r="A41765" t="s">
        <v>13432</v>
      </c>
      <c r="B41765" t="str">
        <f>HYPERLINK("https://lindat.mff.cuni.cz/services/teitok/pdtc10/index.php?action=vallex&amp;frame=v-w11296f1", "rozprostřít se (v-w11296f1)")</f>
        <v>rozprostřít se (v-w11296f1)</v>
      </c>
    </row>
    <row r="41766" spans="1:4" x14ac:dyDescent="0.2">
      <c r="B41766" t="s">
        <v>1</v>
      </c>
      <c r="C41766" t="s">
        <v>715</v>
      </c>
    </row>
    <row r="41768" spans="1:4" x14ac:dyDescent="0.2">
      <c r="A41768" t="s">
        <v>13433</v>
      </c>
      <c r="B41768" t="str">
        <f>HYPERLINK("https://lindat.mff.cuni.cz/services/teitok/pdtc10/index.php?action=vallex&amp;frame=v-w10620f2", "rozproudit (v-w10620f2)")</f>
        <v>rozproudit (v-w10620f2)</v>
      </c>
    </row>
    <row r="41769" spans="1:4" x14ac:dyDescent="0.2">
      <c r="B41769" t="s">
        <v>1</v>
      </c>
      <c r="C41769" t="s">
        <v>13434</v>
      </c>
      <c r="D41769" t="s">
        <v>22950</v>
      </c>
    </row>
    <row r="41770" spans="1:4" x14ac:dyDescent="0.2">
      <c r="B41770" t="s">
        <v>8</v>
      </c>
      <c r="C41770" t="s">
        <v>2290</v>
      </c>
      <c r="D41770" t="s">
        <v>22951</v>
      </c>
    </row>
    <row r="41772" spans="1:4" x14ac:dyDescent="0.2">
      <c r="A41772" t="s">
        <v>13435</v>
      </c>
      <c r="B41772" t="str">
        <f>HYPERLINK("https://lindat.mff.cuni.cz/services/teitok/pdtc10/index.php?action=vallex&amp;frame=v-whsa_1096hsa_1097", "rozproudit se (v-whsa_1096hsa_1097)")</f>
        <v>rozproudit se (v-whsa_1096hsa_1097)</v>
      </c>
    </row>
    <row r="41773" spans="1:4" x14ac:dyDescent="0.2">
      <c r="B41773" t="s">
        <v>1</v>
      </c>
    </row>
    <row r="41775" spans="1:4" x14ac:dyDescent="0.2">
      <c r="A41775" t="s">
        <v>13436</v>
      </c>
      <c r="B41775" t="str">
        <f>HYPERLINK("https://lindat.mff.cuni.cz/services/teitok/pdtc10/index.php?action=vallex&amp;frame=v-whsb_53hsa_54", "rozprsknout se (v-whsb_53hsa_54)")</f>
        <v>rozprsknout se (v-whsb_53hsa_54)</v>
      </c>
    </row>
    <row r="41776" spans="1:4" x14ac:dyDescent="0.2">
      <c r="B41776" t="s">
        <v>1</v>
      </c>
    </row>
    <row r="41778" spans="1:4" x14ac:dyDescent="0.2">
      <c r="A41778" t="s">
        <v>13437</v>
      </c>
      <c r="B41778" t="str">
        <f>HYPERLINK("https://lindat.mff.cuni.cz/services/teitok/pdtc10/index.php?action=vallex&amp;frame=v-w10074f2", "rozprášit (v-w10074f2)")</f>
        <v>rozprášit (v-w10074f2)</v>
      </c>
    </row>
    <row r="41779" spans="1:4" x14ac:dyDescent="0.2">
      <c r="B41779" t="s">
        <v>1</v>
      </c>
      <c r="C41779" t="s">
        <v>1065</v>
      </c>
      <c r="D41779" t="s">
        <v>133</v>
      </c>
    </row>
    <row r="41780" spans="1:4" x14ac:dyDescent="0.2">
      <c r="B41780" t="s">
        <v>8</v>
      </c>
      <c r="C41780" t="s">
        <v>2240</v>
      </c>
      <c r="D41780" t="s">
        <v>335</v>
      </c>
    </row>
    <row r="41782" spans="1:4" x14ac:dyDescent="0.2">
      <c r="A41782" t="s">
        <v>13438</v>
      </c>
      <c r="B41782" t="str">
        <f>HYPERLINK("https://lindat.mff.cuni.cz/services/teitok/pdtc10/index.php?action=vallex&amp;frame=v-whsa_1184f1_ZU", "rozptylovat (v-whsa_1184f1_ZU)")</f>
        <v>rozptylovat (v-whsa_1184f1_ZU)</v>
      </c>
    </row>
    <row r="41783" spans="1:4" x14ac:dyDescent="0.2">
      <c r="B41783" t="s">
        <v>1</v>
      </c>
      <c r="C41783" t="s">
        <v>2239</v>
      </c>
    </row>
    <row r="41784" spans="1:4" x14ac:dyDescent="0.2">
      <c r="B41784" t="s">
        <v>58</v>
      </c>
      <c r="C41784" t="s">
        <v>4016</v>
      </c>
    </row>
    <row r="41785" spans="1:4" x14ac:dyDescent="0.2">
      <c r="B41785" t="s">
        <v>247</v>
      </c>
      <c r="C41785" t="s">
        <v>202</v>
      </c>
    </row>
    <row r="41787" spans="1:4" x14ac:dyDescent="0.2">
      <c r="A41787" t="s">
        <v>13438</v>
      </c>
      <c r="B41787" t="str">
        <f>HYPERLINK("https://lindat.mff.cuni.cz/services/teitok/pdtc10/index.php?action=vallex&amp;frame=v-whsa_1184hsa_1185", "rozptylovat (v-whsa_1184hsa_1185) - substituted with v-whsa_1184f1_ZU")</f>
        <v>rozptylovat (v-whsa_1184hsa_1185) - substituted with v-whsa_1184f1_ZU</v>
      </c>
    </row>
    <row r="41788" spans="1:4" x14ac:dyDescent="0.2">
      <c r="B41788" t="s">
        <v>1</v>
      </c>
    </row>
    <row r="41789" spans="1:4" x14ac:dyDescent="0.2">
      <c r="B41789" t="s">
        <v>58</v>
      </c>
    </row>
    <row r="41790" spans="1:4" x14ac:dyDescent="0.2">
      <c r="B41790" t="s">
        <v>247</v>
      </c>
    </row>
    <row r="41792" spans="1:4" x14ac:dyDescent="0.2">
      <c r="A41792" t="s">
        <v>13439</v>
      </c>
      <c r="B41792" t="str">
        <f>HYPERLINK("https://lindat.mff.cuni.cz/services/teitok/pdtc10/index.php?action=vallex&amp;frame=v-w5755f1", "rozptylovat se (v-w5755f1)")</f>
        <v>rozptylovat se (v-w5755f1)</v>
      </c>
    </row>
    <row r="41793" spans="1:4" x14ac:dyDescent="0.2">
      <c r="B41793" t="s">
        <v>1</v>
      </c>
      <c r="D41793" t="s">
        <v>186</v>
      </c>
    </row>
    <row r="41795" spans="1:4" x14ac:dyDescent="0.2">
      <c r="A41795" t="s">
        <v>13440</v>
      </c>
      <c r="B41795" t="str">
        <f>HYPERLINK("https://lindat.mff.cuni.cz/services/teitok/pdtc10/index.php?action=vallex&amp;frame=v-w5754f1", "rozptýlit (v-w5754f1)")</f>
        <v>rozptýlit (v-w5754f1)</v>
      </c>
    </row>
    <row r="41796" spans="1:4" x14ac:dyDescent="0.2">
      <c r="B41796" t="s">
        <v>1</v>
      </c>
      <c r="C41796" t="s">
        <v>370</v>
      </c>
      <c r="D41796" t="s">
        <v>133</v>
      </c>
    </row>
    <row r="41797" spans="1:4" x14ac:dyDescent="0.2">
      <c r="B41797" t="s">
        <v>8</v>
      </c>
      <c r="C41797" t="s">
        <v>2290</v>
      </c>
      <c r="D41797" t="s">
        <v>335</v>
      </c>
    </row>
    <row r="41799" spans="1:4" x14ac:dyDescent="0.2">
      <c r="A41799" t="s">
        <v>13441</v>
      </c>
      <c r="B41799" t="str">
        <f>HYPERLINK("https://lindat.mff.cuni.cz/services/teitok/pdtc10/index.php?action=vallex&amp;frame=v-w5754f2_ZU", "rozptýlit (v-w5754f2_ZU)")</f>
        <v>rozptýlit (v-w5754f2_ZU)</v>
      </c>
    </row>
    <row r="41800" spans="1:4" x14ac:dyDescent="0.2">
      <c r="B41800" t="s">
        <v>1</v>
      </c>
      <c r="D41800" t="s">
        <v>133</v>
      </c>
    </row>
    <row r="41801" spans="1:4" x14ac:dyDescent="0.2">
      <c r="B41801" t="s">
        <v>8</v>
      </c>
      <c r="C41801" t="s">
        <v>113</v>
      </c>
      <c r="D41801" t="s">
        <v>1128</v>
      </c>
    </row>
    <row r="41803" spans="1:4" x14ac:dyDescent="0.2">
      <c r="A41803" t="s">
        <v>13441</v>
      </c>
      <c r="B41803" t="str">
        <f>HYPERLINK("https://lindat.mff.cuni.cz/services/teitok/pdtc10/index.php?action=vallex&amp;frame=v-w5754hsa_108", "rozptýlit (v-w5754hsa_108) - substituted with v-w5754f2_ZU")</f>
        <v>rozptýlit (v-w5754hsa_108) - substituted with v-w5754f2_ZU</v>
      </c>
    </row>
    <row r="41804" spans="1:4" x14ac:dyDescent="0.2">
      <c r="B41804" t="s">
        <v>1</v>
      </c>
    </row>
    <row r="41805" spans="1:4" x14ac:dyDescent="0.2">
      <c r="B41805" t="s">
        <v>8</v>
      </c>
    </row>
    <row r="41807" spans="1:4" x14ac:dyDescent="0.2">
      <c r="A41807" t="s">
        <v>13442</v>
      </c>
      <c r="B41807" t="str">
        <f>HYPERLINK("https://lindat.mff.cuni.cz/services/teitok/pdtc10/index.php?action=vallex&amp;frame=v-whsa_942f1_ZU", "rozptýlit se (v-whsa_942f1_ZU)")</f>
        <v>rozptýlit se (v-whsa_942f1_ZU)</v>
      </c>
    </row>
    <row r="41808" spans="1:4" x14ac:dyDescent="0.2">
      <c r="B41808" t="s">
        <v>1</v>
      </c>
      <c r="C41808" t="s">
        <v>715</v>
      </c>
      <c r="D41808" t="s">
        <v>186</v>
      </c>
    </row>
    <row r="41810" spans="1:4" x14ac:dyDescent="0.2">
      <c r="A41810" t="s">
        <v>13442</v>
      </c>
      <c r="B41810" t="str">
        <f>HYPERLINK("https://lindat.mff.cuni.cz/services/teitok/pdtc10/index.php?action=vallex&amp;frame=v-whsa_942hsa_943", "rozptýlit se (v-whsa_942hsa_943) - substituted with v-whsa_942f1_ZU")</f>
        <v>rozptýlit se (v-whsa_942hsa_943) - substituted with v-whsa_942f1_ZU</v>
      </c>
    </row>
    <row r="41811" spans="1:4" x14ac:dyDescent="0.2">
      <c r="B41811" t="s">
        <v>1</v>
      </c>
    </row>
    <row r="41813" spans="1:4" x14ac:dyDescent="0.2">
      <c r="A41813" t="s">
        <v>13443</v>
      </c>
      <c r="B41813" t="str">
        <f>HYPERLINK("https://lindat.mff.cuni.cz/services/teitok/pdtc10/index.php?action=vallex&amp;frame=v-whsa_942f2_ZU", "rozptýlit se (v-whsa_942f2_ZU)")</f>
        <v>rozptýlit se (v-whsa_942f2_ZU)</v>
      </c>
    </row>
    <row r="41814" spans="1:4" x14ac:dyDescent="0.2">
      <c r="B41814" t="s">
        <v>1</v>
      </c>
    </row>
    <row r="41816" spans="1:4" x14ac:dyDescent="0.2">
      <c r="A41816" t="s">
        <v>13444</v>
      </c>
      <c r="B41816" t="str">
        <f>HYPERLINK("https://lindat.mff.cuni.cz/services/teitok/pdtc10/index.php?action=vallex&amp;frame=v-whsa_942hsa_1838", "rozptýlit se (v-whsa_942hsa_1838)")</f>
        <v>rozptýlit se (v-whsa_942hsa_1838)</v>
      </c>
    </row>
    <row r="41817" spans="1:4" x14ac:dyDescent="0.2">
      <c r="B41817" t="s">
        <v>1</v>
      </c>
    </row>
    <row r="41819" spans="1:4" x14ac:dyDescent="0.2">
      <c r="A41819" t="s">
        <v>13445</v>
      </c>
      <c r="B41819" t="str">
        <f>HYPERLINK("https://lindat.mff.cuni.cz/services/teitok/pdtc10/index.php?action=vallex&amp;frame=v-w5756f1", "rozpustit (v-w5756f1)")</f>
        <v>rozpustit (v-w5756f1)</v>
      </c>
    </row>
    <row r="41820" spans="1:4" x14ac:dyDescent="0.2">
      <c r="B41820" t="s">
        <v>1</v>
      </c>
      <c r="C41820" t="s">
        <v>990</v>
      </c>
      <c r="D41820" t="s">
        <v>23598</v>
      </c>
    </row>
    <row r="41821" spans="1:4" x14ac:dyDescent="0.2">
      <c r="B41821" t="s">
        <v>8</v>
      </c>
      <c r="C41821" t="s">
        <v>1264</v>
      </c>
      <c r="D41821" t="s">
        <v>23599</v>
      </c>
    </row>
    <row r="41823" spans="1:4" x14ac:dyDescent="0.2">
      <c r="A41823" t="s">
        <v>13446</v>
      </c>
      <c r="B41823" t="str">
        <f>HYPERLINK("https://lindat.mff.cuni.cz/services/teitok/pdtc10/index.php?action=vallex&amp;frame=v-w5756f2", "rozpustit (v-w5756f2)")</f>
        <v>rozpustit (v-w5756f2)</v>
      </c>
    </row>
    <row r="41824" spans="1:4" x14ac:dyDescent="0.2">
      <c r="B41824" t="s">
        <v>1</v>
      </c>
    </row>
    <row r="41825" spans="1:4" x14ac:dyDescent="0.2">
      <c r="B41825" t="s">
        <v>8</v>
      </c>
    </row>
    <row r="41827" spans="1:4" x14ac:dyDescent="0.2">
      <c r="A41827" t="s">
        <v>13447</v>
      </c>
      <c r="B41827" t="str">
        <f>HYPERLINK("https://lindat.mff.cuni.cz/services/teitok/pdtc10/index.php?action=vallex&amp;frame=v-whsa_5hsa_6", "rozpálit (v-whsa_5hsa_6)")</f>
        <v>rozpálit (v-whsa_5hsa_6)</v>
      </c>
    </row>
    <row r="41828" spans="1:4" x14ac:dyDescent="0.2">
      <c r="B41828" t="s">
        <v>1</v>
      </c>
    </row>
    <row r="41829" spans="1:4" x14ac:dyDescent="0.2">
      <c r="B41829" t="s">
        <v>8</v>
      </c>
    </row>
    <row r="41831" spans="1:4" x14ac:dyDescent="0.2">
      <c r="A41831" t="s">
        <v>13448</v>
      </c>
      <c r="B41831" t="str">
        <f>HYPERLINK("https://lindat.mff.cuni.cz/services/teitok/pdtc10/index.php?action=vallex&amp;frame=v-w5721f1", "rozpíjet se (v-w5721f1)")</f>
        <v>rozpíjet se (v-w5721f1)</v>
      </c>
    </row>
    <row r="41832" spans="1:4" x14ac:dyDescent="0.2">
      <c r="B41832" t="s">
        <v>1</v>
      </c>
    </row>
    <row r="41834" spans="1:4" x14ac:dyDescent="0.2">
      <c r="A41834" t="s">
        <v>13449</v>
      </c>
      <c r="B41834" t="str">
        <f>HYPERLINK("https://lindat.mff.cuni.cz/services/teitok/pdtc10/index.php?action=vallex&amp;frame=v-w5723f1", "rozpínat se (v-w5723f1)")</f>
        <v>rozpínat se (v-w5723f1)</v>
      </c>
    </row>
    <row r="41835" spans="1:4" x14ac:dyDescent="0.2">
      <c r="B41835" t="s">
        <v>1</v>
      </c>
      <c r="D41835" t="s">
        <v>24142</v>
      </c>
    </row>
    <row r="41837" spans="1:4" x14ac:dyDescent="0.2">
      <c r="A41837" t="s">
        <v>13450</v>
      </c>
      <c r="B41837" t="str">
        <f>HYPERLINK("https://lindat.mff.cuni.cz/services/teitok/pdtc10/index.php?action=vallex&amp;frame=v-w10340f2", "rozpůjčovat (v-w10340f2)")</f>
        <v>rozpůjčovat (v-w10340f2)</v>
      </c>
    </row>
    <row r="41838" spans="1:4" x14ac:dyDescent="0.2">
      <c r="B41838" t="s">
        <v>1</v>
      </c>
      <c r="C41838" t="s">
        <v>964</v>
      </c>
      <c r="D41838" t="s">
        <v>23076</v>
      </c>
    </row>
    <row r="41839" spans="1:4" x14ac:dyDescent="0.2">
      <c r="B41839" t="s">
        <v>8</v>
      </c>
      <c r="C41839" t="s">
        <v>6990</v>
      </c>
      <c r="D41839" t="s">
        <v>23077</v>
      </c>
    </row>
    <row r="41840" spans="1:4" x14ac:dyDescent="0.2">
      <c r="B41840" t="s">
        <v>35</v>
      </c>
      <c r="C41840" t="s">
        <v>10763</v>
      </c>
      <c r="D41840" t="s">
        <v>23078</v>
      </c>
    </row>
    <row r="41842" spans="1:4" x14ac:dyDescent="0.2">
      <c r="A41842" t="s">
        <v>13451</v>
      </c>
      <c r="B41842" t="str">
        <f>HYPERLINK("https://lindat.mff.cuni.cz/services/teitok/pdtc10/index.php?action=vallex&amp;frame=v-w10994f2", "rozpůlit (v-w10994f2)")</f>
        <v>rozpůlit (v-w10994f2)</v>
      </c>
    </row>
    <row r="41843" spans="1:4" x14ac:dyDescent="0.2">
      <c r="B41843" t="s">
        <v>1</v>
      </c>
      <c r="D41843" t="s">
        <v>24130</v>
      </c>
    </row>
    <row r="41844" spans="1:4" x14ac:dyDescent="0.2">
      <c r="B41844" t="s">
        <v>8</v>
      </c>
      <c r="C41844" t="s">
        <v>23</v>
      </c>
      <c r="D41844" t="s">
        <v>17979</v>
      </c>
    </row>
    <row r="41845" spans="1:4" x14ac:dyDescent="0.2">
      <c r="B41845" t="s">
        <v>4283</v>
      </c>
      <c r="D41845" t="s">
        <v>24131</v>
      </c>
    </row>
    <row r="41847" spans="1:4" x14ac:dyDescent="0.2">
      <c r="A41847" t="s">
        <v>13452</v>
      </c>
      <c r="B41847" t="str">
        <f>HYPERLINK("https://lindat.mff.cuni.cz/services/teitok/pdtc10/index.php?action=vallex&amp;frame=v-w5758f1", "rozrazit (v-w5758f1)")</f>
        <v>rozrazit (v-w5758f1)</v>
      </c>
    </row>
    <row r="41848" spans="1:4" x14ac:dyDescent="0.2">
      <c r="B41848" t="s">
        <v>1</v>
      </c>
    </row>
    <row r="41849" spans="1:4" x14ac:dyDescent="0.2">
      <c r="B41849" t="s">
        <v>8</v>
      </c>
    </row>
    <row r="41851" spans="1:4" x14ac:dyDescent="0.2">
      <c r="A41851" t="s">
        <v>13453</v>
      </c>
      <c r="B41851" t="str">
        <f>HYPERLINK("https://lindat.mff.cuni.cz/services/teitok/pdtc10/index.php?action=vallex&amp;frame=v-w5762f1", "rozrušit (v-w5762f1)")</f>
        <v>rozrušit (v-w5762f1)</v>
      </c>
    </row>
    <row r="41852" spans="1:4" x14ac:dyDescent="0.2">
      <c r="B41852" t="s">
        <v>1</v>
      </c>
      <c r="C41852" t="s">
        <v>2239</v>
      </c>
      <c r="D41852" t="s">
        <v>23156</v>
      </c>
    </row>
    <row r="41853" spans="1:4" x14ac:dyDescent="0.2">
      <c r="B41853" t="s">
        <v>8</v>
      </c>
      <c r="C41853" t="s">
        <v>335</v>
      </c>
      <c r="D41853" t="s">
        <v>23157</v>
      </c>
    </row>
    <row r="41855" spans="1:4" x14ac:dyDescent="0.2">
      <c r="A41855" t="s">
        <v>13454</v>
      </c>
      <c r="B41855" t="str">
        <f>HYPERLINK("https://lindat.mff.cuni.cz/services/teitok/pdtc10/index.php?action=vallex&amp;frame=v-w5762f4_ZU", "rozrušit (v-w5762f4_ZU)")</f>
        <v>rozrušit (v-w5762f4_ZU)</v>
      </c>
    </row>
    <row r="41856" spans="1:4" x14ac:dyDescent="0.2">
      <c r="B41856" t="s">
        <v>488</v>
      </c>
    </row>
    <row r="41857" spans="1:4" x14ac:dyDescent="0.2">
      <c r="B41857" t="s">
        <v>8</v>
      </c>
    </row>
    <row r="41859" spans="1:4" x14ac:dyDescent="0.2">
      <c r="A41859" t="s">
        <v>13454</v>
      </c>
      <c r="B41859" t="str">
        <f>HYPERLINK("https://lindat.mff.cuni.cz/services/teitok/pdtc10/index.php?action=vallex&amp;frame=v-w5762f2_ZU", "rozrušit (v-w5762f2_ZU) - substituted with v-w5762f4_ZU")</f>
        <v>rozrušit (v-w5762f2_ZU) - substituted with v-w5762f4_ZU</v>
      </c>
    </row>
    <row r="41860" spans="1:4" x14ac:dyDescent="0.2">
      <c r="B41860" t="s">
        <v>488</v>
      </c>
    </row>
    <row r="41861" spans="1:4" x14ac:dyDescent="0.2">
      <c r="B41861" t="s">
        <v>8</v>
      </c>
    </row>
    <row r="41863" spans="1:4" x14ac:dyDescent="0.2">
      <c r="A41863" t="s">
        <v>13454</v>
      </c>
      <c r="B41863" t="str">
        <f>HYPERLINK("https://lindat.mff.cuni.cz/services/teitok/pdtc10/index.php?action=vallex&amp;frame=v-w5762f3_ZU", "rozrušit (v-w5762f3_ZU) - substituted with v-w5762f4_ZU")</f>
        <v>rozrušit (v-w5762f3_ZU) - substituted with v-w5762f4_ZU</v>
      </c>
    </row>
    <row r="41864" spans="1:4" x14ac:dyDescent="0.2">
      <c r="B41864" t="s">
        <v>488</v>
      </c>
      <c r="C41864" t="s">
        <v>140</v>
      </c>
      <c r="D41864" t="s">
        <v>9266</v>
      </c>
    </row>
    <row r="41865" spans="1:4" x14ac:dyDescent="0.2">
      <c r="B41865" t="s">
        <v>8</v>
      </c>
      <c r="C41865" t="s">
        <v>13455</v>
      </c>
      <c r="D41865" t="s">
        <v>24133</v>
      </c>
    </row>
    <row r="41867" spans="1:4" x14ac:dyDescent="0.2">
      <c r="A41867" t="s">
        <v>13454</v>
      </c>
      <c r="B41867" t="str">
        <f>HYPERLINK("https://lindat.mff.cuni.cz/services/teitok/pdtc10/index.php?action=vallex&amp;frame=v-w5762hsa_195", "rozrušit (v-w5762hsa_195) - substituted with v-w5762f4_ZU")</f>
        <v>rozrušit (v-w5762hsa_195) - substituted with v-w5762f4_ZU</v>
      </c>
    </row>
    <row r="41868" spans="1:4" x14ac:dyDescent="0.2">
      <c r="B41868" t="s">
        <v>488</v>
      </c>
    </row>
    <row r="41869" spans="1:4" x14ac:dyDescent="0.2">
      <c r="B41869" t="s">
        <v>8</v>
      </c>
    </row>
    <row r="41871" spans="1:4" x14ac:dyDescent="0.2">
      <c r="A41871" t="s">
        <v>13456</v>
      </c>
      <c r="B41871" t="str">
        <f>HYPERLINK("https://lindat.mff.cuni.cz/services/teitok/pdtc10/index.php?action=vallex&amp;frame=v-w5762hsa_237", "rozrušit (v-w5762hsa_237)")</f>
        <v>rozrušit (v-w5762hsa_237)</v>
      </c>
    </row>
    <row r="41872" spans="1:4" x14ac:dyDescent="0.2">
      <c r="B41872" t="s">
        <v>1</v>
      </c>
    </row>
    <row r="41873" spans="1:4" x14ac:dyDescent="0.2">
      <c r="B41873" t="s">
        <v>8</v>
      </c>
    </row>
    <row r="41875" spans="1:4" x14ac:dyDescent="0.2">
      <c r="A41875" t="s">
        <v>13457</v>
      </c>
      <c r="B41875" t="str">
        <f>HYPERLINK("https://lindat.mff.cuni.cz/services/teitok/pdtc10/index.php?action=vallex&amp;frame=v-w12104_ZUf1_ZU", "rozrušovat (v-w12104_ZUf1_ZU)")</f>
        <v>rozrušovat (v-w12104_ZUf1_ZU)</v>
      </c>
    </row>
    <row r="41876" spans="1:4" x14ac:dyDescent="0.2">
      <c r="B41876" t="s">
        <v>1</v>
      </c>
    </row>
    <row r="41877" spans="1:4" x14ac:dyDescent="0.2">
      <c r="B41877" t="s">
        <v>8</v>
      </c>
    </row>
    <row r="41879" spans="1:4" x14ac:dyDescent="0.2">
      <c r="A41879" t="s">
        <v>13458</v>
      </c>
      <c r="B41879" t="str">
        <f>HYPERLINK("https://lindat.mff.cuni.cz/services/teitok/pdtc10/index.php?action=vallex&amp;frame=v-w5763f1", "rozrýt (v-w5763f1)")</f>
        <v>rozrýt (v-w5763f1)</v>
      </c>
    </row>
    <row r="41880" spans="1:4" x14ac:dyDescent="0.2">
      <c r="B41880" t="s">
        <v>1</v>
      </c>
    </row>
    <row r="41881" spans="1:4" x14ac:dyDescent="0.2">
      <c r="B41881" t="s">
        <v>8</v>
      </c>
    </row>
    <row r="41883" spans="1:4" x14ac:dyDescent="0.2">
      <c r="A41883" t="s">
        <v>13459</v>
      </c>
      <c r="B41883" t="str">
        <f>HYPERLINK("https://lindat.mff.cuni.cz/services/teitok/pdtc10/index.php?action=vallex&amp;frame=v-w5761f1", "rozrůst se (v-w5761f1)")</f>
        <v>rozrůst se (v-w5761f1)</v>
      </c>
    </row>
    <row r="41884" spans="1:4" x14ac:dyDescent="0.2">
      <c r="B41884" t="s">
        <v>1</v>
      </c>
      <c r="C41884" t="s">
        <v>13460</v>
      </c>
      <c r="D41884" t="s">
        <v>23510</v>
      </c>
    </row>
    <row r="41885" spans="1:4" x14ac:dyDescent="0.2">
      <c r="B41885" t="s">
        <v>438</v>
      </c>
      <c r="C41885" t="s">
        <v>13461</v>
      </c>
      <c r="D41885" t="s">
        <v>24143</v>
      </c>
    </row>
    <row r="41886" spans="1:4" x14ac:dyDescent="0.2">
      <c r="B41886" t="s">
        <v>3431</v>
      </c>
      <c r="C41886" t="s">
        <v>13462</v>
      </c>
      <c r="D41886" t="s">
        <v>24144</v>
      </c>
    </row>
    <row r="41888" spans="1:4" x14ac:dyDescent="0.2">
      <c r="A41888" t="s">
        <v>13463</v>
      </c>
      <c r="B41888" t="str">
        <f>HYPERLINK("https://lindat.mff.cuni.cz/services/teitok/pdtc10/index.php?action=vallex&amp;frame=v-w5761f3_ZU", "rozrůst se (v-w5761f3_ZU)")</f>
        <v>rozrůst se (v-w5761f3_ZU)</v>
      </c>
    </row>
    <row r="41889" spans="1:4" x14ac:dyDescent="0.2">
      <c r="B41889" t="s">
        <v>1</v>
      </c>
    </row>
    <row r="41891" spans="1:4" x14ac:dyDescent="0.2">
      <c r="A41891" t="s">
        <v>13463</v>
      </c>
      <c r="B41891" t="str">
        <f>HYPERLINK("https://lindat.mff.cuni.cz/services/teitok/pdtc10/index.php?action=vallex&amp;frame=v-w5761f2_ZU", "rozrůst se (v-w5761f2_ZU) - substituted with v-w5761f3_ZU")</f>
        <v>rozrůst se (v-w5761f2_ZU) - substituted with v-w5761f3_ZU</v>
      </c>
    </row>
    <row r="41892" spans="1:4" x14ac:dyDescent="0.2">
      <c r="B41892" t="s">
        <v>1</v>
      </c>
    </row>
    <row r="41894" spans="1:4" x14ac:dyDescent="0.2">
      <c r="A41894" t="s">
        <v>13464</v>
      </c>
      <c r="B41894" t="str">
        <f>HYPERLINK("https://lindat.mff.cuni.cz/services/teitok/pdtc10/index.php?action=vallex&amp;frame=v-w5760f1", "rozrůstat se (v-w5760f1)")</f>
        <v>rozrůstat se (v-w5760f1)</v>
      </c>
    </row>
    <row r="41895" spans="1:4" x14ac:dyDescent="0.2">
      <c r="B41895" t="s">
        <v>1</v>
      </c>
      <c r="C41895" t="s">
        <v>13465</v>
      </c>
      <c r="D41895" t="s">
        <v>23510</v>
      </c>
    </row>
    <row r="41896" spans="1:4" x14ac:dyDescent="0.2">
      <c r="B41896" t="s">
        <v>438</v>
      </c>
      <c r="C41896" t="s">
        <v>13466</v>
      </c>
      <c r="D41896" t="s">
        <v>24143</v>
      </c>
    </row>
    <row r="41897" spans="1:4" x14ac:dyDescent="0.2">
      <c r="B41897" t="s">
        <v>3431</v>
      </c>
      <c r="C41897" t="s">
        <v>13467</v>
      </c>
      <c r="D41897" t="s">
        <v>24144</v>
      </c>
    </row>
    <row r="41899" spans="1:4" x14ac:dyDescent="0.2">
      <c r="A41899" t="s">
        <v>13468</v>
      </c>
      <c r="B41899" t="str">
        <f>HYPERLINK("https://lindat.mff.cuni.cz/services/teitok/pdtc10/index.php?action=vallex&amp;frame=v-w5760hsa_689", "rozrůstat se (v-w5760hsa_689)")</f>
        <v>rozrůstat se (v-w5760hsa_689)</v>
      </c>
    </row>
    <row r="41900" spans="1:4" x14ac:dyDescent="0.2">
      <c r="B41900" t="s">
        <v>1</v>
      </c>
    </row>
    <row r="41902" spans="1:4" x14ac:dyDescent="0.2">
      <c r="A41902" t="s">
        <v>13469</v>
      </c>
      <c r="B41902" t="str">
        <f>HYPERLINK("https://lindat.mff.cuni.cz/services/teitok/pdtc10/index.php?action=vallex&amp;frame=v-w11315f1", "rozrůznit se (v-w11315f1)")</f>
        <v>rozrůznit se (v-w11315f1)</v>
      </c>
    </row>
    <row r="41903" spans="1:4" x14ac:dyDescent="0.2">
      <c r="B41903" t="s">
        <v>1</v>
      </c>
    </row>
    <row r="41905" spans="1:2" x14ac:dyDescent="0.2">
      <c r="A41905" t="s">
        <v>13470</v>
      </c>
      <c r="B41905" t="str">
        <f>HYPERLINK("https://lindat.mff.cuni.cz/services/teitok/pdtc10/index.php?action=vallex&amp;frame=v-whsb_0hsa_1", "rozsazovat (v-whsb_0hsa_1)")</f>
        <v>rozsazovat (v-whsb_0hsa_1)</v>
      </c>
    </row>
    <row r="41906" spans="1:2" x14ac:dyDescent="0.2">
      <c r="B41906" t="s">
        <v>1</v>
      </c>
    </row>
    <row r="41907" spans="1:2" x14ac:dyDescent="0.2">
      <c r="B41907" t="s">
        <v>8</v>
      </c>
    </row>
    <row r="41908" spans="1:2" x14ac:dyDescent="0.2">
      <c r="B41908" t="s">
        <v>90</v>
      </c>
    </row>
    <row r="41910" spans="1:2" x14ac:dyDescent="0.2">
      <c r="A41910" t="s">
        <v>13471</v>
      </c>
      <c r="B41910" t="str">
        <f>HYPERLINK("https://lindat.mff.cuni.cz/services/teitok/pdtc10/index.php?action=vallex&amp;frame=v-whsa_0hsa_2", "rozsazovat (v-whsa_0hsa_2)")</f>
        <v>rozsazovat (v-whsa_0hsa_2)</v>
      </c>
    </row>
    <row r="41911" spans="1:2" x14ac:dyDescent="0.2">
      <c r="B41911" t="s">
        <v>1</v>
      </c>
    </row>
    <row r="41912" spans="1:2" x14ac:dyDescent="0.2">
      <c r="B41912" t="s">
        <v>8</v>
      </c>
    </row>
    <row r="41913" spans="1:2" x14ac:dyDescent="0.2">
      <c r="B41913" t="s">
        <v>5</v>
      </c>
    </row>
    <row r="41915" spans="1:2" x14ac:dyDescent="0.2">
      <c r="A41915" t="s">
        <v>13472</v>
      </c>
      <c r="B41915" t="str">
        <f>HYPERLINK("https://lindat.mff.cuni.cz/services/teitok/pdtc10/index.php?action=vallex&amp;frame=v-whsa_1330hsa_1331", "rozsekat (v-whsa_1330hsa_1331)")</f>
        <v>rozsekat (v-whsa_1330hsa_1331)</v>
      </c>
    </row>
    <row r="41916" spans="1:2" x14ac:dyDescent="0.2">
      <c r="B41916" t="s">
        <v>1</v>
      </c>
    </row>
    <row r="41917" spans="1:2" x14ac:dyDescent="0.2">
      <c r="B41917" t="s">
        <v>8</v>
      </c>
    </row>
    <row r="41918" spans="1:2" x14ac:dyDescent="0.2">
      <c r="B41918" t="s">
        <v>61</v>
      </c>
    </row>
    <row r="41920" spans="1:2" x14ac:dyDescent="0.2">
      <c r="A41920" t="s">
        <v>13473</v>
      </c>
      <c r="B41920" t="str">
        <f>HYPERLINK("https://lindat.mff.cuni.cz/services/teitok/pdtc10/index.php?action=vallex&amp;frame=v-w11945_ZUf1_ZU", "rozseknout (v-w11945_ZUf1_ZU)")</f>
        <v>rozseknout (v-w11945_ZUf1_ZU)</v>
      </c>
    </row>
    <row r="41921" spans="1:4" x14ac:dyDescent="0.2">
      <c r="B41921" t="s">
        <v>1</v>
      </c>
    </row>
    <row r="41922" spans="1:4" x14ac:dyDescent="0.2">
      <c r="B41922" t="s">
        <v>8</v>
      </c>
    </row>
    <row r="41924" spans="1:4" x14ac:dyDescent="0.2">
      <c r="A41924" t="s">
        <v>13474</v>
      </c>
      <c r="B41924" t="str">
        <f>HYPERLINK("https://lindat.mff.cuni.cz/services/teitok/pdtc10/index.php?action=vallex&amp;frame=v-whsa_509hsa_510", "rozsoudit (v-whsa_509hsa_510)")</f>
        <v>rozsoudit (v-whsa_509hsa_510)</v>
      </c>
    </row>
    <row r="41925" spans="1:4" x14ac:dyDescent="0.2">
      <c r="B41925" t="s">
        <v>1</v>
      </c>
    </row>
    <row r="41926" spans="1:4" x14ac:dyDescent="0.2">
      <c r="B41926" t="s">
        <v>8</v>
      </c>
    </row>
    <row r="41928" spans="1:4" x14ac:dyDescent="0.2">
      <c r="A41928" t="s">
        <v>13475</v>
      </c>
      <c r="B41928" t="str">
        <f>HYPERLINK("https://lindat.mff.cuni.cz/services/teitok/pdtc10/index.php?action=vallex&amp;frame=v-w10954f3", "rozstřikovat (v-w10954f3)")</f>
        <v>rozstřikovat (v-w10954f3)</v>
      </c>
    </row>
    <row r="41929" spans="1:4" x14ac:dyDescent="0.2">
      <c r="B41929" t="s">
        <v>1</v>
      </c>
      <c r="C41929" t="s">
        <v>133</v>
      </c>
      <c r="D41929" t="s">
        <v>133</v>
      </c>
    </row>
    <row r="41930" spans="1:4" x14ac:dyDescent="0.2">
      <c r="B41930" t="s">
        <v>8</v>
      </c>
      <c r="C41930" t="s">
        <v>991</v>
      </c>
      <c r="D41930" t="s">
        <v>1128</v>
      </c>
    </row>
    <row r="41932" spans="1:4" x14ac:dyDescent="0.2">
      <c r="A41932" t="s">
        <v>13476</v>
      </c>
      <c r="B41932" t="str">
        <f>HYPERLINK("https://lindat.mff.cuni.cz/services/teitok/pdtc10/index.php?action=vallex&amp;frame=v-w11710_ZUf1_ZU", "rozstříhat (v-w11710_ZUf1_ZU)")</f>
        <v>rozstříhat (v-w11710_ZUf1_ZU)</v>
      </c>
    </row>
    <row r="41933" spans="1:4" x14ac:dyDescent="0.2">
      <c r="B41933" t="s">
        <v>1</v>
      </c>
    </row>
    <row r="41934" spans="1:4" x14ac:dyDescent="0.2">
      <c r="B41934" t="s">
        <v>8</v>
      </c>
    </row>
    <row r="41935" spans="1:4" x14ac:dyDescent="0.2">
      <c r="B41935" t="s">
        <v>61</v>
      </c>
    </row>
    <row r="41937" spans="1:4" x14ac:dyDescent="0.2">
      <c r="A41937" t="s">
        <v>13477</v>
      </c>
      <c r="B41937" t="str">
        <f>HYPERLINK("https://lindat.mff.cuni.cz/services/teitok/pdtc10/index.php?action=vallex&amp;frame=v-w5769f1", "rozstřílet (v-w5769f1)")</f>
        <v>rozstřílet (v-w5769f1)</v>
      </c>
    </row>
    <row r="41938" spans="1:4" x14ac:dyDescent="0.2">
      <c r="B41938" t="s">
        <v>1</v>
      </c>
    </row>
    <row r="41939" spans="1:4" x14ac:dyDescent="0.2">
      <c r="B41939" t="s">
        <v>8</v>
      </c>
    </row>
    <row r="41941" spans="1:4" x14ac:dyDescent="0.2">
      <c r="A41941" t="s">
        <v>13478</v>
      </c>
      <c r="B41941" t="str">
        <f>HYPERLINK("https://lindat.mff.cuni.cz/services/teitok/pdtc10/index.php?action=vallex&amp;frame=v-w5769f2_ZU", "rozstřílet (v-w5769f2_ZU)")</f>
        <v>rozstřílet (v-w5769f2_ZU)</v>
      </c>
    </row>
    <row r="41942" spans="1:4" x14ac:dyDescent="0.2">
      <c r="B41942" t="s">
        <v>1</v>
      </c>
    </row>
    <row r="41943" spans="1:4" x14ac:dyDescent="0.2">
      <c r="B41943" t="s">
        <v>8</v>
      </c>
    </row>
    <row r="41944" spans="1:4" x14ac:dyDescent="0.2">
      <c r="B41944" t="s">
        <v>61</v>
      </c>
    </row>
    <row r="41946" spans="1:4" x14ac:dyDescent="0.2">
      <c r="A41946" t="s">
        <v>13479</v>
      </c>
      <c r="B41946" t="str">
        <f>HYPERLINK("https://lindat.mff.cuni.cz/services/teitok/pdtc10/index.php?action=vallex&amp;frame=v-w5772f1", "rozsvítit (v-w5772f1)")</f>
        <v>rozsvítit (v-w5772f1)</v>
      </c>
    </row>
    <row r="41947" spans="1:4" x14ac:dyDescent="0.2">
      <c r="B41947" t="s">
        <v>1</v>
      </c>
      <c r="D41947" t="s">
        <v>33</v>
      </c>
    </row>
    <row r="41948" spans="1:4" x14ac:dyDescent="0.2">
      <c r="B41948" t="s">
        <v>8</v>
      </c>
      <c r="D41948" t="s">
        <v>113</v>
      </c>
    </row>
    <row r="41950" spans="1:4" x14ac:dyDescent="0.2">
      <c r="A41950" t="s">
        <v>13480</v>
      </c>
      <c r="B41950" t="str">
        <f>HYPERLINK("https://lindat.mff.cuni.cz/services/teitok/pdtc10/index.php?action=vallex&amp;frame=v-w5773f1", "rozsvítit se (v-w5773f1)")</f>
        <v>rozsvítit se (v-w5773f1)</v>
      </c>
    </row>
    <row r="41951" spans="1:4" x14ac:dyDescent="0.2">
      <c r="B41951" t="s">
        <v>1</v>
      </c>
    </row>
    <row r="41953" spans="1:2" x14ac:dyDescent="0.2">
      <c r="A41953" t="s">
        <v>13481</v>
      </c>
      <c r="B41953" t="str">
        <f>HYPERLINK("https://lindat.mff.cuni.cz/services/teitok/pdtc10/index.php?action=vallex&amp;frame=v-w11027f3_ZU", "rozsvěcet (v-w11027f3_ZU)")</f>
        <v>rozsvěcet (v-w11027f3_ZU)</v>
      </c>
    </row>
    <row r="41954" spans="1:2" x14ac:dyDescent="0.2">
      <c r="B41954" t="s">
        <v>1</v>
      </c>
    </row>
    <row r="41955" spans="1:2" x14ac:dyDescent="0.2">
      <c r="B41955" t="s">
        <v>8</v>
      </c>
    </row>
    <row r="41957" spans="1:2" x14ac:dyDescent="0.2">
      <c r="A41957" t="s">
        <v>13481</v>
      </c>
      <c r="B41957" t="str">
        <f>HYPERLINK("https://lindat.mff.cuni.cz/services/teitok/pdtc10/index.php?action=vallex&amp;frame=v-w11027f2", "rozsvěcet (v-w11027f2) - substituted with v-w11027f3_ZU")</f>
        <v>rozsvěcet (v-w11027f2) - substituted with v-w11027f3_ZU</v>
      </c>
    </row>
    <row r="41958" spans="1:2" x14ac:dyDescent="0.2">
      <c r="B41958" t="s">
        <v>1</v>
      </c>
    </row>
    <row r="41959" spans="1:2" x14ac:dyDescent="0.2">
      <c r="B41959" t="s">
        <v>8</v>
      </c>
    </row>
    <row r="41961" spans="1:2" x14ac:dyDescent="0.2">
      <c r="A41961" t="s">
        <v>13482</v>
      </c>
      <c r="B41961" t="str">
        <f>HYPERLINK("https://lindat.mff.cuni.cz/services/teitok/pdtc10/index.php?action=vallex&amp;frame=v-w11306f1", "rozsvěcovat se (v-w11306f1)")</f>
        <v>rozsvěcovat se (v-w11306f1)</v>
      </c>
    </row>
    <row r="41962" spans="1:2" x14ac:dyDescent="0.2">
      <c r="B41962" t="s">
        <v>1</v>
      </c>
    </row>
    <row r="41964" spans="1:2" x14ac:dyDescent="0.2">
      <c r="A41964" t="s">
        <v>13483</v>
      </c>
      <c r="B41964" t="str">
        <f>HYPERLINK("https://lindat.mff.cuni.cz/services/teitok/pdtc10/index.php?action=vallex&amp;frame=v-w11727_ZUf1_ZU", "rozsypat (v-w11727_ZUf1_ZU)")</f>
        <v>rozsypat (v-w11727_ZUf1_ZU)</v>
      </c>
    </row>
    <row r="41965" spans="1:2" x14ac:dyDescent="0.2">
      <c r="B41965" t="s">
        <v>1</v>
      </c>
    </row>
    <row r="41966" spans="1:2" x14ac:dyDescent="0.2">
      <c r="B41966" t="s">
        <v>8</v>
      </c>
    </row>
    <row r="41968" spans="1:2" x14ac:dyDescent="0.2">
      <c r="A41968" t="s">
        <v>13484</v>
      </c>
      <c r="B41968" t="str">
        <f>HYPERLINK("https://lindat.mff.cuni.cz/services/teitok/pdtc10/index.php?action=vallex&amp;frame=v-w5774f1", "rozsypat se (v-w5774f1)")</f>
        <v>rozsypat se (v-w5774f1)</v>
      </c>
    </row>
    <row r="41969" spans="1:2" x14ac:dyDescent="0.2">
      <c r="B41969" t="s">
        <v>1</v>
      </c>
    </row>
    <row r="41971" spans="1:2" x14ac:dyDescent="0.2">
      <c r="A41971" t="s">
        <v>13485</v>
      </c>
      <c r="B41971" t="str">
        <f>HYPERLINK("https://lindat.mff.cuni.cz/services/teitok/pdtc10/index.php?action=vallex&amp;frame=v-w5775f1", "rozsypávat se (v-w5775f1)")</f>
        <v>rozsypávat se (v-w5775f1)</v>
      </c>
    </row>
    <row r="41972" spans="1:2" x14ac:dyDescent="0.2">
      <c r="B41972" t="s">
        <v>1</v>
      </c>
    </row>
    <row r="41974" spans="1:2" x14ac:dyDescent="0.2">
      <c r="A41974" t="s">
        <v>13486</v>
      </c>
      <c r="B41974" t="str">
        <f>HYPERLINK("https://lindat.mff.cuni.cz/services/teitok/pdtc10/index.php?action=vallex&amp;frame=v-w5768f1", "rozsít (v-w5768f1)")</f>
        <v>rozsít (v-w5768f1)</v>
      </c>
    </row>
    <row r="41975" spans="1:2" x14ac:dyDescent="0.2">
      <c r="B41975" t="s">
        <v>1</v>
      </c>
    </row>
    <row r="41976" spans="1:2" x14ac:dyDescent="0.2">
      <c r="B41976" t="s">
        <v>8</v>
      </c>
    </row>
    <row r="41977" spans="1:2" x14ac:dyDescent="0.2">
      <c r="B41977" t="s">
        <v>5</v>
      </c>
    </row>
    <row r="41979" spans="1:2" x14ac:dyDescent="0.2">
      <c r="A41979" t="s">
        <v>13487</v>
      </c>
      <c r="B41979" t="str">
        <f>HYPERLINK("https://lindat.mff.cuni.cz/services/teitok/pdtc10/index.php?action=vallex&amp;frame=v-w5768f2", "rozsít (v-w5768f2)")</f>
        <v>rozsít (v-w5768f2)</v>
      </c>
    </row>
    <row r="41980" spans="1:2" x14ac:dyDescent="0.2">
      <c r="B41980" t="s">
        <v>1</v>
      </c>
    </row>
    <row r="41981" spans="1:2" x14ac:dyDescent="0.2">
      <c r="B41981" t="s">
        <v>8</v>
      </c>
    </row>
    <row r="41982" spans="1:2" x14ac:dyDescent="0.2">
      <c r="B41982" t="s">
        <v>90</v>
      </c>
    </row>
    <row r="41984" spans="1:2" x14ac:dyDescent="0.2">
      <c r="A41984" t="s">
        <v>13488</v>
      </c>
      <c r="B41984" t="str">
        <f>HYPERLINK("https://lindat.mff.cuni.cz/services/teitok/pdtc10/index.php?action=vallex&amp;frame=v-w11460f1", "roztahovat (v-w11460f1)")</f>
        <v>roztahovat (v-w11460f1)</v>
      </c>
    </row>
    <row r="41985" spans="1:4" x14ac:dyDescent="0.2">
      <c r="B41985" t="s">
        <v>1</v>
      </c>
    </row>
    <row r="41986" spans="1:4" x14ac:dyDescent="0.2">
      <c r="B41986" t="s">
        <v>8</v>
      </c>
    </row>
    <row r="41988" spans="1:4" x14ac:dyDescent="0.2">
      <c r="A41988" t="s">
        <v>13489</v>
      </c>
      <c r="B41988" t="str">
        <f>HYPERLINK("https://lindat.mff.cuni.cz/services/teitok/pdtc10/index.php?action=vallex&amp;frame=v-w11460f2_ZU", "roztahovat (v-w11460f2_ZU)")</f>
        <v>roztahovat (v-w11460f2_ZU)</v>
      </c>
    </row>
    <row r="41989" spans="1:4" x14ac:dyDescent="0.2">
      <c r="B41989" t="s">
        <v>1</v>
      </c>
    </row>
    <row r="41990" spans="1:4" x14ac:dyDescent="0.2">
      <c r="B41990" t="s">
        <v>8</v>
      </c>
    </row>
    <row r="41992" spans="1:4" x14ac:dyDescent="0.2">
      <c r="A41992" t="s">
        <v>13490</v>
      </c>
      <c r="B41992" t="str">
        <f>HYPERLINK("https://lindat.mff.cuni.cz/services/teitok/pdtc10/index.php?action=vallex&amp;frame=v-w5789f1", "roztahovat se (v-w5789f1)")</f>
        <v>roztahovat se (v-w5789f1)</v>
      </c>
    </row>
    <row r="41993" spans="1:4" x14ac:dyDescent="0.2">
      <c r="B41993" t="s">
        <v>1</v>
      </c>
      <c r="D41993" t="s">
        <v>24142</v>
      </c>
    </row>
    <row r="41995" spans="1:4" x14ac:dyDescent="0.2">
      <c r="A41995" t="s">
        <v>13491</v>
      </c>
      <c r="B41995" t="str">
        <f>HYPERLINK("https://lindat.mff.cuni.cz/services/teitok/pdtc10/index.php?action=vallex&amp;frame=v-w5790f1", "roztancovat (v-w5790f1)")</f>
        <v>roztancovat (v-w5790f1)</v>
      </c>
    </row>
    <row r="41996" spans="1:4" x14ac:dyDescent="0.2">
      <c r="B41996" t="s">
        <v>331</v>
      </c>
    </row>
    <row r="41997" spans="1:4" x14ac:dyDescent="0.2">
      <c r="B41997" t="s">
        <v>8</v>
      </c>
    </row>
    <row r="41999" spans="1:4" x14ac:dyDescent="0.2">
      <c r="A41999" t="s">
        <v>13492</v>
      </c>
      <c r="B41999" t="str">
        <f>HYPERLINK("https://lindat.mff.cuni.cz/services/teitok/pdtc10/index.php?action=vallex&amp;frame=v-w5791f1", "roztančit (v-w5791f1)")</f>
        <v>roztančit (v-w5791f1)</v>
      </c>
    </row>
    <row r="42000" spans="1:4" x14ac:dyDescent="0.2">
      <c r="B42000" t="s">
        <v>1</v>
      </c>
    </row>
    <row r="42001" spans="1:4" x14ac:dyDescent="0.2">
      <c r="B42001" t="s">
        <v>8</v>
      </c>
    </row>
    <row r="42003" spans="1:4" x14ac:dyDescent="0.2">
      <c r="A42003" t="s">
        <v>13493</v>
      </c>
      <c r="B42003" t="str">
        <f>HYPERLINK("https://lindat.mff.cuni.cz/services/teitok/pdtc10/index.php?action=vallex&amp;frame=v-w5793f1", "roztavit (v-w5793f1)")</f>
        <v>roztavit (v-w5793f1)</v>
      </c>
    </row>
    <row r="42004" spans="1:4" x14ac:dyDescent="0.2">
      <c r="B42004" t="s">
        <v>1</v>
      </c>
    </row>
    <row r="42005" spans="1:4" x14ac:dyDescent="0.2">
      <c r="B42005" t="s">
        <v>8</v>
      </c>
    </row>
    <row r="42007" spans="1:4" x14ac:dyDescent="0.2">
      <c r="A42007" t="s">
        <v>13494</v>
      </c>
      <c r="B42007" t="str">
        <f>HYPERLINK("https://lindat.mff.cuni.cz/services/teitok/pdtc10/index.php?action=vallex&amp;frame=v-w5794f1", "roztavit se (v-w5794f1)")</f>
        <v>roztavit se (v-w5794f1)</v>
      </c>
    </row>
    <row r="42008" spans="1:4" x14ac:dyDescent="0.2">
      <c r="B42008" t="s">
        <v>1</v>
      </c>
      <c r="C42008" t="s">
        <v>2172</v>
      </c>
      <c r="D42008" t="s">
        <v>2172</v>
      </c>
    </row>
    <row r="42010" spans="1:4" x14ac:dyDescent="0.2">
      <c r="A42010" t="s">
        <v>13495</v>
      </c>
      <c r="B42010" t="str">
        <f>HYPERLINK("https://lindat.mff.cuni.cz/services/teitok/pdtc10/index.php?action=vallex&amp;frame=v-w5795f1", "roztleskat (v-w5795f1)")</f>
        <v>roztleskat (v-w5795f1)</v>
      </c>
    </row>
    <row r="42011" spans="1:4" x14ac:dyDescent="0.2">
      <c r="B42011" t="s">
        <v>1</v>
      </c>
    </row>
    <row r="42012" spans="1:4" x14ac:dyDescent="0.2">
      <c r="B42012" t="s">
        <v>8</v>
      </c>
    </row>
    <row r="42014" spans="1:4" x14ac:dyDescent="0.2">
      <c r="A42014" t="s">
        <v>13496</v>
      </c>
      <c r="B42014" t="str">
        <f>HYPERLINK("https://lindat.mff.cuni.cz/services/teitok/pdtc10/index.php?action=vallex&amp;frame=v-w10349f2", "roztlouci (v-w10349f2)")</f>
        <v>roztlouci (v-w10349f2)</v>
      </c>
    </row>
    <row r="42015" spans="1:4" x14ac:dyDescent="0.2">
      <c r="B42015" t="s">
        <v>1</v>
      </c>
      <c r="C42015" t="s">
        <v>140</v>
      </c>
      <c r="D42015" t="s">
        <v>23088</v>
      </c>
    </row>
    <row r="42016" spans="1:4" x14ac:dyDescent="0.2">
      <c r="B42016" t="s">
        <v>8</v>
      </c>
      <c r="C42016" t="s">
        <v>113</v>
      </c>
      <c r="D42016" t="s">
        <v>986</v>
      </c>
    </row>
    <row r="42018" spans="1:4" x14ac:dyDescent="0.2">
      <c r="A42018" t="s">
        <v>13497</v>
      </c>
      <c r="B42018" t="str">
        <f>HYPERLINK("https://lindat.mff.cuni.cz/services/teitok/pdtc10/index.php?action=vallex&amp;frame=v-w11892_ZUf1_ZU", "roztloukat (v-w11892_ZUf1_ZU)")</f>
        <v>roztloukat (v-w11892_ZUf1_ZU)</v>
      </c>
    </row>
    <row r="42019" spans="1:4" x14ac:dyDescent="0.2">
      <c r="B42019" t="s">
        <v>1</v>
      </c>
    </row>
    <row r="42020" spans="1:4" x14ac:dyDescent="0.2">
      <c r="B42020" t="s">
        <v>8</v>
      </c>
    </row>
    <row r="42021" spans="1:4" x14ac:dyDescent="0.2">
      <c r="B42021" t="s">
        <v>61</v>
      </c>
    </row>
    <row r="42023" spans="1:4" x14ac:dyDescent="0.2">
      <c r="A42023" t="s">
        <v>13498</v>
      </c>
      <c r="B42023" t="str">
        <f>HYPERLINK("https://lindat.mff.cuni.cz/services/teitok/pdtc10/index.php?action=vallex&amp;frame=v-w10377f2", "roztočit (v-w10377f2)")</f>
        <v>roztočit (v-w10377f2)</v>
      </c>
    </row>
    <row r="42024" spans="1:4" x14ac:dyDescent="0.2">
      <c r="B42024" t="s">
        <v>1</v>
      </c>
      <c r="C42024" t="s">
        <v>249</v>
      </c>
      <c r="D42024" t="s">
        <v>13976</v>
      </c>
    </row>
    <row r="42025" spans="1:4" x14ac:dyDescent="0.2">
      <c r="B42025" t="s">
        <v>8</v>
      </c>
      <c r="C42025" t="s">
        <v>113</v>
      </c>
      <c r="D42025" t="s">
        <v>10414</v>
      </c>
    </row>
    <row r="42026" spans="1:4" x14ac:dyDescent="0.2">
      <c r="B42026" t="s">
        <v>205</v>
      </c>
      <c r="D42026" t="s">
        <v>23197</v>
      </c>
    </row>
    <row r="42028" spans="1:4" x14ac:dyDescent="0.2">
      <c r="A42028" t="s">
        <v>13499</v>
      </c>
      <c r="B42028" t="str">
        <f>HYPERLINK("https://lindat.mff.cuni.cz/services/teitok/pdtc10/index.php?action=vallex&amp;frame=v-w10377f3", "roztočit (v-w10377f3)")</f>
        <v>roztočit (v-w10377f3)</v>
      </c>
    </row>
    <row r="42029" spans="1:4" x14ac:dyDescent="0.2">
      <c r="B42029" t="s">
        <v>1</v>
      </c>
      <c r="C42029" t="s">
        <v>140</v>
      </c>
    </row>
    <row r="42030" spans="1:4" x14ac:dyDescent="0.2">
      <c r="B42030" t="s">
        <v>8</v>
      </c>
      <c r="C42030" t="s">
        <v>34</v>
      </c>
    </row>
    <row r="42032" spans="1:4" x14ac:dyDescent="0.2">
      <c r="A42032" t="s">
        <v>13500</v>
      </c>
      <c r="B42032" t="str">
        <f>HYPERLINK("https://lindat.mff.cuni.cz/services/teitok/pdtc10/index.php?action=vallex&amp;frame=v-w10377f4", "roztočit (v-w10377f4)")</f>
        <v>roztočit (v-w10377f4)</v>
      </c>
    </row>
    <row r="42033" spans="1:4" x14ac:dyDescent="0.2">
      <c r="B42033" t="s">
        <v>1</v>
      </c>
      <c r="C42033" t="s">
        <v>22</v>
      </c>
      <c r="D42033" t="s">
        <v>22950</v>
      </c>
    </row>
    <row r="42034" spans="1:4" x14ac:dyDescent="0.2">
      <c r="B42034" t="s">
        <v>8</v>
      </c>
      <c r="C42034" t="s">
        <v>1066</v>
      </c>
      <c r="D42034" t="s">
        <v>22951</v>
      </c>
    </row>
    <row r="42036" spans="1:4" x14ac:dyDescent="0.2">
      <c r="A42036" t="s">
        <v>13501</v>
      </c>
      <c r="B42036" t="str">
        <f>HYPERLINK("https://lindat.mff.cuni.cz/services/teitok/pdtc10/index.php?action=vallex&amp;frame=v-w10218f2", "roztrhat (v-w10218f2)")</f>
        <v>roztrhat (v-w10218f2)</v>
      </c>
    </row>
    <row r="42037" spans="1:4" x14ac:dyDescent="0.2">
      <c r="B42037" t="s">
        <v>1</v>
      </c>
      <c r="C42037" t="s">
        <v>33</v>
      </c>
    </row>
    <row r="42038" spans="1:4" x14ac:dyDescent="0.2">
      <c r="B42038" t="s">
        <v>8</v>
      </c>
    </row>
    <row r="42039" spans="1:4" x14ac:dyDescent="0.2">
      <c r="B42039" t="s">
        <v>61</v>
      </c>
    </row>
    <row r="42041" spans="1:4" x14ac:dyDescent="0.2">
      <c r="A42041" t="s">
        <v>13502</v>
      </c>
      <c r="B42041" t="str">
        <f>HYPERLINK("https://lindat.mff.cuni.cz/services/teitok/pdtc10/index.php?action=vallex&amp;frame=v-w11265f1", "roztrhat se (v-w11265f1)")</f>
        <v>roztrhat se (v-w11265f1)</v>
      </c>
    </row>
    <row r="42042" spans="1:4" x14ac:dyDescent="0.2">
      <c r="B42042" t="s">
        <v>1</v>
      </c>
      <c r="D42042" t="s">
        <v>24145</v>
      </c>
    </row>
    <row r="42044" spans="1:4" x14ac:dyDescent="0.2">
      <c r="A42044" t="s">
        <v>13503</v>
      </c>
      <c r="B42044" t="str">
        <f>HYPERLINK("https://lindat.mff.cuni.cz/services/teitok/pdtc10/index.php?action=vallex&amp;frame=v-w5797f1", "roztrhnout (v-w5797f1)")</f>
        <v>roztrhnout (v-w5797f1)</v>
      </c>
    </row>
    <row r="42045" spans="1:4" x14ac:dyDescent="0.2">
      <c r="B42045" t="s">
        <v>1</v>
      </c>
    </row>
    <row r="42046" spans="1:4" x14ac:dyDescent="0.2">
      <c r="B42046" t="s">
        <v>8</v>
      </c>
    </row>
    <row r="42047" spans="1:4" x14ac:dyDescent="0.2">
      <c r="B42047" t="s">
        <v>61</v>
      </c>
    </row>
    <row r="42049" spans="1:3" x14ac:dyDescent="0.2">
      <c r="A42049" t="s">
        <v>13504</v>
      </c>
      <c r="B42049" t="str">
        <f>HYPERLINK("https://lindat.mff.cuni.cz/services/teitok/pdtc10/index.php?action=vallex&amp;frame=v-w5798f1", "roztrhnout se (v-w5798f1)")</f>
        <v>roztrhnout se (v-w5798f1)</v>
      </c>
    </row>
    <row r="42050" spans="1:3" x14ac:dyDescent="0.2">
      <c r="B42050" t="s">
        <v>1</v>
      </c>
    </row>
    <row r="42052" spans="1:3" x14ac:dyDescent="0.2">
      <c r="A42052" t="s">
        <v>13505</v>
      </c>
      <c r="B42052" t="str">
        <f>HYPERLINK("https://lindat.mff.cuni.cz/services/teitok/pdtc10/index.php?action=vallex&amp;frame=v-w5799f1", "roztrousit (v-w5799f1)")</f>
        <v>roztrousit (v-w5799f1)</v>
      </c>
    </row>
    <row r="42053" spans="1:3" x14ac:dyDescent="0.2">
      <c r="B42053" t="s">
        <v>1</v>
      </c>
    </row>
    <row r="42054" spans="1:3" x14ac:dyDescent="0.2">
      <c r="B42054" t="s">
        <v>8</v>
      </c>
      <c r="C42054" t="s">
        <v>13506</v>
      </c>
    </row>
    <row r="42056" spans="1:3" x14ac:dyDescent="0.2">
      <c r="A42056" t="s">
        <v>13507</v>
      </c>
      <c r="B42056" t="str">
        <f>HYPERLINK("https://lindat.mff.cuni.cz/services/teitok/pdtc10/index.php?action=vallex&amp;frame=v-w5799f2_ZU", "roztrousit (v-w5799f2_ZU)")</f>
        <v>roztrousit (v-w5799f2_ZU)</v>
      </c>
    </row>
    <row r="42057" spans="1:3" x14ac:dyDescent="0.2">
      <c r="B42057" t="s">
        <v>1</v>
      </c>
    </row>
    <row r="42058" spans="1:3" x14ac:dyDescent="0.2">
      <c r="B42058" t="s">
        <v>8</v>
      </c>
      <c r="C42058" t="s">
        <v>113</v>
      </c>
    </row>
    <row r="42059" spans="1:3" x14ac:dyDescent="0.2">
      <c r="B42059" t="s">
        <v>5</v>
      </c>
      <c r="C42059" t="s">
        <v>13508</v>
      </c>
    </row>
    <row r="42061" spans="1:3" x14ac:dyDescent="0.2">
      <c r="A42061" t="s">
        <v>13507</v>
      </c>
      <c r="B42061" t="str">
        <f>HYPERLINK("https://lindat.mff.cuni.cz/services/teitok/pdtc10/index.php?action=vallex&amp;frame=v-w5799hsa_1236", "roztrousit (v-w5799hsa_1236) - substituted with v-w5799f2_ZU")</f>
        <v>roztrousit (v-w5799hsa_1236) - substituted with v-w5799f2_ZU</v>
      </c>
    </row>
    <row r="42062" spans="1:3" x14ac:dyDescent="0.2">
      <c r="B42062" t="s">
        <v>1</v>
      </c>
    </row>
    <row r="42063" spans="1:3" x14ac:dyDescent="0.2">
      <c r="B42063" t="s">
        <v>8</v>
      </c>
    </row>
    <row r="42064" spans="1:3" x14ac:dyDescent="0.2">
      <c r="B42064" t="s">
        <v>5</v>
      </c>
    </row>
    <row r="42066" spans="1:4" x14ac:dyDescent="0.2">
      <c r="A42066" t="s">
        <v>13509</v>
      </c>
      <c r="B42066" t="str">
        <f>HYPERLINK("https://lindat.mff.cuni.cz/services/teitok/pdtc10/index.php?action=vallex&amp;frame=v-w10450f2", "roztrpčit (v-w10450f2)")</f>
        <v>roztrpčit (v-w10450f2)</v>
      </c>
    </row>
    <row r="42067" spans="1:4" x14ac:dyDescent="0.2">
      <c r="B42067" t="s">
        <v>1</v>
      </c>
    </row>
    <row r="42068" spans="1:4" x14ac:dyDescent="0.2">
      <c r="B42068" t="s">
        <v>8</v>
      </c>
    </row>
    <row r="42070" spans="1:4" x14ac:dyDescent="0.2">
      <c r="A42070" t="s">
        <v>13510</v>
      </c>
      <c r="B42070" t="str">
        <f>HYPERLINK("https://lindat.mff.cuni.cz/services/teitok/pdtc10/index.php?action=vallex&amp;frame=v-whsa_655hsa_656", "roztrpčovat (v-whsa_655hsa_656)")</f>
        <v>roztrpčovat (v-whsa_655hsa_656)</v>
      </c>
    </row>
    <row r="42071" spans="1:4" x14ac:dyDescent="0.2">
      <c r="B42071" t="s">
        <v>1</v>
      </c>
    </row>
    <row r="42072" spans="1:4" x14ac:dyDescent="0.2">
      <c r="B42072" t="s">
        <v>8</v>
      </c>
    </row>
    <row r="42074" spans="1:4" x14ac:dyDescent="0.2">
      <c r="A42074" t="s">
        <v>13511</v>
      </c>
      <c r="B42074" t="str">
        <f>HYPERLINK("https://lindat.mff.cuni.cz/services/teitok/pdtc10/index.php?action=vallex&amp;frame=v-w5786f1", "roztáhnout (v-w5786f1)")</f>
        <v>roztáhnout (v-w5786f1)</v>
      </c>
    </row>
    <row r="42075" spans="1:4" x14ac:dyDescent="0.2">
      <c r="B42075" t="s">
        <v>1</v>
      </c>
    </row>
    <row r="42076" spans="1:4" x14ac:dyDescent="0.2">
      <c r="B42076" t="s">
        <v>8</v>
      </c>
    </row>
    <row r="42078" spans="1:4" x14ac:dyDescent="0.2">
      <c r="A42078" t="s">
        <v>13512</v>
      </c>
      <c r="B42078" t="str">
        <f>HYPERLINK("https://lindat.mff.cuni.cz/services/teitok/pdtc10/index.php?action=vallex&amp;frame=v-w5787f1", "roztáhnout se (v-w5787f1)")</f>
        <v>roztáhnout se (v-w5787f1)</v>
      </c>
    </row>
    <row r="42079" spans="1:4" x14ac:dyDescent="0.2">
      <c r="B42079" t="s">
        <v>1</v>
      </c>
      <c r="D42079" t="s">
        <v>24142</v>
      </c>
    </row>
    <row r="42081" spans="1:2" x14ac:dyDescent="0.2">
      <c r="A42081" t="s">
        <v>13513</v>
      </c>
      <c r="B42081" t="str">
        <f>HYPERLINK("https://lindat.mff.cuni.cz/services/teitok/pdtc10/index.php?action=vallex&amp;frame=v-w5792f1", "roztát (v-w5792f1)")</f>
        <v>roztát (v-w5792f1)</v>
      </c>
    </row>
    <row r="42082" spans="1:2" x14ac:dyDescent="0.2">
      <c r="B42082" t="s">
        <v>1</v>
      </c>
    </row>
    <row r="42084" spans="1:2" x14ac:dyDescent="0.2">
      <c r="A42084" t="s">
        <v>13514</v>
      </c>
      <c r="B42084" t="str">
        <f>HYPERLINK("https://lindat.mff.cuni.cz/services/teitok/pdtc10/index.php?action=vallex&amp;frame=v-w5785f1", "roztáčet (v-w5785f1)")</f>
        <v>roztáčet (v-w5785f1)</v>
      </c>
    </row>
    <row r="42085" spans="1:2" x14ac:dyDescent="0.2">
      <c r="B42085" t="s">
        <v>1</v>
      </c>
    </row>
    <row r="42086" spans="1:2" x14ac:dyDescent="0.2">
      <c r="B42086" t="s">
        <v>8</v>
      </c>
    </row>
    <row r="42088" spans="1:2" x14ac:dyDescent="0.2">
      <c r="A42088" t="s">
        <v>13515</v>
      </c>
      <c r="B42088" t="str">
        <f>HYPERLINK("https://lindat.mff.cuni.cz/services/teitok/pdtc10/index.php?action=vallex&amp;frame=v-w5785f2_ZU", "roztáčet (v-w5785f2_ZU)")</f>
        <v>roztáčet (v-w5785f2_ZU)</v>
      </c>
    </row>
    <row r="42089" spans="1:2" x14ac:dyDescent="0.2">
      <c r="B42089" t="s">
        <v>1</v>
      </c>
    </row>
    <row r="42090" spans="1:2" x14ac:dyDescent="0.2">
      <c r="B42090" t="s">
        <v>8</v>
      </c>
    </row>
    <row r="42092" spans="1:2" x14ac:dyDescent="0.2">
      <c r="A42092" t="s">
        <v>13516</v>
      </c>
      <c r="B42092" t="str">
        <f>HYPERLINK("https://lindat.mff.cuni.cz/services/teitok/pdtc10/index.php?action=vallex&amp;frame=v-w5785hsa_248", "roztáčet (v-w5785hsa_248)")</f>
        <v>roztáčet (v-w5785hsa_248)</v>
      </c>
    </row>
    <row r="42093" spans="1:2" x14ac:dyDescent="0.2">
      <c r="B42093" t="s">
        <v>1</v>
      </c>
    </row>
    <row r="42094" spans="1:2" x14ac:dyDescent="0.2">
      <c r="B42094" t="s">
        <v>8</v>
      </c>
    </row>
    <row r="42096" spans="1:2" x14ac:dyDescent="0.2">
      <c r="A42096" t="s">
        <v>13517</v>
      </c>
      <c r="B42096" t="str">
        <f>HYPERLINK("https://lindat.mff.cuni.cz/services/teitok/pdtc10/index.php?action=vallex&amp;frame=v-whsa_523f2_ZU", "roztéci se (v-whsa_523f2_ZU)")</f>
        <v>roztéci se (v-whsa_523f2_ZU)</v>
      </c>
    </row>
    <row r="42097" spans="1:4" x14ac:dyDescent="0.2">
      <c r="B42097" t="s">
        <v>1</v>
      </c>
      <c r="C42097" t="s">
        <v>147</v>
      </c>
      <c r="D42097" t="s">
        <v>715</v>
      </c>
    </row>
    <row r="42099" spans="1:4" x14ac:dyDescent="0.2">
      <c r="A42099" t="s">
        <v>13517</v>
      </c>
      <c r="B42099" t="str">
        <f>HYPERLINK("https://lindat.mff.cuni.cz/services/teitok/pdtc10/index.php?action=vallex&amp;frame=v-whsa_523f1_ZU", "roztéci se (v-whsa_523f1_ZU) - substituted with v-whsa_523f2_ZU")</f>
        <v>roztéci se (v-whsa_523f1_ZU) - substituted with v-whsa_523f2_ZU</v>
      </c>
    </row>
    <row r="42100" spans="1:4" x14ac:dyDescent="0.2">
      <c r="B42100" t="s">
        <v>1</v>
      </c>
    </row>
    <row r="42102" spans="1:4" x14ac:dyDescent="0.2">
      <c r="A42102" t="s">
        <v>13517</v>
      </c>
      <c r="B42102" t="str">
        <f>HYPERLINK("https://lindat.mff.cuni.cz/services/teitok/pdtc10/index.php?action=vallex&amp;frame=v-whsa_523hsa_524", "roztéci se (v-whsa_523hsa_524) - substituted with v-whsa_523f2_ZU")</f>
        <v>roztéci se (v-whsa_523hsa_524) - substituted with v-whsa_523f2_ZU</v>
      </c>
    </row>
    <row r="42103" spans="1:4" x14ac:dyDescent="0.2">
      <c r="B42103" t="s">
        <v>1</v>
      </c>
    </row>
    <row r="42105" spans="1:4" x14ac:dyDescent="0.2">
      <c r="A42105" t="s">
        <v>13518</v>
      </c>
      <c r="B42105" t="str">
        <f>HYPERLINK("https://lindat.mff.cuni.cz/services/teitok/pdtc10/index.php?action=vallex&amp;frame=v-whsa_593hsa_594", "roztékat se (v-whsa_593hsa_594)")</f>
        <v>roztékat se (v-whsa_593hsa_594)</v>
      </c>
    </row>
    <row r="42106" spans="1:4" x14ac:dyDescent="0.2">
      <c r="B42106" t="s">
        <v>1</v>
      </c>
      <c r="C42106" t="s">
        <v>147</v>
      </c>
      <c r="D42106" t="s">
        <v>2172</v>
      </c>
    </row>
    <row r="42108" spans="1:4" x14ac:dyDescent="0.2">
      <c r="A42108" t="s">
        <v>13519</v>
      </c>
      <c r="B42108" t="str">
        <f>HYPERLINK("https://lindat.mff.cuni.cz/services/teitok/pdtc10/index.php?action=vallex&amp;frame=v-w10538f2", "roztřiďovat (v-w10538f2)")</f>
        <v>roztřiďovat (v-w10538f2)</v>
      </c>
    </row>
    <row r="42109" spans="1:4" x14ac:dyDescent="0.2">
      <c r="B42109" t="s">
        <v>1</v>
      </c>
      <c r="D42109" t="s">
        <v>3583</v>
      </c>
    </row>
    <row r="42110" spans="1:4" x14ac:dyDescent="0.2">
      <c r="B42110" t="s">
        <v>8</v>
      </c>
      <c r="D42110" t="s">
        <v>2113</v>
      </c>
    </row>
    <row r="42111" spans="1:4" x14ac:dyDescent="0.2">
      <c r="B42111" t="s">
        <v>4283</v>
      </c>
      <c r="D42111" t="s">
        <v>23395</v>
      </c>
    </row>
    <row r="42113" spans="1:4" x14ac:dyDescent="0.2">
      <c r="A42113" t="s">
        <v>13520</v>
      </c>
      <c r="B42113" t="str">
        <f>HYPERLINK("https://lindat.mff.cuni.cz/services/teitok/pdtc10/index.php?action=vallex&amp;frame=v-w5801f1", "roztřídit (v-w5801f1)")</f>
        <v>roztřídit (v-w5801f1)</v>
      </c>
    </row>
    <row r="42114" spans="1:4" x14ac:dyDescent="0.2">
      <c r="B42114" t="s">
        <v>1</v>
      </c>
      <c r="D42114" t="s">
        <v>3583</v>
      </c>
    </row>
    <row r="42115" spans="1:4" x14ac:dyDescent="0.2">
      <c r="B42115" t="s">
        <v>8</v>
      </c>
      <c r="C42115" t="s">
        <v>991</v>
      </c>
      <c r="D42115" t="s">
        <v>2113</v>
      </c>
    </row>
    <row r="42116" spans="1:4" x14ac:dyDescent="0.2">
      <c r="B42116" t="s">
        <v>4283</v>
      </c>
      <c r="D42116" t="s">
        <v>23395</v>
      </c>
    </row>
    <row r="42118" spans="1:4" x14ac:dyDescent="0.2">
      <c r="A42118" t="s">
        <v>13521</v>
      </c>
      <c r="B42118" t="str">
        <f>HYPERLINK("https://lindat.mff.cuni.cz/services/teitok/pdtc10/index.php?action=vallex&amp;frame=v-w10153f3", "roztříštit (v-w10153f3)")</f>
        <v>roztříštit (v-w10153f3)</v>
      </c>
    </row>
    <row r="42119" spans="1:4" x14ac:dyDescent="0.2">
      <c r="B42119" t="s">
        <v>1</v>
      </c>
    </row>
    <row r="42120" spans="1:4" x14ac:dyDescent="0.2">
      <c r="B42120" t="s">
        <v>8</v>
      </c>
    </row>
    <row r="42121" spans="1:4" x14ac:dyDescent="0.2">
      <c r="B42121" t="s">
        <v>25</v>
      </c>
    </row>
    <row r="42123" spans="1:4" x14ac:dyDescent="0.2">
      <c r="A42123" t="s">
        <v>13522</v>
      </c>
      <c r="B42123" t="str">
        <f>HYPERLINK("https://lindat.mff.cuni.cz/services/teitok/pdtc10/index.php?action=vallex&amp;frame=v-w10153f2", "roztříštit (v-w10153f2)")</f>
        <v>roztříštit (v-w10153f2)</v>
      </c>
    </row>
    <row r="42124" spans="1:4" x14ac:dyDescent="0.2">
      <c r="B42124" t="s">
        <v>1</v>
      </c>
    </row>
    <row r="42125" spans="1:4" x14ac:dyDescent="0.2">
      <c r="B42125" t="s">
        <v>8</v>
      </c>
    </row>
    <row r="42126" spans="1:4" x14ac:dyDescent="0.2">
      <c r="B42126" t="s">
        <v>61</v>
      </c>
    </row>
    <row r="42128" spans="1:4" x14ac:dyDescent="0.2">
      <c r="A42128" t="s">
        <v>13523</v>
      </c>
      <c r="B42128" t="str">
        <f>HYPERLINK("https://lindat.mff.cuni.cz/services/teitok/pdtc10/index.php?action=vallex&amp;frame=v-w11252f1", "roztříštit se (v-w11252f1)")</f>
        <v>roztříštit se (v-w11252f1)</v>
      </c>
    </row>
    <row r="42129" spans="1:3" x14ac:dyDescent="0.2">
      <c r="B42129" t="s">
        <v>1</v>
      </c>
      <c r="C42129" t="s">
        <v>147</v>
      </c>
    </row>
    <row r="42130" spans="1:3" x14ac:dyDescent="0.2">
      <c r="B42130" t="s">
        <v>46</v>
      </c>
    </row>
    <row r="42132" spans="1:3" x14ac:dyDescent="0.2">
      <c r="A42132" t="s">
        <v>13524</v>
      </c>
      <c r="B42132" t="str">
        <f>HYPERLINK("https://lindat.mff.cuni.cz/services/teitok/pdtc10/index.php?action=vallex&amp;frame=v-w5804f7_ZU", "rozumět (v-w5804f7_ZU)")</f>
        <v>rozumět (v-w5804f7_ZU)</v>
      </c>
    </row>
    <row r="42133" spans="1:3" x14ac:dyDescent="0.2">
      <c r="B42133" t="s">
        <v>1</v>
      </c>
    </row>
    <row r="42134" spans="1:3" x14ac:dyDescent="0.2">
      <c r="B42134" t="s">
        <v>7150</v>
      </c>
    </row>
    <row r="42135" spans="1:3" x14ac:dyDescent="0.2">
      <c r="B42135" t="s">
        <v>35</v>
      </c>
    </row>
    <row r="42137" spans="1:3" x14ac:dyDescent="0.2">
      <c r="A42137" t="s">
        <v>13524</v>
      </c>
      <c r="B42137" t="str">
        <f>HYPERLINK("https://lindat.mff.cuni.cz/services/teitok/pdtc10/index.php?action=vallex&amp;frame=v-w5804f3", "rozumět (v-w5804f3) - substituted with v-w5804f7_ZU")</f>
        <v>rozumět (v-w5804f3) - substituted with v-w5804f7_ZU</v>
      </c>
    </row>
    <row r="42138" spans="1:3" x14ac:dyDescent="0.2">
      <c r="B42138" t="s">
        <v>1</v>
      </c>
      <c r="C42138" t="s">
        <v>3255</v>
      </c>
    </row>
    <row r="42139" spans="1:3" x14ac:dyDescent="0.2">
      <c r="B42139" t="s">
        <v>7150</v>
      </c>
    </row>
    <row r="42140" spans="1:3" x14ac:dyDescent="0.2">
      <c r="B42140" t="s">
        <v>35</v>
      </c>
      <c r="C42140" t="s">
        <v>13525</v>
      </c>
    </row>
    <row r="42142" spans="1:3" x14ac:dyDescent="0.2">
      <c r="A42142" t="s">
        <v>13526</v>
      </c>
      <c r="B42142" t="str">
        <f>HYPERLINK("https://lindat.mff.cuni.cz/services/teitok/pdtc10/index.php?action=vallex&amp;frame=v-w5804f6_ZU", "rozumět (v-w5804f6_ZU)")</f>
        <v>rozumět (v-w5804f6_ZU)</v>
      </c>
    </row>
    <row r="42143" spans="1:3" x14ac:dyDescent="0.2">
      <c r="B42143" t="s">
        <v>1</v>
      </c>
    </row>
    <row r="42144" spans="1:3" x14ac:dyDescent="0.2">
      <c r="B42144" t="s">
        <v>13527</v>
      </c>
    </row>
    <row r="42146" spans="1:4" x14ac:dyDescent="0.2">
      <c r="A42146" t="s">
        <v>13526</v>
      </c>
      <c r="B42146" t="str">
        <f>HYPERLINK("https://lindat.mff.cuni.cz/services/teitok/pdtc10/index.php?action=vallex&amp;frame=v-w5804f1", "rozumět (v-w5804f1) - substituted with v-w5804f6_ZU")</f>
        <v>rozumět (v-w5804f1) - substituted with v-w5804f6_ZU</v>
      </c>
    </row>
    <row r="42147" spans="1:4" x14ac:dyDescent="0.2">
      <c r="B42147" t="s">
        <v>1</v>
      </c>
      <c r="C42147" t="s">
        <v>5009</v>
      </c>
      <c r="D42147" t="s">
        <v>3081</v>
      </c>
    </row>
    <row r="42148" spans="1:4" x14ac:dyDescent="0.2">
      <c r="B42148" t="s">
        <v>13527</v>
      </c>
      <c r="C42148" t="s">
        <v>2402</v>
      </c>
      <c r="D42148" t="s">
        <v>7127</v>
      </c>
    </row>
    <row r="42150" spans="1:4" x14ac:dyDescent="0.2">
      <c r="A42150" t="s">
        <v>13528</v>
      </c>
      <c r="B42150" t="str">
        <f>HYPERLINK("https://lindat.mff.cuni.cz/services/teitok/pdtc10/index.php?action=vallex&amp;frame=v-w5804f8_MM", "rozumět (v-w5804f8_MM)")</f>
        <v>rozumět (v-w5804f8_MM)</v>
      </c>
    </row>
    <row r="42151" spans="1:4" x14ac:dyDescent="0.2">
      <c r="B42151" t="s">
        <v>1</v>
      </c>
    </row>
    <row r="42152" spans="1:4" x14ac:dyDescent="0.2">
      <c r="B42152" t="s">
        <v>103</v>
      </c>
    </row>
    <row r="42154" spans="1:4" x14ac:dyDescent="0.2">
      <c r="A42154" t="s">
        <v>13528</v>
      </c>
      <c r="B42154" t="str">
        <f>HYPERLINK("https://lindat.mff.cuni.cz/services/teitok/pdtc10/index.php?action=vallex&amp;frame=v-w5804f4", "rozumět (v-w5804f4) - substituted with v-w5804f8_MM")</f>
        <v>rozumět (v-w5804f4) - substituted with v-w5804f8_MM</v>
      </c>
    </row>
    <row r="42155" spans="1:4" x14ac:dyDescent="0.2">
      <c r="B42155" t="s">
        <v>1</v>
      </c>
      <c r="C42155" t="s">
        <v>2400</v>
      </c>
      <c r="D42155" t="s">
        <v>3255</v>
      </c>
    </row>
    <row r="42156" spans="1:4" x14ac:dyDescent="0.2">
      <c r="B42156" t="s">
        <v>103</v>
      </c>
      <c r="C42156" t="s">
        <v>2402</v>
      </c>
      <c r="D42156" t="s">
        <v>2402</v>
      </c>
    </row>
    <row r="42158" spans="1:4" x14ac:dyDescent="0.2">
      <c r="A42158" t="s">
        <v>13529</v>
      </c>
      <c r="B42158" t="str">
        <f>HYPERLINK("https://lindat.mff.cuni.cz/services/teitok/pdtc10/index.php?action=vallex&amp;frame=v-w5804f2", "rozumět (v-w5804f2)")</f>
        <v>rozumět (v-w5804f2)</v>
      </c>
    </row>
    <row r="42159" spans="1:4" x14ac:dyDescent="0.2">
      <c r="B42159" t="s">
        <v>1</v>
      </c>
    </row>
    <row r="42160" spans="1:4" x14ac:dyDescent="0.2">
      <c r="B42160" t="s">
        <v>13530</v>
      </c>
    </row>
    <row r="42161" spans="1:3" x14ac:dyDescent="0.2">
      <c r="B42161" t="s">
        <v>4732</v>
      </c>
    </row>
    <row r="42163" spans="1:3" x14ac:dyDescent="0.2">
      <c r="A42163" t="s">
        <v>13531</v>
      </c>
      <c r="B42163" t="str">
        <f>HYPERLINK("https://lindat.mff.cuni.cz/services/teitok/pdtc10/index.php?action=vallex&amp;frame=v-w5804f5", "rozumět (v-w5804f5)")</f>
        <v>rozumět (v-w5804f5)</v>
      </c>
    </row>
    <row r="42164" spans="1:3" x14ac:dyDescent="0.2">
      <c r="B42164" t="s">
        <v>1</v>
      </c>
    </row>
    <row r="42166" spans="1:3" x14ac:dyDescent="0.2">
      <c r="A42166" t="s">
        <v>13532</v>
      </c>
      <c r="B42166" t="str">
        <f>HYPERLINK("https://lindat.mff.cuni.cz/services/teitok/pdtc10/index.php?action=vallex&amp;frame=v-whsa_1730hsa_1731", "rozumět si (v-whsa_1730hsa_1731)")</f>
        <v>rozumět si (v-whsa_1730hsa_1731)</v>
      </c>
    </row>
    <row r="42167" spans="1:3" x14ac:dyDescent="0.2">
      <c r="B42167" t="s">
        <v>1</v>
      </c>
    </row>
    <row r="42168" spans="1:3" x14ac:dyDescent="0.2">
      <c r="B42168" t="s">
        <v>411</v>
      </c>
    </row>
    <row r="42170" spans="1:3" x14ac:dyDescent="0.2">
      <c r="A42170" t="s">
        <v>13533</v>
      </c>
      <c r="B42170" t="str">
        <f>HYPERLINK("https://lindat.mff.cuni.cz/services/teitok/pdtc10/index.php?action=vallex&amp;frame=v-whsa_1160f1_ZU", "rozutéci se (v-whsa_1160f1_ZU)")</f>
        <v>rozutéci se (v-whsa_1160f1_ZU)</v>
      </c>
    </row>
    <row r="42171" spans="1:3" x14ac:dyDescent="0.2">
      <c r="B42171" t="s">
        <v>1</v>
      </c>
      <c r="C42171" t="s">
        <v>109</v>
      </c>
    </row>
    <row r="42173" spans="1:3" x14ac:dyDescent="0.2">
      <c r="A42173" t="s">
        <v>13533</v>
      </c>
      <c r="B42173" t="str">
        <f>HYPERLINK("https://lindat.mff.cuni.cz/services/teitok/pdtc10/index.php?action=vallex&amp;frame=v-whsa_1160hsa_1161", "rozutéci se (v-whsa_1160hsa_1161) - substituted with v-whsa_1160f1_ZU")</f>
        <v>rozutéci se (v-whsa_1160hsa_1161) - substituted with v-whsa_1160f1_ZU</v>
      </c>
    </row>
    <row r="42174" spans="1:3" x14ac:dyDescent="0.2">
      <c r="B42174" t="s">
        <v>1</v>
      </c>
    </row>
    <row r="42176" spans="1:3" x14ac:dyDescent="0.2">
      <c r="A42176" t="s">
        <v>13534</v>
      </c>
      <c r="B42176" t="str">
        <f>HYPERLINK("https://lindat.mff.cuni.cz/services/teitok/pdtc10/index.php?action=vallex&amp;frame=v-w11236f1", "rozutíkávat se (v-w11236f1)")</f>
        <v>rozutíkávat se (v-w11236f1)</v>
      </c>
    </row>
    <row r="42177" spans="1:4" x14ac:dyDescent="0.2">
      <c r="B42177" t="s">
        <v>1</v>
      </c>
    </row>
    <row r="42179" spans="1:4" x14ac:dyDescent="0.2">
      <c r="A42179" t="s">
        <v>13535</v>
      </c>
      <c r="B42179" t="str">
        <f>HYPERLINK("https://lindat.mff.cuni.cz/services/teitok/pdtc10/index.php?action=vallex&amp;frame=v-w10272f2", "rozuzlit (v-w10272f2)")</f>
        <v>rozuzlit (v-w10272f2)</v>
      </c>
    </row>
    <row r="42180" spans="1:4" x14ac:dyDescent="0.2">
      <c r="B42180" t="s">
        <v>1</v>
      </c>
    </row>
    <row r="42181" spans="1:4" x14ac:dyDescent="0.2">
      <c r="B42181" t="s">
        <v>1693</v>
      </c>
    </row>
    <row r="42183" spans="1:4" x14ac:dyDescent="0.2">
      <c r="A42183" t="s">
        <v>13536</v>
      </c>
      <c r="B42183" t="str">
        <f>HYPERLINK("https://lindat.mff.cuni.cz/services/teitok/pdtc10/index.php?action=vallex&amp;frame=v-w12090_ZUf1_ZU", "rozvazovat (v-w12090_ZUf1_ZU)")</f>
        <v>rozvazovat (v-w12090_ZUf1_ZU)</v>
      </c>
    </row>
    <row r="42184" spans="1:4" x14ac:dyDescent="0.2">
      <c r="B42184" t="s">
        <v>1</v>
      </c>
    </row>
    <row r="42186" spans="1:4" x14ac:dyDescent="0.2">
      <c r="A42186" t="s">
        <v>13537</v>
      </c>
      <c r="B42186" t="str">
        <f>HYPERLINK("https://lindat.mff.cuni.cz/services/teitok/pdtc10/index.php?action=vallex&amp;frame=v-whsa_1170hsa_1171", "rozvažovat (v-whsa_1170hsa_1171)")</f>
        <v>rozvažovat (v-whsa_1170hsa_1171)</v>
      </c>
    </row>
    <row r="42187" spans="1:4" x14ac:dyDescent="0.2">
      <c r="B42187" t="s">
        <v>1</v>
      </c>
      <c r="C42187" t="s">
        <v>51</v>
      </c>
      <c r="D42187" t="s">
        <v>23014</v>
      </c>
    </row>
    <row r="42188" spans="1:4" x14ac:dyDescent="0.2">
      <c r="B42188" t="s">
        <v>8</v>
      </c>
      <c r="C42188" t="s">
        <v>3789</v>
      </c>
      <c r="D42188" t="s">
        <v>23015</v>
      </c>
    </row>
    <row r="42190" spans="1:4" x14ac:dyDescent="0.2">
      <c r="A42190" t="s">
        <v>13538</v>
      </c>
      <c r="B42190" t="str">
        <f>HYPERLINK("https://lindat.mff.cuni.cz/services/teitok/pdtc10/index.php?action=vallex&amp;frame=v-w5819f1", "rozvinout (v-w5819f1)")</f>
        <v>rozvinout (v-w5819f1)</v>
      </c>
    </row>
    <row r="42191" spans="1:4" x14ac:dyDescent="0.2">
      <c r="B42191" t="s">
        <v>1</v>
      </c>
      <c r="C42191" t="s">
        <v>33</v>
      </c>
      <c r="D42191" t="s">
        <v>33</v>
      </c>
    </row>
    <row r="42192" spans="1:4" x14ac:dyDescent="0.2">
      <c r="B42192" t="s">
        <v>8</v>
      </c>
      <c r="C42192" t="s">
        <v>34</v>
      </c>
      <c r="D42192" t="s">
        <v>113</v>
      </c>
    </row>
    <row r="42194" spans="1:4" x14ac:dyDescent="0.2">
      <c r="A42194" t="s">
        <v>13539</v>
      </c>
      <c r="B42194" t="str">
        <f>HYPERLINK("https://lindat.mff.cuni.cz/services/teitok/pdtc10/index.php?action=vallex&amp;frame=v-w5819f2", "rozvinout (v-w5819f2)")</f>
        <v>rozvinout (v-w5819f2)</v>
      </c>
    </row>
    <row r="42195" spans="1:4" x14ac:dyDescent="0.2">
      <c r="B42195" t="s">
        <v>1</v>
      </c>
      <c r="C42195" t="s">
        <v>12086</v>
      </c>
      <c r="D42195" t="s">
        <v>5475</v>
      </c>
    </row>
    <row r="42196" spans="1:4" x14ac:dyDescent="0.2">
      <c r="B42196" t="s">
        <v>8</v>
      </c>
      <c r="C42196" t="s">
        <v>13540</v>
      </c>
      <c r="D42196" t="s">
        <v>1798</v>
      </c>
    </row>
    <row r="42198" spans="1:4" x14ac:dyDescent="0.2">
      <c r="A42198" t="s">
        <v>13541</v>
      </c>
      <c r="B42198" t="str">
        <f>HYPERLINK("https://lindat.mff.cuni.cz/services/teitok/pdtc10/index.php?action=vallex&amp;frame=v-w5819f3", "rozvinout (v-w5819f3)")</f>
        <v>rozvinout (v-w5819f3)</v>
      </c>
    </row>
    <row r="42199" spans="1:4" x14ac:dyDescent="0.2">
      <c r="B42199" t="s">
        <v>1</v>
      </c>
      <c r="C42199" t="s">
        <v>140</v>
      </c>
    </row>
    <row r="42200" spans="1:4" x14ac:dyDescent="0.2">
      <c r="B42200" t="s">
        <v>8</v>
      </c>
      <c r="C42200" t="s">
        <v>34</v>
      </c>
    </row>
    <row r="42202" spans="1:4" x14ac:dyDescent="0.2">
      <c r="A42202" t="s">
        <v>13542</v>
      </c>
      <c r="B42202" t="str">
        <f>HYPERLINK("https://lindat.mff.cuni.cz/services/teitok/pdtc10/index.php?action=vallex&amp;frame=v-w5820f1", "rozvinout se (v-w5820f1)")</f>
        <v>rozvinout se (v-w5820f1)</v>
      </c>
    </row>
    <row r="42203" spans="1:4" x14ac:dyDescent="0.2">
      <c r="B42203" t="s">
        <v>1</v>
      </c>
      <c r="C42203" t="s">
        <v>13543</v>
      </c>
      <c r="D42203" t="s">
        <v>23449</v>
      </c>
    </row>
    <row r="42205" spans="1:4" x14ac:dyDescent="0.2">
      <c r="A42205" t="s">
        <v>13544</v>
      </c>
      <c r="B42205" t="str">
        <f>HYPERLINK("https://lindat.mff.cuni.cz/services/teitok/pdtc10/index.php?action=vallex&amp;frame=v-w5820f2_ZU", "rozvinout se (v-w5820f2_ZU)")</f>
        <v>rozvinout se (v-w5820f2_ZU)</v>
      </c>
    </row>
    <row r="42206" spans="1:4" x14ac:dyDescent="0.2">
      <c r="B42206" t="s">
        <v>1</v>
      </c>
    </row>
    <row r="42207" spans="1:4" x14ac:dyDescent="0.2">
      <c r="B42207" t="s">
        <v>438</v>
      </c>
    </row>
    <row r="42208" spans="1:4" x14ac:dyDescent="0.2">
      <c r="B42208" t="s">
        <v>130</v>
      </c>
    </row>
    <row r="42210" spans="1:4" x14ac:dyDescent="0.2">
      <c r="A42210" t="s">
        <v>13545</v>
      </c>
      <c r="B42210" t="str">
        <f>HYPERLINK("https://lindat.mff.cuni.cz/services/teitok/pdtc10/index.php?action=vallex&amp;frame=v-w5821f1", "rozvinovat (v-w5821f1)")</f>
        <v>rozvinovat (v-w5821f1)</v>
      </c>
    </row>
    <row r="42211" spans="1:4" x14ac:dyDescent="0.2">
      <c r="B42211" t="s">
        <v>1</v>
      </c>
      <c r="D42211" t="s">
        <v>5475</v>
      </c>
    </row>
    <row r="42212" spans="1:4" x14ac:dyDescent="0.2">
      <c r="B42212" t="s">
        <v>8</v>
      </c>
      <c r="D42212" t="s">
        <v>1798</v>
      </c>
    </row>
    <row r="42214" spans="1:4" x14ac:dyDescent="0.2">
      <c r="A42214" t="s">
        <v>13546</v>
      </c>
      <c r="B42214" t="str">
        <f>HYPERLINK("https://lindat.mff.cuni.cz/services/teitok/pdtc10/index.php?action=vallex&amp;frame=v-w5822f1", "rozvinovat se (v-w5822f1)")</f>
        <v>rozvinovat se (v-w5822f1)</v>
      </c>
    </row>
    <row r="42215" spans="1:4" x14ac:dyDescent="0.2">
      <c r="B42215" t="s">
        <v>1</v>
      </c>
    </row>
    <row r="42217" spans="1:4" x14ac:dyDescent="0.2">
      <c r="A42217" t="s">
        <v>13547</v>
      </c>
      <c r="B42217" t="str">
        <f>HYPERLINK("https://lindat.mff.cuni.cz/services/teitok/pdtc10/index.php?action=vallex&amp;frame=v-w5827f1", "rozvodnit se (v-w5827f1)")</f>
        <v>rozvodnit se (v-w5827f1)</v>
      </c>
    </row>
    <row r="42218" spans="1:4" x14ac:dyDescent="0.2">
      <c r="B42218" t="s">
        <v>1</v>
      </c>
    </row>
    <row r="42220" spans="1:4" x14ac:dyDescent="0.2">
      <c r="A42220" t="s">
        <v>13548</v>
      </c>
      <c r="B42220" t="str">
        <f>HYPERLINK("https://lindat.mff.cuni.cz/services/teitok/pdtc10/index.php?action=vallex&amp;frame=v-w11667_ZUf1_ZU", "rozvracet (v-w11667_ZUf1_ZU)")</f>
        <v>rozvracet (v-w11667_ZUf1_ZU)</v>
      </c>
    </row>
    <row r="42221" spans="1:4" x14ac:dyDescent="0.2">
      <c r="B42221" t="s">
        <v>1</v>
      </c>
      <c r="C42221" t="s">
        <v>140</v>
      </c>
      <c r="D42221" t="s">
        <v>1680</v>
      </c>
    </row>
    <row r="42222" spans="1:4" x14ac:dyDescent="0.2">
      <c r="B42222" t="s">
        <v>8</v>
      </c>
      <c r="C42222" t="s">
        <v>84</v>
      </c>
      <c r="D42222" t="s">
        <v>17650</v>
      </c>
    </row>
    <row r="42224" spans="1:4" x14ac:dyDescent="0.2">
      <c r="A42224" t="s">
        <v>13549</v>
      </c>
      <c r="B42224" t="str">
        <f>HYPERLINK("https://lindat.mff.cuni.cz/services/teitok/pdtc10/index.php?action=vallex&amp;frame=v-w5831f1", "rozvrhnout (v-w5831f1)")</f>
        <v>rozvrhnout (v-w5831f1)</v>
      </c>
    </row>
    <row r="42225" spans="1:4" x14ac:dyDescent="0.2">
      <c r="B42225" t="s">
        <v>1</v>
      </c>
    </row>
    <row r="42226" spans="1:4" x14ac:dyDescent="0.2">
      <c r="B42226" t="s">
        <v>8</v>
      </c>
    </row>
    <row r="42227" spans="1:4" x14ac:dyDescent="0.2">
      <c r="B42227" t="s">
        <v>1363</v>
      </c>
    </row>
    <row r="42229" spans="1:4" x14ac:dyDescent="0.2">
      <c r="A42229" t="s">
        <v>13550</v>
      </c>
      <c r="B42229" t="str">
        <f>HYPERLINK("https://lindat.mff.cuni.cz/services/teitok/pdtc10/index.php?action=vallex&amp;frame=v-w11936_ZUf1_ZU", "rozvrstvit (v-w11936_ZUf1_ZU)")</f>
        <v>rozvrstvit (v-w11936_ZUf1_ZU)</v>
      </c>
    </row>
    <row r="42230" spans="1:4" x14ac:dyDescent="0.2">
      <c r="B42230" t="s">
        <v>1</v>
      </c>
    </row>
    <row r="42231" spans="1:4" x14ac:dyDescent="0.2">
      <c r="B42231" t="s">
        <v>8</v>
      </c>
    </row>
    <row r="42233" spans="1:4" x14ac:dyDescent="0.2">
      <c r="A42233" t="s">
        <v>13551</v>
      </c>
      <c r="B42233" t="str">
        <f>HYPERLINK("https://lindat.mff.cuni.cz/services/teitok/pdtc10/index.php?action=vallex&amp;frame=v-w11580_ZUf1_ZU", "rozvrátit (v-w11580_ZUf1_ZU)")</f>
        <v>rozvrátit (v-w11580_ZUf1_ZU)</v>
      </c>
    </row>
    <row r="42234" spans="1:4" x14ac:dyDescent="0.2">
      <c r="B42234" t="s">
        <v>1</v>
      </c>
      <c r="C42234" t="s">
        <v>133</v>
      </c>
      <c r="D42234" t="s">
        <v>24146</v>
      </c>
    </row>
    <row r="42235" spans="1:4" x14ac:dyDescent="0.2">
      <c r="B42235" t="s">
        <v>8</v>
      </c>
      <c r="C42235" t="s">
        <v>1044</v>
      </c>
      <c r="D42235" t="s">
        <v>24147</v>
      </c>
    </row>
    <row r="42237" spans="1:4" x14ac:dyDescent="0.2">
      <c r="A42237" t="s">
        <v>13552</v>
      </c>
      <c r="B42237" t="str">
        <f>HYPERLINK("https://lindat.mff.cuni.cz/services/teitok/pdtc10/index.php?action=vallex&amp;frame=v-w5806f1", "rozvádět (v-w5806f1)")</f>
        <v>rozvádět (v-w5806f1)</v>
      </c>
    </row>
    <row r="42238" spans="1:4" x14ac:dyDescent="0.2">
      <c r="B42238" t="s">
        <v>1</v>
      </c>
      <c r="C42238" t="s">
        <v>1065</v>
      </c>
      <c r="D42238" t="s">
        <v>5475</v>
      </c>
    </row>
    <row r="42239" spans="1:4" x14ac:dyDescent="0.2">
      <c r="B42239" t="s">
        <v>2158</v>
      </c>
      <c r="C42239" t="s">
        <v>1340</v>
      </c>
      <c r="D42239" t="s">
        <v>1798</v>
      </c>
    </row>
    <row r="42241" spans="1:4" x14ac:dyDescent="0.2">
      <c r="A42241" t="s">
        <v>13553</v>
      </c>
      <c r="B42241" t="str">
        <f>HYPERLINK("https://lindat.mff.cuni.cz/services/teitok/pdtc10/index.php?action=vallex&amp;frame=v-w5806f2", "rozvádět (v-w5806f2)")</f>
        <v>rozvádět (v-w5806f2)</v>
      </c>
    </row>
    <row r="42242" spans="1:4" x14ac:dyDescent="0.2">
      <c r="B42242" t="s">
        <v>1</v>
      </c>
    </row>
    <row r="42243" spans="1:4" x14ac:dyDescent="0.2">
      <c r="B42243" t="s">
        <v>8</v>
      </c>
    </row>
    <row r="42245" spans="1:4" x14ac:dyDescent="0.2">
      <c r="A42245" t="s">
        <v>13554</v>
      </c>
      <c r="B42245" t="str">
        <f>HYPERLINK("https://lindat.mff.cuni.cz/services/teitok/pdtc10/index.php?action=vallex&amp;frame=v-w5807f1", "rozvádět se (v-w5807f1)")</f>
        <v>rozvádět se (v-w5807f1)</v>
      </c>
    </row>
    <row r="42246" spans="1:4" x14ac:dyDescent="0.2">
      <c r="B42246" t="s">
        <v>1</v>
      </c>
      <c r="D42246" t="s">
        <v>33</v>
      </c>
    </row>
    <row r="42247" spans="1:4" x14ac:dyDescent="0.2">
      <c r="B42247" t="s">
        <v>411</v>
      </c>
      <c r="D42247" t="s">
        <v>34</v>
      </c>
    </row>
    <row r="42249" spans="1:4" x14ac:dyDescent="0.2">
      <c r="A42249" t="s">
        <v>13555</v>
      </c>
      <c r="B42249" t="str">
        <f>HYPERLINK("https://lindat.mff.cuni.cz/services/teitok/pdtc10/index.php?action=vallex&amp;frame=v-w5809f1", "rozvázat (v-w5809f1)")</f>
        <v>rozvázat (v-w5809f1)</v>
      </c>
    </row>
    <row r="42250" spans="1:4" x14ac:dyDescent="0.2">
      <c r="B42250" t="s">
        <v>1</v>
      </c>
    </row>
    <row r="42251" spans="1:4" x14ac:dyDescent="0.2">
      <c r="B42251" t="s">
        <v>8</v>
      </c>
    </row>
    <row r="42253" spans="1:4" x14ac:dyDescent="0.2">
      <c r="A42253" t="s">
        <v>13556</v>
      </c>
      <c r="B42253" t="str">
        <f>HYPERLINK("https://lindat.mff.cuni.cz/services/teitok/pdtc10/index.php?action=vallex&amp;frame=v-w5809f3", "rozvázat (v-w5809f3)")</f>
        <v>rozvázat (v-w5809f3)</v>
      </c>
    </row>
    <row r="42254" spans="1:4" x14ac:dyDescent="0.2">
      <c r="B42254" t="s">
        <v>1</v>
      </c>
    </row>
    <row r="42255" spans="1:4" x14ac:dyDescent="0.2">
      <c r="B42255" t="s">
        <v>13557</v>
      </c>
    </row>
    <row r="42256" spans="1:4" x14ac:dyDescent="0.2">
      <c r="B42256" t="s">
        <v>103</v>
      </c>
    </row>
    <row r="42258" spans="1:4" x14ac:dyDescent="0.2">
      <c r="A42258" t="s">
        <v>13558</v>
      </c>
      <c r="B42258" t="str">
        <f>HYPERLINK("https://lindat.mff.cuni.cz/services/teitok/pdtc10/index.php?action=vallex&amp;frame=v-w5809f2", "rozvázat (v-w5809f2)")</f>
        <v>rozvázat (v-w5809f2)</v>
      </c>
    </row>
    <row r="42259" spans="1:4" x14ac:dyDescent="0.2">
      <c r="B42259" t="s">
        <v>1</v>
      </c>
    </row>
    <row r="42260" spans="1:4" x14ac:dyDescent="0.2">
      <c r="B42260" t="s">
        <v>13559</v>
      </c>
    </row>
    <row r="42262" spans="1:4" x14ac:dyDescent="0.2">
      <c r="A42262" t="s">
        <v>13560</v>
      </c>
      <c r="B42262" t="str">
        <f>HYPERLINK("https://lindat.mff.cuni.cz/services/teitok/pdtc10/index.php?action=vallex&amp;frame=v-w5809hsa_1137", "rozvázat (v-w5809hsa_1137)")</f>
        <v>rozvázat (v-w5809hsa_1137)</v>
      </c>
    </row>
    <row r="42263" spans="1:4" x14ac:dyDescent="0.2">
      <c r="B42263" t="s">
        <v>1</v>
      </c>
    </row>
    <row r="42264" spans="1:4" x14ac:dyDescent="0.2">
      <c r="B42264" t="s">
        <v>8</v>
      </c>
    </row>
    <row r="42266" spans="1:4" x14ac:dyDescent="0.2">
      <c r="A42266" t="s">
        <v>13561</v>
      </c>
      <c r="B42266" t="str">
        <f>HYPERLINK("https://lindat.mff.cuni.cz/services/teitok/pdtc10/index.php?action=vallex&amp;frame=v-w10528f2", "rozvážet (v-w10528f2)")</f>
        <v>rozvážet (v-w10528f2)</v>
      </c>
    </row>
    <row r="42267" spans="1:4" x14ac:dyDescent="0.2">
      <c r="B42267" t="s">
        <v>1</v>
      </c>
    </row>
    <row r="42268" spans="1:4" x14ac:dyDescent="0.2">
      <c r="B42268" t="s">
        <v>8</v>
      </c>
    </row>
    <row r="42270" spans="1:4" x14ac:dyDescent="0.2">
      <c r="A42270" t="s">
        <v>13562</v>
      </c>
      <c r="B42270" t="str">
        <f>HYPERLINK("https://lindat.mff.cuni.cz/services/teitok/pdtc10/index.php?action=vallex&amp;frame=v-w5810f1", "rozvážit (v-w5810f1)")</f>
        <v>rozvážit (v-w5810f1)</v>
      </c>
    </row>
    <row r="42271" spans="1:4" x14ac:dyDescent="0.2">
      <c r="B42271" t="s">
        <v>1</v>
      </c>
      <c r="D42271" t="s">
        <v>23014</v>
      </c>
    </row>
    <row r="42272" spans="1:4" x14ac:dyDescent="0.2">
      <c r="B42272" t="s">
        <v>8</v>
      </c>
      <c r="D42272" t="s">
        <v>23015</v>
      </c>
    </row>
    <row r="42274" spans="1:4" x14ac:dyDescent="0.2">
      <c r="A42274" t="s">
        <v>13563</v>
      </c>
      <c r="B42274" t="str">
        <f>HYPERLINK("https://lindat.mff.cuni.cz/services/teitok/pdtc10/index.php?action=vallex&amp;frame=v-w5812f3_ZU", "rozvést (v-w5812f3_ZU)")</f>
        <v>rozvést (v-w5812f3_ZU)</v>
      </c>
    </row>
    <row r="42275" spans="1:4" x14ac:dyDescent="0.2">
      <c r="B42275" t="s">
        <v>1</v>
      </c>
      <c r="C42275" t="s">
        <v>16</v>
      </c>
      <c r="D42275" t="s">
        <v>5475</v>
      </c>
    </row>
    <row r="42276" spans="1:4" x14ac:dyDescent="0.2">
      <c r="B42276" t="s">
        <v>8</v>
      </c>
      <c r="C42276" t="s">
        <v>354</v>
      </c>
      <c r="D42276" t="s">
        <v>1798</v>
      </c>
    </row>
    <row r="42277" spans="1:4" x14ac:dyDescent="0.2">
      <c r="B42277" t="s">
        <v>130</v>
      </c>
    </row>
    <row r="42279" spans="1:4" x14ac:dyDescent="0.2">
      <c r="A42279" t="s">
        <v>13564</v>
      </c>
      <c r="B42279" t="str">
        <f>HYPERLINK("https://lindat.mff.cuni.cz/services/teitok/pdtc10/index.php?action=vallex&amp;frame=v-w5812f1", "rozvést (v-w5812f1)")</f>
        <v>rozvést (v-w5812f1)</v>
      </c>
    </row>
    <row r="42280" spans="1:4" x14ac:dyDescent="0.2">
      <c r="B42280" t="s">
        <v>1</v>
      </c>
    </row>
    <row r="42281" spans="1:4" x14ac:dyDescent="0.2">
      <c r="B42281" t="s">
        <v>8</v>
      </c>
    </row>
    <row r="42283" spans="1:4" x14ac:dyDescent="0.2">
      <c r="A42283" t="s">
        <v>13565</v>
      </c>
      <c r="B42283" t="str">
        <f>HYPERLINK("https://lindat.mff.cuni.cz/services/teitok/pdtc10/index.php?action=vallex&amp;frame=v-w5812f2", "rozvést (v-w5812f2)")</f>
        <v>rozvést (v-w5812f2)</v>
      </c>
    </row>
    <row r="42284" spans="1:4" x14ac:dyDescent="0.2">
      <c r="B42284" t="s">
        <v>1</v>
      </c>
    </row>
    <row r="42285" spans="1:4" x14ac:dyDescent="0.2">
      <c r="B42285" t="s">
        <v>8</v>
      </c>
    </row>
    <row r="42287" spans="1:4" x14ac:dyDescent="0.2">
      <c r="A42287" t="s">
        <v>13566</v>
      </c>
      <c r="B42287" t="str">
        <f>HYPERLINK("https://lindat.mff.cuni.cz/services/teitok/pdtc10/index.php?action=vallex&amp;frame=v-w5813f1", "rozvést se (v-w5813f1)")</f>
        <v>rozvést se (v-w5813f1)</v>
      </c>
    </row>
    <row r="42288" spans="1:4" x14ac:dyDescent="0.2">
      <c r="B42288" t="s">
        <v>1</v>
      </c>
      <c r="C42288" t="s">
        <v>33</v>
      </c>
      <c r="D42288" t="s">
        <v>33</v>
      </c>
    </row>
    <row r="42289" spans="1:4" x14ac:dyDescent="0.2">
      <c r="B42289" t="s">
        <v>411</v>
      </c>
      <c r="C42289" t="s">
        <v>34</v>
      </c>
      <c r="D42289" t="s">
        <v>34</v>
      </c>
    </row>
    <row r="42291" spans="1:4" x14ac:dyDescent="0.2">
      <c r="A42291" t="s">
        <v>13567</v>
      </c>
      <c r="B42291" t="str">
        <f>HYPERLINK("https://lindat.mff.cuni.cz/services/teitok/pdtc10/index.php?action=vallex&amp;frame=v-w5817f1", "rozvíjet (v-w5817f1)")</f>
        <v>rozvíjet (v-w5817f1)</v>
      </c>
    </row>
    <row r="42292" spans="1:4" x14ac:dyDescent="0.2">
      <c r="B42292" t="s">
        <v>1</v>
      </c>
      <c r="C42292" t="s">
        <v>9603</v>
      </c>
      <c r="D42292" t="s">
        <v>23841</v>
      </c>
    </row>
    <row r="42293" spans="1:4" x14ac:dyDescent="0.2">
      <c r="B42293" t="s">
        <v>8</v>
      </c>
      <c r="C42293" t="s">
        <v>13568</v>
      </c>
      <c r="D42293" t="s">
        <v>16005</v>
      </c>
    </row>
    <row r="42295" spans="1:4" x14ac:dyDescent="0.2">
      <c r="A42295" t="s">
        <v>13569</v>
      </c>
      <c r="B42295" t="str">
        <f>HYPERLINK("https://lindat.mff.cuni.cz/services/teitok/pdtc10/index.php?action=vallex&amp;frame=v-w5817f2", "rozvíjet (v-w5817f2)")</f>
        <v>rozvíjet (v-w5817f2)</v>
      </c>
    </row>
    <row r="42296" spans="1:4" x14ac:dyDescent="0.2">
      <c r="B42296" t="s">
        <v>1</v>
      </c>
    </row>
    <row r="42297" spans="1:4" x14ac:dyDescent="0.2">
      <c r="B42297" t="s">
        <v>8</v>
      </c>
    </row>
    <row r="42299" spans="1:4" x14ac:dyDescent="0.2">
      <c r="A42299" t="s">
        <v>13570</v>
      </c>
      <c r="B42299" t="str">
        <f>HYPERLINK("https://lindat.mff.cuni.cz/services/teitok/pdtc10/index.php?action=vallex&amp;frame=v-w5818f1", "rozvíjet se (v-w5818f1)")</f>
        <v>rozvíjet se (v-w5818f1)</v>
      </c>
    </row>
    <row r="42300" spans="1:4" x14ac:dyDescent="0.2">
      <c r="B42300" t="s">
        <v>1</v>
      </c>
      <c r="C42300" t="s">
        <v>13571</v>
      </c>
      <c r="D42300" t="s">
        <v>23449</v>
      </c>
    </row>
    <row r="42302" spans="1:4" x14ac:dyDescent="0.2">
      <c r="A42302" t="s">
        <v>13572</v>
      </c>
      <c r="B42302" t="str">
        <f>HYPERLINK("https://lindat.mff.cuni.cz/services/teitok/pdtc10/index.php?action=vallex&amp;frame=v-w5818f2_ZU", "rozvíjet se (v-w5818f2_ZU)")</f>
        <v>rozvíjet se (v-w5818f2_ZU)</v>
      </c>
    </row>
    <row r="42303" spans="1:4" x14ac:dyDescent="0.2">
      <c r="B42303" t="s">
        <v>1</v>
      </c>
    </row>
    <row r="42305" spans="1:4" x14ac:dyDescent="0.2">
      <c r="A42305" t="s">
        <v>13573</v>
      </c>
      <c r="B42305" t="str">
        <f>HYPERLINK("https://lindat.mff.cuni.cz/services/teitok/pdtc10/index.php?action=vallex&amp;frame=v-w5824f1", "rozvířit (v-w5824f1)")</f>
        <v>rozvířit (v-w5824f1)</v>
      </c>
    </row>
    <row r="42306" spans="1:4" x14ac:dyDescent="0.2">
      <c r="B42306" t="s">
        <v>1</v>
      </c>
      <c r="C42306" t="s">
        <v>133</v>
      </c>
      <c r="D42306" t="s">
        <v>249</v>
      </c>
    </row>
    <row r="42307" spans="1:4" x14ac:dyDescent="0.2">
      <c r="B42307" t="s">
        <v>8</v>
      </c>
      <c r="C42307" t="s">
        <v>1128</v>
      </c>
      <c r="D42307" t="s">
        <v>56</v>
      </c>
    </row>
    <row r="42309" spans="1:4" x14ac:dyDescent="0.2">
      <c r="A42309" t="s">
        <v>13574</v>
      </c>
      <c r="B42309" t="str">
        <f>HYPERLINK("https://lindat.mff.cuni.cz/services/teitok/pdtc10/index.php?action=vallex&amp;frame=v-w5811f1", "rozvěsit (v-w5811f1)")</f>
        <v>rozvěsit (v-w5811f1)</v>
      </c>
    </row>
    <row r="42310" spans="1:4" x14ac:dyDescent="0.2">
      <c r="B42310" t="s">
        <v>1</v>
      </c>
    </row>
    <row r="42311" spans="1:4" x14ac:dyDescent="0.2">
      <c r="B42311" t="s">
        <v>8</v>
      </c>
    </row>
    <row r="42313" spans="1:4" x14ac:dyDescent="0.2">
      <c r="A42313" t="s">
        <v>13575</v>
      </c>
      <c r="B42313" t="str">
        <f>HYPERLINK("https://lindat.mff.cuni.cz/services/teitok/pdtc10/index.php?action=vallex&amp;frame=v-w5814f1", "rozvětvovat se (v-w5814f1)")</f>
        <v>rozvětvovat se (v-w5814f1)</v>
      </c>
    </row>
    <row r="42314" spans="1:4" x14ac:dyDescent="0.2">
      <c r="B42314" t="s">
        <v>1</v>
      </c>
      <c r="D42314" t="s">
        <v>23100</v>
      </c>
    </row>
    <row r="42315" spans="1:4" x14ac:dyDescent="0.2">
      <c r="B42315" t="s">
        <v>3044</v>
      </c>
      <c r="D42315" t="s">
        <v>21785</v>
      </c>
    </row>
    <row r="42317" spans="1:4" x14ac:dyDescent="0.2">
      <c r="A42317" t="s">
        <v>13576</v>
      </c>
      <c r="B42317" t="str">
        <f>HYPERLINK("https://lindat.mff.cuni.cz/services/teitok/pdtc10/index.php?action=vallex&amp;frame=v-w11581_ZUf2_ZU", "rozzlobit (v-w11581_ZUf2_ZU)")</f>
        <v>rozzlobit (v-w11581_ZUf2_ZU)</v>
      </c>
    </row>
    <row r="42318" spans="1:4" x14ac:dyDescent="0.2">
      <c r="B42318" t="s">
        <v>488</v>
      </c>
    </row>
    <row r="42319" spans="1:4" x14ac:dyDescent="0.2">
      <c r="B42319" t="s">
        <v>8</v>
      </c>
    </row>
    <row r="42321" spans="1:4" x14ac:dyDescent="0.2">
      <c r="A42321" t="s">
        <v>13576</v>
      </c>
      <c r="B42321" t="str">
        <f>HYPERLINK("https://lindat.mff.cuni.cz/services/teitok/pdtc10/index.php?action=vallex&amp;frame=v-w11581_ZUf1_ZU", "rozzlobit (v-w11581_ZUf1_ZU) - substituted with v-w11581_ZUf2_ZU")</f>
        <v>rozzlobit (v-w11581_ZUf1_ZU) - substituted with v-w11581_ZUf2_ZU</v>
      </c>
    </row>
    <row r="42322" spans="1:4" x14ac:dyDescent="0.2">
      <c r="B42322" t="s">
        <v>488</v>
      </c>
      <c r="C42322" t="s">
        <v>1065</v>
      </c>
      <c r="D42322" t="s">
        <v>109</v>
      </c>
    </row>
    <row r="42323" spans="1:4" x14ac:dyDescent="0.2">
      <c r="B42323" t="s">
        <v>8</v>
      </c>
      <c r="C42323" t="s">
        <v>3773</v>
      </c>
      <c r="D42323" t="s">
        <v>1109</v>
      </c>
    </row>
    <row r="42325" spans="1:4" x14ac:dyDescent="0.2">
      <c r="A42325" t="s">
        <v>13577</v>
      </c>
      <c r="B42325" t="str">
        <f>HYPERLINK("https://lindat.mff.cuni.cz/services/teitok/pdtc10/index.php?action=vallex&amp;frame=v-w5834f1", "rozzlobit se (v-w5834f1)")</f>
        <v>rozzlobit se (v-w5834f1)</v>
      </c>
    </row>
    <row r="42326" spans="1:4" x14ac:dyDescent="0.2">
      <c r="B42326" t="s">
        <v>1</v>
      </c>
    </row>
    <row r="42327" spans="1:4" x14ac:dyDescent="0.2">
      <c r="B42327" t="s">
        <v>452</v>
      </c>
    </row>
    <row r="42329" spans="1:4" x14ac:dyDescent="0.2">
      <c r="A42329" t="s">
        <v>13578</v>
      </c>
      <c r="B42329" t="str">
        <f>HYPERLINK("https://lindat.mff.cuni.cz/services/teitok/pdtc10/index.php?action=vallex&amp;frame=v-w10623f2", "rozzuřit (v-w10623f2)")</f>
        <v>rozzuřit (v-w10623f2)</v>
      </c>
    </row>
    <row r="42330" spans="1:4" x14ac:dyDescent="0.2">
      <c r="B42330" t="s">
        <v>1</v>
      </c>
      <c r="C42330" t="s">
        <v>334</v>
      </c>
      <c r="D42330" t="s">
        <v>109</v>
      </c>
    </row>
    <row r="42331" spans="1:4" x14ac:dyDescent="0.2">
      <c r="B42331" t="s">
        <v>8</v>
      </c>
      <c r="C42331" t="s">
        <v>1025</v>
      </c>
      <c r="D42331" t="s">
        <v>1109</v>
      </c>
    </row>
    <row r="42333" spans="1:4" x14ac:dyDescent="0.2">
      <c r="A42333" t="s">
        <v>13579</v>
      </c>
      <c r="B42333" t="str">
        <f>HYPERLINK("https://lindat.mff.cuni.cz/services/teitok/pdtc10/index.php?action=vallex&amp;frame=v-w5833f1", "rozzářit se (v-w5833f1)")</f>
        <v>rozzářit se (v-w5833f1)</v>
      </c>
    </row>
    <row r="42334" spans="1:4" x14ac:dyDescent="0.2">
      <c r="B42334" t="s">
        <v>1</v>
      </c>
    </row>
    <row r="42336" spans="1:4" x14ac:dyDescent="0.2">
      <c r="A42336" t="s">
        <v>13580</v>
      </c>
      <c r="B42336" t="str">
        <f>HYPERLINK("https://lindat.mff.cuni.cz/services/teitok/pdtc10/index.php?action=vallex&amp;frame=v-w10085f2", "rozčarovat (v-w10085f2)")</f>
        <v>rozčarovat (v-w10085f2)</v>
      </c>
    </row>
    <row r="42337" spans="1:4" x14ac:dyDescent="0.2">
      <c r="B42337" t="s">
        <v>13581</v>
      </c>
      <c r="D42337" t="s">
        <v>373</v>
      </c>
    </row>
    <row r="42338" spans="1:4" x14ac:dyDescent="0.2">
      <c r="B42338" t="s">
        <v>8</v>
      </c>
      <c r="C42338" t="s">
        <v>113</v>
      </c>
      <c r="D42338" t="s">
        <v>24148</v>
      </c>
    </row>
    <row r="42340" spans="1:4" x14ac:dyDescent="0.2">
      <c r="A42340" t="s">
        <v>13582</v>
      </c>
      <c r="B42340" t="str">
        <f>HYPERLINK("https://lindat.mff.cuni.cz/services/teitok/pdtc10/index.php?action=vallex&amp;frame=v-w5573f1", "rozčeřit (v-w5573f1)")</f>
        <v>rozčeřit (v-w5573f1)</v>
      </c>
    </row>
    <row r="42341" spans="1:4" x14ac:dyDescent="0.2">
      <c r="B42341" t="s">
        <v>1</v>
      </c>
      <c r="C42341" t="s">
        <v>430</v>
      </c>
    </row>
    <row r="42342" spans="1:4" x14ac:dyDescent="0.2">
      <c r="B42342" t="s">
        <v>8</v>
      </c>
      <c r="C42342" t="s">
        <v>1044</v>
      </c>
    </row>
    <row r="42344" spans="1:4" x14ac:dyDescent="0.2">
      <c r="A42344" t="s">
        <v>13583</v>
      </c>
      <c r="B42344" t="str">
        <f>HYPERLINK("https://lindat.mff.cuni.cz/services/teitok/pdtc10/index.php?action=vallex&amp;frame=v-whsa_70hsa_71", "rozčilit se (v-whsa_70hsa_71)")</f>
        <v>rozčilit se (v-whsa_70hsa_71)</v>
      </c>
    </row>
    <row r="42345" spans="1:4" x14ac:dyDescent="0.2">
      <c r="B42345" t="s">
        <v>1</v>
      </c>
      <c r="C42345" t="s">
        <v>2239</v>
      </c>
    </row>
    <row r="42346" spans="1:4" x14ac:dyDescent="0.2">
      <c r="B42346" t="s">
        <v>13584</v>
      </c>
      <c r="C42346" t="s">
        <v>54</v>
      </c>
    </row>
    <row r="42348" spans="1:4" x14ac:dyDescent="0.2">
      <c r="A42348" t="s">
        <v>13585</v>
      </c>
      <c r="B42348" t="str">
        <f>HYPERLINK("https://lindat.mff.cuni.cz/services/teitok/pdtc10/index.php?action=vallex&amp;frame=v-w5575f3_ZU", "rozčilovat (v-w5575f3_ZU)")</f>
        <v>rozčilovat (v-w5575f3_ZU)</v>
      </c>
    </row>
    <row r="42349" spans="1:4" x14ac:dyDescent="0.2">
      <c r="B42349" t="s">
        <v>13586</v>
      </c>
    </row>
    <row r="42350" spans="1:4" x14ac:dyDescent="0.2">
      <c r="B42350" t="s">
        <v>8</v>
      </c>
    </row>
    <row r="42352" spans="1:4" x14ac:dyDescent="0.2">
      <c r="A42352" t="s">
        <v>13585</v>
      </c>
      <c r="B42352" t="str">
        <f>HYPERLINK("https://lindat.mff.cuni.cz/services/teitok/pdtc10/index.php?action=vallex&amp;frame=v-w5575f1", "rozčilovat (v-w5575f1) - substituted with v-w5575f3_ZU")</f>
        <v>rozčilovat (v-w5575f1) - substituted with v-w5575f3_ZU</v>
      </c>
    </row>
    <row r="42353" spans="1:4" x14ac:dyDescent="0.2">
      <c r="B42353" t="s">
        <v>13586</v>
      </c>
      <c r="C42353" t="s">
        <v>7838</v>
      </c>
      <c r="D42353" t="s">
        <v>6204</v>
      </c>
    </row>
    <row r="42354" spans="1:4" x14ac:dyDescent="0.2">
      <c r="B42354" t="s">
        <v>8</v>
      </c>
      <c r="C42354" t="s">
        <v>13587</v>
      </c>
      <c r="D42354" t="s">
        <v>13587</v>
      </c>
    </row>
    <row r="42356" spans="1:4" x14ac:dyDescent="0.2">
      <c r="A42356" t="s">
        <v>13585</v>
      </c>
      <c r="B42356" t="str">
        <f>HYPERLINK("https://lindat.mff.cuni.cz/services/teitok/pdtc10/index.php?action=vallex&amp;frame=v-w5575f2_ZU", "rozčilovat (v-w5575f2_ZU) - substituted with v-w5575f3_ZU")</f>
        <v>rozčilovat (v-w5575f2_ZU) - substituted with v-w5575f3_ZU</v>
      </c>
    </row>
    <row r="42357" spans="1:4" x14ac:dyDescent="0.2">
      <c r="B42357" t="s">
        <v>13586</v>
      </c>
    </row>
    <row r="42358" spans="1:4" x14ac:dyDescent="0.2">
      <c r="B42358" t="s">
        <v>8</v>
      </c>
    </row>
    <row r="42360" spans="1:4" x14ac:dyDescent="0.2">
      <c r="A42360" t="s">
        <v>13588</v>
      </c>
      <c r="B42360" t="str">
        <f>HYPERLINK("https://lindat.mff.cuni.cz/services/teitok/pdtc10/index.php?action=vallex&amp;frame=v-w5576f1", "rozčilovat se (v-w5576f1)")</f>
        <v>rozčilovat se (v-w5576f1)</v>
      </c>
    </row>
    <row r="42361" spans="1:4" x14ac:dyDescent="0.2">
      <c r="B42361" t="s">
        <v>1</v>
      </c>
    </row>
    <row r="42362" spans="1:4" x14ac:dyDescent="0.2">
      <c r="B42362" t="s">
        <v>46</v>
      </c>
    </row>
    <row r="42364" spans="1:4" x14ac:dyDescent="0.2">
      <c r="A42364" t="s">
        <v>13589</v>
      </c>
      <c r="B42364" t="str">
        <f>HYPERLINK("https://lindat.mff.cuni.cz/services/teitok/pdtc10/index.php?action=vallex&amp;frame=v-w5578f2", "rozčlenit (v-w5578f2)")</f>
        <v>rozčlenit (v-w5578f2)</v>
      </c>
    </row>
    <row r="42365" spans="1:4" x14ac:dyDescent="0.2">
      <c r="B42365" t="s">
        <v>1</v>
      </c>
    </row>
    <row r="42366" spans="1:4" x14ac:dyDescent="0.2">
      <c r="B42366" t="s">
        <v>8</v>
      </c>
    </row>
    <row r="42367" spans="1:4" x14ac:dyDescent="0.2">
      <c r="B42367" t="s">
        <v>3035</v>
      </c>
    </row>
    <row r="42369" spans="1:3" x14ac:dyDescent="0.2">
      <c r="A42369" t="s">
        <v>13590</v>
      </c>
      <c r="B42369" t="str">
        <f>HYPERLINK("https://lindat.mff.cuni.cz/services/teitok/pdtc10/index.php?action=vallex&amp;frame=v-w5578f1", "rozčlenit (v-w5578f1)")</f>
        <v>rozčlenit (v-w5578f1)</v>
      </c>
    </row>
    <row r="42370" spans="1:3" x14ac:dyDescent="0.2">
      <c r="B42370" t="s">
        <v>1</v>
      </c>
    </row>
    <row r="42371" spans="1:3" x14ac:dyDescent="0.2">
      <c r="B42371" t="s">
        <v>8</v>
      </c>
    </row>
    <row r="42372" spans="1:3" x14ac:dyDescent="0.2">
      <c r="B42372" t="s">
        <v>4283</v>
      </c>
    </row>
    <row r="42374" spans="1:3" x14ac:dyDescent="0.2">
      <c r="A42374" t="s">
        <v>13591</v>
      </c>
      <c r="B42374" t="str">
        <f>HYPERLINK("https://lindat.mff.cuni.cz/services/teitok/pdtc10/index.php?action=vallex&amp;frame=v-w5574f1", "rozčílit (v-w5574f1)")</f>
        <v>rozčílit (v-w5574f1)</v>
      </c>
    </row>
    <row r="42375" spans="1:3" x14ac:dyDescent="0.2">
      <c r="B42375" t="s">
        <v>1</v>
      </c>
    </row>
    <row r="42376" spans="1:3" x14ac:dyDescent="0.2">
      <c r="B42376" t="s">
        <v>8</v>
      </c>
    </row>
    <row r="42378" spans="1:3" x14ac:dyDescent="0.2">
      <c r="A42378" t="s">
        <v>13592</v>
      </c>
      <c r="B42378" t="str">
        <f>HYPERLINK("https://lindat.mff.cuni.cz/services/teitok/pdtc10/index.php?action=vallex&amp;frame=v-whsa_388hsa_389", "rozčílit se (v-whsa_388hsa_389)")</f>
        <v>rozčílit se (v-whsa_388hsa_389)</v>
      </c>
    </row>
    <row r="42379" spans="1:3" x14ac:dyDescent="0.2">
      <c r="B42379" t="s">
        <v>1</v>
      </c>
    </row>
    <row r="42380" spans="1:3" x14ac:dyDescent="0.2">
      <c r="B42380" t="s">
        <v>13584</v>
      </c>
    </row>
    <row r="42382" spans="1:3" x14ac:dyDescent="0.2">
      <c r="A42382" t="s">
        <v>13593</v>
      </c>
      <c r="B42382" t="str">
        <f>HYPERLINK("https://lindat.mff.cuni.cz/services/teitok/pdtc10/index.php?action=vallex&amp;frame=v-w11579_ZUf1_ZU", "rozředit (v-w11579_ZUf1_ZU)")</f>
        <v>rozředit (v-w11579_ZUf1_ZU)</v>
      </c>
    </row>
    <row r="42383" spans="1:3" x14ac:dyDescent="0.2">
      <c r="B42383" t="s">
        <v>1</v>
      </c>
      <c r="C42383" t="s">
        <v>430</v>
      </c>
    </row>
    <row r="42384" spans="1:3" x14ac:dyDescent="0.2">
      <c r="B42384" t="s">
        <v>8</v>
      </c>
      <c r="C42384" t="s">
        <v>1025</v>
      </c>
    </row>
    <row r="42385" spans="1:4" x14ac:dyDescent="0.2">
      <c r="B42385" t="s">
        <v>61</v>
      </c>
      <c r="C42385" t="s">
        <v>13594</v>
      </c>
    </row>
    <row r="42387" spans="1:4" x14ac:dyDescent="0.2">
      <c r="A42387" t="s">
        <v>13595</v>
      </c>
      <c r="B42387" t="str">
        <f>HYPERLINK("https://lindat.mff.cuni.cz/services/teitok/pdtc10/index.php?action=vallex&amp;frame=v-w10546f2", "rozřezat (v-w10546f2)")</f>
        <v>rozřezat (v-w10546f2)</v>
      </c>
    </row>
    <row r="42388" spans="1:4" x14ac:dyDescent="0.2">
      <c r="B42388" t="s">
        <v>1</v>
      </c>
      <c r="C42388" t="s">
        <v>140</v>
      </c>
      <c r="D42388" t="s">
        <v>24149</v>
      </c>
    </row>
    <row r="42389" spans="1:4" x14ac:dyDescent="0.2">
      <c r="B42389" t="s">
        <v>8</v>
      </c>
      <c r="C42389" t="s">
        <v>34</v>
      </c>
      <c r="D42389" t="s">
        <v>24150</v>
      </c>
    </row>
    <row r="42390" spans="1:4" x14ac:dyDescent="0.2">
      <c r="B42390" t="s">
        <v>2334</v>
      </c>
      <c r="D42390" t="s">
        <v>24151</v>
      </c>
    </row>
    <row r="42392" spans="1:4" x14ac:dyDescent="0.2">
      <c r="A42392" t="s">
        <v>13596</v>
      </c>
      <c r="B42392" t="str">
        <f>HYPERLINK("https://lindat.mff.cuni.cz/services/teitok/pdtc10/index.php?action=vallex&amp;frame=v-whsa_1574hsa_1575", "rozřezávat (v-whsa_1574hsa_1575)")</f>
        <v>rozřezávat (v-whsa_1574hsa_1575)</v>
      </c>
    </row>
    <row r="42393" spans="1:4" x14ac:dyDescent="0.2">
      <c r="B42393" t="s">
        <v>1</v>
      </c>
    </row>
    <row r="42394" spans="1:4" x14ac:dyDescent="0.2">
      <c r="B42394" t="s">
        <v>8</v>
      </c>
    </row>
    <row r="42396" spans="1:4" x14ac:dyDescent="0.2">
      <c r="A42396" t="s">
        <v>13597</v>
      </c>
      <c r="B42396" t="str">
        <f>HYPERLINK("https://lindat.mff.cuni.cz/services/teitok/pdtc10/index.php?action=vallex&amp;frame=v-w5764f1", "rozřeďovat se (v-w5764f1)")</f>
        <v>rozřeďovat se (v-w5764f1)</v>
      </c>
    </row>
    <row r="42397" spans="1:4" x14ac:dyDescent="0.2">
      <c r="B42397" t="s">
        <v>1</v>
      </c>
    </row>
    <row r="42399" spans="1:4" x14ac:dyDescent="0.2">
      <c r="A42399" t="s">
        <v>13598</v>
      </c>
      <c r="B42399" t="str">
        <f>HYPERLINK("https://lindat.mff.cuni.cz/services/teitok/pdtc10/index.php?action=vallex&amp;frame=v-w5765f1", "rozřešit (v-w5765f1)")</f>
        <v>rozřešit (v-w5765f1)</v>
      </c>
    </row>
    <row r="42400" spans="1:4" x14ac:dyDescent="0.2">
      <c r="B42400" t="s">
        <v>1</v>
      </c>
    </row>
    <row r="42401" spans="1:4" x14ac:dyDescent="0.2">
      <c r="B42401" t="s">
        <v>8</v>
      </c>
    </row>
    <row r="42403" spans="1:4" x14ac:dyDescent="0.2">
      <c r="A42403" t="s">
        <v>13599</v>
      </c>
      <c r="B42403" t="str">
        <f>HYPERLINK("https://lindat.mff.cuni.cz/services/teitok/pdtc10/index.php?action=vallex&amp;frame=v-w5766f1", "rozříznout (v-w5766f1)")</f>
        <v>rozříznout (v-w5766f1)</v>
      </c>
    </row>
    <row r="42404" spans="1:4" x14ac:dyDescent="0.2">
      <c r="B42404" t="s">
        <v>1</v>
      </c>
      <c r="D42404" t="s">
        <v>3583</v>
      </c>
    </row>
    <row r="42405" spans="1:4" x14ac:dyDescent="0.2">
      <c r="B42405" t="s">
        <v>8</v>
      </c>
      <c r="C42405" t="s">
        <v>113</v>
      </c>
      <c r="D42405" t="s">
        <v>2113</v>
      </c>
    </row>
    <row r="42406" spans="1:4" x14ac:dyDescent="0.2">
      <c r="B42406" t="s">
        <v>2334</v>
      </c>
      <c r="D42406" t="s">
        <v>23395</v>
      </c>
    </row>
    <row r="42408" spans="1:4" x14ac:dyDescent="0.2">
      <c r="A42408" t="s">
        <v>13600</v>
      </c>
      <c r="B42408" t="str">
        <f>HYPERLINK("https://lindat.mff.cuni.cz/services/teitok/pdtc10/index.php?action=vallex&amp;frame=v-w5780f1", "rozšiřovat (v-w5780f1)")</f>
        <v>rozšiřovat (v-w5780f1)</v>
      </c>
    </row>
    <row r="42409" spans="1:4" x14ac:dyDescent="0.2">
      <c r="B42409" t="s">
        <v>1</v>
      </c>
      <c r="C42409" t="s">
        <v>13601</v>
      </c>
      <c r="D42409" t="s">
        <v>23523</v>
      </c>
    </row>
    <row r="42410" spans="1:4" x14ac:dyDescent="0.2">
      <c r="B42410" t="s">
        <v>8</v>
      </c>
      <c r="C42410" t="s">
        <v>13602</v>
      </c>
      <c r="D42410" t="s">
        <v>23524</v>
      </c>
    </row>
    <row r="42411" spans="1:4" x14ac:dyDescent="0.2">
      <c r="B42411" t="s">
        <v>24</v>
      </c>
      <c r="C42411" t="s">
        <v>13603</v>
      </c>
      <c r="D42411" t="s">
        <v>23525</v>
      </c>
    </row>
    <row r="42412" spans="1:4" x14ac:dyDescent="0.2">
      <c r="B42412" t="s">
        <v>13604</v>
      </c>
      <c r="C42412" t="s">
        <v>13605</v>
      </c>
      <c r="D42412" t="s">
        <v>23526</v>
      </c>
    </row>
    <row r="42414" spans="1:4" x14ac:dyDescent="0.2">
      <c r="A42414" t="s">
        <v>13606</v>
      </c>
      <c r="B42414" t="str">
        <f>HYPERLINK("https://lindat.mff.cuni.cz/services/teitok/pdtc10/index.php?action=vallex&amp;frame=v-w5780f3", "rozšiřovat (v-w5780f3)")</f>
        <v>rozšiřovat (v-w5780f3)</v>
      </c>
    </row>
    <row r="42415" spans="1:4" x14ac:dyDescent="0.2">
      <c r="B42415" t="s">
        <v>1</v>
      </c>
      <c r="C42415" t="s">
        <v>10614</v>
      </c>
      <c r="D42415" t="s">
        <v>373</v>
      </c>
    </row>
    <row r="42416" spans="1:4" x14ac:dyDescent="0.2">
      <c r="B42416" t="s">
        <v>8</v>
      </c>
      <c r="C42416" t="s">
        <v>56</v>
      </c>
      <c r="D42416" t="s">
        <v>1190</v>
      </c>
    </row>
    <row r="42418" spans="1:4" x14ac:dyDescent="0.2">
      <c r="A42418" t="s">
        <v>13607</v>
      </c>
      <c r="B42418" t="str">
        <f>HYPERLINK("https://lindat.mff.cuni.cz/services/teitok/pdtc10/index.php?action=vallex&amp;frame=v-w5780f2", "rozšiřovat (v-w5780f2)")</f>
        <v>rozšiřovat (v-w5780f2)</v>
      </c>
    </row>
    <row r="42419" spans="1:4" x14ac:dyDescent="0.2">
      <c r="B42419" t="s">
        <v>1</v>
      </c>
    </row>
    <row r="42420" spans="1:4" x14ac:dyDescent="0.2">
      <c r="B42420" t="s">
        <v>4749</v>
      </c>
    </row>
    <row r="42421" spans="1:4" x14ac:dyDescent="0.2">
      <c r="B42421" t="s">
        <v>269</v>
      </c>
    </row>
    <row r="42423" spans="1:4" x14ac:dyDescent="0.2">
      <c r="A42423" t="s">
        <v>13608</v>
      </c>
      <c r="B42423" t="str">
        <f>HYPERLINK("https://lindat.mff.cuni.cz/services/teitok/pdtc10/index.php?action=vallex&amp;frame=v-w5781f1", "rozšiřovat se (v-w5781f1)")</f>
        <v>rozšiřovat se (v-w5781f1)</v>
      </c>
    </row>
    <row r="42424" spans="1:4" x14ac:dyDescent="0.2">
      <c r="B42424" t="s">
        <v>1</v>
      </c>
      <c r="C42424" t="s">
        <v>13609</v>
      </c>
      <c r="D42424" t="s">
        <v>23320</v>
      </c>
    </row>
    <row r="42426" spans="1:4" x14ac:dyDescent="0.2">
      <c r="A42426" t="s">
        <v>13610</v>
      </c>
      <c r="B42426" t="str">
        <f>HYPERLINK("https://lindat.mff.cuni.cz/services/teitok/pdtc10/index.php?action=vallex&amp;frame=v-w11711_ZUf1_ZU", "rozšlapat (v-w11711_ZUf1_ZU)")</f>
        <v>rozšlapat (v-w11711_ZUf1_ZU)</v>
      </c>
    </row>
    <row r="42427" spans="1:4" x14ac:dyDescent="0.2">
      <c r="B42427" t="s">
        <v>1</v>
      </c>
    </row>
    <row r="42428" spans="1:4" x14ac:dyDescent="0.2">
      <c r="B42428" t="s">
        <v>8</v>
      </c>
    </row>
    <row r="42429" spans="1:4" x14ac:dyDescent="0.2">
      <c r="B42429" t="s">
        <v>61</v>
      </c>
    </row>
    <row r="42431" spans="1:4" x14ac:dyDescent="0.2">
      <c r="A42431" t="s">
        <v>13611</v>
      </c>
      <c r="B42431" t="str">
        <f>HYPERLINK("https://lindat.mff.cuni.cz/services/teitok/pdtc10/index.php?action=vallex&amp;frame=v-w5782f1", "rozšlehat (v-w5782f1)")</f>
        <v>rozšlehat (v-w5782f1)</v>
      </c>
    </row>
    <row r="42432" spans="1:4" x14ac:dyDescent="0.2">
      <c r="B42432" t="s">
        <v>1</v>
      </c>
    </row>
    <row r="42433" spans="1:4" x14ac:dyDescent="0.2">
      <c r="B42433" t="s">
        <v>8</v>
      </c>
    </row>
    <row r="42435" spans="1:4" x14ac:dyDescent="0.2">
      <c r="A42435" t="s">
        <v>13612</v>
      </c>
      <c r="B42435" t="str">
        <f>HYPERLINK("https://lindat.mff.cuni.cz/services/teitok/pdtc10/index.php?action=vallex&amp;frame=v-whsa_1071hsa_1072", "rozšoupnout se (v-whsa_1071hsa_1072)")</f>
        <v>rozšoupnout se (v-whsa_1071hsa_1072)</v>
      </c>
    </row>
    <row r="42436" spans="1:4" x14ac:dyDescent="0.2">
      <c r="B42436" t="s">
        <v>1</v>
      </c>
    </row>
    <row r="42438" spans="1:4" x14ac:dyDescent="0.2">
      <c r="A42438" t="s">
        <v>13613</v>
      </c>
      <c r="B42438" t="str">
        <f>HYPERLINK("https://lindat.mff.cuni.cz/services/teitok/pdtc10/index.php?action=vallex&amp;frame=v-whsa_1466hsa_1467", "rozštipovat se (v-whsa_1466hsa_1467)")</f>
        <v>rozštipovat se (v-whsa_1466hsa_1467)</v>
      </c>
    </row>
    <row r="42439" spans="1:4" x14ac:dyDescent="0.2">
      <c r="B42439" t="s">
        <v>1</v>
      </c>
    </row>
    <row r="42440" spans="1:4" x14ac:dyDescent="0.2">
      <c r="B42440" t="s">
        <v>46</v>
      </c>
    </row>
    <row r="42442" spans="1:4" x14ac:dyDescent="0.2">
      <c r="A42442" t="s">
        <v>13614</v>
      </c>
      <c r="B42442" t="str">
        <f>HYPERLINK("https://lindat.mff.cuni.cz/services/teitok/pdtc10/index.php?action=vallex&amp;frame=v-w10227f2", "rozštěpit (v-w10227f2)")</f>
        <v>rozštěpit (v-w10227f2)</v>
      </c>
    </row>
    <row r="42443" spans="1:4" x14ac:dyDescent="0.2">
      <c r="B42443" t="s">
        <v>1</v>
      </c>
      <c r="C42443" t="s">
        <v>13615</v>
      </c>
      <c r="D42443" t="s">
        <v>24130</v>
      </c>
    </row>
    <row r="42444" spans="1:4" x14ac:dyDescent="0.2">
      <c r="B42444" t="s">
        <v>8</v>
      </c>
      <c r="C42444" t="s">
        <v>113</v>
      </c>
      <c r="D42444" t="s">
        <v>17979</v>
      </c>
    </row>
    <row r="42445" spans="1:4" x14ac:dyDescent="0.2">
      <c r="B42445" t="s">
        <v>4283</v>
      </c>
      <c r="C42445" t="s">
        <v>1290</v>
      </c>
      <c r="D42445" t="s">
        <v>24131</v>
      </c>
    </row>
    <row r="42447" spans="1:4" x14ac:dyDescent="0.2">
      <c r="A42447" t="s">
        <v>13616</v>
      </c>
      <c r="B42447" t="str">
        <f>HYPERLINK("https://lindat.mff.cuni.cz/services/teitok/pdtc10/index.php?action=vallex&amp;frame=v-w5777f2", "rozšířit (v-w5777f2)")</f>
        <v>rozšířit (v-w5777f2)</v>
      </c>
    </row>
    <row r="42448" spans="1:4" x14ac:dyDescent="0.2">
      <c r="B42448" t="s">
        <v>1</v>
      </c>
      <c r="C42448" t="s">
        <v>13617</v>
      </c>
      <c r="D42448" t="s">
        <v>23523</v>
      </c>
    </row>
    <row r="42449" spans="1:4" x14ac:dyDescent="0.2">
      <c r="B42449" t="s">
        <v>8</v>
      </c>
      <c r="C42449" t="s">
        <v>13618</v>
      </c>
      <c r="D42449" t="s">
        <v>23524</v>
      </c>
    </row>
    <row r="42450" spans="1:4" x14ac:dyDescent="0.2">
      <c r="B42450" t="s">
        <v>24</v>
      </c>
      <c r="C42450" t="s">
        <v>13619</v>
      </c>
      <c r="D42450" t="s">
        <v>23525</v>
      </c>
    </row>
    <row r="42451" spans="1:4" x14ac:dyDescent="0.2">
      <c r="B42451" t="s">
        <v>13604</v>
      </c>
      <c r="C42451" t="s">
        <v>13620</v>
      </c>
      <c r="D42451" t="s">
        <v>23526</v>
      </c>
    </row>
    <row r="42453" spans="1:4" x14ac:dyDescent="0.2">
      <c r="A42453" t="s">
        <v>13621</v>
      </c>
      <c r="B42453" t="str">
        <f>HYPERLINK("https://lindat.mff.cuni.cz/services/teitok/pdtc10/index.php?action=vallex&amp;frame=v-w5777f1", "rozšířit (v-w5777f1)")</f>
        <v>rozšířit (v-w5777f1)</v>
      </c>
    </row>
    <row r="42454" spans="1:4" x14ac:dyDescent="0.2">
      <c r="B42454" t="s">
        <v>1</v>
      </c>
      <c r="C42454" t="s">
        <v>2237</v>
      </c>
    </row>
    <row r="42455" spans="1:4" x14ac:dyDescent="0.2">
      <c r="B42455" t="s">
        <v>8</v>
      </c>
      <c r="C42455" t="s">
        <v>4452</v>
      </c>
    </row>
    <row r="42457" spans="1:4" x14ac:dyDescent="0.2">
      <c r="A42457" t="s">
        <v>13622</v>
      </c>
      <c r="B42457" t="str">
        <f>HYPERLINK("https://lindat.mff.cuni.cz/services/teitok/pdtc10/index.php?action=vallex&amp;frame=v-w5777f3", "rozšířit (v-w5777f3)")</f>
        <v>rozšířit (v-w5777f3)</v>
      </c>
    </row>
    <row r="42458" spans="1:4" x14ac:dyDescent="0.2">
      <c r="B42458" t="s">
        <v>1</v>
      </c>
      <c r="C42458" t="s">
        <v>13623</v>
      </c>
      <c r="D42458" t="s">
        <v>373</v>
      </c>
    </row>
    <row r="42459" spans="1:4" x14ac:dyDescent="0.2">
      <c r="B42459" t="s">
        <v>8</v>
      </c>
      <c r="C42459" t="s">
        <v>13624</v>
      </c>
      <c r="D42459" t="s">
        <v>1190</v>
      </c>
    </row>
    <row r="42461" spans="1:4" x14ac:dyDescent="0.2">
      <c r="A42461" t="s">
        <v>13625</v>
      </c>
      <c r="B42461" t="str">
        <f>HYPERLINK("https://lindat.mff.cuni.cz/services/teitok/pdtc10/index.php?action=vallex&amp;frame=v-w5777f4", "rozšířit (v-w5777f4)")</f>
        <v>rozšířit (v-w5777f4)</v>
      </c>
    </row>
    <row r="42462" spans="1:4" x14ac:dyDescent="0.2">
      <c r="B42462" t="s">
        <v>1</v>
      </c>
    </row>
    <row r="42463" spans="1:4" x14ac:dyDescent="0.2">
      <c r="B42463" t="s">
        <v>4749</v>
      </c>
    </row>
    <row r="42464" spans="1:4" x14ac:dyDescent="0.2">
      <c r="B42464" t="s">
        <v>269</v>
      </c>
    </row>
    <row r="42466" spans="1:4" x14ac:dyDescent="0.2">
      <c r="A42466" t="s">
        <v>13626</v>
      </c>
      <c r="B42466" t="str">
        <f>HYPERLINK("https://lindat.mff.cuni.cz/services/teitok/pdtc10/index.php?action=vallex&amp;frame=v-w5778f1", "rozšířit se (v-w5778f1)")</f>
        <v>rozšířit se (v-w5778f1)</v>
      </c>
    </row>
    <row r="42467" spans="1:4" x14ac:dyDescent="0.2">
      <c r="B42467" t="s">
        <v>1</v>
      </c>
      <c r="C42467" t="s">
        <v>13627</v>
      </c>
      <c r="D42467" t="s">
        <v>23320</v>
      </c>
    </row>
    <row r="42469" spans="1:4" x14ac:dyDescent="0.2">
      <c r="A42469" t="s">
        <v>13628</v>
      </c>
      <c r="B42469" t="str">
        <f>HYPERLINK("https://lindat.mff.cuni.cz/services/teitok/pdtc10/index.php?action=vallex&amp;frame=v-w5778f2_ZU", "rozšířit se (v-w5778f2_ZU)")</f>
        <v>rozšířit se (v-w5778f2_ZU)</v>
      </c>
    </row>
    <row r="42470" spans="1:4" x14ac:dyDescent="0.2">
      <c r="B42470" t="s">
        <v>1</v>
      </c>
      <c r="C42470" t="s">
        <v>13629</v>
      </c>
      <c r="D42470" t="s">
        <v>23510</v>
      </c>
    </row>
    <row r="42471" spans="1:4" x14ac:dyDescent="0.2">
      <c r="B42471" t="s">
        <v>46</v>
      </c>
      <c r="C42471" t="s">
        <v>13630</v>
      </c>
      <c r="D42471" t="s">
        <v>23393</v>
      </c>
    </row>
    <row r="42472" spans="1:4" x14ac:dyDescent="0.2">
      <c r="B42472" t="s">
        <v>24</v>
      </c>
      <c r="C42472" t="s">
        <v>13631</v>
      </c>
      <c r="D42472" t="s">
        <v>23394</v>
      </c>
    </row>
    <row r="42474" spans="1:4" x14ac:dyDescent="0.2">
      <c r="A42474" t="s">
        <v>13628</v>
      </c>
      <c r="B42474" t="str">
        <f>HYPERLINK("https://lindat.mff.cuni.cz/services/teitok/pdtc10/index.php?action=vallex&amp;frame=v-w5778hsa_616", "rozšířit se (v-w5778hsa_616) - substituted with v-w5778f2_ZU")</f>
        <v>rozšířit se (v-w5778hsa_616) - substituted with v-w5778f2_ZU</v>
      </c>
    </row>
    <row r="42475" spans="1:4" x14ac:dyDescent="0.2">
      <c r="B42475" t="s">
        <v>1</v>
      </c>
    </row>
    <row r="42476" spans="1:4" x14ac:dyDescent="0.2">
      <c r="B42476" t="s">
        <v>46</v>
      </c>
    </row>
    <row r="42477" spans="1:4" x14ac:dyDescent="0.2">
      <c r="B42477" t="s">
        <v>24</v>
      </c>
    </row>
    <row r="42479" spans="1:4" x14ac:dyDescent="0.2">
      <c r="A42479" t="s">
        <v>13632</v>
      </c>
      <c r="B42479" t="str">
        <f>HYPERLINK("https://lindat.mff.cuni.cz/services/teitok/pdtc10/index.php?action=vallex&amp;frame=v-w5838f1", "ruinovat (v-w5838f1)")</f>
        <v>ruinovat (v-w5838f1)</v>
      </c>
    </row>
    <row r="42480" spans="1:4" x14ac:dyDescent="0.2">
      <c r="B42480" t="s">
        <v>1</v>
      </c>
      <c r="C42480" t="s">
        <v>249</v>
      </c>
      <c r="D42480" t="s">
        <v>23088</v>
      </c>
    </row>
    <row r="42481" spans="1:4" x14ac:dyDescent="0.2">
      <c r="B42481" t="s">
        <v>8</v>
      </c>
      <c r="C42481" t="s">
        <v>23</v>
      </c>
      <c r="D42481" t="s">
        <v>986</v>
      </c>
    </row>
    <row r="42483" spans="1:4" x14ac:dyDescent="0.2">
      <c r="A42483" t="s">
        <v>13633</v>
      </c>
      <c r="B42483" t="str">
        <f>HYPERLINK("https://lindat.mff.cuni.cz/services/teitok/pdtc10/index.php?action=vallex&amp;frame=v-w5839f1", "rukovat (v-w5839f1)")</f>
        <v>rukovat (v-w5839f1)</v>
      </c>
    </row>
    <row r="42484" spans="1:4" x14ac:dyDescent="0.2">
      <c r="B42484" t="s">
        <v>1</v>
      </c>
    </row>
    <row r="42485" spans="1:4" x14ac:dyDescent="0.2">
      <c r="B42485" t="s">
        <v>90</v>
      </c>
    </row>
    <row r="42487" spans="1:4" x14ac:dyDescent="0.2">
      <c r="A42487" t="s">
        <v>13634</v>
      </c>
      <c r="B42487" t="str">
        <f>HYPERLINK("https://lindat.mff.cuni.cz/services/teitok/pdtc10/index.php?action=vallex&amp;frame=v-w11843_ZUf1_ZU", "rupnout (v-w11843_ZUf1_ZU)")</f>
        <v>rupnout (v-w11843_ZUf1_ZU)</v>
      </c>
    </row>
    <row r="42488" spans="1:4" x14ac:dyDescent="0.2">
      <c r="B42488" t="s">
        <v>1</v>
      </c>
    </row>
    <row r="42490" spans="1:4" x14ac:dyDescent="0.2">
      <c r="A42490" t="s">
        <v>13635</v>
      </c>
      <c r="B42490" t="str">
        <f>HYPERLINK("https://lindat.mff.cuni.cz/services/teitok/pdtc10/index.php?action=vallex&amp;frame=v-w5836f1", "ručit (v-w5836f1)")</f>
        <v>ručit (v-w5836f1)</v>
      </c>
    </row>
    <row r="42491" spans="1:4" x14ac:dyDescent="0.2">
      <c r="B42491" t="s">
        <v>1</v>
      </c>
      <c r="C42491" t="s">
        <v>3622</v>
      </c>
      <c r="D42491" t="s">
        <v>317</v>
      </c>
    </row>
    <row r="42492" spans="1:4" x14ac:dyDescent="0.2">
      <c r="B42492" t="s">
        <v>13636</v>
      </c>
      <c r="C42492" t="s">
        <v>10484</v>
      </c>
      <c r="D42492" t="s">
        <v>1241</v>
      </c>
    </row>
    <row r="42493" spans="1:4" x14ac:dyDescent="0.2">
      <c r="B42493" t="s">
        <v>35</v>
      </c>
      <c r="C42493" t="s">
        <v>3185</v>
      </c>
      <c r="D42493" t="s">
        <v>3185</v>
      </c>
    </row>
    <row r="42495" spans="1:4" x14ac:dyDescent="0.2">
      <c r="A42495" t="s">
        <v>13637</v>
      </c>
      <c r="B42495" t="str">
        <f>HYPERLINK("https://lindat.mff.cuni.cz/services/teitok/pdtc10/index.php?action=vallex&amp;frame=v-w5845f1", "rušit (v-w5845f1)")</f>
        <v>rušit (v-w5845f1)</v>
      </c>
    </row>
    <row r="42496" spans="1:4" x14ac:dyDescent="0.2">
      <c r="B42496" t="s">
        <v>1</v>
      </c>
    </row>
    <row r="42497" spans="1:4" x14ac:dyDescent="0.2">
      <c r="B42497" t="s">
        <v>8</v>
      </c>
    </row>
    <row r="42498" spans="1:4" x14ac:dyDescent="0.2">
      <c r="B42498" t="s">
        <v>1944</v>
      </c>
    </row>
    <row r="42500" spans="1:4" x14ac:dyDescent="0.2">
      <c r="A42500" t="s">
        <v>13638</v>
      </c>
      <c r="B42500" t="str">
        <f>HYPERLINK("https://lindat.mff.cuni.cz/services/teitok/pdtc10/index.php?action=vallex&amp;frame=v-w5845f3_ZU", "rušit (v-w5845f3_ZU)")</f>
        <v>rušit (v-w5845f3_ZU)</v>
      </c>
    </row>
    <row r="42501" spans="1:4" x14ac:dyDescent="0.2">
      <c r="B42501" t="s">
        <v>1</v>
      </c>
      <c r="D42501" t="s">
        <v>23598</v>
      </c>
    </row>
    <row r="42502" spans="1:4" x14ac:dyDescent="0.2">
      <c r="B42502" t="s">
        <v>8</v>
      </c>
      <c r="D42502" t="s">
        <v>23599</v>
      </c>
    </row>
    <row r="42504" spans="1:4" x14ac:dyDescent="0.2">
      <c r="A42504" t="s">
        <v>13638</v>
      </c>
      <c r="B42504" t="str">
        <f>HYPERLINK("https://lindat.mff.cuni.cz/services/teitok/pdtc10/index.php?action=vallex&amp;frame=v-w5845f2", "rušit (v-w5845f2) - substituted with v-w5845f3_ZU")</f>
        <v>rušit (v-w5845f2) - substituted with v-w5845f3_ZU</v>
      </c>
    </row>
    <row r="42505" spans="1:4" x14ac:dyDescent="0.2">
      <c r="B42505" t="s">
        <v>1</v>
      </c>
      <c r="C42505" t="s">
        <v>2145</v>
      </c>
    </row>
    <row r="42506" spans="1:4" x14ac:dyDescent="0.2">
      <c r="B42506" t="s">
        <v>8</v>
      </c>
      <c r="C42506" t="s">
        <v>13639</v>
      </c>
    </row>
    <row r="42508" spans="1:4" x14ac:dyDescent="0.2">
      <c r="A42508" t="s">
        <v>13640</v>
      </c>
      <c r="B42508" t="str">
        <f>HYPERLINK("https://lindat.mff.cuni.cz/services/teitok/pdtc10/index.php?action=vallex&amp;frame=v-w5845f4_ZU", "rušit (v-w5845f4_ZU)")</f>
        <v>rušit (v-w5845f4_ZU)</v>
      </c>
    </row>
    <row r="42509" spans="1:4" x14ac:dyDescent="0.2">
      <c r="B42509" t="s">
        <v>1</v>
      </c>
    </row>
    <row r="42510" spans="1:4" x14ac:dyDescent="0.2">
      <c r="B42510" t="s">
        <v>8</v>
      </c>
    </row>
    <row r="42512" spans="1:4" x14ac:dyDescent="0.2">
      <c r="A42512" t="s">
        <v>13641</v>
      </c>
      <c r="B42512" t="str">
        <f>HYPERLINK("https://lindat.mff.cuni.cz/services/teitok/pdtc10/index.php?action=vallex&amp;frame=v-w5848f1", "rvát (v-w5848f1)")</f>
        <v>rvát (v-w5848f1)</v>
      </c>
    </row>
    <row r="42513" spans="1:4" x14ac:dyDescent="0.2">
      <c r="B42513" t="s">
        <v>1</v>
      </c>
    </row>
    <row r="42514" spans="1:4" x14ac:dyDescent="0.2">
      <c r="B42514" t="s">
        <v>8</v>
      </c>
    </row>
    <row r="42515" spans="1:4" x14ac:dyDescent="0.2">
      <c r="B42515" t="s">
        <v>61</v>
      </c>
    </row>
    <row r="42517" spans="1:4" x14ac:dyDescent="0.2">
      <c r="A42517" t="s">
        <v>13642</v>
      </c>
      <c r="B42517" t="str">
        <f>HYPERLINK("https://lindat.mff.cuni.cz/services/teitok/pdtc10/index.php?action=vallex&amp;frame=v-w5849f1", "rvát se (v-w5849f1)")</f>
        <v>rvát se (v-w5849f1)</v>
      </c>
    </row>
    <row r="42518" spans="1:4" x14ac:dyDescent="0.2">
      <c r="B42518" t="s">
        <v>1</v>
      </c>
      <c r="C42518" t="s">
        <v>140</v>
      </c>
      <c r="D42518" t="s">
        <v>1992</v>
      </c>
    </row>
    <row r="42519" spans="1:4" x14ac:dyDescent="0.2">
      <c r="B42519" t="s">
        <v>153</v>
      </c>
      <c r="D42519" t="s">
        <v>22991</v>
      </c>
    </row>
    <row r="42520" spans="1:4" x14ac:dyDescent="0.2">
      <c r="B42520" t="s">
        <v>2287</v>
      </c>
      <c r="D42520" t="s">
        <v>22992</v>
      </c>
    </row>
    <row r="42522" spans="1:4" x14ac:dyDescent="0.2">
      <c r="A42522" t="s">
        <v>13643</v>
      </c>
      <c r="B42522" t="str">
        <f>HYPERLINK("https://lindat.mff.cuni.cz/services/teitok/pdtc10/index.php?action=vallex&amp;frame=v-w5850f1", "rybařit (v-w5850f1)")</f>
        <v>rybařit (v-w5850f1)</v>
      </c>
    </row>
    <row r="42523" spans="1:4" x14ac:dyDescent="0.2">
      <c r="B42523" t="s">
        <v>1</v>
      </c>
    </row>
    <row r="42525" spans="1:4" x14ac:dyDescent="0.2">
      <c r="A42525" t="s">
        <v>13644</v>
      </c>
      <c r="B42525" t="str">
        <f>HYPERLINK("https://lindat.mff.cuni.cz/services/teitok/pdtc10/index.php?action=vallex&amp;frame=v-whsa_1525hsa_1526", "rychtovat (v-whsa_1525hsa_1526)")</f>
        <v>rychtovat (v-whsa_1525hsa_1526)</v>
      </c>
    </row>
    <row r="42526" spans="1:4" x14ac:dyDescent="0.2">
      <c r="B42526" t="s">
        <v>1</v>
      </c>
    </row>
    <row r="42527" spans="1:4" x14ac:dyDescent="0.2">
      <c r="B42527" t="s">
        <v>8</v>
      </c>
    </row>
    <row r="42529" spans="1:4" x14ac:dyDescent="0.2">
      <c r="A42529" t="s">
        <v>13645</v>
      </c>
      <c r="B42529" t="str">
        <f>HYPERLINK("https://lindat.mff.cuni.cz/services/teitok/pdtc10/index.php?action=vallex&amp;frame=v-w5412f1", "rámovat (v-w5412f1)")</f>
        <v>rámovat (v-w5412f1)</v>
      </c>
    </row>
    <row r="42530" spans="1:4" x14ac:dyDescent="0.2">
      <c r="B42530" t="s">
        <v>1</v>
      </c>
      <c r="D42530" t="s">
        <v>14794</v>
      </c>
    </row>
    <row r="42531" spans="1:4" x14ac:dyDescent="0.2">
      <c r="B42531" t="s">
        <v>8</v>
      </c>
      <c r="D42531" t="s">
        <v>13061</v>
      </c>
    </row>
    <row r="42533" spans="1:4" x14ac:dyDescent="0.2">
      <c r="A42533" t="s">
        <v>13646</v>
      </c>
      <c r="B42533" t="str">
        <f>HYPERLINK("https://lindat.mff.cuni.cz/services/teitok/pdtc10/index.php?action=vallex&amp;frame=v-w11822_ZUf1_ZU", "ráčit (v-w11822_ZUf1_ZU)")</f>
        <v>ráčit (v-w11822_ZUf1_ZU)</v>
      </c>
    </row>
    <row r="42534" spans="1:4" x14ac:dyDescent="0.2">
      <c r="B42534" t="s">
        <v>1</v>
      </c>
    </row>
    <row r="42535" spans="1:4" x14ac:dyDescent="0.2">
      <c r="B42535" t="s">
        <v>8</v>
      </c>
    </row>
    <row r="42537" spans="1:4" x14ac:dyDescent="0.2">
      <c r="A42537" t="s">
        <v>13647</v>
      </c>
      <c r="B42537" t="str">
        <f>HYPERLINK("https://lindat.mff.cuni.cz/services/teitok/pdtc10/index.php?action=vallex&amp;frame=v-w5401f1", "ráčkovat (v-w5401f1)")</f>
        <v>ráčkovat (v-w5401f1)</v>
      </c>
    </row>
    <row r="42538" spans="1:4" x14ac:dyDescent="0.2">
      <c r="B42538" t="s">
        <v>1</v>
      </c>
    </row>
    <row r="42540" spans="1:4" x14ac:dyDescent="0.2">
      <c r="A42540" t="s">
        <v>13648</v>
      </c>
      <c r="B42540" t="str">
        <f>HYPERLINK("https://lindat.mff.cuni.cz/services/teitok/pdtc10/index.php?action=vallex&amp;frame=v-w10333f4_ZU", "rýmovat (v-w10333f4_ZU)")</f>
        <v>rýmovat (v-w10333f4_ZU)</v>
      </c>
    </row>
    <row r="42541" spans="1:4" x14ac:dyDescent="0.2">
      <c r="B42541" t="s">
        <v>1</v>
      </c>
      <c r="C42541" t="s">
        <v>140</v>
      </c>
      <c r="D42541" t="s">
        <v>140</v>
      </c>
    </row>
    <row r="42542" spans="1:4" x14ac:dyDescent="0.2">
      <c r="B42542" t="s">
        <v>8</v>
      </c>
      <c r="C42542" t="s">
        <v>113</v>
      </c>
      <c r="D42542" t="s">
        <v>113</v>
      </c>
    </row>
    <row r="42543" spans="1:4" x14ac:dyDescent="0.2">
      <c r="B42543" t="s">
        <v>2604</v>
      </c>
      <c r="C42543" t="s">
        <v>26</v>
      </c>
      <c r="D42543" t="s">
        <v>26</v>
      </c>
    </row>
    <row r="42545" spans="1:4" x14ac:dyDescent="0.2">
      <c r="A42545" t="s">
        <v>13648</v>
      </c>
      <c r="B42545" t="str">
        <f>HYPERLINK("https://lindat.mff.cuni.cz/services/teitok/pdtc10/index.php?action=vallex&amp;frame=v-w10333f3", "rýmovat (v-w10333f3) - substituted with v-w10333f4_ZU")</f>
        <v>rýmovat (v-w10333f3) - substituted with v-w10333f4_ZU</v>
      </c>
    </row>
    <row r="42546" spans="1:4" x14ac:dyDescent="0.2">
      <c r="B42546" t="s">
        <v>1</v>
      </c>
    </row>
    <row r="42547" spans="1:4" x14ac:dyDescent="0.2">
      <c r="B42547" t="s">
        <v>8</v>
      </c>
    </row>
    <row r="42548" spans="1:4" x14ac:dyDescent="0.2">
      <c r="B42548" t="s">
        <v>2604</v>
      </c>
    </row>
    <row r="42550" spans="1:4" x14ac:dyDescent="0.2">
      <c r="A42550" t="s">
        <v>13649</v>
      </c>
      <c r="B42550" t="str">
        <f>HYPERLINK("https://lindat.mff.cuni.cz/services/teitok/pdtc10/index.php?action=vallex&amp;frame=v-w11285f1", "rýmovat se (v-w11285f1)")</f>
        <v>rýmovat se (v-w11285f1)</v>
      </c>
    </row>
    <row r="42551" spans="1:4" x14ac:dyDescent="0.2">
      <c r="B42551" t="s">
        <v>1</v>
      </c>
      <c r="C42551" t="s">
        <v>186</v>
      </c>
      <c r="D42551" t="s">
        <v>715</v>
      </c>
    </row>
    <row r="42552" spans="1:4" x14ac:dyDescent="0.2">
      <c r="B42552" t="s">
        <v>411</v>
      </c>
      <c r="C42552" t="s">
        <v>1301</v>
      </c>
      <c r="D42552" t="s">
        <v>299</v>
      </c>
    </row>
    <row r="42554" spans="1:4" x14ac:dyDescent="0.2">
      <c r="A42554" t="s">
        <v>13650</v>
      </c>
      <c r="B42554" t="str">
        <f>HYPERLINK("https://lindat.mff.cuni.cz/services/teitok/pdtc10/index.php?action=vallex&amp;frame=v-w5852f1", "rýpnout si (v-w5852f1)")</f>
        <v>rýpnout si (v-w5852f1)</v>
      </c>
    </row>
    <row r="42555" spans="1:4" x14ac:dyDescent="0.2">
      <c r="B42555" t="s">
        <v>1</v>
      </c>
    </row>
    <row r="42556" spans="1:4" x14ac:dyDescent="0.2">
      <c r="B42556" t="s">
        <v>817</v>
      </c>
    </row>
    <row r="42558" spans="1:4" x14ac:dyDescent="0.2">
      <c r="A42558" t="s">
        <v>13651</v>
      </c>
      <c r="B42558" t="str">
        <f>HYPERLINK("https://lindat.mff.cuni.cz/services/teitok/pdtc10/index.php?action=vallex&amp;frame=v-w5853f1", "rýsovat (v-w5853f1)")</f>
        <v>rýsovat (v-w5853f1)</v>
      </c>
    </row>
    <row r="42559" spans="1:4" x14ac:dyDescent="0.2">
      <c r="B42559" t="s">
        <v>1</v>
      </c>
    </row>
    <row r="42560" spans="1:4" x14ac:dyDescent="0.2">
      <c r="B42560" t="s">
        <v>8</v>
      </c>
    </row>
    <row r="42562" spans="1:4" x14ac:dyDescent="0.2">
      <c r="A42562" t="s">
        <v>13652</v>
      </c>
      <c r="B42562" t="str">
        <f>HYPERLINK("https://lindat.mff.cuni.cz/services/teitok/pdtc10/index.php?action=vallex&amp;frame=v-w5854f1", "rýsovat se (v-w5854f1)")</f>
        <v>rýsovat se (v-w5854f1)</v>
      </c>
    </row>
    <row r="42563" spans="1:4" x14ac:dyDescent="0.2">
      <c r="B42563" t="s">
        <v>1</v>
      </c>
      <c r="C42563" t="s">
        <v>13653</v>
      </c>
      <c r="D42563" t="s">
        <v>14346</v>
      </c>
    </row>
    <row r="42565" spans="1:4" x14ac:dyDescent="0.2">
      <c r="A42565" t="s">
        <v>13654</v>
      </c>
      <c r="B42565" t="str">
        <f>HYPERLINK("https://lindat.mff.cuni.cz/services/teitok/pdtc10/index.php?action=vallex&amp;frame=v-whsa_986f2_ZU", "rýt (v-whsa_986f2_ZU)")</f>
        <v>rýt (v-whsa_986f2_ZU)</v>
      </c>
    </row>
    <row r="42566" spans="1:4" x14ac:dyDescent="0.2">
      <c r="B42566" t="s">
        <v>1</v>
      </c>
    </row>
    <row r="42567" spans="1:4" x14ac:dyDescent="0.2">
      <c r="B42567" t="s">
        <v>220</v>
      </c>
    </row>
    <row r="42569" spans="1:4" x14ac:dyDescent="0.2">
      <c r="A42569" t="s">
        <v>13654</v>
      </c>
      <c r="B42569" t="str">
        <f>HYPERLINK("https://lindat.mff.cuni.cz/services/teitok/pdtc10/index.php?action=vallex&amp;frame=v-whsa_986f1_ZU", "rýt (v-whsa_986f1_ZU) - substituted with v-whsa_986f2_ZU")</f>
        <v>rýt (v-whsa_986f1_ZU) - substituted with v-whsa_986f2_ZU</v>
      </c>
    </row>
    <row r="42570" spans="1:4" x14ac:dyDescent="0.2">
      <c r="B42570" t="s">
        <v>1</v>
      </c>
      <c r="C42570" t="s">
        <v>133</v>
      </c>
    </row>
    <row r="42571" spans="1:4" x14ac:dyDescent="0.2">
      <c r="B42571" t="s">
        <v>220</v>
      </c>
    </row>
    <row r="42573" spans="1:4" x14ac:dyDescent="0.2">
      <c r="A42573" t="s">
        <v>13654</v>
      </c>
      <c r="B42573" t="str">
        <f>HYPERLINK("https://lindat.mff.cuni.cz/services/teitok/pdtc10/index.php?action=vallex&amp;frame=v-whsa_986hsa_987", "rýt (v-whsa_986hsa_987) - substituted with v-whsa_986f2_ZU")</f>
        <v>rýt (v-whsa_986hsa_987) - substituted with v-whsa_986f2_ZU</v>
      </c>
    </row>
    <row r="42574" spans="1:4" x14ac:dyDescent="0.2">
      <c r="B42574" t="s">
        <v>1</v>
      </c>
    </row>
    <row r="42575" spans="1:4" x14ac:dyDescent="0.2">
      <c r="B42575" t="s">
        <v>220</v>
      </c>
    </row>
    <row r="42577" spans="1:4" x14ac:dyDescent="0.2">
      <c r="A42577" t="s">
        <v>13655</v>
      </c>
      <c r="B42577" t="str">
        <f>HYPERLINK("https://lindat.mff.cuni.cz/services/teitok/pdtc10/index.php?action=vallex&amp;frame=v-whsa_984hsa_985", "rýt (v-whsa_984hsa_985)")</f>
        <v>rýt (v-whsa_984hsa_985)</v>
      </c>
    </row>
    <row r="42578" spans="1:4" x14ac:dyDescent="0.2">
      <c r="B42578" t="s">
        <v>1</v>
      </c>
    </row>
    <row r="42579" spans="1:4" x14ac:dyDescent="0.2">
      <c r="B42579" t="s">
        <v>220</v>
      </c>
    </row>
    <row r="42581" spans="1:4" x14ac:dyDescent="0.2">
      <c r="A42581" t="s">
        <v>13656</v>
      </c>
      <c r="B42581" t="str">
        <f>HYPERLINK("https://lindat.mff.cuni.cz/services/teitok/pdtc10/index.php?action=vallex&amp;frame=v-w10283f3", "rýžovat (v-w10283f3)")</f>
        <v>rýžovat (v-w10283f3)</v>
      </c>
    </row>
    <row r="42582" spans="1:4" x14ac:dyDescent="0.2">
      <c r="B42582" t="s">
        <v>1</v>
      </c>
    </row>
    <row r="42583" spans="1:4" x14ac:dyDescent="0.2">
      <c r="B42583" t="s">
        <v>8</v>
      </c>
    </row>
    <row r="42584" spans="1:4" x14ac:dyDescent="0.2">
      <c r="B42584" t="s">
        <v>6411</v>
      </c>
    </row>
    <row r="42586" spans="1:4" x14ac:dyDescent="0.2">
      <c r="A42586" t="s">
        <v>13657</v>
      </c>
      <c r="B42586" t="str">
        <f>HYPERLINK("https://lindat.mff.cuni.cz/services/teitok/pdtc10/index.php?action=vallex&amp;frame=v-w10283f4", "rýžovat (v-w10283f4)")</f>
        <v>rýžovat (v-w10283f4)</v>
      </c>
    </row>
    <row r="42587" spans="1:4" x14ac:dyDescent="0.2">
      <c r="B42587" t="s">
        <v>1</v>
      </c>
      <c r="C42587" t="s">
        <v>140</v>
      </c>
      <c r="D42587" t="s">
        <v>140</v>
      </c>
    </row>
    <row r="42588" spans="1:4" x14ac:dyDescent="0.2">
      <c r="B42588" t="s">
        <v>8</v>
      </c>
      <c r="C42588" t="s">
        <v>34</v>
      </c>
      <c r="D42588" t="s">
        <v>34</v>
      </c>
    </row>
    <row r="42590" spans="1:4" x14ac:dyDescent="0.2">
      <c r="A42590" t="s">
        <v>13658</v>
      </c>
      <c r="B42590" t="str">
        <f>HYPERLINK("https://lindat.mff.cuni.cz/services/teitok/pdtc10/index.php?action=vallex&amp;frame=v-w5841f3", "růst (v-w5841f3)")</f>
        <v>růst (v-w5841f3)</v>
      </c>
    </row>
    <row r="42591" spans="1:4" x14ac:dyDescent="0.2">
      <c r="B42591" t="s">
        <v>1</v>
      </c>
    </row>
    <row r="42592" spans="1:4" x14ac:dyDescent="0.2">
      <c r="B42592" t="s">
        <v>1859</v>
      </c>
    </row>
    <row r="42593" spans="1:4" x14ac:dyDescent="0.2">
      <c r="B42593" t="s">
        <v>24</v>
      </c>
    </row>
    <row r="42595" spans="1:4" x14ac:dyDescent="0.2">
      <c r="A42595" t="s">
        <v>13659</v>
      </c>
      <c r="B42595" t="str">
        <f>HYPERLINK("https://lindat.mff.cuni.cz/services/teitok/pdtc10/index.php?action=vallex&amp;frame=v-w5841f5_ZU", "růst (v-w5841f5_ZU)")</f>
        <v>růst (v-w5841f5_ZU)</v>
      </c>
    </row>
    <row r="42596" spans="1:4" x14ac:dyDescent="0.2">
      <c r="B42596" t="s">
        <v>1</v>
      </c>
      <c r="C42596" t="s">
        <v>13660</v>
      </c>
      <c r="D42596" t="s">
        <v>23510</v>
      </c>
    </row>
    <row r="42597" spans="1:4" x14ac:dyDescent="0.2">
      <c r="B42597" t="s">
        <v>1826</v>
      </c>
      <c r="C42597" t="s">
        <v>13661</v>
      </c>
      <c r="D42597" t="s">
        <v>23393</v>
      </c>
    </row>
    <row r="42598" spans="1:4" x14ac:dyDescent="0.2">
      <c r="B42598" t="s">
        <v>24</v>
      </c>
      <c r="C42598" t="s">
        <v>13662</v>
      </c>
      <c r="D42598" t="s">
        <v>23394</v>
      </c>
    </row>
    <row r="42600" spans="1:4" x14ac:dyDescent="0.2">
      <c r="A42600" t="s">
        <v>13659</v>
      </c>
      <c r="B42600" t="str">
        <f>HYPERLINK("https://lindat.mff.cuni.cz/services/teitok/pdtc10/index.php?action=vallex&amp;frame=v-w5841f1", "růst (v-w5841f1) - substituted with v-w5841f5_ZU")</f>
        <v>růst (v-w5841f1) - substituted with v-w5841f5_ZU</v>
      </c>
    </row>
    <row r="42601" spans="1:4" x14ac:dyDescent="0.2">
      <c r="B42601" t="s">
        <v>1</v>
      </c>
      <c r="C42601" t="s">
        <v>13663</v>
      </c>
    </row>
    <row r="42602" spans="1:4" x14ac:dyDescent="0.2">
      <c r="B42602" t="s">
        <v>1826</v>
      </c>
      <c r="C42602" t="s">
        <v>13664</v>
      </c>
    </row>
    <row r="42603" spans="1:4" x14ac:dyDescent="0.2">
      <c r="B42603" t="s">
        <v>24</v>
      </c>
      <c r="C42603" t="s">
        <v>13665</v>
      </c>
    </row>
    <row r="42605" spans="1:4" x14ac:dyDescent="0.2">
      <c r="A42605" t="s">
        <v>13666</v>
      </c>
      <c r="B42605" t="str">
        <f>HYPERLINK("https://lindat.mff.cuni.cz/services/teitok/pdtc10/index.php?action=vallex&amp;frame=v-w5841f4", "růst (v-w5841f4)")</f>
        <v>růst (v-w5841f4)</v>
      </c>
    </row>
    <row r="42606" spans="1:4" x14ac:dyDescent="0.2">
      <c r="B42606" t="s">
        <v>1</v>
      </c>
    </row>
    <row r="42607" spans="1:4" x14ac:dyDescent="0.2">
      <c r="B42607" t="s">
        <v>168</v>
      </c>
    </row>
    <row r="42609" spans="1:4" x14ac:dyDescent="0.2">
      <c r="A42609" t="s">
        <v>13667</v>
      </c>
      <c r="B42609" t="str">
        <f>HYPERLINK("https://lindat.mff.cuni.cz/services/teitok/pdtc10/index.php?action=vallex&amp;frame=v-w5841f7_ZU", "růst (v-w5841f7_ZU)")</f>
        <v>růst (v-w5841f7_ZU)</v>
      </c>
    </row>
    <row r="42610" spans="1:4" x14ac:dyDescent="0.2">
      <c r="B42610" t="s">
        <v>1</v>
      </c>
    </row>
    <row r="42612" spans="1:4" x14ac:dyDescent="0.2">
      <c r="A42612" t="s">
        <v>13667</v>
      </c>
      <c r="B42612" t="str">
        <f>HYPERLINK("https://lindat.mff.cuni.cz/services/teitok/pdtc10/index.php?action=vallex&amp;frame=v-w5841f2", "růst (v-w5841f2) - substituted with v-w5841f7_ZU")</f>
        <v>růst (v-w5841f2) - substituted with v-w5841f7_ZU</v>
      </c>
    </row>
    <row r="42613" spans="1:4" x14ac:dyDescent="0.2">
      <c r="B42613" t="s">
        <v>1</v>
      </c>
      <c r="C42613" t="s">
        <v>13668</v>
      </c>
      <c r="D42613" t="s">
        <v>23449</v>
      </c>
    </row>
    <row r="42615" spans="1:4" x14ac:dyDescent="0.2">
      <c r="A42615" t="s">
        <v>13669</v>
      </c>
      <c r="B42615" t="str">
        <f>HYPERLINK("https://lindat.mff.cuni.cz/services/teitok/pdtc10/index.php?action=vallex&amp;frame=v-w5841f6_ZU", "růst (v-w5841f6_ZU)")</f>
        <v>růst (v-w5841f6_ZU)</v>
      </c>
    </row>
    <row r="42616" spans="1:4" x14ac:dyDescent="0.2">
      <c r="B42616" t="s">
        <v>1</v>
      </c>
    </row>
    <row r="42617" spans="1:4" x14ac:dyDescent="0.2">
      <c r="B42617" t="s">
        <v>13670</v>
      </c>
    </row>
    <row r="42619" spans="1:4" x14ac:dyDescent="0.2">
      <c r="A42619" t="s">
        <v>13669</v>
      </c>
      <c r="B42619" t="str">
        <f>HYPERLINK("https://lindat.mff.cuni.cz/services/teitok/pdtc10/index.php?action=vallex&amp;frame=v-w5841hsa_956", "růst (v-w5841hsa_956) - substituted with v-w5841f6_ZU")</f>
        <v>růst (v-w5841hsa_956) - substituted with v-w5841f6_ZU</v>
      </c>
    </row>
    <row r="42620" spans="1:4" x14ac:dyDescent="0.2">
      <c r="B42620" t="s">
        <v>1</v>
      </c>
    </row>
    <row r="42621" spans="1:4" x14ac:dyDescent="0.2">
      <c r="B42621" t="s">
        <v>13670</v>
      </c>
    </row>
    <row r="42623" spans="1:4" x14ac:dyDescent="0.2">
      <c r="A42623" t="s">
        <v>13671</v>
      </c>
      <c r="B42623" t="str">
        <f>HYPERLINK("https://lindat.mff.cuni.cz/services/teitok/pdtc10/index.php?action=vallex&amp;frame=v-w5846f1", "různit se (v-w5846f1)")</f>
        <v>různit se (v-w5846f1)</v>
      </c>
    </row>
    <row r="42624" spans="1:4" x14ac:dyDescent="0.2">
      <c r="B42624" t="s">
        <v>1</v>
      </c>
      <c r="C42624" t="s">
        <v>13672</v>
      </c>
      <c r="D42624" t="s">
        <v>23420</v>
      </c>
    </row>
    <row r="42625" spans="1:4" x14ac:dyDescent="0.2">
      <c r="B42625" t="s">
        <v>19</v>
      </c>
      <c r="C42625" t="s">
        <v>54</v>
      </c>
      <c r="D42625" t="s">
        <v>23421</v>
      </c>
    </row>
    <row r="42627" spans="1:4" x14ac:dyDescent="0.2">
      <c r="A42627" t="s">
        <v>13673</v>
      </c>
      <c r="B42627" t="str">
        <f>HYPERLINK("https://lindat.mff.cuni.cz/services/teitok/pdtc10/index.php?action=vallex&amp;frame=v-w11668_ZUf1_ZU", "sabotovat (v-w11668_ZUf1_ZU)")</f>
        <v>sabotovat (v-w11668_ZUf1_ZU)</v>
      </c>
    </row>
    <row r="42628" spans="1:4" x14ac:dyDescent="0.2">
      <c r="B42628" t="s">
        <v>1</v>
      </c>
    </row>
    <row r="42629" spans="1:4" x14ac:dyDescent="0.2">
      <c r="B42629" t="s">
        <v>8</v>
      </c>
      <c r="C42629" t="s">
        <v>991</v>
      </c>
    </row>
    <row r="42631" spans="1:4" x14ac:dyDescent="0.2">
      <c r="A42631" t="s">
        <v>13674</v>
      </c>
      <c r="B42631" t="str">
        <f>HYPERLINK("https://lindat.mff.cuni.cz/services/teitok/pdtc10/index.php?action=vallex&amp;frame=v-w5890f2", "sahat (v-w5890f2)")</f>
        <v>sahat (v-w5890f2)</v>
      </c>
    </row>
    <row r="42632" spans="1:4" x14ac:dyDescent="0.2">
      <c r="B42632" t="s">
        <v>1</v>
      </c>
      <c r="C42632" t="s">
        <v>2239</v>
      </c>
      <c r="D42632" t="s">
        <v>80</v>
      </c>
    </row>
    <row r="42633" spans="1:4" x14ac:dyDescent="0.2">
      <c r="B42633" t="s">
        <v>13675</v>
      </c>
      <c r="C42633" t="s">
        <v>54</v>
      </c>
      <c r="D42633" t="s">
        <v>1025</v>
      </c>
    </row>
    <row r="42635" spans="1:4" x14ac:dyDescent="0.2">
      <c r="A42635" t="s">
        <v>13676</v>
      </c>
      <c r="B42635" t="str">
        <f>HYPERLINK("https://lindat.mff.cuni.cz/services/teitok/pdtc10/index.php?action=vallex&amp;frame=v-w5890f4", "sahat (v-w5890f4)")</f>
        <v>sahat (v-w5890f4)</v>
      </c>
    </row>
    <row r="42636" spans="1:4" x14ac:dyDescent="0.2">
      <c r="B42636" t="s">
        <v>1</v>
      </c>
    </row>
    <row r="42637" spans="1:4" x14ac:dyDescent="0.2">
      <c r="B42637" t="s">
        <v>28</v>
      </c>
    </row>
    <row r="42639" spans="1:4" x14ac:dyDescent="0.2">
      <c r="A42639" t="s">
        <v>13677</v>
      </c>
      <c r="B42639" t="str">
        <f>HYPERLINK("https://lindat.mff.cuni.cz/services/teitok/pdtc10/index.php?action=vallex&amp;frame=v-w5890f1", "sahat (v-w5890f1)")</f>
        <v>sahat (v-w5890f1)</v>
      </c>
    </row>
    <row r="42640" spans="1:4" x14ac:dyDescent="0.2">
      <c r="B42640" t="s">
        <v>1</v>
      </c>
      <c r="C42640" t="s">
        <v>33</v>
      </c>
      <c r="D42640" t="s">
        <v>373</v>
      </c>
    </row>
    <row r="42641" spans="1:4" x14ac:dyDescent="0.2">
      <c r="B42641" t="s">
        <v>90</v>
      </c>
      <c r="D42641" t="s">
        <v>10652</v>
      </c>
    </row>
    <row r="42643" spans="1:4" x14ac:dyDescent="0.2">
      <c r="A42643" t="s">
        <v>13678</v>
      </c>
      <c r="B42643" t="str">
        <f>HYPERLINK("https://lindat.mff.cuni.cz/services/teitok/pdtc10/index.php?action=vallex&amp;frame=v-w5890f3", "sahat (v-w5890f3)")</f>
        <v>sahat (v-w5890f3)</v>
      </c>
    </row>
    <row r="42644" spans="1:4" x14ac:dyDescent="0.2">
      <c r="B42644" t="s">
        <v>1</v>
      </c>
      <c r="C42644" t="s">
        <v>13679</v>
      </c>
      <c r="D42644" t="s">
        <v>6843</v>
      </c>
    </row>
    <row r="42645" spans="1:4" x14ac:dyDescent="0.2">
      <c r="B42645" t="s">
        <v>90</v>
      </c>
      <c r="C42645" t="s">
        <v>13680</v>
      </c>
    </row>
    <row r="42647" spans="1:4" x14ac:dyDescent="0.2">
      <c r="A42647" t="s">
        <v>13681</v>
      </c>
      <c r="B42647" t="str">
        <f>HYPERLINK("https://lindat.mff.cuni.cz/services/teitok/pdtc10/index.php?action=vallex&amp;frame=v-w11297f1", "samopojišťovat se (v-w11297f1)")</f>
        <v>samopojišťovat se (v-w11297f1)</v>
      </c>
    </row>
    <row r="42648" spans="1:4" x14ac:dyDescent="0.2">
      <c r="B42648" t="s">
        <v>1</v>
      </c>
      <c r="D42648" t="s">
        <v>24152</v>
      </c>
    </row>
    <row r="42650" spans="1:4" x14ac:dyDescent="0.2">
      <c r="A42650" t="s">
        <v>13682</v>
      </c>
      <c r="B42650" t="str">
        <f>HYPERLINK("https://lindat.mff.cuni.cz/services/teitok/pdtc10/index.php?action=vallex&amp;frame=v-w5894f1", "sankcionovat (v-w5894f1)")</f>
        <v>sankcionovat (v-w5894f1)</v>
      </c>
    </row>
    <row r="42651" spans="1:4" x14ac:dyDescent="0.2">
      <c r="B42651" t="s">
        <v>1</v>
      </c>
    </row>
    <row r="42652" spans="1:4" x14ac:dyDescent="0.2">
      <c r="B42652" t="s">
        <v>8</v>
      </c>
    </row>
    <row r="42654" spans="1:4" x14ac:dyDescent="0.2">
      <c r="A42654" t="s">
        <v>13683</v>
      </c>
      <c r="B42654" t="str">
        <f>HYPERLINK("https://lindat.mff.cuni.cz/services/teitok/pdtc10/index.php?action=vallex&amp;frame=v-w5900f2", "sbalit (v-w5900f2)")</f>
        <v>sbalit (v-w5900f2)</v>
      </c>
    </row>
    <row r="42655" spans="1:4" x14ac:dyDescent="0.2">
      <c r="B42655" t="s">
        <v>1</v>
      </c>
    </row>
    <row r="42656" spans="1:4" x14ac:dyDescent="0.2">
      <c r="B42656" t="s">
        <v>8</v>
      </c>
    </row>
    <row r="42657" spans="1:3" x14ac:dyDescent="0.2">
      <c r="B42657" t="s">
        <v>130</v>
      </c>
    </row>
    <row r="42659" spans="1:3" x14ac:dyDescent="0.2">
      <c r="A42659" t="s">
        <v>13684</v>
      </c>
      <c r="B42659" t="str">
        <f>HYPERLINK("https://lindat.mff.cuni.cz/services/teitok/pdtc10/index.php?action=vallex&amp;frame=v-w5900f1", "sbalit (v-w5900f1)")</f>
        <v>sbalit (v-w5900f1)</v>
      </c>
    </row>
    <row r="42660" spans="1:3" x14ac:dyDescent="0.2">
      <c r="B42660" t="s">
        <v>1</v>
      </c>
      <c r="C42660" t="s">
        <v>249</v>
      </c>
    </row>
    <row r="42661" spans="1:3" x14ac:dyDescent="0.2">
      <c r="B42661" t="s">
        <v>8</v>
      </c>
      <c r="C42661" t="s">
        <v>7745</v>
      </c>
    </row>
    <row r="42663" spans="1:3" x14ac:dyDescent="0.2">
      <c r="A42663" t="s">
        <v>13685</v>
      </c>
      <c r="B42663" t="str">
        <f>HYPERLINK("https://lindat.mff.cuni.cz/services/teitok/pdtc10/index.php?action=vallex&amp;frame=v-w5900f3", "sbalit (v-w5900f3)")</f>
        <v>sbalit (v-w5900f3)</v>
      </c>
    </row>
    <row r="42664" spans="1:3" x14ac:dyDescent="0.2">
      <c r="B42664" t="s">
        <v>1</v>
      </c>
    </row>
    <row r="42665" spans="1:3" x14ac:dyDescent="0.2">
      <c r="B42665" t="s">
        <v>8</v>
      </c>
    </row>
    <row r="42667" spans="1:3" x14ac:dyDescent="0.2">
      <c r="A42667" t="s">
        <v>13686</v>
      </c>
      <c r="B42667" t="str">
        <f>HYPERLINK("https://lindat.mff.cuni.cz/services/teitok/pdtc10/index.php?action=vallex&amp;frame=v-w5900f4_ZU", "sbalit (v-w5900f4_ZU)")</f>
        <v>sbalit (v-w5900f4_ZU)</v>
      </c>
    </row>
    <row r="42668" spans="1:3" x14ac:dyDescent="0.2">
      <c r="B42668" t="s">
        <v>1</v>
      </c>
    </row>
    <row r="42669" spans="1:3" x14ac:dyDescent="0.2">
      <c r="B42669" t="s">
        <v>8</v>
      </c>
    </row>
    <row r="42671" spans="1:3" x14ac:dyDescent="0.2">
      <c r="A42671" t="s">
        <v>13687</v>
      </c>
      <c r="B42671" t="str">
        <f>HYPERLINK("https://lindat.mff.cuni.cz/services/teitok/pdtc10/index.php?action=vallex&amp;frame=v-w12346_MMf1_MM", "sbližovat (v-w12346_MMf1_MM)")</f>
        <v>sbližovat (v-w12346_MMf1_MM)</v>
      </c>
    </row>
    <row r="42672" spans="1:3" x14ac:dyDescent="0.2">
      <c r="B42672" t="s">
        <v>1</v>
      </c>
    </row>
    <row r="42673" spans="1:2" x14ac:dyDescent="0.2">
      <c r="B42673" t="s">
        <v>8</v>
      </c>
    </row>
    <row r="42674" spans="1:2" x14ac:dyDescent="0.2">
      <c r="B42674" t="s">
        <v>153</v>
      </c>
    </row>
    <row r="42676" spans="1:2" x14ac:dyDescent="0.2">
      <c r="A42676" t="s">
        <v>13688</v>
      </c>
      <c r="B42676" t="str">
        <f>HYPERLINK("https://lindat.mff.cuni.cz/services/teitok/pdtc10/index.php?action=vallex&amp;frame=v-w5909f1", "sblížit (v-w5909f1)")</f>
        <v>sblížit (v-w5909f1)</v>
      </c>
    </row>
    <row r="42677" spans="1:2" x14ac:dyDescent="0.2">
      <c r="B42677" t="s">
        <v>1</v>
      </c>
    </row>
    <row r="42678" spans="1:2" x14ac:dyDescent="0.2">
      <c r="B42678" t="s">
        <v>411</v>
      </c>
    </row>
    <row r="42679" spans="1:2" x14ac:dyDescent="0.2">
      <c r="B42679" t="s">
        <v>58</v>
      </c>
    </row>
    <row r="42681" spans="1:2" x14ac:dyDescent="0.2">
      <c r="A42681" t="s">
        <v>13689</v>
      </c>
      <c r="B42681" t="str">
        <f>HYPERLINK("https://lindat.mff.cuni.cz/services/teitok/pdtc10/index.php?action=vallex&amp;frame=v-w11470f1", "sblížit se (v-w11470f1)")</f>
        <v>sblížit se (v-w11470f1)</v>
      </c>
    </row>
    <row r="42682" spans="1:2" x14ac:dyDescent="0.2">
      <c r="B42682" t="s">
        <v>1</v>
      </c>
    </row>
    <row r="42683" spans="1:2" x14ac:dyDescent="0.2">
      <c r="B42683" t="s">
        <v>411</v>
      </c>
    </row>
    <row r="42685" spans="1:2" x14ac:dyDescent="0.2">
      <c r="A42685" t="s">
        <v>13690</v>
      </c>
      <c r="B42685" t="str">
        <f>HYPERLINK("https://lindat.mff.cuni.cz/services/teitok/pdtc10/index.php?action=vallex&amp;frame=v-whsb_1174hsa_1175", "sbuchnout (v-whsb_1174hsa_1175)")</f>
        <v>sbuchnout (v-whsb_1174hsa_1175)</v>
      </c>
    </row>
    <row r="42686" spans="1:2" x14ac:dyDescent="0.2">
      <c r="B42686" t="s">
        <v>1</v>
      </c>
    </row>
    <row r="42688" spans="1:2" x14ac:dyDescent="0.2">
      <c r="A42688" t="s">
        <v>13691</v>
      </c>
      <c r="B42688" t="str">
        <f>HYPERLINK("https://lindat.mff.cuni.cz/services/teitok/pdtc10/index.php?action=vallex&amp;frame=v-w5904f1", "sbíhat se (v-w5904f1)")</f>
        <v>sbíhat se (v-w5904f1)</v>
      </c>
    </row>
    <row r="42689" spans="1:3" x14ac:dyDescent="0.2">
      <c r="B42689" t="s">
        <v>1</v>
      </c>
    </row>
    <row r="42690" spans="1:3" x14ac:dyDescent="0.2">
      <c r="B42690" t="s">
        <v>411</v>
      </c>
    </row>
    <row r="42691" spans="1:3" x14ac:dyDescent="0.2">
      <c r="B42691" t="s">
        <v>2156</v>
      </c>
    </row>
    <row r="42693" spans="1:3" x14ac:dyDescent="0.2">
      <c r="A42693" t="s">
        <v>13692</v>
      </c>
      <c r="B42693" t="str">
        <f>HYPERLINK("https://lindat.mff.cuni.cz/services/teitok/pdtc10/index.php?action=vallex&amp;frame=v-w5904f2_ZU", "sbíhat se (v-w5904f2_ZU)")</f>
        <v>sbíhat se (v-w5904f2_ZU)</v>
      </c>
    </row>
    <row r="42694" spans="1:3" x14ac:dyDescent="0.2">
      <c r="B42694" t="s">
        <v>455</v>
      </c>
    </row>
    <row r="42695" spans="1:3" x14ac:dyDescent="0.2">
      <c r="B42695" t="s">
        <v>13693</v>
      </c>
    </row>
    <row r="42696" spans="1:3" x14ac:dyDescent="0.2">
      <c r="B42696" t="s">
        <v>46</v>
      </c>
    </row>
    <row r="42698" spans="1:3" x14ac:dyDescent="0.2">
      <c r="A42698" t="s">
        <v>13694</v>
      </c>
      <c r="B42698" t="str">
        <f>HYPERLINK("https://lindat.mff.cuni.cz/services/teitok/pdtc10/index.php?action=vallex&amp;frame=v-w5906f4_ZU", "sbírat (v-w5906f4_ZU)")</f>
        <v>sbírat (v-w5906f4_ZU)</v>
      </c>
    </row>
    <row r="42699" spans="1:3" x14ac:dyDescent="0.2">
      <c r="B42699" t="s">
        <v>1</v>
      </c>
    </row>
    <row r="42700" spans="1:3" x14ac:dyDescent="0.2">
      <c r="B42700" t="s">
        <v>8</v>
      </c>
    </row>
    <row r="42702" spans="1:3" x14ac:dyDescent="0.2">
      <c r="A42702" t="s">
        <v>13694</v>
      </c>
      <c r="B42702" t="str">
        <f>HYPERLINK("https://lindat.mff.cuni.cz/services/teitok/pdtc10/index.php?action=vallex&amp;frame=v-w5906f1", "sbírat (v-w5906f1) - substituted with v-w5906f4_ZU")</f>
        <v>sbírat (v-w5906f1) - substituted with v-w5906f4_ZU</v>
      </c>
    </row>
    <row r="42703" spans="1:3" x14ac:dyDescent="0.2">
      <c r="B42703" t="s">
        <v>1</v>
      </c>
      <c r="C42703" t="s">
        <v>109</v>
      </c>
    </row>
    <row r="42704" spans="1:3" x14ac:dyDescent="0.2">
      <c r="B42704" t="s">
        <v>8</v>
      </c>
      <c r="C42704" t="s">
        <v>2886</v>
      </c>
    </row>
    <row r="42706" spans="1:4" x14ac:dyDescent="0.2">
      <c r="A42706" t="s">
        <v>13694</v>
      </c>
      <c r="B42706" t="str">
        <f>HYPERLINK("https://lindat.mff.cuni.cz/services/teitok/pdtc10/index.php?action=vallex&amp;frame=v-w5906f3_ZU", "sbírat (v-w5906f3_ZU) - substituted with v-w5906f4_ZU")</f>
        <v>sbírat (v-w5906f3_ZU) - substituted with v-w5906f4_ZU</v>
      </c>
    </row>
    <row r="42707" spans="1:4" x14ac:dyDescent="0.2">
      <c r="B42707" t="s">
        <v>1</v>
      </c>
      <c r="C42707" t="s">
        <v>13695</v>
      </c>
      <c r="D42707" t="s">
        <v>16226</v>
      </c>
    </row>
    <row r="42708" spans="1:4" x14ac:dyDescent="0.2">
      <c r="B42708" t="s">
        <v>8</v>
      </c>
      <c r="C42708" t="s">
        <v>13696</v>
      </c>
      <c r="D42708" t="s">
        <v>3270</v>
      </c>
    </row>
    <row r="42710" spans="1:4" x14ac:dyDescent="0.2">
      <c r="A42710" t="s">
        <v>13697</v>
      </c>
      <c r="B42710" t="str">
        <f>HYPERLINK("https://lindat.mff.cuni.cz/services/teitok/pdtc10/index.php?action=vallex&amp;frame=v-w5906f2", "sbírat (v-w5906f2)")</f>
        <v>sbírat (v-w5906f2)</v>
      </c>
    </row>
    <row r="42711" spans="1:4" x14ac:dyDescent="0.2">
      <c r="B42711" t="s">
        <v>1</v>
      </c>
    </row>
    <row r="42712" spans="1:4" x14ac:dyDescent="0.2">
      <c r="B42712" t="s">
        <v>13698</v>
      </c>
    </row>
    <row r="42714" spans="1:4" x14ac:dyDescent="0.2">
      <c r="A42714" t="s">
        <v>13699</v>
      </c>
      <c r="B42714" t="str">
        <f>HYPERLINK("https://lindat.mff.cuni.cz/services/teitok/pdtc10/index.php?action=vallex&amp;frame=v-w5906f5_ZU", "sbírat (v-w5906f5_ZU)")</f>
        <v>sbírat (v-w5906f5_ZU)</v>
      </c>
    </row>
    <row r="42715" spans="1:4" x14ac:dyDescent="0.2">
      <c r="B42715" t="s">
        <v>1</v>
      </c>
    </row>
    <row r="42716" spans="1:4" x14ac:dyDescent="0.2">
      <c r="B42716" t="s">
        <v>8</v>
      </c>
    </row>
    <row r="42717" spans="1:4" x14ac:dyDescent="0.2">
      <c r="B42717" t="s">
        <v>4622</v>
      </c>
    </row>
    <row r="42719" spans="1:4" x14ac:dyDescent="0.2">
      <c r="A42719" t="s">
        <v>13700</v>
      </c>
      <c r="B42719" t="str">
        <f>HYPERLINK("https://lindat.mff.cuni.cz/services/teitok/pdtc10/index.php?action=vallex&amp;frame=v-w5906f6_ZU", "sbírat (v-w5906f6_ZU)")</f>
        <v>sbírat (v-w5906f6_ZU)</v>
      </c>
    </row>
    <row r="42720" spans="1:4" x14ac:dyDescent="0.2">
      <c r="B42720" t="s">
        <v>1</v>
      </c>
    </row>
    <row r="42721" spans="1:4" x14ac:dyDescent="0.2">
      <c r="B42721" t="s">
        <v>8</v>
      </c>
    </row>
    <row r="42723" spans="1:4" x14ac:dyDescent="0.2">
      <c r="A42723" t="s">
        <v>13701</v>
      </c>
      <c r="B42723" t="str">
        <f>HYPERLINK("https://lindat.mff.cuni.cz/services/teitok/pdtc10/index.php?action=vallex&amp;frame=v-w11813_ZUf1_ZU", "scelovat (v-w11813_ZUf1_ZU)")</f>
        <v>scelovat (v-w11813_ZUf1_ZU)</v>
      </c>
    </row>
    <row r="42724" spans="1:4" x14ac:dyDescent="0.2">
      <c r="B42724" t="s">
        <v>1</v>
      </c>
    </row>
    <row r="42725" spans="1:4" x14ac:dyDescent="0.2">
      <c r="B42725" t="s">
        <v>8</v>
      </c>
    </row>
    <row r="42726" spans="1:4" x14ac:dyDescent="0.2">
      <c r="B42726" t="s">
        <v>153</v>
      </c>
    </row>
    <row r="42727" spans="1:4" x14ac:dyDescent="0.2">
      <c r="B42727" t="s">
        <v>130</v>
      </c>
    </row>
    <row r="42729" spans="1:4" x14ac:dyDescent="0.2">
      <c r="A42729" t="s">
        <v>13702</v>
      </c>
      <c r="B42729" t="str">
        <f>HYPERLINK("https://lindat.mff.cuni.cz/services/teitok/pdtc10/index.php?action=vallex&amp;frame=v-whsa_2056hsa_2057", "schnout (v-whsa_2056hsa_2057)")</f>
        <v>schnout (v-whsa_2056hsa_2057)</v>
      </c>
    </row>
    <row r="42730" spans="1:4" x14ac:dyDescent="0.2">
      <c r="B42730" t="s">
        <v>1</v>
      </c>
    </row>
    <row r="42732" spans="1:4" x14ac:dyDescent="0.2">
      <c r="A42732" t="s">
        <v>13703</v>
      </c>
      <c r="B42732" t="str">
        <f>HYPERLINK("https://lindat.mff.cuni.cz/services/teitok/pdtc10/index.php?action=vallex&amp;frame=v-w6049f1", "schovat (v-w6049f1)")</f>
        <v>schovat (v-w6049f1)</v>
      </c>
    </row>
    <row r="42733" spans="1:4" x14ac:dyDescent="0.2">
      <c r="B42733" t="s">
        <v>1</v>
      </c>
      <c r="D42733" t="s">
        <v>23440</v>
      </c>
    </row>
    <row r="42734" spans="1:4" x14ac:dyDescent="0.2">
      <c r="B42734" t="s">
        <v>3199</v>
      </c>
      <c r="D42734" t="s">
        <v>23441</v>
      </c>
    </row>
    <row r="42735" spans="1:4" x14ac:dyDescent="0.2">
      <c r="B42735" t="s">
        <v>3200</v>
      </c>
      <c r="D42735" t="s">
        <v>14173</v>
      </c>
    </row>
    <row r="42737" spans="1:4" x14ac:dyDescent="0.2">
      <c r="A42737" t="s">
        <v>13704</v>
      </c>
      <c r="B42737" t="str">
        <f>HYPERLINK("https://lindat.mff.cuni.cz/services/teitok/pdtc10/index.php?action=vallex&amp;frame=v-w6049f2", "schovat (v-w6049f2)")</f>
        <v>schovat (v-w6049f2)</v>
      </c>
    </row>
    <row r="42738" spans="1:4" x14ac:dyDescent="0.2">
      <c r="B42738" t="s">
        <v>1</v>
      </c>
    </row>
    <row r="42739" spans="1:4" x14ac:dyDescent="0.2">
      <c r="B42739" t="s">
        <v>13705</v>
      </c>
    </row>
    <row r="42740" spans="1:4" x14ac:dyDescent="0.2">
      <c r="B42740" t="s">
        <v>269</v>
      </c>
    </row>
    <row r="42741" spans="1:4" x14ac:dyDescent="0.2">
      <c r="B42741" t="s">
        <v>3200</v>
      </c>
    </row>
    <row r="42743" spans="1:4" x14ac:dyDescent="0.2">
      <c r="A42743" t="s">
        <v>13706</v>
      </c>
      <c r="B42743" t="str">
        <f>HYPERLINK("https://lindat.mff.cuni.cz/services/teitok/pdtc10/index.php?action=vallex&amp;frame=v-w11164f5", "schovávat (v-w11164f5)")</f>
        <v>schovávat (v-w11164f5)</v>
      </c>
    </row>
    <row r="42744" spans="1:4" x14ac:dyDescent="0.2">
      <c r="B42744" t="s">
        <v>1</v>
      </c>
      <c r="C42744" t="s">
        <v>13707</v>
      </c>
      <c r="D42744" t="s">
        <v>23440</v>
      </c>
    </row>
    <row r="42745" spans="1:4" x14ac:dyDescent="0.2">
      <c r="B42745" t="s">
        <v>3199</v>
      </c>
      <c r="C42745" t="s">
        <v>11624</v>
      </c>
      <c r="D42745" t="s">
        <v>23441</v>
      </c>
    </row>
    <row r="42746" spans="1:4" x14ac:dyDescent="0.2">
      <c r="B42746" t="s">
        <v>3200</v>
      </c>
      <c r="D42746" t="s">
        <v>14173</v>
      </c>
    </row>
    <row r="42748" spans="1:4" x14ac:dyDescent="0.2">
      <c r="A42748" t="s">
        <v>13708</v>
      </c>
      <c r="B42748" t="str">
        <f>HYPERLINK("https://lindat.mff.cuni.cz/services/teitok/pdtc10/index.php?action=vallex&amp;frame=v-w11164f3", "schovávat (v-w11164f3)")</f>
        <v>schovávat (v-w11164f3)</v>
      </c>
    </row>
    <row r="42749" spans="1:4" x14ac:dyDescent="0.2">
      <c r="B42749" t="s">
        <v>1</v>
      </c>
      <c r="C42749" t="s">
        <v>83</v>
      </c>
      <c r="D42749" t="s">
        <v>14079</v>
      </c>
    </row>
    <row r="42750" spans="1:4" x14ac:dyDescent="0.2">
      <c r="B42750" t="s">
        <v>8</v>
      </c>
      <c r="C42750" t="s">
        <v>23</v>
      </c>
      <c r="D42750" t="s">
        <v>2240</v>
      </c>
    </row>
    <row r="42752" spans="1:4" x14ac:dyDescent="0.2">
      <c r="A42752" t="s">
        <v>13709</v>
      </c>
      <c r="B42752" t="str">
        <f>HYPERLINK("https://lindat.mff.cuni.cz/services/teitok/pdtc10/index.php?action=vallex&amp;frame=v-whsa_1483hsa_1484", "schrastit (v-whsa_1483hsa_1484)")</f>
        <v>schrastit (v-whsa_1483hsa_1484)</v>
      </c>
    </row>
    <row r="42753" spans="1:4" x14ac:dyDescent="0.2">
      <c r="B42753" t="s">
        <v>1</v>
      </c>
    </row>
    <row r="42754" spans="1:4" x14ac:dyDescent="0.2">
      <c r="B42754" t="s">
        <v>8</v>
      </c>
    </row>
    <row r="42756" spans="1:4" x14ac:dyDescent="0.2">
      <c r="A42756" t="s">
        <v>13710</v>
      </c>
      <c r="B42756" t="str">
        <f>HYPERLINK("https://lindat.mff.cuni.cz/services/teitok/pdtc10/index.php?action=vallex&amp;frame=v-w10621f2", "schraňovat (v-w10621f2)")</f>
        <v>schraňovat (v-w10621f2)</v>
      </c>
    </row>
    <row r="42757" spans="1:4" x14ac:dyDescent="0.2">
      <c r="B42757" t="s">
        <v>1</v>
      </c>
      <c r="C42757" t="s">
        <v>1125</v>
      </c>
      <c r="D42757" t="s">
        <v>16226</v>
      </c>
    </row>
    <row r="42758" spans="1:4" x14ac:dyDescent="0.2">
      <c r="B42758" t="s">
        <v>8</v>
      </c>
      <c r="C42758" t="s">
        <v>2886</v>
      </c>
      <c r="D42758" t="s">
        <v>3270</v>
      </c>
    </row>
    <row r="42760" spans="1:4" x14ac:dyDescent="0.2">
      <c r="A42760" t="s">
        <v>13711</v>
      </c>
      <c r="B42760" t="str">
        <f>HYPERLINK("https://lindat.mff.cuni.cz/services/teitok/pdtc10/index.php?action=vallex&amp;frame=v-w6057f2", "schvalovat (v-w6057f2)")</f>
        <v>schvalovat (v-w6057f2)</v>
      </c>
    </row>
    <row r="42761" spans="1:4" x14ac:dyDescent="0.2">
      <c r="B42761" t="s">
        <v>1</v>
      </c>
    </row>
    <row r="42762" spans="1:4" x14ac:dyDescent="0.2">
      <c r="B42762" t="s">
        <v>8</v>
      </c>
    </row>
    <row r="42763" spans="1:4" x14ac:dyDescent="0.2">
      <c r="B42763" t="s">
        <v>9827</v>
      </c>
    </row>
    <row r="42765" spans="1:4" x14ac:dyDescent="0.2">
      <c r="A42765" t="s">
        <v>13712</v>
      </c>
      <c r="B42765" t="str">
        <f>HYPERLINK("https://lindat.mff.cuni.cz/services/teitok/pdtc10/index.php?action=vallex&amp;frame=v-w6057f1", "schvalovat (v-w6057f1)")</f>
        <v>schvalovat (v-w6057f1)</v>
      </c>
    </row>
    <row r="42766" spans="1:4" x14ac:dyDescent="0.2">
      <c r="B42766" t="s">
        <v>1</v>
      </c>
      <c r="C42766" t="s">
        <v>13713</v>
      </c>
      <c r="D42766" t="s">
        <v>22965</v>
      </c>
    </row>
    <row r="42767" spans="1:4" x14ac:dyDescent="0.2">
      <c r="B42767" t="s">
        <v>120</v>
      </c>
      <c r="C42767" t="s">
        <v>13714</v>
      </c>
      <c r="D42767" t="s">
        <v>22966</v>
      </c>
    </row>
    <row r="42769" spans="1:4" x14ac:dyDescent="0.2">
      <c r="A42769" t="s">
        <v>13715</v>
      </c>
      <c r="B42769" t="str">
        <f>HYPERLINK("https://lindat.mff.cuni.cz/services/teitok/pdtc10/index.php?action=vallex&amp;frame=v-w6054f2", "schválit (v-w6054f2)")</f>
        <v>schválit (v-w6054f2)</v>
      </c>
    </row>
    <row r="42770" spans="1:4" x14ac:dyDescent="0.2">
      <c r="B42770" t="s">
        <v>1</v>
      </c>
    </row>
    <row r="42771" spans="1:4" x14ac:dyDescent="0.2">
      <c r="B42771" t="s">
        <v>8</v>
      </c>
    </row>
    <row r="42772" spans="1:4" x14ac:dyDescent="0.2">
      <c r="B42772" t="s">
        <v>9827</v>
      </c>
    </row>
    <row r="42774" spans="1:4" x14ac:dyDescent="0.2">
      <c r="A42774" t="s">
        <v>13716</v>
      </c>
      <c r="B42774" t="str">
        <f>HYPERLINK("https://lindat.mff.cuni.cz/services/teitok/pdtc10/index.php?action=vallex&amp;frame=v-w6054f1", "schválit (v-w6054f1)")</f>
        <v>schválit (v-w6054f1)</v>
      </c>
    </row>
    <row r="42775" spans="1:4" x14ac:dyDescent="0.2">
      <c r="B42775" t="s">
        <v>1</v>
      </c>
      <c r="C42775" t="s">
        <v>13717</v>
      </c>
      <c r="D42775" t="s">
        <v>22965</v>
      </c>
    </row>
    <row r="42776" spans="1:4" x14ac:dyDescent="0.2">
      <c r="B42776" t="s">
        <v>120</v>
      </c>
      <c r="C42776" t="s">
        <v>13718</v>
      </c>
      <c r="D42776" t="s">
        <v>22966</v>
      </c>
    </row>
    <row r="42778" spans="1:4" x14ac:dyDescent="0.2">
      <c r="A42778" t="s">
        <v>13719</v>
      </c>
      <c r="B42778" t="str">
        <f>HYPERLINK("https://lindat.mff.cuni.cz/services/teitok/pdtc10/index.php?action=vallex&amp;frame=v-w12029_ZUf1_ZU", "schvátit (v-w12029_ZUf1_ZU)")</f>
        <v>schvátit (v-w12029_ZUf1_ZU)</v>
      </c>
    </row>
    <row r="42779" spans="1:4" x14ac:dyDescent="0.2">
      <c r="B42779" t="s">
        <v>1</v>
      </c>
    </row>
    <row r="42780" spans="1:4" x14ac:dyDescent="0.2">
      <c r="B42780" t="s">
        <v>8</v>
      </c>
    </row>
    <row r="42782" spans="1:4" x14ac:dyDescent="0.2">
      <c r="A42782" t="s">
        <v>13720</v>
      </c>
      <c r="B42782" t="str">
        <f>HYPERLINK("https://lindat.mff.cuni.cz/services/teitok/pdtc10/index.php?action=vallex&amp;frame=v-w6058f2", "schylovat se (v-w6058f2)")</f>
        <v>schylovat se (v-w6058f2)</v>
      </c>
    </row>
    <row r="42783" spans="1:4" x14ac:dyDescent="0.2">
      <c r="B42783" t="s">
        <v>1</v>
      </c>
    </row>
    <row r="42784" spans="1:4" x14ac:dyDescent="0.2">
      <c r="B42784" t="s">
        <v>176</v>
      </c>
    </row>
    <row r="42786" spans="1:3" x14ac:dyDescent="0.2">
      <c r="A42786" t="s">
        <v>13721</v>
      </c>
      <c r="B42786" t="str">
        <f>HYPERLINK("https://lindat.mff.cuni.cz/services/teitok/pdtc10/index.php?action=vallex&amp;frame=v-w6058f1", "schylovat se (v-w6058f1)")</f>
        <v>schylovat se (v-w6058f1)</v>
      </c>
    </row>
    <row r="42787" spans="1:3" x14ac:dyDescent="0.2">
      <c r="B42787" t="s">
        <v>1433</v>
      </c>
      <c r="C42787" t="s">
        <v>430</v>
      </c>
    </row>
    <row r="42789" spans="1:3" x14ac:dyDescent="0.2">
      <c r="A42789" t="s">
        <v>13722</v>
      </c>
      <c r="B42789" t="str">
        <f>HYPERLINK("https://lindat.mff.cuni.cz/services/teitok/pdtc10/index.php?action=vallex&amp;frame=v-w6059f1", "schytat (v-w6059f1)")</f>
        <v>schytat (v-w6059f1)</v>
      </c>
    </row>
    <row r="42790" spans="1:3" x14ac:dyDescent="0.2">
      <c r="B42790" t="s">
        <v>1</v>
      </c>
    </row>
    <row r="42791" spans="1:3" x14ac:dyDescent="0.2">
      <c r="B42791" t="s">
        <v>8</v>
      </c>
    </row>
    <row r="42792" spans="1:3" x14ac:dyDescent="0.2">
      <c r="B42792" t="s">
        <v>321</v>
      </c>
    </row>
    <row r="42794" spans="1:3" x14ac:dyDescent="0.2">
      <c r="A42794" t="s">
        <v>13723</v>
      </c>
      <c r="B42794" t="str">
        <f>HYPERLINK("https://lindat.mff.cuni.cz/services/teitok/pdtc10/index.php?action=vallex&amp;frame=v-w12383_MMf1_MM", "schytnout (v-w12383_MMf1_MM)")</f>
        <v>schytnout (v-w12383_MMf1_MM)</v>
      </c>
    </row>
    <row r="42795" spans="1:3" x14ac:dyDescent="0.2">
      <c r="B42795" t="s">
        <v>1</v>
      </c>
    </row>
    <row r="42796" spans="1:3" x14ac:dyDescent="0.2">
      <c r="B42796" t="s">
        <v>8</v>
      </c>
    </row>
    <row r="42797" spans="1:3" x14ac:dyDescent="0.2">
      <c r="B42797" t="s">
        <v>321</v>
      </c>
    </row>
    <row r="42799" spans="1:3" x14ac:dyDescent="0.2">
      <c r="A42799" t="s">
        <v>13724</v>
      </c>
      <c r="B42799" t="str">
        <f>HYPERLINK("https://lindat.mff.cuni.cz/services/teitok/pdtc10/index.php?action=vallex&amp;frame=v-w12383_MMf2_MM", "schytnout (v-w12383_MMf2_MM)")</f>
        <v>schytnout (v-w12383_MMf2_MM)</v>
      </c>
    </row>
    <row r="42800" spans="1:3" x14ac:dyDescent="0.2">
      <c r="B42800" t="s">
        <v>1</v>
      </c>
    </row>
    <row r="42801" spans="1:4" x14ac:dyDescent="0.2">
      <c r="B42801" t="s">
        <v>8</v>
      </c>
    </row>
    <row r="42802" spans="1:4" x14ac:dyDescent="0.2">
      <c r="B42802" t="s">
        <v>321</v>
      </c>
    </row>
    <row r="42804" spans="1:4" x14ac:dyDescent="0.2">
      <c r="A42804" t="s">
        <v>13725</v>
      </c>
      <c r="B42804" t="str">
        <f>HYPERLINK("https://lindat.mff.cuni.cz/services/teitok/pdtc10/index.php?action=vallex&amp;frame=v-w6045f1", "scházet (v-w6045f1)")</f>
        <v>scházet (v-w6045f1)</v>
      </c>
    </row>
    <row r="42805" spans="1:4" x14ac:dyDescent="0.2">
      <c r="B42805" t="s">
        <v>488</v>
      </c>
    </row>
    <row r="42806" spans="1:4" x14ac:dyDescent="0.2">
      <c r="B42806" t="s">
        <v>103</v>
      </c>
    </row>
    <row r="42808" spans="1:4" x14ac:dyDescent="0.2">
      <c r="A42808" t="s">
        <v>13726</v>
      </c>
      <c r="B42808" t="str">
        <f>HYPERLINK("https://lindat.mff.cuni.cz/services/teitok/pdtc10/index.php?action=vallex&amp;frame=v-w6045f2_ZU", "scházet (v-w6045f2_ZU)")</f>
        <v>scházet (v-w6045f2_ZU)</v>
      </c>
    </row>
    <row r="42809" spans="1:4" x14ac:dyDescent="0.2">
      <c r="B42809" t="s">
        <v>479</v>
      </c>
    </row>
    <row r="42811" spans="1:4" x14ac:dyDescent="0.2">
      <c r="A42811" t="s">
        <v>13727</v>
      </c>
      <c r="B42811" t="str">
        <f>HYPERLINK("https://lindat.mff.cuni.cz/services/teitok/pdtc10/index.php?action=vallex&amp;frame=v-w6046f3_MM", "scházet se (v-w6046f3_MM)")</f>
        <v>scházet se (v-w6046f3_MM)</v>
      </c>
    </row>
    <row r="42812" spans="1:4" x14ac:dyDescent="0.2">
      <c r="B42812" t="s">
        <v>1</v>
      </c>
    </row>
    <row r="42813" spans="1:4" x14ac:dyDescent="0.2">
      <c r="B42813" t="s">
        <v>411</v>
      </c>
    </row>
    <row r="42815" spans="1:4" x14ac:dyDescent="0.2">
      <c r="A42815" t="s">
        <v>13727</v>
      </c>
      <c r="B42815" t="str">
        <f>HYPERLINK("https://lindat.mff.cuni.cz/services/teitok/pdtc10/index.php?action=vallex&amp;frame=v-w6046f1", "scházet se (v-w6046f1) - substituted with v-w6046f3_MM")</f>
        <v>scházet se (v-w6046f1) - substituted with v-w6046f3_MM</v>
      </c>
    </row>
    <row r="42816" spans="1:4" x14ac:dyDescent="0.2">
      <c r="B42816" t="s">
        <v>1</v>
      </c>
      <c r="C42816" t="s">
        <v>13728</v>
      </c>
      <c r="D42816" t="s">
        <v>23867</v>
      </c>
    </row>
    <row r="42817" spans="1:4" x14ac:dyDescent="0.2">
      <c r="B42817" t="s">
        <v>411</v>
      </c>
      <c r="C42817" t="s">
        <v>2747</v>
      </c>
      <c r="D42817" t="s">
        <v>7127</v>
      </c>
    </row>
    <row r="42819" spans="1:4" x14ac:dyDescent="0.2">
      <c r="A42819" t="s">
        <v>13727</v>
      </c>
      <c r="B42819" t="str">
        <f>HYPERLINK("https://lindat.mff.cuni.cz/services/teitok/pdtc10/index.php?action=vallex&amp;frame=v-w6046f2_ZU", "scházet se (v-w6046f2_ZU) - substituted with v-w6046f3_MM")</f>
        <v>scházet se (v-w6046f2_ZU) - substituted with v-w6046f3_MM</v>
      </c>
    </row>
    <row r="42820" spans="1:4" x14ac:dyDescent="0.2">
      <c r="B42820" t="s">
        <v>1</v>
      </c>
    </row>
    <row r="42821" spans="1:4" x14ac:dyDescent="0.2">
      <c r="B42821" t="s">
        <v>411</v>
      </c>
    </row>
    <row r="42823" spans="1:4" x14ac:dyDescent="0.2">
      <c r="A42823" t="s">
        <v>13729</v>
      </c>
      <c r="B42823" t="str">
        <f>HYPERLINK("https://lindat.mff.cuni.cz/services/teitok/pdtc10/index.php?action=vallex&amp;frame=v-w6046f5_MM", "scházet se (v-w6046f5_MM)")</f>
        <v>scházet se (v-w6046f5_MM)</v>
      </c>
    </row>
    <row r="42824" spans="1:4" x14ac:dyDescent="0.2">
      <c r="B42824" t="s">
        <v>1</v>
      </c>
    </row>
    <row r="42825" spans="1:4" x14ac:dyDescent="0.2">
      <c r="B42825" t="s">
        <v>90</v>
      </c>
    </row>
    <row r="42827" spans="1:4" x14ac:dyDescent="0.2">
      <c r="A42827" t="s">
        <v>13729</v>
      </c>
      <c r="B42827" t="str">
        <f>HYPERLINK("https://lindat.mff.cuni.cz/services/teitok/pdtc10/index.php?action=vallex&amp;frame=v-w6046f4_MM", "scházet se (v-w6046f4_MM) - substituted with v-w6046f5_MM")</f>
        <v>scházet se (v-w6046f4_MM) - substituted with v-w6046f5_MM</v>
      </c>
    </row>
    <row r="42828" spans="1:4" x14ac:dyDescent="0.2">
      <c r="B42828" t="s">
        <v>1</v>
      </c>
    </row>
    <row r="42829" spans="1:4" x14ac:dyDescent="0.2">
      <c r="B42829" t="s">
        <v>90</v>
      </c>
    </row>
    <row r="42831" spans="1:4" x14ac:dyDescent="0.2">
      <c r="A42831" t="s">
        <v>13730</v>
      </c>
      <c r="B42831" t="str">
        <f>HYPERLINK("https://lindat.mff.cuni.cz/services/teitok/pdtc10/index.php?action=vallex&amp;frame=v-whsa_1710hsa_1711", "scházívat se (v-whsa_1710hsa_1711)")</f>
        <v>scházívat se (v-whsa_1710hsa_1711)</v>
      </c>
    </row>
    <row r="42832" spans="1:4" x14ac:dyDescent="0.2">
      <c r="B42832" t="s">
        <v>1</v>
      </c>
    </row>
    <row r="42833" spans="1:2" x14ac:dyDescent="0.2">
      <c r="B42833" t="s">
        <v>411</v>
      </c>
    </row>
    <row r="42835" spans="1:2" x14ac:dyDescent="0.2">
      <c r="A42835" t="s">
        <v>13731</v>
      </c>
      <c r="B42835" t="str">
        <f>HYPERLINK("https://lindat.mff.cuni.cz/services/teitok/pdtc10/index.php?action=vallex&amp;frame=v-w5913f1", "scupovat (v-w5913f1)")</f>
        <v>scupovat (v-w5913f1)</v>
      </c>
    </row>
    <row r="42836" spans="1:2" x14ac:dyDescent="0.2">
      <c r="B42836" t="s">
        <v>1</v>
      </c>
    </row>
    <row r="42837" spans="1:2" x14ac:dyDescent="0.2">
      <c r="B42837" t="s">
        <v>8</v>
      </c>
    </row>
    <row r="42838" spans="1:2" x14ac:dyDescent="0.2">
      <c r="B42838" t="s">
        <v>2328</v>
      </c>
    </row>
    <row r="42839" spans="1:2" x14ac:dyDescent="0.2">
      <c r="B42839" t="s">
        <v>2156</v>
      </c>
    </row>
    <row r="42841" spans="1:2" x14ac:dyDescent="0.2">
      <c r="A42841" t="s">
        <v>13732</v>
      </c>
      <c r="B42841" t="str">
        <f>HYPERLINK("https://lindat.mff.cuni.cz/services/teitok/pdtc10/index.php?action=vallex&amp;frame=v-w12160_ZUf1_ZU", "scvakat (v-w12160_ZUf1_ZU)")</f>
        <v>scvakat (v-w12160_ZUf1_ZU)</v>
      </c>
    </row>
    <row r="42842" spans="1:2" x14ac:dyDescent="0.2">
      <c r="B42842" t="s">
        <v>1</v>
      </c>
    </row>
    <row r="42843" spans="1:2" x14ac:dyDescent="0.2">
      <c r="B42843" t="s">
        <v>8</v>
      </c>
    </row>
    <row r="42845" spans="1:2" x14ac:dyDescent="0.2">
      <c r="A42845" t="s">
        <v>13733</v>
      </c>
      <c r="B42845" t="str">
        <f>HYPERLINK("https://lindat.mff.cuni.cz/services/teitok/pdtc10/index.php?action=vallex&amp;frame=v-w5914f2", "scvrknout se (v-w5914f2)")</f>
        <v>scvrknout se (v-w5914f2)</v>
      </c>
    </row>
    <row r="42846" spans="1:2" x14ac:dyDescent="0.2">
      <c r="B42846" t="s">
        <v>1</v>
      </c>
    </row>
    <row r="42847" spans="1:2" x14ac:dyDescent="0.2">
      <c r="B42847" t="s">
        <v>46</v>
      </c>
    </row>
    <row r="42848" spans="1:2" x14ac:dyDescent="0.2">
      <c r="B42848" t="s">
        <v>24</v>
      </c>
    </row>
    <row r="42850" spans="1:4" x14ac:dyDescent="0.2">
      <c r="A42850" t="s">
        <v>13734</v>
      </c>
      <c r="B42850" t="str">
        <f>HYPERLINK("https://lindat.mff.cuni.cz/services/teitok/pdtc10/index.php?action=vallex&amp;frame=v-w5914f1", "scvrknout se (v-w5914f1)")</f>
        <v>scvrknout se (v-w5914f1)</v>
      </c>
    </row>
    <row r="42851" spans="1:4" x14ac:dyDescent="0.2">
      <c r="B42851" t="s">
        <v>1</v>
      </c>
    </row>
    <row r="42852" spans="1:4" x14ac:dyDescent="0.2">
      <c r="B42852" t="s">
        <v>3202</v>
      </c>
    </row>
    <row r="42854" spans="1:4" x14ac:dyDescent="0.2">
      <c r="A42854" t="s">
        <v>13735</v>
      </c>
      <c r="B42854" t="str">
        <f>HYPERLINK("https://lindat.mff.cuni.cz/services/teitok/pdtc10/index.php?action=vallex&amp;frame=v-w11454f1", "scvrkávat se (v-w11454f1)")</f>
        <v>scvrkávat se (v-w11454f1)</v>
      </c>
    </row>
    <row r="42855" spans="1:4" x14ac:dyDescent="0.2">
      <c r="B42855" t="s">
        <v>1</v>
      </c>
    </row>
    <row r="42856" spans="1:4" x14ac:dyDescent="0.2">
      <c r="B42856" t="s">
        <v>46</v>
      </c>
    </row>
    <row r="42857" spans="1:4" x14ac:dyDescent="0.2">
      <c r="B42857" t="s">
        <v>24</v>
      </c>
    </row>
    <row r="42859" spans="1:4" x14ac:dyDescent="0.2">
      <c r="A42859" t="s">
        <v>13736</v>
      </c>
      <c r="B42859" t="str">
        <f>HYPERLINK("https://lindat.mff.cuni.cz/services/teitok/pdtc10/index.php?action=vallex&amp;frame=v-whsa_1211hsa_1212", "sdrkotat (v-whsa_1211hsa_1212)")</f>
        <v>sdrkotat (v-whsa_1211hsa_1212)</v>
      </c>
    </row>
    <row r="42860" spans="1:4" x14ac:dyDescent="0.2">
      <c r="B42860" t="s">
        <v>1</v>
      </c>
    </row>
    <row r="42861" spans="1:4" x14ac:dyDescent="0.2">
      <c r="B42861" t="s">
        <v>333</v>
      </c>
    </row>
    <row r="42863" spans="1:4" x14ac:dyDescent="0.2">
      <c r="A42863" t="s">
        <v>13737</v>
      </c>
      <c r="B42863" t="str">
        <f>HYPERLINK("https://lindat.mff.cuni.cz/services/teitok/pdtc10/index.php?action=vallex&amp;frame=v-w5923f1", "sdružit (v-w5923f1)")</f>
        <v>sdružit (v-w5923f1)</v>
      </c>
    </row>
    <row r="42864" spans="1:4" x14ac:dyDescent="0.2">
      <c r="B42864" t="s">
        <v>1</v>
      </c>
      <c r="D42864" t="s">
        <v>23403</v>
      </c>
    </row>
    <row r="42865" spans="1:4" x14ac:dyDescent="0.2">
      <c r="B42865" t="s">
        <v>8</v>
      </c>
      <c r="D42865" t="s">
        <v>23404</v>
      </c>
    </row>
    <row r="42866" spans="1:4" x14ac:dyDescent="0.2">
      <c r="B42866" t="s">
        <v>153</v>
      </c>
      <c r="D42866" t="s">
        <v>24153</v>
      </c>
    </row>
    <row r="42867" spans="1:4" x14ac:dyDescent="0.2">
      <c r="B42867" t="s">
        <v>130</v>
      </c>
    </row>
    <row r="42869" spans="1:4" x14ac:dyDescent="0.2">
      <c r="A42869" t="s">
        <v>13738</v>
      </c>
      <c r="B42869" t="str">
        <f>HYPERLINK("https://lindat.mff.cuni.cz/services/teitok/pdtc10/index.php?action=vallex&amp;frame=v-w5924f1", "sdružit se (v-w5924f1)")</f>
        <v>sdružit se (v-w5924f1)</v>
      </c>
    </row>
    <row r="42870" spans="1:4" x14ac:dyDescent="0.2">
      <c r="B42870" t="s">
        <v>1</v>
      </c>
      <c r="D42870" t="s">
        <v>23233</v>
      </c>
    </row>
    <row r="42871" spans="1:4" x14ac:dyDescent="0.2">
      <c r="B42871" t="s">
        <v>411</v>
      </c>
      <c r="D42871" t="s">
        <v>23234</v>
      </c>
    </row>
    <row r="42872" spans="1:4" x14ac:dyDescent="0.2">
      <c r="B42872" t="s">
        <v>2156</v>
      </c>
      <c r="D42872" t="s">
        <v>23829</v>
      </c>
    </row>
    <row r="42874" spans="1:4" x14ac:dyDescent="0.2">
      <c r="A42874" t="s">
        <v>13739</v>
      </c>
      <c r="B42874" t="str">
        <f>HYPERLINK("https://lindat.mff.cuni.cz/services/teitok/pdtc10/index.php?action=vallex&amp;frame=v-w5926f1", "sdružovat (v-w5926f1)")</f>
        <v>sdružovat (v-w5926f1)</v>
      </c>
    </row>
    <row r="42875" spans="1:4" x14ac:dyDescent="0.2">
      <c r="B42875" t="s">
        <v>1</v>
      </c>
      <c r="C42875" t="s">
        <v>13740</v>
      </c>
      <c r="D42875" t="s">
        <v>23403</v>
      </c>
    </row>
    <row r="42876" spans="1:4" x14ac:dyDescent="0.2">
      <c r="B42876" t="s">
        <v>8</v>
      </c>
      <c r="C42876" t="s">
        <v>13741</v>
      </c>
      <c r="D42876" t="s">
        <v>23404</v>
      </c>
    </row>
    <row r="42877" spans="1:4" x14ac:dyDescent="0.2">
      <c r="B42877" t="s">
        <v>153</v>
      </c>
      <c r="C42877" t="s">
        <v>13742</v>
      </c>
      <c r="D42877" t="s">
        <v>24153</v>
      </c>
    </row>
    <row r="42878" spans="1:4" x14ac:dyDescent="0.2">
      <c r="B42878" t="s">
        <v>2156</v>
      </c>
      <c r="C42878" t="s">
        <v>4075</v>
      </c>
    </row>
    <row r="42880" spans="1:4" x14ac:dyDescent="0.2">
      <c r="A42880" t="s">
        <v>13743</v>
      </c>
      <c r="B42880" t="str">
        <f>HYPERLINK("https://lindat.mff.cuni.cz/services/teitok/pdtc10/index.php?action=vallex&amp;frame=v-w5927f1", "sdružovat se (v-w5927f1)")</f>
        <v>sdružovat se (v-w5927f1)</v>
      </c>
    </row>
    <row r="42881" spans="1:4" x14ac:dyDescent="0.2">
      <c r="B42881" t="s">
        <v>1</v>
      </c>
      <c r="C42881" t="s">
        <v>13744</v>
      </c>
      <c r="D42881" t="s">
        <v>23233</v>
      </c>
    </row>
    <row r="42882" spans="1:4" x14ac:dyDescent="0.2">
      <c r="B42882" t="s">
        <v>411</v>
      </c>
      <c r="C42882" t="s">
        <v>34</v>
      </c>
      <c r="D42882" t="s">
        <v>23234</v>
      </c>
    </row>
    <row r="42883" spans="1:4" x14ac:dyDescent="0.2">
      <c r="B42883" t="s">
        <v>2156</v>
      </c>
      <c r="D42883" t="s">
        <v>23829</v>
      </c>
    </row>
    <row r="42885" spans="1:4" x14ac:dyDescent="0.2">
      <c r="A42885" t="s">
        <v>13745</v>
      </c>
      <c r="B42885" t="str">
        <f>HYPERLINK("https://lindat.mff.cuni.cz/services/teitok/pdtc10/index.php?action=vallex&amp;frame=v-w5921f1", "sdílet (v-w5921f1)")</f>
        <v>sdílet (v-w5921f1)</v>
      </c>
    </row>
    <row r="42886" spans="1:4" x14ac:dyDescent="0.2">
      <c r="B42886" t="s">
        <v>1</v>
      </c>
      <c r="C42886" t="s">
        <v>1106</v>
      </c>
      <c r="D42886" t="s">
        <v>1106</v>
      </c>
    </row>
    <row r="42887" spans="1:4" x14ac:dyDescent="0.2">
      <c r="B42887" t="s">
        <v>8</v>
      </c>
      <c r="C42887" t="s">
        <v>6116</v>
      </c>
      <c r="D42887" t="s">
        <v>6116</v>
      </c>
    </row>
    <row r="42888" spans="1:4" x14ac:dyDescent="0.2">
      <c r="B42888" t="s">
        <v>153</v>
      </c>
      <c r="C42888" t="s">
        <v>3041</v>
      </c>
      <c r="D42888" t="s">
        <v>3041</v>
      </c>
    </row>
    <row r="42890" spans="1:4" x14ac:dyDescent="0.2">
      <c r="A42890" t="s">
        <v>13746</v>
      </c>
      <c r="B42890" t="str">
        <f>HYPERLINK("https://lindat.mff.cuni.cz/services/teitok/pdtc10/index.php?action=vallex&amp;frame=v-whsa_645hsa_646", "sdělat (v-whsa_645hsa_646)")</f>
        <v>sdělat (v-whsa_645hsa_646)</v>
      </c>
    </row>
    <row r="42891" spans="1:4" x14ac:dyDescent="0.2">
      <c r="B42891" t="s">
        <v>1</v>
      </c>
    </row>
    <row r="42892" spans="1:4" x14ac:dyDescent="0.2">
      <c r="B42892" t="s">
        <v>8</v>
      </c>
    </row>
    <row r="42893" spans="1:4" x14ac:dyDescent="0.2">
      <c r="B42893" t="s">
        <v>90</v>
      </c>
    </row>
    <row r="42895" spans="1:4" x14ac:dyDescent="0.2">
      <c r="A42895" t="s">
        <v>13747</v>
      </c>
      <c r="B42895" t="str">
        <f>HYPERLINK("https://lindat.mff.cuni.cz/services/teitok/pdtc10/index.php?action=vallex&amp;frame=v-w5918f3_ZU", "sdělit (v-w5918f3_ZU)")</f>
        <v>sdělit (v-w5918f3_ZU)</v>
      </c>
    </row>
    <row r="42896" spans="1:4" x14ac:dyDescent="0.2">
      <c r="B42896" t="s">
        <v>1</v>
      </c>
    </row>
    <row r="42897" spans="1:4" x14ac:dyDescent="0.2">
      <c r="B42897" t="s">
        <v>2158</v>
      </c>
    </row>
    <row r="42898" spans="1:4" x14ac:dyDescent="0.2">
      <c r="B42898" t="s">
        <v>35</v>
      </c>
    </row>
    <row r="42900" spans="1:4" x14ac:dyDescent="0.2">
      <c r="A42900" t="s">
        <v>13747</v>
      </c>
      <c r="B42900" t="str">
        <f>HYPERLINK("https://lindat.mff.cuni.cz/services/teitok/pdtc10/index.php?action=vallex&amp;frame=v-w5918f2", "sdělit (v-w5918f2) - substituted with v-w5918f3_ZU")</f>
        <v>sdělit (v-w5918f2) - substituted with v-w5918f3_ZU</v>
      </c>
    </row>
    <row r="42901" spans="1:4" x14ac:dyDescent="0.2">
      <c r="B42901" t="s">
        <v>1</v>
      </c>
      <c r="C42901" t="s">
        <v>13748</v>
      </c>
      <c r="D42901" t="s">
        <v>22967</v>
      </c>
    </row>
    <row r="42902" spans="1:4" x14ac:dyDescent="0.2">
      <c r="B42902" t="s">
        <v>2158</v>
      </c>
      <c r="C42902" t="s">
        <v>13749</v>
      </c>
      <c r="D42902" t="s">
        <v>22968</v>
      </c>
    </row>
    <row r="42903" spans="1:4" x14ac:dyDescent="0.2">
      <c r="B42903" t="s">
        <v>35</v>
      </c>
      <c r="C42903" t="s">
        <v>13750</v>
      </c>
      <c r="D42903" t="s">
        <v>22969</v>
      </c>
    </row>
    <row r="42905" spans="1:4" x14ac:dyDescent="0.2">
      <c r="A42905" t="s">
        <v>13751</v>
      </c>
      <c r="B42905" t="str">
        <f>HYPERLINK("https://lindat.mff.cuni.cz/services/teitok/pdtc10/index.php?action=vallex&amp;frame=v-w5918f1", "sdělit (v-w5918f1)")</f>
        <v>sdělit (v-w5918f1)</v>
      </c>
    </row>
    <row r="42906" spans="1:4" x14ac:dyDescent="0.2">
      <c r="B42906" t="s">
        <v>1</v>
      </c>
      <c r="C42906" t="s">
        <v>13752</v>
      </c>
      <c r="D42906" t="s">
        <v>22967</v>
      </c>
    </row>
    <row r="42907" spans="1:4" x14ac:dyDescent="0.2">
      <c r="B42907" t="s">
        <v>35</v>
      </c>
      <c r="C42907" t="s">
        <v>13753</v>
      </c>
      <c r="D42907" t="s">
        <v>22969</v>
      </c>
    </row>
    <row r="42908" spans="1:4" x14ac:dyDescent="0.2">
      <c r="B42908" t="s">
        <v>13754</v>
      </c>
      <c r="C42908" t="s">
        <v>13755</v>
      </c>
      <c r="D42908" t="s">
        <v>23120</v>
      </c>
    </row>
    <row r="42909" spans="1:4" x14ac:dyDescent="0.2">
      <c r="B42909" t="s">
        <v>269</v>
      </c>
      <c r="C42909" t="s">
        <v>13756</v>
      </c>
      <c r="D42909" t="s">
        <v>22968</v>
      </c>
    </row>
    <row r="42911" spans="1:4" x14ac:dyDescent="0.2">
      <c r="A42911" t="s">
        <v>13757</v>
      </c>
      <c r="B42911" t="str">
        <f>HYPERLINK("https://lindat.mff.cuni.cz/services/teitok/pdtc10/index.php?action=vallex&amp;frame=v-w5919f3_ZU", "sdělovat (v-w5919f3_ZU)")</f>
        <v>sdělovat (v-w5919f3_ZU)</v>
      </c>
    </row>
    <row r="42912" spans="1:4" x14ac:dyDescent="0.2">
      <c r="B42912" t="s">
        <v>1</v>
      </c>
    </row>
    <row r="42913" spans="1:4" x14ac:dyDescent="0.2">
      <c r="B42913" t="s">
        <v>273</v>
      </c>
    </row>
    <row r="42914" spans="1:4" x14ac:dyDescent="0.2">
      <c r="B42914" t="s">
        <v>35</v>
      </c>
    </row>
    <row r="42916" spans="1:4" x14ac:dyDescent="0.2">
      <c r="A42916" t="s">
        <v>13757</v>
      </c>
      <c r="B42916" t="str">
        <f>HYPERLINK("https://lindat.mff.cuni.cz/services/teitok/pdtc10/index.php?action=vallex&amp;frame=v-w5919f1", "sdělovat (v-w5919f1) - substituted with v-w5919f3_ZU")</f>
        <v>sdělovat (v-w5919f1) - substituted with v-w5919f3_ZU</v>
      </c>
    </row>
    <row r="42917" spans="1:4" x14ac:dyDescent="0.2">
      <c r="B42917" t="s">
        <v>1</v>
      </c>
      <c r="D42917" t="s">
        <v>22967</v>
      </c>
    </row>
    <row r="42918" spans="1:4" x14ac:dyDescent="0.2">
      <c r="B42918" t="s">
        <v>273</v>
      </c>
      <c r="D42918" t="s">
        <v>22968</v>
      </c>
    </row>
    <row r="42919" spans="1:4" x14ac:dyDescent="0.2">
      <c r="B42919" t="s">
        <v>35</v>
      </c>
      <c r="D42919" t="s">
        <v>22969</v>
      </c>
    </row>
    <row r="42921" spans="1:4" x14ac:dyDescent="0.2">
      <c r="A42921" t="s">
        <v>13758</v>
      </c>
      <c r="B42921" t="str">
        <f>HYPERLINK("https://lindat.mff.cuni.cz/services/teitok/pdtc10/index.php?action=vallex&amp;frame=v-w5919f2", "sdělovat (v-w5919f2)")</f>
        <v>sdělovat (v-w5919f2)</v>
      </c>
    </row>
    <row r="42922" spans="1:4" x14ac:dyDescent="0.2">
      <c r="B42922" t="s">
        <v>1</v>
      </c>
      <c r="C42922" t="s">
        <v>13759</v>
      </c>
      <c r="D42922" t="s">
        <v>22967</v>
      </c>
    </row>
    <row r="42923" spans="1:4" x14ac:dyDescent="0.2">
      <c r="B42923" t="s">
        <v>35</v>
      </c>
      <c r="C42923" t="s">
        <v>13760</v>
      </c>
      <c r="D42923" t="s">
        <v>22969</v>
      </c>
    </row>
    <row r="42924" spans="1:4" x14ac:dyDescent="0.2">
      <c r="B42924" t="s">
        <v>267</v>
      </c>
      <c r="C42924" t="s">
        <v>13761</v>
      </c>
      <c r="D42924" t="s">
        <v>23120</v>
      </c>
    </row>
    <row r="42925" spans="1:4" x14ac:dyDescent="0.2">
      <c r="B42925" t="s">
        <v>13762</v>
      </c>
      <c r="C42925" t="s">
        <v>2240</v>
      </c>
      <c r="D42925" t="s">
        <v>22968</v>
      </c>
    </row>
    <row r="42927" spans="1:4" x14ac:dyDescent="0.2">
      <c r="A42927" t="s">
        <v>13763</v>
      </c>
      <c r="B42927" t="str">
        <f>HYPERLINK("https://lindat.mff.cuni.cz/services/teitok/pdtc10/index.php?action=vallex&amp;frame=v-w5940f1", "sebrat (v-w5940f1)")</f>
        <v>sebrat (v-w5940f1)</v>
      </c>
    </row>
    <row r="42928" spans="1:4" x14ac:dyDescent="0.2">
      <c r="B42928" t="s">
        <v>1</v>
      </c>
      <c r="C42928" t="s">
        <v>13764</v>
      </c>
      <c r="D42928" t="s">
        <v>6383</v>
      </c>
    </row>
    <row r="42929" spans="1:4" x14ac:dyDescent="0.2">
      <c r="B42929" t="s">
        <v>8</v>
      </c>
      <c r="C42929" t="s">
        <v>13765</v>
      </c>
      <c r="D42929" t="s">
        <v>14757</v>
      </c>
    </row>
    <row r="42930" spans="1:4" x14ac:dyDescent="0.2">
      <c r="B42930" t="s">
        <v>35</v>
      </c>
      <c r="C42930" t="s">
        <v>13766</v>
      </c>
      <c r="D42930" t="s">
        <v>23004</v>
      </c>
    </row>
    <row r="42932" spans="1:4" x14ac:dyDescent="0.2">
      <c r="A42932" t="s">
        <v>13767</v>
      </c>
      <c r="B42932" t="str">
        <f>HYPERLINK("https://lindat.mff.cuni.cz/services/teitok/pdtc10/index.php?action=vallex&amp;frame=v-w5940f3_ZU", "sebrat (v-w5940f3_ZU)")</f>
        <v>sebrat (v-w5940f3_ZU)</v>
      </c>
    </row>
    <row r="42933" spans="1:4" x14ac:dyDescent="0.2">
      <c r="B42933" t="s">
        <v>1</v>
      </c>
      <c r="C42933" t="s">
        <v>337</v>
      </c>
    </row>
    <row r="42934" spans="1:4" x14ac:dyDescent="0.2">
      <c r="B42934" t="s">
        <v>8</v>
      </c>
      <c r="C42934" t="s">
        <v>338</v>
      </c>
    </row>
    <row r="42936" spans="1:4" x14ac:dyDescent="0.2">
      <c r="A42936" t="s">
        <v>13768</v>
      </c>
      <c r="B42936" t="str">
        <f>HYPERLINK("https://lindat.mff.cuni.cz/services/teitok/pdtc10/index.php?action=vallex&amp;frame=v-w5940f2", "sebrat (v-w5940f2)")</f>
        <v>sebrat (v-w5940f2)</v>
      </c>
    </row>
    <row r="42937" spans="1:4" x14ac:dyDescent="0.2">
      <c r="B42937" t="s">
        <v>1</v>
      </c>
    </row>
    <row r="42938" spans="1:4" x14ac:dyDescent="0.2">
      <c r="B42938" t="s">
        <v>13698</v>
      </c>
    </row>
    <row r="42940" spans="1:4" x14ac:dyDescent="0.2">
      <c r="A42940" t="s">
        <v>13769</v>
      </c>
      <c r="B42940" t="str">
        <f>HYPERLINK("https://lindat.mff.cuni.cz/services/teitok/pdtc10/index.php?action=vallex&amp;frame=v-w5940f4_ZU", "sebrat (v-w5940f4_ZU)")</f>
        <v>sebrat (v-w5940f4_ZU)</v>
      </c>
    </row>
    <row r="42941" spans="1:4" x14ac:dyDescent="0.2">
      <c r="B42941" t="s">
        <v>1</v>
      </c>
    </row>
    <row r="42942" spans="1:4" x14ac:dyDescent="0.2">
      <c r="B42942" t="s">
        <v>8</v>
      </c>
    </row>
    <row r="42943" spans="1:4" x14ac:dyDescent="0.2">
      <c r="B42943" t="s">
        <v>321</v>
      </c>
    </row>
    <row r="42945" spans="1:2" x14ac:dyDescent="0.2">
      <c r="A42945" t="s">
        <v>13769</v>
      </c>
      <c r="B42945" t="str">
        <f>HYPERLINK("https://lindat.mff.cuni.cz/services/teitok/pdtc10/index.php?action=vallex&amp;frame=v-w5940hsa_1161", "sebrat (v-w5940hsa_1161) - substituted with v-w5940f4_ZU")</f>
        <v>sebrat (v-w5940hsa_1161) - substituted with v-w5940f4_ZU</v>
      </c>
    </row>
    <row r="42946" spans="1:2" x14ac:dyDescent="0.2">
      <c r="B42946" t="s">
        <v>1</v>
      </c>
    </row>
    <row r="42947" spans="1:2" x14ac:dyDescent="0.2">
      <c r="B42947" t="s">
        <v>8</v>
      </c>
    </row>
    <row r="42948" spans="1:2" x14ac:dyDescent="0.2">
      <c r="B42948" t="s">
        <v>321</v>
      </c>
    </row>
    <row r="42950" spans="1:2" x14ac:dyDescent="0.2">
      <c r="A42950" t="s">
        <v>13770</v>
      </c>
      <c r="B42950" t="str">
        <f>HYPERLINK("https://lindat.mff.cuni.cz/services/teitok/pdtc10/index.php?action=vallex&amp;frame=v-w5940f5_ZU", "sebrat (v-w5940f5_ZU)")</f>
        <v>sebrat (v-w5940f5_ZU)</v>
      </c>
    </row>
    <row r="42951" spans="1:2" x14ac:dyDescent="0.2">
      <c r="B42951" t="s">
        <v>1</v>
      </c>
    </row>
    <row r="42952" spans="1:2" x14ac:dyDescent="0.2">
      <c r="B42952" t="s">
        <v>8</v>
      </c>
    </row>
    <row r="42954" spans="1:2" x14ac:dyDescent="0.2">
      <c r="A42954" t="s">
        <v>13770</v>
      </c>
      <c r="B42954" t="str">
        <f>HYPERLINK("https://lindat.mff.cuni.cz/services/teitok/pdtc10/index.php?action=vallex&amp;frame=v-w5940hsa_1160", "sebrat (v-w5940hsa_1160) - substituted with v-w5940f5_ZU")</f>
        <v>sebrat (v-w5940hsa_1160) - substituted with v-w5940f5_ZU</v>
      </c>
    </row>
    <row r="42955" spans="1:2" x14ac:dyDescent="0.2">
      <c r="B42955" t="s">
        <v>1</v>
      </c>
    </row>
    <row r="42956" spans="1:2" x14ac:dyDescent="0.2">
      <c r="B42956" t="s">
        <v>8</v>
      </c>
    </row>
    <row r="42958" spans="1:2" x14ac:dyDescent="0.2">
      <c r="A42958" t="s">
        <v>13771</v>
      </c>
      <c r="B42958" t="str">
        <f>HYPERLINK("https://lindat.mff.cuni.cz/services/teitok/pdtc10/index.php?action=vallex&amp;frame=v-w5940f7_ZU", "sebrat (v-w5940f7_ZU)")</f>
        <v>sebrat (v-w5940f7_ZU)</v>
      </c>
    </row>
    <row r="42959" spans="1:2" x14ac:dyDescent="0.2">
      <c r="B42959" t="s">
        <v>1</v>
      </c>
    </row>
    <row r="42960" spans="1:2" x14ac:dyDescent="0.2">
      <c r="B42960" t="s">
        <v>8</v>
      </c>
    </row>
    <row r="42962" spans="1:2" x14ac:dyDescent="0.2">
      <c r="A42962" t="s">
        <v>13771</v>
      </c>
      <c r="B42962" t="str">
        <f>HYPERLINK("https://lindat.mff.cuni.cz/services/teitok/pdtc10/index.php?action=vallex&amp;frame=v-w5940f6_ZU", "sebrat (v-w5940f6_ZU) - substituted with v-w5940f7_ZU")</f>
        <v>sebrat (v-w5940f6_ZU) - substituted with v-w5940f7_ZU</v>
      </c>
    </row>
    <row r="42963" spans="1:2" x14ac:dyDescent="0.2">
      <c r="B42963" t="s">
        <v>1</v>
      </c>
    </row>
    <row r="42964" spans="1:2" x14ac:dyDescent="0.2">
      <c r="B42964" t="s">
        <v>8</v>
      </c>
    </row>
    <row r="42966" spans="1:2" x14ac:dyDescent="0.2">
      <c r="A42966" t="s">
        <v>13772</v>
      </c>
      <c r="B42966" t="str">
        <f>HYPERLINK("https://lindat.mff.cuni.cz/services/teitok/pdtc10/index.php?action=vallex&amp;frame=v-w5940f9_MM", "sebrat (v-w5940f9_MM)")</f>
        <v>sebrat (v-w5940f9_MM)</v>
      </c>
    </row>
    <row r="42967" spans="1:2" x14ac:dyDescent="0.2">
      <c r="B42967" t="s">
        <v>1</v>
      </c>
    </row>
    <row r="42968" spans="1:2" x14ac:dyDescent="0.2">
      <c r="B42968" t="s">
        <v>172</v>
      </c>
    </row>
    <row r="42970" spans="1:2" x14ac:dyDescent="0.2">
      <c r="A42970" t="s">
        <v>13772</v>
      </c>
      <c r="B42970" t="str">
        <f>HYPERLINK("https://lindat.mff.cuni.cz/services/teitok/pdtc10/index.php?action=vallex&amp;frame=v-w5940f8_ZU", "sebrat (v-w5940f8_ZU) - substituted with v-w5940f9_MM")</f>
        <v>sebrat (v-w5940f8_ZU) - substituted with v-w5940f9_MM</v>
      </c>
    </row>
    <row r="42971" spans="1:2" x14ac:dyDescent="0.2">
      <c r="B42971" t="s">
        <v>1</v>
      </c>
    </row>
    <row r="42972" spans="1:2" x14ac:dyDescent="0.2">
      <c r="B42972" t="s">
        <v>172</v>
      </c>
    </row>
    <row r="42974" spans="1:2" x14ac:dyDescent="0.2">
      <c r="A42974" t="s">
        <v>13772</v>
      </c>
      <c r="B42974" t="str">
        <f>HYPERLINK("https://lindat.mff.cuni.cz/services/teitok/pdtc10/index.php?action=vallex&amp;frame=v-w5940hsa_1158", "sebrat (v-w5940hsa_1158) - substituted with v-w5940f9_MM")</f>
        <v>sebrat (v-w5940hsa_1158) - substituted with v-w5940f9_MM</v>
      </c>
    </row>
    <row r="42975" spans="1:2" x14ac:dyDescent="0.2">
      <c r="B42975" t="s">
        <v>1</v>
      </c>
    </row>
    <row r="42976" spans="1:2" x14ac:dyDescent="0.2">
      <c r="B42976" t="s">
        <v>172</v>
      </c>
    </row>
    <row r="42978" spans="1:2" x14ac:dyDescent="0.2">
      <c r="A42978" t="s">
        <v>13773</v>
      </c>
      <c r="B42978" t="str">
        <f>HYPERLINK("https://lindat.mff.cuni.cz/services/teitok/pdtc10/index.php?action=vallex&amp;frame=v-w5940hsa_1159", "sebrat (v-w5940hsa_1159)")</f>
        <v>sebrat (v-w5940hsa_1159)</v>
      </c>
    </row>
    <row r="42979" spans="1:2" x14ac:dyDescent="0.2">
      <c r="B42979" t="s">
        <v>1</v>
      </c>
    </row>
    <row r="42980" spans="1:2" x14ac:dyDescent="0.2">
      <c r="B42980" t="s">
        <v>8</v>
      </c>
    </row>
    <row r="42982" spans="1:2" x14ac:dyDescent="0.2">
      <c r="A42982" t="s">
        <v>13774</v>
      </c>
      <c r="B42982" t="str">
        <f>HYPERLINK("https://lindat.mff.cuni.cz/services/teitok/pdtc10/index.php?action=vallex&amp;frame=v-whsa_1065hsa_1066", "sebrat se (v-whsa_1065hsa_1066)")</f>
        <v>sebrat se (v-whsa_1065hsa_1066)</v>
      </c>
    </row>
    <row r="42983" spans="1:2" x14ac:dyDescent="0.2">
      <c r="B42983" t="s">
        <v>1</v>
      </c>
    </row>
    <row r="42985" spans="1:2" x14ac:dyDescent="0.2">
      <c r="A42985" t="s">
        <v>13775</v>
      </c>
      <c r="B42985" t="str">
        <f>HYPERLINK("https://lindat.mff.cuni.cz/services/teitok/pdtc10/index.php?action=vallex&amp;frame=v-whsa_1065hsa_1067", "sebrat se (v-whsa_1065hsa_1067)")</f>
        <v>sebrat se (v-whsa_1065hsa_1067)</v>
      </c>
    </row>
    <row r="42986" spans="1:2" x14ac:dyDescent="0.2">
      <c r="B42986" t="s">
        <v>1</v>
      </c>
    </row>
    <row r="42988" spans="1:2" x14ac:dyDescent="0.2">
      <c r="A42988" t="s">
        <v>13776</v>
      </c>
      <c r="B42988" t="str">
        <f>HYPERLINK("https://lindat.mff.cuni.cz/services/teitok/pdtc10/index.php?action=vallex&amp;frame=v-whsa_757hsa_758", "seběhnout (v-whsa_757hsa_758)")</f>
        <v>seběhnout (v-whsa_757hsa_758)</v>
      </c>
    </row>
    <row r="42989" spans="1:2" x14ac:dyDescent="0.2">
      <c r="B42989" t="s">
        <v>1</v>
      </c>
    </row>
    <row r="42990" spans="1:2" x14ac:dyDescent="0.2">
      <c r="B42990" t="s">
        <v>90</v>
      </c>
    </row>
    <row r="42992" spans="1:2" x14ac:dyDescent="0.2">
      <c r="A42992" t="s">
        <v>13777</v>
      </c>
      <c r="B42992" t="str">
        <f>HYPERLINK("https://lindat.mff.cuni.cz/services/teitok/pdtc10/index.php?action=vallex&amp;frame=v-w5929f1", "seběhnout se (v-w5929f1)")</f>
        <v>seběhnout se (v-w5929f1)</v>
      </c>
    </row>
    <row r="42993" spans="1:2" x14ac:dyDescent="0.2">
      <c r="B42993" t="s">
        <v>1</v>
      </c>
    </row>
    <row r="42994" spans="1:2" x14ac:dyDescent="0.2">
      <c r="B42994" t="s">
        <v>5</v>
      </c>
    </row>
    <row r="42996" spans="1:2" x14ac:dyDescent="0.2">
      <c r="A42996" t="s">
        <v>13778</v>
      </c>
      <c r="B42996" t="str">
        <f>HYPERLINK("https://lindat.mff.cuni.cz/services/teitok/pdtc10/index.php?action=vallex&amp;frame=v-w5929f3", "seběhnout se (v-w5929f3)")</f>
        <v>seběhnout se (v-w5929f3)</v>
      </c>
    </row>
    <row r="42997" spans="1:2" x14ac:dyDescent="0.2">
      <c r="B42997" t="s">
        <v>1</v>
      </c>
    </row>
    <row r="42998" spans="1:2" x14ac:dyDescent="0.2">
      <c r="B42998" t="s">
        <v>90</v>
      </c>
    </row>
    <row r="43000" spans="1:2" x14ac:dyDescent="0.2">
      <c r="A43000" t="s">
        <v>13779</v>
      </c>
      <c r="B43000" t="str">
        <f>HYPERLINK("https://lindat.mff.cuni.cz/services/teitok/pdtc10/index.php?action=vallex&amp;frame=v-w5929f2", "seběhnout se (v-w5929f2)")</f>
        <v>seběhnout se (v-w5929f2)</v>
      </c>
    </row>
    <row r="43001" spans="1:2" x14ac:dyDescent="0.2">
      <c r="B43001" t="s">
        <v>1</v>
      </c>
    </row>
    <row r="43003" spans="1:2" x14ac:dyDescent="0.2">
      <c r="A43003" t="s">
        <v>13780</v>
      </c>
      <c r="B43003" t="str">
        <f>HYPERLINK("https://lindat.mff.cuni.cz/services/teitok/pdtc10/index.php?action=vallex&amp;frame=v-whsa_879hsa_880", "secvičit (v-whsa_879hsa_880)")</f>
        <v>secvičit (v-whsa_879hsa_880)</v>
      </c>
    </row>
    <row r="43004" spans="1:2" x14ac:dyDescent="0.2">
      <c r="B43004" t="s">
        <v>1</v>
      </c>
    </row>
    <row r="43005" spans="1:2" x14ac:dyDescent="0.2">
      <c r="B43005" t="s">
        <v>8</v>
      </c>
    </row>
    <row r="43007" spans="1:2" x14ac:dyDescent="0.2">
      <c r="A43007" t="s">
        <v>13781</v>
      </c>
      <c r="B43007" t="str">
        <f>HYPERLINK("https://lindat.mff.cuni.cz/services/teitok/pdtc10/index.php?action=vallex&amp;frame=v-whsa_584hsa_585", "secvičovat (v-whsa_584hsa_585)")</f>
        <v>secvičovat (v-whsa_584hsa_585)</v>
      </c>
    </row>
    <row r="43008" spans="1:2" x14ac:dyDescent="0.2">
      <c r="B43008" t="s">
        <v>1</v>
      </c>
    </row>
    <row r="43009" spans="1:2" x14ac:dyDescent="0.2">
      <c r="B43009" t="s">
        <v>8</v>
      </c>
    </row>
    <row r="43011" spans="1:2" x14ac:dyDescent="0.2">
      <c r="A43011" t="s">
        <v>13782</v>
      </c>
      <c r="B43011" t="str">
        <f>HYPERLINK("https://lindat.mff.cuni.cz/services/teitok/pdtc10/index.php?action=vallex&amp;frame=v-whsa_1398hsa_1399", "secvičovat se (v-whsa_1398hsa_1399)")</f>
        <v>secvičovat se (v-whsa_1398hsa_1399)</v>
      </c>
    </row>
    <row r="43012" spans="1:2" x14ac:dyDescent="0.2">
      <c r="B43012" t="s">
        <v>1</v>
      </c>
    </row>
    <row r="43013" spans="1:2" x14ac:dyDescent="0.2">
      <c r="B43013" t="s">
        <v>411</v>
      </c>
    </row>
    <row r="43015" spans="1:2" x14ac:dyDescent="0.2">
      <c r="A43015" t="s">
        <v>13783</v>
      </c>
      <c r="B43015" t="str">
        <f>HYPERLINK("https://lindat.mff.cuni.cz/services/teitok/pdtc10/index.php?action=vallex&amp;frame=v-w11767_ZUf2_ZU", "sedat (v-w11767_ZUf2_ZU)")</f>
        <v>sedat (v-w11767_ZUf2_ZU)</v>
      </c>
    </row>
    <row r="43016" spans="1:2" x14ac:dyDescent="0.2">
      <c r="B43016" t="s">
        <v>1</v>
      </c>
    </row>
    <row r="43017" spans="1:2" x14ac:dyDescent="0.2">
      <c r="B43017" t="s">
        <v>252</v>
      </c>
    </row>
    <row r="43019" spans="1:2" x14ac:dyDescent="0.2">
      <c r="A43019" t="s">
        <v>13784</v>
      </c>
      <c r="B43019" t="str">
        <f>HYPERLINK("https://lindat.mff.cuni.cz/services/teitok/pdtc10/index.php?action=vallex&amp;frame=v-w11767_ZUf3_ZU", "sedat (v-w11767_ZUf3_ZU)")</f>
        <v>sedat (v-w11767_ZUf3_ZU)</v>
      </c>
    </row>
    <row r="43020" spans="1:2" x14ac:dyDescent="0.2">
      <c r="B43020" t="s">
        <v>1</v>
      </c>
    </row>
    <row r="43021" spans="1:2" x14ac:dyDescent="0.2">
      <c r="B43021" t="s">
        <v>889</v>
      </c>
    </row>
    <row r="43023" spans="1:2" x14ac:dyDescent="0.2">
      <c r="A43023" t="s">
        <v>13784</v>
      </c>
      <c r="B43023" t="str">
        <f>HYPERLINK("https://lindat.mff.cuni.cz/services/teitok/pdtc10/index.php?action=vallex&amp;frame=v-w11767_ZUf1_ZU", "sedat (v-w11767_ZUf1_ZU) - substituted with v-w11767_ZUf3_ZU")</f>
        <v>sedat (v-w11767_ZUf1_ZU) - substituted with v-w11767_ZUf3_ZU</v>
      </c>
    </row>
    <row r="43024" spans="1:2" x14ac:dyDescent="0.2">
      <c r="B43024" t="s">
        <v>1</v>
      </c>
    </row>
    <row r="43025" spans="1:2" x14ac:dyDescent="0.2">
      <c r="B43025" t="s">
        <v>889</v>
      </c>
    </row>
    <row r="43027" spans="1:2" x14ac:dyDescent="0.2">
      <c r="A43027" t="s">
        <v>13785</v>
      </c>
      <c r="B43027" t="str">
        <f>HYPERLINK("https://lindat.mff.cuni.cz/services/teitok/pdtc10/index.php?action=vallex&amp;frame=v-whsa_1364hsa_1365", "sedat si (v-whsa_1364hsa_1365)")</f>
        <v>sedat si (v-whsa_1364hsa_1365)</v>
      </c>
    </row>
    <row r="43028" spans="1:2" x14ac:dyDescent="0.2">
      <c r="B43028" t="s">
        <v>1</v>
      </c>
    </row>
    <row r="43029" spans="1:2" x14ac:dyDescent="0.2">
      <c r="B43029" t="s">
        <v>90</v>
      </c>
    </row>
    <row r="43031" spans="1:2" x14ac:dyDescent="0.2">
      <c r="A43031" t="s">
        <v>13786</v>
      </c>
      <c r="B43031" t="str">
        <f>HYPERLINK("https://lindat.mff.cuni.cz/services/teitok/pdtc10/index.php?action=vallex&amp;frame=v-w10268f2", "sedlat (v-w10268f2)")</f>
        <v>sedlat (v-w10268f2)</v>
      </c>
    </row>
    <row r="43032" spans="1:2" x14ac:dyDescent="0.2">
      <c r="B43032" t="s">
        <v>1</v>
      </c>
    </row>
    <row r="43033" spans="1:2" x14ac:dyDescent="0.2">
      <c r="B43033" t="s">
        <v>8</v>
      </c>
    </row>
    <row r="43035" spans="1:2" x14ac:dyDescent="0.2">
      <c r="A43035" t="s">
        <v>13787</v>
      </c>
      <c r="B43035" t="str">
        <f>HYPERLINK("https://lindat.mff.cuni.cz/services/teitok/pdtc10/index.php?action=vallex&amp;frame=v-w5946f1", "sednout (v-w5946f1)")</f>
        <v>sednout (v-w5946f1)</v>
      </c>
    </row>
    <row r="43036" spans="1:2" x14ac:dyDescent="0.2">
      <c r="B43036" t="s">
        <v>1</v>
      </c>
    </row>
    <row r="43037" spans="1:2" x14ac:dyDescent="0.2">
      <c r="B43037" t="s">
        <v>90</v>
      </c>
    </row>
    <row r="43039" spans="1:2" x14ac:dyDescent="0.2">
      <c r="A43039" t="s">
        <v>13788</v>
      </c>
      <c r="B43039" t="str">
        <f>HYPERLINK("https://lindat.mff.cuni.cz/services/teitok/pdtc10/index.php?action=vallex&amp;frame=v-w5947f3_ZU", "sednout si (v-w5947f3_ZU)")</f>
        <v>sednout si (v-w5947f3_ZU)</v>
      </c>
    </row>
    <row r="43040" spans="1:2" x14ac:dyDescent="0.2">
      <c r="B43040" t="s">
        <v>1</v>
      </c>
    </row>
    <row r="43041" spans="1:4" x14ac:dyDescent="0.2">
      <c r="B43041" t="s">
        <v>5</v>
      </c>
    </row>
    <row r="43043" spans="1:4" x14ac:dyDescent="0.2">
      <c r="A43043" t="s">
        <v>13788</v>
      </c>
      <c r="B43043" t="str">
        <f>HYPERLINK("https://lindat.mff.cuni.cz/services/teitok/pdtc10/index.php?action=vallex&amp;frame=v-w5947f2", "sednout si (v-w5947f2) - substituted with v-w5947f3_ZU")</f>
        <v>sednout si (v-w5947f2) - substituted with v-w5947f3_ZU</v>
      </c>
    </row>
    <row r="43044" spans="1:4" x14ac:dyDescent="0.2">
      <c r="B43044" t="s">
        <v>1</v>
      </c>
      <c r="C43044" t="s">
        <v>127</v>
      </c>
      <c r="D43044" t="s">
        <v>127</v>
      </c>
    </row>
    <row r="43045" spans="1:4" x14ac:dyDescent="0.2">
      <c r="B43045" t="s">
        <v>5</v>
      </c>
    </row>
    <row r="43047" spans="1:4" x14ac:dyDescent="0.2">
      <c r="A43047" t="s">
        <v>13789</v>
      </c>
      <c r="B43047" t="str">
        <f>HYPERLINK("https://lindat.mff.cuni.cz/services/teitok/pdtc10/index.php?action=vallex&amp;frame=v-w5947f1", "sednout si (v-w5947f1)")</f>
        <v>sednout si (v-w5947f1)</v>
      </c>
    </row>
    <row r="43048" spans="1:4" x14ac:dyDescent="0.2">
      <c r="B43048" t="s">
        <v>1</v>
      </c>
      <c r="C43048" t="s">
        <v>4531</v>
      </c>
      <c r="D43048" t="s">
        <v>127</v>
      </c>
    </row>
    <row r="43049" spans="1:4" x14ac:dyDescent="0.2">
      <c r="B43049" t="s">
        <v>90</v>
      </c>
    </row>
    <row r="43051" spans="1:4" x14ac:dyDescent="0.2">
      <c r="A43051" t="s">
        <v>13790</v>
      </c>
      <c r="B43051" t="str">
        <f>HYPERLINK("https://lindat.mff.cuni.cz/services/teitok/pdtc10/index.php?action=vallex&amp;frame=v-w5947hsa_1230", "sednout si (v-w5947hsa_1230)")</f>
        <v>sednout si (v-w5947hsa_1230)</v>
      </c>
    </row>
    <row r="43052" spans="1:4" x14ac:dyDescent="0.2">
      <c r="B43052" t="s">
        <v>1</v>
      </c>
    </row>
    <row r="43053" spans="1:4" x14ac:dyDescent="0.2">
      <c r="B43053" t="s">
        <v>13791</v>
      </c>
    </row>
    <row r="43055" spans="1:4" x14ac:dyDescent="0.2">
      <c r="A43055" t="s">
        <v>13792</v>
      </c>
      <c r="B43055" t="str">
        <f>HYPERLINK("https://lindat.mff.cuni.cz/services/teitok/pdtc10/index.php?action=vallex&amp;frame=v-w5944f1", "sedávat (v-w5944f1)")</f>
        <v>sedávat (v-w5944f1)</v>
      </c>
    </row>
    <row r="43056" spans="1:4" x14ac:dyDescent="0.2">
      <c r="B43056" t="s">
        <v>1</v>
      </c>
      <c r="C43056" t="s">
        <v>186</v>
      </c>
    </row>
    <row r="43057" spans="1:4" x14ac:dyDescent="0.2">
      <c r="B43057" t="s">
        <v>5</v>
      </c>
    </row>
    <row r="43059" spans="1:4" x14ac:dyDescent="0.2">
      <c r="A43059" t="s">
        <v>13793</v>
      </c>
      <c r="B43059" t="str">
        <f>HYPERLINK("https://lindat.mff.cuni.cz/services/teitok/pdtc10/index.php?action=vallex&amp;frame=v-w5945f3", "sedět (v-w5945f3)")</f>
        <v>sedět (v-w5945f3)</v>
      </c>
    </row>
    <row r="43060" spans="1:4" x14ac:dyDescent="0.2">
      <c r="B43060" t="s">
        <v>5942</v>
      </c>
      <c r="C43060" t="s">
        <v>147</v>
      </c>
    </row>
    <row r="43061" spans="1:4" x14ac:dyDescent="0.2">
      <c r="B43061" t="s">
        <v>103</v>
      </c>
    </row>
    <row r="43063" spans="1:4" x14ac:dyDescent="0.2">
      <c r="A43063" t="s">
        <v>13794</v>
      </c>
      <c r="B43063" t="str">
        <f>HYPERLINK("https://lindat.mff.cuni.cz/services/teitok/pdtc10/index.php?action=vallex&amp;frame=v-w5945f1", "sedět (v-w5945f1)")</f>
        <v>sedět (v-w5945f1)</v>
      </c>
    </row>
    <row r="43064" spans="1:4" x14ac:dyDescent="0.2">
      <c r="B43064" t="s">
        <v>1</v>
      </c>
      <c r="C43064" t="s">
        <v>13795</v>
      </c>
      <c r="D43064" t="s">
        <v>23861</v>
      </c>
    </row>
    <row r="43065" spans="1:4" x14ac:dyDescent="0.2">
      <c r="B43065" t="s">
        <v>5</v>
      </c>
      <c r="C43065" t="s">
        <v>9059</v>
      </c>
    </row>
    <row r="43067" spans="1:4" x14ac:dyDescent="0.2">
      <c r="A43067" t="s">
        <v>13796</v>
      </c>
      <c r="B43067" t="str">
        <f>HYPERLINK("https://lindat.mff.cuni.cz/services/teitok/pdtc10/index.php?action=vallex&amp;frame=v-w5945f2", "sedět (v-w5945f2)")</f>
        <v>sedět (v-w5945f2)</v>
      </c>
    </row>
    <row r="43068" spans="1:4" x14ac:dyDescent="0.2">
      <c r="B43068" t="s">
        <v>1</v>
      </c>
      <c r="C43068" t="s">
        <v>13797</v>
      </c>
      <c r="D43068" t="s">
        <v>13801</v>
      </c>
    </row>
    <row r="43070" spans="1:4" x14ac:dyDescent="0.2">
      <c r="A43070" t="s">
        <v>13798</v>
      </c>
      <c r="B43070" t="str">
        <f>HYPERLINK("https://lindat.mff.cuni.cz/services/teitok/pdtc10/index.php?action=vallex&amp;frame=v-w5945f4", "sedět (v-w5945f4)")</f>
        <v>sedět (v-w5945f4)</v>
      </c>
    </row>
    <row r="43071" spans="1:4" x14ac:dyDescent="0.2">
      <c r="B43071" t="s">
        <v>1</v>
      </c>
      <c r="C43071" t="s">
        <v>570</v>
      </c>
    </row>
    <row r="43073" spans="1:4" x14ac:dyDescent="0.2">
      <c r="A43073" t="s">
        <v>13799</v>
      </c>
      <c r="B43073" t="str">
        <f>HYPERLINK("https://lindat.mff.cuni.cz/services/teitok/pdtc10/index.php?action=vallex&amp;frame=v-w5945hsa_1293", "sedět (v-w5945hsa_1293)")</f>
        <v>sedět (v-w5945hsa_1293)</v>
      </c>
    </row>
    <row r="43074" spans="1:4" x14ac:dyDescent="0.2">
      <c r="B43074" t="s">
        <v>1</v>
      </c>
      <c r="C43074" t="s">
        <v>147</v>
      </c>
      <c r="D43074" t="s">
        <v>23869</v>
      </c>
    </row>
    <row r="43075" spans="1:4" x14ac:dyDescent="0.2">
      <c r="B43075" t="s">
        <v>103</v>
      </c>
      <c r="D43075" t="s">
        <v>23870</v>
      </c>
    </row>
    <row r="43077" spans="1:4" x14ac:dyDescent="0.2">
      <c r="A43077" t="s">
        <v>13800</v>
      </c>
      <c r="B43077" t="str">
        <f>HYPERLINK("https://lindat.mff.cuni.cz/services/teitok/pdtc10/index.php?action=vallex&amp;frame=v-w5945hsa_1294", "sedět (v-w5945hsa_1294)")</f>
        <v>sedět (v-w5945hsa_1294)</v>
      </c>
    </row>
    <row r="43078" spans="1:4" x14ac:dyDescent="0.2">
      <c r="B43078" t="s">
        <v>1</v>
      </c>
      <c r="C43078" t="s">
        <v>13801</v>
      </c>
    </row>
    <row r="43079" spans="1:4" x14ac:dyDescent="0.2">
      <c r="B43079" t="s">
        <v>161</v>
      </c>
    </row>
    <row r="43081" spans="1:4" x14ac:dyDescent="0.2">
      <c r="A43081" t="s">
        <v>13802</v>
      </c>
      <c r="B43081" t="str">
        <f>HYPERLINK("https://lindat.mff.cuni.cz/services/teitok/pdtc10/index.php?action=vallex&amp;frame=v-w5945f5_ZU", "sedět (v-w5945f5_ZU)")</f>
        <v>sedět (v-w5945f5_ZU)</v>
      </c>
    </row>
    <row r="43082" spans="1:4" x14ac:dyDescent="0.2">
      <c r="B43082" t="s">
        <v>1</v>
      </c>
      <c r="C43082" t="s">
        <v>1086</v>
      </c>
    </row>
    <row r="43083" spans="1:4" x14ac:dyDescent="0.2">
      <c r="B43083" t="s">
        <v>13803</v>
      </c>
    </row>
    <row r="43085" spans="1:4" x14ac:dyDescent="0.2">
      <c r="A43085" t="s">
        <v>13802</v>
      </c>
      <c r="B43085" t="str">
        <f>HYPERLINK("https://lindat.mff.cuni.cz/services/teitok/pdtc10/index.php?action=vallex&amp;frame=v-w5945hsa_1295", "sedět (v-w5945hsa_1295) - substituted with v-w5945f5_ZU")</f>
        <v>sedět (v-w5945hsa_1295) - substituted with v-w5945f5_ZU</v>
      </c>
    </row>
    <row r="43086" spans="1:4" x14ac:dyDescent="0.2">
      <c r="B43086" t="s">
        <v>1</v>
      </c>
    </row>
    <row r="43087" spans="1:4" x14ac:dyDescent="0.2">
      <c r="B43087" t="s">
        <v>13803</v>
      </c>
    </row>
    <row r="43089" spans="1:3" x14ac:dyDescent="0.2">
      <c r="A43089" t="s">
        <v>13804</v>
      </c>
      <c r="B43089" t="str">
        <f>HYPERLINK("https://lindat.mff.cuni.cz/services/teitok/pdtc10/index.php?action=vallex&amp;frame=v-w5945f6_ZU", "sedět (v-w5945f6_ZU)")</f>
        <v>sedět (v-w5945f6_ZU)</v>
      </c>
    </row>
    <row r="43090" spans="1:3" x14ac:dyDescent="0.2">
      <c r="B43090" t="s">
        <v>1</v>
      </c>
      <c r="C43090" t="s">
        <v>13801</v>
      </c>
    </row>
    <row r="43091" spans="1:3" x14ac:dyDescent="0.2">
      <c r="B43091" t="s">
        <v>13805</v>
      </c>
    </row>
    <row r="43093" spans="1:3" x14ac:dyDescent="0.2">
      <c r="A43093" t="s">
        <v>13804</v>
      </c>
      <c r="B43093" t="str">
        <f>HYPERLINK("https://lindat.mff.cuni.cz/services/teitok/pdtc10/index.php?action=vallex&amp;frame=v-w5945hsa_1296", "sedět (v-w5945hsa_1296) - substituted with v-w5945f6_ZU")</f>
        <v>sedět (v-w5945hsa_1296) - substituted with v-w5945f6_ZU</v>
      </c>
    </row>
    <row r="43094" spans="1:3" x14ac:dyDescent="0.2">
      <c r="B43094" t="s">
        <v>1</v>
      </c>
    </row>
    <row r="43095" spans="1:3" x14ac:dyDescent="0.2">
      <c r="B43095" t="s">
        <v>13805</v>
      </c>
    </row>
    <row r="43097" spans="1:3" x14ac:dyDescent="0.2">
      <c r="A43097" t="s">
        <v>13806</v>
      </c>
      <c r="B43097" t="str">
        <f>HYPERLINK("https://lindat.mff.cuni.cz/services/teitok/pdtc10/index.php?action=vallex&amp;frame=v-w5945hsa_1101", "sedět (v-w5945hsa_1101)")</f>
        <v>sedět (v-w5945hsa_1101)</v>
      </c>
    </row>
    <row r="43098" spans="1:3" x14ac:dyDescent="0.2">
      <c r="B43098" t="s">
        <v>1</v>
      </c>
    </row>
    <row r="43099" spans="1:3" x14ac:dyDescent="0.2">
      <c r="B43099" t="s">
        <v>28</v>
      </c>
    </row>
    <row r="43101" spans="1:3" x14ac:dyDescent="0.2">
      <c r="A43101" t="s">
        <v>13807</v>
      </c>
      <c r="B43101" t="str">
        <f>HYPERLINK("https://lindat.mff.cuni.cz/services/teitok/pdtc10/index.php?action=vallex&amp;frame=v-w10763f2", "sedřít (v-w10763f2)")</f>
        <v>sedřít (v-w10763f2)</v>
      </c>
    </row>
    <row r="43102" spans="1:3" x14ac:dyDescent="0.2">
      <c r="B43102" t="s">
        <v>1</v>
      </c>
      <c r="C43102" t="s">
        <v>186</v>
      </c>
    </row>
    <row r="43103" spans="1:3" x14ac:dyDescent="0.2">
      <c r="B43103" t="s">
        <v>13808</v>
      </c>
      <c r="C43103" t="s">
        <v>13809</v>
      </c>
    </row>
    <row r="43104" spans="1:3" x14ac:dyDescent="0.2">
      <c r="B43104" t="s">
        <v>103</v>
      </c>
      <c r="C43104" t="s">
        <v>8502</v>
      </c>
    </row>
    <row r="43106" spans="1:4" x14ac:dyDescent="0.2">
      <c r="A43106" t="s">
        <v>13810</v>
      </c>
      <c r="B43106" t="str">
        <f>HYPERLINK("https://lindat.mff.cuni.cz/services/teitok/pdtc10/index.php?action=vallex&amp;frame=v-whsa_23hsa_24", "segmentovat (v-whsa_23hsa_24)")</f>
        <v>segmentovat (v-whsa_23hsa_24)</v>
      </c>
    </row>
    <row r="43107" spans="1:4" x14ac:dyDescent="0.2">
      <c r="B43107" t="s">
        <v>1</v>
      </c>
    </row>
    <row r="43108" spans="1:4" x14ac:dyDescent="0.2">
      <c r="B43108" t="s">
        <v>8</v>
      </c>
    </row>
    <row r="43109" spans="1:4" x14ac:dyDescent="0.2">
      <c r="B43109" t="s">
        <v>2334</v>
      </c>
    </row>
    <row r="43111" spans="1:4" x14ac:dyDescent="0.2">
      <c r="A43111" t="s">
        <v>13811</v>
      </c>
      <c r="B43111" t="str">
        <f>HYPERLINK("https://lindat.mff.cuni.cz/services/teitok/pdtc10/index.php?action=vallex&amp;frame=v-w5948f2_ZU", "sehnat (v-w5948f2_ZU)")</f>
        <v>sehnat (v-w5948f2_ZU)</v>
      </c>
    </row>
    <row r="43112" spans="1:4" x14ac:dyDescent="0.2">
      <c r="B43112" t="s">
        <v>1</v>
      </c>
    </row>
    <row r="43113" spans="1:4" x14ac:dyDescent="0.2">
      <c r="B43113" t="s">
        <v>8</v>
      </c>
    </row>
    <row r="43114" spans="1:4" x14ac:dyDescent="0.2">
      <c r="B43114" t="s">
        <v>321</v>
      </c>
    </row>
    <row r="43116" spans="1:4" x14ac:dyDescent="0.2">
      <c r="A43116" t="s">
        <v>13811</v>
      </c>
      <c r="B43116" t="str">
        <f>HYPERLINK("https://lindat.mff.cuni.cz/services/teitok/pdtc10/index.php?action=vallex&amp;frame=v-w5948f1", "sehnat (v-w5948f1) - substituted with v-w5948f2_ZU")</f>
        <v>sehnat (v-w5948f1) - substituted with v-w5948f2_ZU</v>
      </c>
    </row>
    <row r="43117" spans="1:4" x14ac:dyDescent="0.2">
      <c r="B43117" t="s">
        <v>1</v>
      </c>
      <c r="C43117" t="s">
        <v>13812</v>
      </c>
      <c r="D43117" t="s">
        <v>1125</v>
      </c>
    </row>
    <row r="43118" spans="1:4" x14ac:dyDescent="0.2">
      <c r="B43118" t="s">
        <v>8</v>
      </c>
      <c r="C43118" t="s">
        <v>13813</v>
      </c>
      <c r="D43118" t="s">
        <v>3233</v>
      </c>
    </row>
    <row r="43119" spans="1:4" x14ac:dyDescent="0.2">
      <c r="B43119" t="s">
        <v>321</v>
      </c>
    </row>
    <row r="43121" spans="1:4" x14ac:dyDescent="0.2">
      <c r="A43121" t="s">
        <v>13814</v>
      </c>
      <c r="B43121" t="str">
        <f>HYPERLINK("https://lindat.mff.cuni.cz/services/teitok/pdtc10/index.php?action=vallex&amp;frame=v-w12202_ZUf1_ZU", "sehnout se (v-w12202_ZUf1_ZU)")</f>
        <v>sehnout se (v-w12202_ZUf1_ZU)</v>
      </c>
    </row>
    <row r="43122" spans="1:4" x14ac:dyDescent="0.2">
      <c r="B43122" t="s">
        <v>1</v>
      </c>
    </row>
    <row r="43124" spans="1:4" x14ac:dyDescent="0.2">
      <c r="A43124" t="s">
        <v>13815</v>
      </c>
      <c r="B43124" t="str">
        <f>HYPERLINK("https://lindat.mff.cuni.cz/services/teitok/pdtc10/index.php?action=vallex&amp;frame=v-w5950f1", "sehrát (v-w5950f1)")</f>
        <v>sehrát (v-w5950f1)</v>
      </c>
    </row>
    <row r="43125" spans="1:4" x14ac:dyDescent="0.2">
      <c r="B43125" t="s">
        <v>1</v>
      </c>
      <c r="C43125" t="s">
        <v>1549</v>
      </c>
      <c r="D43125" t="s">
        <v>10460</v>
      </c>
    </row>
    <row r="43126" spans="1:4" x14ac:dyDescent="0.2">
      <c r="B43126" t="s">
        <v>8</v>
      </c>
      <c r="C43126" t="s">
        <v>338</v>
      </c>
      <c r="D43126" t="s">
        <v>338</v>
      </c>
    </row>
    <row r="43127" spans="1:4" x14ac:dyDescent="0.2">
      <c r="B43127" t="s">
        <v>2288</v>
      </c>
    </row>
    <row r="43128" spans="1:4" x14ac:dyDescent="0.2">
      <c r="B43128" t="s">
        <v>1632</v>
      </c>
    </row>
    <row r="43130" spans="1:4" x14ac:dyDescent="0.2">
      <c r="A43130" t="s">
        <v>13816</v>
      </c>
      <c r="B43130" t="str">
        <f>HYPERLINK("https://lindat.mff.cuni.cz/services/teitok/pdtc10/index.php?action=vallex&amp;frame=v-w5950f4", "sehrát (v-w5950f4)")</f>
        <v>sehrát (v-w5950f4)</v>
      </c>
    </row>
    <row r="43131" spans="1:4" x14ac:dyDescent="0.2">
      <c r="B43131" t="s">
        <v>1</v>
      </c>
    </row>
    <row r="43132" spans="1:4" x14ac:dyDescent="0.2">
      <c r="B43132" t="s">
        <v>8</v>
      </c>
    </row>
    <row r="43134" spans="1:4" x14ac:dyDescent="0.2">
      <c r="A43134" t="s">
        <v>13817</v>
      </c>
      <c r="B43134" t="str">
        <f>HYPERLINK("https://lindat.mff.cuni.cz/services/teitok/pdtc10/index.php?action=vallex&amp;frame=v-w5950f2", "sehrát (v-w5950f2)")</f>
        <v>sehrát (v-w5950f2)</v>
      </c>
    </row>
    <row r="43135" spans="1:4" x14ac:dyDescent="0.2">
      <c r="B43135" t="s">
        <v>13581</v>
      </c>
      <c r="C43135" t="s">
        <v>1077</v>
      </c>
    </row>
    <row r="43136" spans="1:4" x14ac:dyDescent="0.2">
      <c r="B43136" t="s">
        <v>3484</v>
      </c>
      <c r="C43136" t="s">
        <v>3489</v>
      </c>
    </row>
    <row r="43138" spans="1:4" x14ac:dyDescent="0.2">
      <c r="A43138" t="s">
        <v>13818</v>
      </c>
      <c r="B43138" t="str">
        <f>HYPERLINK("https://lindat.mff.cuni.cz/services/teitok/pdtc10/index.php?action=vallex&amp;frame=v-w5950f3", "sehrát (v-w5950f3)")</f>
        <v>sehrát (v-w5950f3)</v>
      </c>
    </row>
    <row r="43139" spans="1:4" x14ac:dyDescent="0.2">
      <c r="B43139" t="s">
        <v>13581</v>
      </c>
      <c r="C43139" t="s">
        <v>13819</v>
      </c>
    </row>
    <row r="43140" spans="1:4" x14ac:dyDescent="0.2">
      <c r="B43140" t="s">
        <v>3488</v>
      </c>
      <c r="C43140" t="s">
        <v>13820</v>
      </c>
    </row>
    <row r="43142" spans="1:4" x14ac:dyDescent="0.2">
      <c r="A43142" t="s">
        <v>13821</v>
      </c>
      <c r="B43142" t="str">
        <f>HYPERLINK("https://lindat.mff.cuni.cz/services/teitok/pdtc10/index.php?action=vallex&amp;frame=v-w5951f1", "sehrávat (v-w5951f1)")</f>
        <v>sehrávat (v-w5951f1)</v>
      </c>
    </row>
    <row r="43143" spans="1:4" x14ac:dyDescent="0.2">
      <c r="B43143" t="s">
        <v>13581</v>
      </c>
    </row>
    <row r="43144" spans="1:4" x14ac:dyDescent="0.2">
      <c r="B43144" t="s">
        <v>3484</v>
      </c>
    </row>
    <row r="43146" spans="1:4" x14ac:dyDescent="0.2">
      <c r="A43146" t="s">
        <v>13822</v>
      </c>
      <c r="B43146" t="str">
        <f>HYPERLINK("https://lindat.mff.cuni.cz/services/teitok/pdtc10/index.php?action=vallex&amp;frame=v-w5951f2", "sehrávat (v-w5951f2)")</f>
        <v>sehrávat (v-w5951f2)</v>
      </c>
    </row>
    <row r="43147" spans="1:4" x14ac:dyDescent="0.2">
      <c r="B43147" t="s">
        <v>13581</v>
      </c>
    </row>
    <row r="43148" spans="1:4" x14ac:dyDescent="0.2">
      <c r="B43148" t="s">
        <v>3488</v>
      </c>
    </row>
    <row r="43150" spans="1:4" x14ac:dyDescent="0.2">
      <c r="A43150" t="s">
        <v>13823</v>
      </c>
      <c r="B43150" t="str">
        <f>HYPERLINK("https://lindat.mff.cuni.cz/services/teitok/pdtc10/index.php?action=vallex&amp;frame=v-w5954f1", "sejmout (v-w5954f1)")</f>
        <v>sejmout (v-w5954f1)</v>
      </c>
    </row>
    <row r="43151" spans="1:4" x14ac:dyDescent="0.2">
      <c r="B43151" t="s">
        <v>1</v>
      </c>
      <c r="C43151" t="s">
        <v>83</v>
      </c>
      <c r="D43151" t="s">
        <v>373</v>
      </c>
    </row>
    <row r="43152" spans="1:4" x14ac:dyDescent="0.2">
      <c r="B43152" t="s">
        <v>8</v>
      </c>
      <c r="C43152" t="s">
        <v>56</v>
      </c>
      <c r="D43152" t="s">
        <v>23339</v>
      </c>
    </row>
    <row r="43153" spans="1:4" x14ac:dyDescent="0.2">
      <c r="B43153" t="s">
        <v>333</v>
      </c>
      <c r="D43153" t="s">
        <v>23684</v>
      </c>
    </row>
    <row r="43155" spans="1:4" x14ac:dyDescent="0.2">
      <c r="A43155" t="s">
        <v>13824</v>
      </c>
      <c r="B43155" t="str">
        <f>HYPERLINK("https://lindat.mff.cuni.cz/services/teitok/pdtc10/index.php?action=vallex&amp;frame=v-w5954f4", "sejmout (v-w5954f4)")</f>
        <v>sejmout (v-w5954f4)</v>
      </c>
    </row>
    <row r="43156" spans="1:4" x14ac:dyDescent="0.2">
      <c r="B43156" t="s">
        <v>1</v>
      </c>
    </row>
    <row r="43157" spans="1:4" x14ac:dyDescent="0.2">
      <c r="B43157" t="s">
        <v>8</v>
      </c>
    </row>
    <row r="43158" spans="1:4" x14ac:dyDescent="0.2">
      <c r="B43158" t="s">
        <v>333</v>
      </c>
    </row>
    <row r="43160" spans="1:4" x14ac:dyDescent="0.2">
      <c r="A43160" t="s">
        <v>13825</v>
      </c>
      <c r="B43160" t="str">
        <f>HYPERLINK("https://lindat.mff.cuni.cz/services/teitok/pdtc10/index.php?action=vallex&amp;frame=v-w5954f2", "sejmout (v-w5954f2)")</f>
        <v>sejmout (v-w5954f2)</v>
      </c>
    </row>
    <row r="43161" spans="1:4" x14ac:dyDescent="0.2">
      <c r="B43161" t="s">
        <v>1</v>
      </c>
    </row>
    <row r="43162" spans="1:4" x14ac:dyDescent="0.2">
      <c r="B43162" t="s">
        <v>8</v>
      </c>
    </row>
    <row r="43164" spans="1:4" x14ac:dyDescent="0.2">
      <c r="A43164" t="s">
        <v>13826</v>
      </c>
      <c r="B43164" t="str">
        <f>HYPERLINK("https://lindat.mff.cuni.cz/services/teitok/pdtc10/index.php?action=vallex&amp;frame=v-w5954f3", "sejmout (v-w5954f3)")</f>
        <v>sejmout (v-w5954f3)</v>
      </c>
    </row>
    <row r="43165" spans="1:4" x14ac:dyDescent="0.2">
      <c r="B43165" t="s">
        <v>1</v>
      </c>
    </row>
    <row r="43166" spans="1:4" x14ac:dyDescent="0.2">
      <c r="B43166" t="s">
        <v>8</v>
      </c>
    </row>
    <row r="43168" spans="1:4" x14ac:dyDescent="0.2">
      <c r="A43168" t="s">
        <v>13827</v>
      </c>
      <c r="B43168" t="str">
        <f>HYPERLINK("https://lindat.mff.cuni.cz/services/teitok/pdtc10/index.php?action=vallex&amp;frame=v-w5952f7", "sejít (v-w5952f7)")</f>
        <v>sejít (v-w5952f7)</v>
      </c>
    </row>
    <row r="43169" spans="1:4" x14ac:dyDescent="0.2">
      <c r="B43169" t="s">
        <v>1</v>
      </c>
    </row>
    <row r="43170" spans="1:4" x14ac:dyDescent="0.2">
      <c r="B43170" t="s">
        <v>8</v>
      </c>
    </row>
    <row r="43172" spans="1:4" x14ac:dyDescent="0.2">
      <c r="A43172" t="s">
        <v>13828</v>
      </c>
      <c r="B43172" t="str">
        <f>HYPERLINK("https://lindat.mff.cuni.cz/services/teitok/pdtc10/index.php?action=vallex&amp;frame=v-w5952f3", "sejít (v-w5952f3)")</f>
        <v>sejít (v-w5952f3)</v>
      </c>
    </row>
    <row r="43173" spans="1:4" x14ac:dyDescent="0.2">
      <c r="B43173" t="s">
        <v>455</v>
      </c>
    </row>
    <row r="43174" spans="1:4" x14ac:dyDescent="0.2">
      <c r="B43174" t="s">
        <v>161</v>
      </c>
    </row>
    <row r="43176" spans="1:4" x14ac:dyDescent="0.2">
      <c r="A43176" t="s">
        <v>13829</v>
      </c>
      <c r="B43176" t="str">
        <f>HYPERLINK("https://lindat.mff.cuni.cz/services/teitok/pdtc10/index.php?action=vallex&amp;frame=v-w5952f4", "sejít (v-w5952f4)")</f>
        <v>sejít (v-w5952f4)</v>
      </c>
    </row>
    <row r="43177" spans="1:4" x14ac:dyDescent="0.2">
      <c r="B43177" t="s">
        <v>1</v>
      </c>
      <c r="D43177" t="s">
        <v>24154</v>
      </c>
    </row>
    <row r="43178" spans="1:4" x14ac:dyDescent="0.2">
      <c r="B43178" t="s">
        <v>333</v>
      </c>
      <c r="D43178" t="s">
        <v>7666</v>
      </c>
    </row>
    <row r="43180" spans="1:4" x14ac:dyDescent="0.2">
      <c r="A43180" t="s">
        <v>13830</v>
      </c>
      <c r="B43180" t="str">
        <f>HYPERLINK("https://lindat.mff.cuni.cz/services/teitok/pdtc10/index.php?action=vallex&amp;frame=v-w5952f2", "sejít (v-w5952f2)")</f>
        <v>sejít (v-w5952f2)</v>
      </c>
    </row>
    <row r="43181" spans="1:4" x14ac:dyDescent="0.2">
      <c r="B43181" t="s">
        <v>1</v>
      </c>
      <c r="D43181" t="s">
        <v>3742</v>
      </c>
    </row>
    <row r="43182" spans="1:4" x14ac:dyDescent="0.2">
      <c r="B43182" t="s">
        <v>13831</v>
      </c>
    </row>
    <row r="43184" spans="1:4" x14ac:dyDescent="0.2">
      <c r="A43184" t="s">
        <v>13832</v>
      </c>
      <c r="B43184" t="str">
        <f>HYPERLINK("https://lindat.mff.cuni.cz/services/teitok/pdtc10/index.php?action=vallex&amp;frame=v-w5952f5", "sejít (v-w5952f5)")</f>
        <v>sejít (v-w5952f5)</v>
      </c>
    </row>
    <row r="43185" spans="1:3" x14ac:dyDescent="0.2">
      <c r="B43185" t="s">
        <v>1</v>
      </c>
    </row>
    <row r="43187" spans="1:3" x14ac:dyDescent="0.2">
      <c r="A43187" t="s">
        <v>13833</v>
      </c>
      <c r="B43187" t="str">
        <f>HYPERLINK("https://lindat.mff.cuni.cz/services/teitok/pdtc10/index.php?action=vallex&amp;frame=v-w5952f6", "sejít (v-w5952f6)")</f>
        <v>sejít (v-w5952f6)</v>
      </c>
    </row>
    <row r="43188" spans="1:3" x14ac:dyDescent="0.2">
      <c r="B43188" t="s">
        <v>1</v>
      </c>
    </row>
    <row r="43190" spans="1:3" x14ac:dyDescent="0.2">
      <c r="A43190" t="s">
        <v>13834</v>
      </c>
      <c r="B43190" t="str">
        <f>HYPERLINK("https://lindat.mff.cuni.cz/services/teitok/pdtc10/index.php?action=vallex&amp;frame=v-w5952f1", "sejít (v-w5952f1)")</f>
        <v>sejít (v-w5952f1)</v>
      </c>
    </row>
    <row r="43191" spans="1:3" x14ac:dyDescent="0.2">
      <c r="B43191" t="s">
        <v>13835</v>
      </c>
      <c r="C43191" t="s">
        <v>6729</v>
      </c>
    </row>
    <row r="43193" spans="1:3" x14ac:dyDescent="0.2">
      <c r="A43193" t="s">
        <v>13836</v>
      </c>
      <c r="B43193" t="str">
        <f>HYPERLINK("https://lindat.mff.cuni.cz/services/teitok/pdtc10/index.php?action=vallex&amp;frame=v-w5952f8", "sejít (v-w5952f8)")</f>
        <v>sejít (v-w5952f8)</v>
      </c>
    </row>
    <row r="43194" spans="1:3" x14ac:dyDescent="0.2">
      <c r="B43194" t="s">
        <v>1</v>
      </c>
    </row>
    <row r="43195" spans="1:3" x14ac:dyDescent="0.2">
      <c r="B43195" t="s">
        <v>13837</v>
      </c>
    </row>
    <row r="43196" spans="1:3" x14ac:dyDescent="0.2">
      <c r="B43196" t="s">
        <v>103</v>
      </c>
    </row>
    <row r="43198" spans="1:3" x14ac:dyDescent="0.2">
      <c r="A43198" t="s">
        <v>13838</v>
      </c>
      <c r="B43198" t="str">
        <f>HYPERLINK("https://lindat.mff.cuni.cz/services/teitok/pdtc10/index.php?action=vallex&amp;frame=v-w5952f9_ZU", "sejít (v-w5952f9_ZU)")</f>
        <v>sejít (v-w5952f9_ZU)</v>
      </c>
    </row>
    <row r="43199" spans="1:3" x14ac:dyDescent="0.2">
      <c r="B43199" t="s">
        <v>1</v>
      </c>
    </row>
    <row r="43200" spans="1:3" x14ac:dyDescent="0.2">
      <c r="B43200" t="s">
        <v>168</v>
      </c>
    </row>
    <row r="43202" spans="1:2" x14ac:dyDescent="0.2">
      <c r="A43202" t="s">
        <v>13838</v>
      </c>
      <c r="B43202" t="str">
        <f>HYPERLINK("https://lindat.mff.cuni.cz/services/teitok/pdtc10/index.php?action=vallex&amp;frame=v-w5952hsa_1148", "sejít (v-w5952hsa_1148) - substituted with v-w5952f9_ZU")</f>
        <v>sejít (v-w5952hsa_1148) - substituted with v-w5952f9_ZU</v>
      </c>
    </row>
    <row r="43203" spans="1:2" x14ac:dyDescent="0.2">
      <c r="B43203" t="s">
        <v>1</v>
      </c>
    </row>
    <row r="43204" spans="1:2" x14ac:dyDescent="0.2">
      <c r="B43204" t="s">
        <v>168</v>
      </c>
    </row>
    <row r="43206" spans="1:2" x14ac:dyDescent="0.2">
      <c r="A43206" t="s">
        <v>13839</v>
      </c>
      <c r="B43206" t="str">
        <f>HYPERLINK("https://lindat.mff.cuni.cz/services/teitok/pdtc10/index.php?action=vallex&amp;frame=v-w5952f10_ZU", "sejít (v-w5952f10_ZU)")</f>
        <v>sejít (v-w5952f10_ZU)</v>
      </c>
    </row>
    <row r="43207" spans="1:2" x14ac:dyDescent="0.2">
      <c r="B43207" t="s">
        <v>1</v>
      </c>
    </row>
    <row r="43208" spans="1:2" x14ac:dyDescent="0.2">
      <c r="B43208" t="s">
        <v>13840</v>
      </c>
    </row>
    <row r="43209" spans="1:2" x14ac:dyDescent="0.2">
      <c r="B43209" t="s">
        <v>103</v>
      </c>
    </row>
    <row r="43211" spans="1:2" x14ac:dyDescent="0.2">
      <c r="A43211" t="s">
        <v>13839</v>
      </c>
      <c r="B43211" t="str">
        <f>HYPERLINK("https://lindat.mff.cuni.cz/services/teitok/pdtc10/index.php?action=vallex&amp;frame=v-w5952hsa_1149", "sejít (v-w5952hsa_1149) - substituted with v-w5952f10_ZU")</f>
        <v>sejít (v-w5952hsa_1149) - substituted with v-w5952f10_ZU</v>
      </c>
    </row>
    <row r="43212" spans="1:2" x14ac:dyDescent="0.2">
      <c r="B43212" t="s">
        <v>1</v>
      </c>
    </row>
    <row r="43213" spans="1:2" x14ac:dyDescent="0.2">
      <c r="B43213" t="s">
        <v>13840</v>
      </c>
    </row>
    <row r="43214" spans="1:2" x14ac:dyDescent="0.2">
      <c r="B43214" t="s">
        <v>103</v>
      </c>
    </row>
    <row r="43216" spans="1:2" x14ac:dyDescent="0.2">
      <c r="A43216" t="s">
        <v>13841</v>
      </c>
      <c r="B43216" t="str">
        <f>HYPERLINK("https://lindat.mff.cuni.cz/services/teitok/pdtc10/index.php?action=vallex&amp;frame=v-w5953f1", "sejít se (v-w5953f1)")</f>
        <v>sejít se (v-w5953f1)</v>
      </c>
    </row>
    <row r="43217" spans="1:4" x14ac:dyDescent="0.2">
      <c r="B43217" t="s">
        <v>1</v>
      </c>
      <c r="C43217" t="s">
        <v>13842</v>
      </c>
      <c r="D43217" t="s">
        <v>23867</v>
      </c>
    </row>
    <row r="43218" spans="1:4" x14ac:dyDescent="0.2">
      <c r="B43218" t="s">
        <v>411</v>
      </c>
      <c r="C43218" t="s">
        <v>2747</v>
      </c>
      <c r="D43218" t="s">
        <v>7127</v>
      </c>
    </row>
    <row r="43220" spans="1:4" x14ac:dyDescent="0.2">
      <c r="A43220" t="s">
        <v>13843</v>
      </c>
      <c r="B43220" t="str">
        <f>HYPERLINK("https://lindat.mff.cuni.cz/services/teitok/pdtc10/index.php?action=vallex&amp;frame=v-w5953f2", "sejít se (v-w5953f2)")</f>
        <v>sejít se (v-w5953f2)</v>
      </c>
    </row>
    <row r="43221" spans="1:4" x14ac:dyDescent="0.2">
      <c r="B43221" t="s">
        <v>1</v>
      </c>
    </row>
    <row r="43223" spans="1:4" x14ac:dyDescent="0.2">
      <c r="A43223" t="s">
        <v>13844</v>
      </c>
      <c r="B43223" t="str">
        <f>HYPERLINK("https://lindat.mff.cuni.cz/services/teitok/pdtc10/index.php?action=vallex&amp;frame=v-w10771f2", "sekat (v-w10771f2)")</f>
        <v>sekat (v-w10771f2)</v>
      </c>
    </row>
    <row r="43224" spans="1:4" x14ac:dyDescent="0.2">
      <c r="B43224" t="s">
        <v>1</v>
      </c>
      <c r="C43224" t="s">
        <v>140</v>
      </c>
    </row>
    <row r="43225" spans="1:4" x14ac:dyDescent="0.2">
      <c r="B43225" t="s">
        <v>8</v>
      </c>
      <c r="C43225" t="s">
        <v>113</v>
      </c>
    </row>
    <row r="43227" spans="1:4" x14ac:dyDescent="0.2">
      <c r="A43227" t="s">
        <v>13845</v>
      </c>
      <c r="B43227" t="str">
        <f>HYPERLINK("https://lindat.mff.cuni.cz/services/teitok/pdtc10/index.php?action=vallex&amp;frame=v-w10771f3", "sekat (v-w10771f3)")</f>
        <v>sekat (v-w10771f3)</v>
      </c>
    </row>
    <row r="43228" spans="1:4" x14ac:dyDescent="0.2">
      <c r="B43228" t="s">
        <v>1</v>
      </c>
    </row>
    <row r="43229" spans="1:4" x14ac:dyDescent="0.2">
      <c r="B43229" t="s">
        <v>13846</v>
      </c>
      <c r="C43229" t="s">
        <v>397</v>
      </c>
      <c r="D43229" t="s">
        <v>397</v>
      </c>
    </row>
    <row r="43231" spans="1:4" x14ac:dyDescent="0.2">
      <c r="A43231" t="s">
        <v>13847</v>
      </c>
      <c r="B43231" t="str">
        <f>HYPERLINK("https://lindat.mff.cuni.cz/services/teitok/pdtc10/index.php?action=vallex&amp;frame=v-whsa_1413f1_ZU", "seknout (v-whsa_1413f1_ZU)")</f>
        <v>seknout (v-whsa_1413f1_ZU)</v>
      </c>
    </row>
    <row r="43232" spans="1:4" x14ac:dyDescent="0.2">
      <c r="B43232" t="s">
        <v>1</v>
      </c>
    </row>
    <row r="43233" spans="1:2" x14ac:dyDescent="0.2">
      <c r="B43233" t="s">
        <v>411</v>
      </c>
    </row>
    <row r="43235" spans="1:2" x14ac:dyDescent="0.2">
      <c r="A43235" t="s">
        <v>13847</v>
      </c>
      <c r="B43235" t="str">
        <f>HYPERLINK("https://lindat.mff.cuni.cz/services/teitok/pdtc10/index.php?action=vallex&amp;frame=v-whsa_1413hsa_1414", "seknout (v-whsa_1413hsa_1414) - substituted with v-whsa_1413f1_ZU")</f>
        <v>seknout (v-whsa_1413hsa_1414) - substituted with v-whsa_1413f1_ZU</v>
      </c>
    </row>
    <row r="43236" spans="1:2" x14ac:dyDescent="0.2">
      <c r="B43236" t="s">
        <v>1</v>
      </c>
    </row>
    <row r="43237" spans="1:2" x14ac:dyDescent="0.2">
      <c r="B43237" t="s">
        <v>411</v>
      </c>
    </row>
    <row r="43239" spans="1:2" x14ac:dyDescent="0.2">
      <c r="A43239" t="s">
        <v>13848</v>
      </c>
      <c r="B43239" t="str">
        <f>HYPERLINK("https://lindat.mff.cuni.cz/services/teitok/pdtc10/index.php?action=vallex&amp;frame=v-whsa_1413f2_ZU", "seknout (v-whsa_1413f2_ZU)")</f>
        <v>seknout (v-whsa_1413f2_ZU)</v>
      </c>
    </row>
    <row r="43240" spans="1:2" x14ac:dyDescent="0.2">
      <c r="B43240" t="s">
        <v>1</v>
      </c>
    </row>
    <row r="43241" spans="1:2" x14ac:dyDescent="0.2">
      <c r="B43241" t="s">
        <v>158</v>
      </c>
    </row>
    <row r="43243" spans="1:2" x14ac:dyDescent="0.2">
      <c r="A43243" t="s">
        <v>13849</v>
      </c>
      <c r="B43243" t="str">
        <f>HYPERLINK("https://lindat.mff.cuni.cz/services/teitok/pdtc10/index.php?action=vallex&amp;frame=v-w11484f1", "seknout se (v-w11484f1)")</f>
        <v>seknout se (v-w11484f1)</v>
      </c>
    </row>
    <row r="43244" spans="1:2" x14ac:dyDescent="0.2">
      <c r="B43244" t="s">
        <v>1</v>
      </c>
    </row>
    <row r="43246" spans="1:2" x14ac:dyDescent="0.2">
      <c r="A43246" t="s">
        <v>13850</v>
      </c>
      <c r="B43246" t="str">
        <f>HYPERLINK("https://lindat.mff.cuni.cz/services/teitok/pdtc10/index.php?action=vallex&amp;frame=v-w5955f1", "sekundovat (v-w5955f1)")</f>
        <v>sekundovat (v-w5955f1)</v>
      </c>
    </row>
    <row r="43247" spans="1:2" x14ac:dyDescent="0.2">
      <c r="B43247" t="s">
        <v>1</v>
      </c>
    </row>
    <row r="43248" spans="1:2" x14ac:dyDescent="0.2">
      <c r="B43248" t="s">
        <v>103</v>
      </c>
    </row>
    <row r="43250" spans="1:4" x14ac:dyDescent="0.2">
      <c r="A43250" t="s">
        <v>13851</v>
      </c>
      <c r="B43250" t="str">
        <f>HYPERLINK("https://lindat.mff.cuni.cz/services/teitok/pdtc10/index.php?action=vallex&amp;frame=v-w5955f2", "sekundovat (v-w5955f2)")</f>
        <v>sekundovat (v-w5955f2)</v>
      </c>
    </row>
    <row r="43251" spans="1:4" x14ac:dyDescent="0.2">
      <c r="B43251" t="s">
        <v>1</v>
      </c>
    </row>
    <row r="43252" spans="1:4" x14ac:dyDescent="0.2">
      <c r="B43252" t="s">
        <v>103</v>
      </c>
    </row>
    <row r="43254" spans="1:4" x14ac:dyDescent="0.2">
      <c r="A43254" t="s">
        <v>13852</v>
      </c>
      <c r="B43254" t="str">
        <f>HYPERLINK("https://lindat.mff.cuni.cz/services/teitok/pdtc10/index.php?action=vallex&amp;frame=v-w5957f1", "selhat (v-w5957f1)")</f>
        <v>selhat (v-w5957f1)</v>
      </c>
    </row>
    <row r="43255" spans="1:4" x14ac:dyDescent="0.2">
      <c r="B43255" t="s">
        <v>1</v>
      </c>
      <c r="C43255" t="s">
        <v>13853</v>
      </c>
      <c r="D43255" t="s">
        <v>23775</v>
      </c>
    </row>
    <row r="43257" spans="1:4" x14ac:dyDescent="0.2">
      <c r="A43257" t="s">
        <v>13854</v>
      </c>
      <c r="B43257" t="str">
        <f>HYPERLINK("https://lindat.mff.cuni.cz/services/teitok/pdtc10/index.php?action=vallex&amp;frame=v-w11584_ZUf1_ZU", "selhávat (v-w11584_ZUf1_ZU)")</f>
        <v>selhávat (v-w11584_ZUf1_ZU)</v>
      </c>
    </row>
    <row r="43258" spans="1:4" x14ac:dyDescent="0.2">
      <c r="B43258" t="s">
        <v>1</v>
      </c>
      <c r="D43258" t="s">
        <v>1593</v>
      </c>
    </row>
    <row r="43260" spans="1:4" x14ac:dyDescent="0.2">
      <c r="A43260" t="s">
        <v>13855</v>
      </c>
      <c r="B43260" t="str">
        <f>HYPERLINK("https://lindat.mff.cuni.cz/services/teitok/pdtc10/index.php?action=vallex&amp;frame=v-w10860f2", "semknout (v-w10860f2)")</f>
        <v>semknout (v-w10860f2)</v>
      </c>
    </row>
    <row r="43261" spans="1:4" x14ac:dyDescent="0.2">
      <c r="B43261" t="s">
        <v>1</v>
      </c>
    </row>
    <row r="43262" spans="1:4" x14ac:dyDescent="0.2">
      <c r="B43262" t="s">
        <v>8</v>
      </c>
    </row>
    <row r="43263" spans="1:4" x14ac:dyDescent="0.2">
      <c r="B43263" t="s">
        <v>153</v>
      </c>
    </row>
    <row r="43265" spans="1:2" x14ac:dyDescent="0.2">
      <c r="A43265" t="s">
        <v>13856</v>
      </c>
      <c r="B43265" t="str">
        <f>HYPERLINK("https://lindat.mff.cuni.cz/services/teitok/pdtc10/index.php?action=vallex&amp;frame=v-whsa_1138hsa_1139", "semknout se (v-whsa_1138hsa_1139)")</f>
        <v>semknout se (v-whsa_1138hsa_1139)</v>
      </c>
    </row>
    <row r="43266" spans="1:2" x14ac:dyDescent="0.2">
      <c r="B43266" t="s">
        <v>1</v>
      </c>
    </row>
    <row r="43267" spans="1:2" x14ac:dyDescent="0.2">
      <c r="B43267" t="s">
        <v>411</v>
      </c>
    </row>
    <row r="43268" spans="1:2" x14ac:dyDescent="0.2">
      <c r="B43268" t="s">
        <v>2156</v>
      </c>
    </row>
    <row r="43270" spans="1:2" x14ac:dyDescent="0.2">
      <c r="A43270" t="s">
        <v>13857</v>
      </c>
      <c r="B43270" t="str">
        <f>HYPERLINK("https://lindat.mff.cuni.cz/services/teitok/pdtc10/index.php?action=vallex&amp;frame=v-w5959f1", "semlít (v-w5959f1)")</f>
        <v>semlít (v-w5959f1)</v>
      </c>
    </row>
    <row r="43271" spans="1:2" x14ac:dyDescent="0.2">
      <c r="B43271" t="s">
        <v>1</v>
      </c>
    </row>
    <row r="43272" spans="1:2" x14ac:dyDescent="0.2">
      <c r="B43272" t="s">
        <v>8</v>
      </c>
    </row>
    <row r="43273" spans="1:2" x14ac:dyDescent="0.2">
      <c r="B43273" t="s">
        <v>24</v>
      </c>
    </row>
    <row r="43274" spans="1:2" x14ac:dyDescent="0.2">
      <c r="B43274" t="s">
        <v>61</v>
      </c>
    </row>
    <row r="43276" spans="1:2" x14ac:dyDescent="0.2">
      <c r="A43276" t="s">
        <v>13858</v>
      </c>
      <c r="B43276" t="str">
        <f>HYPERLINK("https://lindat.mff.cuni.cz/services/teitok/pdtc10/index.php?action=vallex&amp;frame=v-w10362f2", "separovat (v-w10362f2)")</f>
        <v>separovat (v-w10362f2)</v>
      </c>
    </row>
    <row r="43277" spans="1:2" x14ac:dyDescent="0.2">
      <c r="B43277" t="s">
        <v>1</v>
      </c>
    </row>
    <row r="43278" spans="1:2" x14ac:dyDescent="0.2">
      <c r="B43278" t="s">
        <v>8</v>
      </c>
    </row>
    <row r="43279" spans="1:2" x14ac:dyDescent="0.2">
      <c r="B43279" t="s">
        <v>321</v>
      </c>
    </row>
    <row r="43281" spans="1:4" x14ac:dyDescent="0.2">
      <c r="A43281" t="s">
        <v>13859</v>
      </c>
      <c r="B43281" t="str">
        <f>HYPERLINK("https://lindat.mff.cuni.cz/services/teitok/pdtc10/index.php?action=vallex&amp;frame=v-w11585_ZUf2_ZU", "separovat se (v-w11585_ZUf2_ZU)")</f>
        <v>separovat se (v-w11585_ZUf2_ZU)</v>
      </c>
    </row>
    <row r="43282" spans="1:4" x14ac:dyDescent="0.2">
      <c r="B43282" t="s">
        <v>1</v>
      </c>
      <c r="C43282" t="s">
        <v>186</v>
      </c>
      <c r="D43282" t="s">
        <v>23696</v>
      </c>
    </row>
    <row r="43283" spans="1:4" x14ac:dyDescent="0.2">
      <c r="B43283" t="s">
        <v>19</v>
      </c>
      <c r="C43283" t="s">
        <v>1301</v>
      </c>
      <c r="D43283" t="s">
        <v>4060</v>
      </c>
    </row>
    <row r="43285" spans="1:4" x14ac:dyDescent="0.2">
      <c r="A43285" t="s">
        <v>13859</v>
      </c>
      <c r="B43285" t="str">
        <f>HYPERLINK("https://lindat.mff.cuni.cz/services/teitok/pdtc10/index.php?action=vallex&amp;frame=v-w11585_ZUf1_ZU", "separovat se (v-w11585_ZUf1_ZU) - substituted with v-w11585_ZUf2_ZU")</f>
        <v>separovat se (v-w11585_ZUf1_ZU) - substituted with v-w11585_ZUf2_ZU</v>
      </c>
    </row>
    <row r="43286" spans="1:4" x14ac:dyDescent="0.2">
      <c r="B43286" t="s">
        <v>1</v>
      </c>
    </row>
    <row r="43287" spans="1:4" x14ac:dyDescent="0.2">
      <c r="B43287" t="s">
        <v>19</v>
      </c>
    </row>
    <row r="43289" spans="1:4" x14ac:dyDescent="0.2">
      <c r="A43289" t="s">
        <v>13860</v>
      </c>
      <c r="B43289" t="str">
        <f>HYPERLINK("https://lindat.mff.cuni.cz/services/teitok/pdtc10/index.php?action=vallex&amp;frame=v-w5962f1", "sepisovat (v-w5962f1)")</f>
        <v>sepisovat (v-w5962f1)</v>
      </c>
    </row>
    <row r="43290" spans="1:4" x14ac:dyDescent="0.2">
      <c r="B43290" t="s">
        <v>1</v>
      </c>
      <c r="C43290" t="s">
        <v>334</v>
      </c>
      <c r="D43290" t="s">
        <v>1566</v>
      </c>
    </row>
    <row r="43291" spans="1:4" x14ac:dyDescent="0.2">
      <c r="B43291" t="s">
        <v>8</v>
      </c>
      <c r="C43291" t="s">
        <v>1025</v>
      </c>
      <c r="D43291" t="s">
        <v>125</v>
      </c>
    </row>
    <row r="43293" spans="1:4" x14ac:dyDescent="0.2">
      <c r="A43293" t="s">
        <v>13861</v>
      </c>
      <c r="B43293" t="str">
        <f>HYPERLINK("https://lindat.mff.cuni.cz/services/teitok/pdtc10/index.php?action=vallex&amp;frame=v-w5962f2_ZU", "sepisovat (v-w5962f2_ZU)")</f>
        <v>sepisovat (v-w5962f2_ZU)</v>
      </c>
    </row>
    <row r="43294" spans="1:4" x14ac:dyDescent="0.2">
      <c r="B43294" t="s">
        <v>1</v>
      </c>
    </row>
    <row r="43295" spans="1:4" x14ac:dyDescent="0.2">
      <c r="B43295" t="s">
        <v>8</v>
      </c>
    </row>
    <row r="43297" spans="1:4" x14ac:dyDescent="0.2">
      <c r="A43297" t="s">
        <v>13862</v>
      </c>
      <c r="B43297" t="str">
        <f>HYPERLINK("https://lindat.mff.cuni.cz/services/teitok/pdtc10/index.php?action=vallex&amp;frame=v-w11586_ZUf1_ZU", "sepnout (v-w11586_ZUf1_ZU)")</f>
        <v>sepnout (v-w11586_ZUf1_ZU)</v>
      </c>
    </row>
    <row r="43298" spans="1:4" x14ac:dyDescent="0.2">
      <c r="B43298" t="s">
        <v>1</v>
      </c>
      <c r="C43298" t="s">
        <v>13863</v>
      </c>
    </row>
    <row r="43299" spans="1:4" x14ac:dyDescent="0.2">
      <c r="B43299" t="s">
        <v>8</v>
      </c>
      <c r="C43299" t="s">
        <v>125</v>
      </c>
    </row>
    <row r="43301" spans="1:4" x14ac:dyDescent="0.2">
      <c r="A43301" t="s">
        <v>13864</v>
      </c>
      <c r="B43301" t="str">
        <f>HYPERLINK("https://lindat.mff.cuni.cz/services/teitok/pdtc10/index.php?action=vallex&amp;frame=v-w5965f1", "sepsat (v-w5965f1)")</f>
        <v>sepsat (v-w5965f1)</v>
      </c>
    </row>
    <row r="43302" spans="1:4" x14ac:dyDescent="0.2">
      <c r="B43302" t="s">
        <v>1</v>
      </c>
      <c r="C43302" t="s">
        <v>2400</v>
      </c>
      <c r="D43302" t="s">
        <v>1566</v>
      </c>
    </row>
    <row r="43303" spans="1:4" x14ac:dyDescent="0.2">
      <c r="B43303" t="s">
        <v>8</v>
      </c>
      <c r="C43303" t="s">
        <v>3324</v>
      </c>
      <c r="D43303" t="s">
        <v>125</v>
      </c>
    </row>
    <row r="43305" spans="1:4" x14ac:dyDescent="0.2">
      <c r="A43305" t="s">
        <v>13865</v>
      </c>
      <c r="B43305" t="str">
        <f>HYPERLINK("https://lindat.mff.cuni.cz/services/teitok/pdtc10/index.php?action=vallex&amp;frame=v-w5966f1", "sepsout (v-w5966f1)")</f>
        <v>sepsout (v-w5966f1)</v>
      </c>
    </row>
    <row r="43306" spans="1:4" x14ac:dyDescent="0.2">
      <c r="B43306" t="s">
        <v>1</v>
      </c>
    </row>
    <row r="43307" spans="1:4" x14ac:dyDescent="0.2">
      <c r="B43307" t="s">
        <v>8</v>
      </c>
    </row>
    <row r="43309" spans="1:4" x14ac:dyDescent="0.2">
      <c r="A43309" t="s">
        <v>13866</v>
      </c>
      <c r="B43309" t="str">
        <f>HYPERLINK("https://lindat.mff.cuni.cz/services/teitok/pdtc10/index.php?action=vallex&amp;frame=v-whsb_812hsa_813", "serializovat (v-whsb_812hsa_813)")</f>
        <v>serializovat (v-whsb_812hsa_813)</v>
      </c>
    </row>
    <row r="43310" spans="1:4" x14ac:dyDescent="0.2">
      <c r="B43310" t="s">
        <v>1</v>
      </c>
    </row>
    <row r="43311" spans="1:4" x14ac:dyDescent="0.2">
      <c r="B43311" t="s">
        <v>8</v>
      </c>
    </row>
    <row r="43313" spans="1:4" x14ac:dyDescent="0.2">
      <c r="A43313" t="s">
        <v>13867</v>
      </c>
      <c r="B43313" t="str">
        <f>HYPERLINK("https://lindat.mff.cuni.cz/services/teitok/pdtc10/index.php?action=vallex&amp;frame=v-w5969f2", "servírovat (v-w5969f2)")</f>
        <v>servírovat (v-w5969f2)</v>
      </c>
    </row>
    <row r="43314" spans="1:4" x14ac:dyDescent="0.2">
      <c r="B43314" t="s">
        <v>1</v>
      </c>
      <c r="D43314" t="s">
        <v>7279</v>
      </c>
    </row>
    <row r="43315" spans="1:4" x14ac:dyDescent="0.2">
      <c r="B43315" t="s">
        <v>8</v>
      </c>
      <c r="D43315" t="s">
        <v>23286</v>
      </c>
    </row>
    <row r="43316" spans="1:4" x14ac:dyDescent="0.2">
      <c r="B43316" t="s">
        <v>35</v>
      </c>
      <c r="D43316" t="s">
        <v>23287</v>
      </c>
    </row>
    <row r="43318" spans="1:4" x14ac:dyDescent="0.2">
      <c r="A43318" t="s">
        <v>13868</v>
      </c>
      <c r="B43318" t="str">
        <f>HYPERLINK("https://lindat.mff.cuni.cz/services/teitok/pdtc10/index.php?action=vallex&amp;frame=v-w5969f1", "servírovat (v-w5969f1)")</f>
        <v>servírovat (v-w5969f1)</v>
      </c>
    </row>
    <row r="43319" spans="1:4" x14ac:dyDescent="0.2">
      <c r="B43319" t="s">
        <v>1</v>
      </c>
    </row>
    <row r="43321" spans="1:4" x14ac:dyDescent="0.2">
      <c r="A43321" t="s">
        <v>13869</v>
      </c>
      <c r="B43321" t="str">
        <f>HYPERLINK("https://lindat.mff.cuni.cz/services/teitok/pdtc10/index.php?action=vallex&amp;frame=v-w5977f2", "sesadit (v-w5977f2)")</f>
        <v>sesadit (v-w5977f2)</v>
      </c>
    </row>
    <row r="43322" spans="1:4" x14ac:dyDescent="0.2">
      <c r="B43322" t="s">
        <v>1</v>
      </c>
    </row>
    <row r="43323" spans="1:4" x14ac:dyDescent="0.2">
      <c r="B43323" t="s">
        <v>8</v>
      </c>
    </row>
    <row r="43324" spans="1:4" x14ac:dyDescent="0.2">
      <c r="B43324" t="s">
        <v>153</v>
      </c>
    </row>
    <row r="43326" spans="1:4" x14ac:dyDescent="0.2">
      <c r="A43326" t="s">
        <v>13870</v>
      </c>
      <c r="B43326" t="str">
        <f>HYPERLINK("https://lindat.mff.cuni.cz/services/teitok/pdtc10/index.php?action=vallex&amp;frame=v-w5977f1", "sesadit (v-w5977f1)")</f>
        <v>sesadit (v-w5977f1)</v>
      </c>
    </row>
    <row r="43327" spans="1:4" x14ac:dyDescent="0.2">
      <c r="B43327" t="s">
        <v>1</v>
      </c>
      <c r="C43327" t="s">
        <v>230</v>
      </c>
      <c r="D43327" t="s">
        <v>2148</v>
      </c>
    </row>
    <row r="43328" spans="1:4" x14ac:dyDescent="0.2">
      <c r="B43328" t="s">
        <v>8</v>
      </c>
      <c r="C43328" t="s">
        <v>13080</v>
      </c>
      <c r="D43328" t="s">
        <v>8988</v>
      </c>
    </row>
    <row r="43329" spans="1:4" x14ac:dyDescent="0.2">
      <c r="B43329" t="s">
        <v>333</v>
      </c>
      <c r="C43329" t="s">
        <v>7510</v>
      </c>
    </row>
    <row r="43331" spans="1:4" x14ac:dyDescent="0.2">
      <c r="A43331" t="s">
        <v>13871</v>
      </c>
      <c r="B43331" t="str">
        <f>HYPERLINK("https://lindat.mff.cuni.cz/services/teitok/pdtc10/index.php?action=vallex&amp;frame=v-w10519f2", "sesbírat (v-w10519f2)")</f>
        <v>sesbírat (v-w10519f2)</v>
      </c>
    </row>
    <row r="43332" spans="1:4" x14ac:dyDescent="0.2">
      <c r="B43332" t="s">
        <v>1</v>
      </c>
      <c r="C43332" t="s">
        <v>249</v>
      </c>
      <c r="D43332" t="s">
        <v>24155</v>
      </c>
    </row>
    <row r="43333" spans="1:4" x14ac:dyDescent="0.2">
      <c r="B43333" t="s">
        <v>8</v>
      </c>
      <c r="C43333" t="s">
        <v>1340</v>
      </c>
      <c r="D43333" t="s">
        <v>4452</v>
      </c>
    </row>
    <row r="43335" spans="1:4" x14ac:dyDescent="0.2">
      <c r="A43335" t="s">
        <v>13872</v>
      </c>
      <c r="B43335" t="str">
        <f>HYPERLINK("https://lindat.mff.cuni.cz/services/teitok/pdtc10/index.php?action=vallex&amp;frame=v-w11789_ZUf1_ZU", "sesednout (v-w11789_ZUf1_ZU)")</f>
        <v>sesednout (v-w11789_ZUf1_ZU)</v>
      </c>
    </row>
    <row r="43336" spans="1:4" x14ac:dyDescent="0.2">
      <c r="B43336" t="s">
        <v>1</v>
      </c>
    </row>
    <row r="43337" spans="1:4" x14ac:dyDescent="0.2">
      <c r="B43337" t="s">
        <v>8</v>
      </c>
    </row>
    <row r="43339" spans="1:4" x14ac:dyDescent="0.2">
      <c r="A43339" t="s">
        <v>13873</v>
      </c>
      <c r="B43339" t="str">
        <f>HYPERLINK("https://lindat.mff.cuni.cz/services/teitok/pdtc10/index.php?action=vallex&amp;frame=v-w5979f1", "seskočit (v-w5979f1)")</f>
        <v>seskočit (v-w5979f1)</v>
      </c>
    </row>
    <row r="43340" spans="1:4" x14ac:dyDescent="0.2">
      <c r="B43340" t="s">
        <v>1</v>
      </c>
      <c r="D43340" t="s">
        <v>1586</v>
      </c>
    </row>
    <row r="43341" spans="1:4" x14ac:dyDescent="0.2">
      <c r="B43341" t="s">
        <v>333</v>
      </c>
    </row>
    <row r="43343" spans="1:4" x14ac:dyDescent="0.2">
      <c r="A43343" t="s">
        <v>13874</v>
      </c>
      <c r="B43343" t="str">
        <f>HYPERLINK("https://lindat.mff.cuni.cz/services/teitok/pdtc10/index.php?action=vallex&amp;frame=v-w12308_MMf1_MM", "seskupit se (v-w12308_MMf1_MM)")</f>
        <v>seskupit se (v-w12308_MMf1_MM)</v>
      </c>
    </row>
    <row r="43344" spans="1:4" x14ac:dyDescent="0.2">
      <c r="B43344" t="s">
        <v>1</v>
      </c>
    </row>
    <row r="43346" spans="1:4" x14ac:dyDescent="0.2">
      <c r="A43346" t="s">
        <v>13875</v>
      </c>
      <c r="B43346" t="str">
        <f>HYPERLINK("https://lindat.mff.cuni.cz/services/teitok/pdtc10/index.php?action=vallex&amp;frame=v-w10715f2", "seskupovat (v-w10715f2)")</f>
        <v>seskupovat (v-w10715f2)</v>
      </c>
    </row>
    <row r="43347" spans="1:4" x14ac:dyDescent="0.2">
      <c r="B43347" t="s">
        <v>1</v>
      </c>
    </row>
    <row r="43348" spans="1:4" x14ac:dyDescent="0.2">
      <c r="B43348" t="s">
        <v>8</v>
      </c>
    </row>
    <row r="43350" spans="1:4" x14ac:dyDescent="0.2">
      <c r="A43350" t="s">
        <v>13876</v>
      </c>
      <c r="B43350" t="str">
        <f>HYPERLINK("https://lindat.mff.cuni.cz/services/teitok/pdtc10/index.php?action=vallex&amp;frame=v-w10840f2", "sesmolit (v-w10840f2)")</f>
        <v>sesmolit (v-w10840f2)</v>
      </c>
    </row>
    <row r="43351" spans="1:4" x14ac:dyDescent="0.2">
      <c r="B43351" t="s">
        <v>1</v>
      </c>
    </row>
    <row r="43352" spans="1:4" x14ac:dyDescent="0.2">
      <c r="B43352" t="s">
        <v>8</v>
      </c>
    </row>
    <row r="43354" spans="1:4" x14ac:dyDescent="0.2">
      <c r="A43354" t="s">
        <v>13877</v>
      </c>
      <c r="B43354" t="str">
        <f>HYPERLINK("https://lindat.mff.cuni.cz/services/teitok/pdtc10/index.php?action=vallex&amp;frame=v-w10840hsa_72", "sesmolit (v-w10840hsa_72)")</f>
        <v>sesmolit (v-w10840hsa_72)</v>
      </c>
    </row>
    <row r="43355" spans="1:4" x14ac:dyDescent="0.2">
      <c r="B43355" t="s">
        <v>1</v>
      </c>
      <c r="C43355" t="s">
        <v>140</v>
      </c>
      <c r="D43355" t="s">
        <v>7439</v>
      </c>
    </row>
    <row r="43356" spans="1:4" x14ac:dyDescent="0.2">
      <c r="B43356" t="s">
        <v>8</v>
      </c>
      <c r="C43356" t="s">
        <v>1331</v>
      </c>
      <c r="D43356" t="s">
        <v>11560</v>
      </c>
    </row>
    <row r="43357" spans="1:4" x14ac:dyDescent="0.2">
      <c r="B43357" t="s">
        <v>486</v>
      </c>
      <c r="C43357" t="s">
        <v>13878</v>
      </c>
      <c r="D43357" t="s">
        <v>21999</v>
      </c>
    </row>
    <row r="43359" spans="1:4" x14ac:dyDescent="0.2">
      <c r="A43359" t="s">
        <v>13879</v>
      </c>
      <c r="B43359" t="str">
        <f>HYPERLINK("https://lindat.mff.cuni.cz/services/teitok/pdtc10/index.php?action=vallex&amp;frame=v-whsa_555hsa_556", "sesout se (v-whsa_555hsa_556)")</f>
        <v>sesout se (v-whsa_555hsa_556)</v>
      </c>
    </row>
    <row r="43360" spans="1:4" x14ac:dyDescent="0.2">
      <c r="B43360" t="s">
        <v>1</v>
      </c>
    </row>
    <row r="43362" spans="1:4" x14ac:dyDescent="0.2">
      <c r="A43362" t="s">
        <v>13880</v>
      </c>
      <c r="B43362" t="str">
        <f>HYPERLINK("https://lindat.mff.cuni.cz/services/teitok/pdtc10/index.php?action=vallex&amp;frame=v-w5986f1", "sestavit (v-w5986f1)")</f>
        <v>sestavit (v-w5986f1)</v>
      </c>
    </row>
    <row r="43363" spans="1:4" x14ac:dyDescent="0.2">
      <c r="B43363" t="s">
        <v>1</v>
      </c>
      <c r="C43363" t="s">
        <v>13881</v>
      </c>
      <c r="D43363" t="s">
        <v>24156</v>
      </c>
    </row>
    <row r="43364" spans="1:4" x14ac:dyDescent="0.2">
      <c r="B43364" t="s">
        <v>8</v>
      </c>
      <c r="C43364" t="s">
        <v>13882</v>
      </c>
      <c r="D43364" t="s">
        <v>24157</v>
      </c>
    </row>
    <row r="43365" spans="1:4" x14ac:dyDescent="0.2">
      <c r="B43365" t="s">
        <v>24</v>
      </c>
      <c r="C43365" t="s">
        <v>447</v>
      </c>
      <c r="D43365" t="s">
        <v>24158</v>
      </c>
    </row>
    <row r="43367" spans="1:4" x14ac:dyDescent="0.2">
      <c r="A43367" t="s">
        <v>13883</v>
      </c>
      <c r="B43367" t="str">
        <f>HYPERLINK("https://lindat.mff.cuni.cz/services/teitok/pdtc10/index.php?action=vallex&amp;frame=v-w5986f2", "sestavit (v-w5986f2)")</f>
        <v>sestavit (v-w5986f2)</v>
      </c>
    </row>
    <row r="43368" spans="1:4" x14ac:dyDescent="0.2">
      <c r="B43368" t="s">
        <v>1</v>
      </c>
      <c r="C43368" t="s">
        <v>1065</v>
      </c>
      <c r="D43368" t="s">
        <v>140</v>
      </c>
    </row>
    <row r="43369" spans="1:4" x14ac:dyDescent="0.2">
      <c r="B43369" t="s">
        <v>8</v>
      </c>
      <c r="C43369" t="s">
        <v>1128</v>
      </c>
      <c r="D43369" t="s">
        <v>113</v>
      </c>
    </row>
    <row r="43370" spans="1:4" x14ac:dyDescent="0.2">
      <c r="B43370" t="s">
        <v>2156</v>
      </c>
    </row>
    <row r="43372" spans="1:4" x14ac:dyDescent="0.2">
      <c r="A43372" t="s">
        <v>13884</v>
      </c>
      <c r="B43372" t="str">
        <f>HYPERLINK("https://lindat.mff.cuni.cz/services/teitok/pdtc10/index.php?action=vallex&amp;frame=v-w5989f1", "sestavovat (v-w5989f1)")</f>
        <v>sestavovat (v-w5989f1)</v>
      </c>
    </row>
    <row r="43373" spans="1:4" x14ac:dyDescent="0.2">
      <c r="B43373" t="s">
        <v>1</v>
      </c>
      <c r="C43373" t="s">
        <v>6902</v>
      </c>
      <c r="D43373" t="s">
        <v>24156</v>
      </c>
    </row>
    <row r="43374" spans="1:4" x14ac:dyDescent="0.2">
      <c r="B43374" t="s">
        <v>8</v>
      </c>
      <c r="C43374" t="s">
        <v>13885</v>
      </c>
      <c r="D43374" t="s">
        <v>24157</v>
      </c>
    </row>
    <row r="43375" spans="1:4" x14ac:dyDescent="0.2">
      <c r="B43375" t="s">
        <v>24</v>
      </c>
      <c r="C43375" t="s">
        <v>4687</v>
      </c>
      <c r="D43375" t="s">
        <v>24158</v>
      </c>
    </row>
    <row r="43377" spans="1:4" x14ac:dyDescent="0.2">
      <c r="A43377" t="s">
        <v>13886</v>
      </c>
      <c r="B43377" t="str">
        <f>HYPERLINK("https://lindat.mff.cuni.cz/services/teitok/pdtc10/index.php?action=vallex&amp;frame=v-w5989f2", "sestavovat (v-w5989f2)")</f>
        <v>sestavovat (v-w5989f2)</v>
      </c>
    </row>
    <row r="43378" spans="1:4" x14ac:dyDescent="0.2">
      <c r="B43378" t="s">
        <v>1</v>
      </c>
      <c r="D43378" t="s">
        <v>140</v>
      </c>
    </row>
    <row r="43379" spans="1:4" x14ac:dyDescent="0.2">
      <c r="B43379" t="s">
        <v>8</v>
      </c>
      <c r="D43379" t="s">
        <v>113</v>
      </c>
    </row>
    <row r="43380" spans="1:4" x14ac:dyDescent="0.2">
      <c r="B43380" t="s">
        <v>2156</v>
      </c>
    </row>
    <row r="43382" spans="1:4" x14ac:dyDescent="0.2">
      <c r="A43382" t="s">
        <v>13887</v>
      </c>
      <c r="B43382" t="str">
        <f>HYPERLINK("https://lindat.mff.cuni.cz/services/teitok/pdtc10/index.php?action=vallex&amp;frame=v-whsa_299f1_ZU", "sestoupit (v-whsa_299f1_ZU)")</f>
        <v>sestoupit (v-whsa_299f1_ZU)</v>
      </c>
    </row>
    <row r="43383" spans="1:4" x14ac:dyDescent="0.2">
      <c r="B43383" t="s">
        <v>1</v>
      </c>
    </row>
    <row r="43384" spans="1:4" x14ac:dyDescent="0.2">
      <c r="B43384" t="s">
        <v>333</v>
      </c>
    </row>
    <row r="43386" spans="1:4" x14ac:dyDescent="0.2">
      <c r="A43386" t="s">
        <v>13887</v>
      </c>
      <c r="B43386" t="str">
        <f>HYPERLINK("https://lindat.mff.cuni.cz/services/teitok/pdtc10/index.php?action=vallex&amp;frame=v-whsb_299hsa_300", "sestoupit (v-whsb_299hsa_300) - substituted with v-whsa_299f1_ZU")</f>
        <v>sestoupit (v-whsb_299hsa_300) - substituted with v-whsa_299f1_ZU</v>
      </c>
    </row>
    <row r="43387" spans="1:4" x14ac:dyDescent="0.2">
      <c r="B43387" t="s">
        <v>1</v>
      </c>
    </row>
    <row r="43388" spans="1:4" x14ac:dyDescent="0.2">
      <c r="B43388" t="s">
        <v>333</v>
      </c>
    </row>
    <row r="43390" spans="1:4" x14ac:dyDescent="0.2">
      <c r="A43390" t="s">
        <v>13888</v>
      </c>
      <c r="B43390" t="str">
        <f>HYPERLINK("https://lindat.mff.cuni.cz/services/teitok/pdtc10/index.php?action=vallex&amp;frame=v-w5990f1", "sestrojit (v-w5990f1)")</f>
        <v>sestrojit (v-w5990f1)</v>
      </c>
    </row>
    <row r="43391" spans="1:4" x14ac:dyDescent="0.2">
      <c r="B43391" t="s">
        <v>1</v>
      </c>
    </row>
    <row r="43392" spans="1:4" x14ac:dyDescent="0.2">
      <c r="B43392" t="s">
        <v>8</v>
      </c>
    </row>
    <row r="43393" spans="1:4" x14ac:dyDescent="0.2">
      <c r="B43393" t="s">
        <v>24</v>
      </c>
    </row>
    <row r="43395" spans="1:4" x14ac:dyDescent="0.2">
      <c r="A43395" t="s">
        <v>13889</v>
      </c>
      <c r="B43395" t="str">
        <f>HYPERLINK("https://lindat.mff.cuni.cz/services/teitok/pdtc10/index.php?action=vallex&amp;frame=v-w5995f1", "sestupovat (v-w5995f1)")</f>
        <v>sestupovat (v-w5995f1)</v>
      </c>
    </row>
    <row r="43396" spans="1:4" x14ac:dyDescent="0.2">
      <c r="B43396" t="s">
        <v>1</v>
      </c>
      <c r="C43396" t="s">
        <v>13890</v>
      </c>
      <c r="D43396" t="s">
        <v>24159</v>
      </c>
    </row>
    <row r="43397" spans="1:4" x14ac:dyDescent="0.2">
      <c r="B43397" t="s">
        <v>333</v>
      </c>
    </row>
    <row r="43399" spans="1:4" x14ac:dyDescent="0.2">
      <c r="A43399" t="s">
        <v>13891</v>
      </c>
      <c r="B43399" t="str">
        <f>HYPERLINK("https://lindat.mff.cuni.cz/services/teitok/pdtc10/index.php?action=vallex&amp;frame=v-w5996f1", "sestykovat (v-w5996f1)")</f>
        <v>sestykovat (v-w5996f1)</v>
      </c>
    </row>
    <row r="43400" spans="1:4" x14ac:dyDescent="0.2">
      <c r="B43400" t="s">
        <v>1</v>
      </c>
    </row>
    <row r="43401" spans="1:4" x14ac:dyDescent="0.2">
      <c r="B43401" t="s">
        <v>8</v>
      </c>
    </row>
    <row r="43402" spans="1:4" x14ac:dyDescent="0.2">
      <c r="B43402" t="s">
        <v>153</v>
      </c>
    </row>
    <row r="43404" spans="1:4" x14ac:dyDescent="0.2">
      <c r="A43404" t="s">
        <v>13892</v>
      </c>
      <c r="B43404" t="str">
        <f>HYPERLINK("https://lindat.mff.cuni.cz/services/teitok/pdtc10/index.php?action=vallex&amp;frame=v-w5983f1", "sestávat (v-w5983f1)")</f>
        <v>sestávat (v-w5983f1)</v>
      </c>
    </row>
    <row r="43405" spans="1:4" x14ac:dyDescent="0.2">
      <c r="B43405" t="s">
        <v>1</v>
      </c>
      <c r="C43405" t="s">
        <v>13893</v>
      </c>
      <c r="D43405" t="s">
        <v>23628</v>
      </c>
    </row>
    <row r="43406" spans="1:4" x14ac:dyDescent="0.2">
      <c r="B43406" t="s">
        <v>168</v>
      </c>
      <c r="C43406" t="s">
        <v>13894</v>
      </c>
      <c r="D43406" t="s">
        <v>23629</v>
      </c>
    </row>
    <row r="43408" spans="1:4" x14ac:dyDescent="0.2">
      <c r="A43408" t="s">
        <v>13895</v>
      </c>
      <c r="B43408" t="str">
        <f>HYPERLINK("https://lindat.mff.cuni.cz/services/teitok/pdtc10/index.php?action=vallex&amp;frame=v-w5993f1", "sestřelit (v-w5993f1)")</f>
        <v>sestřelit (v-w5993f1)</v>
      </c>
    </row>
    <row r="43409" spans="1:3" x14ac:dyDescent="0.2">
      <c r="B43409" t="s">
        <v>1</v>
      </c>
      <c r="C43409" t="s">
        <v>33</v>
      </c>
    </row>
    <row r="43410" spans="1:3" x14ac:dyDescent="0.2">
      <c r="B43410" t="s">
        <v>8</v>
      </c>
      <c r="C43410" t="s">
        <v>991</v>
      </c>
    </row>
    <row r="43412" spans="1:3" x14ac:dyDescent="0.2">
      <c r="A43412" t="s">
        <v>13896</v>
      </c>
      <c r="B43412" t="str">
        <f>HYPERLINK("https://lindat.mff.cuni.cz/services/teitok/pdtc10/index.php?action=vallex&amp;frame=v-w11745_ZUf1_ZU", "sestřihávat (v-w11745_ZUf1_ZU)")</f>
        <v>sestřihávat (v-w11745_ZUf1_ZU)</v>
      </c>
    </row>
    <row r="43413" spans="1:3" x14ac:dyDescent="0.2">
      <c r="B43413" t="s">
        <v>1</v>
      </c>
    </row>
    <row r="43414" spans="1:3" x14ac:dyDescent="0.2">
      <c r="B43414" t="s">
        <v>8</v>
      </c>
    </row>
    <row r="43415" spans="1:3" x14ac:dyDescent="0.2">
      <c r="B43415" t="s">
        <v>24</v>
      </c>
    </row>
    <row r="43417" spans="1:3" x14ac:dyDescent="0.2">
      <c r="A43417" t="s">
        <v>13897</v>
      </c>
      <c r="B43417" t="str">
        <f>HYPERLINK("https://lindat.mff.cuni.cz/services/teitok/pdtc10/index.php?action=vallex&amp;frame=v-w12145_ZUf1_ZU", "sesumírovat (v-w12145_ZUf1_ZU)")</f>
        <v>sesumírovat (v-w12145_ZUf1_ZU)</v>
      </c>
    </row>
    <row r="43418" spans="1:3" x14ac:dyDescent="0.2">
      <c r="B43418" t="s">
        <v>1</v>
      </c>
    </row>
    <row r="43419" spans="1:3" x14ac:dyDescent="0.2">
      <c r="B43419" t="s">
        <v>172</v>
      </c>
    </row>
    <row r="43421" spans="1:3" x14ac:dyDescent="0.2">
      <c r="A43421" t="s">
        <v>13898</v>
      </c>
      <c r="B43421" t="str">
        <f>HYPERLINK("https://lindat.mff.cuni.cz/services/teitok/pdtc10/index.php?action=vallex&amp;frame=v-w5997f1", "sesunout se (v-w5997f1)")</f>
        <v>sesunout se (v-w5997f1)</v>
      </c>
    </row>
    <row r="43422" spans="1:3" x14ac:dyDescent="0.2">
      <c r="B43422" t="s">
        <v>1</v>
      </c>
    </row>
    <row r="43424" spans="1:3" x14ac:dyDescent="0.2">
      <c r="A43424" t="s">
        <v>13899</v>
      </c>
      <c r="B43424" t="str">
        <f>HYPERLINK("https://lindat.mff.cuni.cz/services/teitok/pdtc10/index.php?action=vallex&amp;frame=v-w5999f1", "sesypat se (v-w5999f1)")</f>
        <v>sesypat se (v-w5999f1)</v>
      </c>
    </row>
    <row r="43425" spans="1:4" x14ac:dyDescent="0.2">
      <c r="B43425" t="s">
        <v>1</v>
      </c>
    </row>
    <row r="43427" spans="1:4" x14ac:dyDescent="0.2">
      <c r="A43427" t="s">
        <v>13900</v>
      </c>
      <c r="B43427" t="str">
        <f>HYPERLINK("https://lindat.mff.cuni.cz/services/teitok/pdtc10/index.php?action=vallex&amp;frame=v-w6002f1", "setkat se (v-w6002f1)")</f>
        <v>setkat se (v-w6002f1)</v>
      </c>
    </row>
    <row r="43428" spans="1:4" x14ac:dyDescent="0.2">
      <c r="B43428" t="s">
        <v>1</v>
      </c>
      <c r="C43428" t="s">
        <v>13901</v>
      </c>
      <c r="D43428" t="s">
        <v>23867</v>
      </c>
    </row>
    <row r="43429" spans="1:4" x14ac:dyDescent="0.2">
      <c r="B43429" t="s">
        <v>411</v>
      </c>
      <c r="C43429" t="s">
        <v>13902</v>
      </c>
      <c r="D43429" t="s">
        <v>7127</v>
      </c>
    </row>
    <row r="43431" spans="1:4" x14ac:dyDescent="0.2">
      <c r="A43431" t="s">
        <v>13903</v>
      </c>
      <c r="B43431" t="str">
        <f>HYPERLINK("https://lindat.mff.cuni.cz/services/teitok/pdtc10/index.php?action=vallex&amp;frame=v-w6002f2", "setkat se (v-w6002f2)")</f>
        <v>setkat se (v-w6002f2)</v>
      </c>
    </row>
    <row r="43432" spans="1:4" x14ac:dyDescent="0.2">
      <c r="B43432" t="s">
        <v>1</v>
      </c>
      <c r="C43432" t="s">
        <v>13904</v>
      </c>
      <c r="D43432" t="s">
        <v>23818</v>
      </c>
    </row>
    <row r="43433" spans="1:4" x14ac:dyDescent="0.2">
      <c r="B43433" t="s">
        <v>411</v>
      </c>
      <c r="C43433" t="s">
        <v>13905</v>
      </c>
      <c r="D43433" t="s">
        <v>23819</v>
      </c>
    </row>
    <row r="43435" spans="1:4" x14ac:dyDescent="0.2">
      <c r="A43435" t="s">
        <v>13906</v>
      </c>
      <c r="B43435" t="str">
        <f>HYPERLINK("https://lindat.mff.cuni.cz/services/teitok/pdtc10/index.php?action=vallex&amp;frame=v-w6004f1", "setkávat se (v-w6004f1)")</f>
        <v>setkávat se (v-w6004f1)</v>
      </c>
    </row>
    <row r="43436" spans="1:4" x14ac:dyDescent="0.2">
      <c r="B43436" t="s">
        <v>1</v>
      </c>
      <c r="C43436" t="s">
        <v>13907</v>
      </c>
      <c r="D43436" t="s">
        <v>23818</v>
      </c>
    </row>
    <row r="43437" spans="1:4" x14ac:dyDescent="0.2">
      <c r="B43437" t="s">
        <v>411</v>
      </c>
      <c r="C43437" t="s">
        <v>9067</v>
      </c>
      <c r="D43437" t="s">
        <v>23819</v>
      </c>
    </row>
    <row r="43439" spans="1:4" x14ac:dyDescent="0.2">
      <c r="A43439" t="s">
        <v>13908</v>
      </c>
      <c r="B43439" t="str">
        <f>HYPERLINK("https://lindat.mff.cuni.cz/services/teitok/pdtc10/index.php?action=vallex&amp;frame=v-w6004f2", "setkávat se (v-w6004f2)")</f>
        <v>setkávat se (v-w6004f2)</v>
      </c>
    </row>
    <row r="43440" spans="1:4" x14ac:dyDescent="0.2">
      <c r="B43440" t="s">
        <v>1</v>
      </c>
      <c r="C43440" t="s">
        <v>13909</v>
      </c>
      <c r="D43440" t="s">
        <v>23867</v>
      </c>
    </row>
    <row r="43441" spans="1:4" x14ac:dyDescent="0.2">
      <c r="B43441" t="s">
        <v>411</v>
      </c>
      <c r="C43441" t="s">
        <v>1107</v>
      </c>
      <c r="D43441" t="s">
        <v>7127</v>
      </c>
    </row>
    <row r="43443" spans="1:4" x14ac:dyDescent="0.2">
      <c r="A43443" t="s">
        <v>13910</v>
      </c>
      <c r="B43443" t="str">
        <f>HYPERLINK("https://lindat.mff.cuni.cz/services/teitok/pdtc10/index.php?action=vallex&amp;frame=v-w12043_ZUf1_ZU", "setmít se (v-w12043_ZUf1_ZU)")</f>
        <v>setmít se (v-w12043_ZUf1_ZU)</v>
      </c>
    </row>
    <row r="43445" spans="1:4" x14ac:dyDescent="0.2">
      <c r="A43445" t="s">
        <v>13911</v>
      </c>
      <c r="B43445" t="str">
        <f>HYPERLINK("https://lindat.mff.cuni.cz/services/teitok/pdtc10/index.php?action=vallex&amp;frame=v-w6006f1", "setrvat (v-w6006f1)")</f>
        <v>setrvat (v-w6006f1)</v>
      </c>
    </row>
    <row r="43446" spans="1:4" x14ac:dyDescent="0.2">
      <c r="B43446" t="s">
        <v>1</v>
      </c>
      <c r="C43446" t="s">
        <v>364</v>
      </c>
    </row>
    <row r="43447" spans="1:4" x14ac:dyDescent="0.2">
      <c r="B43447" t="s">
        <v>5</v>
      </c>
    </row>
    <row r="43449" spans="1:4" x14ac:dyDescent="0.2">
      <c r="A43449" t="s">
        <v>13912</v>
      </c>
      <c r="B43449" t="str">
        <f>HYPERLINK("https://lindat.mff.cuni.cz/services/teitok/pdtc10/index.php?action=vallex&amp;frame=v-w6006f2", "setrvat (v-w6006f2)")</f>
        <v>setrvat (v-w6006f2)</v>
      </c>
    </row>
    <row r="43450" spans="1:4" x14ac:dyDescent="0.2">
      <c r="B43450" t="s">
        <v>1</v>
      </c>
      <c r="C43450" t="s">
        <v>2458</v>
      </c>
      <c r="D43450" t="s">
        <v>23039</v>
      </c>
    </row>
    <row r="43451" spans="1:4" x14ac:dyDescent="0.2">
      <c r="B43451" t="s">
        <v>4836</v>
      </c>
      <c r="C43451" t="s">
        <v>11211</v>
      </c>
      <c r="D43451" t="s">
        <v>24160</v>
      </c>
    </row>
    <row r="43452" spans="1:4" x14ac:dyDescent="0.2">
      <c r="B43452" t="s">
        <v>6479</v>
      </c>
      <c r="D43452" t="s">
        <v>24161</v>
      </c>
    </row>
    <row r="43453" spans="1:4" x14ac:dyDescent="0.2">
      <c r="B43453" t="s">
        <v>6478</v>
      </c>
      <c r="D43453" t="s">
        <v>24162</v>
      </c>
    </row>
    <row r="43455" spans="1:4" x14ac:dyDescent="0.2">
      <c r="A43455" t="s">
        <v>13913</v>
      </c>
      <c r="B43455" t="str">
        <f>HYPERLINK("https://lindat.mff.cuni.cz/services/teitok/pdtc10/index.php?action=vallex&amp;frame=v-w6007f1", "setrvávat (v-w6007f1)")</f>
        <v>setrvávat (v-w6007f1)</v>
      </c>
    </row>
    <row r="43456" spans="1:4" x14ac:dyDescent="0.2">
      <c r="B43456" t="s">
        <v>1</v>
      </c>
      <c r="C43456" t="s">
        <v>715</v>
      </c>
      <c r="D43456" t="s">
        <v>24163</v>
      </c>
    </row>
    <row r="43457" spans="1:4" x14ac:dyDescent="0.2">
      <c r="B43457" t="s">
        <v>13914</v>
      </c>
      <c r="C43457" t="s">
        <v>299</v>
      </c>
      <c r="D43457" t="s">
        <v>24076</v>
      </c>
    </row>
    <row r="43459" spans="1:4" x14ac:dyDescent="0.2">
      <c r="A43459" t="s">
        <v>13915</v>
      </c>
      <c r="B43459" t="str">
        <f>HYPERLINK("https://lindat.mff.cuni.cz/services/teitok/pdtc10/index.php?action=vallex&amp;frame=v-w6007f3", "setrvávat (v-w6007f3)")</f>
        <v>setrvávat (v-w6007f3)</v>
      </c>
    </row>
    <row r="43460" spans="1:4" x14ac:dyDescent="0.2">
      <c r="B43460" t="s">
        <v>1</v>
      </c>
      <c r="C43460" t="s">
        <v>140</v>
      </c>
      <c r="D43460" t="s">
        <v>23245</v>
      </c>
    </row>
    <row r="43461" spans="1:4" x14ac:dyDescent="0.2">
      <c r="B43461" t="s">
        <v>5</v>
      </c>
      <c r="D43461" t="s">
        <v>23246</v>
      </c>
    </row>
    <row r="43463" spans="1:4" x14ac:dyDescent="0.2">
      <c r="A43463" t="s">
        <v>13916</v>
      </c>
      <c r="B43463" t="str">
        <f>HYPERLINK("https://lindat.mff.cuni.cz/services/teitok/pdtc10/index.php?action=vallex&amp;frame=v-w6007f2", "setrvávat (v-w6007f2)")</f>
        <v>setrvávat (v-w6007f2)</v>
      </c>
    </row>
    <row r="43464" spans="1:4" x14ac:dyDescent="0.2">
      <c r="B43464" t="s">
        <v>1</v>
      </c>
      <c r="C43464" t="s">
        <v>127</v>
      </c>
      <c r="D43464" t="s">
        <v>23039</v>
      </c>
    </row>
    <row r="43465" spans="1:4" x14ac:dyDescent="0.2">
      <c r="B43465" t="s">
        <v>4836</v>
      </c>
      <c r="D43465" t="s">
        <v>24160</v>
      </c>
    </row>
    <row r="43466" spans="1:4" x14ac:dyDescent="0.2">
      <c r="B43466" t="s">
        <v>6479</v>
      </c>
      <c r="D43466" t="s">
        <v>24161</v>
      </c>
    </row>
    <row r="43467" spans="1:4" x14ac:dyDescent="0.2">
      <c r="B43467" t="s">
        <v>6478</v>
      </c>
      <c r="D43467" t="s">
        <v>24162</v>
      </c>
    </row>
    <row r="43469" spans="1:4" x14ac:dyDescent="0.2">
      <c r="A43469" t="s">
        <v>13917</v>
      </c>
      <c r="B43469" t="str">
        <f>HYPERLINK("https://lindat.mff.cuni.cz/services/teitok/pdtc10/index.php?action=vallex&amp;frame=v-w10295f2", "setřást (v-w10295f2)")</f>
        <v>setřást (v-w10295f2)</v>
      </c>
    </row>
    <row r="43470" spans="1:4" x14ac:dyDescent="0.2">
      <c r="B43470" t="s">
        <v>1</v>
      </c>
      <c r="C43470" t="s">
        <v>33</v>
      </c>
    </row>
    <row r="43471" spans="1:4" x14ac:dyDescent="0.2">
      <c r="B43471" t="s">
        <v>8</v>
      </c>
      <c r="C43471" t="s">
        <v>1128</v>
      </c>
    </row>
    <row r="43472" spans="1:4" x14ac:dyDescent="0.2">
      <c r="B43472" t="s">
        <v>333</v>
      </c>
    </row>
    <row r="43474" spans="1:4" x14ac:dyDescent="0.2">
      <c r="A43474" t="s">
        <v>13918</v>
      </c>
      <c r="B43474" t="str">
        <f>HYPERLINK("https://lindat.mff.cuni.cz/services/teitok/pdtc10/index.php?action=vallex&amp;frame=v-w6008f1", "setřít (v-w6008f1)")</f>
        <v>setřít (v-w6008f1)</v>
      </c>
    </row>
    <row r="43475" spans="1:4" x14ac:dyDescent="0.2">
      <c r="B43475" t="s">
        <v>1</v>
      </c>
    </row>
    <row r="43476" spans="1:4" x14ac:dyDescent="0.2">
      <c r="B43476" t="s">
        <v>8</v>
      </c>
    </row>
    <row r="43478" spans="1:4" x14ac:dyDescent="0.2">
      <c r="A43478" t="s">
        <v>13919</v>
      </c>
      <c r="B43478" t="str">
        <f>HYPERLINK("https://lindat.mff.cuni.cz/services/teitok/pdtc10/index.php?action=vallex&amp;frame=v-w6008f2", "setřít (v-w6008f2)")</f>
        <v>setřít (v-w6008f2)</v>
      </c>
    </row>
    <row r="43479" spans="1:4" x14ac:dyDescent="0.2">
      <c r="B43479" t="s">
        <v>1</v>
      </c>
    </row>
    <row r="43480" spans="1:4" x14ac:dyDescent="0.2">
      <c r="B43480" t="s">
        <v>8</v>
      </c>
    </row>
    <row r="43482" spans="1:4" x14ac:dyDescent="0.2">
      <c r="A43482" t="s">
        <v>13920</v>
      </c>
      <c r="B43482" t="str">
        <f>HYPERLINK("https://lindat.mff.cuni.cz/services/teitok/pdtc10/index.php?action=vallex&amp;frame=v-w6009f1", "sevřít (v-w6009f1)")</f>
        <v>sevřít (v-w6009f1)</v>
      </c>
    </row>
    <row r="43483" spans="1:4" x14ac:dyDescent="0.2">
      <c r="B43483" t="s">
        <v>1</v>
      </c>
      <c r="D43483" t="s">
        <v>2367</v>
      </c>
    </row>
    <row r="43484" spans="1:4" x14ac:dyDescent="0.2">
      <c r="B43484" t="s">
        <v>8</v>
      </c>
      <c r="D43484" t="s">
        <v>18648</v>
      </c>
    </row>
    <row r="43486" spans="1:4" x14ac:dyDescent="0.2">
      <c r="A43486" t="s">
        <v>13921</v>
      </c>
      <c r="B43486" t="str">
        <f>HYPERLINK("https://lindat.mff.cuni.cz/services/teitok/pdtc10/index.php?action=vallex&amp;frame=v-whsa_366hsa_367", "sevřít se (v-whsa_366hsa_367)")</f>
        <v>sevřít se (v-whsa_366hsa_367)</v>
      </c>
    </row>
    <row r="43487" spans="1:4" x14ac:dyDescent="0.2">
      <c r="B43487" t="s">
        <v>1</v>
      </c>
    </row>
    <row r="43489" spans="1:4" x14ac:dyDescent="0.2">
      <c r="A43489" t="s">
        <v>13922</v>
      </c>
      <c r="B43489" t="str">
        <f>HYPERLINK("https://lindat.mff.cuni.cz/services/teitok/pdtc10/index.php?action=vallex&amp;frame=v-w6015f1", "seznamovat (v-w6015f1)")</f>
        <v>seznamovat (v-w6015f1)</v>
      </c>
    </row>
    <row r="43490" spans="1:4" x14ac:dyDescent="0.2">
      <c r="B43490" t="s">
        <v>1</v>
      </c>
    </row>
    <row r="43491" spans="1:4" x14ac:dyDescent="0.2">
      <c r="B43491" t="s">
        <v>411</v>
      </c>
    </row>
    <row r="43492" spans="1:4" x14ac:dyDescent="0.2">
      <c r="B43492" t="s">
        <v>58</v>
      </c>
    </row>
    <row r="43494" spans="1:4" x14ac:dyDescent="0.2">
      <c r="A43494" t="s">
        <v>13923</v>
      </c>
      <c r="B43494" t="str">
        <f>HYPERLINK("https://lindat.mff.cuni.cz/services/teitok/pdtc10/index.php?action=vallex&amp;frame=v-w6016f1", "seznamovat se (v-w6016f1)")</f>
        <v>seznamovat se (v-w6016f1)</v>
      </c>
    </row>
    <row r="43495" spans="1:4" x14ac:dyDescent="0.2">
      <c r="B43495" t="s">
        <v>1</v>
      </c>
      <c r="C43495" t="s">
        <v>1992</v>
      </c>
      <c r="D43495" t="s">
        <v>373</v>
      </c>
    </row>
    <row r="43496" spans="1:4" x14ac:dyDescent="0.2">
      <c r="B43496" t="s">
        <v>411</v>
      </c>
      <c r="C43496" t="s">
        <v>2253</v>
      </c>
      <c r="D43496" t="s">
        <v>1340</v>
      </c>
    </row>
    <row r="43498" spans="1:4" x14ac:dyDescent="0.2">
      <c r="A43498" t="s">
        <v>13924</v>
      </c>
      <c r="B43498" t="str">
        <f>HYPERLINK("https://lindat.mff.cuni.cz/services/teitok/pdtc10/index.php?action=vallex&amp;frame=v-w6016f2_ZU", "seznamovat se (v-w6016f2_ZU)")</f>
        <v>seznamovat se (v-w6016f2_ZU)</v>
      </c>
    </row>
    <row r="43499" spans="1:4" x14ac:dyDescent="0.2">
      <c r="B43499" t="s">
        <v>1</v>
      </c>
    </row>
    <row r="43500" spans="1:4" x14ac:dyDescent="0.2">
      <c r="B43500" t="s">
        <v>411</v>
      </c>
    </row>
    <row r="43502" spans="1:4" x14ac:dyDescent="0.2">
      <c r="A43502" t="s">
        <v>13925</v>
      </c>
      <c r="B43502" t="str">
        <f>HYPERLINK("https://lindat.mff.cuni.cz/services/teitok/pdtc10/index.php?action=vallex&amp;frame=v-w10047f2", "seznat (v-w10047f2)")</f>
        <v>seznat (v-w10047f2)</v>
      </c>
    </row>
    <row r="43503" spans="1:4" x14ac:dyDescent="0.2">
      <c r="B43503" t="s">
        <v>1</v>
      </c>
      <c r="C43503" t="s">
        <v>3384</v>
      </c>
      <c r="D43503" t="s">
        <v>23149</v>
      </c>
    </row>
    <row r="43504" spans="1:4" x14ac:dyDescent="0.2">
      <c r="B43504" t="s">
        <v>13926</v>
      </c>
      <c r="C43504" t="s">
        <v>13927</v>
      </c>
      <c r="D43504" t="s">
        <v>23151</v>
      </c>
    </row>
    <row r="43505" spans="1:4" x14ac:dyDescent="0.2">
      <c r="B43505" t="s">
        <v>13926</v>
      </c>
      <c r="C43505" t="s">
        <v>13927</v>
      </c>
      <c r="D43505" t="s">
        <v>23151</v>
      </c>
    </row>
    <row r="43506" spans="1:4" x14ac:dyDescent="0.2">
      <c r="B43506" t="s">
        <v>13928</v>
      </c>
      <c r="C43506" t="s">
        <v>13929</v>
      </c>
      <c r="D43506" t="s">
        <v>23150</v>
      </c>
    </row>
    <row r="43508" spans="1:4" x14ac:dyDescent="0.2">
      <c r="A43508" t="s">
        <v>13930</v>
      </c>
      <c r="B43508" t="str">
        <f>HYPERLINK("https://lindat.mff.cuni.cz/services/teitok/pdtc10/index.php?action=vallex&amp;frame=v-w10047f3", "seznat (v-w10047f3)")</f>
        <v>seznat (v-w10047f3)</v>
      </c>
    </row>
    <row r="43509" spans="1:4" x14ac:dyDescent="0.2">
      <c r="B43509" t="s">
        <v>1</v>
      </c>
      <c r="C43509" t="s">
        <v>682</v>
      </c>
      <c r="D43509" t="s">
        <v>23620</v>
      </c>
    </row>
    <row r="43510" spans="1:4" x14ac:dyDescent="0.2">
      <c r="B43510" t="s">
        <v>41</v>
      </c>
      <c r="C43510" t="s">
        <v>2293</v>
      </c>
      <c r="D43510" t="s">
        <v>23864</v>
      </c>
    </row>
    <row r="43512" spans="1:4" x14ac:dyDescent="0.2">
      <c r="A43512" t="s">
        <v>13931</v>
      </c>
      <c r="B43512" t="str">
        <f>HYPERLINK("https://lindat.mff.cuni.cz/services/teitok/pdtc10/index.php?action=vallex&amp;frame=v-w6012f1", "seznámit (v-w6012f1)")</f>
        <v>seznámit (v-w6012f1)</v>
      </c>
    </row>
    <row r="43513" spans="1:4" x14ac:dyDescent="0.2">
      <c r="B43513" t="s">
        <v>1</v>
      </c>
      <c r="C43513" t="s">
        <v>13932</v>
      </c>
    </row>
    <row r="43514" spans="1:4" x14ac:dyDescent="0.2">
      <c r="B43514" t="s">
        <v>411</v>
      </c>
      <c r="C43514" t="s">
        <v>13933</v>
      </c>
    </row>
    <row r="43515" spans="1:4" x14ac:dyDescent="0.2">
      <c r="B43515" t="s">
        <v>58</v>
      </c>
      <c r="C43515" t="s">
        <v>13934</v>
      </c>
    </row>
    <row r="43517" spans="1:4" x14ac:dyDescent="0.2">
      <c r="A43517" t="s">
        <v>13935</v>
      </c>
      <c r="B43517" t="str">
        <f>HYPERLINK("https://lindat.mff.cuni.cz/services/teitok/pdtc10/index.php?action=vallex&amp;frame=v-w6013f1", "seznámit se (v-w6013f1)")</f>
        <v>seznámit se (v-w6013f1)</v>
      </c>
    </row>
    <row r="43518" spans="1:4" x14ac:dyDescent="0.2">
      <c r="B43518" t="s">
        <v>1</v>
      </c>
      <c r="C43518" t="s">
        <v>13936</v>
      </c>
      <c r="D43518" t="s">
        <v>373</v>
      </c>
    </row>
    <row r="43519" spans="1:4" x14ac:dyDescent="0.2">
      <c r="B43519" t="s">
        <v>411</v>
      </c>
      <c r="C43519" t="s">
        <v>1107</v>
      </c>
      <c r="D43519" t="s">
        <v>1340</v>
      </c>
    </row>
    <row r="43521" spans="1:4" x14ac:dyDescent="0.2">
      <c r="A43521" t="s">
        <v>13937</v>
      </c>
      <c r="B43521" t="str">
        <f>HYPERLINK("https://lindat.mff.cuni.cz/services/teitok/pdtc10/index.php?action=vallex&amp;frame=v-w6013f3_ZU", "seznámit se (v-w6013f3_ZU)")</f>
        <v>seznámit se (v-w6013f3_ZU)</v>
      </c>
    </row>
    <row r="43522" spans="1:4" x14ac:dyDescent="0.2">
      <c r="B43522" t="s">
        <v>1</v>
      </c>
    </row>
    <row r="43523" spans="1:4" x14ac:dyDescent="0.2">
      <c r="B43523" t="s">
        <v>411</v>
      </c>
    </row>
    <row r="43525" spans="1:4" x14ac:dyDescent="0.2">
      <c r="A43525" t="s">
        <v>13937</v>
      </c>
      <c r="B43525" t="str">
        <f>HYPERLINK("https://lindat.mff.cuni.cz/services/teitok/pdtc10/index.php?action=vallex&amp;frame=v-w6013f2_ZU", "seznámit se (v-w6013f2_ZU) - substituted with v-w6013f3_ZU")</f>
        <v>seznámit se (v-w6013f2_ZU) - substituted with v-w6013f3_ZU</v>
      </c>
    </row>
    <row r="43526" spans="1:4" x14ac:dyDescent="0.2">
      <c r="B43526" t="s">
        <v>1</v>
      </c>
    </row>
    <row r="43527" spans="1:4" x14ac:dyDescent="0.2">
      <c r="B43527" t="s">
        <v>411</v>
      </c>
    </row>
    <row r="43529" spans="1:4" x14ac:dyDescent="0.2">
      <c r="A43529" t="s">
        <v>13938</v>
      </c>
      <c r="B43529" t="str">
        <f>HYPERLINK("https://lindat.mff.cuni.cz/services/teitok/pdtc10/index.php?action=vallex&amp;frame=v-w6017f1", "sezvat (v-w6017f1)")</f>
        <v>sezvat (v-w6017f1)</v>
      </c>
    </row>
    <row r="43530" spans="1:4" x14ac:dyDescent="0.2">
      <c r="B43530" t="s">
        <v>1</v>
      </c>
      <c r="D43530" t="s">
        <v>16923</v>
      </c>
    </row>
    <row r="43531" spans="1:4" x14ac:dyDescent="0.2">
      <c r="B43531" t="s">
        <v>8</v>
      </c>
      <c r="D43531" t="s">
        <v>17394</v>
      </c>
    </row>
    <row r="43533" spans="1:4" x14ac:dyDescent="0.2">
      <c r="A43533" t="s">
        <v>13939</v>
      </c>
      <c r="B43533" t="str">
        <f>HYPERLINK("https://lindat.mff.cuni.cz/services/teitok/pdtc10/index.php?action=vallex&amp;frame=v-w5942f2", "sečíst (v-w5942f2)")</f>
        <v>sečíst (v-w5942f2)</v>
      </c>
    </row>
    <row r="43534" spans="1:4" x14ac:dyDescent="0.2">
      <c r="B43534" t="s">
        <v>1</v>
      </c>
    </row>
    <row r="43535" spans="1:4" x14ac:dyDescent="0.2">
      <c r="B43535" t="s">
        <v>8</v>
      </c>
    </row>
    <row r="43536" spans="1:4" x14ac:dyDescent="0.2">
      <c r="B43536" t="s">
        <v>2604</v>
      </c>
    </row>
    <row r="43538" spans="1:4" x14ac:dyDescent="0.2">
      <c r="A43538" t="s">
        <v>13940</v>
      </c>
      <c r="B43538" t="str">
        <f>HYPERLINK("https://lindat.mff.cuni.cz/services/teitok/pdtc10/index.php?action=vallex&amp;frame=v-w5942f4_ZU", "sečíst (v-w5942f4_ZU)")</f>
        <v>sečíst (v-w5942f4_ZU)</v>
      </c>
    </row>
    <row r="43539" spans="1:4" x14ac:dyDescent="0.2">
      <c r="B43539" t="s">
        <v>1</v>
      </c>
    </row>
    <row r="43540" spans="1:4" x14ac:dyDescent="0.2">
      <c r="B43540" t="s">
        <v>13941</v>
      </c>
    </row>
    <row r="43542" spans="1:4" x14ac:dyDescent="0.2">
      <c r="A43542" t="s">
        <v>13940</v>
      </c>
      <c r="B43542" t="str">
        <f>HYPERLINK("https://lindat.mff.cuni.cz/services/teitok/pdtc10/index.php?action=vallex&amp;frame=v-w5942f1", "sečíst (v-w5942f1) - substituted with v-w5942f4_ZU")</f>
        <v>sečíst (v-w5942f1) - substituted with v-w5942f4_ZU</v>
      </c>
    </row>
    <row r="43543" spans="1:4" x14ac:dyDescent="0.2">
      <c r="B43543" t="s">
        <v>1</v>
      </c>
    </row>
    <row r="43544" spans="1:4" x14ac:dyDescent="0.2">
      <c r="B43544" t="s">
        <v>13941</v>
      </c>
      <c r="C43544" t="s">
        <v>34</v>
      </c>
    </row>
    <row r="43546" spans="1:4" x14ac:dyDescent="0.2">
      <c r="A43546" t="s">
        <v>13940</v>
      </c>
      <c r="B43546" t="str">
        <f>HYPERLINK("https://lindat.mff.cuni.cz/services/teitok/pdtc10/index.php?action=vallex&amp;frame=v-w5942f3_ZU", "sečíst (v-w5942f3_ZU) - substituted with v-w5942f4_ZU")</f>
        <v>sečíst (v-w5942f3_ZU) - substituted with v-w5942f4_ZU</v>
      </c>
    </row>
    <row r="43547" spans="1:4" x14ac:dyDescent="0.2">
      <c r="B43547" t="s">
        <v>1</v>
      </c>
      <c r="C43547" t="s">
        <v>13942</v>
      </c>
      <c r="D43547" t="s">
        <v>10633</v>
      </c>
    </row>
    <row r="43548" spans="1:4" x14ac:dyDescent="0.2">
      <c r="B43548" t="s">
        <v>13941</v>
      </c>
      <c r="C43548" t="s">
        <v>13943</v>
      </c>
      <c r="D43548" t="s">
        <v>2747</v>
      </c>
    </row>
    <row r="43550" spans="1:4" x14ac:dyDescent="0.2">
      <c r="A43550" t="s">
        <v>13944</v>
      </c>
      <c r="B43550" t="str">
        <f>HYPERLINK("https://lindat.mff.cuni.cz/services/teitok/pdtc10/index.php?action=vallex&amp;frame=v-w5942hsa_784", "sečíst (v-w5942hsa_784)")</f>
        <v>sečíst (v-w5942hsa_784)</v>
      </c>
    </row>
    <row r="43551" spans="1:4" x14ac:dyDescent="0.2">
      <c r="B43551" t="s">
        <v>1</v>
      </c>
    </row>
    <row r="43552" spans="1:4" x14ac:dyDescent="0.2">
      <c r="B43552" t="s">
        <v>8</v>
      </c>
    </row>
    <row r="43554" spans="1:2" x14ac:dyDescent="0.2">
      <c r="A43554" t="s">
        <v>13945</v>
      </c>
      <c r="B43554" t="str">
        <f>HYPERLINK("https://lindat.mff.cuni.cz/services/teitok/pdtc10/index.php?action=vallex&amp;frame=v-w10973f2", "sečítat (v-w10973f2)")</f>
        <v>sečítat (v-w10973f2)</v>
      </c>
    </row>
    <row r="43555" spans="1:2" x14ac:dyDescent="0.2">
      <c r="B43555" t="s">
        <v>1</v>
      </c>
    </row>
    <row r="43556" spans="1:2" x14ac:dyDescent="0.2">
      <c r="B43556" t="s">
        <v>8</v>
      </c>
    </row>
    <row r="43558" spans="1:2" x14ac:dyDescent="0.2">
      <c r="A43558" t="s">
        <v>13946</v>
      </c>
      <c r="B43558" t="str">
        <f>HYPERLINK("https://lindat.mff.cuni.cz/services/teitok/pdtc10/index.php?action=vallex&amp;frame=v-w5971f1", "seřadit (v-w5971f1)")</f>
        <v>seřadit (v-w5971f1)</v>
      </c>
    </row>
    <row r="43559" spans="1:2" x14ac:dyDescent="0.2">
      <c r="B43559" t="s">
        <v>1</v>
      </c>
    </row>
    <row r="43560" spans="1:2" x14ac:dyDescent="0.2">
      <c r="B43560" t="s">
        <v>8</v>
      </c>
    </row>
    <row r="43561" spans="1:2" x14ac:dyDescent="0.2">
      <c r="B43561" t="s">
        <v>130</v>
      </c>
    </row>
    <row r="43563" spans="1:2" x14ac:dyDescent="0.2">
      <c r="A43563" t="s">
        <v>13947</v>
      </c>
      <c r="B43563" t="str">
        <f>HYPERLINK("https://lindat.mff.cuni.cz/services/teitok/pdtc10/index.php?action=vallex&amp;frame=v-w12100_ZUf1_ZU", "seřadit se (v-w12100_ZUf1_ZU)")</f>
        <v>seřadit se (v-w12100_ZUf1_ZU)</v>
      </c>
    </row>
    <row r="43564" spans="1:2" x14ac:dyDescent="0.2">
      <c r="B43564" t="s">
        <v>1</v>
      </c>
    </row>
    <row r="43565" spans="1:2" x14ac:dyDescent="0.2">
      <c r="B43565" t="s">
        <v>3202</v>
      </c>
    </row>
    <row r="43567" spans="1:2" x14ac:dyDescent="0.2">
      <c r="A43567" t="s">
        <v>13948</v>
      </c>
      <c r="B43567" t="str">
        <f>HYPERLINK("https://lindat.mff.cuni.cz/services/teitok/pdtc10/index.php?action=vallex&amp;frame=v-w12130_ZUf1_ZU", "seřazovat (v-w12130_ZUf1_ZU)")</f>
        <v>seřazovat (v-w12130_ZUf1_ZU)</v>
      </c>
    </row>
    <row r="43568" spans="1:2" x14ac:dyDescent="0.2">
      <c r="B43568" t="s">
        <v>1</v>
      </c>
    </row>
    <row r="43569" spans="1:2" x14ac:dyDescent="0.2">
      <c r="B43569" t="s">
        <v>8</v>
      </c>
    </row>
    <row r="43570" spans="1:2" x14ac:dyDescent="0.2">
      <c r="B43570" t="s">
        <v>130</v>
      </c>
    </row>
    <row r="43572" spans="1:2" x14ac:dyDescent="0.2">
      <c r="A43572" t="s">
        <v>13949</v>
      </c>
      <c r="B43572" t="str">
        <f>HYPERLINK("https://lindat.mff.cuni.cz/services/teitok/pdtc10/index.php?action=vallex&amp;frame=v-w5975f1", "seřizovat (v-w5975f1)")</f>
        <v>seřizovat (v-w5975f1)</v>
      </c>
    </row>
    <row r="43573" spans="1:2" x14ac:dyDescent="0.2">
      <c r="B43573" t="s">
        <v>1</v>
      </c>
    </row>
    <row r="43574" spans="1:2" x14ac:dyDescent="0.2">
      <c r="B43574" t="s">
        <v>8</v>
      </c>
    </row>
    <row r="43576" spans="1:2" x14ac:dyDescent="0.2">
      <c r="A43576" t="s">
        <v>13950</v>
      </c>
      <c r="B43576" t="str">
        <f>HYPERLINK("https://lindat.mff.cuni.cz/services/teitok/pdtc10/index.php?action=vallex&amp;frame=v-w5976f1", "seřvat (v-w5976f1)")</f>
        <v>seřvat (v-w5976f1)</v>
      </c>
    </row>
    <row r="43577" spans="1:2" x14ac:dyDescent="0.2">
      <c r="B43577" t="s">
        <v>1</v>
      </c>
    </row>
    <row r="43578" spans="1:2" x14ac:dyDescent="0.2">
      <c r="B43578" t="s">
        <v>8</v>
      </c>
    </row>
    <row r="43580" spans="1:2" x14ac:dyDescent="0.2">
      <c r="A43580" t="s">
        <v>13951</v>
      </c>
      <c r="B43580" t="str">
        <f>HYPERLINK("https://lindat.mff.cuni.cz/services/teitok/pdtc10/index.php?action=vallex&amp;frame=v-w12270_ZUf1_ZU", "seřvávat (v-w12270_ZUf1_ZU)")</f>
        <v>seřvávat (v-w12270_ZUf1_ZU)</v>
      </c>
    </row>
    <row r="43581" spans="1:2" x14ac:dyDescent="0.2">
      <c r="B43581" t="s">
        <v>1</v>
      </c>
    </row>
    <row r="43582" spans="1:2" x14ac:dyDescent="0.2">
      <c r="B43582" t="s">
        <v>8</v>
      </c>
    </row>
    <row r="43584" spans="1:2" x14ac:dyDescent="0.2">
      <c r="A43584" t="s">
        <v>13952</v>
      </c>
      <c r="B43584" t="str">
        <f>HYPERLINK("https://lindat.mff.cuni.cz/services/teitok/pdtc10/index.php?action=vallex&amp;frame=v-w5972f1", "seřídit (v-w5972f1)")</f>
        <v>seřídit (v-w5972f1)</v>
      </c>
    </row>
    <row r="43585" spans="1:4" x14ac:dyDescent="0.2">
      <c r="B43585" t="s">
        <v>1</v>
      </c>
    </row>
    <row r="43586" spans="1:4" x14ac:dyDescent="0.2">
      <c r="B43586" t="s">
        <v>8</v>
      </c>
    </row>
    <row r="43588" spans="1:4" x14ac:dyDescent="0.2">
      <c r="A43588" t="s">
        <v>13953</v>
      </c>
      <c r="B43588" t="str">
        <f>HYPERLINK("https://lindat.mff.cuni.cz/services/teitok/pdtc10/index.php?action=vallex&amp;frame=v-w10412f2", "seříznout (v-w10412f2)")</f>
        <v>seříznout (v-w10412f2)</v>
      </c>
    </row>
    <row r="43589" spans="1:4" x14ac:dyDescent="0.2">
      <c r="B43589" t="s">
        <v>1</v>
      </c>
      <c r="D43589" t="s">
        <v>23703</v>
      </c>
    </row>
    <row r="43590" spans="1:4" x14ac:dyDescent="0.2">
      <c r="B43590" t="s">
        <v>8</v>
      </c>
      <c r="D43590" t="s">
        <v>23704</v>
      </c>
    </row>
    <row r="43591" spans="1:4" x14ac:dyDescent="0.2">
      <c r="B43591" t="s">
        <v>24</v>
      </c>
      <c r="D43591" t="s">
        <v>23770</v>
      </c>
    </row>
    <row r="43592" spans="1:4" x14ac:dyDescent="0.2">
      <c r="B43592" t="s">
        <v>61</v>
      </c>
      <c r="D43592" t="s">
        <v>23771</v>
      </c>
    </row>
    <row r="43594" spans="1:4" x14ac:dyDescent="0.2">
      <c r="A43594" t="s">
        <v>13954</v>
      </c>
      <c r="B43594" t="str">
        <f>HYPERLINK("https://lindat.mff.cuni.cz/services/teitok/pdtc10/index.php?action=vallex&amp;frame=v-w10052f2", "sešikovat (v-w10052f2)")</f>
        <v>sešikovat (v-w10052f2)</v>
      </c>
    </row>
    <row r="43595" spans="1:4" x14ac:dyDescent="0.2">
      <c r="B43595" t="s">
        <v>1</v>
      </c>
    </row>
    <row r="43596" spans="1:4" x14ac:dyDescent="0.2">
      <c r="B43596" t="s">
        <v>8</v>
      </c>
    </row>
    <row r="43598" spans="1:4" x14ac:dyDescent="0.2">
      <c r="A43598" t="s">
        <v>13955</v>
      </c>
      <c r="B43598" t="str">
        <f>HYPERLINK("https://lindat.mff.cuni.cz/services/teitok/pdtc10/index.php?action=vallex&amp;frame=v-w10316f2", "seškrtat (v-w10316f2)")</f>
        <v>seškrtat (v-w10316f2)</v>
      </c>
    </row>
    <row r="43599" spans="1:4" x14ac:dyDescent="0.2">
      <c r="B43599" t="s">
        <v>1</v>
      </c>
    </row>
    <row r="43600" spans="1:4" x14ac:dyDescent="0.2">
      <c r="B43600" t="s">
        <v>8</v>
      </c>
    </row>
    <row r="43601" spans="1:3" x14ac:dyDescent="0.2">
      <c r="B43601" t="s">
        <v>24</v>
      </c>
    </row>
    <row r="43602" spans="1:3" x14ac:dyDescent="0.2">
      <c r="B43602" t="s">
        <v>61</v>
      </c>
    </row>
    <row r="43604" spans="1:3" x14ac:dyDescent="0.2">
      <c r="A43604" t="s">
        <v>13956</v>
      </c>
      <c r="B43604" t="str">
        <f>HYPERLINK("https://lindat.mff.cuni.cz/services/teitok/pdtc10/index.php?action=vallex&amp;frame=v-whsa_890f1_ZU", "seškrtnout (v-whsa_890f1_ZU)")</f>
        <v>seškrtnout (v-whsa_890f1_ZU)</v>
      </c>
    </row>
    <row r="43605" spans="1:3" x14ac:dyDescent="0.2">
      <c r="B43605" t="s">
        <v>1</v>
      </c>
      <c r="C43605" t="s">
        <v>1566</v>
      </c>
    </row>
    <row r="43606" spans="1:3" x14ac:dyDescent="0.2">
      <c r="B43606" t="s">
        <v>8</v>
      </c>
      <c r="C43606" t="s">
        <v>2213</v>
      </c>
    </row>
    <row r="43607" spans="1:3" x14ac:dyDescent="0.2">
      <c r="B43607" t="s">
        <v>24</v>
      </c>
    </row>
    <row r="43608" spans="1:3" x14ac:dyDescent="0.2">
      <c r="B43608" t="s">
        <v>61</v>
      </c>
    </row>
    <row r="43610" spans="1:3" x14ac:dyDescent="0.2">
      <c r="A43610" t="s">
        <v>13956</v>
      </c>
      <c r="B43610" t="str">
        <f>HYPERLINK("https://lindat.mff.cuni.cz/services/teitok/pdtc10/index.php?action=vallex&amp;frame=v-whsa_890hsa_891", "seškrtnout (v-whsa_890hsa_891) - substituted with v-whsa_890f1_ZU")</f>
        <v>seškrtnout (v-whsa_890hsa_891) - substituted with v-whsa_890f1_ZU</v>
      </c>
    </row>
    <row r="43611" spans="1:3" x14ac:dyDescent="0.2">
      <c r="B43611" t="s">
        <v>1</v>
      </c>
    </row>
    <row r="43612" spans="1:3" x14ac:dyDescent="0.2">
      <c r="B43612" t="s">
        <v>8</v>
      </c>
    </row>
    <row r="43613" spans="1:3" x14ac:dyDescent="0.2">
      <c r="B43613" t="s">
        <v>24</v>
      </c>
    </row>
    <row r="43614" spans="1:3" x14ac:dyDescent="0.2">
      <c r="B43614" t="s">
        <v>61</v>
      </c>
    </row>
    <row r="43616" spans="1:3" x14ac:dyDescent="0.2">
      <c r="A43616" t="s">
        <v>13957</v>
      </c>
      <c r="B43616" t="str">
        <f>HYPERLINK("https://lindat.mff.cuni.cz/services/teitok/pdtc10/index.php?action=vallex&amp;frame=v-w11205f2", "sešlápnout (v-w11205f2)")</f>
        <v>sešlápnout (v-w11205f2)</v>
      </c>
    </row>
    <row r="43617" spans="1:4" x14ac:dyDescent="0.2">
      <c r="B43617" t="s">
        <v>1</v>
      </c>
      <c r="C43617" t="s">
        <v>140</v>
      </c>
      <c r="D43617" t="s">
        <v>92</v>
      </c>
    </row>
    <row r="43618" spans="1:4" x14ac:dyDescent="0.2">
      <c r="B43618" t="s">
        <v>8</v>
      </c>
      <c r="C43618" t="s">
        <v>113</v>
      </c>
      <c r="D43618" t="s">
        <v>2755</v>
      </c>
    </row>
    <row r="43620" spans="1:4" x14ac:dyDescent="0.2">
      <c r="A43620" t="s">
        <v>13958</v>
      </c>
      <c r="B43620" t="str">
        <f>HYPERLINK("https://lindat.mff.cuni.cz/services/teitok/pdtc10/index.php?action=vallex&amp;frame=v-whsa_1822hsa_1823", "sešoupat (v-whsa_1822hsa_1823)")</f>
        <v>sešoupat (v-whsa_1822hsa_1823)</v>
      </c>
    </row>
    <row r="43621" spans="1:4" x14ac:dyDescent="0.2">
      <c r="B43621" t="s">
        <v>1</v>
      </c>
    </row>
    <row r="43622" spans="1:4" x14ac:dyDescent="0.2">
      <c r="B43622" t="s">
        <v>8</v>
      </c>
    </row>
    <row r="43623" spans="1:4" x14ac:dyDescent="0.2">
      <c r="B43623" t="s">
        <v>90</v>
      </c>
    </row>
    <row r="43625" spans="1:4" x14ac:dyDescent="0.2">
      <c r="A43625" t="s">
        <v>13959</v>
      </c>
      <c r="B43625" t="str">
        <f>HYPERLINK("https://lindat.mff.cuni.cz/services/teitok/pdtc10/index.php?action=vallex&amp;frame=v-w10121f2", "sešroubovávat (v-w10121f2)")</f>
        <v>sešroubovávat (v-w10121f2)</v>
      </c>
    </row>
    <row r="43626" spans="1:4" x14ac:dyDescent="0.2">
      <c r="B43626" t="s">
        <v>1</v>
      </c>
    </row>
    <row r="43627" spans="1:4" x14ac:dyDescent="0.2">
      <c r="B43627" t="s">
        <v>8</v>
      </c>
    </row>
    <row r="43628" spans="1:4" x14ac:dyDescent="0.2">
      <c r="B43628" t="s">
        <v>153</v>
      </c>
    </row>
    <row r="43629" spans="1:4" x14ac:dyDescent="0.2">
      <c r="B43629" t="s">
        <v>2156</v>
      </c>
    </row>
    <row r="43631" spans="1:4" x14ac:dyDescent="0.2">
      <c r="A43631" t="s">
        <v>13960</v>
      </c>
      <c r="B43631" t="str">
        <f>HYPERLINK("https://lindat.mff.cuni.cz/services/teitok/pdtc10/index.php?action=vallex&amp;frame=v-w6000f1", "sešít (v-w6000f1)")</f>
        <v>sešít (v-w6000f1)</v>
      </c>
    </row>
    <row r="43632" spans="1:4" x14ac:dyDescent="0.2">
      <c r="B43632" t="s">
        <v>1</v>
      </c>
    </row>
    <row r="43633" spans="1:2" x14ac:dyDescent="0.2">
      <c r="B43633" t="s">
        <v>8</v>
      </c>
    </row>
    <row r="43635" spans="1:2" x14ac:dyDescent="0.2">
      <c r="A43635" t="s">
        <v>13961</v>
      </c>
      <c r="B43635" t="str">
        <f>HYPERLINK("https://lindat.mff.cuni.cz/services/teitok/pdtc10/index.php?action=vallex&amp;frame=v-w6000f2_MM", "sešít (v-w6000f2_MM)")</f>
        <v>sešít (v-w6000f2_MM)</v>
      </c>
    </row>
    <row r="43636" spans="1:2" x14ac:dyDescent="0.2">
      <c r="B43636" t="s">
        <v>1</v>
      </c>
    </row>
    <row r="43637" spans="1:2" x14ac:dyDescent="0.2">
      <c r="B43637" t="s">
        <v>8</v>
      </c>
    </row>
    <row r="43638" spans="1:2" x14ac:dyDescent="0.2">
      <c r="B43638" t="s">
        <v>24</v>
      </c>
    </row>
    <row r="43640" spans="1:2" x14ac:dyDescent="0.2">
      <c r="A43640" t="s">
        <v>13962</v>
      </c>
      <c r="B43640" t="str">
        <f>HYPERLINK("https://lindat.mff.cuni.cz/services/teitok/pdtc10/index.php?action=vallex&amp;frame=v-whsa_1243hsa_1244", "sešívat (v-whsa_1243hsa_1244)")</f>
        <v>sešívat (v-whsa_1243hsa_1244)</v>
      </c>
    </row>
    <row r="43641" spans="1:2" x14ac:dyDescent="0.2">
      <c r="B43641" t="s">
        <v>1</v>
      </c>
    </row>
    <row r="43642" spans="1:2" x14ac:dyDescent="0.2">
      <c r="B43642" t="s">
        <v>8</v>
      </c>
    </row>
    <row r="43644" spans="1:2" x14ac:dyDescent="0.2">
      <c r="A43644" t="s">
        <v>13963</v>
      </c>
      <c r="B43644" t="str">
        <f>HYPERLINK("https://lindat.mff.cuni.cz/services/teitok/pdtc10/index.php?action=vallex&amp;frame=v-w6018f1", "sežrat (v-w6018f1)")</f>
        <v>sežrat (v-w6018f1)</v>
      </c>
    </row>
    <row r="43645" spans="1:2" x14ac:dyDescent="0.2">
      <c r="B43645" t="s">
        <v>1</v>
      </c>
    </row>
    <row r="43646" spans="1:2" x14ac:dyDescent="0.2">
      <c r="B43646" t="s">
        <v>8</v>
      </c>
    </row>
    <row r="43648" spans="1:2" x14ac:dyDescent="0.2">
      <c r="A43648" t="s">
        <v>13964</v>
      </c>
      <c r="B43648" t="str">
        <f>HYPERLINK("https://lindat.mff.cuni.cz/services/teitok/pdtc10/index.php?action=vallex&amp;frame=v-w6018f2_ZU", "sežrat (v-w6018f2_ZU)")</f>
        <v>sežrat (v-w6018f2_ZU)</v>
      </c>
    </row>
    <row r="43649" spans="1:4" x14ac:dyDescent="0.2">
      <c r="B43649" t="s">
        <v>1</v>
      </c>
    </row>
    <row r="43650" spans="1:4" x14ac:dyDescent="0.2">
      <c r="B43650" t="s">
        <v>8</v>
      </c>
    </row>
    <row r="43652" spans="1:4" x14ac:dyDescent="0.2">
      <c r="A43652" t="s">
        <v>13965</v>
      </c>
      <c r="B43652" t="str">
        <f>HYPERLINK("https://lindat.mff.cuni.cz/services/teitok/pdtc10/index.php?action=vallex&amp;frame=v-w6022f1", "shazovat (v-w6022f1)")</f>
        <v>shazovat (v-w6022f1)</v>
      </c>
    </row>
    <row r="43653" spans="1:4" x14ac:dyDescent="0.2">
      <c r="B43653" t="s">
        <v>1</v>
      </c>
      <c r="C43653" t="s">
        <v>33</v>
      </c>
      <c r="D43653" t="s">
        <v>33</v>
      </c>
    </row>
    <row r="43654" spans="1:4" x14ac:dyDescent="0.2">
      <c r="B43654" t="s">
        <v>8</v>
      </c>
      <c r="C43654" t="s">
        <v>991</v>
      </c>
      <c r="D43654" t="s">
        <v>991</v>
      </c>
    </row>
    <row r="43655" spans="1:4" x14ac:dyDescent="0.2">
      <c r="B43655" t="s">
        <v>333</v>
      </c>
    </row>
    <row r="43657" spans="1:4" x14ac:dyDescent="0.2">
      <c r="A43657" t="s">
        <v>13966</v>
      </c>
      <c r="B43657" t="str">
        <f>HYPERLINK("https://lindat.mff.cuni.cz/services/teitok/pdtc10/index.php?action=vallex&amp;frame=v-w6022f3", "shazovat (v-w6022f3)")</f>
        <v>shazovat (v-w6022f3)</v>
      </c>
    </row>
    <row r="43658" spans="1:4" x14ac:dyDescent="0.2">
      <c r="B43658" t="s">
        <v>1</v>
      </c>
      <c r="C43658" t="s">
        <v>140</v>
      </c>
      <c r="D43658" t="s">
        <v>249</v>
      </c>
    </row>
    <row r="43659" spans="1:4" x14ac:dyDescent="0.2">
      <c r="B43659" t="s">
        <v>8</v>
      </c>
      <c r="C43659" t="s">
        <v>113</v>
      </c>
      <c r="D43659" t="s">
        <v>991</v>
      </c>
    </row>
    <row r="43660" spans="1:4" x14ac:dyDescent="0.2">
      <c r="B43660" t="s">
        <v>90</v>
      </c>
    </row>
    <row r="43662" spans="1:4" x14ac:dyDescent="0.2">
      <c r="A43662" t="s">
        <v>13967</v>
      </c>
      <c r="B43662" t="str">
        <f>HYPERLINK("https://lindat.mff.cuni.cz/services/teitok/pdtc10/index.php?action=vallex&amp;frame=v-w6022f4", "shazovat (v-w6022f4)")</f>
        <v>shazovat (v-w6022f4)</v>
      </c>
    </row>
    <row r="43663" spans="1:4" x14ac:dyDescent="0.2">
      <c r="B43663" t="s">
        <v>1</v>
      </c>
      <c r="C43663" t="s">
        <v>430</v>
      </c>
      <c r="D43663" t="s">
        <v>249</v>
      </c>
    </row>
    <row r="43664" spans="1:4" x14ac:dyDescent="0.2">
      <c r="B43664" t="s">
        <v>8</v>
      </c>
      <c r="C43664" t="s">
        <v>56</v>
      </c>
      <c r="D43664" t="s">
        <v>24164</v>
      </c>
    </row>
    <row r="43666" spans="1:4" x14ac:dyDescent="0.2">
      <c r="A43666" t="s">
        <v>13968</v>
      </c>
      <c r="B43666" t="str">
        <f>HYPERLINK("https://lindat.mff.cuni.cz/services/teitok/pdtc10/index.php?action=vallex&amp;frame=v-w6022f2", "shazovat (v-w6022f2)")</f>
        <v>shazovat (v-w6022f2)</v>
      </c>
    </row>
    <row r="43667" spans="1:4" x14ac:dyDescent="0.2">
      <c r="B43667" t="s">
        <v>1</v>
      </c>
    </row>
    <row r="43668" spans="1:4" x14ac:dyDescent="0.2">
      <c r="B43668" t="s">
        <v>8</v>
      </c>
      <c r="D43668" t="s">
        <v>113</v>
      </c>
    </row>
    <row r="43670" spans="1:4" x14ac:dyDescent="0.2">
      <c r="A43670" t="s">
        <v>13969</v>
      </c>
      <c r="B43670" t="str">
        <f>HYPERLINK("https://lindat.mff.cuni.cz/services/teitok/pdtc10/index.php?action=vallex&amp;frame=v-w6022f5_ZU", "shazovat (v-w6022f5_ZU)")</f>
        <v>shazovat (v-w6022f5_ZU)</v>
      </c>
    </row>
    <row r="43671" spans="1:4" x14ac:dyDescent="0.2">
      <c r="B43671" t="s">
        <v>1</v>
      </c>
    </row>
    <row r="43672" spans="1:4" x14ac:dyDescent="0.2">
      <c r="B43672" t="s">
        <v>13970</v>
      </c>
    </row>
    <row r="43674" spans="1:4" x14ac:dyDescent="0.2">
      <c r="A43674" t="s">
        <v>13971</v>
      </c>
      <c r="B43674" t="str">
        <f>HYPERLINK("https://lindat.mff.cuni.cz/services/teitok/pdtc10/index.php?action=vallex&amp;frame=v-w6023f2", "shledat (v-w6023f2)")</f>
        <v>shledat (v-w6023f2)</v>
      </c>
    </row>
    <row r="43675" spans="1:4" x14ac:dyDescent="0.2">
      <c r="B43675" t="s">
        <v>1</v>
      </c>
      <c r="C43675" t="s">
        <v>154</v>
      </c>
      <c r="D43675" t="s">
        <v>23008</v>
      </c>
    </row>
    <row r="43676" spans="1:4" x14ac:dyDescent="0.2">
      <c r="B43676" t="s">
        <v>41</v>
      </c>
      <c r="C43676" t="s">
        <v>13972</v>
      </c>
      <c r="D43676" t="s">
        <v>17729</v>
      </c>
    </row>
    <row r="43677" spans="1:4" x14ac:dyDescent="0.2">
      <c r="B43677" t="s">
        <v>13973</v>
      </c>
      <c r="C43677" t="s">
        <v>13974</v>
      </c>
      <c r="D43677" t="s">
        <v>23009</v>
      </c>
    </row>
    <row r="43679" spans="1:4" x14ac:dyDescent="0.2">
      <c r="A43679" t="s">
        <v>13975</v>
      </c>
      <c r="B43679" t="str">
        <f>HYPERLINK("https://lindat.mff.cuni.cz/services/teitok/pdtc10/index.php?action=vallex&amp;frame=v-w6023f1", "shledat (v-w6023f1)")</f>
        <v>shledat (v-w6023f1)</v>
      </c>
    </row>
    <row r="43680" spans="1:4" x14ac:dyDescent="0.2">
      <c r="B43680" t="s">
        <v>1</v>
      </c>
      <c r="C43680" t="s">
        <v>13976</v>
      </c>
      <c r="D43680" t="s">
        <v>23261</v>
      </c>
    </row>
    <row r="43681" spans="1:4" x14ac:dyDescent="0.2">
      <c r="B43681" t="s">
        <v>124</v>
      </c>
      <c r="C43681" t="s">
        <v>13977</v>
      </c>
      <c r="D43681" t="s">
        <v>9548</v>
      </c>
    </row>
    <row r="43683" spans="1:4" x14ac:dyDescent="0.2">
      <c r="A43683" t="s">
        <v>13978</v>
      </c>
      <c r="B43683" t="str">
        <f>HYPERLINK("https://lindat.mff.cuni.cz/services/teitok/pdtc10/index.php?action=vallex&amp;frame=v-whsa_525hsa_526", "shledat se (v-whsa_525hsa_526)")</f>
        <v>shledat se (v-whsa_525hsa_526)</v>
      </c>
    </row>
    <row r="43684" spans="1:4" x14ac:dyDescent="0.2">
      <c r="B43684" t="s">
        <v>1</v>
      </c>
    </row>
    <row r="43685" spans="1:4" x14ac:dyDescent="0.2">
      <c r="B43685" t="s">
        <v>411</v>
      </c>
    </row>
    <row r="43687" spans="1:4" x14ac:dyDescent="0.2">
      <c r="A43687" t="s">
        <v>13979</v>
      </c>
      <c r="B43687" t="str">
        <f>HYPERLINK("https://lindat.mff.cuni.cz/services/teitok/pdtc10/index.php?action=vallex&amp;frame=v-w6024f1", "shledávat (v-w6024f1)")</f>
        <v>shledávat (v-w6024f1)</v>
      </c>
    </row>
    <row r="43688" spans="1:4" x14ac:dyDescent="0.2">
      <c r="B43688" t="s">
        <v>1</v>
      </c>
      <c r="C43688" t="s">
        <v>3384</v>
      </c>
      <c r="D43688" t="s">
        <v>23149</v>
      </c>
    </row>
    <row r="43689" spans="1:4" x14ac:dyDescent="0.2">
      <c r="B43689" t="s">
        <v>41</v>
      </c>
      <c r="C43689" t="s">
        <v>13927</v>
      </c>
      <c r="D43689" t="s">
        <v>23151</v>
      </c>
    </row>
    <row r="43690" spans="1:4" x14ac:dyDescent="0.2">
      <c r="B43690" t="s">
        <v>13973</v>
      </c>
      <c r="C43690" t="s">
        <v>13929</v>
      </c>
      <c r="D43690" t="s">
        <v>23150</v>
      </c>
    </row>
    <row r="43692" spans="1:4" x14ac:dyDescent="0.2">
      <c r="A43692" t="s">
        <v>13980</v>
      </c>
      <c r="B43692" t="str">
        <f>HYPERLINK("https://lindat.mff.cuni.cz/services/teitok/pdtc10/index.php?action=vallex&amp;frame=v-w6024f2", "shledávat (v-w6024f2)")</f>
        <v>shledávat (v-w6024f2)</v>
      </c>
    </row>
    <row r="43693" spans="1:4" x14ac:dyDescent="0.2">
      <c r="B43693" t="s">
        <v>1</v>
      </c>
      <c r="C43693" t="s">
        <v>13981</v>
      </c>
      <c r="D43693" t="s">
        <v>23513</v>
      </c>
    </row>
    <row r="43694" spans="1:4" x14ac:dyDescent="0.2">
      <c r="B43694" t="s">
        <v>124</v>
      </c>
      <c r="C43694" t="s">
        <v>13982</v>
      </c>
      <c r="D43694" t="s">
        <v>23514</v>
      </c>
    </row>
    <row r="43696" spans="1:4" x14ac:dyDescent="0.2">
      <c r="A43696" t="s">
        <v>13983</v>
      </c>
      <c r="B43696" t="str">
        <f>HYPERLINK("https://lindat.mff.cuni.cz/services/teitok/pdtc10/index.php?action=vallex&amp;frame=v-w6026f1", "shluknout se (v-w6026f1)")</f>
        <v>shluknout se (v-w6026f1)</v>
      </c>
    </row>
    <row r="43697" spans="1:4" x14ac:dyDescent="0.2">
      <c r="B43697" t="s">
        <v>1</v>
      </c>
    </row>
    <row r="43698" spans="1:4" x14ac:dyDescent="0.2">
      <c r="B43698" t="s">
        <v>3390</v>
      </c>
    </row>
    <row r="43700" spans="1:4" x14ac:dyDescent="0.2">
      <c r="A43700" t="s">
        <v>13984</v>
      </c>
      <c r="B43700" t="str">
        <f>HYPERLINK("https://lindat.mff.cuni.cz/services/teitok/pdtc10/index.php?action=vallex&amp;frame=v-w6027f1", "shlukovat se (v-w6027f1)")</f>
        <v>shlukovat se (v-w6027f1)</v>
      </c>
    </row>
    <row r="43701" spans="1:4" x14ac:dyDescent="0.2">
      <c r="B43701" t="s">
        <v>1</v>
      </c>
    </row>
    <row r="43702" spans="1:4" x14ac:dyDescent="0.2">
      <c r="B43702" t="s">
        <v>3390</v>
      </c>
    </row>
    <row r="43704" spans="1:4" x14ac:dyDescent="0.2">
      <c r="A43704" t="s">
        <v>13985</v>
      </c>
      <c r="B43704" t="str">
        <f>HYPERLINK("https://lindat.mff.cuni.cz/services/teitok/pdtc10/index.php?action=vallex&amp;frame=v-w6025f1", "shlížet (v-w6025f1)")</f>
        <v>shlížet (v-w6025f1)</v>
      </c>
    </row>
    <row r="43705" spans="1:4" x14ac:dyDescent="0.2">
      <c r="B43705" t="s">
        <v>1</v>
      </c>
    </row>
    <row r="43706" spans="1:4" x14ac:dyDescent="0.2">
      <c r="B43706" t="s">
        <v>333</v>
      </c>
    </row>
    <row r="43708" spans="1:4" x14ac:dyDescent="0.2">
      <c r="A43708" t="s">
        <v>13986</v>
      </c>
      <c r="B43708" t="str">
        <f>HYPERLINK("https://lindat.mff.cuni.cz/services/teitok/pdtc10/index.php?action=vallex&amp;frame=v-w10136f2", "shnít (v-w10136f2)")</f>
        <v>shnít (v-w10136f2)</v>
      </c>
    </row>
    <row r="43709" spans="1:4" x14ac:dyDescent="0.2">
      <c r="B43709" t="s">
        <v>1</v>
      </c>
    </row>
    <row r="43711" spans="1:4" x14ac:dyDescent="0.2">
      <c r="A43711" t="s">
        <v>13987</v>
      </c>
      <c r="B43711" t="str">
        <f>HYPERLINK("https://lindat.mff.cuni.cz/services/teitok/pdtc10/index.php?action=vallex&amp;frame=v-w6029f1", "shodit (v-w6029f1)")</f>
        <v>shodit (v-w6029f1)</v>
      </c>
    </row>
    <row r="43712" spans="1:4" x14ac:dyDescent="0.2">
      <c r="B43712" t="s">
        <v>1</v>
      </c>
      <c r="D43712" t="s">
        <v>33</v>
      </c>
    </row>
    <row r="43713" spans="1:4" x14ac:dyDescent="0.2">
      <c r="B43713" t="s">
        <v>8</v>
      </c>
      <c r="D43713" t="s">
        <v>991</v>
      </c>
    </row>
    <row r="43714" spans="1:4" x14ac:dyDescent="0.2">
      <c r="B43714" t="s">
        <v>333</v>
      </c>
    </row>
    <row r="43716" spans="1:4" x14ac:dyDescent="0.2">
      <c r="A43716" t="s">
        <v>13988</v>
      </c>
      <c r="B43716" t="str">
        <f>HYPERLINK("https://lindat.mff.cuni.cz/services/teitok/pdtc10/index.php?action=vallex&amp;frame=v-w6029f2", "shodit (v-w6029f2)")</f>
        <v>shodit (v-w6029f2)</v>
      </c>
    </row>
    <row r="43717" spans="1:4" x14ac:dyDescent="0.2">
      <c r="B43717" t="s">
        <v>1</v>
      </c>
    </row>
    <row r="43718" spans="1:4" x14ac:dyDescent="0.2">
      <c r="B43718" t="s">
        <v>13989</v>
      </c>
    </row>
    <row r="43719" spans="1:4" x14ac:dyDescent="0.2">
      <c r="B43719" t="s">
        <v>8</v>
      </c>
    </row>
    <row r="43721" spans="1:4" x14ac:dyDescent="0.2">
      <c r="A43721" t="s">
        <v>13990</v>
      </c>
      <c r="B43721" t="str">
        <f>HYPERLINK("https://lindat.mff.cuni.cz/services/teitok/pdtc10/index.php?action=vallex&amp;frame=v-w6029f3_ZU", "shodit (v-w6029f3_ZU)")</f>
        <v>shodit (v-w6029f3_ZU)</v>
      </c>
    </row>
    <row r="43722" spans="1:4" x14ac:dyDescent="0.2">
      <c r="B43722" t="s">
        <v>1</v>
      </c>
    </row>
    <row r="43723" spans="1:4" x14ac:dyDescent="0.2">
      <c r="B43723" t="s">
        <v>8</v>
      </c>
      <c r="C43723" t="s">
        <v>113</v>
      </c>
      <c r="D43723" t="s">
        <v>113</v>
      </c>
    </row>
    <row r="43725" spans="1:4" x14ac:dyDescent="0.2">
      <c r="A43725" t="s">
        <v>13990</v>
      </c>
      <c r="B43725" t="str">
        <f>HYPERLINK("https://lindat.mff.cuni.cz/services/teitok/pdtc10/index.php?action=vallex&amp;frame=v-w6029hsa_1176", "shodit (v-w6029hsa_1176) - substituted with v-w6029f3_ZU")</f>
        <v>shodit (v-w6029hsa_1176) - substituted with v-w6029f3_ZU</v>
      </c>
    </row>
    <row r="43726" spans="1:4" x14ac:dyDescent="0.2">
      <c r="B43726" t="s">
        <v>1</v>
      </c>
    </row>
    <row r="43727" spans="1:4" x14ac:dyDescent="0.2">
      <c r="B43727" t="s">
        <v>8</v>
      </c>
    </row>
    <row r="43729" spans="1:4" x14ac:dyDescent="0.2">
      <c r="A43729" t="s">
        <v>13991</v>
      </c>
      <c r="B43729" t="str">
        <f>HYPERLINK("https://lindat.mff.cuni.cz/services/teitok/pdtc10/index.php?action=vallex&amp;frame=v-w6031f2_ZU", "shodnout se (v-w6031f2_ZU)")</f>
        <v>shodnout se (v-w6031f2_ZU)</v>
      </c>
    </row>
    <row r="43730" spans="1:4" x14ac:dyDescent="0.2">
      <c r="B43730" t="s">
        <v>1</v>
      </c>
      <c r="C43730" t="s">
        <v>1366</v>
      </c>
      <c r="D43730" t="s">
        <v>24122</v>
      </c>
    </row>
    <row r="43731" spans="1:4" x14ac:dyDescent="0.2">
      <c r="B43731" t="s">
        <v>153</v>
      </c>
      <c r="C43731" t="s">
        <v>987</v>
      </c>
      <c r="D43731" t="s">
        <v>24124</v>
      </c>
    </row>
    <row r="43732" spans="1:4" x14ac:dyDescent="0.2">
      <c r="B43732" t="s">
        <v>13992</v>
      </c>
      <c r="C43732" t="s">
        <v>13993</v>
      </c>
      <c r="D43732" t="s">
        <v>24123</v>
      </c>
    </row>
    <row r="43734" spans="1:4" x14ac:dyDescent="0.2">
      <c r="A43734" t="s">
        <v>13991</v>
      </c>
      <c r="B43734" t="str">
        <f>HYPERLINK("https://lindat.mff.cuni.cz/services/teitok/pdtc10/index.php?action=vallex&amp;frame=v-w6031f1", "shodnout se (v-w6031f1) - substituted with v-w6031f2_ZU")</f>
        <v>shodnout se (v-w6031f1) - substituted with v-w6031f2_ZU</v>
      </c>
    </row>
    <row r="43735" spans="1:4" x14ac:dyDescent="0.2">
      <c r="B43735" t="s">
        <v>1</v>
      </c>
      <c r="C43735" t="s">
        <v>13994</v>
      </c>
    </row>
    <row r="43736" spans="1:4" x14ac:dyDescent="0.2">
      <c r="B43736" t="s">
        <v>153</v>
      </c>
      <c r="C43736" t="s">
        <v>13995</v>
      </c>
    </row>
    <row r="43737" spans="1:4" x14ac:dyDescent="0.2">
      <c r="B43737" t="s">
        <v>13992</v>
      </c>
      <c r="C43737" t="s">
        <v>13996</v>
      </c>
    </row>
    <row r="43739" spans="1:4" x14ac:dyDescent="0.2">
      <c r="A43739" t="s">
        <v>13997</v>
      </c>
      <c r="B43739" t="str">
        <f>HYPERLINK("https://lindat.mff.cuni.cz/services/teitok/pdtc10/index.php?action=vallex&amp;frame=v-w6033f3_ZU", "shodovat se (v-w6033f3_ZU)")</f>
        <v>shodovat se (v-w6033f3_ZU)</v>
      </c>
    </row>
    <row r="43740" spans="1:4" x14ac:dyDescent="0.2">
      <c r="B43740" t="s">
        <v>1</v>
      </c>
      <c r="D43740" t="s">
        <v>24122</v>
      </c>
    </row>
    <row r="43741" spans="1:4" x14ac:dyDescent="0.2">
      <c r="B43741" t="s">
        <v>13998</v>
      </c>
      <c r="D43741" t="s">
        <v>24123</v>
      </c>
    </row>
    <row r="43742" spans="1:4" x14ac:dyDescent="0.2">
      <c r="B43742" t="s">
        <v>153</v>
      </c>
      <c r="D43742" t="s">
        <v>24124</v>
      </c>
    </row>
    <row r="43744" spans="1:4" x14ac:dyDescent="0.2">
      <c r="A43744" t="s">
        <v>13997</v>
      </c>
      <c r="B43744" t="str">
        <f>HYPERLINK("https://lindat.mff.cuni.cz/services/teitok/pdtc10/index.php?action=vallex&amp;frame=v-w6033f1", "shodovat se (v-w6033f1) - substituted with v-w6033f3_ZU")</f>
        <v>shodovat se (v-w6033f1) - substituted with v-w6033f3_ZU</v>
      </c>
    </row>
    <row r="43745" spans="1:4" x14ac:dyDescent="0.2">
      <c r="B43745" t="s">
        <v>1</v>
      </c>
      <c r="C43745" t="s">
        <v>13999</v>
      </c>
    </row>
    <row r="43746" spans="1:4" x14ac:dyDescent="0.2">
      <c r="B43746" t="s">
        <v>13998</v>
      </c>
      <c r="C43746" t="s">
        <v>14000</v>
      </c>
    </row>
    <row r="43747" spans="1:4" x14ac:dyDescent="0.2">
      <c r="B43747" t="s">
        <v>153</v>
      </c>
      <c r="C43747" t="s">
        <v>6457</v>
      </c>
    </row>
    <row r="43749" spans="1:4" x14ac:dyDescent="0.2">
      <c r="A43749" t="s">
        <v>13997</v>
      </c>
      <c r="B43749" t="str">
        <f>HYPERLINK("https://lindat.mff.cuni.cz/services/teitok/pdtc10/index.php?action=vallex&amp;frame=v-w6033hsa_489", "shodovat se (v-w6033hsa_489) - substituted with v-w6033f3_ZU")</f>
        <v>shodovat se (v-w6033hsa_489) - substituted with v-w6033f3_ZU</v>
      </c>
    </row>
    <row r="43750" spans="1:4" x14ac:dyDescent="0.2">
      <c r="B43750" t="s">
        <v>1</v>
      </c>
    </row>
    <row r="43751" spans="1:4" x14ac:dyDescent="0.2">
      <c r="B43751" t="s">
        <v>13998</v>
      </c>
    </row>
    <row r="43752" spans="1:4" x14ac:dyDescent="0.2">
      <c r="B43752" t="s">
        <v>153</v>
      </c>
    </row>
    <row r="43754" spans="1:4" x14ac:dyDescent="0.2">
      <c r="A43754" t="s">
        <v>14001</v>
      </c>
      <c r="B43754" t="str">
        <f>HYPERLINK("https://lindat.mff.cuni.cz/services/teitok/pdtc10/index.php?action=vallex&amp;frame=v-w6033f2", "shodovat se (v-w6033f2)")</f>
        <v>shodovat se (v-w6033f2)</v>
      </c>
    </row>
    <row r="43755" spans="1:4" x14ac:dyDescent="0.2">
      <c r="B43755" t="s">
        <v>1</v>
      </c>
      <c r="C43755" t="s">
        <v>14002</v>
      </c>
      <c r="D43755" t="s">
        <v>22948</v>
      </c>
    </row>
    <row r="43756" spans="1:4" x14ac:dyDescent="0.2">
      <c r="B43756" t="s">
        <v>411</v>
      </c>
      <c r="C43756" t="s">
        <v>14003</v>
      </c>
      <c r="D43756" t="s">
        <v>22949</v>
      </c>
    </row>
    <row r="43758" spans="1:4" x14ac:dyDescent="0.2">
      <c r="A43758" t="s">
        <v>14004</v>
      </c>
      <c r="B43758" t="str">
        <f>HYPERLINK("https://lindat.mff.cuni.cz/services/teitok/pdtc10/index.php?action=vallex&amp;frame=v-w6034f1", "shořet (v-w6034f1)")</f>
        <v>shořet (v-w6034f1)</v>
      </c>
    </row>
    <row r="43759" spans="1:4" x14ac:dyDescent="0.2">
      <c r="B43759" t="s">
        <v>1</v>
      </c>
    </row>
    <row r="43761" spans="1:4" x14ac:dyDescent="0.2">
      <c r="A43761" t="s">
        <v>14005</v>
      </c>
      <c r="B43761" t="str">
        <f>HYPERLINK("https://lindat.mff.cuni.cz/services/teitok/pdtc10/index.php?action=vallex&amp;frame=v-w11587_ZUf1_ZU", "shrabat (v-w11587_ZUf1_ZU)")</f>
        <v>shrabat (v-w11587_ZUf1_ZU)</v>
      </c>
    </row>
    <row r="43762" spans="1:4" x14ac:dyDescent="0.2">
      <c r="B43762" t="s">
        <v>1</v>
      </c>
      <c r="C43762" t="s">
        <v>22</v>
      </c>
    </row>
    <row r="43763" spans="1:4" x14ac:dyDescent="0.2">
      <c r="B43763" t="s">
        <v>8</v>
      </c>
      <c r="C43763" t="s">
        <v>1066</v>
      </c>
    </row>
    <row r="43764" spans="1:4" x14ac:dyDescent="0.2">
      <c r="B43764" t="s">
        <v>3431</v>
      </c>
    </row>
    <row r="43766" spans="1:4" x14ac:dyDescent="0.2">
      <c r="A43766" t="s">
        <v>14006</v>
      </c>
      <c r="B43766" t="str">
        <f>HYPERLINK("https://lindat.mff.cuni.cz/services/teitok/pdtc10/index.php?action=vallex&amp;frame=v-w11587_ZUf2_ZU", "shrabat (v-w11587_ZUf2_ZU)")</f>
        <v>shrabat (v-w11587_ZUf2_ZU)</v>
      </c>
    </row>
    <row r="43767" spans="1:4" x14ac:dyDescent="0.2">
      <c r="B43767" t="s">
        <v>1</v>
      </c>
      <c r="C43767" t="s">
        <v>2946</v>
      </c>
      <c r="D43767" t="s">
        <v>140</v>
      </c>
    </row>
    <row r="43768" spans="1:4" x14ac:dyDescent="0.2">
      <c r="B43768" t="s">
        <v>8</v>
      </c>
      <c r="C43768" t="s">
        <v>7625</v>
      </c>
      <c r="D43768" t="s">
        <v>34</v>
      </c>
    </row>
    <row r="43770" spans="1:4" x14ac:dyDescent="0.2">
      <c r="A43770" t="s">
        <v>14007</v>
      </c>
      <c r="B43770" t="str">
        <f>HYPERLINK("https://lindat.mff.cuni.cz/services/teitok/pdtc10/index.php?action=vallex&amp;frame=v-w10066f2", "shrabovat (v-w10066f2)")</f>
        <v>shrabovat (v-w10066f2)</v>
      </c>
    </row>
    <row r="43771" spans="1:4" x14ac:dyDescent="0.2">
      <c r="B43771" t="s">
        <v>1</v>
      </c>
    </row>
    <row r="43772" spans="1:4" x14ac:dyDescent="0.2">
      <c r="B43772" t="s">
        <v>8</v>
      </c>
    </row>
    <row r="43773" spans="1:4" x14ac:dyDescent="0.2">
      <c r="B43773" t="s">
        <v>3431</v>
      </c>
    </row>
    <row r="43775" spans="1:4" x14ac:dyDescent="0.2">
      <c r="A43775" t="s">
        <v>14008</v>
      </c>
      <c r="B43775" t="str">
        <f>HYPERLINK("https://lindat.mff.cuni.cz/services/teitok/pdtc10/index.php?action=vallex&amp;frame=v-whsa_153f1_ZU", "shrabávat (v-whsa_153f1_ZU)")</f>
        <v>shrabávat (v-whsa_153f1_ZU)</v>
      </c>
    </row>
    <row r="43776" spans="1:4" x14ac:dyDescent="0.2">
      <c r="B43776" t="s">
        <v>1</v>
      </c>
    </row>
    <row r="43777" spans="1:4" x14ac:dyDescent="0.2">
      <c r="B43777" t="s">
        <v>8</v>
      </c>
    </row>
    <row r="43779" spans="1:4" x14ac:dyDescent="0.2">
      <c r="A43779" t="s">
        <v>14008</v>
      </c>
      <c r="B43779" t="str">
        <f>HYPERLINK("https://lindat.mff.cuni.cz/services/teitok/pdtc10/index.php?action=vallex&amp;frame=v-whsa_153hsa_154", "shrabávat (v-whsa_153hsa_154) - substituted with v-whsa_153f1_ZU")</f>
        <v>shrabávat (v-whsa_153hsa_154) - substituted with v-whsa_153f1_ZU</v>
      </c>
    </row>
    <row r="43780" spans="1:4" x14ac:dyDescent="0.2">
      <c r="B43780" t="s">
        <v>1</v>
      </c>
    </row>
    <row r="43781" spans="1:4" x14ac:dyDescent="0.2">
      <c r="B43781" t="s">
        <v>8</v>
      </c>
    </row>
    <row r="43783" spans="1:4" x14ac:dyDescent="0.2">
      <c r="A43783" t="s">
        <v>14009</v>
      </c>
      <c r="B43783" t="str">
        <f>HYPERLINK("https://lindat.mff.cuni.cz/services/teitok/pdtc10/index.php?action=vallex&amp;frame=v-w6035f1", "shrnout (v-w6035f1)")</f>
        <v>shrnout (v-w6035f1)</v>
      </c>
    </row>
    <row r="43784" spans="1:4" x14ac:dyDescent="0.2">
      <c r="B43784" t="s">
        <v>1</v>
      </c>
      <c r="C43784" t="s">
        <v>14010</v>
      </c>
      <c r="D43784" t="s">
        <v>7439</v>
      </c>
    </row>
    <row r="43785" spans="1:4" x14ac:dyDescent="0.2">
      <c r="B43785" t="s">
        <v>14011</v>
      </c>
      <c r="C43785" t="s">
        <v>1340</v>
      </c>
      <c r="D43785" t="s">
        <v>11560</v>
      </c>
    </row>
    <row r="43786" spans="1:4" x14ac:dyDescent="0.2">
      <c r="B43786" t="s">
        <v>2156</v>
      </c>
      <c r="D43786" t="s">
        <v>21999</v>
      </c>
    </row>
    <row r="43788" spans="1:4" x14ac:dyDescent="0.2">
      <c r="A43788" t="s">
        <v>14012</v>
      </c>
      <c r="B43788" t="str">
        <f>HYPERLINK("https://lindat.mff.cuni.cz/services/teitok/pdtc10/index.php?action=vallex&amp;frame=v-w6035f2", "shrnout (v-w6035f2)")</f>
        <v>shrnout (v-w6035f2)</v>
      </c>
    </row>
    <row r="43789" spans="1:4" x14ac:dyDescent="0.2">
      <c r="B43789" t="s">
        <v>1</v>
      </c>
    </row>
    <row r="43790" spans="1:4" x14ac:dyDescent="0.2">
      <c r="B43790" t="s">
        <v>8</v>
      </c>
    </row>
    <row r="43791" spans="1:4" x14ac:dyDescent="0.2">
      <c r="B43791" t="s">
        <v>333</v>
      </c>
    </row>
    <row r="43793" spans="1:4" x14ac:dyDescent="0.2">
      <c r="A43793" t="s">
        <v>14013</v>
      </c>
      <c r="B43793" t="str">
        <f>HYPERLINK("https://lindat.mff.cuni.cz/services/teitok/pdtc10/index.php?action=vallex&amp;frame=v-w6036f1", "shrnovat (v-w6036f1)")</f>
        <v>shrnovat (v-w6036f1)</v>
      </c>
    </row>
    <row r="43794" spans="1:4" x14ac:dyDescent="0.2">
      <c r="B43794" t="s">
        <v>1</v>
      </c>
      <c r="C43794" t="s">
        <v>14014</v>
      </c>
      <c r="D43794" t="s">
        <v>7439</v>
      </c>
    </row>
    <row r="43795" spans="1:4" x14ac:dyDescent="0.2">
      <c r="B43795" t="s">
        <v>14015</v>
      </c>
      <c r="C43795" t="s">
        <v>14016</v>
      </c>
      <c r="D43795" t="s">
        <v>11560</v>
      </c>
    </row>
    <row r="43796" spans="1:4" x14ac:dyDescent="0.2">
      <c r="B43796" t="s">
        <v>2156</v>
      </c>
      <c r="D43796" t="s">
        <v>21999</v>
      </c>
    </row>
    <row r="43798" spans="1:4" x14ac:dyDescent="0.2">
      <c r="A43798" t="s">
        <v>14017</v>
      </c>
      <c r="B43798" t="str">
        <f>HYPERLINK("https://lindat.mff.cuni.cz/services/teitok/pdtc10/index.php?action=vallex&amp;frame=v-w6036f3", "shrnovat (v-w6036f3)")</f>
        <v>shrnovat (v-w6036f3)</v>
      </c>
    </row>
    <row r="43799" spans="1:4" x14ac:dyDescent="0.2">
      <c r="B43799" t="s">
        <v>1</v>
      </c>
    </row>
    <row r="43800" spans="1:4" x14ac:dyDescent="0.2">
      <c r="B43800" t="s">
        <v>8</v>
      </c>
    </row>
    <row r="43801" spans="1:4" x14ac:dyDescent="0.2">
      <c r="B43801" t="s">
        <v>130</v>
      </c>
    </row>
    <row r="43803" spans="1:4" x14ac:dyDescent="0.2">
      <c r="A43803" t="s">
        <v>14018</v>
      </c>
      <c r="B43803" t="str">
        <f>HYPERLINK("https://lindat.mff.cuni.cz/services/teitok/pdtc10/index.php?action=vallex&amp;frame=v-w6036f2", "shrnovat (v-w6036f2)")</f>
        <v>shrnovat (v-w6036f2)</v>
      </c>
    </row>
    <row r="43804" spans="1:4" x14ac:dyDescent="0.2">
      <c r="B43804" t="s">
        <v>1</v>
      </c>
    </row>
    <row r="43805" spans="1:4" x14ac:dyDescent="0.2">
      <c r="B43805" t="s">
        <v>8</v>
      </c>
    </row>
    <row r="43806" spans="1:4" x14ac:dyDescent="0.2">
      <c r="B43806" t="s">
        <v>333</v>
      </c>
    </row>
    <row r="43808" spans="1:4" x14ac:dyDescent="0.2">
      <c r="A43808" t="s">
        <v>14019</v>
      </c>
      <c r="B43808" t="str">
        <f>HYPERLINK("https://lindat.mff.cuni.cz/services/teitok/pdtc10/index.php?action=vallex&amp;frame=v-w6043f1", "shromažďovat (v-w6043f1)")</f>
        <v>shromažďovat (v-w6043f1)</v>
      </c>
    </row>
    <row r="43809" spans="1:4" x14ac:dyDescent="0.2">
      <c r="B43809" t="s">
        <v>1</v>
      </c>
      <c r="C43809" t="s">
        <v>6529</v>
      </c>
      <c r="D43809" t="s">
        <v>16226</v>
      </c>
    </row>
    <row r="43810" spans="1:4" x14ac:dyDescent="0.2">
      <c r="B43810" t="s">
        <v>8</v>
      </c>
      <c r="C43810" t="s">
        <v>328</v>
      </c>
      <c r="D43810" t="s">
        <v>3270</v>
      </c>
    </row>
    <row r="43812" spans="1:4" x14ac:dyDescent="0.2">
      <c r="A43812" t="s">
        <v>14020</v>
      </c>
      <c r="B43812" t="str">
        <f>HYPERLINK("https://lindat.mff.cuni.cz/services/teitok/pdtc10/index.php?action=vallex&amp;frame=v-w6044f1", "shromažďovat se (v-w6044f1)")</f>
        <v>shromažďovat se (v-w6044f1)</v>
      </c>
    </row>
    <row r="43813" spans="1:4" x14ac:dyDescent="0.2">
      <c r="B43813" t="s">
        <v>1</v>
      </c>
      <c r="C43813" t="s">
        <v>6793</v>
      </c>
      <c r="D43813" t="s">
        <v>10477</v>
      </c>
    </row>
    <row r="43814" spans="1:4" x14ac:dyDescent="0.2">
      <c r="B43814" t="s">
        <v>5</v>
      </c>
    </row>
    <row r="43816" spans="1:4" x14ac:dyDescent="0.2">
      <c r="A43816" t="s">
        <v>14021</v>
      </c>
      <c r="B43816" t="str">
        <f>HYPERLINK("https://lindat.mff.cuni.cz/services/teitok/pdtc10/index.php?action=vallex&amp;frame=v-w6040f1", "shromáždit (v-w6040f1)")</f>
        <v>shromáždit (v-w6040f1)</v>
      </c>
    </row>
    <row r="43817" spans="1:4" x14ac:dyDescent="0.2">
      <c r="B43817" t="s">
        <v>1</v>
      </c>
      <c r="C43817" t="s">
        <v>14022</v>
      </c>
      <c r="D43817" t="s">
        <v>16226</v>
      </c>
    </row>
    <row r="43818" spans="1:4" x14ac:dyDescent="0.2">
      <c r="B43818" t="s">
        <v>8</v>
      </c>
      <c r="C43818" t="s">
        <v>10484</v>
      </c>
      <c r="D43818" t="s">
        <v>3270</v>
      </c>
    </row>
    <row r="43820" spans="1:4" x14ac:dyDescent="0.2">
      <c r="A43820" t="s">
        <v>14023</v>
      </c>
      <c r="B43820" t="str">
        <f>HYPERLINK("https://lindat.mff.cuni.cz/services/teitok/pdtc10/index.php?action=vallex&amp;frame=v-w6041f1", "shromáždit se (v-w6041f1)")</f>
        <v>shromáždit se (v-w6041f1)</v>
      </c>
    </row>
    <row r="43821" spans="1:4" x14ac:dyDescent="0.2">
      <c r="B43821" t="s">
        <v>1</v>
      </c>
      <c r="C43821" t="s">
        <v>14024</v>
      </c>
      <c r="D43821" t="s">
        <v>10477</v>
      </c>
    </row>
    <row r="43822" spans="1:4" x14ac:dyDescent="0.2">
      <c r="B43822" t="s">
        <v>5</v>
      </c>
    </row>
    <row r="43824" spans="1:4" x14ac:dyDescent="0.2">
      <c r="A43824" t="s">
        <v>14025</v>
      </c>
      <c r="B43824" t="str">
        <f>HYPERLINK("https://lindat.mff.cuni.cz/services/teitok/pdtc10/index.php?action=vallex&amp;frame=v-w6041f2", "shromáždit se (v-w6041f2)")</f>
        <v>shromáždit se (v-w6041f2)</v>
      </c>
    </row>
    <row r="43825" spans="1:4" x14ac:dyDescent="0.2">
      <c r="B43825" t="s">
        <v>1</v>
      </c>
    </row>
    <row r="43826" spans="1:4" x14ac:dyDescent="0.2">
      <c r="B43826" t="s">
        <v>90</v>
      </c>
    </row>
    <row r="43828" spans="1:4" x14ac:dyDescent="0.2">
      <c r="A43828" t="s">
        <v>14026</v>
      </c>
      <c r="B43828" t="str">
        <f>HYPERLINK("https://lindat.mff.cuni.cz/services/teitok/pdtc10/index.php?action=vallex&amp;frame=v-w10084f2", "shrábnout (v-w10084f2)")</f>
        <v>shrábnout (v-w10084f2)</v>
      </c>
    </row>
    <row r="43829" spans="1:4" x14ac:dyDescent="0.2">
      <c r="B43829" t="s">
        <v>1</v>
      </c>
      <c r="C43829" t="s">
        <v>964</v>
      </c>
      <c r="D43829" t="s">
        <v>92</v>
      </c>
    </row>
    <row r="43830" spans="1:4" x14ac:dyDescent="0.2">
      <c r="B43830" t="s">
        <v>8</v>
      </c>
      <c r="C43830" t="s">
        <v>2755</v>
      </c>
      <c r="D43830" t="s">
        <v>3433</v>
      </c>
    </row>
    <row r="43831" spans="1:4" x14ac:dyDescent="0.2">
      <c r="B43831" t="s">
        <v>321</v>
      </c>
      <c r="C43831" t="s">
        <v>1443</v>
      </c>
      <c r="D43831" t="s">
        <v>1443</v>
      </c>
    </row>
    <row r="43833" spans="1:4" x14ac:dyDescent="0.2">
      <c r="A43833" t="s">
        <v>14027</v>
      </c>
      <c r="B43833" t="str">
        <f>HYPERLINK("https://lindat.mff.cuni.cz/services/teitok/pdtc10/index.php?action=vallex&amp;frame=v-w6020f2_MM", "shánět (v-w6020f2_MM)")</f>
        <v>shánět (v-w6020f2_MM)</v>
      </c>
    </row>
    <row r="43834" spans="1:4" x14ac:dyDescent="0.2">
      <c r="B43834" t="s">
        <v>1</v>
      </c>
    </row>
    <row r="43835" spans="1:4" x14ac:dyDescent="0.2">
      <c r="B43835" t="s">
        <v>172</v>
      </c>
    </row>
    <row r="43837" spans="1:4" x14ac:dyDescent="0.2">
      <c r="A43837" t="s">
        <v>14027</v>
      </c>
      <c r="B43837" t="str">
        <f>HYPERLINK("https://lindat.mff.cuni.cz/services/teitok/pdtc10/index.php?action=vallex&amp;frame=v-w6020f1", "shánět (v-w6020f1) - substituted with v-w6020f2_MM")</f>
        <v>shánět (v-w6020f1) - substituted with v-w6020f2_MM</v>
      </c>
    </row>
    <row r="43838" spans="1:4" x14ac:dyDescent="0.2">
      <c r="B43838" t="s">
        <v>1</v>
      </c>
      <c r="C43838" t="s">
        <v>14028</v>
      </c>
      <c r="D43838" t="s">
        <v>9603</v>
      </c>
    </row>
    <row r="43839" spans="1:4" x14ac:dyDescent="0.2">
      <c r="B43839" t="s">
        <v>172</v>
      </c>
      <c r="C43839" t="s">
        <v>14029</v>
      </c>
      <c r="D43839" t="s">
        <v>19237</v>
      </c>
    </row>
    <row r="43841" spans="1:4" x14ac:dyDescent="0.2">
      <c r="A43841" t="s">
        <v>14030</v>
      </c>
      <c r="B43841" t="str">
        <f>HYPERLINK("https://lindat.mff.cuni.cz/services/teitok/pdtc10/index.php?action=vallex&amp;frame=v-w6021f1", "shánět se (v-w6021f1)")</f>
        <v>shánět se (v-w6021f1)</v>
      </c>
    </row>
    <row r="43842" spans="1:4" x14ac:dyDescent="0.2">
      <c r="B43842" t="s">
        <v>1</v>
      </c>
    </row>
    <row r="43843" spans="1:4" x14ac:dyDescent="0.2">
      <c r="B43843" t="s">
        <v>1165</v>
      </c>
    </row>
    <row r="43845" spans="1:4" x14ac:dyDescent="0.2">
      <c r="A43845" t="s">
        <v>14031</v>
      </c>
      <c r="B43845" t="str">
        <f>HYPERLINK("https://lindat.mff.cuni.cz/services/teitok/pdtc10/index.php?action=vallex&amp;frame=v-w12250_ZUf1_ZU", "shýbnout se (v-w12250_ZUf1_ZU)")</f>
        <v>shýbnout se (v-w12250_ZUf1_ZU)</v>
      </c>
    </row>
    <row r="43846" spans="1:4" x14ac:dyDescent="0.2">
      <c r="B43846" t="s">
        <v>1</v>
      </c>
    </row>
    <row r="43847" spans="1:4" x14ac:dyDescent="0.2">
      <c r="B43847" t="s">
        <v>14032</v>
      </c>
    </row>
    <row r="43849" spans="1:4" x14ac:dyDescent="0.2">
      <c r="A43849" t="s">
        <v>14033</v>
      </c>
      <c r="B43849" t="str">
        <f>HYPERLINK("https://lindat.mff.cuni.cz/services/teitok/pdtc10/index.php?action=vallex&amp;frame=v-w6063f1", "signalizovat (v-w6063f1)")</f>
        <v>signalizovat (v-w6063f1)</v>
      </c>
    </row>
    <row r="43850" spans="1:4" x14ac:dyDescent="0.2">
      <c r="B43850" t="s">
        <v>1</v>
      </c>
      <c r="C43850" t="s">
        <v>306</v>
      </c>
      <c r="D43850" t="s">
        <v>24165</v>
      </c>
    </row>
    <row r="43851" spans="1:4" x14ac:dyDescent="0.2">
      <c r="B43851" t="s">
        <v>41</v>
      </c>
      <c r="C43851" t="s">
        <v>14034</v>
      </c>
      <c r="D43851" t="s">
        <v>24166</v>
      </c>
    </row>
    <row r="43852" spans="1:4" x14ac:dyDescent="0.2">
      <c r="B43852" t="s">
        <v>78</v>
      </c>
      <c r="C43852" t="s">
        <v>14035</v>
      </c>
      <c r="D43852" t="s">
        <v>24167</v>
      </c>
    </row>
    <row r="43854" spans="1:4" x14ac:dyDescent="0.2">
      <c r="A43854" t="s">
        <v>14036</v>
      </c>
      <c r="B43854" t="str">
        <f>HYPERLINK("https://lindat.mff.cuni.cz/services/teitok/pdtc10/index.php?action=vallex&amp;frame=v-w6063f3_ZU", "signalizovat (v-w6063f3_ZU)")</f>
        <v>signalizovat (v-w6063f3_ZU)</v>
      </c>
    </row>
    <row r="43855" spans="1:4" x14ac:dyDescent="0.2">
      <c r="B43855" t="s">
        <v>1</v>
      </c>
      <c r="C43855" t="s">
        <v>306</v>
      </c>
    </row>
    <row r="43856" spans="1:4" x14ac:dyDescent="0.2">
      <c r="B43856" t="s">
        <v>41</v>
      </c>
      <c r="C43856" t="s">
        <v>9005</v>
      </c>
    </row>
    <row r="43858" spans="1:4" x14ac:dyDescent="0.2">
      <c r="A43858" t="s">
        <v>14036</v>
      </c>
      <c r="B43858" t="str">
        <f>HYPERLINK("https://lindat.mff.cuni.cz/services/teitok/pdtc10/index.php?action=vallex&amp;frame=v-w6063f2", "signalizovat (v-w6063f2) - substituted with v-w6063f3_ZU")</f>
        <v>signalizovat (v-w6063f2) - substituted with v-w6063f3_ZU</v>
      </c>
    </row>
    <row r="43859" spans="1:4" x14ac:dyDescent="0.2">
      <c r="B43859" t="s">
        <v>1</v>
      </c>
      <c r="C43859" t="s">
        <v>306</v>
      </c>
    </row>
    <row r="43860" spans="1:4" x14ac:dyDescent="0.2">
      <c r="B43860" t="s">
        <v>41</v>
      </c>
      <c r="C43860" t="s">
        <v>9005</v>
      </c>
    </row>
    <row r="43862" spans="1:4" x14ac:dyDescent="0.2">
      <c r="A43862" t="s">
        <v>14037</v>
      </c>
      <c r="B43862" t="str">
        <f>HYPERLINK("https://lindat.mff.cuni.cz/services/teitok/pdtc10/index.php?action=vallex&amp;frame=v-w6063hsa_200", "signalizovat (v-w6063hsa_200)")</f>
        <v>signalizovat (v-w6063hsa_200)</v>
      </c>
    </row>
    <row r="43863" spans="1:4" x14ac:dyDescent="0.2">
      <c r="B43863" t="s">
        <v>1</v>
      </c>
    </row>
    <row r="43865" spans="1:4" x14ac:dyDescent="0.2">
      <c r="A43865" t="s">
        <v>14038</v>
      </c>
      <c r="B43865" t="str">
        <f>HYPERLINK("https://lindat.mff.cuni.cz/services/teitok/pdtc10/index.php?action=vallex&amp;frame=v-w6067f1", "signovat (v-w6067f1)")</f>
        <v>signovat (v-w6067f1)</v>
      </c>
    </row>
    <row r="43866" spans="1:4" x14ac:dyDescent="0.2">
      <c r="B43866" t="s">
        <v>1</v>
      </c>
    </row>
    <row r="43867" spans="1:4" x14ac:dyDescent="0.2">
      <c r="B43867" t="s">
        <v>8</v>
      </c>
    </row>
    <row r="43869" spans="1:4" x14ac:dyDescent="0.2">
      <c r="A43869" t="s">
        <v>14039</v>
      </c>
      <c r="B43869" t="str">
        <f>HYPERLINK("https://lindat.mff.cuni.cz/services/teitok/pdtc10/index.php?action=vallex&amp;frame=v-w6070f1", "simulovat (v-w6070f1)")</f>
        <v>simulovat (v-w6070f1)</v>
      </c>
    </row>
    <row r="43870" spans="1:4" x14ac:dyDescent="0.2">
      <c r="B43870" t="s">
        <v>1</v>
      </c>
      <c r="C43870" t="s">
        <v>133</v>
      </c>
      <c r="D43870" t="s">
        <v>2303</v>
      </c>
    </row>
    <row r="43871" spans="1:4" x14ac:dyDescent="0.2">
      <c r="B43871" t="s">
        <v>13040</v>
      </c>
      <c r="C43871" t="s">
        <v>991</v>
      </c>
      <c r="D43871" t="s">
        <v>2240</v>
      </c>
    </row>
    <row r="43873" spans="1:4" x14ac:dyDescent="0.2">
      <c r="A43873" t="s">
        <v>14040</v>
      </c>
      <c r="B43873" t="str">
        <f>HYPERLINK("https://lindat.mff.cuni.cz/services/teitok/pdtc10/index.php?action=vallex&amp;frame=v-w6075f1", "situovat (v-w6075f1)")</f>
        <v>situovat (v-w6075f1)</v>
      </c>
    </row>
    <row r="43874" spans="1:4" x14ac:dyDescent="0.2">
      <c r="B43874" t="s">
        <v>1</v>
      </c>
    </row>
    <row r="43875" spans="1:4" x14ac:dyDescent="0.2">
      <c r="B43875" t="s">
        <v>8</v>
      </c>
    </row>
    <row r="43876" spans="1:4" x14ac:dyDescent="0.2">
      <c r="B43876" t="s">
        <v>90</v>
      </c>
    </row>
    <row r="43878" spans="1:4" x14ac:dyDescent="0.2">
      <c r="A43878" t="s">
        <v>14041</v>
      </c>
      <c r="B43878" t="str">
        <f>HYPERLINK("https://lindat.mff.cuni.cz/services/teitok/pdtc10/index.php?action=vallex&amp;frame=v-w6078f1", "sjednat (v-w6078f1)")</f>
        <v>sjednat (v-w6078f1)</v>
      </c>
    </row>
    <row r="43879" spans="1:4" x14ac:dyDescent="0.2">
      <c r="B43879" t="s">
        <v>1</v>
      </c>
      <c r="C43879" t="s">
        <v>14042</v>
      </c>
      <c r="D43879" t="s">
        <v>6039</v>
      </c>
    </row>
    <row r="43880" spans="1:4" x14ac:dyDescent="0.2">
      <c r="B43880" t="s">
        <v>14043</v>
      </c>
      <c r="C43880" t="s">
        <v>14044</v>
      </c>
      <c r="D43880" t="s">
        <v>23123</v>
      </c>
    </row>
    <row r="43881" spans="1:4" x14ac:dyDescent="0.2">
      <c r="B43881" t="s">
        <v>153</v>
      </c>
      <c r="C43881" t="s">
        <v>14045</v>
      </c>
      <c r="D43881" t="s">
        <v>23124</v>
      </c>
    </row>
    <row r="43883" spans="1:4" x14ac:dyDescent="0.2">
      <c r="A43883" t="s">
        <v>14046</v>
      </c>
      <c r="B43883" t="str">
        <f>HYPERLINK("https://lindat.mff.cuni.cz/services/teitok/pdtc10/index.php?action=vallex&amp;frame=v-w6083f1", "sjednocovat (v-w6083f1)")</f>
        <v>sjednocovat (v-w6083f1)</v>
      </c>
    </row>
    <row r="43884" spans="1:4" x14ac:dyDescent="0.2">
      <c r="B43884" t="s">
        <v>1</v>
      </c>
    </row>
    <row r="43885" spans="1:4" x14ac:dyDescent="0.2">
      <c r="B43885" t="s">
        <v>8</v>
      </c>
    </row>
    <row r="43886" spans="1:4" x14ac:dyDescent="0.2">
      <c r="B43886" t="s">
        <v>153</v>
      </c>
    </row>
    <row r="43887" spans="1:4" x14ac:dyDescent="0.2">
      <c r="B43887" t="s">
        <v>14047</v>
      </c>
    </row>
    <row r="43889" spans="1:4" x14ac:dyDescent="0.2">
      <c r="A43889" t="s">
        <v>14048</v>
      </c>
      <c r="B43889" t="str">
        <f>HYPERLINK("https://lindat.mff.cuni.cz/services/teitok/pdtc10/index.php?action=vallex&amp;frame=v-w6084f2_ZU", "sjednotit (v-w6084f2_ZU)")</f>
        <v>sjednotit (v-w6084f2_ZU)</v>
      </c>
    </row>
    <row r="43890" spans="1:4" x14ac:dyDescent="0.2">
      <c r="B43890" t="s">
        <v>1</v>
      </c>
      <c r="C43890" t="s">
        <v>33</v>
      </c>
      <c r="D43890" t="s">
        <v>373</v>
      </c>
    </row>
    <row r="43891" spans="1:4" x14ac:dyDescent="0.2">
      <c r="B43891" t="s">
        <v>8</v>
      </c>
      <c r="C43891" t="s">
        <v>23</v>
      </c>
      <c r="D43891" t="s">
        <v>17</v>
      </c>
    </row>
    <row r="43892" spans="1:4" x14ac:dyDescent="0.2">
      <c r="B43892" t="s">
        <v>153</v>
      </c>
      <c r="D43892" t="s">
        <v>23364</v>
      </c>
    </row>
    <row r="43893" spans="1:4" x14ac:dyDescent="0.2">
      <c r="B43893" t="s">
        <v>14047</v>
      </c>
      <c r="C43893" t="s">
        <v>1045</v>
      </c>
      <c r="D43893" t="s">
        <v>14051</v>
      </c>
    </row>
    <row r="43894" spans="1:4" x14ac:dyDescent="0.2">
      <c r="B43894" t="s">
        <v>24</v>
      </c>
      <c r="C43894" t="s">
        <v>1289</v>
      </c>
    </row>
    <row r="43896" spans="1:4" x14ac:dyDescent="0.2">
      <c r="A43896" t="s">
        <v>14048</v>
      </c>
      <c r="B43896" t="str">
        <f>HYPERLINK("https://lindat.mff.cuni.cz/services/teitok/pdtc10/index.php?action=vallex&amp;frame=v-w6084f1", "sjednotit (v-w6084f1) - substituted with v-w6084f2_ZU")</f>
        <v>sjednotit (v-w6084f1) - substituted with v-w6084f2_ZU</v>
      </c>
    </row>
    <row r="43897" spans="1:4" x14ac:dyDescent="0.2">
      <c r="B43897" t="s">
        <v>1</v>
      </c>
      <c r="C43897" t="s">
        <v>14049</v>
      </c>
    </row>
    <row r="43898" spans="1:4" x14ac:dyDescent="0.2">
      <c r="B43898" t="s">
        <v>8</v>
      </c>
      <c r="C43898" t="s">
        <v>14050</v>
      </c>
    </row>
    <row r="43899" spans="1:4" x14ac:dyDescent="0.2">
      <c r="B43899" t="s">
        <v>153</v>
      </c>
      <c r="C43899" t="s">
        <v>4440</v>
      </c>
    </row>
    <row r="43900" spans="1:4" x14ac:dyDescent="0.2">
      <c r="B43900" t="s">
        <v>14047</v>
      </c>
      <c r="C43900" t="s">
        <v>14051</v>
      </c>
    </row>
    <row r="43901" spans="1:4" x14ac:dyDescent="0.2">
      <c r="B43901" t="s">
        <v>24</v>
      </c>
    </row>
    <row r="43903" spans="1:4" x14ac:dyDescent="0.2">
      <c r="A43903" t="s">
        <v>14052</v>
      </c>
      <c r="B43903" t="str">
        <f>HYPERLINK("https://lindat.mff.cuni.cz/services/teitok/pdtc10/index.php?action=vallex&amp;frame=v-w6085f1", "sjednotit se (v-w6085f1)")</f>
        <v>sjednotit se (v-w6085f1)</v>
      </c>
    </row>
    <row r="43904" spans="1:4" x14ac:dyDescent="0.2">
      <c r="B43904" t="s">
        <v>1</v>
      </c>
      <c r="C43904" t="s">
        <v>147</v>
      </c>
      <c r="D43904" t="s">
        <v>23233</v>
      </c>
    </row>
    <row r="43905" spans="1:4" x14ac:dyDescent="0.2">
      <c r="B43905" t="s">
        <v>411</v>
      </c>
      <c r="D43905" t="s">
        <v>23234</v>
      </c>
    </row>
    <row r="43906" spans="1:4" x14ac:dyDescent="0.2">
      <c r="B43906" t="s">
        <v>2156</v>
      </c>
      <c r="D43906" t="s">
        <v>23829</v>
      </c>
    </row>
    <row r="43908" spans="1:4" x14ac:dyDescent="0.2">
      <c r="A43908" t="s">
        <v>14053</v>
      </c>
      <c r="B43908" t="str">
        <f>HYPERLINK("https://lindat.mff.cuni.cz/services/teitok/pdtc10/index.php?action=vallex&amp;frame=v-w6080f1", "sjednávat (v-w6080f1)")</f>
        <v>sjednávat (v-w6080f1)</v>
      </c>
    </row>
    <row r="43909" spans="1:4" x14ac:dyDescent="0.2">
      <c r="B43909" t="s">
        <v>1</v>
      </c>
      <c r="C43909" t="s">
        <v>13005</v>
      </c>
      <c r="D43909" t="s">
        <v>6039</v>
      </c>
    </row>
    <row r="43910" spans="1:4" x14ac:dyDescent="0.2">
      <c r="B43910" t="s">
        <v>14043</v>
      </c>
      <c r="C43910" t="s">
        <v>14054</v>
      </c>
      <c r="D43910" t="s">
        <v>23123</v>
      </c>
    </row>
    <row r="43911" spans="1:4" x14ac:dyDescent="0.2">
      <c r="B43911" t="s">
        <v>153</v>
      </c>
      <c r="C43911" t="s">
        <v>1507</v>
      </c>
      <c r="D43911" t="s">
        <v>23124</v>
      </c>
    </row>
    <row r="43913" spans="1:4" x14ac:dyDescent="0.2">
      <c r="A43913" t="s">
        <v>14055</v>
      </c>
      <c r="B43913" t="str">
        <f>HYPERLINK("https://lindat.mff.cuni.cz/services/teitok/pdtc10/index.php?action=vallex&amp;frame=v-w6080f2", "sjednávat (v-w6080f2)")</f>
        <v>sjednávat (v-w6080f2)</v>
      </c>
    </row>
    <row r="43914" spans="1:4" x14ac:dyDescent="0.2">
      <c r="B43914" t="s">
        <v>1</v>
      </c>
    </row>
    <row r="43915" spans="1:4" x14ac:dyDescent="0.2">
      <c r="B43915" t="s">
        <v>14056</v>
      </c>
    </row>
    <row r="43917" spans="1:4" x14ac:dyDescent="0.2">
      <c r="A43917" t="s">
        <v>14057</v>
      </c>
      <c r="B43917" t="str">
        <f>HYPERLINK("https://lindat.mff.cuni.cz/services/teitok/pdtc10/index.php?action=vallex&amp;frame=v-w6086f1", "sjet (v-w6086f1)")</f>
        <v>sjet (v-w6086f1)</v>
      </c>
    </row>
    <row r="43918" spans="1:4" x14ac:dyDescent="0.2">
      <c r="B43918" t="s">
        <v>1</v>
      </c>
    </row>
    <row r="43919" spans="1:4" x14ac:dyDescent="0.2">
      <c r="B43919" t="s">
        <v>333</v>
      </c>
    </row>
    <row r="43921" spans="1:2" x14ac:dyDescent="0.2">
      <c r="A43921" t="s">
        <v>14058</v>
      </c>
      <c r="B43921" t="str">
        <f>HYPERLINK("https://lindat.mff.cuni.cz/services/teitok/pdtc10/index.php?action=vallex&amp;frame=v-w6086f3_ZU", "sjet (v-w6086f3_ZU)")</f>
        <v>sjet (v-w6086f3_ZU)</v>
      </c>
    </row>
    <row r="43922" spans="1:2" x14ac:dyDescent="0.2">
      <c r="B43922" t="s">
        <v>1</v>
      </c>
    </row>
    <row r="43923" spans="1:2" x14ac:dyDescent="0.2">
      <c r="B43923" t="s">
        <v>90</v>
      </c>
    </row>
    <row r="43925" spans="1:2" x14ac:dyDescent="0.2">
      <c r="A43925" t="s">
        <v>14058</v>
      </c>
      <c r="B43925" t="str">
        <f>HYPERLINK("https://lindat.mff.cuni.cz/services/teitok/pdtc10/index.php?action=vallex&amp;frame=v-w6086f2_ZU", "sjet (v-w6086f2_ZU) - substituted with v-w6086f3_ZU")</f>
        <v>sjet (v-w6086f2_ZU) - substituted with v-w6086f3_ZU</v>
      </c>
    </row>
    <row r="43926" spans="1:2" x14ac:dyDescent="0.2">
      <c r="B43926" t="s">
        <v>1</v>
      </c>
    </row>
    <row r="43927" spans="1:2" x14ac:dyDescent="0.2">
      <c r="B43927" t="s">
        <v>90</v>
      </c>
    </row>
    <row r="43929" spans="1:2" x14ac:dyDescent="0.2">
      <c r="A43929" t="s">
        <v>14058</v>
      </c>
      <c r="B43929" t="str">
        <f>HYPERLINK("https://lindat.mff.cuni.cz/services/teitok/pdtc10/index.php?action=vallex&amp;frame=v-w6086hsa_1156", "sjet (v-w6086hsa_1156) - substituted with v-w6086f3_ZU")</f>
        <v>sjet (v-w6086hsa_1156) - substituted with v-w6086f3_ZU</v>
      </c>
    </row>
    <row r="43930" spans="1:2" x14ac:dyDescent="0.2">
      <c r="B43930" t="s">
        <v>1</v>
      </c>
    </row>
    <row r="43931" spans="1:2" x14ac:dyDescent="0.2">
      <c r="B43931" t="s">
        <v>90</v>
      </c>
    </row>
    <row r="43933" spans="1:2" x14ac:dyDescent="0.2">
      <c r="A43933" t="s">
        <v>14059</v>
      </c>
      <c r="B43933" t="str">
        <f>HYPERLINK("https://lindat.mff.cuni.cz/services/teitok/pdtc10/index.php?action=vallex&amp;frame=v-w6086hsa_1155", "sjet (v-w6086hsa_1155)")</f>
        <v>sjet (v-w6086hsa_1155)</v>
      </c>
    </row>
    <row r="43934" spans="1:2" x14ac:dyDescent="0.2">
      <c r="B43934" t="s">
        <v>1</v>
      </c>
    </row>
    <row r="43935" spans="1:2" x14ac:dyDescent="0.2">
      <c r="B43935" t="s">
        <v>8</v>
      </c>
    </row>
    <row r="43937" spans="1:2" x14ac:dyDescent="0.2">
      <c r="A43937" t="s">
        <v>14060</v>
      </c>
      <c r="B43937" t="str">
        <f>HYPERLINK("https://lindat.mff.cuni.cz/services/teitok/pdtc10/index.php?action=vallex&amp;frame=v-w6086hsa_1157", "sjet (v-w6086hsa_1157)")</f>
        <v>sjet (v-w6086hsa_1157)</v>
      </c>
    </row>
    <row r="43938" spans="1:2" x14ac:dyDescent="0.2">
      <c r="B43938" t="s">
        <v>1</v>
      </c>
    </row>
    <row r="43939" spans="1:2" x14ac:dyDescent="0.2">
      <c r="B43939" t="s">
        <v>333</v>
      </c>
    </row>
    <row r="43941" spans="1:2" x14ac:dyDescent="0.2">
      <c r="A43941" t="s">
        <v>14061</v>
      </c>
      <c r="B43941" t="str">
        <f>HYPERLINK("https://lindat.mff.cuni.cz/services/teitok/pdtc10/index.php?action=vallex&amp;frame=v-w6087f2", "sjet se (v-w6087f2)")</f>
        <v>sjet se (v-w6087f2)</v>
      </c>
    </row>
    <row r="43942" spans="1:2" x14ac:dyDescent="0.2">
      <c r="B43942" t="s">
        <v>1</v>
      </c>
    </row>
    <row r="43943" spans="1:2" x14ac:dyDescent="0.2">
      <c r="B43943" t="s">
        <v>5</v>
      </c>
    </row>
    <row r="43945" spans="1:2" x14ac:dyDescent="0.2">
      <c r="A43945" t="s">
        <v>14062</v>
      </c>
      <c r="B43945" t="str">
        <f>HYPERLINK("https://lindat.mff.cuni.cz/services/teitok/pdtc10/index.php?action=vallex&amp;frame=v-w6087f1", "sjet se (v-w6087f1)")</f>
        <v>sjet se (v-w6087f1)</v>
      </c>
    </row>
    <row r="43946" spans="1:2" x14ac:dyDescent="0.2">
      <c r="B43946" t="s">
        <v>1</v>
      </c>
    </row>
    <row r="43947" spans="1:2" x14ac:dyDescent="0.2">
      <c r="B43947" t="s">
        <v>90</v>
      </c>
    </row>
    <row r="43949" spans="1:2" x14ac:dyDescent="0.2">
      <c r="A43949" t="s">
        <v>14063</v>
      </c>
      <c r="B43949" t="str">
        <f>HYPERLINK("https://lindat.mff.cuni.cz/services/teitok/pdtc10/index.php?action=vallex&amp;frame=v-w6089f1", "sjezdit (v-w6089f1)")</f>
        <v>sjezdit (v-w6089f1)</v>
      </c>
    </row>
    <row r="43950" spans="1:2" x14ac:dyDescent="0.2">
      <c r="B43950" t="s">
        <v>1</v>
      </c>
    </row>
    <row r="43951" spans="1:2" x14ac:dyDescent="0.2">
      <c r="B43951" t="s">
        <v>8</v>
      </c>
    </row>
    <row r="43953" spans="1:3" x14ac:dyDescent="0.2">
      <c r="A43953" t="s">
        <v>14064</v>
      </c>
      <c r="B43953" t="str">
        <f>HYPERLINK("https://lindat.mff.cuni.cz/services/teitok/pdtc10/index.php?action=vallex&amp;frame=v-whsa_871hsa_872", "sjezdovat (v-whsa_871hsa_872)")</f>
        <v>sjezdovat (v-whsa_871hsa_872)</v>
      </c>
    </row>
    <row r="43954" spans="1:3" x14ac:dyDescent="0.2">
      <c r="B43954" t="s">
        <v>1</v>
      </c>
    </row>
    <row r="43956" spans="1:3" x14ac:dyDescent="0.2">
      <c r="A43956" t="s">
        <v>14065</v>
      </c>
      <c r="B43956" t="str">
        <f>HYPERLINK("https://lindat.mff.cuni.cz/services/teitok/pdtc10/index.php?action=vallex&amp;frame=v-w6090f1", "sjíždět (v-w6090f1)")</f>
        <v>sjíždět (v-w6090f1)</v>
      </c>
    </row>
    <row r="43957" spans="1:3" x14ac:dyDescent="0.2">
      <c r="B43957" t="s">
        <v>1</v>
      </c>
      <c r="C43957" t="s">
        <v>133</v>
      </c>
    </row>
    <row r="43958" spans="1:3" x14ac:dyDescent="0.2">
      <c r="B43958" t="s">
        <v>333</v>
      </c>
      <c r="C43958" t="s">
        <v>14066</v>
      </c>
    </row>
    <row r="43960" spans="1:3" x14ac:dyDescent="0.2">
      <c r="A43960" t="s">
        <v>14067</v>
      </c>
      <c r="B43960" t="str">
        <f>HYPERLINK("https://lindat.mff.cuni.cz/services/teitok/pdtc10/index.php?action=vallex&amp;frame=v-w6090hsa_10", "sjíždět (v-w6090hsa_10)")</f>
        <v>sjíždět (v-w6090hsa_10)</v>
      </c>
    </row>
    <row r="43961" spans="1:3" x14ac:dyDescent="0.2">
      <c r="B43961" t="s">
        <v>1</v>
      </c>
    </row>
    <row r="43962" spans="1:3" x14ac:dyDescent="0.2">
      <c r="B43962" t="s">
        <v>8</v>
      </c>
    </row>
    <row r="43964" spans="1:3" x14ac:dyDescent="0.2">
      <c r="A43964" t="s">
        <v>14068</v>
      </c>
      <c r="B43964" t="str">
        <f>HYPERLINK("https://lindat.mff.cuni.cz/services/teitok/pdtc10/index.php?action=vallex&amp;frame=v-w6091f1", "sjíždět se (v-w6091f1)")</f>
        <v>sjíždět se (v-w6091f1)</v>
      </c>
    </row>
    <row r="43965" spans="1:3" x14ac:dyDescent="0.2">
      <c r="B43965" t="s">
        <v>1</v>
      </c>
    </row>
    <row r="43966" spans="1:3" x14ac:dyDescent="0.2">
      <c r="B43966" t="s">
        <v>90</v>
      </c>
    </row>
    <row r="43968" spans="1:3" x14ac:dyDescent="0.2">
      <c r="A43968" t="s">
        <v>14069</v>
      </c>
      <c r="B43968" t="str">
        <f>HYPERLINK("https://lindat.mff.cuni.cz/services/teitok/pdtc10/index.php?action=vallex&amp;frame=v-w6091f2", "sjíždět se (v-w6091f2)")</f>
        <v>sjíždět se (v-w6091f2)</v>
      </c>
    </row>
    <row r="43969" spans="1:4" x14ac:dyDescent="0.2">
      <c r="B43969" t="s">
        <v>1</v>
      </c>
    </row>
    <row r="43971" spans="1:4" x14ac:dyDescent="0.2">
      <c r="A43971" t="s">
        <v>14070</v>
      </c>
      <c r="B43971" t="str">
        <f>HYPERLINK("https://lindat.mff.cuni.cz/services/teitok/pdtc10/index.php?action=vallex&amp;frame=v-w6091hsa_2026", "sjíždět se (v-w6091hsa_2026)")</f>
        <v>sjíždět se (v-w6091hsa_2026)</v>
      </c>
    </row>
    <row r="43972" spans="1:4" x14ac:dyDescent="0.2">
      <c r="B43972" t="s">
        <v>1</v>
      </c>
    </row>
    <row r="43973" spans="1:4" x14ac:dyDescent="0.2">
      <c r="B43973" t="s">
        <v>5</v>
      </c>
    </row>
    <row r="43975" spans="1:4" x14ac:dyDescent="0.2">
      <c r="A43975" t="s">
        <v>14071</v>
      </c>
      <c r="B43975" t="str">
        <f>HYPERLINK("https://lindat.mff.cuni.cz/services/teitok/pdtc10/index.php?action=vallex&amp;frame=v-whsa_1217hsa_1218", "skamarádit se (v-whsa_1217hsa_1218)")</f>
        <v>skamarádit se (v-whsa_1217hsa_1218)</v>
      </c>
    </row>
    <row r="43976" spans="1:4" x14ac:dyDescent="0.2">
      <c r="B43976" t="s">
        <v>1</v>
      </c>
    </row>
    <row r="43977" spans="1:4" x14ac:dyDescent="0.2">
      <c r="B43977" t="s">
        <v>411</v>
      </c>
    </row>
    <row r="43979" spans="1:4" x14ac:dyDescent="0.2">
      <c r="A43979" t="s">
        <v>14072</v>
      </c>
      <c r="B43979" t="str">
        <f>HYPERLINK("https://lindat.mff.cuni.cz/services/teitok/pdtc10/index.php?action=vallex&amp;frame=v-w6093f1", "skandalizovat (v-w6093f1)")</f>
        <v>skandalizovat (v-w6093f1)</v>
      </c>
    </row>
    <row r="43980" spans="1:4" x14ac:dyDescent="0.2">
      <c r="B43980" t="s">
        <v>1</v>
      </c>
    </row>
    <row r="43981" spans="1:4" x14ac:dyDescent="0.2">
      <c r="B43981" t="s">
        <v>8</v>
      </c>
    </row>
    <row r="43983" spans="1:4" x14ac:dyDescent="0.2">
      <c r="A43983" t="s">
        <v>14073</v>
      </c>
      <c r="B43983" t="str">
        <f>HYPERLINK("https://lindat.mff.cuni.cz/services/teitok/pdtc10/index.php?action=vallex&amp;frame=v-w6095hsa_630", "skandovat (v-w6095hsa_630)")</f>
        <v>skandovat (v-w6095hsa_630)</v>
      </c>
    </row>
    <row r="43984" spans="1:4" x14ac:dyDescent="0.2">
      <c r="B43984" t="s">
        <v>1</v>
      </c>
      <c r="C43984" t="s">
        <v>249</v>
      </c>
      <c r="D43984" t="s">
        <v>80</v>
      </c>
    </row>
    <row r="43985" spans="1:4" x14ac:dyDescent="0.2">
      <c r="B43985" t="s">
        <v>279</v>
      </c>
      <c r="C43985" t="s">
        <v>991</v>
      </c>
      <c r="D43985" t="s">
        <v>1025</v>
      </c>
    </row>
    <row r="43987" spans="1:4" x14ac:dyDescent="0.2">
      <c r="A43987" t="s">
        <v>14073</v>
      </c>
      <c r="B43987" t="str">
        <f>HYPERLINK("https://lindat.mff.cuni.cz/services/teitok/pdtc10/index.php?action=vallex&amp;frame=v-w6095f1", "skandovat (v-w6095f1) - substituted with v-w6095hsa_630")</f>
        <v>skandovat (v-w6095f1) - substituted with v-w6095hsa_630</v>
      </c>
    </row>
    <row r="43988" spans="1:4" x14ac:dyDescent="0.2">
      <c r="B43988" t="s">
        <v>1</v>
      </c>
      <c r="C43988" t="s">
        <v>92</v>
      </c>
    </row>
    <row r="43989" spans="1:4" x14ac:dyDescent="0.2">
      <c r="B43989" t="s">
        <v>279</v>
      </c>
      <c r="C43989" t="s">
        <v>17</v>
      </c>
    </row>
    <row r="43991" spans="1:4" x14ac:dyDescent="0.2">
      <c r="A43991" t="s">
        <v>14074</v>
      </c>
      <c r="B43991" t="str">
        <f>HYPERLINK("https://lindat.mff.cuni.cz/services/teitok/pdtc10/index.php?action=vallex&amp;frame=v-w6098f1", "skartovat (v-w6098f1)")</f>
        <v>skartovat (v-w6098f1)</v>
      </c>
    </row>
    <row r="43992" spans="1:4" x14ac:dyDescent="0.2">
      <c r="B43992" t="s">
        <v>1</v>
      </c>
      <c r="C43992" t="s">
        <v>140</v>
      </c>
      <c r="D43992" t="s">
        <v>23088</v>
      </c>
    </row>
    <row r="43993" spans="1:4" x14ac:dyDescent="0.2">
      <c r="B43993" t="s">
        <v>8</v>
      </c>
      <c r="C43993" t="s">
        <v>113</v>
      </c>
      <c r="D43993" t="s">
        <v>986</v>
      </c>
    </row>
    <row r="43995" spans="1:4" x14ac:dyDescent="0.2">
      <c r="A43995" t="s">
        <v>14075</v>
      </c>
      <c r="B43995" t="str">
        <f>HYPERLINK("https://lindat.mff.cuni.cz/services/teitok/pdtc10/index.php?action=vallex&amp;frame=v-whsa_494hsa_495", "skautovat (v-whsa_494hsa_495)")</f>
        <v>skautovat (v-whsa_494hsa_495)</v>
      </c>
    </row>
    <row r="43996" spans="1:4" x14ac:dyDescent="0.2">
      <c r="B43996" t="s">
        <v>1</v>
      </c>
    </row>
    <row r="43998" spans="1:4" x14ac:dyDescent="0.2">
      <c r="A43998" t="s">
        <v>14076</v>
      </c>
      <c r="B43998" t="str">
        <f>HYPERLINK("https://lindat.mff.cuni.cz/services/teitok/pdtc10/index.php?action=vallex&amp;frame=v-w12245_ZUf1_ZU", "skejsnout (v-w12245_ZUf1_ZU)")</f>
        <v>skejsnout (v-w12245_ZUf1_ZU)</v>
      </c>
    </row>
    <row r="43999" spans="1:4" x14ac:dyDescent="0.2">
      <c r="B43999" t="s">
        <v>1</v>
      </c>
    </row>
    <row r="44000" spans="1:4" x14ac:dyDescent="0.2">
      <c r="B44000" t="s">
        <v>889</v>
      </c>
    </row>
    <row r="44002" spans="1:4" x14ac:dyDescent="0.2">
      <c r="A44002" t="s">
        <v>14077</v>
      </c>
      <c r="B44002" t="str">
        <f>HYPERLINK("https://lindat.mff.cuni.cz/services/teitok/pdtc10/index.php?action=vallex&amp;frame=v-w12084_ZUf1_ZU", "skenovat (v-w12084_ZUf1_ZU)")</f>
        <v>skenovat (v-w12084_ZUf1_ZU)</v>
      </c>
    </row>
    <row r="44003" spans="1:4" x14ac:dyDescent="0.2">
      <c r="B44003" t="s">
        <v>1</v>
      </c>
    </row>
    <row r="44004" spans="1:4" x14ac:dyDescent="0.2">
      <c r="B44004" t="s">
        <v>8</v>
      </c>
    </row>
    <row r="44006" spans="1:4" x14ac:dyDescent="0.2">
      <c r="A44006" t="s">
        <v>14078</v>
      </c>
      <c r="B44006" t="str">
        <f>HYPERLINK("https://lindat.mff.cuni.cz/services/teitok/pdtc10/index.php?action=vallex&amp;frame=v-w6108f1", "skladovat (v-w6108f1)")</f>
        <v>skladovat (v-w6108f1)</v>
      </c>
    </row>
    <row r="44007" spans="1:4" x14ac:dyDescent="0.2">
      <c r="B44007" t="s">
        <v>1</v>
      </c>
      <c r="C44007" t="s">
        <v>14079</v>
      </c>
      <c r="D44007" t="s">
        <v>14079</v>
      </c>
    </row>
    <row r="44008" spans="1:4" x14ac:dyDescent="0.2">
      <c r="B44008" t="s">
        <v>8</v>
      </c>
      <c r="C44008" t="s">
        <v>2240</v>
      </c>
      <c r="D44008" t="s">
        <v>2240</v>
      </c>
    </row>
    <row r="44010" spans="1:4" x14ac:dyDescent="0.2">
      <c r="A44010" t="s">
        <v>14080</v>
      </c>
      <c r="B44010" t="str">
        <f>HYPERLINK("https://lindat.mff.cuni.cz/services/teitok/pdtc10/index.php?action=vallex&amp;frame=v-w10791f2", "sklapnout (v-w10791f2)")</f>
        <v>sklapnout (v-w10791f2)</v>
      </c>
    </row>
    <row r="44011" spans="1:4" x14ac:dyDescent="0.2">
      <c r="B44011" t="s">
        <v>455</v>
      </c>
    </row>
    <row r="44013" spans="1:4" x14ac:dyDescent="0.2">
      <c r="A44013" t="s">
        <v>14081</v>
      </c>
      <c r="B44013" t="str">
        <f>HYPERLINK("https://lindat.mff.cuni.cz/services/teitok/pdtc10/index.php?action=vallex&amp;frame=v-w10791f3_MM", "sklapnout (v-w10791f3_MM)")</f>
        <v>sklapnout (v-w10791f3_MM)</v>
      </c>
    </row>
    <row r="44014" spans="1:4" x14ac:dyDescent="0.2">
      <c r="B44014" t="s">
        <v>1</v>
      </c>
    </row>
    <row r="44015" spans="1:4" x14ac:dyDescent="0.2">
      <c r="B44015" t="s">
        <v>8</v>
      </c>
    </row>
    <row r="44017" spans="1:4" x14ac:dyDescent="0.2">
      <c r="A44017" t="s">
        <v>14082</v>
      </c>
      <c r="B44017" t="str">
        <f>HYPERLINK("https://lindat.mff.cuni.cz/services/teitok/pdtc10/index.php?action=vallex&amp;frame=v-w10791hsa_740", "sklapnout (v-w10791hsa_740)")</f>
        <v>sklapnout (v-w10791hsa_740)</v>
      </c>
    </row>
    <row r="44018" spans="1:4" x14ac:dyDescent="0.2">
      <c r="B44018" t="s">
        <v>1</v>
      </c>
    </row>
    <row r="44020" spans="1:4" x14ac:dyDescent="0.2">
      <c r="A44020" t="s">
        <v>14083</v>
      </c>
      <c r="B44020" t="str">
        <f>HYPERLINK("https://lindat.mff.cuni.cz/services/teitok/pdtc10/index.php?action=vallex&amp;frame=v-whsa_1915hsa_1916", "sklepnout (v-whsa_1915hsa_1916)")</f>
        <v>sklepnout (v-whsa_1915hsa_1916)</v>
      </c>
    </row>
    <row r="44021" spans="1:4" x14ac:dyDescent="0.2">
      <c r="B44021" t="s">
        <v>1</v>
      </c>
    </row>
    <row r="44022" spans="1:4" x14ac:dyDescent="0.2">
      <c r="B44022" t="s">
        <v>8</v>
      </c>
    </row>
    <row r="44024" spans="1:4" x14ac:dyDescent="0.2">
      <c r="A44024" t="s">
        <v>14084</v>
      </c>
      <c r="B44024" t="str">
        <f>HYPERLINK("https://lindat.mff.cuni.cz/services/teitok/pdtc10/index.php?action=vallex&amp;frame=v-w6109f3_ZU", "sklidit (v-w6109f3_ZU)")</f>
        <v>sklidit (v-w6109f3_ZU)</v>
      </c>
    </row>
    <row r="44025" spans="1:4" x14ac:dyDescent="0.2">
      <c r="B44025" t="s">
        <v>1</v>
      </c>
      <c r="C44025" t="s">
        <v>334</v>
      </c>
      <c r="D44025" t="s">
        <v>92</v>
      </c>
    </row>
    <row r="44026" spans="1:4" x14ac:dyDescent="0.2">
      <c r="B44026" t="s">
        <v>8</v>
      </c>
      <c r="C44026" t="s">
        <v>56</v>
      </c>
      <c r="D44026" t="s">
        <v>3433</v>
      </c>
    </row>
    <row r="44027" spans="1:4" x14ac:dyDescent="0.2">
      <c r="B44027" t="s">
        <v>321</v>
      </c>
      <c r="C44027" t="s">
        <v>1443</v>
      </c>
      <c r="D44027" t="s">
        <v>1443</v>
      </c>
    </row>
    <row r="44029" spans="1:4" x14ac:dyDescent="0.2">
      <c r="A44029" t="s">
        <v>14085</v>
      </c>
      <c r="B44029" t="str">
        <f>HYPERLINK("https://lindat.mff.cuni.cz/services/teitok/pdtc10/index.php?action=vallex&amp;frame=v-w6109f1", "sklidit (v-w6109f1)")</f>
        <v>sklidit (v-w6109f1)</v>
      </c>
    </row>
    <row r="44030" spans="1:4" x14ac:dyDescent="0.2">
      <c r="B44030" t="s">
        <v>1</v>
      </c>
      <c r="C44030" t="s">
        <v>2303</v>
      </c>
      <c r="D44030" t="s">
        <v>133</v>
      </c>
    </row>
    <row r="44031" spans="1:4" x14ac:dyDescent="0.2">
      <c r="B44031" t="s">
        <v>8</v>
      </c>
      <c r="C44031" t="s">
        <v>11730</v>
      </c>
      <c r="D44031" t="s">
        <v>23766</v>
      </c>
    </row>
    <row r="44033" spans="1:2" x14ac:dyDescent="0.2">
      <c r="A44033" t="s">
        <v>14086</v>
      </c>
      <c r="B44033" t="str">
        <f>HYPERLINK("https://lindat.mff.cuni.cz/services/teitok/pdtc10/index.php?action=vallex&amp;frame=v-w6109f2", "sklidit (v-w6109f2)")</f>
        <v>sklidit (v-w6109f2)</v>
      </c>
    </row>
    <row r="44034" spans="1:2" x14ac:dyDescent="0.2">
      <c r="B44034" t="s">
        <v>1</v>
      </c>
    </row>
    <row r="44035" spans="1:2" x14ac:dyDescent="0.2">
      <c r="B44035" t="s">
        <v>8</v>
      </c>
    </row>
    <row r="44037" spans="1:2" x14ac:dyDescent="0.2">
      <c r="A44037" t="s">
        <v>14087</v>
      </c>
      <c r="B44037" t="str">
        <f>HYPERLINK("https://lindat.mff.cuni.cz/services/teitok/pdtc10/index.php?action=vallex&amp;frame=v-w6113f1", "sklonit (v-w6113f1)")</f>
        <v>sklonit (v-w6113f1)</v>
      </c>
    </row>
    <row r="44038" spans="1:2" x14ac:dyDescent="0.2">
      <c r="B44038" t="s">
        <v>1</v>
      </c>
    </row>
    <row r="44039" spans="1:2" x14ac:dyDescent="0.2">
      <c r="B44039" t="s">
        <v>14088</v>
      </c>
    </row>
    <row r="44040" spans="1:2" x14ac:dyDescent="0.2">
      <c r="B44040" t="s">
        <v>5328</v>
      </c>
    </row>
    <row r="44042" spans="1:2" x14ac:dyDescent="0.2">
      <c r="A44042" t="s">
        <v>14089</v>
      </c>
      <c r="B44042" t="str">
        <f>HYPERLINK("https://lindat.mff.cuni.cz/services/teitok/pdtc10/index.php?action=vallex&amp;frame=v-w6114f1", "sklonit se (v-w6114f1)")</f>
        <v>sklonit se (v-w6114f1)</v>
      </c>
    </row>
    <row r="44043" spans="1:2" x14ac:dyDescent="0.2">
      <c r="B44043" t="s">
        <v>1</v>
      </c>
    </row>
    <row r="44044" spans="1:2" x14ac:dyDescent="0.2">
      <c r="B44044" t="s">
        <v>5328</v>
      </c>
    </row>
    <row r="44046" spans="1:2" x14ac:dyDescent="0.2">
      <c r="A44046" t="s">
        <v>14090</v>
      </c>
      <c r="B44046" t="str">
        <f>HYPERLINK("https://lindat.mff.cuni.cz/services/teitok/pdtc10/index.php?action=vallex&amp;frame=v-w6114f2", "sklonit se (v-w6114f2)")</f>
        <v>sklonit se (v-w6114f2)</v>
      </c>
    </row>
    <row r="44047" spans="1:2" x14ac:dyDescent="0.2">
      <c r="B44047" t="s">
        <v>1</v>
      </c>
    </row>
    <row r="44049" spans="1:4" x14ac:dyDescent="0.2">
      <c r="A44049" t="s">
        <v>14091</v>
      </c>
      <c r="B44049" t="str">
        <f>HYPERLINK("https://lindat.mff.cuni.cz/services/teitok/pdtc10/index.php?action=vallex&amp;frame=v-whsa_1344f1_ZU", "sklopit (v-whsa_1344f1_ZU)")</f>
        <v>sklopit (v-whsa_1344f1_ZU)</v>
      </c>
    </row>
    <row r="44050" spans="1:4" x14ac:dyDescent="0.2">
      <c r="B44050" t="s">
        <v>1</v>
      </c>
    </row>
    <row r="44051" spans="1:4" x14ac:dyDescent="0.2">
      <c r="B44051" t="s">
        <v>8</v>
      </c>
    </row>
    <row r="44053" spans="1:4" x14ac:dyDescent="0.2">
      <c r="A44053" t="s">
        <v>14091</v>
      </c>
      <c r="B44053" t="str">
        <f>HYPERLINK("https://lindat.mff.cuni.cz/services/teitok/pdtc10/index.php?action=vallex&amp;frame=v-whsa_1344hsa_1345", "sklopit (v-whsa_1344hsa_1345) - substituted with v-whsa_1344f1_ZU")</f>
        <v>sklopit (v-whsa_1344hsa_1345) - substituted with v-whsa_1344f1_ZU</v>
      </c>
    </row>
    <row r="44054" spans="1:4" x14ac:dyDescent="0.2">
      <c r="B44054" t="s">
        <v>1</v>
      </c>
    </row>
    <row r="44055" spans="1:4" x14ac:dyDescent="0.2">
      <c r="B44055" t="s">
        <v>8</v>
      </c>
    </row>
    <row r="44057" spans="1:4" x14ac:dyDescent="0.2">
      <c r="A44057" t="s">
        <v>14092</v>
      </c>
      <c r="B44057" t="str">
        <f>HYPERLINK("https://lindat.mff.cuni.cz/services/teitok/pdtc10/index.php?action=vallex&amp;frame=v-w6117f1", "skloubit (v-w6117f1)")</f>
        <v>skloubit (v-w6117f1)</v>
      </c>
    </row>
    <row r="44058" spans="1:4" x14ac:dyDescent="0.2">
      <c r="B44058" t="s">
        <v>1</v>
      </c>
    </row>
    <row r="44059" spans="1:4" x14ac:dyDescent="0.2">
      <c r="B44059" t="s">
        <v>8</v>
      </c>
    </row>
    <row r="44060" spans="1:4" x14ac:dyDescent="0.2">
      <c r="B44060" t="s">
        <v>153</v>
      </c>
    </row>
    <row r="44061" spans="1:4" x14ac:dyDescent="0.2">
      <c r="B44061" t="s">
        <v>2156</v>
      </c>
    </row>
    <row r="44063" spans="1:4" x14ac:dyDescent="0.2">
      <c r="A44063" t="s">
        <v>14093</v>
      </c>
      <c r="B44063" t="str">
        <f>HYPERLINK("https://lindat.mff.cuni.cz/services/teitok/pdtc10/index.php?action=vallex&amp;frame=v-w6118f2", "sklouznout (v-w6118f2)")</f>
        <v>sklouznout (v-w6118f2)</v>
      </c>
    </row>
    <row r="44064" spans="1:4" x14ac:dyDescent="0.2">
      <c r="B44064" t="s">
        <v>1</v>
      </c>
      <c r="C44064" t="s">
        <v>14094</v>
      </c>
      <c r="D44064" t="s">
        <v>23736</v>
      </c>
    </row>
    <row r="44065" spans="1:4" x14ac:dyDescent="0.2">
      <c r="B44065" t="s">
        <v>46</v>
      </c>
      <c r="C44065" t="s">
        <v>14095</v>
      </c>
      <c r="D44065" t="s">
        <v>23737</v>
      </c>
    </row>
    <row r="44066" spans="1:4" x14ac:dyDescent="0.2">
      <c r="B44066" t="s">
        <v>24</v>
      </c>
      <c r="C44066" t="s">
        <v>14096</v>
      </c>
      <c r="D44066" t="s">
        <v>23738</v>
      </c>
    </row>
    <row r="44068" spans="1:4" x14ac:dyDescent="0.2">
      <c r="A44068" t="s">
        <v>14097</v>
      </c>
      <c r="B44068" t="str">
        <f>HYPERLINK("https://lindat.mff.cuni.cz/services/teitok/pdtc10/index.php?action=vallex&amp;frame=v-w6118f1", "sklouznout (v-w6118f1)")</f>
        <v>sklouznout (v-w6118f1)</v>
      </c>
    </row>
    <row r="44069" spans="1:4" x14ac:dyDescent="0.2">
      <c r="B44069" t="s">
        <v>1</v>
      </c>
      <c r="C44069" t="s">
        <v>3854</v>
      </c>
      <c r="D44069" t="s">
        <v>201</v>
      </c>
    </row>
    <row r="44070" spans="1:4" x14ac:dyDescent="0.2">
      <c r="B44070" t="s">
        <v>205</v>
      </c>
      <c r="C44070" t="s">
        <v>14098</v>
      </c>
      <c r="D44070" t="s">
        <v>6117</v>
      </c>
    </row>
    <row r="44072" spans="1:4" x14ac:dyDescent="0.2">
      <c r="A44072" t="s">
        <v>14099</v>
      </c>
      <c r="B44072" t="str">
        <f>HYPERLINK("https://lindat.mff.cuni.cz/services/teitok/pdtc10/index.php?action=vallex&amp;frame=v-whsa_1066hsa_1067", "sklouznout se (v-whsa_1066hsa_1067)")</f>
        <v>sklouznout se (v-whsa_1066hsa_1067)</v>
      </c>
    </row>
    <row r="44073" spans="1:4" x14ac:dyDescent="0.2">
      <c r="B44073" t="s">
        <v>1</v>
      </c>
      <c r="C44073" t="s">
        <v>186</v>
      </c>
      <c r="D44073" t="s">
        <v>186</v>
      </c>
    </row>
    <row r="44075" spans="1:4" x14ac:dyDescent="0.2">
      <c r="A44075" t="s">
        <v>14100</v>
      </c>
      <c r="B44075" t="str">
        <f>HYPERLINK("https://lindat.mff.cuni.cz/services/teitok/pdtc10/index.php?action=vallex&amp;frame=v-w11024f3", "sklouzávat (v-w11024f3)")</f>
        <v>sklouzávat (v-w11024f3)</v>
      </c>
    </row>
    <row r="44076" spans="1:4" x14ac:dyDescent="0.2">
      <c r="B44076" t="s">
        <v>1</v>
      </c>
      <c r="C44076" t="s">
        <v>703</v>
      </c>
      <c r="D44076" t="s">
        <v>201</v>
      </c>
    </row>
    <row r="44077" spans="1:4" x14ac:dyDescent="0.2">
      <c r="B44077" t="s">
        <v>90</v>
      </c>
      <c r="C44077" t="s">
        <v>14101</v>
      </c>
      <c r="D44077" t="s">
        <v>6117</v>
      </c>
    </row>
    <row r="44079" spans="1:4" x14ac:dyDescent="0.2">
      <c r="A44079" t="s">
        <v>14102</v>
      </c>
      <c r="B44079" t="str">
        <f>HYPERLINK("https://lindat.mff.cuni.cz/services/teitok/pdtc10/index.php?action=vallex&amp;frame=v-w6103f1", "skládat (v-w6103f1)")</f>
        <v>skládat (v-w6103f1)</v>
      </c>
    </row>
    <row r="44080" spans="1:4" x14ac:dyDescent="0.2">
      <c r="B44080" t="s">
        <v>1</v>
      </c>
    </row>
    <row r="44081" spans="1:2" x14ac:dyDescent="0.2">
      <c r="B44081" t="s">
        <v>8</v>
      </c>
    </row>
    <row r="44082" spans="1:2" x14ac:dyDescent="0.2">
      <c r="B44082" t="s">
        <v>78</v>
      </c>
    </row>
    <row r="44084" spans="1:2" x14ac:dyDescent="0.2">
      <c r="A44084" t="s">
        <v>14103</v>
      </c>
      <c r="B44084" t="str">
        <f>HYPERLINK("https://lindat.mff.cuni.cz/services/teitok/pdtc10/index.php?action=vallex&amp;frame=v-w6103f2", "skládat (v-w6103f2)")</f>
        <v>skládat (v-w6103f2)</v>
      </c>
    </row>
    <row r="44085" spans="1:2" x14ac:dyDescent="0.2">
      <c r="B44085" t="s">
        <v>1</v>
      </c>
    </row>
    <row r="44086" spans="1:2" x14ac:dyDescent="0.2">
      <c r="B44086" t="s">
        <v>8</v>
      </c>
    </row>
    <row r="44088" spans="1:2" x14ac:dyDescent="0.2">
      <c r="A44088" t="s">
        <v>14104</v>
      </c>
      <c r="B44088" t="str">
        <f>HYPERLINK("https://lindat.mff.cuni.cz/services/teitok/pdtc10/index.php?action=vallex&amp;frame=v-w6103f3", "skládat (v-w6103f3)")</f>
        <v>skládat (v-w6103f3)</v>
      </c>
    </row>
    <row r="44089" spans="1:2" x14ac:dyDescent="0.2">
      <c r="B44089" t="s">
        <v>1</v>
      </c>
    </row>
    <row r="44090" spans="1:2" x14ac:dyDescent="0.2">
      <c r="B44090" t="s">
        <v>8</v>
      </c>
    </row>
    <row r="44092" spans="1:2" x14ac:dyDescent="0.2">
      <c r="A44092" t="s">
        <v>14105</v>
      </c>
      <c r="B44092" t="str">
        <f>HYPERLINK("https://lindat.mff.cuni.cz/services/teitok/pdtc10/index.php?action=vallex&amp;frame=v-w6103f5_ZU", "skládat (v-w6103f5_ZU)")</f>
        <v>skládat (v-w6103f5_ZU)</v>
      </c>
    </row>
    <row r="44093" spans="1:2" x14ac:dyDescent="0.2">
      <c r="B44093" t="s">
        <v>1</v>
      </c>
    </row>
    <row r="44094" spans="1:2" x14ac:dyDescent="0.2">
      <c r="B44094" t="s">
        <v>8</v>
      </c>
    </row>
    <row r="44096" spans="1:2" x14ac:dyDescent="0.2">
      <c r="A44096" t="s">
        <v>14106</v>
      </c>
      <c r="B44096" t="str">
        <f>HYPERLINK("https://lindat.mff.cuni.cz/services/teitok/pdtc10/index.php?action=vallex&amp;frame=v-w6103f4_ZU", "skládat (v-w6103f4_ZU)")</f>
        <v>skládat (v-w6103f4_ZU)</v>
      </c>
    </row>
    <row r="44097" spans="1:4" x14ac:dyDescent="0.2">
      <c r="B44097" t="s">
        <v>1</v>
      </c>
    </row>
    <row r="44098" spans="1:4" x14ac:dyDescent="0.2">
      <c r="B44098" t="s">
        <v>14107</v>
      </c>
    </row>
    <row r="44099" spans="1:4" x14ac:dyDescent="0.2">
      <c r="B44099" t="s">
        <v>103</v>
      </c>
    </row>
    <row r="44101" spans="1:4" x14ac:dyDescent="0.2">
      <c r="A44101" t="s">
        <v>14108</v>
      </c>
      <c r="B44101" t="str">
        <f>HYPERLINK("https://lindat.mff.cuni.cz/services/teitok/pdtc10/index.php?action=vallex&amp;frame=v-w6103f8_ZU", "skládat (v-w6103f8_ZU)")</f>
        <v>skládat (v-w6103f8_ZU)</v>
      </c>
    </row>
    <row r="44102" spans="1:4" x14ac:dyDescent="0.2">
      <c r="B44102" t="s">
        <v>1</v>
      </c>
    </row>
    <row r="44103" spans="1:4" x14ac:dyDescent="0.2">
      <c r="B44103" t="s">
        <v>8</v>
      </c>
    </row>
    <row r="44104" spans="1:4" x14ac:dyDescent="0.2">
      <c r="B44104" t="s">
        <v>130</v>
      </c>
    </row>
    <row r="44106" spans="1:4" x14ac:dyDescent="0.2">
      <c r="A44106" t="s">
        <v>14108</v>
      </c>
      <c r="B44106" t="str">
        <f>HYPERLINK("https://lindat.mff.cuni.cz/services/teitok/pdtc10/index.php?action=vallex&amp;frame=v-w6103f6_ZU", "skládat (v-w6103f6_ZU) - substituted with v-w6103f8_ZU")</f>
        <v>skládat (v-w6103f6_ZU) - substituted with v-w6103f8_ZU</v>
      </c>
    </row>
    <row r="44107" spans="1:4" x14ac:dyDescent="0.2">
      <c r="B44107" t="s">
        <v>1</v>
      </c>
      <c r="C44107" t="s">
        <v>140</v>
      </c>
      <c r="D44107" t="s">
        <v>140</v>
      </c>
    </row>
    <row r="44108" spans="1:4" x14ac:dyDescent="0.2">
      <c r="B44108" t="s">
        <v>8</v>
      </c>
      <c r="C44108" t="s">
        <v>113</v>
      </c>
      <c r="D44108" t="s">
        <v>113</v>
      </c>
    </row>
    <row r="44109" spans="1:4" x14ac:dyDescent="0.2">
      <c r="B44109" t="s">
        <v>130</v>
      </c>
    </row>
    <row r="44111" spans="1:4" x14ac:dyDescent="0.2">
      <c r="A44111" t="s">
        <v>14109</v>
      </c>
      <c r="B44111" t="str">
        <f>HYPERLINK("https://lindat.mff.cuni.cz/services/teitok/pdtc10/index.php?action=vallex&amp;frame=v-w6103f7_ZU", "skládat (v-w6103f7_ZU)")</f>
        <v>skládat (v-w6103f7_ZU)</v>
      </c>
    </row>
    <row r="44112" spans="1:4" x14ac:dyDescent="0.2">
      <c r="B44112" t="s">
        <v>1</v>
      </c>
    </row>
    <row r="44113" spans="1:4" x14ac:dyDescent="0.2">
      <c r="B44113" t="s">
        <v>8</v>
      </c>
    </row>
    <row r="44114" spans="1:4" x14ac:dyDescent="0.2">
      <c r="B44114" t="s">
        <v>130</v>
      </c>
    </row>
    <row r="44116" spans="1:4" x14ac:dyDescent="0.2">
      <c r="A44116" t="s">
        <v>14109</v>
      </c>
      <c r="B44116" t="str">
        <f>HYPERLINK("https://lindat.mff.cuni.cz/services/teitok/pdtc10/index.php?action=vallex&amp;frame=v-w6103hsa_1197", "skládat (v-w6103hsa_1197) - substituted with v-w6103f7_ZU")</f>
        <v>skládat (v-w6103hsa_1197) - substituted with v-w6103f7_ZU</v>
      </c>
    </row>
    <row r="44117" spans="1:4" x14ac:dyDescent="0.2">
      <c r="B44117" t="s">
        <v>1</v>
      </c>
    </row>
    <row r="44118" spans="1:4" x14ac:dyDescent="0.2">
      <c r="B44118" t="s">
        <v>8</v>
      </c>
    </row>
    <row r="44119" spans="1:4" x14ac:dyDescent="0.2">
      <c r="B44119" t="s">
        <v>130</v>
      </c>
    </row>
    <row r="44121" spans="1:4" x14ac:dyDescent="0.2">
      <c r="A44121" t="s">
        <v>14110</v>
      </c>
      <c r="B44121" t="str">
        <f>HYPERLINK("https://lindat.mff.cuni.cz/services/teitok/pdtc10/index.php?action=vallex&amp;frame=v-w6105f2", "skládat se (v-w6105f2)")</f>
        <v>skládat se (v-w6105f2)</v>
      </c>
    </row>
    <row r="44122" spans="1:4" x14ac:dyDescent="0.2">
      <c r="B44122" t="s">
        <v>1</v>
      </c>
    </row>
    <row r="44123" spans="1:4" x14ac:dyDescent="0.2">
      <c r="B44123" t="s">
        <v>1859</v>
      </c>
    </row>
    <row r="44125" spans="1:4" x14ac:dyDescent="0.2">
      <c r="A44125" t="s">
        <v>14111</v>
      </c>
      <c r="B44125" t="str">
        <f>HYPERLINK("https://lindat.mff.cuni.cz/services/teitok/pdtc10/index.php?action=vallex&amp;frame=v-w6105f1", "skládat se (v-w6105f1)")</f>
        <v>skládat se (v-w6105f1)</v>
      </c>
    </row>
    <row r="44126" spans="1:4" x14ac:dyDescent="0.2">
      <c r="B44126" t="s">
        <v>1</v>
      </c>
      <c r="C44126" t="s">
        <v>14112</v>
      </c>
      <c r="D44126" t="s">
        <v>23628</v>
      </c>
    </row>
    <row r="44127" spans="1:4" x14ac:dyDescent="0.2">
      <c r="B44127" t="s">
        <v>168</v>
      </c>
      <c r="C44127" t="s">
        <v>14113</v>
      </c>
      <c r="D44127" t="s">
        <v>23629</v>
      </c>
    </row>
    <row r="44129" spans="1:4" x14ac:dyDescent="0.2">
      <c r="A44129" t="s">
        <v>14114</v>
      </c>
      <c r="B44129" t="str">
        <f>HYPERLINK("https://lindat.mff.cuni.cz/services/teitok/pdtc10/index.php?action=vallex&amp;frame=v-w11354f1", "sklánět se (v-w11354f1)")</f>
        <v>sklánět se (v-w11354f1)</v>
      </c>
    </row>
    <row r="44130" spans="1:4" x14ac:dyDescent="0.2">
      <c r="B44130" t="s">
        <v>1</v>
      </c>
    </row>
    <row r="44131" spans="1:4" x14ac:dyDescent="0.2">
      <c r="B44131" t="s">
        <v>5328</v>
      </c>
    </row>
    <row r="44133" spans="1:4" x14ac:dyDescent="0.2">
      <c r="A44133" t="s">
        <v>14115</v>
      </c>
      <c r="B44133" t="str">
        <f>HYPERLINK("https://lindat.mff.cuni.cz/services/teitok/pdtc10/index.php?action=vallex&amp;frame=v-w11354f2", "sklánět se (v-w11354f2)")</f>
        <v>sklánět se (v-w11354f2)</v>
      </c>
    </row>
    <row r="44134" spans="1:4" x14ac:dyDescent="0.2">
      <c r="B44134" t="s">
        <v>1</v>
      </c>
      <c r="C44134" t="s">
        <v>127</v>
      </c>
    </row>
    <row r="44136" spans="1:4" x14ac:dyDescent="0.2">
      <c r="A44136" t="s">
        <v>14116</v>
      </c>
      <c r="B44136" t="str">
        <f>HYPERLINK("https://lindat.mff.cuni.cz/services/teitok/pdtc10/index.php?action=vallex&amp;frame=v-whsa_1637hsa_1638", "sklápět (v-whsa_1637hsa_1638)")</f>
        <v>sklápět (v-whsa_1637hsa_1638)</v>
      </c>
    </row>
    <row r="44137" spans="1:4" x14ac:dyDescent="0.2">
      <c r="B44137" t="s">
        <v>1</v>
      </c>
    </row>
    <row r="44138" spans="1:4" x14ac:dyDescent="0.2">
      <c r="B44138" t="s">
        <v>8</v>
      </c>
    </row>
    <row r="44140" spans="1:4" x14ac:dyDescent="0.2">
      <c r="A44140" t="s">
        <v>14117</v>
      </c>
      <c r="B44140" t="str">
        <f>HYPERLINK("https://lindat.mff.cuni.cz/services/teitok/pdtc10/index.php?action=vallex&amp;frame=v-w6111f1", "sklízet (v-w6111f1)")</f>
        <v>sklízet (v-w6111f1)</v>
      </c>
    </row>
    <row r="44141" spans="1:4" x14ac:dyDescent="0.2">
      <c r="B44141" t="s">
        <v>1</v>
      </c>
      <c r="C44141" t="s">
        <v>334</v>
      </c>
      <c r="D44141" t="s">
        <v>133</v>
      </c>
    </row>
    <row r="44142" spans="1:4" x14ac:dyDescent="0.2">
      <c r="B44142" t="s">
        <v>8</v>
      </c>
      <c r="C44142" t="s">
        <v>56</v>
      </c>
      <c r="D44142" t="s">
        <v>23766</v>
      </c>
    </row>
    <row r="44144" spans="1:4" x14ac:dyDescent="0.2">
      <c r="A44144" t="s">
        <v>14118</v>
      </c>
      <c r="B44144" t="str">
        <f>HYPERLINK("https://lindat.mff.cuni.cz/services/teitok/pdtc10/index.php?action=vallex&amp;frame=v-w6111hsa_1341", "sklízet (v-w6111hsa_1341)")</f>
        <v>sklízet (v-w6111hsa_1341)</v>
      </c>
    </row>
    <row r="44145" spans="1:3" x14ac:dyDescent="0.2">
      <c r="B44145" t="s">
        <v>1</v>
      </c>
    </row>
    <row r="44146" spans="1:3" x14ac:dyDescent="0.2">
      <c r="B44146" t="s">
        <v>8</v>
      </c>
    </row>
    <row r="44148" spans="1:3" x14ac:dyDescent="0.2">
      <c r="A44148" t="s">
        <v>14119</v>
      </c>
      <c r="B44148" t="str">
        <f>HYPERLINK("https://lindat.mff.cuni.cz/services/teitok/pdtc10/index.php?action=vallex&amp;frame=v-w12044_ZUf2_ZU", "skolit (v-w12044_ZUf2_ZU)")</f>
        <v>skolit (v-w12044_ZUf2_ZU)</v>
      </c>
    </row>
    <row r="44149" spans="1:3" x14ac:dyDescent="0.2">
      <c r="B44149" t="s">
        <v>1</v>
      </c>
    </row>
    <row r="44150" spans="1:3" x14ac:dyDescent="0.2">
      <c r="B44150" t="s">
        <v>8</v>
      </c>
    </row>
    <row r="44152" spans="1:3" x14ac:dyDescent="0.2">
      <c r="A44152" t="s">
        <v>14119</v>
      </c>
      <c r="B44152" t="str">
        <f>HYPERLINK("https://lindat.mff.cuni.cz/services/teitok/pdtc10/index.php?action=vallex&amp;frame=v-w12044_ZUf1_ZU", "skolit (v-w12044_ZUf1_ZU) - substituted with v-w12044_ZUf2_ZU")</f>
        <v>skolit (v-w12044_ZUf1_ZU) - substituted with v-w12044_ZUf2_ZU</v>
      </c>
    </row>
    <row r="44153" spans="1:3" x14ac:dyDescent="0.2">
      <c r="B44153" t="s">
        <v>1</v>
      </c>
    </row>
    <row r="44154" spans="1:3" x14ac:dyDescent="0.2">
      <c r="B44154" t="s">
        <v>8</v>
      </c>
    </row>
    <row r="44156" spans="1:3" x14ac:dyDescent="0.2">
      <c r="A44156" t="s">
        <v>14120</v>
      </c>
      <c r="B44156" t="str">
        <f>HYPERLINK("https://lindat.mff.cuni.cz/services/teitok/pdtc10/index.php?action=vallex&amp;frame=v-w6121f1", "skoncovat (v-w6121f1)")</f>
        <v>skoncovat (v-w6121f1)</v>
      </c>
    </row>
    <row r="44157" spans="1:3" x14ac:dyDescent="0.2">
      <c r="B44157" t="s">
        <v>1</v>
      </c>
      <c r="C44157" t="s">
        <v>133</v>
      </c>
    </row>
    <row r="44158" spans="1:3" x14ac:dyDescent="0.2">
      <c r="B44158" t="s">
        <v>411</v>
      </c>
      <c r="C44158" t="s">
        <v>1066</v>
      </c>
    </row>
    <row r="44160" spans="1:3" x14ac:dyDescent="0.2">
      <c r="A44160" t="s">
        <v>14121</v>
      </c>
      <c r="B44160" t="str">
        <f>HYPERLINK("https://lindat.mff.cuni.cz/services/teitok/pdtc10/index.php?action=vallex&amp;frame=v-w6123f3", "skončit (v-w6123f3)")</f>
        <v>skončit (v-w6123f3)</v>
      </c>
    </row>
    <row r="44161" spans="1:4" x14ac:dyDescent="0.2">
      <c r="B44161" t="s">
        <v>1</v>
      </c>
      <c r="C44161" t="s">
        <v>14122</v>
      </c>
      <c r="D44161" t="s">
        <v>23140</v>
      </c>
    </row>
    <row r="44162" spans="1:4" x14ac:dyDescent="0.2">
      <c r="B44162" t="s">
        <v>10429</v>
      </c>
      <c r="C44162" t="s">
        <v>14123</v>
      </c>
      <c r="D44162" t="s">
        <v>23141</v>
      </c>
    </row>
    <row r="44164" spans="1:4" x14ac:dyDescent="0.2">
      <c r="A44164" t="s">
        <v>14124</v>
      </c>
      <c r="B44164" t="str">
        <f>HYPERLINK("https://lindat.mff.cuni.cz/services/teitok/pdtc10/index.php?action=vallex&amp;frame=v-w6123f5", "skončit (v-w6123f5)")</f>
        <v>skončit (v-w6123f5)</v>
      </c>
    </row>
    <row r="44165" spans="1:4" x14ac:dyDescent="0.2">
      <c r="B44165" t="s">
        <v>1</v>
      </c>
      <c r="C44165" t="s">
        <v>14125</v>
      </c>
      <c r="D44165" t="s">
        <v>23140</v>
      </c>
    </row>
    <row r="44166" spans="1:4" x14ac:dyDescent="0.2">
      <c r="B44166" t="s">
        <v>411</v>
      </c>
      <c r="C44166" t="s">
        <v>14126</v>
      </c>
      <c r="D44166" t="s">
        <v>23141</v>
      </c>
    </row>
    <row r="44168" spans="1:4" x14ac:dyDescent="0.2">
      <c r="A44168" t="s">
        <v>14127</v>
      </c>
      <c r="B44168" t="str">
        <f>HYPERLINK("https://lindat.mff.cuni.cz/services/teitok/pdtc10/index.php?action=vallex&amp;frame=v-w6123f11_ZU", "skončit (v-w6123f11_ZU)")</f>
        <v>skončit (v-w6123f11_ZU)</v>
      </c>
    </row>
    <row r="44169" spans="1:4" x14ac:dyDescent="0.2">
      <c r="B44169" t="s">
        <v>1</v>
      </c>
      <c r="C44169" t="s">
        <v>3797</v>
      </c>
      <c r="D44169" t="s">
        <v>1593</v>
      </c>
    </row>
    <row r="44170" spans="1:4" x14ac:dyDescent="0.2">
      <c r="B44170" t="s">
        <v>2360</v>
      </c>
      <c r="C44170" t="s">
        <v>14128</v>
      </c>
      <c r="D44170" t="s">
        <v>24168</v>
      </c>
    </row>
    <row r="44172" spans="1:4" x14ac:dyDescent="0.2">
      <c r="A44172" t="s">
        <v>14129</v>
      </c>
      <c r="B44172" t="str">
        <f>HYPERLINK("https://lindat.mff.cuni.cz/services/teitok/pdtc10/index.php?action=vallex&amp;frame=v-w6123f13_ZU", "skončit (v-w6123f13_ZU)")</f>
        <v>skončit (v-w6123f13_ZU)</v>
      </c>
    </row>
    <row r="44173" spans="1:4" x14ac:dyDescent="0.2">
      <c r="B44173" t="s">
        <v>1</v>
      </c>
      <c r="C44173" t="s">
        <v>14130</v>
      </c>
      <c r="D44173" t="s">
        <v>24169</v>
      </c>
    </row>
    <row r="44174" spans="1:4" x14ac:dyDescent="0.2">
      <c r="B44174" t="s">
        <v>220</v>
      </c>
    </row>
    <row r="44175" spans="1:4" x14ac:dyDescent="0.2">
      <c r="B44175" t="s">
        <v>5</v>
      </c>
      <c r="C44175" t="s">
        <v>14131</v>
      </c>
      <c r="D44175" t="s">
        <v>24170</v>
      </c>
    </row>
    <row r="44177" spans="1:3" x14ac:dyDescent="0.2">
      <c r="A44177" t="s">
        <v>14129</v>
      </c>
      <c r="B44177" t="str">
        <f>HYPERLINK("https://lindat.mff.cuni.cz/services/teitok/pdtc10/index.php?action=vallex&amp;frame=v-w6123f10_ZU", "skončit (v-w6123f10_ZU) - substituted with v-w6123f13_ZU")</f>
        <v>skončit (v-w6123f10_ZU) - substituted with v-w6123f13_ZU</v>
      </c>
    </row>
    <row r="44178" spans="1:3" x14ac:dyDescent="0.2">
      <c r="B44178" t="s">
        <v>1</v>
      </c>
      <c r="C44178" t="s">
        <v>14132</v>
      </c>
    </row>
    <row r="44179" spans="1:3" x14ac:dyDescent="0.2">
      <c r="B44179" t="s">
        <v>220</v>
      </c>
    </row>
    <row r="44180" spans="1:3" x14ac:dyDescent="0.2">
      <c r="B44180" t="s">
        <v>5</v>
      </c>
      <c r="C44180" t="s">
        <v>14133</v>
      </c>
    </row>
    <row r="44182" spans="1:3" x14ac:dyDescent="0.2">
      <c r="A44182" t="s">
        <v>14129</v>
      </c>
      <c r="B44182" t="str">
        <f>HYPERLINK("https://lindat.mff.cuni.cz/services/teitok/pdtc10/index.php?action=vallex&amp;frame=v-w6123f2", "skončit (v-w6123f2) - substituted with v-w6123f13_ZU")</f>
        <v>skončit (v-w6123f2) - substituted with v-w6123f13_ZU</v>
      </c>
    </row>
    <row r="44183" spans="1:3" x14ac:dyDescent="0.2">
      <c r="B44183" t="s">
        <v>1</v>
      </c>
      <c r="C44183" t="s">
        <v>14134</v>
      </c>
    </row>
    <row r="44184" spans="1:3" x14ac:dyDescent="0.2">
      <c r="B44184" t="s">
        <v>220</v>
      </c>
    </row>
    <row r="44185" spans="1:3" x14ac:dyDescent="0.2">
      <c r="B44185" t="s">
        <v>5</v>
      </c>
      <c r="C44185" t="s">
        <v>14135</v>
      </c>
    </row>
    <row r="44187" spans="1:3" x14ac:dyDescent="0.2">
      <c r="A44187" t="s">
        <v>14129</v>
      </c>
      <c r="B44187" t="str">
        <f>HYPERLINK("https://lindat.mff.cuni.cz/services/teitok/pdtc10/index.php?action=vallex&amp;frame=v-w6123f9_ZU", "skončit (v-w6123f9_ZU) - substituted with v-w6123f13_ZU")</f>
        <v>skončit (v-w6123f9_ZU) - substituted with v-w6123f13_ZU</v>
      </c>
    </row>
    <row r="44188" spans="1:3" x14ac:dyDescent="0.2">
      <c r="B44188" t="s">
        <v>1</v>
      </c>
    </row>
    <row r="44189" spans="1:3" x14ac:dyDescent="0.2">
      <c r="B44189" t="s">
        <v>220</v>
      </c>
    </row>
    <row r="44190" spans="1:3" x14ac:dyDescent="0.2">
      <c r="B44190" t="s">
        <v>5</v>
      </c>
    </row>
    <row r="44192" spans="1:3" x14ac:dyDescent="0.2">
      <c r="A44192" t="s">
        <v>14136</v>
      </c>
      <c r="B44192" t="str">
        <f>HYPERLINK("https://lindat.mff.cuni.cz/services/teitok/pdtc10/index.php?action=vallex&amp;frame=v-w6123f1", "skončit (v-w6123f1)")</f>
        <v>skončit (v-w6123f1)</v>
      </c>
    </row>
    <row r="44193" spans="1:4" x14ac:dyDescent="0.2">
      <c r="B44193" t="s">
        <v>1</v>
      </c>
      <c r="C44193" t="s">
        <v>14137</v>
      </c>
      <c r="D44193" t="s">
        <v>23324</v>
      </c>
    </row>
    <row r="44195" spans="1:4" x14ac:dyDescent="0.2">
      <c r="A44195" t="s">
        <v>14138</v>
      </c>
      <c r="B44195" t="str">
        <f>HYPERLINK("https://lindat.mff.cuni.cz/services/teitok/pdtc10/index.php?action=vallex&amp;frame=v-w6123f14_ZU", "skončit (v-w6123f14_ZU)")</f>
        <v>skončit (v-w6123f14_ZU)</v>
      </c>
    </row>
    <row r="44196" spans="1:4" x14ac:dyDescent="0.2">
      <c r="B44196" t="s">
        <v>1</v>
      </c>
    </row>
    <row r="44197" spans="1:4" x14ac:dyDescent="0.2">
      <c r="B44197" t="s">
        <v>415</v>
      </c>
    </row>
    <row r="44198" spans="1:4" x14ac:dyDescent="0.2">
      <c r="B44198" t="s">
        <v>346</v>
      </c>
    </row>
    <row r="44199" spans="1:4" x14ac:dyDescent="0.2">
      <c r="B44199" t="s">
        <v>348</v>
      </c>
    </row>
    <row r="44200" spans="1:4" x14ac:dyDescent="0.2">
      <c r="B44200" t="s">
        <v>349</v>
      </c>
    </row>
    <row r="44201" spans="1:4" x14ac:dyDescent="0.2">
      <c r="B44201" t="s">
        <v>350</v>
      </c>
    </row>
    <row r="44203" spans="1:4" x14ac:dyDescent="0.2">
      <c r="A44203" t="s">
        <v>14138</v>
      </c>
      <c r="B44203" t="str">
        <f>HYPERLINK("https://lindat.mff.cuni.cz/services/teitok/pdtc10/index.php?action=vallex&amp;frame=v-w6123f4", "skončit (v-w6123f4) - substituted with v-w6123f14_ZU")</f>
        <v>skončit (v-w6123f4) - substituted with v-w6123f14_ZU</v>
      </c>
    </row>
    <row r="44204" spans="1:4" x14ac:dyDescent="0.2">
      <c r="B44204" t="s">
        <v>1</v>
      </c>
      <c r="C44204" t="s">
        <v>14139</v>
      </c>
      <c r="D44204" t="s">
        <v>23158</v>
      </c>
    </row>
    <row r="44205" spans="1:4" x14ac:dyDescent="0.2">
      <c r="B44205" t="s">
        <v>415</v>
      </c>
      <c r="D44205" t="s">
        <v>23159</v>
      </c>
    </row>
    <row r="44206" spans="1:4" x14ac:dyDescent="0.2">
      <c r="B44206" t="s">
        <v>346</v>
      </c>
      <c r="C44206" t="s">
        <v>14140</v>
      </c>
      <c r="D44206" t="s">
        <v>23160</v>
      </c>
    </row>
    <row r="44207" spans="1:4" x14ac:dyDescent="0.2">
      <c r="B44207" t="s">
        <v>348</v>
      </c>
      <c r="C44207" t="s">
        <v>14141</v>
      </c>
      <c r="D44207" t="s">
        <v>24171</v>
      </c>
    </row>
    <row r="44208" spans="1:4" x14ac:dyDescent="0.2">
      <c r="B44208" t="s">
        <v>349</v>
      </c>
      <c r="C44208" t="s">
        <v>14142</v>
      </c>
      <c r="D44208" t="s">
        <v>23161</v>
      </c>
    </row>
    <row r="44209" spans="1:4" x14ac:dyDescent="0.2">
      <c r="B44209" t="s">
        <v>350</v>
      </c>
      <c r="D44209" t="s">
        <v>23162</v>
      </c>
    </row>
    <row r="44211" spans="1:4" x14ac:dyDescent="0.2">
      <c r="A44211" t="s">
        <v>14143</v>
      </c>
      <c r="B44211" t="str">
        <f>HYPERLINK("https://lindat.mff.cuni.cz/services/teitok/pdtc10/index.php?action=vallex&amp;frame=v-w6123f6", "skončit (v-w6123f6)")</f>
        <v>skončit (v-w6123f6)</v>
      </c>
    </row>
    <row r="44212" spans="1:4" x14ac:dyDescent="0.2">
      <c r="B44212" t="s">
        <v>1</v>
      </c>
      <c r="C44212" t="s">
        <v>204</v>
      </c>
    </row>
    <row r="44213" spans="1:4" x14ac:dyDescent="0.2">
      <c r="B44213" t="s">
        <v>415</v>
      </c>
    </row>
    <row r="44214" spans="1:4" x14ac:dyDescent="0.2">
      <c r="B44214" t="s">
        <v>346</v>
      </c>
      <c r="C44214" t="s">
        <v>14144</v>
      </c>
    </row>
    <row r="44215" spans="1:4" x14ac:dyDescent="0.2">
      <c r="B44215" t="s">
        <v>348</v>
      </c>
      <c r="C44215" t="s">
        <v>14145</v>
      </c>
    </row>
    <row r="44216" spans="1:4" x14ac:dyDescent="0.2">
      <c r="B44216" t="s">
        <v>349</v>
      </c>
      <c r="C44216" t="s">
        <v>14146</v>
      </c>
    </row>
    <row r="44217" spans="1:4" x14ac:dyDescent="0.2">
      <c r="B44217" t="s">
        <v>350</v>
      </c>
    </row>
    <row r="44219" spans="1:4" x14ac:dyDescent="0.2">
      <c r="A44219" t="s">
        <v>14147</v>
      </c>
      <c r="B44219" t="str">
        <f>HYPERLINK("https://lindat.mff.cuni.cz/services/teitok/pdtc10/index.php?action=vallex&amp;frame=v-w6123f12_ZU", "skončit (v-w6123f12_ZU)")</f>
        <v>skončit (v-w6123f12_ZU)</v>
      </c>
    </row>
    <row r="44220" spans="1:4" x14ac:dyDescent="0.2">
      <c r="B44220" t="s">
        <v>1</v>
      </c>
      <c r="C44220" t="s">
        <v>14148</v>
      </c>
    </row>
    <row r="44221" spans="1:4" x14ac:dyDescent="0.2">
      <c r="B44221" t="s">
        <v>14149</v>
      </c>
      <c r="C44221" t="s">
        <v>14150</v>
      </c>
    </row>
    <row r="44223" spans="1:4" x14ac:dyDescent="0.2">
      <c r="A44223" t="s">
        <v>14147</v>
      </c>
      <c r="B44223" t="str">
        <f>HYPERLINK("https://lindat.mff.cuni.cz/services/teitok/pdtc10/index.php?action=vallex&amp;frame=v-w6123hsa_491", "skončit (v-w6123hsa_491) - substituted with v-w6123f12_ZU")</f>
        <v>skončit (v-w6123hsa_491) - substituted with v-w6123f12_ZU</v>
      </c>
    </row>
    <row r="44224" spans="1:4" x14ac:dyDescent="0.2">
      <c r="B44224" t="s">
        <v>1</v>
      </c>
    </row>
    <row r="44225" spans="1:4" x14ac:dyDescent="0.2">
      <c r="B44225" t="s">
        <v>14149</v>
      </c>
    </row>
    <row r="44227" spans="1:4" x14ac:dyDescent="0.2">
      <c r="A44227" t="s">
        <v>14151</v>
      </c>
      <c r="B44227" t="str">
        <f>HYPERLINK("https://lindat.mff.cuni.cz/services/teitok/pdtc10/index.php?action=vallex&amp;frame=v-w6123f7_ZU", "skončit (v-w6123f7_ZU)")</f>
        <v>skončit (v-w6123f7_ZU)</v>
      </c>
    </row>
    <row r="44228" spans="1:4" x14ac:dyDescent="0.2">
      <c r="B44228" t="s">
        <v>1</v>
      </c>
    </row>
    <row r="44229" spans="1:4" x14ac:dyDescent="0.2">
      <c r="B44229" t="s">
        <v>2360</v>
      </c>
    </row>
    <row r="44231" spans="1:4" x14ac:dyDescent="0.2">
      <c r="A44231" t="s">
        <v>14152</v>
      </c>
      <c r="B44231" t="str">
        <f>HYPERLINK("https://lindat.mff.cuni.cz/services/teitok/pdtc10/index.php?action=vallex&amp;frame=v-w6123f8_ZU", "skončit (v-w6123f8_ZU)")</f>
        <v>skončit (v-w6123f8_ZU)</v>
      </c>
    </row>
    <row r="44232" spans="1:4" x14ac:dyDescent="0.2">
      <c r="B44232" t="s">
        <v>1</v>
      </c>
    </row>
    <row r="44233" spans="1:4" x14ac:dyDescent="0.2">
      <c r="B44233" t="s">
        <v>8</v>
      </c>
    </row>
    <row r="44234" spans="1:4" x14ac:dyDescent="0.2">
      <c r="B44234" t="s">
        <v>889</v>
      </c>
    </row>
    <row r="44236" spans="1:4" x14ac:dyDescent="0.2">
      <c r="A44236" t="s">
        <v>14153</v>
      </c>
      <c r="B44236" t="str">
        <f>HYPERLINK("https://lindat.mff.cuni.cz/services/teitok/pdtc10/index.php?action=vallex&amp;frame=v-w6124f1", "skončit se (v-w6124f1)")</f>
        <v>skončit se (v-w6124f1)</v>
      </c>
    </row>
    <row r="44237" spans="1:4" x14ac:dyDescent="0.2">
      <c r="B44237" t="s">
        <v>1</v>
      </c>
    </row>
    <row r="44239" spans="1:4" x14ac:dyDescent="0.2">
      <c r="A44239" t="s">
        <v>14154</v>
      </c>
      <c r="B44239" t="str">
        <f>HYPERLINK("https://lindat.mff.cuni.cz/services/teitok/pdtc10/index.php?action=vallex&amp;frame=v-w10182f2", "skotačit (v-w10182f2)")</f>
        <v>skotačit (v-w10182f2)</v>
      </c>
    </row>
    <row r="44240" spans="1:4" x14ac:dyDescent="0.2">
      <c r="B44240" t="s">
        <v>1</v>
      </c>
      <c r="C44240" t="s">
        <v>249</v>
      </c>
      <c r="D44240" t="s">
        <v>249</v>
      </c>
    </row>
    <row r="44242" spans="1:4" x14ac:dyDescent="0.2">
      <c r="A44242" t="s">
        <v>14155</v>
      </c>
      <c r="B44242" t="str">
        <f>HYPERLINK("https://lindat.mff.cuni.cz/services/teitok/pdtc10/index.php?action=vallex&amp;frame=v-w11737_ZUf1_ZU", "skoulet (v-w11737_ZUf1_ZU)")</f>
        <v>skoulet (v-w11737_ZUf1_ZU)</v>
      </c>
    </row>
    <row r="44243" spans="1:4" x14ac:dyDescent="0.2">
      <c r="B44243" t="s">
        <v>1</v>
      </c>
    </row>
    <row r="44244" spans="1:4" x14ac:dyDescent="0.2">
      <c r="B44244" t="s">
        <v>8</v>
      </c>
    </row>
    <row r="44245" spans="1:4" x14ac:dyDescent="0.2">
      <c r="B44245" t="s">
        <v>24</v>
      </c>
    </row>
    <row r="44246" spans="1:4" x14ac:dyDescent="0.2">
      <c r="B44246" t="s">
        <v>61</v>
      </c>
    </row>
    <row r="44248" spans="1:4" x14ac:dyDescent="0.2">
      <c r="A44248" t="s">
        <v>14156</v>
      </c>
      <c r="B44248" t="str">
        <f>HYPERLINK("https://lindat.mff.cuni.cz/services/teitok/pdtc10/index.php?action=vallex&amp;frame=v-w10741f2", "skoupit (v-w10741f2)")</f>
        <v>skoupit (v-w10741f2)</v>
      </c>
    </row>
    <row r="44249" spans="1:4" x14ac:dyDescent="0.2">
      <c r="B44249" t="s">
        <v>1</v>
      </c>
      <c r="C44249" t="s">
        <v>14157</v>
      </c>
      <c r="D44249" t="s">
        <v>23430</v>
      </c>
    </row>
    <row r="44250" spans="1:4" x14ac:dyDescent="0.2">
      <c r="B44250" t="s">
        <v>8</v>
      </c>
      <c r="C44250" t="s">
        <v>14158</v>
      </c>
      <c r="D44250" t="s">
        <v>23431</v>
      </c>
    </row>
    <row r="44251" spans="1:4" x14ac:dyDescent="0.2">
      <c r="B44251" t="s">
        <v>321</v>
      </c>
      <c r="C44251" t="s">
        <v>14159</v>
      </c>
      <c r="D44251" t="s">
        <v>5731</v>
      </c>
    </row>
    <row r="44253" spans="1:4" x14ac:dyDescent="0.2">
      <c r="A44253" t="s">
        <v>14160</v>
      </c>
      <c r="B44253" t="str">
        <f>HYPERLINK("https://lindat.mff.cuni.cz/services/teitok/pdtc10/index.php?action=vallex&amp;frame=v-whsa_1417hsa_1418", "skousnout (v-whsa_1417hsa_1418)")</f>
        <v>skousnout (v-whsa_1417hsa_1418)</v>
      </c>
    </row>
    <row r="44254" spans="1:4" x14ac:dyDescent="0.2">
      <c r="B44254" t="s">
        <v>1</v>
      </c>
    </row>
    <row r="44255" spans="1:4" x14ac:dyDescent="0.2">
      <c r="B44255" t="s">
        <v>8</v>
      </c>
    </row>
    <row r="44257" spans="1:4" x14ac:dyDescent="0.2">
      <c r="A44257" t="s">
        <v>14161</v>
      </c>
      <c r="B44257" t="str">
        <f>HYPERLINK("https://lindat.mff.cuni.cz/services/teitok/pdtc10/index.php?action=vallex&amp;frame=v-w6119f4_ZU", "skočit (v-w6119f4_ZU)")</f>
        <v>skočit (v-w6119f4_ZU)</v>
      </c>
    </row>
    <row r="44258" spans="1:4" x14ac:dyDescent="0.2">
      <c r="B44258" t="s">
        <v>1</v>
      </c>
      <c r="C44258" t="s">
        <v>186</v>
      </c>
    </row>
    <row r="44259" spans="1:4" x14ac:dyDescent="0.2">
      <c r="B44259" t="s">
        <v>28</v>
      </c>
      <c r="C44259" t="s">
        <v>1301</v>
      </c>
    </row>
    <row r="44261" spans="1:4" x14ac:dyDescent="0.2">
      <c r="A44261" t="s">
        <v>14162</v>
      </c>
      <c r="B44261" t="str">
        <f>HYPERLINK("https://lindat.mff.cuni.cz/services/teitok/pdtc10/index.php?action=vallex&amp;frame=v-w6119f3_ZU", "skočit (v-w6119f3_ZU)")</f>
        <v>skočit (v-w6119f3_ZU)</v>
      </c>
    </row>
    <row r="44262" spans="1:4" x14ac:dyDescent="0.2">
      <c r="B44262" t="s">
        <v>1</v>
      </c>
      <c r="C44262" t="s">
        <v>990</v>
      </c>
      <c r="D44262" t="s">
        <v>80</v>
      </c>
    </row>
    <row r="44263" spans="1:4" x14ac:dyDescent="0.2">
      <c r="B44263" t="s">
        <v>1165</v>
      </c>
      <c r="C44263" t="s">
        <v>354</v>
      </c>
      <c r="D44263" t="s">
        <v>1025</v>
      </c>
    </row>
    <row r="44265" spans="1:4" x14ac:dyDescent="0.2">
      <c r="A44265" t="s">
        <v>14163</v>
      </c>
      <c r="B44265" t="str">
        <f>HYPERLINK("https://lindat.mff.cuni.cz/services/teitok/pdtc10/index.php?action=vallex&amp;frame=v-w6119f1", "skočit (v-w6119f1)")</f>
        <v>skočit (v-w6119f1)</v>
      </c>
    </row>
    <row r="44266" spans="1:4" x14ac:dyDescent="0.2">
      <c r="B44266" t="s">
        <v>1</v>
      </c>
      <c r="D44266" t="s">
        <v>133</v>
      </c>
    </row>
    <row r="44267" spans="1:4" x14ac:dyDescent="0.2">
      <c r="B44267" t="s">
        <v>220</v>
      </c>
    </row>
    <row r="44269" spans="1:4" x14ac:dyDescent="0.2">
      <c r="A44269" t="s">
        <v>14164</v>
      </c>
      <c r="B44269" t="str">
        <f>HYPERLINK("https://lindat.mff.cuni.cz/services/teitok/pdtc10/index.php?action=vallex&amp;frame=v-w6119f2", "skočit (v-w6119f2)")</f>
        <v>skočit (v-w6119f2)</v>
      </c>
    </row>
    <row r="44270" spans="1:4" x14ac:dyDescent="0.2">
      <c r="B44270" t="s">
        <v>1</v>
      </c>
      <c r="C44270" t="s">
        <v>133</v>
      </c>
      <c r="D44270" t="s">
        <v>83</v>
      </c>
    </row>
    <row r="44271" spans="1:4" x14ac:dyDescent="0.2">
      <c r="B44271" t="s">
        <v>90</v>
      </c>
      <c r="D44271" t="s">
        <v>1796</v>
      </c>
    </row>
    <row r="44273" spans="1:4" x14ac:dyDescent="0.2">
      <c r="A44273" t="s">
        <v>14165</v>
      </c>
      <c r="B44273" t="str">
        <f>HYPERLINK("https://lindat.mff.cuni.cz/services/teitok/pdtc10/index.php?action=vallex&amp;frame=v-w6119hsa_113", "skočit (v-w6119hsa_113)")</f>
        <v>skočit (v-w6119hsa_113)</v>
      </c>
    </row>
    <row r="44274" spans="1:4" x14ac:dyDescent="0.2">
      <c r="B44274" t="s">
        <v>1</v>
      </c>
      <c r="C44274" t="s">
        <v>14166</v>
      </c>
      <c r="D44274" t="s">
        <v>23510</v>
      </c>
    </row>
    <row r="44275" spans="1:4" x14ac:dyDescent="0.2">
      <c r="B44275" t="s">
        <v>46</v>
      </c>
      <c r="C44275" t="s">
        <v>14167</v>
      </c>
      <c r="D44275" t="s">
        <v>23393</v>
      </c>
    </row>
    <row r="44276" spans="1:4" x14ac:dyDescent="0.2">
      <c r="B44276" t="s">
        <v>24</v>
      </c>
      <c r="C44276" t="s">
        <v>9544</v>
      </c>
      <c r="D44276" t="s">
        <v>23394</v>
      </c>
    </row>
    <row r="44278" spans="1:4" x14ac:dyDescent="0.2">
      <c r="A44278" t="s">
        <v>14168</v>
      </c>
      <c r="B44278" t="str">
        <f>HYPERLINK("https://lindat.mff.cuni.cz/services/teitok/pdtc10/index.php?action=vallex&amp;frame=v-w6119f5_ZU", "skočit (v-w6119f5_ZU)")</f>
        <v>skočit (v-w6119f5_ZU)</v>
      </c>
    </row>
    <row r="44279" spans="1:4" x14ac:dyDescent="0.2">
      <c r="B44279" t="s">
        <v>1</v>
      </c>
    </row>
    <row r="44280" spans="1:4" x14ac:dyDescent="0.2">
      <c r="B44280" t="s">
        <v>28</v>
      </c>
    </row>
    <row r="44282" spans="1:4" x14ac:dyDescent="0.2">
      <c r="A44282" t="s">
        <v>14169</v>
      </c>
      <c r="B44282" t="str">
        <f>HYPERLINK("https://lindat.mff.cuni.cz/services/teitok/pdtc10/index.php?action=vallex&amp;frame=v-w6119f6_ZU", "skočit (v-w6119f6_ZU)")</f>
        <v>skočit (v-w6119f6_ZU)</v>
      </c>
    </row>
    <row r="44283" spans="1:4" x14ac:dyDescent="0.2">
      <c r="B44283" t="s">
        <v>1</v>
      </c>
    </row>
    <row r="44284" spans="1:4" x14ac:dyDescent="0.2">
      <c r="B44284" t="s">
        <v>252</v>
      </c>
    </row>
    <row r="44286" spans="1:4" x14ac:dyDescent="0.2">
      <c r="A44286" t="s">
        <v>14170</v>
      </c>
      <c r="B44286" t="str">
        <f>HYPERLINK("https://lindat.mff.cuni.cz/services/teitok/pdtc10/index.php?action=vallex&amp;frame=v-w6126f1", "skrečovat (v-w6126f1)")</f>
        <v>skrečovat (v-w6126f1)</v>
      </c>
    </row>
    <row r="44287" spans="1:4" x14ac:dyDescent="0.2">
      <c r="B44287" t="s">
        <v>1</v>
      </c>
    </row>
    <row r="44288" spans="1:4" x14ac:dyDescent="0.2">
      <c r="B44288" t="s">
        <v>8</v>
      </c>
    </row>
    <row r="44290" spans="1:4" x14ac:dyDescent="0.2">
      <c r="A44290" t="s">
        <v>14171</v>
      </c>
      <c r="B44290" t="str">
        <f>HYPERLINK("https://lindat.mff.cuni.cz/services/teitok/pdtc10/index.php?action=vallex&amp;frame=v-w6128f1", "skrýt (v-w6128f1)")</f>
        <v>skrýt (v-w6128f1)</v>
      </c>
    </row>
    <row r="44291" spans="1:4" x14ac:dyDescent="0.2">
      <c r="B44291" t="s">
        <v>1</v>
      </c>
      <c r="C44291" t="s">
        <v>2239</v>
      </c>
      <c r="D44291" t="s">
        <v>23440</v>
      </c>
    </row>
    <row r="44292" spans="1:4" x14ac:dyDescent="0.2">
      <c r="B44292" t="s">
        <v>3199</v>
      </c>
      <c r="C44292" t="s">
        <v>14172</v>
      </c>
      <c r="D44292" t="s">
        <v>23441</v>
      </c>
    </row>
    <row r="44293" spans="1:4" x14ac:dyDescent="0.2">
      <c r="B44293" t="s">
        <v>3200</v>
      </c>
      <c r="C44293" t="s">
        <v>14173</v>
      </c>
      <c r="D44293" t="s">
        <v>14173</v>
      </c>
    </row>
    <row r="44295" spans="1:4" x14ac:dyDescent="0.2">
      <c r="A44295" t="s">
        <v>14174</v>
      </c>
      <c r="B44295" t="str">
        <f>HYPERLINK("https://lindat.mff.cuni.cz/services/teitok/pdtc10/index.php?action=vallex&amp;frame=v-w6128f2", "skrýt (v-w6128f2)")</f>
        <v>skrýt (v-w6128f2)</v>
      </c>
    </row>
    <row r="44296" spans="1:4" x14ac:dyDescent="0.2">
      <c r="B44296" t="s">
        <v>1</v>
      </c>
    </row>
    <row r="44297" spans="1:4" x14ac:dyDescent="0.2">
      <c r="B44297" t="s">
        <v>13705</v>
      </c>
    </row>
    <row r="44298" spans="1:4" x14ac:dyDescent="0.2">
      <c r="B44298" t="s">
        <v>269</v>
      </c>
    </row>
    <row r="44299" spans="1:4" x14ac:dyDescent="0.2">
      <c r="B44299" t="s">
        <v>3200</v>
      </c>
    </row>
    <row r="44301" spans="1:4" x14ac:dyDescent="0.2">
      <c r="A44301" t="s">
        <v>14175</v>
      </c>
      <c r="B44301" t="str">
        <f>HYPERLINK("https://lindat.mff.cuni.cz/services/teitok/pdtc10/index.php?action=vallex&amp;frame=v-w6130f1", "skrývat (v-w6130f1)")</f>
        <v>skrývat (v-w6130f1)</v>
      </c>
    </row>
    <row r="44302" spans="1:4" x14ac:dyDescent="0.2">
      <c r="B44302" t="s">
        <v>1</v>
      </c>
      <c r="C44302" t="s">
        <v>14176</v>
      </c>
      <c r="D44302" t="s">
        <v>23440</v>
      </c>
    </row>
    <row r="44303" spans="1:4" x14ac:dyDescent="0.2">
      <c r="B44303" t="s">
        <v>3199</v>
      </c>
      <c r="C44303" t="s">
        <v>14177</v>
      </c>
      <c r="D44303" t="s">
        <v>23441</v>
      </c>
    </row>
    <row r="44304" spans="1:4" x14ac:dyDescent="0.2">
      <c r="B44304" t="s">
        <v>3200</v>
      </c>
      <c r="C44304" t="s">
        <v>4440</v>
      </c>
      <c r="D44304" t="s">
        <v>14173</v>
      </c>
    </row>
    <row r="44306" spans="1:4" x14ac:dyDescent="0.2">
      <c r="A44306" t="s">
        <v>14178</v>
      </c>
      <c r="B44306" t="str">
        <f>HYPERLINK("https://lindat.mff.cuni.cz/services/teitok/pdtc10/index.php?action=vallex&amp;frame=v-w6130f2", "skrývat (v-w6130f2)")</f>
        <v>skrývat (v-w6130f2)</v>
      </c>
    </row>
    <row r="44307" spans="1:4" x14ac:dyDescent="0.2">
      <c r="B44307" t="s">
        <v>1</v>
      </c>
    </row>
    <row r="44308" spans="1:4" x14ac:dyDescent="0.2">
      <c r="B44308" t="s">
        <v>13705</v>
      </c>
    </row>
    <row r="44309" spans="1:4" x14ac:dyDescent="0.2">
      <c r="B44309" t="s">
        <v>269</v>
      </c>
    </row>
    <row r="44310" spans="1:4" x14ac:dyDescent="0.2">
      <c r="B44310" t="s">
        <v>3200</v>
      </c>
    </row>
    <row r="44312" spans="1:4" x14ac:dyDescent="0.2">
      <c r="A44312" t="s">
        <v>14179</v>
      </c>
      <c r="B44312" t="str">
        <f>HYPERLINK("https://lindat.mff.cuni.cz/services/teitok/pdtc10/index.php?action=vallex&amp;frame=v-w6130f3_ZU", "skrývat (v-w6130f3_ZU)")</f>
        <v>skrývat (v-w6130f3_ZU)</v>
      </c>
    </row>
    <row r="44313" spans="1:4" x14ac:dyDescent="0.2">
      <c r="B44313" t="s">
        <v>1</v>
      </c>
    </row>
    <row r="44314" spans="1:4" x14ac:dyDescent="0.2">
      <c r="B44314" t="s">
        <v>8</v>
      </c>
    </row>
    <row r="44316" spans="1:4" x14ac:dyDescent="0.2">
      <c r="A44316" t="s">
        <v>14180</v>
      </c>
      <c r="B44316" t="str">
        <f>HYPERLINK("https://lindat.mff.cuni.cz/services/teitok/pdtc10/index.php?action=vallex&amp;frame=v-w6131f1", "skrývat se (v-w6131f1)")</f>
        <v>skrývat se (v-w6131f1)</v>
      </c>
    </row>
    <row r="44317" spans="1:4" x14ac:dyDescent="0.2">
      <c r="B44317" t="s">
        <v>1</v>
      </c>
      <c r="C44317" t="s">
        <v>14181</v>
      </c>
      <c r="D44317" t="s">
        <v>2172</v>
      </c>
    </row>
    <row r="44318" spans="1:4" x14ac:dyDescent="0.2">
      <c r="B44318" t="s">
        <v>5</v>
      </c>
      <c r="C44318" t="s">
        <v>14182</v>
      </c>
    </row>
    <row r="44320" spans="1:4" x14ac:dyDescent="0.2">
      <c r="A44320" t="s">
        <v>14183</v>
      </c>
      <c r="B44320" t="str">
        <f>HYPERLINK("https://lindat.mff.cuni.cz/services/teitok/pdtc10/index.php?action=vallex&amp;frame=v-w11910_ZUf1_ZU", "skrčit (v-w11910_ZUf1_ZU)")</f>
        <v>skrčit (v-w11910_ZUf1_ZU)</v>
      </c>
    </row>
    <row r="44321" spans="1:4" x14ac:dyDescent="0.2">
      <c r="B44321" t="s">
        <v>1</v>
      </c>
    </row>
    <row r="44322" spans="1:4" x14ac:dyDescent="0.2">
      <c r="B44322" t="s">
        <v>8</v>
      </c>
    </row>
    <row r="44324" spans="1:4" x14ac:dyDescent="0.2">
      <c r="A44324" t="s">
        <v>14184</v>
      </c>
      <c r="B44324" t="str">
        <f>HYPERLINK("https://lindat.mff.cuni.cz/services/teitok/pdtc10/index.php?action=vallex&amp;frame=v-w12054_ZUf1_ZU", "skrčit se (v-w12054_ZUf1_ZU)")</f>
        <v>skrčit se (v-w12054_ZUf1_ZU)</v>
      </c>
    </row>
    <row r="44325" spans="1:4" x14ac:dyDescent="0.2">
      <c r="B44325" t="s">
        <v>1</v>
      </c>
    </row>
    <row r="44327" spans="1:4" x14ac:dyDescent="0.2">
      <c r="A44327" t="s">
        <v>14185</v>
      </c>
      <c r="B44327" t="str">
        <f>HYPERLINK("https://lindat.mff.cuni.cz/services/teitok/pdtc10/index.php?action=vallex&amp;frame=v-w6135f1", "skupovat (v-w6135f1)")</f>
        <v>skupovat (v-w6135f1)</v>
      </c>
    </row>
    <row r="44328" spans="1:4" x14ac:dyDescent="0.2">
      <c r="B44328" t="s">
        <v>1</v>
      </c>
      <c r="C44328" t="s">
        <v>14186</v>
      </c>
      <c r="D44328" t="s">
        <v>23430</v>
      </c>
    </row>
    <row r="44329" spans="1:4" x14ac:dyDescent="0.2">
      <c r="B44329" t="s">
        <v>8</v>
      </c>
      <c r="C44329" t="s">
        <v>12328</v>
      </c>
      <c r="D44329" t="s">
        <v>23431</v>
      </c>
    </row>
    <row r="44330" spans="1:4" x14ac:dyDescent="0.2">
      <c r="B44330" t="s">
        <v>321</v>
      </c>
      <c r="C44330" t="s">
        <v>12329</v>
      </c>
      <c r="D44330" t="s">
        <v>5731</v>
      </c>
    </row>
    <row r="44332" spans="1:4" x14ac:dyDescent="0.2">
      <c r="A44332" t="s">
        <v>14187</v>
      </c>
      <c r="B44332" t="str">
        <f>HYPERLINK("https://lindat.mff.cuni.cz/services/teitok/pdtc10/index.php?action=vallex&amp;frame=v-w6137f1", "skvět se (v-w6137f1)")</f>
        <v>skvět se (v-w6137f1)</v>
      </c>
    </row>
    <row r="44333" spans="1:4" x14ac:dyDescent="0.2">
      <c r="B44333" t="s">
        <v>1</v>
      </c>
    </row>
    <row r="44335" spans="1:4" x14ac:dyDescent="0.2">
      <c r="A44335" t="s">
        <v>14188</v>
      </c>
      <c r="B44335" t="str">
        <f>HYPERLINK("https://lindat.mff.cuni.cz/services/teitok/pdtc10/index.php?action=vallex&amp;frame=v-w11283f1", "skácet se (v-w11283f1)")</f>
        <v>skácet se (v-w11283f1)</v>
      </c>
    </row>
    <row r="44336" spans="1:4" x14ac:dyDescent="0.2">
      <c r="B44336" t="s">
        <v>1</v>
      </c>
    </row>
    <row r="44338" spans="1:4" x14ac:dyDescent="0.2">
      <c r="A44338" t="s">
        <v>14189</v>
      </c>
      <c r="B44338" t="str">
        <f>HYPERLINK("https://lindat.mff.cuni.cz/services/teitok/pdtc10/index.php?action=vallex&amp;frame=v-w11283f2_ZU", "skácet se (v-w11283f2_ZU)")</f>
        <v>skácet se (v-w11283f2_ZU)</v>
      </c>
    </row>
    <row r="44339" spans="1:4" x14ac:dyDescent="0.2">
      <c r="B44339" t="s">
        <v>1</v>
      </c>
    </row>
    <row r="44341" spans="1:4" x14ac:dyDescent="0.2">
      <c r="A44341" t="s">
        <v>14190</v>
      </c>
      <c r="B44341" t="str">
        <f>HYPERLINK("https://lindat.mff.cuni.cz/services/teitok/pdtc10/index.php?action=vallex&amp;frame=v-w6092f1", "skákat (v-w6092f1)")</f>
        <v>skákat (v-w6092f1)</v>
      </c>
    </row>
    <row r="44342" spans="1:4" x14ac:dyDescent="0.2">
      <c r="B44342" t="s">
        <v>1</v>
      </c>
      <c r="C44342" t="s">
        <v>133</v>
      </c>
      <c r="D44342" t="s">
        <v>133</v>
      </c>
    </row>
    <row r="44343" spans="1:4" x14ac:dyDescent="0.2">
      <c r="B44343" t="s">
        <v>220</v>
      </c>
    </row>
    <row r="44345" spans="1:4" x14ac:dyDescent="0.2">
      <c r="A44345" t="s">
        <v>14191</v>
      </c>
      <c r="B44345" t="str">
        <f>HYPERLINK("https://lindat.mff.cuni.cz/services/teitok/pdtc10/index.php?action=vallex&amp;frame=v-w6092f2_ZU", "skákat (v-w6092f2_ZU)")</f>
        <v>skákat (v-w6092f2_ZU)</v>
      </c>
    </row>
    <row r="44346" spans="1:4" x14ac:dyDescent="0.2">
      <c r="B44346" t="s">
        <v>1</v>
      </c>
    </row>
    <row r="44347" spans="1:4" x14ac:dyDescent="0.2">
      <c r="B44347" t="s">
        <v>2705</v>
      </c>
    </row>
    <row r="44348" spans="1:4" x14ac:dyDescent="0.2">
      <c r="B44348" t="s">
        <v>103</v>
      </c>
    </row>
    <row r="44350" spans="1:4" x14ac:dyDescent="0.2">
      <c r="A44350" t="s">
        <v>14192</v>
      </c>
      <c r="B44350" t="str">
        <f>HYPERLINK("https://lindat.mff.cuni.cz/services/teitok/pdtc10/index.php?action=vallex&amp;frame=v-w6092hsa_806", "skákat (v-w6092hsa_806)")</f>
        <v>skákat (v-w6092hsa_806)</v>
      </c>
    </row>
    <row r="44351" spans="1:4" x14ac:dyDescent="0.2">
      <c r="B44351" t="s">
        <v>1</v>
      </c>
      <c r="C44351" t="s">
        <v>140</v>
      </c>
    </row>
    <row r="44352" spans="1:4" x14ac:dyDescent="0.2">
      <c r="B44352" t="s">
        <v>28</v>
      </c>
    </row>
    <row r="44354" spans="1:3" x14ac:dyDescent="0.2">
      <c r="A44354" t="s">
        <v>14193</v>
      </c>
      <c r="B44354" t="str">
        <f>HYPERLINK("https://lindat.mff.cuni.cz/services/teitok/pdtc10/index.php?action=vallex&amp;frame=v-w6092f3_ZU", "skákat (v-w6092f3_ZU)")</f>
        <v>skákat (v-w6092f3_ZU)</v>
      </c>
    </row>
    <row r="44355" spans="1:3" x14ac:dyDescent="0.2">
      <c r="B44355" t="s">
        <v>1</v>
      </c>
    </row>
    <row r="44356" spans="1:3" x14ac:dyDescent="0.2">
      <c r="B44356" t="s">
        <v>252</v>
      </c>
    </row>
    <row r="44358" spans="1:3" x14ac:dyDescent="0.2">
      <c r="A44358" t="s">
        <v>14194</v>
      </c>
      <c r="B44358" t="str">
        <f>HYPERLINK("https://lindat.mff.cuni.cz/services/teitok/pdtc10/index.php?action=vallex&amp;frame=v-w6125hsa_545", "skórovat (v-w6125hsa_545)")</f>
        <v>skórovat (v-w6125hsa_545)</v>
      </c>
    </row>
    <row r="44359" spans="1:3" x14ac:dyDescent="0.2">
      <c r="B44359" t="s">
        <v>1</v>
      </c>
    </row>
    <row r="44360" spans="1:3" x14ac:dyDescent="0.2">
      <c r="B44360" t="s">
        <v>46</v>
      </c>
    </row>
    <row r="44362" spans="1:3" x14ac:dyDescent="0.2">
      <c r="A44362" t="s">
        <v>14194</v>
      </c>
      <c r="B44362" t="str">
        <f>HYPERLINK("https://lindat.mff.cuni.cz/services/teitok/pdtc10/index.php?action=vallex&amp;frame=v-w6125f1", "skórovat (v-w6125f1) - substituted with v-w6125hsa_545")</f>
        <v>skórovat (v-w6125f1) - substituted with v-w6125hsa_545</v>
      </c>
    </row>
    <row r="44363" spans="1:3" x14ac:dyDescent="0.2">
      <c r="B44363" t="s">
        <v>1</v>
      </c>
    </row>
    <row r="44364" spans="1:3" x14ac:dyDescent="0.2">
      <c r="B44364" t="s">
        <v>46</v>
      </c>
    </row>
    <row r="44366" spans="1:3" x14ac:dyDescent="0.2">
      <c r="A44366" t="s">
        <v>14195</v>
      </c>
      <c r="B44366" t="str">
        <f>HYPERLINK("https://lindat.mff.cuni.cz/services/teitok/pdtc10/index.php?action=vallex&amp;frame=v-w6138f1", "skýtat (v-w6138f1)")</f>
        <v>skýtat (v-w6138f1)</v>
      </c>
    </row>
    <row r="44367" spans="1:3" x14ac:dyDescent="0.2">
      <c r="B44367" t="s">
        <v>1</v>
      </c>
      <c r="C44367" t="s">
        <v>9581</v>
      </c>
    </row>
    <row r="44368" spans="1:3" x14ac:dyDescent="0.2">
      <c r="B44368" t="s">
        <v>8</v>
      </c>
      <c r="C44368" t="s">
        <v>14196</v>
      </c>
    </row>
    <row r="44369" spans="1:3" x14ac:dyDescent="0.2">
      <c r="B44369" t="s">
        <v>1629</v>
      </c>
      <c r="C44369" t="s">
        <v>9549</v>
      </c>
    </row>
    <row r="44371" spans="1:3" x14ac:dyDescent="0.2">
      <c r="A44371" t="s">
        <v>14197</v>
      </c>
      <c r="B44371" t="str">
        <f>HYPERLINK("https://lindat.mff.cuni.cz/services/teitok/pdtc10/index.php?action=vallex&amp;frame=v-w6138f2", "skýtat (v-w6138f2)")</f>
        <v>skýtat (v-w6138f2)</v>
      </c>
    </row>
    <row r="44372" spans="1:3" x14ac:dyDescent="0.2">
      <c r="B44372" t="s">
        <v>1</v>
      </c>
    </row>
    <row r="44373" spans="1:3" x14ac:dyDescent="0.2">
      <c r="B44373" t="s">
        <v>14198</v>
      </c>
    </row>
    <row r="44374" spans="1:3" x14ac:dyDescent="0.2">
      <c r="B44374" t="s">
        <v>35</v>
      </c>
    </row>
    <row r="44376" spans="1:3" x14ac:dyDescent="0.2">
      <c r="A44376" t="s">
        <v>14199</v>
      </c>
      <c r="B44376" t="str">
        <f>HYPERLINK("https://lindat.mff.cuni.cz/services/teitok/pdtc10/index.php?action=vallex&amp;frame=v-w6132f1", "skřípat (v-w6132f1)")</f>
        <v>skřípat (v-w6132f1)</v>
      </c>
    </row>
    <row r="44377" spans="1:3" x14ac:dyDescent="0.2">
      <c r="B44377" t="s">
        <v>1</v>
      </c>
    </row>
    <row r="44378" spans="1:3" x14ac:dyDescent="0.2">
      <c r="B44378" t="s">
        <v>158</v>
      </c>
    </row>
    <row r="44380" spans="1:3" x14ac:dyDescent="0.2">
      <c r="A44380" t="s">
        <v>14200</v>
      </c>
      <c r="B44380" t="str">
        <f>HYPERLINK("https://lindat.mff.cuni.cz/services/teitok/pdtc10/index.php?action=vallex&amp;frame=v-w6132f2", "skřípat (v-w6132f2)")</f>
        <v>skřípat (v-w6132f2)</v>
      </c>
    </row>
    <row r="44381" spans="1:3" x14ac:dyDescent="0.2">
      <c r="B44381" t="s">
        <v>1</v>
      </c>
    </row>
    <row r="44383" spans="1:3" x14ac:dyDescent="0.2">
      <c r="A44383" t="s">
        <v>14201</v>
      </c>
      <c r="B44383" t="str">
        <f>HYPERLINK("https://lindat.mff.cuni.cz/services/teitok/pdtc10/index.php?action=vallex&amp;frame=v-w6132f3", "skřípat (v-w6132f3)")</f>
        <v>skřípat (v-w6132f3)</v>
      </c>
    </row>
    <row r="44384" spans="1:3" x14ac:dyDescent="0.2">
      <c r="B44384" t="s">
        <v>1</v>
      </c>
    </row>
    <row r="44386" spans="1:4" x14ac:dyDescent="0.2">
      <c r="A44386" t="s">
        <v>14202</v>
      </c>
      <c r="B44386" t="str">
        <f>HYPERLINK("https://lindat.mff.cuni.cz/services/teitok/pdtc10/index.php?action=vallex&amp;frame=v-w6142f1", "sladit (v-w6142f1)")</f>
        <v>sladit (v-w6142f1)</v>
      </c>
    </row>
    <row r="44387" spans="1:4" x14ac:dyDescent="0.2">
      <c r="B44387" t="s">
        <v>1</v>
      </c>
    </row>
    <row r="44388" spans="1:4" x14ac:dyDescent="0.2">
      <c r="B44388" t="s">
        <v>8</v>
      </c>
    </row>
    <row r="44389" spans="1:4" x14ac:dyDescent="0.2">
      <c r="B44389" t="s">
        <v>2604</v>
      </c>
    </row>
    <row r="44391" spans="1:4" x14ac:dyDescent="0.2">
      <c r="A44391" t="s">
        <v>14203</v>
      </c>
      <c r="B44391" t="str">
        <f>HYPERLINK("https://lindat.mff.cuni.cz/services/teitok/pdtc10/index.php?action=vallex&amp;frame=v-w6142f2", "sladit (v-w6142f2)")</f>
        <v>sladit (v-w6142f2)</v>
      </c>
    </row>
    <row r="44392" spans="1:4" x14ac:dyDescent="0.2">
      <c r="B44392" t="s">
        <v>1</v>
      </c>
    </row>
    <row r="44393" spans="1:4" x14ac:dyDescent="0.2">
      <c r="B44393" t="s">
        <v>8</v>
      </c>
    </row>
    <row r="44395" spans="1:4" x14ac:dyDescent="0.2">
      <c r="A44395" t="s">
        <v>14204</v>
      </c>
      <c r="B44395" t="str">
        <f>HYPERLINK("https://lindat.mff.cuni.cz/services/teitok/pdtc10/index.php?action=vallex&amp;frame=v-w6144f1", "slavit (v-w6144f1)")</f>
        <v>slavit (v-w6144f1)</v>
      </c>
    </row>
    <row r="44396" spans="1:4" x14ac:dyDescent="0.2">
      <c r="B44396" t="s">
        <v>1</v>
      </c>
      <c r="C44396" t="s">
        <v>133</v>
      </c>
      <c r="D44396" t="s">
        <v>1065</v>
      </c>
    </row>
    <row r="44397" spans="1:4" x14ac:dyDescent="0.2">
      <c r="B44397" t="s">
        <v>41</v>
      </c>
      <c r="C44397" t="s">
        <v>991</v>
      </c>
      <c r="D44397" t="s">
        <v>18169</v>
      </c>
    </row>
    <row r="44399" spans="1:4" x14ac:dyDescent="0.2">
      <c r="A44399" t="s">
        <v>14205</v>
      </c>
      <c r="B44399" t="str">
        <f>HYPERLINK("https://lindat.mff.cuni.cz/services/teitok/pdtc10/index.php?action=vallex&amp;frame=v-w6144hsa_276", "slavit (v-w6144hsa_276)")</f>
        <v>slavit (v-w6144hsa_276)</v>
      </c>
    </row>
    <row r="44400" spans="1:4" x14ac:dyDescent="0.2">
      <c r="B44400" t="s">
        <v>1</v>
      </c>
      <c r="C44400" t="s">
        <v>1086</v>
      </c>
    </row>
    <row r="44401" spans="1:4" x14ac:dyDescent="0.2">
      <c r="B44401" t="s">
        <v>8</v>
      </c>
      <c r="C44401" t="s">
        <v>1087</v>
      </c>
    </row>
    <row r="44403" spans="1:4" x14ac:dyDescent="0.2">
      <c r="A44403" t="s">
        <v>14206</v>
      </c>
      <c r="B44403" t="str">
        <f>HYPERLINK("https://lindat.mff.cuni.cz/services/teitok/pdtc10/index.php?action=vallex&amp;frame=v-w11962_ZUf1_ZU", "slavívat (v-w11962_ZUf1_ZU)")</f>
        <v>slavívat (v-w11962_ZUf1_ZU)</v>
      </c>
    </row>
    <row r="44404" spans="1:4" x14ac:dyDescent="0.2">
      <c r="B44404" t="s">
        <v>1</v>
      </c>
    </row>
    <row r="44405" spans="1:4" x14ac:dyDescent="0.2">
      <c r="B44405" t="s">
        <v>41</v>
      </c>
    </row>
    <row r="44407" spans="1:4" x14ac:dyDescent="0.2">
      <c r="A44407" t="s">
        <v>14207</v>
      </c>
      <c r="B44407" t="str">
        <f>HYPERLINK("https://lindat.mff.cuni.cz/services/teitok/pdtc10/index.php?action=vallex&amp;frame=v-w6148f4", "sledovat (v-w6148f4)")</f>
        <v>sledovat (v-w6148f4)</v>
      </c>
    </row>
    <row r="44408" spans="1:4" x14ac:dyDescent="0.2">
      <c r="B44408" t="s">
        <v>1</v>
      </c>
      <c r="C44408" t="s">
        <v>14208</v>
      </c>
    </row>
    <row r="44409" spans="1:4" x14ac:dyDescent="0.2">
      <c r="B44409" t="s">
        <v>1693</v>
      </c>
      <c r="C44409" t="s">
        <v>14209</v>
      </c>
    </row>
    <row r="44411" spans="1:4" x14ac:dyDescent="0.2">
      <c r="A44411" t="s">
        <v>14210</v>
      </c>
      <c r="B44411" t="str">
        <f>HYPERLINK("https://lindat.mff.cuni.cz/services/teitok/pdtc10/index.php?action=vallex&amp;frame=v-w6148f1", "sledovat (v-w6148f1)")</f>
        <v>sledovat (v-w6148f1)</v>
      </c>
    </row>
    <row r="44412" spans="1:4" x14ac:dyDescent="0.2">
      <c r="B44412" t="s">
        <v>1</v>
      </c>
      <c r="C44412" t="s">
        <v>14211</v>
      </c>
      <c r="D44412" t="s">
        <v>5968</v>
      </c>
    </row>
    <row r="44413" spans="1:4" x14ac:dyDescent="0.2">
      <c r="B44413" t="s">
        <v>14212</v>
      </c>
      <c r="C44413" t="s">
        <v>14213</v>
      </c>
      <c r="D44413" t="s">
        <v>23485</v>
      </c>
    </row>
    <row r="44415" spans="1:4" x14ac:dyDescent="0.2">
      <c r="A44415" t="s">
        <v>14214</v>
      </c>
      <c r="B44415" t="str">
        <f>HYPERLINK("https://lindat.mff.cuni.cz/services/teitok/pdtc10/index.php?action=vallex&amp;frame=v-w6148f2", "sledovat (v-w6148f2)")</f>
        <v>sledovat (v-w6148f2)</v>
      </c>
    </row>
    <row r="44416" spans="1:4" x14ac:dyDescent="0.2">
      <c r="B44416" t="s">
        <v>1</v>
      </c>
      <c r="C44416" t="s">
        <v>14215</v>
      </c>
      <c r="D44416" t="s">
        <v>8689</v>
      </c>
    </row>
    <row r="44417" spans="1:4" x14ac:dyDescent="0.2">
      <c r="B44417" t="s">
        <v>14212</v>
      </c>
      <c r="C44417" t="s">
        <v>14216</v>
      </c>
      <c r="D44417" t="s">
        <v>3233</v>
      </c>
    </row>
    <row r="44419" spans="1:4" x14ac:dyDescent="0.2">
      <c r="A44419" t="s">
        <v>14217</v>
      </c>
      <c r="B44419" t="str">
        <f>HYPERLINK("https://lindat.mff.cuni.cz/services/teitok/pdtc10/index.php?action=vallex&amp;frame=v-w6148f3", "sledovat (v-w6148f3)")</f>
        <v>sledovat (v-w6148f3)</v>
      </c>
    </row>
    <row r="44420" spans="1:4" x14ac:dyDescent="0.2">
      <c r="B44420" t="s">
        <v>1</v>
      </c>
      <c r="C44420" t="s">
        <v>14218</v>
      </c>
    </row>
    <row r="44421" spans="1:4" x14ac:dyDescent="0.2">
      <c r="B44421" t="s">
        <v>8</v>
      </c>
      <c r="C44421" t="s">
        <v>14219</v>
      </c>
    </row>
    <row r="44423" spans="1:4" x14ac:dyDescent="0.2">
      <c r="A44423" t="s">
        <v>14220</v>
      </c>
      <c r="B44423" t="str">
        <f>HYPERLINK("https://lindat.mff.cuni.cz/services/teitok/pdtc10/index.php?action=vallex&amp;frame=v-w6148hsa_741", "sledovat (v-w6148hsa_741)")</f>
        <v>sledovat (v-w6148hsa_741)</v>
      </c>
    </row>
    <row r="44424" spans="1:4" x14ac:dyDescent="0.2">
      <c r="B44424" t="s">
        <v>1</v>
      </c>
      <c r="C44424" t="s">
        <v>1774</v>
      </c>
    </row>
    <row r="44425" spans="1:4" x14ac:dyDescent="0.2">
      <c r="B44425" t="s">
        <v>8</v>
      </c>
      <c r="C44425" t="s">
        <v>14221</v>
      </c>
    </row>
    <row r="44427" spans="1:4" x14ac:dyDescent="0.2">
      <c r="A44427" t="s">
        <v>14222</v>
      </c>
      <c r="B44427" t="str">
        <f>HYPERLINK("https://lindat.mff.cuni.cz/services/teitok/pdtc10/index.php?action=vallex&amp;frame=v-w6150f1", "slehnout (v-w6150f1)")</f>
        <v>slehnout (v-w6150f1)</v>
      </c>
    </row>
    <row r="44428" spans="1:4" x14ac:dyDescent="0.2">
      <c r="B44428" t="s">
        <v>1</v>
      </c>
    </row>
    <row r="44430" spans="1:4" x14ac:dyDescent="0.2">
      <c r="A44430" t="s">
        <v>14223</v>
      </c>
      <c r="B44430" t="str">
        <f>HYPERLINK("https://lindat.mff.cuni.cz/services/teitok/pdtc10/index.php?action=vallex&amp;frame=v-w6150hsa_351", "slehnout (v-w6150hsa_351)")</f>
        <v>slehnout (v-w6150hsa_351)</v>
      </c>
    </row>
    <row r="44431" spans="1:4" x14ac:dyDescent="0.2">
      <c r="B44431" t="s">
        <v>1</v>
      </c>
    </row>
    <row r="44433" spans="1:4" x14ac:dyDescent="0.2">
      <c r="A44433" t="s">
        <v>14224</v>
      </c>
      <c r="B44433" t="str">
        <f>HYPERLINK("https://lindat.mff.cuni.cz/services/teitok/pdtc10/index.php?action=vallex&amp;frame=v-w6151f1", "slehnout se (v-w6151f1)")</f>
        <v>slehnout se (v-w6151f1)</v>
      </c>
    </row>
    <row r="44434" spans="1:4" x14ac:dyDescent="0.2">
      <c r="B44434" t="s">
        <v>519</v>
      </c>
    </row>
    <row r="44435" spans="1:4" x14ac:dyDescent="0.2">
      <c r="B44435" t="s">
        <v>14225</v>
      </c>
    </row>
    <row r="44437" spans="1:4" x14ac:dyDescent="0.2">
      <c r="A44437" t="s">
        <v>14226</v>
      </c>
      <c r="B44437" t="str">
        <f>HYPERLINK("https://lindat.mff.cuni.cz/services/teitok/pdtc10/index.php?action=vallex&amp;frame=v-w11589_ZUf1_ZU", "slepit (v-w11589_ZUf1_ZU)")</f>
        <v>slepit (v-w11589_ZUf1_ZU)</v>
      </c>
    </row>
    <row r="44438" spans="1:4" x14ac:dyDescent="0.2">
      <c r="B44438" t="s">
        <v>1</v>
      </c>
      <c r="C44438" t="s">
        <v>140</v>
      </c>
    </row>
    <row r="44439" spans="1:4" x14ac:dyDescent="0.2">
      <c r="B44439" t="s">
        <v>8</v>
      </c>
      <c r="C44439" t="s">
        <v>1331</v>
      </c>
    </row>
    <row r="44441" spans="1:4" x14ac:dyDescent="0.2">
      <c r="A44441" t="s">
        <v>14227</v>
      </c>
      <c r="B44441" t="str">
        <f>HYPERLINK("https://lindat.mff.cuni.cz/services/teitok/pdtc10/index.php?action=vallex&amp;frame=v-w10278f2", "sletět (v-w10278f2)")</f>
        <v>sletět (v-w10278f2)</v>
      </c>
    </row>
    <row r="44442" spans="1:4" x14ac:dyDescent="0.2">
      <c r="B44442" t="s">
        <v>1</v>
      </c>
      <c r="C44442" t="s">
        <v>1168</v>
      </c>
      <c r="D44442" t="s">
        <v>23736</v>
      </c>
    </row>
    <row r="44444" spans="1:4" x14ac:dyDescent="0.2">
      <c r="A44444" t="s">
        <v>14228</v>
      </c>
      <c r="B44444" t="str">
        <f>HYPERLINK("https://lindat.mff.cuni.cz/services/teitok/pdtc10/index.php?action=vallex&amp;frame=v-w6154f1", "slevit (v-w6154f1)")</f>
        <v>slevit (v-w6154f1)</v>
      </c>
    </row>
    <row r="44445" spans="1:4" x14ac:dyDescent="0.2">
      <c r="B44445" t="s">
        <v>1</v>
      </c>
    </row>
    <row r="44446" spans="1:4" x14ac:dyDescent="0.2">
      <c r="B44446" t="s">
        <v>8</v>
      </c>
    </row>
    <row r="44447" spans="1:4" x14ac:dyDescent="0.2">
      <c r="B44447" t="s">
        <v>24</v>
      </c>
    </row>
    <row r="44448" spans="1:4" x14ac:dyDescent="0.2">
      <c r="B44448" t="s">
        <v>61</v>
      </c>
    </row>
    <row r="44450" spans="1:4" x14ac:dyDescent="0.2">
      <c r="A44450" t="s">
        <v>14229</v>
      </c>
      <c r="B44450" t="str">
        <f>HYPERLINK("https://lindat.mff.cuni.cz/services/teitok/pdtc10/index.php?action=vallex&amp;frame=v-w6154f2_ZU", "slevit (v-w6154f2_ZU)")</f>
        <v>slevit (v-w6154f2_ZU)</v>
      </c>
    </row>
    <row r="44451" spans="1:4" x14ac:dyDescent="0.2">
      <c r="B44451" t="s">
        <v>1</v>
      </c>
      <c r="C44451" t="s">
        <v>140</v>
      </c>
      <c r="D44451" t="s">
        <v>23064</v>
      </c>
    </row>
    <row r="44452" spans="1:4" x14ac:dyDescent="0.2">
      <c r="B44452" t="s">
        <v>168</v>
      </c>
      <c r="D44452" t="s">
        <v>23065</v>
      </c>
    </row>
    <row r="44454" spans="1:4" x14ac:dyDescent="0.2">
      <c r="A44454" t="s">
        <v>14230</v>
      </c>
      <c r="B44454" t="str">
        <f>HYPERLINK("https://lindat.mff.cuni.cz/services/teitok/pdtc10/index.php?action=vallex&amp;frame=v-w6161f1", "slibovat (v-w6161f1)")</f>
        <v>slibovat (v-w6161f1)</v>
      </c>
    </row>
    <row r="44455" spans="1:4" x14ac:dyDescent="0.2">
      <c r="B44455" t="s">
        <v>1</v>
      </c>
      <c r="C44455" t="s">
        <v>14231</v>
      </c>
      <c r="D44455" t="s">
        <v>24089</v>
      </c>
    </row>
    <row r="44456" spans="1:4" x14ac:dyDescent="0.2">
      <c r="B44456" t="s">
        <v>12632</v>
      </c>
      <c r="C44456" t="s">
        <v>14232</v>
      </c>
      <c r="D44456" t="s">
        <v>24090</v>
      </c>
    </row>
    <row r="44457" spans="1:4" x14ac:dyDescent="0.2">
      <c r="B44457" t="s">
        <v>35</v>
      </c>
      <c r="C44457" t="s">
        <v>3627</v>
      </c>
      <c r="D44457" t="s">
        <v>24091</v>
      </c>
    </row>
    <row r="44459" spans="1:4" x14ac:dyDescent="0.2">
      <c r="A44459" t="s">
        <v>14233</v>
      </c>
      <c r="B44459" t="str">
        <f>HYPERLINK("https://lindat.mff.cuni.cz/services/teitok/pdtc10/index.php?action=vallex&amp;frame=v-w6162f1", "slibovat si (v-w6162f1)")</f>
        <v>slibovat si (v-w6162f1)</v>
      </c>
    </row>
    <row r="44460" spans="1:4" x14ac:dyDescent="0.2">
      <c r="B44460" t="s">
        <v>1</v>
      </c>
    </row>
    <row r="44461" spans="1:4" x14ac:dyDescent="0.2">
      <c r="B44461" t="s">
        <v>41</v>
      </c>
    </row>
    <row r="44462" spans="1:4" x14ac:dyDescent="0.2">
      <c r="B44462" t="s">
        <v>321</v>
      </c>
    </row>
    <row r="44464" spans="1:4" x14ac:dyDescent="0.2">
      <c r="A44464" t="s">
        <v>14234</v>
      </c>
      <c r="B44464" t="str">
        <f>HYPERLINK("https://lindat.mff.cuni.cz/services/teitok/pdtc10/index.php?action=vallex&amp;frame=v-w10969f3_ZU", "slisovat (v-w10969f3_ZU)")</f>
        <v>slisovat (v-w10969f3_ZU)</v>
      </c>
    </row>
    <row r="44465" spans="1:2" x14ac:dyDescent="0.2">
      <c r="B44465" t="s">
        <v>1</v>
      </c>
    </row>
    <row r="44466" spans="1:2" x14ac:dyDescent="0.2">
      <c r="B44466" t="s">
        <v>8</v>
      </c>
    </row>
    <row r="44467" spans="1:2" x14ac:dyDescent="0.2">
      <c r="B44467" t="s">
        <v>25</v>
      </c>
    </row>
    <row r="44469" spans="1:2" x14ac:dyDescent="0.2">
      <c r="A44469" t="s">
        <v>14234</v>
      </c>
      <c r="B44469" t="str">
        <f>HYPERLINK("https://lindat.mff.cuni.cz/services/teitok/pdtc10/index.php?action=vallex&amp;frame=v-w10969f2", "slisovat (v-w10969f2) - substituted with v-w10969f3_ZU")</f>
        <v>slisovat (v-w10969f2) - substituted with v-w10969f3_ZU</v>
      </c>
    </row>
    <row r="44470" spans="1:2" x14ac:dyDescent="0.2">
      <c r="B44470" t="s">
        <v>1</v>
      </c>
    </row>
    <row r="44471" spans="1:2" x14ac:dyDescent="0.2">
      <c r="B44471" t="s">
        <v>8</v>
      </c>
    </row>
    <row r="44472" spans="1:2" x14ac:dyDescent="0.2">
      <c r="B44472" t="s">
        <v>25</v>
      </c>
    </row>
    <row r="44474" spans="1:2" x14ac:dyDescent="0.2">
      <c r="A44474" t="s">
        <v>14234</v>
      </c>
      <c r="B44474" t="str">
        <f>HYPERLINK("https://lindat.mff.cuni.cz/services/teitok/pdtc10/index.php?action=vallex&amp;frame=v-w10969hsa_118", "slisovat (v-w10969hsa_118) - substituted with v-w10969f3_ZU")</f>
        <v>slisovat (v-w10969hsa_118) - substituted with v-w10969f3_ZU</v>
      </c>
    </row>
    <row r="44475" spans="1:2" x14ac:dyDescent="0.2">
      <c r="B44475" t="s">
        <v>1</v>
      </c>
    </row>
    <row r="44476" spans="1:2" x14ac:dyDescent="0.2">
      <c r="B44476" t="s">
        <v>8</v>
      </c>
    </row>
    <row r="44477" spans="1:2" x14ac:dyDescent="0.2">
      <c r="B44477" t="s">
        <v>25</v>
      </c>
    </row>
    <row r="44479" spans="1:2" x14ac:dyDescent="0.2">
      <c r="A44479" t="s">
        <v>14235</v>
      </c>
      <c r="B44479" t="str">
        <f>HYPERLINK("https://lindat.mff.cuni.cz/services/teitok/pdtc10/index.php?action=vallex&amp;frame=v-whsa_1305hsa_1306", "sloupnout (v-whsa_1305hsa_1306)")</f>
        <v>sloupnout (v-whsa_1305hsa_1306)</v>
      </c>
    </row>
    <row r="44480" spans="1:2" x14ac:dyDescent="0.2">
      <c r="B44480" t="s">
        <v>1</v>
      </c>
    </row>
    <row r="44481" spans="1:4" x14ac:dyDescent="0.2">
      <c r="B44481" t="s">
        <v>8</v>
      </c>
    </row>
    <row r="44483" spans="1:4" x14ac:dyDescent="0.2">
      <c r="A44483" t="s">
        <v>14236</v>
      </c>
      <c r="B44483" t="str">
        <f>HYPERLINK("https://lindat.mff.cuni.cz/services/teitok/pdtc10/index.php?action=vallex&amp;frame=v-w6169f1", "slout (v-w6169f1)")</f>
        <v>slout (v-w6169f1)</v>
      </c>
    </row>
    <row r="44484" spans="1:4" x14ac:dyDescent="0.2">
      <c r="B44484" t="s">
        <v>1</v>
      </c>
    </row>
    <row r="44485" spans="1:4" x14ac:dyDescent="0.2">
      <c r="B44485" t="s">
        <v>6398</v>
      </c>
    </row>
    <row r="44487" spans="1:4" x14ac:dyDescent="0.2">
      <c r="A44487" t="s">
        <v>14237</v>
      </c>
      <c r="B44487" t="str">
        <f>HYPERLINK("https://lindat.mff.cuni.cz/services/teitok/pdtc10/index.php?action=vallex&amp;frame=v-w6169f2_ZU", "slout (v-w6169f2_ZU)")</f>
        <v>slout (v-w6169f2_ZU)</v>
      </c>
    </row>
    <row r="44488" spans="1:4" x14ac:dyDescent="0.2">
      <c r="B44488" t="s">
        <v>1</v>
      </c>
    </row>
    <row r="44489" spans="1:4" x14ac:dyDescent="0.2">
      <c r="B44489" t="s">
        <v>14238</v>
      </c>
    </row>
    <row r="44491" spans="1:4" x14ac:dyDescent="0.2">
      <c r="A44491" t="s">
        <v>14239</v>
      </c>
      <c r="B44491" t="str">
        <f>HYPERLINK("https://lindat.mff.cuni.cz/services/teitok/pdtc10/index.php?action=vallex&amp;frame=v-w6167f1", "sloučit (v-w6167f1)")</f>
        <v>sloučit (v-w6167f1)</v>
      </c>
    </row>
    <row r="44492" spans="1:4" x14ac:dyDescent="0.2">
      <c r="B44492" t="s">
        <v>1</v>
      </c>
      <c r="C44492" t="s">
        <v>14240</v>
      </c>
      <c r="D44492" t="s">
        <v>23403</v>
      </c>
    </row>
    <row r="44493" spans="1:4" x14ac:dyDescent="0.2">
      <c r="B44493" t="s">
        <v>8</v>
      </c>
      <c r="C44493" t="s">
        <v>14241</v>
      </c>
      <c r="D44493" t="s">
        <v>23404</v>
      </c>
    </row>
    <row r="44494" spans="1:4" x14ac:dyDescent="0.2">
      <c r="B44494" t="s">
        <v>153</v>
      </c>
      <c r="C44494" t="s">
        <v>14242</v>
      </c>
      <c r="D44494" t="s">
        <v>24153</v>
      </c>
    </row>
    <row r="44495" spans="1:4" x14ac:dyDescent="0.2">
      <c r="B44495" t="s">
        <v>2156</v>
      </c>
      <c r="C44495" t="s">
        <v>14243</v>
      </c>
    </row>
    <row r="44497" spans="1:4" x14ac:dyDescent="0.2">
      <c r="A44497" t="s">
        <v>14244</v>
      </c>
      <c r="B44497" t="str">
        <f>HYPERLINK("https://lindat.mff.cuni.cz/services/teitok/pdtc10/index.php?action=vallex&amp;frame=v-w6167f2", "sloučit (v-w6167f2)")</f>
        <v>sloučit (v-w6167f2)</v>
      </c>
    </row>
    <row r="44498" spans="1:4" x14ac:dyDescent="0.2">
      <c r="B44498" t="s">
        <v>1</v>
      </c>
      <c r="C44498" t="s">
        <v>14245</v>
      </c>
      <c r="D44498" t="s">
        <v>3542</v>
      </c>
    </row>
    <row r="44499" spans="1:4" x14ac:dyDescent="0.2">
      <c r="B44499" t="s">
        <v>8</v>
      </c>
      <c r="C44499" t="s">
        <v>14246</v>
      </c>
      <c r="D44499" t="s">
        <v>23927</v>
      </c>
    </row>
    <row r="44500" spans="1:4" x14ac:dyDescent="0.2">
      <c r="B44500" t="s">
        <v>153</v>
      </c>
      <c r="C44500" t="s">
        <v>14242</v>
      </c>
      <c r="D44500" t="s">
        <v>23958</v>
      </c>
    </row>
    <row r="44502" spans="1:4" x14ac:dyDescent="0.2">
      <c r="A44502" t="s">
        <v>14247</v>
      </c>
      <c r="B44502" t="str">
        <f>HYPERLINK("https://lindat.mff.cuni.cz/services/teitok/pdtc10/index.php?action=vallex&amp;frame=v-w6168f1", "sloučit se (v-w6168f1)")</f>
        <v>sloučit se (v-w6168f1)</v>
      </c>
    </row>
    <row r="44503" spans="1:4" x14ac:dyDescent="0.2">
      <c r="B44503" t="s">
        <v>1</v>
      </c>
      <c r="C44503" t="s">
        <v>14248</v>
      </c>
      <c r="D44503" t="s">
        <v>23280</v>
      </c>
    </row>
    <row r="44504" spans="1:4" x14ac:dyDescent="0.2">
      <c r="B44504" t="s">
        <v>411</v>
      </c>
      <c r="C44504" t="s">
        <v>14249</v>
      </c>
      <c r="D44504" t="s">
        <v>23281</v>
      </c>
    </row>
    <row r="44505" spans="1:4" x14ac:dyDescent="0.2">
      <c r="B44505" t="s">
        <v>2156</v>
      </c>
      <c r="C44505" t="s">
        <v>4075</v>
      </c>
      <c r="D44505" t="s">
        <v>23829</v>
      </c>
    </row>
    <row r="44507" spans="1:4" x14ac:dyDescent="0.2">
      <c r="A44507" t="s">
        <v>14250</v>
      </c>
      <c r="B44507" t="str">
        <f>HYPERLINK("https://lindat.mff.cuni.cz/services/teitok/pdtc10/index.php?action=vallex&amp;frame=v-w6171f6_ZU", "sloužit (v-w6171f6_ZU)")</f>
        <v>sloužit (v-w6171f6_ZU)</v>
      </c>
    </row>
    <row r="44508" spans="1:4" x14ac:dyDescent="0.2">
      <c r="B44508" t="s">
        <v>488</v>
      </c>
      <c r="C44508" t="s">
        <v>14251</v>
      </c>
      <c r="D44508" t="s">
        <v>3583</v>
      </c>
    </row>
    <row r="44509" spans="1:4" x14ac:dyDescent="0.2">
      <c r="B44509" t="s">
        <v>14252</v>
      </c>
      <c r="C44509" t="s">
        <v>14253</v>
      </c>
      <c r="D44509" t="s">
        <v>6876</v>
      </c>
    </row>
    <row r="44511" spans="1:4" x14ac:dyDescent="0.2">
      <c r="A44511" t="s">
        <v>14250</v>
      </c>
      <c r="B44511" t="str">
        <f>HYPERLINK("https://lindat.mff.cuni.cz/services/teitok/pdtc10/index.php?action=vallex&amp;frame=v-w6171f1", "sloužit (v-w6171f1) - substituted with v-w6171f6_ZU")</f>
        <v>sloužit (v-w6171f1) - substituted with v-w6171f6_ZU</v>
      </c>
    </row>
    <row r="44512" spans="1:4" x14ac:dyDescent="0.2">
      <c r="B44512" t="s">
        <v>488</v>
      </c>
      <c r="C44512" t="s">
        <v>14254</v>
      </c>
    </row>
    <row r="44513" spans="1:4" x14ac:dyDescent="0.2">
      <c r="B44513" t="s">
        <v>14252</v>
      </c>
      <c r="C44513" t="s">
        <v>14255</v>
      </c>
    </row>
    <row r="44515" spans="1:4" x14ac:dyDescent="0.2">
      <c r="A44515" t="s">
        <v>14256</v>
      </c>
      <c r="B44515" t="str">
        <f>HYPERLINK("https://lindat.mff.cuni.cz/services/teitok/pdtc10/index.php?action=vallex&amp;frame=v-w6171f3", "sloužit (v-w6171f3)")</f>
        <v>sloužit (v-w6171f3)</v>
      </c>
    </row>
    <row r="44516" spans="1:4" x14ac:dyDescent="0.2">
      <c r="B44516" t="s">
        <v>1</v>
      </c>
      <c r="C44516" t="s">
        <v>3583</v>
      </c>
      <c r="D44516" t="s">
        <v>3583</v>
      </c>
    </row>
    <row r="44517" spans="1:4" x14ac:dyDescent="0.2">
      <c r="B44517" t="s">
        <v>103</v>
      </c>
      <c r="C44517" t="s">
        <v>6876</v>
      </c>
      <c r="D44517" t="s">
        <v>6876</v>
      </c>
    </row>
    <row r="44519" spans="1:4" x14ac:dyDescent="0.2">
      <c r="A44519" t="s">
        <v>14257</v>
      </c>
      <c r="B44519" t="str">
        <f>HYPERLINK("https://lindat.mff.cuni.cz/services/teitok/pdtc10/index.php?action=vallex&amp;frame=v-w6171f4", "sloužit (v-w6171f4)")</f>
        <v>sloužit (v-w6171f4)</v>
      </c>
    </row>
    <row r="44520" spans="1:4" x14ac:dyDescent="0.2">
      <c r="B44520" t="s">
        <v>1</v>
      </c>
    </row>
    <row r="44521" spans="1:4" x14ac:dyDescent="0.2">
      <c r="B44521" t="s">
        <v>8</v>
      </c>
    </row>
    <row r="44523" spans="1:4" x14ac:dyDescent="0.2">
      <c r="A44523" t="s">
        <v>14258</v>
      </c>
      <c r="B44523" t="str">
        <f>HYPERLINK("https://lindat.mff.cuni.cz/services/teitok/pdtc10/index.php?action=vallex&amp;frame=v-w6171f2", "sloužit (v-w6171f2)")</f>
        <v>sloužit (v-w6171f2)</v>
      </c>
    </row>
    <row r="44524" spans="1:4" x14ac:dyDescent="0.2">
      <c r="B44524" t="s">
        <v>1</v>
      </c>
      <c r="C44524" t="s">
        <v>14259</v>
      </c>
      <c r="D44524" t="s">
        <v>23861</v>
      </c>
    </row>
    <row r="44526" spans="1:4" x14ac:dyDescent="0.2">
      <c r="A44526" t="s">
        <v>14260</v>
      </c>
      <c r="B44526" t="str">
        <f>HYPERLINK("https://lindat.mff.cuni.cz/services/teitok/pdtc10/index.php?action=vallex&amp;frame=v-w6171f5", "sloužit (v-w6171f5)")</f>
        <v>sloužit (v-w6171f5)</v>
      </c>
    </row>
    <row r="44527" spans="1:4" x14ac:dyDescent="0.2">
      <c r="B44527" t="s">
        <v>1</v>
      </c>
      <c r="C44527" t="s">
        <v>14261</v>
      </c>
      <c r="D44527" t="s">
        <v>23034</v>
      </c>
    </row>
    <row r="44529" spans="1:4" x14ac:dyDescent="0.2">
      <c r="A44529" t="s">
        <v>14262</v>
      </c>
      <c r="B44529" t="str">
        <f>HYPERLINK("https://lindat.mff.cuni.cz/services/teitok/pdtc10/index.php?action=vallex&amp;frame=v-w6171f7_ZU", "sloužit (v-w6171f7_ZU)")</f>
        <v>sloužit (v-w6171f7_ZU)</v>
      </c>
    </row>
    <row r="44530" spans="1:4" x14ac:dyDescent="0.2">
      <c r="B44530" t="s">
        <v>1</v>
      </c>
    </row>
    <row r="44531" spans="1:4" x14ac:dyDescent="0.2">
      <c r="B44531" t="s">
        <v>8</v>
      </c>
    </row>
    <row r="44533" spans="1:4" x14ac:dyDescent="0.2">
      <c r="A44533" t="s">
        <v>14263</v>
      </c>
      <c r="B44533" t="str">
        <f>HYPERLINK("https://lindat.mff.cuni.cz/services/teitok/pdtc10/index.php?action=vallex&amp;frame=v-w6171f8_MM", "sloužit (v-w6171f8_MM)")</f>
        <v>sloužit (v-w6171f8_MM)</v>
      </c>
    </row>
    <row r="44534" spans="1:4" x14ac:dyDescent="0.2">
      <c r="B44534" t="s">
        <v>1</v>
      </c>
    </row>
    <row r="44536" spans="1:4" x14ac:dyDescent="0.2">
      <c r="A44536" t="s">
        <v>14264</v>
      </c>
      <c r="B44536" t="str">
        <f>HYPERLINK("https://lindat.mff.cuni.cz/services/teitok/pdtc10/index.php?action=vallex&amp;frame=v-w6177f1", "složit (v-w6177f1)")</f>
        <v>složit (v-w6177f1)</v>
      </c>
    </row>
    <row r="44537" spans="1:4" x14ac:dyDescent="0.2">
      <c r="B44537" t="s">
        <v>1</v>
      </c>
      <c r="C44537" t="s">
        <v>5475</v>
      </c>
    </row>
    <row r="44538" spans="1:4" x14ac:dyDescent="0.2">
      <c r="B44538" t="s">
        <v>8</v>
      </c>
      <c r="C44538" t="s">
        <v>5674</v>
      </c>
    </row>
    <row r="44539" spans="1:4" x14ac:dyDescent="0.2">
      <c r="B44539" t="s">
        <v>78</v>
      </c>
      <c r="C44539" t="s">
        <v>987</v>
      </c>
    </row>
    <row r="44541" spans="1:4" x14ac:dyDescent="0.2">
      <c r="A44541" t="s">
        <v>14265</v>
      </c>
      <c r="B44541" t="str">
        <f>HYPERLINK("https://lindat.mff.cuni.cz/services/teitok/pdtc10/index.php?action=vallex&amp;frame=v-w6177f4", "složit (v-w6177f4)")</f>
        <v>složit (v-w6177f4)</v>
      </c>
    </row>
    <row r="44542" spans="1:4" x14ac:dyDescent="0.2">
      <c r="B44542" t="s">
        <v>1</v>
      </c>
      <c r="C44542" t="s">
        <v>2533</v>
      </c>
      <c r="D44542" t="s">
        <v>23064</v>
      </c>
    </row>
    <row r="44543" spans="1:4" x14ac:dyDescent="0.2">
      <c r="B44543" t="s">
        <v>8</v>
      </c>
      <c r="C44543" t="s">
        <v>354</v>
      </c>
      <c r="D44543" t="s">
        <v>23065</v>
      </c>
    </row>
    <row r="44544" spans="1:4" x14ac:dyDescent="0.2">
      <c r="B44544" t="s">
        <v>3200</v>
      </c>
    </row>
    <row r="44546" spans="1:4" x14ac:dyDescent="0.2">
      <c r="A44546" t="s">
        <v>14266</v>
      </c>
      <c r="B44546" t="str">
        <f>HYPERLINK("https://lindat.mff.cuni.cz/services/teitok/pdtc10/index.php?action=vallex&amp;frame=v-w6177f2", "složit (v-w6177f2)")</f>
        <v>složit (v-w6177f2)</v>
      </c>
    </row>
    <row r="44547" spans="1:4" x14ac:dyDescent="0.2">
      <c r="B44547" t="s">
        <v>1</v>
      </c>
      <c r="C44547" t="s">
        <v>8395</v>
      </c>
      <c r="D44547" t="s">
        <v>140</v>
      </c>
    </row>
    <row r="44548" spans="1:4" x14ac:dyDescent="0.2">
      <c r="B44548" t="s">
        <v>8</v>
      </c>
      <c r="C44548" t="s">
        <v>84</v>
      </c>
      <c r="D44548" t="s">
        <v>113</v>
      </c>
    </row>
    <row r="44549" spans="1:4" x14ac:dyDescent="0.2">
      <c r="B44549" t="s">
        <v>24</v>
      </c>
      <c r="C44549" t="s">
        <v>14267</v>
      </c>
    </row>
    <row r="44550" spans="1:4" x14ac:dyDescent="0.2">
      <c r="B44550" t="s">
        <v>130</v>
      </c>
    </row>
    <row r="44552" spans="1:4" x14ac:dyDescent="0.2">
      <c r="A44552" t="s">
        <v>14268</v>
      </c>
      <c r="B44552" t="str">
        <f>HYPERLINK("https://lindat.mff.cuni.cz/services/teitok/pdtc10/index.php?action=vallex&amp;frame=v-w6177f7", "složit (v-w6177f7)")</f>
        <v>složit (v-w6177f7)</v>
      </c>
    </row>
    <row r="44553" spans="1:4" x14ac:dyDescent="0.2">
      <c r="B44553" t="s">
        <v>1</v>
      </c>
      <c r="C44553" t="s">
        <v>140</v>
      </c>
      <c r="D44553" t="s">
        <v>140</v>
      </c>
    </row>
    <row r="44554" spans="1:4" x14ac:dyDescent="0.2">
      <c r="B44554" t="s">
        <v>8</v>
      </c>
      <c r="C44554" t="s">
        <v>84</v>
      </c>
      <c r="D44554" t="s">
        <v>113</v>
      </c>
    </row>
    <row r="44555" spans="1:4" x14ac:dyDescent="0.2">
      <c r="B44555" t="s">
        <v>2156</v>
      </c>
      <c r="C44555" t="s">
        <v>26</v>
      </c>
    </row>
    <row r="44557" spans="1:4" x14ac:dyDescent="0.2">
      <c r="A44557" t="s">
        <v>14269</v>
      </c>
      <c r="B44557" t="str">
        <f>HYPERLINK("https://lindat.mff.cuni.cz/services/teitok/pdtc10/index.php?action=vallex&amp;frame=v-w6177f3", "složit (v-w6177f3)")</f>
        <v>složit (v-w6177f3)</v>
      </c>
    </row>
    <row r="44558" spans="1:4" x14ac:dyDescent="0.2">
      <c r="B44558" t="s">
        <v>1</v>
      </c>
    </row>
    <row r="44559" spans="1:4" x14ac:dyDescent="0.2">
      <c r="B44559" t="s">
        <v>8</v>
      </c>
    </row>
    <row r="44561" spans="1:4" x14ac:dyDescent="0.2">
      <c r="A44561" t="s">
        <v>14270</v>
      </c>
      <c r="B44561" t="str">
        <f>HYPERLINK("https://lindat.mff.cuni.cz/services/teitok/pdtc10/index.php?action=vallex&amp;frame=v-w6177f8", "složit (v-w6177f8)")</f>
        <v>složit (v-w6177f8)</v>
      </c>
    </row>
    <row r="44562" spans="1:4" x14ac:dyDescent="0.2">
      <c r="B44562" t="s">
        <v>1</v>
      </c>
    </row>
    <row r="44563" spans="1:4" x14ac:dyDescent="0.2">
      <c r="B44563" t="s">
        <v>8</v>
      </c>
    </row>
    <row r="44565" spans="1:4" x14ac:dyDescent="0.2">
      <c r="A44565" t="s">
        <v>14271</v>
      </c>
      <c r="B44565" t="str">
        <f>HYPERLINK("https://lindat.mff.cuni.cz/services/teitok/pdtc10/index.php?action=vallex&amp;frame=v-w6177f6", "složit (v-w6177f6)")</f>
        <v>složit (v-w6177f6)</v>
      </c>
    </row>
    <row r="44566" spans="1:4" x14ac:dyDescent="0.2">
      <c r="B44566" t="s">
        <v>1</v>
      </c>
      <c r="C44566" t="s">
        <v>715</v>
      </c>
      <c r="D44566" t="s">
        <v>715</v>
      </c>
    </row>
    <row r="44567" spans="1:4" x14ac:dyDescent="0.2">
      <c r="B44567" t="s">
        <v>8</v>
      </c>
      <c r="C44567" t="s">
        <v>2691</v>
      </c>
      <c r="D44567" t="s">
        <v>2691</v>
      </c>
    </row>
    <row r="44569" spans="1:4" x14ac:dyDescent="0.2">
      <c r="A44569" t="s">
        <v>14272</v>
      </c>
      <c r="B44569" t="str">
        <f>HYPERLINK("https://lindat.mff.cuni.cz/services/teitok/pdtc10/index.php?action=vallex&amp;frame=v-w6177f5", "složit (v-w6177f5)")</f>
        <v>složit (v-w6177f5)</v>
      </c>
    </row>
    <row r="44570" spans="1:4" x14ac:dyDescent="0.2">
      <c r="B44570" t="s">
        <v>1</v>
      </c>
    </row>
    <row r="44571" spans="1:4" x14ac:dyDescent="0.2">
      <c r="B44571" t="s">
        <v>14273</v>
      </c>
    </row>
    <row r="44573" spans="1:4" x14ac:dyDescent="0.2">
      <c r="A44573" t="s">
        <v>14274</v>
      </c>
      <c r="B44573" t="str">
        <f>HYPERLINK("https://lindat.mff.cuni.cz/services/teitok/pdtc10/index.php?action=vallex&amp;frame=v-w6177f12_ZU", "složit (v-w6177f12_ZU)")</f>
        <v>složit (v-w6177f12_ZU)</v>
      </c>
    </row>
    <row r="44574" spans="1:4" x14ac:dyDescent="0.2">
      <c r="B44574" t="s">
        <v>1</v>
      </c>
    </row>
    <row r="44575" spans="1:4" x14ac:dyDescent="0.2">
      <c r="B44575" t="s">
        <v>8</v>
      </c>
    </row>
    <row r="44577" spans="1:3" x14ac:dyDescent="0.2">
      <c r="A44577" t="s">
        <v>14274</v>
      </c>
      <c r="B44577" t="str">
        <f>HYPERLINK("https://lindat.mff.cuni.cz/services/teitok/pdtc10/index.php?action=vallex&amp;frame=v-w6177f10_ZU", "složit (v-w6177f10_ZU) - substituted with v-w6177f12_ZU")</f>
        <v>složit (v-w6177f10_ZU) - substituted with v-w6177f12_ZU</v>
      </c>
    </row>
    <row r="44578" spans="1:3" x14ac:dyDescent="0.2">
      <c r="B44578" t="s">
        <v>1</v>
      </c>
      <c r="C44578" t="s">
        <v>964</v>
      </c>
    </row>
    <row r="44579" spans="1:3" x14ac:dyDescent="0.2">
      <c r="B44579" t="s">
        <v>8</v>
      </c>
      <c r="C44579" t="s">
        <v>6123</v>
      </c>
    </row>
    <row r="44581" spans="1:3" x14ac:dyDescent="0.2">
      <c r="A44581" t="s">
        <v>14274</v>
      </c>
      <c r="B44581" t="str">
        <f>HYPERLINK("https://lindat.mff.cuni.cz/services/teitok/pdtc10/index.php?action=vallex&amp;frame=v-w6177hsa_450", "složit (v-w6177hsa_450) - substituted with v-w6177f12_ZU")</f>
        <v>složit (v-w6177hsa_450) - substituted with v-w6177f12_ZU</v>
      </c>
    </row>
    <row r="44582" spans="1:3" x14ac:dyDescent="0.2">
      <c r="B44582" t="s">
        <v>1</v>
      </c>
    </row>
    <row r="44583" spans="1:3" x14ac:dyDescent="0.2">
      <c r="B44583" t="s">
        <v>8</v>
      </c>
    </row>
    <row r="44585" spans="1:3" x14ac:dyDescent="0.2">
      <c r="A44585" t="s">
        <v>14275</v>
      </c>
      <c r="B44585" t="str">
        <f>HYPERLINK("https://lindat.mff.cuni.cz/services/teitok/pdtc10/index.php?action=vallex&amp;frame=v-w6177f9_ZU", "složit (v-w6177f9_ZU)")</f>
        <v>složit (v-w6177f9_ZU)</v>
      </c>
    </row>
    <row r="44586" spans="1:3" x14ac:dyDescent="0.2">
      <c r="B44586" t="s">
        <v>1</v>
      </c>
    </row>
    <row r="44587" spans="1:3" x14ac:dyDescent="0.2">
      <c r="B44587" t="s">
        <v>14276</v>
      </c>
    </row>
    <row r="44588" spans="1:3" x14ac:dyDescent="0.2">
      <c r="B44588" t="s">
        <v>103</v>
      </c>
    </row>
    <row r="44590" spans="1:3" x14ac:dyDescent="0.2">
      <c r="A44590" t="s">
        <v>14275</v>
      </c>
      <c r="B44590" t="str">
        <f>HYPERLINK("https://lindat.mff.cuni.cz/services/teitok/pdtc10/index.php?action=vallex&amp;frame=v-w6177hsa_451", "složit (v-w6177hsa_451) - substituted with v-w6177f9_ZU")</f>
        <v>složit (v-w6177hsa_451) - substituted with v-w6177f9_ZU</v>
      </c>
    </row>
    <row r="44591" spans="1:3" x14ac:dyDescent="0.2">
      <c r="B44591" t="s">
        <v>1</v>
      </c>
    </row>
    <row r="44592" spans="1:3" x14ac:dyDescent="0.2">
      <c r="B44592" t="s">
        <v>14276</v>
      </c>
    </row>
    <row r="44593" spans="1:2" x14ac:dyDescent="0.2">
      <c r="B44593" t="s">
        <v>103</v>
      </c>
    </row>
    <row r="44595" spans="1:2" x14ac:dyDescent="0.2">
      <c r="A44595" t="s">
        <v>14277</v>
      </c>
      <c r="B44595" t="str">
        <f>HYPERLINK("https://lindat.mff.cuni.cz/services/teitok/pdtc10/index.php?action=vallex&amp;frame=v-w6177f11_ZU", "složit (v-w6177f11_ZU)")</f>
        <v>složit (v-w6177f11_ZU)</v>
      </c>
    </row>
    <row r="44596" spans="1:2" x14ac:dyDescent="0.2">
      <c r="B44596" t="s">
        <v>1</v>
      </c>
    </row>
    <row r="44597" spans="1:2" x14ac:dyDescent="0.2">
      <c r="B44597" t="s">
        <v>9682</v>
      </c>
    </row>
    <row r="44598" spans="1:2" x14ac:dyDescent="0.2">
      <c r="B44598" t="s">
        <v>5</v>
      </c>
    </row>
    <row r="44600" spans="1:2" x14ac:dyDescent="0.2">
      <c r="A44600" t="s">
        <v>14277</v>
      </c>
      <c r="B44600" t="str">
        <f>HYPERLINK("https://lindat.mff.cuni.cz/services/teitok/pdtc10/index.php?action=vallex&amp;frame=v-w6177hsa_363", "složit (v-w6177hsa_363) - substituted with v-w6177f11_ZU")</f>
        <v>složit (v-w6177hsa_363) - substituted with v-w6177f11_ZU</v>
      </c>
    </row>
    <row r="44601" spans="1:2" x14ac:dyDescent="0.2">
      <c r="B44601" t="s">
        <v>1</v>
      </c>
    </row>
    <row r="44602" spans="1:2" x14ac:dyDescent="0.2">
      <c r="B44602" t="s">
        <v>9682</v>
      </c>
    </row>
    <row r="44603" spans="1:2" x14ac:dyDescent="0.2">
      <c r="B44603" t="s">
        <v>5</v>
      </c>
    </row>
    <row r="44605" spans="1:2" x14ac:dyDescent="0.2">
      <c r="A44605" t="s">
        <v>14278</v>
      </c>
      <c r="B44605" t="str">
        <f>HYPERLINK("https://lindat.mff.cuni.cz/services/teitok/pdtc10/index.php?action=vallex&amp;frame=v-w6177f13_ZU", "složit (v-w6177f13_ZU)")</f>
        <v>složit (v-w6177f13_ZU)</v>
      </c>
    </row>
    <row r="44606" spans="1:2" x14ac:dyDescent="0.2">
      <c r="B44606" t="s">
        <v>1</v>
      </c>
    </row>
    <row r="44607" spans="1:2" x14ac:dyDescent="0.2">
      <c r="B44607" t="s">
        <v>8</v>
      </c>
    </row>
    <row r="44609" spans="1:2" x14ac:dyDescent="0.2">
      <c r="A44609" t="s">
        <v>14279</v>
      </c>
      <c r="B44609" t="str">
        <f>HYPERLINK("https://lindat.mff.cuni.cz/services/teitok/pdtc10/index.php?action=vallex&amp;frame=v-w6177hsa_362", "složit (v-w6177hsa_362)")</f>
        <v>složit (v-w6177hsa_362)</v>
      </c>
    </row>
    <row r="44610" spans="1:2" x14ac:dyDescent="0.2">
      <c r="B44610" t="s">
        <v>1</v>
      </c>
    </row>
    <row r="44611" spans="1:2" x14ac:dyDescent="0.2">
      <c r="B44611" t="s">
        <v>8</v>
      </c>
    </row>
    <row r="44613" spans="1:2" x14ac:dyDescent="0.2">
      <c r="A44613" t="s">
        <v>14280</v>
      </c>
      <c r="B44613" t="str">
        <f>HYPERLINK("https://lindat.mff.cuni.cz/services/teitok/pdtc10/index.php?action=vallex&amp;frame=v-w6178f1", "složit se (v-w6178f1)")</f>
        <v>složit se (v-w6178f1)</v>
      </c>
    </row>
    <row r="44614" spans="1:2" x14ac:dyDescent="0.2">
      <c r="B44614" t="s">
        <v>1</v>
      </c>
    </row>
    <row r="44615" spans="1:2" x14ac:dyDescent="0.2">
      <c r="B44615" t="s">
        <v>161</v>
      </c>
    </row>
    <row r="44616" spans="1:2" x14ac:dyDescent="0.2">
      <c r="B44616" t="s">
        <v>153</v>
      </c>
    </row>
    <row r="44618" spans="1:2" x14ac:dyDescent="0.2">
      <c r="A44618" t="s">
        <v>14281</v>
      </c>
      <c r="B44618" t="str">
        <f>HYPERLINK("https://lindat.mff.cuni.cz/services/teitok/pdtc10/index.php?action=vallex&amp;frame=v-w6178f2_ZU", "složit se (v-w6178f2_ZU)")</f>
        <v>složit se (v-w6178f2_ZU)</v>
      </c>
    </row>
    <row r="44619" spans="1:2" x14ac:dyDescent="0.2">
      <c r="B44619" t="s">
        <v>1</v>
      </c>
    </row>
    <row r="44620" spans="1:2" x14ac:dyDescent="0.2">
      <c r="B44620" t="s">
        <v>28</v>
      </c>
    </row>
    <row r="44622" spans="1:2" x14ac:dyDescent="0.2">
      <c r="A44622" t="s">
        <v>14282</v>
      </c>
      <c r="B44622" t="str">
        <f>HYPERLINK("https://lindat.mff.cuni.cz/services/teitok/pdtc10/index.php?action=vallex&amp;frame=v-w6178hsa_1546", "složit se (v-w6178hsa_1546)")</f>
        <v>složit se (v-w6178hsa_1546)</v>
      </c>
    </row>
    <row r="44623" spans="1:2" x14ac:dyDescent="0.2">
      <c r="B44623" t="s">
        <v>1</v>
      </c>
    </row>
    <row r="44625" spans="1:4" x14ac:dyDescent="0.2">
      <c r="A44625" t="s">
        <v>14283</v>
      </c>
      <c r="B44625" t="str">
        <f>HYPERLINK("https://lindat.mff.cuni.cz/services/teitok/pdtc10/index.php?action=vallex&amp;frame=v-w6184f1", "slunit se (v-w6184f1)")</f>
        <v>slunit se (v-w6184f1)</v>
      </c>
    </row>
    <row r="44626" spans="1:4" x14ac:dyDescent="0.2">
      <c r="B44626" t="s">
        <v>1</v>
      </c>
    </row>
    <row r="44628" spans="1:4" x14ac:dyDescent="0.2">
      <c r="A44628" t="s">
        <v>14284</v>
      </c>
      <c r="B44628" t="str">
        <f>HYPERLINK("https://lindat.mff.cuni.cz/services/teitok/pdtc10/index.php?action=vallex&amp;frame=v-w6185f1", "slupnout (v-w6185f1)")</f>
        <v>slupnout (v-w6185f1)</v>
      </c>
    </row>
    <row r="44629" spans="1:4" x14ac:dyDescent="0.2">
      <c r="B44629" t="s">
        <v>1</v>
      </c>
    </row>
    <row r="44630" spans="1:4" x14ac:dyDescent="0.2">
      <c r="B44630" t="s">
        <v>8</v>
      </c>
    </row>
    <row r="44632" spans="1:4" x14ac:dyDescent="0.2">
      <c r="A44632" t="s">
        <v>14285</v>
      </c>
      <c r="B44632" t="str">
        <f>HYPERLINK("https://lindat.mff.cuni.cz/services/teitok/pdtc10/index.php?action=vallex&amp;frame=v-w11590_ZUf1_ZU", "slučovat (v-w11590_ZUf1_ZU)")</f>
        <v>slučovat (v-w11590_ZUf1_ZU)</v>
      </c>
    </row>
    <row r="44633" spans="1:4" x14ac:dyDescent="0.2">
      <c r="B44633" t="s">
        <v>1</v>
      </c>
    </row>
    <row r="44634" spans="1:4" x14ac:dyDescent="0.2">
      <c r="B44634" t="s">
        <v>8</v>
      </c>
    </row>
    <row r="44635" spans="1:4" x14ac:dyDescent="0.2">
      <c r="B44635" t="s">
        <v>153</v>
      </c>
    </row>
    <row r="44636" spans="1:4" x14ac:dyDescent="0.2">
      <c r="B44636" t="s">
        <v>2156</v>
      </c>
    </row>
    <row r="44638" spans="1:4" x14ac:dyDescent="0.2">
      <c r="A44638" t="s">
        <v>14286</v>
      </c>
      <c r="B44638" t="str">
        <f>HYPERLINK("https://lindat.mff.cuni.cz/services/teitok/pdtc10/index.php?action=vallex&amp;frame=v-w6182f2_ZU", "slučovat se (v-w6182f2_ZU)")</f>
        <v>slučovat se (v-w6182f2_ZU)</v>
      </c>
    </row>
    <row r="44639" spans="1:4" x14ac:dyDescent="0.2">
      <c r="B44639" t="s">
        <v>1</v>
      </c>
      <c r="C44639" t="s">
        <v>8170</v>
      </c>
      <c r="D44639" t="s">
        <v>23280</v>
      </c>
    </row>
    <row r="44640" spans="1:4" x14ac:dyDescent="0.2">
      <c r="B44640" t="s">
        <v>411</v>
      </c>
      <c r="C44640" t="s">
        <v>14287</v>
      </c>
      <c r="D44640" t="s">
        <v>23281</v>
      </c>
    </row>
    <row r="44641" spans="1:4" x14ac:dyDescent="0.2">
      <c r="B44641" t="s">
        <v>2156</v>
      </c>
      <c r="C44641" t="s">
        <v>4075</v>
      </c>
      <c r="D44641" t="s">
        <v>23829</v>
      </c>
    </row>
    <row r="44643" spans="1:4" x14ac:dyDescent="0.2">
      <c r="A44643" t="s">
        <v>14288</v>
      </c>
      <c r="B44643" t="str">
        <f>HYPERLINK("https://lindat.mff.cuni.cz/services/teitok/pdtc10/index.php?action=vallex&amp;frame=v-w6182f1", "slučovat se (v-w6182f1)")</f>
        <v>slučovat se (v-w6182f1)</v>
      </c>
    </row>
    <row r="44644" spans="1:4" x14ac:dyDescent="0.2">
      <c r="B44644" t="s">
        <v>1</v>
      </c>
      <c r="C44644" t="s">
        <v>1125</v>
      </c>
    </row>
    <row r="44645" spans="1:4" x14ac:dyDescent="0.2">
      <c r="B44645" t="s">
        <v>411</v>
      </c>
      <c r="C44645" t="s">
        <v>3773</v>
      </c>
    </row>
    <row r="44647" spans="1:4" x14ac:dyDescent="0.2">
      <c r="A44647" t="s">
        <v>14289</v>
      </c>
      <c r="B44647" t="str">
        <f>HYPERLINK("https://lindat.mff.cuni.cz/services/teitok/pdtc10/index.php?action=vallex&amp;frame=v-w6186f1", "slušet (v-w6186f1)")</f>
        <v>slušet (v-w6186f1)</v>
      </c>
    </row>
    <row r="44648" spans="1:4" x14ac:dyDescent="0.2">
      <c r="B44648" t="s">
        <v>5942</v>
      </c>
      <c r="D44648" t="s">
        <v>23342</v>
      </c>
    </row>
    <row r="44649" spans="1:4" x14ac:dyDescent="0.2">
      <c r="B44649" t="s">
        <v>103</v>
      </c>
      <c r="D44649" t="s">
        <v>6505</v>
      </c>
    </row>
    <row r="44651" spans="1:4" x14ac:dyDescent="0.2">
      <c r="A44651" t="s">
        <v>14290</v>
      </c>
      <c r="B44651" t="str">
        <f>HYPERLINK("https://lindat.mff.cuni.cz/services/teitok/pdtc10/index.php?action=vallex&amp;frame=v-w6187f1", "slušet se (v-w6187f1)")</f>
        <v>slušet se (v-w6187f1)</v>
      </c>
    </row>
    <row r="44652" spans="1:4" x14ac:dyDescent="0.2">
      <c r="B44652" t="s">
        <v>4868</v>
      </c>
      <c r="D44652" t="s">
        <v>23342</v>
      </c>
    </row>
    <row r="44653" spans="1:4" x14ac:dyDescent="0.2">
      <c r="B44653" t="s">
        <v>8500</v>
      </c>
      <c r="D44653" t="s">
        <v>6505</v>
      </c>
    </row>
    <row r="44655" spans="1:4" x14ac:dyDescent="0.2">
      <c r="A44655" t="s">
        <v>14291</v>
      </c>
      <c r="B44655" t="str">
        <f>HYPERLINK("https://lindat.mff.cuni.cz/services/teitok/pdtc10/index.php?action=vallex&amp;frame=v-w6192f3", "slyšet (v-w6192f3)")</f>
        <v>slyšet (v-w6192f3)</v>
      </c>
    </row>
    <row r="44656" spans="1:4" x14ac:dyDescent="0.2">
      <c r="B44656" t="s">
        <v>1</v>
      </c>
      <c r="C44656" t="s">
        <v>9612</v>
      </c>
      <c r="D44656" t="s">
        <v>7388</v>
      </c>
    </row>
    <row r="44657" spans="1:4" x14ac:dyDescent="0.2">
      <c r="B44657" t="s">
        <v>14292</v>
      </c>
      <c r="C44657" t="s">
        <v>14293</v>
      </c>
      <c r="D44657" t="s">
        <v>23189</v>
      </c>
    </row>
    <row r="44658" spans="1:4" x14ac:dyDescent="0.2">
      <c r="B44658" t="s">
        <v>321</v>
      </c>
      <c r="C44658" t="s">
        <v>1887</v>
      </c>
      <c r="D44658" t="s">
        <v>23190</v>
      </c>
    </row>
    <row r="44660" spans="1:4" x14ac:dyDescent="0.2">
      <c r="A44660" t="s">
        <v>14294</v>
      </c>
      <c r="B44660" t="str">
        <f>HYPERLINK("https://lindat.mff.cuni.cz/services/teitok/pdtc10/index.php?action=vallex&amp;frame=v-w6192f9_ZU", "slyšet (v-w6192f9_ZU)")</f>
        <v>slyšet (v-w6192f9_ZU)</v>
      </c>
    </row>
    <row r="44661" spans="1:4" x14ac:dyDescent="0.2">
      <c r="B44661" t="s">
        <v>1</v>
      </c>
    </row>
    <row r="44662" spans="1:4" x14ac:dyDescent="0.2">
      <c r="B44662" t="s">
        <v>8</v>
      </c>
    </row>
    <row r="44663" spans="1:4" x14ac:dyDescent="0.2">
      <c r="B44663" t="s">
        <v>14295</v>
      </c>
    </row>
    <row r="44665" spans="1:4" x14ac:dyDescent="0.2">
      <c r="A44665" t="s">
        <v>14294</v>
      </c>
      <c r="B44665" t="str">
        <f>HYPERLINK("https://lindat.mff.cuni.cz/services/teitok/pdtc10/index.php?action=vallex&amp;frame=v-w6192f4", "slyšet (v-w6192f4) - substituted with v-w6192f9_ZU")</f>
        <v>slyšet (v-w6192f4) - substituted with v-w6192f9_ZU</v>
      </c>
    </row>
    <row r="44666" spans="1:4" x14ac:dyDescent="0.2">
      <c r="B44666" t="s">
        <v>1</v>
      </c>
      <c r="C44666" t="s">
        <v>7592</v>
      </c>
      <c r="D44666" t="s">
        <v>1106</v>
      </c>
    </row>
    <row r="44667" spans="1:4" x14ac:dyDescent="0.2">
      <c r="B44667" t="s">
        <v>8</v>
      </c>
      <c r="D44667" t="s">
        <v>24172</v>
      </c>
    </row>
    <row r="44668" spans="1:4" x14ac:dyDescent="0.2">
      <c r="B44668" t="s">
        <v>14295</v>
      </c>
      <c r="C44668" t="s">
        <v>14296</v>
      </c>
      <c r="D44668" t="s">
        <v>16384</v>
      </c>
    </row>
    <row r="44670" spans="1:4" x14ac:dyDescent="0.2">
      <c r="A44670" t="s">
        <v>14294</v>
      </c>
      <c r="B44670" t="str">
        <f>HYPERLINK("https://lindat.mff.cuni.cz/services/teitok/pdtc10/index.php?action=vallex&amp;frame=v-w6192f6_ZU", "slyšet (v-w6192f6_ZU) - substituted with v-w6192f9_ZU")</f>
        <v>slyšet (v-w6192f6_ZU) - substituted with v-w6192f9_ZU</v>
      </c>
    </row>
    <row r="44671" spans="1:4" x14ac:dyDescent="0.2">
      <c r="B44671" t="s">
        <v>1</v>
      </c>
    </row>
    <row r="44672" spans="1:4" x14ac:dyDescent="0.2">
      <c r="B44672" t="s">
        <v>8</v>
      </c>
    </row>
    <row r="44673" spans="1:4" x14ac:dyDescent="0.2">
      <c r="B44673" t="s">
        <v>14295</v>
      </c>
    </row>
    <row r="44675" spans="1:4" x14ac:dyDescent="0.2">
      <c r="A44675" t="s">
        <v>14297</v>
      </c>
      <c r="B44675" t="str">
        <f>HYPERLINK("https://lindat.mff.cuni.cz/services/teitok/pdtc10/index.php?action=vallex&amp;frame=v-w6192f8_ZU", "slyšet (v-w6192f8_ZU)")</f>
        <v>slyšet (v-w6192f8_ZU)</v>
      </c>
    </row>
    <row r="44676" spans="1:4" x14ac:dyDescent="0.2">
      <c r="B44676" t="s">
        <v>1</v>
      </c>
    </row>
    <row r="44677" spans="1:4" x14ac:dyDescent="0.2">
      <c r="B44677" t="s">
        <v>14298</v>
      </c>
    </row>
    <row r="44679" spans="1:4" x14ac:dyDescent="0.2">
      <c r="A44679" t="s">
        <v>14297</v>
      </c>
      <c r="B44679" t="str">
        <f>HYPERLINK("https://lindat.mff.cuni.cz/services/teitok/pdtc10/index.php?action=vallex&amp;frame=v-w6192f1", "slyšet (v-w6192f1) - substituted with v-w6192f8_ZU")</f>
        <v>slyšet (v-w6192f1) - substituted with v-w6192f8_ZU</v>
      </c>
    </row>
    <row r="44680" spans="1:4" x14ac:dyDescent="0.2">
      <c r="B44680" t="s">
        <v>1</v>
      </c>
      <c r="C44680" t="s">
        <v>14299</v>
      </c>
      <c r="D44680" t="s">
        <v>1106</v>
      </c>
    </row>
    <row r="44681" spans="1:4" x14ac:dyDescent="0.2">
      <c r="B44681" t="s">
        <v>14298</v>
      </c>
      <c r="C44681" t="s">
        <v>14300</v>
      </c>
      <c r="D44681" t="s">
        <v>24172</v>
      </c>
    </row>
    <row r="44683" spans="1:4" x14ac:dyDescent="0.2">
      <c r="A44683" t="s">
        <v>14301</v>
      </c>
      <c r="B44683" t="str">
        <f>HYPERLINK("https://lindat.mff.cuni.cz/services/teitok/pdtc10/index.php?action=vallex&amp;frame=v-w6192f5", "slyšet (v-w6192f5)")</f>
        <v>slyšet (v-w6192f5)</v>
      </c>
    </row>
    <row r="44684" spans="1:4" x14ac:dyDescent="0.2">
      <c r="B44684" t="s">
        <v>1</v>
      </c>
    </row>
    <row r="44685" spans="1:4" x14ac:dyDescent="0.2">
      <c r="B44685" t="s">
        <v>28</v>
      </c>
    </row>
    <row r="44687" spans="1:4" x14ac:dyDescent="0.2">
      <c r="A44687" t="s">
        <v>14302</v>
      </c>
      <c r="B44687" t="str">
        <f>HYPERLINK("https://lindat.mff.cuni.cz/services/teitok/pdtc10/index.php?action=vallex&amp;frame=v-w6192f2", "slyšet (v-w6192f2)")</f>
        <v>slyšet (v-w6192f2)</v>
      </c>
    </row>
    <row r="44688" spans="1:4" x14ac:dyDescent="0.2">
      <c r="B44688" t="s">
        <v>1</v>
      </c>
      <c r="C44688" t="s">
        <v>7592</v>
      </c>
      <c r="D44688" t="s">
        <v>7388</v>
      </c>
    </row>
    <row r="44689" spans="1:4" x14ac:dyDescent="0.2">
      <c r="B44689" t="s">
        <v>1884</v>
      </c>
      <c r="C44689" t="s">
        <v>14296</v>
      </c>
      <c r="D44689" t="s">
        <v>23188</v>
      </c>
    </row>
    <row r="44690" spans="1:4" x14ac:dyDescent="0.2">
      <c r="B44690" t="s">
        <v>269</v>
      </c>
      <c r="D44690" t="s">
        <v>23189</v>
      </c>
    </row>
    <row r="44691" spans="1:4" x14ac:dyDescent="0.2">
      <c r="B44691" t="s">
        <v>1886</v>
      </c>
      <c r="C44691" t="s">
        <v>1887</v>
      </c>
      <c r="D44691" t="s">
        <v>23190</v>
      </c>
    </row>
    <row r="44693" spans="1:4" x14ac:dyDescent="0.2">
      <c r="A44693" t="s">
        <v>14303</v>
      </c>
      <c r="B44693" t="str">
        <f>HYPERLINK("https://lindat.mff.cuni.cz/services/teitok/pdtc10/index.php?action=vallex&amp;frame=v-w6192f7_ZU", "slyšet (v-w6192f7_ZU)")</f>
        <v>slyšet (v-w6192f7_ZU)</v>
      </c>
    </row>
    <row r="44694" spans="1:4" x14ac:dyDescent="0.2">
      <c r="B44694" t="s">
        <v>1</v>
      </c>
    </row>
    <row r="44695" spans="1:4" x14ac:dyDescent="0.2">
      <c r="B44695" t="s">
        <v>14304</v>
      </c>
    </row>
    <row r="44697" spans="1:4" x14ac:dyDescent="0.2">
      <c r="A44697" t="s">
        <v>14303</v>
      </c>
      <c r="B44697" t="str">
        <f>HYPERLINK("https://lindat.mff.cuni.cz/services/teitok/pdtc10/index.php?action=vallex&amp;frame=v-w6192hsa_1037", "slyšet (v-w6192hsa_1037) - substituted with v-w6192f7_ZU")</f>
        <v>slyšet (v-w6192hsa_1037) - substituted with v-w6192f7_ZU</v>
      </c>
    </row>
    <row r="44698" spans="1:4" x14ac:dyDescent="0.2">
      <c r="B44698" t="s">
        <v>1</v>
      </c>
    </row>
    <row r="44699" spans="1:4" x14ac:dyDescent="0.2">
      <c r="B44699" t="s">
        <v>14304</v>
      </c>
    </row>
    <row r="44701" spans="1:4" x14ac:dyDescent="0.2">
      <c r="A44701" t="s">
        <v>14305</v>
      </c>
      <c r="B44701" t="str">
        <f>HYPERLINK("https://lindat.mff.cuni.cz/services/teitok/pdtc10/index.php?action=vallex&amp;frame=v-whsa_1135hsa_1136", "slyšet se (v-whsa_1135hsa_1136)")</f>
        <v>slyšet se (v-whsa_1135hsa_1136)</v>
      </c>
    </row>
    <row r="44702" spans="1:4" x14ac:dyDescent="0.2">
      <c r="B44702" t="s">
        <v>1</v>
      </c>
    </row>
    <row r="44703" spans="1:4" x14ac:dyDescent="0.2">
      <c r="B44703" t="s">
        <v>411</v>
      </c>
    </row>
    <row r="44705" spans="1:4" x14ac:dyDescent="0.2">
      <c r="A44705" t="s">
        <v>14306</v>
      </c>
      <c r="B44705" t="str">
        <f>HYPERLINK("https://lindat.mff.cuni.cz/services/teitok/pdtc10/index.php?action=vallex&amp;frame=v-w6139f1", "slábnout (v-w6139f1)")</f>
        <v>slábnout (v-w6139f1)</v>
      </c>
    </row>
    <row r="44706" spans="1:4" x14ac:dyDescent="0.2">
      <c r="B44706" t="s">
        <v>1</v>
      </c>
      <c r="C44706" t="s">
        <v>14307</v>
      </c>
      <c r="D44706" t="s">
        <v>23735</v>
      </c>
    </row>
    <row r="44708" spans="1:4" x14ac:dyDescent="0.2">
      <c r="A44708" t="s">
        <v>14308</v>
      </c>
      <c r="B44708" t="str">
        <f>HYPERLINK("https://lindat.mff.cuni.cz/services/teitok/pdtc10/index.php?action=vallex&amp;frame=v-w11272f1", "slétat se (v-w11272f1)")</f>
        <v>slétat se (v-w11272f1)</v>
      </c>
    </row>
    <row r="44709" spans="1:4" x14ac:dyDescent="0.2">
      <c r="B44709" t="s">
        <v>1</v>
      </c>
    </row>
    <row r="44710" spans="1:4" x14ac:dyDescent="0.2">
      <c r="B44710" t="s">
        <v>90</v>
      </c>
    </row>
    <row r="44712" spans="1:4" x14ac:dyDescent="0.2">
      <c r="A44712" t="s">
        <v>14309</v>
      </c>
      <c r="B44712" t="str">
        <f>HYPERLINK("https://lindat.mff.cuni.cz/services/teitok/pdtc10/index.php?action=vallex&amp;frame=v-w11124f2", "slétnout (v-w11124f2)")</f>
        <v>slétnout (v-w11124f2)</v>
      </c>
    </row>
    <row r="44713" spans="1:4" x14ac:dyDescent="0.2">
      <c r="B44713" t="s">
        <v>1</v>
      </c>
    </row>
    <row r="44714" spans="1:4" x14ac:dyDescent="0.2">
      <c r="B44714" t="s">
        <v>46</v>
      </c>
    </row>
    <row r="44715" spans="1:4" x14ac:dyDescent="0.2">
      <c r="B44715" t="s">
        <v>24</v>
      </c>
    </row>
    <row r="44717" spans="1:4" x14ac:dyDescent="0.2">
      <c r="A44717" t="s">
        <v>14310</v>
      </c>
      <c r="B44717" t="str">
        <f>HYPERLINK("https://lindat.mff.cuni.cz/services/teitok/pdtc10/index.php?action=vallex&amp;frame=v-w6153f1", "slévat se (v-w6153f1)")</f>
        <v>slévat se (v-w6153f1)</v>
      </c>
    </row>
    <row r="44718" spans="1:4" x14ac:dyDescent="0.2">
      <c r="B44718" t="s">
        <v>1</v>
      </c>
    </row>
    <row r="44719" spans="1:4" x14ac:dyDescent="0.2">
      <c r="B44719" t="s">
        <v>411</v>
      </c>
    </row>
    <row r="44720" spans="1:4" x14ac:dyDescent="0.2">
      <c r="B44720" t="s">
        <v>2156</v>
      </c>
    </row>
    <row r="44722" spans="1:4" x14ac:dyDescent="0.2">
      <c r="A44722" t="s">
        <v>14311</v>
      </c>
      <c r="B44722" t="str">
        <f>HYPERLINK("https://lindat.mff.cuni.cz/services/teitok/pdtc10/index.php?action=vallex&amp;frame=v-w6155f1", "slézat (v-w6155f1)")</f>
        <v>slézat (v-w6155f1)</v>
      </c>
    </row>
    <row r="44723" spans="1:4" x14ac:dyDescent="0.2">
      <c r="B44723" t="s">
        <v>1</v>
      </c>
      <c r="C44723" t="s">
        <v>83</v>
      </c>
      <c r="D44723" t="s">
        <v>1586</v>
      </c>
    </row>
    <row r="44724" spans="1:4" x14ac:dyDescent="0.2">
      <c r="B44724" t="s">
        <v>333</v>
      </c>
    </row>
    <row r="44726" spans="1:4" x14ac:dyDescent="0.2">
      <c r="A44726" t="s">
        <v>14312</v>
      </c>
      <c r="B44726" t="str">
        <f>HYPERLINK("https://lindat.mff.cuni.cz/services/teitok/pdtc10/index.php?action=vallex&amp;frame=v-w6156f1", "slézt (v-w6156f1)")</f>
        <v>slézt (v-w6156f1)</v>
      </c>
    </row>
    <row r="44727" spans="1:4" x14ac:dyDescent="0.2">
      <c r="B44727" t="s">
        <v>1</v>
      </c>
      <c r="D44727" t="s">
        <v>1586</v>
      </c>
    </row>
    <row r="44728" spans="1:4" x14ac:dyDescent="0.2">
      <c r="B44728" t="s">
        <v>333</v>
      </c>
    </row>
    <row r="44730" spans="1:4" x14ac:dyDescent="0.2">
      <c r="A44730" t="s">
        <v>14313</v>
      </c>
      <c r="B44730" t="str">
        <f>HYPERLINK("https://lindat.mff.cuni.cz/services/teitok/pdtc10/index.php?action=vallex&amp;frame=v-w6159f1", "slíbit (v-w6159f1)")</f>
        <v>slíbit (v-w6159f1)</v>
      </c>
    </row>
    <row r="44731" spans="1:4" x14ac:dyDescent="0.2">
      <c r="B44731" t="s">
        <v>1</v>
      </c>
      <c r="C44731" t="s">
        <v>14314</v>
      </c>
      <c r="D44731" t="s">
        <v>24089</v>
      </c>
    </row>
    <row r="44732" spans="1:4" x14ac:dyDescent="0.2">
      <c r="B44732" t="s">
        <v>12632</v>
      </c>
      <c r="C44732" t="s">
        <v>14315</v>
      </c>
      <c r="D44732" t="s">
        <v>24090</v>
      </c>
    </row>
    <row r="44733" spans="1:4" x14ac:dyDescent="0.2">
      <c r="B44733" t="s">
        <v>35</v>
      </c>
      <c r="C44733" t="s">
        <v>14316</v>
      </c>
      <c r="D44733" t="s">
        <v>24091</v>
      </c>
    </row>
    <row r="44735" spans="1:4" x14ac:dyDescent="0.2">
      <c r="A44735" t="s">
        <v>14317</v>
      </c>
      <c r="B44735" t="str">
        <f>HYPERLINK("https://lindat.mff.cuni.cz/services/teitok/pdtc10/index.php?action=vallex&amp;frame=v-whsa_1075hsa_1076", "slídit (v-whsa_1075hsa_1076)")</f>
        <v>slídit (v-whsa_1075hsa_1076)</v>
      </c>
    </row>
    <row r="44736" spans="1:4" x14ac:dyDescent="0.2">
      <c r="B44736" t="s">
        <v>1</v>
      </c>
    </row>
    <row r="44737" spans="1:4" x14ac:dyDescent="0.2">
      <c r="B44737" t="s">
        <v>1165</v>
      </c>
    </row>
    <row r="44739" spans="1:4" x14ac:dyDescent="0.2">
      <c r="A44739" t="s">
        <v>14318</v>
      </c>
      <c r="B44739" t="str">
        <f>HYPERLINK("https://lindat.mff.cuni.cz/services/teitok/pdtc10/index.php?action=vallex&amp;frame=v-w12123_ZUf1_ZU", "slít se (v-w12123_ZUf1_ZU)")</f>
        <v>slít se (v-w12123_ZUf1_ZU)</v>
      </c>
    </row>
    <row r="44740" spans="1:4" x14ac:dyDescent="0.2">
      <c r="B44740" t="s">
        <v>1</v>
      </c>
    </row>
    <row r="44741" spans="1:4" x14ac:dyDescent="0.2">
      <c r="B44741" t="s">
        <v>4622</v>
      </c>
    </row>
    <row r="44743" spans="1:4" x14ac:dyDescent="0.2">
      <c r="A44743" t="s">
        <v>14319</v>
      </c>
      <c r="B44743" t="str">
        <f>HYPERLINK("https://lindat.mff.cuni.cz/services/teitok/pdtc10/index.php?action=vallex&amp;frame=v-w11155f3", "slýchat (v-w11155f3)")</f>
        <v>slýchat (v-w11155f3)</v>
      </c>
    </row>
    <row r="44744" spans="1:4" x14ac:dyDescent="0.2">
      <c r="B44744" t="s">
        <v>1</v>
      </c>
      <c r="C44744" t="s">
        <v>7592</v>
      </c>
      <c r="D44744" t="s">
        <v>1106</v>
      </c>
    </row>
    <row r="44745" spans="1:4" x14ac:dyDescent="0.2">
      <c r="B44745" t="s">
        <v>13410</v>
      </c>
      <c r="C44745" t="s">
        <v>14320</v>
      </c>
      <c r="D44745" t="s">
        <v>24172</v>
      </c>
    </row>
    <row r="44747" spans="1:4" x14ac:dyDescent="0.2">
      <c r="A44747" t="s">
        <v>14321</v>
      </c>
      <c r="B44747" t="str">
        <f>HYPERLINK("https://lindat.mff.cuni.cz/services/teitok/pdtc10/index.php?action=vallex&amp;frame=v-w11155f2", "slýchat (v-w11155f2)")</f>
        <v>slýchat (v-w11155f2)</v>
      </c>
    </row>
    <row r="44748" spans="1:4" x14ac:dyDescent="0.2">
      <c r="B44748" t="s">
        <v>1</v>
      </c>
      <c r="D44748" t="s">
        <v>9234</v>
      </c>
    </row>
    <row r="44749" spans="1:4" x14ac:dyDescent="0.2">
      <c r="B44749" t="s">
        <v>4751</v>
      </c>
      <c r="D44749" t="s">
        <v>23185</v>
      </c>
    </row>
    <row r="44750" spans="1:4" x14ac:dyDescent="0.2">
      <c r="B44750" t="s">
        <v>269</v>
      </c>
      <c r="D44750" t="s">
        <v>23186</v>
      </c>
    </row>
    <row r="44751" spans="1:4" x14ac:dyDescent="0.2">
      <c r="B44751" t="s">
        <v>14322</v>
      </c>
      <c r="D44751" t="s">
        <v>2915</v>
      </c>
    </row>
    <row r="44753" spans="1:4" x14ac:dyDescent="0.2">
      <c r="A44753" t="s">
        <v>14323</v>
      </c>
      <c r="B44753" t="str">
        <f>HYPERLINK("https://lindat.mff.cuni.cz/services/teitok/pdtc10/index.php?action=vallex&amp;frame=v-w6190f2", "slýchávat (v-w6190f2)")</f>
        <v>slýchávat (v-w6190f2)</v>
      </c>
    </row>
    <row r="44754" spans="1:4" x14ac:dyDescent="0.2">
      <c r="B44754" t="s">
        <v>1</v>
      </c>
      <c r="D44754" t="s">
        <v>1106</v>
      </c>
    </row>
    <row r="44755" spans="1:4" x14ac:dyDescent="0.2">
      <c r="B44755" t="s">
        <v>13410</v>
      </c>
      <c r="D44755" t="s">
        <v>24172</v>
      </c>
    </row>
    <row r="44757" spans="1:4" x14ac:dyDescent="0.2">
      <c r="A44757" t="s">
        <v>14324</v>
      </c>
      <c r="B44757" t="str">
        <f>HYPERLINK("https://lindat.mff.cuni.cz/services/teitok/pdtc10/index.php?action=vallex&amp;frame=v-w6190f1", "slýchávat (v-w6190f1)")</f>
        <v>slýchávat (v-w6190f1)</v>
      </c>
    </row>
    <row r="44758" spans="1:4" x14ac:dyDescent="0.2">
      <c r="B44758" t="s">
        <v>1</v>
      </c>
      <c r="D44758" t="s">
        <v>9234</v>
      </c>
    </row>
    <row r="44759" spans="1:4" x14ac:dyDescent="0.2">
      <c r="B44759" t="s">
        <v>4751</v>
      </c>
      <c r="D44759" t="s">
        <v>23185</v>
      </c>
    </row>
    <row r="44760" spans="1:4" x14ac:dyDescent="0.2">
      <c r="B44760" t="s">
        <v>269</v>
      </c>
      <c r="D44760" t="s">
        <v>23186</v>
      </c>
    </row>
    <row r="44761" spans="1:4" x14ac:dyDescent="0.2">
      <c r="B44761" t="s">
        <v>14322</v>
      </c>
      <c r="D44761" t="s">
        <v>2915</v>
      </c>
    </row>
    <row r="44763" spans="1:4" x14ac:dyDescent="0.2">
      <c r="A44763" t="s">
        <v>14325</v>
      </c>
      <c r="B44763" t="str">
        <f>HYPERLINK("https://lindat.mff.cuni.cz/services/teitok/pdtc10/index.php?action=vallex&amp;frame=v-w6194f2", "smazat (v-w6194f2)")</f>
        <v>smazat (v-w6194f2)</v>
      </c>
    </row>
    <row r="44764" spans="1:4" x14ac:dyDescent="0.2">
      <c r="B44764" t="s">
        <v>1</v>
      </c>
      <c r="C44764" t="s">
        <v>9087</v>
      </c>
      <c r="D44764" t="s">
        <v>1065</v>
      </c>
    </row>
    <row r="44765" spans="1:4" x14ac:dyDescent="0.2">
      <c r="B44765" t="s">
        <v>8</v>
      </c>
      <c r="C44765" t="s">
        <v>3270</v>
      </c>
      <c r="D44765" t="s">
        <v>969</v>
      </c>
    </row>
    <row r="44767" spans="1:4" x14ac:dyDescent="0.2">
      <c r="A44767" t="s">
        <v>14325</v>
      </c>
      <c r="B44767" t="str">
        <f>HYPERLINK("https://lindat.mff.cuni.cz/services/teitok/pdtc10/index.php?action=vallex&amp;frame=v-w6194f1", "smazat (v-w6194f1) - substituted with v-w6194f2")</f>
        <v>smazat (v-w6194f1) - substituted with v-w6194f2</v>
      </c>
    </row>
    <row r="44768" spans="1:4" x14ac:dyDescent="0.2">
      <c r="B44768" t="s">
        <v>1</v>
      </c>
    </row>
    <row r="44769" spans="1:4" x14ac:dyDescent="0.2">
      <c r="B44769" t="s">
        <v>8</v>
      </c>
    </row>
    <row r="44771" spans="1:4" x14ac:dyDescent="0.2">
      <c r="A44771" t="s">
        <v>14326</v>
      </c>
      <c r="B44771" t="str">
        <f>HYPERLINK("https://lindat.mff.cuni.cz/services/teitok/pdtc10/index.php?action=vallex&amp;frame=v-w6194hsa_1565", "smazat (v-w6194hsa_1565)")</f>
        <v>smazat (v-w6194hsa_1565)</v>
      </c>
    </row>
    <row r="44772" spans="1:4" x14ac:dyDescent="0.2">
      <c r="B44772" t="s">
        <v>1</v>
      </c>
    </row>
    <row r="44773" spans="1:4" x14ac:dyDescent="0.2">
      <c r="B44773" t="s">
        <v>8</v>
      </c>
    </row>
    <row r="44774" spans="1:4" x14ac:dyDescent="0.2">
      <c r="B44774" t="s">
        <v>333</v>
      </c>
    </row>
    <row r="44776" spans="1:4" x14ac:dyDescent="0.2">
      <c r="A44776" t="s">
        <v>14327</v>
      </c>
      <c r="B44776" t="str">
        <f>HYPERLINK("https://lindat.mff.cuni.cz/services/teitok/pdtc10/index.php?action=vallex&amp;frame=v-w11591_ZUf1_ZU", "smazávat (v-w11591_ZUf1_ZU)")</f>
        <v>smazávat (v-w11591_ZUf1_ZU)</v>
      </c>
    </row>
    <row r="44777" spans="1:4" x14ac:dyDescent="0.2">
      <c r="B44777" t="s">
        <v>1</v>
      </c>
      <c r="C44777" t="s">
        <v>133</v>
      </c>
      <c r="D44777" t="s">
        <v>1065</v>
      </c>
    </row>
    <row r="44778" spans="1:4" x14ac:dyDescent="0.2">
      <c r="B44778" t="s">
        <v>8</v>
      </c>
      <c r="C44778" t="s">
        <v>23</v>
      </c>
      <c r="D44778" t="s">
        <v>969</v>
      </c>
    </row>
    <row r="44780" spans="1:4" x14ac:dyDescent="0.2">
      <c r="A44780" t="s">
        <v>14328</v>
      </c>
      <c r="B44780" t="str">
        <f>HYPERLINK("https://lindat.mff.cuni.cz/services/teitok/pdtc10/index.php?action=vallex&amp;frame=v-w11198f2", "smažit (v-w11198f2)")</f>
        <v>smažit (v-w11198f2)</v>
      </c>
    </row>
    <row r="44781" spans="1:4" x14ac:dyDescent="0.2">
      <c r="B44781" t="s">
        <v>1</v>
      </c>
    </row>
    <row r="44782" spans="1:4" x14ac:dyDescent="0.2">
      <c r="B44782" t="s">
        <v>8</v>
      </c>
      <c r="D44782" t="s">
        <v>113</v>
      </c>
    </row>
    <row r="44784" spans="1:4" x14ac:dyDescent="0.2">
      <c r="A44784" t="s">
        <v>14329</v>
      </c>
      <c r="B44784" t="str">
        <f>HYPERLINK("https://lindat.mff.cuni.cz/services/teitok/pdtc10/index.php?action=vallex&amp;frame=v-whsa_1508hsa_1509", "smekat (v-whsa_1508hsa_1509)")</f>
        <v>smekat (v-whsa_1508hsa_1509)</v>
      </c>
    </row>
    <row r="44785" spans="1:2" x14ac:dyDescent="0.2">
      <c r="B44785" t="s">
        <v>1</v>
      </c>
    </row>
    <row r="44786" spans="1:2" x14ac:dyDescent="0.2">
      <c r="B44786" t="s">
        <v>8</v>
      </c>
    </row>
    <row r="44788" spans="1:2" x14ac:dyDescent="0.2">
      <c r="A44788" t="s">
        <v>14330</v>
      </c>
      <c r="B44788" t="str">
        <f>HYPERLINK("https://lindat.mff.cuni.cz/services/teitok/pdtc10/index.php?action=vallex&amp;frame=v-w6196f2", "smeknout (v-w6196f2)")</f>
        <v>smeknout (v-w6196f2)</v>
      </c>
    </row>
    <row r="44789" spans="1:2" x14ac:dyDescent="0.2">
      <c r="B44789" t="s">
        <v>1</v>
      </c>
    </row>
    <row r="44790" spans="1:2" x14ac:dyDescent="0.2">
      <c r="B44790" t="s">
        <v>8</v>
      </c>
    </row>
    <row r="44792" spans="1:2" x14ac:dyDescent="0.2">
      <c r="A44792" t="s">
        <v>14331</v>
      </c>
      <c r="B44792" t="str">
        <f>HYPERLINK("https://lindat.mff.cuni.cz/services/teitok/pdtc10/index.php?action=vallex&amp;frame=v-w6196f1", "smeknout (v-w6196f1)")</f>
        <v>smeknout (v-w6196f1)</v>
      </c>
    </row>
    <row r="44793" spans="1:2" x14ac:dyDescent="0.2">
      <c r="B44793" t="s">
        <v>1</v>
      </c>
    </row>
    <row r="44794" spans="1:2" x14ac:dyDescent="0.2">
      <c r="B44794" t="s">
        <v>5328</v>
      </c>
    </row>
    <row r="44796" spans="1:2" x14ac:dyDescent="0.2">
      <c r="A44796" t="s">
        <v>14332</v>
      </c>
      <c r="B44796" t="str">
        <f>HYPERLINK("https://lindat.mff.cuni.cz/services/teitok/pdtc10/index.php?action=vallex&amp;frame=v-w12278_ZUf1_ZU", "smeknout se (v-w12278_ZUf1_ZU)")</f>
        <v>smeknout se (v-w12278_ZUf1_ZU)</v>
      </c>
    </row>
    <row r="44797" spans="1:2" x14ac:dyDescent="0.2">
      <c r="B44797" t="s">
        <v>1</v>
      </c>
    </row>
    <row r="44799" spans="1:2" x14ac:dyDescent="0.2">
      <c r="A44799" t="s">
        <v>14333</v>
      </c>
      <c r="B44799" t="str">
        <f>HYPERLINK("https://lindat.mff.cuni.cz/services/teitok/pdtc10/index.php?action=vallex&amp;frame=v-whsa_1495hsa_1496", "smilovat se (v-whsa_1495hsa_1496)")</f>
        <v>smilovat se (v-whsa_1495hsa_1496)</v>
      </c>
    </row>
    <row r="44800" spans="1:2" x14ac:dyDescent="0.2">
      <c r="B44800" t="s">
        <v>1</v>
      </c>
    </row>
    <row r="44801" spans="1:4" x14ac:dyDescent="0.2">
      <c r="B44801" t="s">
        <v>164</v>
      </c>
    </row>
    <row r="44803" spans="1:4" x14ac:dyDescent="0.2">
      <c r="A44803" t="s">
        <v>14334</v>
      </c>
      <c r="B44803" t="str">
        <f>HYPERLINK("https://lindat.mff.cuni.cz/services/teitok/pdtc10/index.php?action=vallex&amp;frame=v-w6215f1", "smiřovat se (v-w6215f1)")</f>
        <v>smiřovat se (v-w6215f1)</v>
      </c>
    </row>
    <row r="44804" spans="1:4" x14ac:dyDescent="0.2">
      <c r="B44804" t="s">
        <v>1</v>
      </c>
      <c r="D44804" t="s">
        <v>24173</v>
      </c>
    </row>
    <row r="44805" spans="1:4" x14ac:dyDescent="0.2">
      <c r="B44805" t="s">
        <v>411</v>
      </c>
      <c r="D44805" t="s">
        <v>1743</v>
      </c>
    </row>
    <row r="44807" spans="1:4" x14ac:dyDescent="0.2">
      <c r="A44807" t="s">
        <v>14335</v>
      </c>
      <c r="B44807" t="str">
        <f>HYPERLINK("https://lindat.mff.cuni.cz/services/teitok/pdtc10/index.php?action=vallex&amp;frame=v-w6217f1", "smlouvat (v-w6217f1)")</f>
        <v>smlouvat (v-w6217f1)</v>
      </c>
    </row>
    <row r="44808" spans="1:4" x14ac:dyDescent="0.2">
      <c r="B44808" t="s">
        <v>1</v>
      </c>
    </row>
    <row r="44809" spans="1:4" x14ac:dyDescent="0.2">
      <c r="B44809" t="s">
        <v>14336</v>
      </c>
    </row>
    <row r="44810" spans="1:4" x14ac:dyDescent="0.2">
      <c r="B44810" t="s">
        <v>153</v>
      </c>
    </row>
    <row r="44812" spans="1:4" x14ac:dyDescent="0.2">
      <c r="A44812" t="s">
        <v>14337</v>
      </c>
      <c r="B44812" t="str">
        <f>HYPERLINK("https://lindat.mff.cuni.cz/services/teitok/pdtc10/index.php?action=vallex&amp;frame=v-w6217f2", "smlouvat (v-w6217f2)")</f>
        <v>smlouvat (v-w6217f2)</v>
      </c>
    </row>
    <row r="44813" spans="1:4" x14ac:dyDescent="0.2">
      <c r="B44813" t="s">
        <v>1</v>
      </c>
      <c r="C44813" t="s">
        <v>33</v>
      </c>
      <c r="D44813" t="s">
        <v>9234</v>
      </c>
    </row>
    <row r="44814" spans="1:4" x14ac:dyDescent="0.2">
      <c r="B44814" t="s">
        <v>183</v>
      </c>
      <c r="C44814" t="s">
        <v>1301</v>
      </c>
      <c r="D44814" t="s">
        <v>24174</v>
      </c>
    </row>
    <row r="44815" spans="1:4" x14ac:dyDescent="0.2">
      <c r="B44815" t="s">
        <v>153</v>
      </c>
      <c r="D44815" t="s">
        <v>23124</v>
      </c>
    </row>
    <row r="44817" spans="1:2" x14ac:dyDescent="0.2">
      <c r="A44817" t="s">
        <v>14338</v>
      </c>
      <c r="B44817" t="str">
        <f>HYPERLINK("https://lindat.mff.cuni.cz/services/teitok/pdtc10/index.php?action=vallex&amp;frame=v-whsa_623f1_ZU", "smluvit (v-whsa_623f1_ZU)")</f>
        <v>smluvit (v-whsa_623f1_ZU)</v>
      </c>
    </row>
    <row r="44818" spans="1:2" x14ac:dyDescent="0.2">
      <c r="B44818" t="s">
        <v>1</v>
      </c>
    </row>
    <row r="44819" spans="1:2" x14ac:dyDescent="0.2">
      <c r="B44819" t="s">
        <v>153</v>
      </c>
    </row>
    <row r="44820" spans="1:2" x14ac:dyDescent="0.2">
      <c r="B44820" t="s">
        <v>5970</v>
      </c>
    </row>
    <row r="44822" spans="1:2" x14ac:dyDescent="0.2">
      <c r="A44822" t="s">
        <v>14338</v>
      </c>
      <c r="B44822" t="str">
        <f>HYPERLINK("https://lindat.mff.cuni.cz/services/teitok/pdtc10/index.php?action=vallex&amp;frame=v-whsa_623hsa_624", "smluvit (v-whsa_623hsa_624) - substituted with v-whsa_623f1_ZU")</f>
        <v>smluvit (v-whsa_623hsa_624) - substituted with v-whsa_623f1_ZU</v>
      </c>
    </row>
    <row r="44823" spans="1:2" x14ac:dyDescent="0.2">
      <c r="B44823" t="s">
        <v>1</v>
      </c>
    </row>
    <row r="44824" spans="1:2" x14ac:dyDescent="0.2">
      <c r="B44824" t="s">
        <v>153</v>
      </c>
    </row>
    <row r="44825" spans="1:2" x14ac:dyDescent="0.2">
      <c r="B44825" t="s">
        <v>5970</v>
      </c>
    </row>
    <row r="44827" spans="1:2" x14ac:dyDescent="0.2">
      <c r="A44827" t="s">
        <v>14339</v>
      </c>
      <c r="B44827" t="str">
        <f>HYPERLINK("https://lindat.mff.cuni.cz/services/teitok/pdtc10/index.php?action=vallex&amp;frame=v-w6218f1", "smolit (v-w6218f1)")</f>
        <v>smolit (v-w6218f1)</v>
      </c>
    </row>
    <row r="44828" spans="1:2" x14ac:dyDescent="0.2">
      <c r="B44828" t="s">
        <v>1</v>
      </c>
    </row>
    <row r="44829" spans="1:2" x14ac:dyDescent="0.2">
      <c r="B44829" t="s">
        <v>8</v>
      </c>
    </row>
    <row r="44831" spans="1:2" x14ac:dyDescent="0.2">
      <c r="A44831" t="s">
        <v>14340</v>
      </c>
      <c r="B44831" t="str">
        <f>HYPERLINK("https://lindat.mff.cuni.cz/services/teitok/pdtc10/index.php?action=vallex&amp;frame=v-w11736_ZUf1_ZU", "smontovat (v-w11736_ZUf1_ZU)")</f>
        <v>smontovat (v-w11736_ZUf1_ZU)</v>
      </c>
    </row>
    <row r="44832" spans="1:2" x14ac:dyDescent="0.2">
      <c r="B44832" t="s">
        <v>1</v>
      </c>
    </row>
    <row r="44833" spans="1:4" x14ac:dyDescent="0.2">
      <c r="B44833" t="s">
        <v>8</v>
      </c>
    </row>
    <row r="44834" spans="1:4" x14ac:dyDescent="0.2">
      <c r="B44834" t="s">
        <v>130</v>
      </c>
    </row>
    <row r="44836" spans="1:4" x14ac:dyDescent="0.2">
      <c r="A44836" t="s">
        <v>14341</v>
      </c>
      <c r="B44836" t="str">
        <f>HYPERLINK("https://lindat.mff.cuni.cz/services/teitok/pdtc10/index.php?action=vallex&amp;frame=v-w12157_ZUf1_ZU", "smotat (v-w12157_ZUf1_ZU)")</f>
        <v>smotat (v-w12157_ZUf1_ZU)</v>
      </c>
    </row>
    <row r="44837" spans="1:4" x14ac:dyDescent="0.2">
      <c r="B44837" t="s">
        <v>1</v>
      </c>
    </row>
    <row r="44838" spans="1:4" x14ac:dyDescent="0.2">
      <c r="B44838" t="s">
        <v>8</v>
      </c>
    </row>
    <row r="44839" spans="1:4" x14ac:dyDescent="0.2">
      <c r="B44839" t="s">
        <v>130</v>
      </c>
    </row>
    <row r="44841" spans="1:4" x14ac:dyDescent="0.2">
      <c r="A44841" t="s">
        <v>14342</v>
      </c>
      <c r="B44841" t="str">
        <f>HYPERLINK("https://lindat.mff.cuni.cz/services/teitok/pdtc10/index.php?action=vallex&amp;frame=v-whsb_1013hsa_1014", "smočit se (v-whsb_1013hsa_1014)")</f>
        <v>smočit se (v-whsb_1013hsa_1014)</v>
      </c>
    </row>
    <row r="44842" spans="1:4" x14ac:dyDescent="0.2">
      <c r="B44842" t="s">
        <v>1</v>
      </c>
    </row>
    <row r="44844" spans="1:4" x14ac:dyDescent="0.2">
      <c r="A44844" t="s">
        <v>14343</v>
      </c>
      <c r="B44844" t="str">
        <f>HYPERLINK("https://lindat.mff.cuni.cz/services/teitok/pdtc10/index.php?action=vallex&amp;frame=v-w6220f1", "smrdět (v-w6220f1)")</f>
        <v>smrdět (v-w6220f1)</v>
      </c>
    </row>
    <row r="44845" spans="1:4" x14ac:dyDescent="0.2">
      <c r="B44845" t="s">
        <v>1</v>
      </c>
      <c r="C44845" t="s">
        <v>715</v>
      </c>
      <c r="D44845" t="s">
        <v>715</v>
      </c>
    </row>
    <row r="44846" spans="1:4" x14ac:dyDescent="0.2">
      <c r="B44846" t="s">
        <v>11136</v>
      </c>
    </row>
    <row r="44848" spans="1:4" x14ac:dyDescent="0.2">
      <c r="A44848" t="s">
        <v>14344</v>
      </c>
      <c r="B44848" t="str">
        <f>HYPERLINK("https://lindat.mff.cuni.cz/services/teitok/pdtc10/index.php?action=vallex&amp;frame=v-w12311_MMf1_MM", "smrkat (v-w12311_MMf1_MM)")</f>
        <v>smrkat (v-w12311_MMf1_MM)</v>
      </c>
    </row>
    <row r="44849" spans="1:4" x14ac:dyDescent="0.2">
      <c r="B44849" t="s">
        <v>1</v>
      </c>
    </row>
    <row r="44851" spans="1:4" x14ac:dyDescent="0.2">
      <c r="A44851" t="s">
        <v>14345</v>
      </c>
      <c r="B44851" t="str">
        <f>HYPERLINK("https://lindat.mff.cuni.cz/services/teitok/pdtc10/index.php?action=vallex&amp;frame=v-w11305f1", "smrsknout se (v-w11305f1)")</f>
        <v>smrsknout se (v-w11305f1)</v>
      </c>
    </row>
    <row r="44852" spans="1:4" x14ac:dyDescent="0.2">
      <c r="B44852" t="s">
        <v>1</v>
      </c>
      <c r="C44852" t="s">
        <v>14346</v>
      </c>
      <c r="D44852" t="s">
        <v>23736</v>
      </c>
    </row>
    <row r="44853" spans="1:4" x14ac:dyDescent="0.2">
      <c r="B44853" t="s">
        <v>46</v>
      </c>
      <c r="D44853" t="s">
        <v>23737</v>
      </c>
    </row>
    <row r="44854" spans="1:4" x14ac:dyDescent="0.2">
      <c r="B44854" t="s">
        <v>24</v>
      </c>
      <c r="D44854" t="s">
        <v>23738</v>
      </c>
    </row>
    <row r="44856" spans="1:4" x14ac:dyDescent="0.2">
      <c r="A44856" t="s">
        <v>14347</v>
      </c>
      <c r="B44856" t="str">
        <f>HYPERLINK("https://lindat.mff.cuni.cz/services/teitok/pdtc10/index.php?action=vallex&amp;frame=v-w6219f1", "smrákat se (v-w6219f1)")</f>
        <v>smrákat se (v-w6219f1)</v>
      </c>
    </row>
    <row r="44858" spans="1:4" x14ac:dyDescent="0.2">
      <c r="A44858" t="s">
        <v>14348</v>
      </c>
      <c r="B44858" t="str">
        <f>HYPERLINK("https://lindat.mff.cuni.cz/services/teitok/pdtc10/index.php?action=vallex&amp;frame=v-w6221f1", "smrštit se (v-w6221f1)")</f>
        <v>smrštit se (v-w6221f1)</v>
      </c>
    </row>
    <row r="44859" spans="1:4" x14ac:dyDescent="0.2">
      <c r="B44859" t="s">
        <v>1</v>
      </c>
      <c r="D44859" t="s">
        <v>23736</v>
      </c>
    </row>
    <row r="44860" spans="1:4" x14ac:dyDescent="0.2">
      <c r="B44860" t="s">
        <v>3044</v>
      </c>
      <c r="D44860" t="s">
        <v>23737</v>
      </c>
    </row>
    <row r="44861" spans="1:4" x14ac:dyDescent="0.2">
      <c r="B44861" t="s">
        <v>24</v>
      </c>
      <c r="D44861" t="s">
        <v>23738</v>
      </c>
    </row>
    <row r="44863" spans="1:4" x14ac:dyDescent="0.2">
      <c r="A44863" t="s">
        <v>14349</v>
      </c>
      <c r="B44863" t="str">
        <f>HYPERLINK("https://lindat.mff.cuni.cz/services/teitok/pdtc10/index.php?action=vallex&amp;frame=v-w11127f2", "smršťovat (v-w11127f2)")</f>
        <v>smršťovat (v-w11127f2)</v>
      </c>
    </row>
    <row r="44864" spans="1:4" x14ac:dyDescent="0.2">
      <c r="B44864" t="s">
        <v>1</v>
      </c>
    </row>
    <row r="44865" spans="1:4" x14ac:dyDescent="0.2">
      <c r="B44865" t="s">
        <v>8</v>
      </c>
    </row>
    <row r="44866" spans="1:4" x14ac:dyDescent="0.2">
      <c r="B44866" t="s">
        <v>24</v>
      </c>
    </row>
    <row r="44867" spans="1:4" x14ac:dyDescent="0.2">
      <c r="B44867" t="s">
        <v>61</v>
      </c>
    </row>
    <row r="44869" spans="1:4" x14ac:dyDescent="0.2">
      <c r="A44869" t="s">
        <v>14350</v>
      </c>
      <c r="B44869" t="str">
        <f>HYPERLINK("https://lindat.mff.cuni.cz/services/teitok/pdtc10/index.php?action=vallex&amp;frame=v-w11592_ZUf1_ZU", "smršťovat se (v-w11592_ZUf1_ZU)")</f>
        <v>smršťovat se (v-w11592_ZUf1_ZU)</v>
      </c>
    </row>
    <row r="44870" spans="1:4" x14ac:dyDescent="0.2">
      <c r="B44870" t="s">
        <v>1</v>
      </c>
      <c r="C44870" t="s">
        <v>14346</v>
      </c>
      <c r="D44870" t="s">
        <v>23736</v>
      </c>
    </row>
    <row r="44871" spans="1:4" x14ac:dyDescent="0.2">
      <c r="B44871" t="s">
        <v>3044</v>
      </c>
      <c r="D44871" t="s">
        <v>23737</v>
      </c>
    </row>
    <row r="44872" spans="1:4" x14ac:dyDescent="0.2">
      <c r="B44872" t="s">
        <v>24</v>
      </c>
      <c r="D44872" t="s">
        <v>23738</v>
      </c>
    </row>
    <row r="44874" spans="1:4" x14ac:dyDescent="0.2">
      <c r="A44874" t="s">
        <v>14351</v>
      </c>
      <c r="B44874" t="str">
        <f>HYPERLINK("https://lindat.mff.cuni.cz/services/teitok/pdtc10/index.php?action=vallex&amp;frame=v-w6193f1", "smát se (v-w6193f1)")</f>
        <v>smát se (v-w6193f1)</v>
      </c>
    </row>
    <row r="44875" spans="1:4" x14ac:dyDescent="0.2">
      <c r="B44875" t="s">
        <v>1</v>
      </c>
      <c r="C44875" t="s">
        <v>2239</v>
      </c>
      <c r="D44875" t="s">
        <v>430</v>
      </c>
    </row>
    <row r="44876" spans="1:4" x14ac:dyDescent="0.2">
      <c r="B44876" t="s">
        <v>6113</v>
      </c>
      <c r="C44876" t="s">
        <v>1552</v>
      </c>
      <c r="D44876" t="s">
        <v>3156</v>
      </c>
    </row>
    <row r="44878" spans="1:4" x14ac:dyDescent="0.2">
      <c r="A44878" t="s">
        <v>14352</v>
      </c>
      <c r="B44878" t="str">
        <f>HYPERLINK("https://lindat.mff.cuni.cz/services/teitok/pdtc10/index.php?action=vallex&amp;frame=v-w6193f2", "smát se (v-w6193f2)")</f>
        <v>smát se (v-w6193f2)</v>
      </c>
    </row>
    <row r="44879" spans="1:4" x14ac:dyDescent="0.2">
      <c r="B44879" t="s">
        <v>1</v>
      </c>
      <c r="C44879" t="s">
        <v>83</v>
      </c>
      <c r="D44879" t="s">
        <v>2239</v>
      </c>
    </row>
    <row r="44880" spans="1:4" x14ac:dyDescent="0.2">
      <c r="B44880" t="s">
        <v>46</v>
      </c>
    </row>
    <row r="44882" spans="1:4" x14ac:dyDescent="0.2">
      <c r="A44882" t="s">
        <v>14353</v>
      </c>
      <c r="B44882" t="str">
        <f>HYPERLINK("https://lindat.mff.cuni.cz/services/teitok/pdtc10/index.php?action=vallex&amp;frame=v-w6207f1", "smést (v-w6207f1)")</f>
        <v>smést (v-w6207f1)</v>
      </c>
    </row>
    <row r="44883" spans="1:4" x14ac:dyDescent="0.2">
      <c r="B44883" t="s">
        <v>1</v>
      </c>
      <c r="C44883" t="s">
        <v>2239</v>
      </c>
      <c r="D44883" t="s">
        <v>140</v>
      </c>
    </row>
    <row r="44884" spans="1:4" x14ac:dyDescent="0.2">
      <c r="B44884" t="s">
        <v>8</v>
      </c>
      <c r="C44884" t="s">
        <v>1109</v>
      </c>
      <c r="D44884" t="s">
        <v>34</v>
      </c>
    </row>
    <row r="44885" spans="1:4" x14ac:dyDescent="0.2">
      <c r="B44885" t="s">
        <v>333</v>
      </c>
      <c r="C44885" t="s">
        <v>7105</v>
      </c>
    </row>
    <row r="44887" spans="1:4" x14ac:dyDescent="0.2">
      <c r="A44887" t="s">
        <v>14354</v>
      </c>
      <c r="B44887" t="str">
        <f>HYPERLINK("https://lindat.mff.cuni.cz/services/teitok/pdtc10/index.php?action=vallex&amp;frame=v-w6207f3", "smést (v-w6207f3)")</f>
        <v>smést (v-w6207f3)</v>
      </c>
    </row>
    <row r="44888" spans="1:4" x14ac:dyDescent="0.2">
      <c r="B44888" t="s">
        <v>1</v>
      </c>
      <c r="C44888" t="s">
        <v>80</v>
      </c>
      <c r="D44888" t="s">
        <v>2148</v>
      </c>
    </row>
    <row r="44889" spans="1:4" x14ac:dyDescent="0.2">
      <c r="B44889" t="s">
        <v>8</v>
      </c>
      <c r="C44889" t="s">
        <v>1510</v>
      </c>
      <c r="D44889" t="s">
        <v>8988</v>
      </c>
    </row>
    <row r="44890" spans="1:4" x14ac:dyDescent="0.2">
      <c r="B44890" t="s">
        <v>333</v>
      </c>
    </row>
    <row r="44892" spans="1:4" x14ac:dyDescent="0.2">
      <c r="A44892" t="s">
        <v>14355</v>
      </c>
      <c r="B44892" t="str">
        <f>HYPERLINK("https://lindat.mff.cuni.cz/services/teitok/pdtc10/index.php?action=vallex&amp;frame=v-w6207f2", "smést (v-w6207f2)")</f>
        <v>smést (v-w6207f2)</v>
      </c>
    </row>
    <row r="44893" spans="1:4" x14ac:dyDescent="0.2">
      <c r="B44893" t="s">
        <v>1</v>
      </c>
    </row>
    <row r="44894" spans="1:4" x14ac:dyDescent="0.2">
      <c r="B44894" t="s">
        <v>8</v>
      </c>
    </row>
    <row r="44896" spans="1:4" x14ac:dyDescent="0.2">
      <c r="A44896" t="s">
        <v>14356</v>
      </c>
      <c r="B44896" t="str">
        <f>HYPERLINK("https://lindat.mff.cuni.cz/services/teitok/pdtc10/index.php?action=vallex&amp;frame=v-w6211f1", "smíchat (v-w6211f1)")</f>
        <v>smíchat (v-w6211f1)</v>
      </c>
    </row>
    <row r="44897" spans="1:4" x14ac:dyDescent="0.2">
      <c r="B44897" t="s">
        <v>1</v>
      </c>
    </row>
    <row r="44898" spans="1:4" x14ac:dyDescent="0.2">
      <c r="B44898" t="s">
        <v>8</v>
      </c>
    </row>
    <row r="44899" spans="1:4" x14ac:dyDescent="0.2">
      <c r="B44899" t="s">
        <v>2604</v>
      </c>
    </row>
    <row r="44901" spans="1:4" x14ac:dyDescent="0.2">
      <c r="A44901" t="s">
        <v>14357</v>
      </c>
      <c r="B44901" t="str">
        <f>HYPERLINK("https://lindat.mff.cuni.cz/services/teitok/pdtc10/index.php?action=vallex&amp;frame=v-w6214f1", "smířit se (v-w6214f1)")</f>
        <v>smířit se (v-w6214f1)</v>
      </c>
    </row>
    <row r="44902" spans="1:4" x14ac:dyDescent="0.2">
      <c r="B44902" t="s">
        <v>1</v>
      </c>
      <c r="C44902" t="s">
        <v>109</v>
      </c>
      <c r="D44902" t="s">
        <v>24173</v>
      </c>
    </row>
    <row r="44903" spans="1:4" x14ac:dyDescent="0.2">
      <c r="B44903" t="s">
        <v>411</v>
      </c>
      <c r="C44903" t="s">
        <v>14358</v>
      </c>
      <c r="D44903" t="s">
        <v>1743</v>
      </c>
    </row>
    <row r="44905" spans="1:4" x14ac:dyDescent="0.2">
      <c r="A44905" t="s">
        <v>14359</v>
      </c>
      <c r="B44905" t="str">
        <f>HYPERLINK("https://lindat.mff.cuni.cz/services/teitok/pdtc10/index.php?action=vallex&amp;frame=v-w6214f2", "smířit se (v-w6214f2)")</f>
        <v>smířit se (v-w6214f2)</v>
      </c>
    </row>
    <row r="44906" spans="1:4" x14ac:dyDescent="0.2">
      <c r="B44906" t="s">
        <v>1</v>
      </c>
    </row>
    <row r="44907" spans="1:4" x14ac:dyDescent="0.2">
      <c r="B44907" t="s">
        <v>411</v>
      </c>
    </row>
    <row r="44909" spans="1:4" x14ac:dyDescent="0.2">
      <c r="A44909" t="s">
        <v>14360</v>
      </c>
      <c r="B44909" t="str">
        <f>HYPERLINK("https://lindat.mff.cuni.cz/services/teitok/pdtc10/index.php?action=vallex&amp;frame=v-w6225f1", "smýkat (v-w6225f1)")</f>
        <v>smýkat (v-w6225f1)</v>
      </c>
    </row>
    <row r="44910" spans="1:4" x14ac:dyDescent="0.2">
      <c r="B44910" t="s">
        <v>1</v>
      </c>
      <c r="C44910" t="s">
        <v>133</v>
      </c>
      <c r="D44910" t="s">
        <v>4110</v>
      </c>
    </row>
    <row r="44911" spans="1:4" x14ac:dyDescent="0.2">
      <c r="B44911" t="s">
        <v>3215</v>
      </c>
      <c r="C44911" t="s">
        <v>84</v>
      </c>
      <c r="D44911" t="s">
        <v>81</v>
      </c>
    </row>
    <row r="44913" spans="1:3" x14ac:dyDescent="0.2">
      <c r="A44913" t="s">
        <v>14361</v>
      </c>
      <c r="B44913" t="str">
        <f>HYPERLINK("https://lindat.mff.cuni.cz/services/teitok/pdtc10/index.php?action=vallex&amp;frame=v-w6225f2_ZU", "smýkat (v-w6225f2_ZU)")</f>
        <v>smýkat (v-w6225f2_ZU)</v>
      </c>
    </row>
    <row r="44914" spans="1:3" x14ac:dyDescent="0.2">
      <c r="B44914" t="s">
        <v>1</v>
      </c>
      <c r="C44914" t="s">
        <v>33</v>
      </c>
    </row>
    <row r="44915" spans="1:3" x14ac:dyDescent="0.2">
      <c r="B44915" t="s">
        <v>8</v>
      </c>
      <c r="C44915" t="s">
        <v>34</v>
      </c>
    </row>
    <row r="44917" spans="1:3" x14ac:dyDescent="0.2">
      <c r="A44917" t="s">
        <v>14361</v>
      </c>
      <c r="B44917" t="str">
        <f>HYPERLINK("https://lindat.mff.cuni.cz/services/teitok/pdtc10/index.php?action=vallex&amp;frame=v-w6225hsa_199", "smýkat (v-w6225hsa_199) - substituted with v-w6225f2_ZU")</f>
        <v>smýkat (v-w6225hsa_199) - substituted with v-w6225f2_ZU</v>
      </c>
    </row>
    <row r="44918" spans="1:3" x14ac:dyDescent="0.2">
      <c r="B44918" t="s">
        <v>1</v>
      </c>
    </row>
    <row r="44919" spans="1:3" x14ac:dyDescent="0.2">
      <c r="B44919" t="s">
        <v>8</v>
      </c>
    </row>
    <row r="44921" spans="1:3" x14ac:dyDescent="0.2">
      <c r="A44921" t="s">
        <v>14362</v>
      </c>
      <c r="B44921" t="str">
        <f>HYPERLINK("https://lindat.mff.cuni.cz/services/teitok/pdtc10/index.php?action=vallex&amp;frame=v-w10146f2", "smýt (v-w10146f2)")</f>
        <v>smýt (v-w10146f2)</v>
      </c>
    </row>
    <row r="44922" spans="1:3" x14ac:dyDescent="0.2">
      <c r="B44922" t="s">
        <v>1</v>
      </c>
    </row>
    <row r="44923" spans="1:3" x14ac:dyDescent="0.2">
      <c r="B44923" t="s">
        <v>8</v>
      </c>
    </row>
    <row r="44924" spans="1:3" x14ac:dyDescent="0.2">
      <c r="B44924" t="s">
        <v>333</v>
      </c>
    </row>
    <row r="44926" spans="1:3" x14ac:dyDescent="0.2">
      <c r="A44926" t="s">
        <v>14363</v>
      </c>
      <c r="B44926" t="str">
        <f>HYPERLINK("https://lindat.mff.cuni.cz/services/teitok/pdtc10/index.php?action=vallex&amp;frame=v-w12226_ZUf1_ZU", "smývat (v-w12226_ZUf1_ZU)")</f>
        <v>smývat (v-w12226_ZUf1_ZU)</v>
      </c>
    </row>
    <row r="44927" spans="1:3" x14ac:dyDescent="0.2">
      <c r="B44927" t="s">
        <v>1</v>
      </c>
    </row>
    <row r="44928" spans="1:3" x14ac:dyDescent="0.2">
      <c r="B44928" t="s">
        <v>8</v>
      </c>
    </row>
    <row r="44929" spans="1:4" x14ac:dyDescent="0.2">
      <c r="B44929" t="s">
        <v>333</v>
      </c>
    </row>
    <row r="44931" spans="1:4" x14ac:dyDescent="0.2">
      <c r="A44931" t="s">
        <v>14364</v>
      </c>
      <c r="B44931" t="str">
        <f>HYPERLINK("https://lindat.mff.cuni.cz/services/teitok/pdtc10/index.php?action=vallex&amp;frame=v-w11004f2", "smýšlet (v-w11004f2)")</f>
        <v>smýšlet (v-w11004f2)</v>
      </c>
    </row>
    <row r="44932" spans="1:4" x14ac:dyDescent="0.2">
      <c r="B44932" t="s">
        <v>1</v>
      </c>
    </row>
    <row r="44934" spans="1:4" x14ac:dyDescent="0.2">
      <c r="A44934" t="s">
        <v>14365</v>
      </c>
      <c r="B44934" t="str">
        <f>HYPERLINK("https://lindat.mff.cuni.cz/services/teitok/pdtc10/index.php?action=vallex&amp;frame=v-w6198f1", "směnit (v-w6198f1)")</f>
        <v>směnit (v-w6198f1)</v>
      </c>
    </row>
    <row r="44935" spans="1:4" x14ac:dyDescent="0.2">
      <c r="B44935" t="s">
        <v>1</v>
      </c>
    </row>
    <row r="44936" spans="1:4" x14ac:dyDescent="0.2">
      <c r="B44936" t="s">
        <v>8</v>
      </c>
    </row>
    <row r="44937" spans="1:4" x14ac:dyDescent="0.2">
      <c r="B44937" t="s">
        <v>2328</v>
      </c>
    </row>
    <row r="44938" spans="1:4" x14ac:dyDescent="0.2">
      <c r="B44938" t="s">
        <v>413</v>
      </c>
    </row>
    <row r="44940" spans="1:4" x14ac:dyDescent="0.2">
      <c r="A44940" t="s">
        <v>14366</v>
      </c>
      <c r="B44940" t="str">
        <f>HYPERLINK("https://lindat.mff.cuni.cz/services/teitok/pdtc10/index.php?action=vallex&amp;frame=v-w6198f2", "směnit (v-w6198f2)")</f>
        <v>směnit (v-w6198f2)</v>
      </c>
    </row>
    <row r="44941" spans="1:4" x14ac:dyDescent="0.2">
      <c r="B44941" t="s">
        <v>1</v>
      </c>
      <c r="C44941" t="s">
        <v>115</v>
      </c>
      <c r="D44941" t="s">
        <v>16642</v>
      </c>
    </row>
    <row r="44942" spans="1:4" x14ac:dyDescent="0.2">
      <c r="B44942" t="s">
        <v>8</v>
      </c>
      <c r="C44942" t="s">
        <v>4154</v>
      </c>
      <c r="D44942" t="s">
        <v>24175</v>
      </c>
    </row>
    <row r="44943" spans="1:4" x14ac:dyDescent="0.2">
      <c r="B44943" t="s">
        <v>24</v>
      </c>
      <c r="D44943" t="s">
        <v>24176</v>
      </c>
    </row>
    <row r="44944" spans="1:4" x14ac:dyDescent="0.2">
      <c r="B44944" t="s">
        <v>61</v>
      </c>
      <c r="C44944" t="s">
        <v>4156</v>
      </c>
      <c r="D44944" t="s">
        <v>23504</v>
      </c>
    </row>
    <row r="44946" spans="1:4" x14ac:dyDescent="0.2">
      <c r="A44946" t="s">
        <v>14367</v>
      </c>
      <c r="B44946" t="str">
        <f>HYPERLINK("https://lindat.mff.cuni.cz/services/teitok/pdtc10/index.php?action=vallex&amp;frame=v-w6203f1", "směrovat (v-w6203f1)")</f>
        <v>směrovat (v-w6203f1)</v>
      </c>
    </row>
    <row r="44947" spans="1:4" x14ac:dyDescent="0.2">
      <c r="B44947" t="s">
        <v>1</v>
      </c>
      <c r="C44947" t="s">
        <v>133</v>
      </c>
      <c r="D44947" t="s">
        <v>23069</v>
      </c>
    </row>
    <row r="44948" spans="1:4" x14ac:dyDescent="0.2">
      <c r="B44948" t="s">
        <v>8</v>
      </c>
      <c r="C44948" t="s">
        <v>84</v>
      </c>
      <c r="D44948" t="s">
        <v>23070</v>
      </c>
    </row>
    <row r="44949" spans="1:4" x14ac:dyDescent="0.2">
      <c r="B44949" t="s">
        <v>90</v>
      </c>
      <c r="D44949" t="s">
        <v>23570</v>
      </c>
    </row>
    <row r="44951" spans="1:4" x14ac:dyDescent="0.2">
      <c r="A44951" t="s">
        <v>14368</v>
      </c>
      <c r="B44951" t="str">
        <f>HYPERLINK("https://lindat.mff.cuni.cz/services/teitok/pdtc10/index.php?action=vallex&amp;frame=v-w6203f2", "směrovat (v-w6203f2)")</f>
        <v>směrovat (v-w6203f2)</v>
      </c>
    </row>
    <row r="44952" spans="1:4" x14ac:dyDescent="0.2">
      <c r="B44952" t="s">
        <v>1</v>
      </c>
    </row>
    <row r="44953" spans="1:4" x14ac:dyDescent="0.2">
      <c r="B44953" t="s">
        <v>8</v>
      </c>
    </row>
    <row r="44954" spans="1:4" x14ac:dyDescent="0.2">
      <c r="B44954" t="s">
        <v>90</v>
      </c>
    </row>
    <row r="44956" spans="1:4" x14ac:dyDescent="0.2">
      <c r="A44956" t="s">
        <v>14369</v>
      </c>
      <c r="B44956" t="str">
        <f>HYPERLINK("https://lindat.mff.cuni.cz/services/teitok/pdtc10/index.php?action=vallex&amp;frame=v-w6208f1", "směstnat (v-w6208f1)")</f>
        <v>směstnat (v-w6208f1)</v>
      </c>
    </row>
    <row r="44957" spans="1:4" x14ac:dyDescent="0.2">
      <c r="B44957" t="s">
        <v>1</v>
      </c>
    </row>
    <row r="44958" spans="1:4" x14ac:dyDescent="0.2">
      <c r="B44958" t="s">
        <v>8</v>
      </c>
    </row>
    <row r="44959" spans="1:4" x14ac:dyDescent="0.2">
      <c r="B44959" t="s">
        <v>5</v>
      </c>
    </row>
    <row r="44961" spans="1:2" x14ac:dyDescent="0.2">
      <c r="A44961" t="s">
        <v>14370</v>
      </c>
      <c r="B44961" t="str">
        <f>HYPERLINK("https://lindat.mff.cuni.cz/services/teitok/pdtc10/index.php?action=vallex&amp;frame=v-w6208f2", "směstnat (v-w6208f2)")</f>
        <v>směstnat (v-w6208f2)</v>
      </c>
    </row>
    <row r="44962" spans="1:2" x14ac:dyDescent="0.2">
      <c r="B44962" t="s">
        <v>1</v>
      </c>
    </row>
    <row r="44963" spans="1:2" x14ac:dyDescent="0.2">
      <c r="B44963" t="s">
        <v>8</v>
      </c>
    </row>
    <row r="44964" spans="1:2" x14ac:dyDescent="0.2">
      <c r="B44964" t="s">
        <v>90</v>
      </c>
    </row>
    <row r="44966" spans="1:2" x14ac:dyDescent="0.2">
      <c r="A44966" t="s">
        <v>14371</v>
      </c>
      <c r="B44966" t="str">
        <f>HYPERLINK("https://lindat.mff.cuni.cz/services/teitok/pdtc10/index.php?action=vallex&amp;frame=v-w11730_ZUf1_ZU", "smět (v-w11730_ZUf1_ZU)")</f>
        <v>smět (v-w11730_ZUf1_ZU)</v>
      </c>
    </row>
    <row r="44967" spans="1:2" x14ac:dyDescent="0.2">
      <c r="B44967" t="s">
        <v>1</v>
      </c>
    </row>
    <row r="44968" spans="1:2" x14ac:dyDescent="0.2">
      <c r="B44968" t="s">
        <v>8</v>
      </c>
    </row>
    <row r="44970" spans="1:2" x14ac:dyDescent="0.2">
      <c r="A44970" t="s">
        <v>14372</v>
      </c>
      <c r="B44970" t="str">
        <f>HYPERLINK("https://lindat.mff.cuni.cz/services/teitok/pdtc10/index.php?action=vallex&amp;frame=v-w6200f1", "směňovat (v-w6200f1)")</f>
        <v>směňovat (v-w6200f1)</v>
      </c>
    </row>
    <row r="44971" spans="1:2" x14ac:dyDescent="0.2">
      <c r="B44971" t="s">
        <v>1</v>
      </c>
    </row>
    <row r="44972" spans="1:2" x14ac:dyDescent="0.2">
      <c r="B44972" t="s">
        <v>8</v>
      </c>
    </row>
    <row r="44973" spans="1:2" x14ac:dyDescent="0.2">
      <c r="B44973" t="s">
        <v>2328</v>
      </c>
    </row>
    <row r="44974" spans="1:2" x14ac:dyDescent="0.2">
      <c r="B44974" t="s">
        <v>413</v>
      </c>
    </row>
    <row r="44976" spans="1:2" x14ac:dyDescent="0.2">
      <c r="A44976" t="s">
        <v>14373</v>
      </c>
      <c r="B44976" t="str">
        <f>HYPERLINK("https://lindat.mff.cuni.cz/services/teitok/pdtc10/index.php?action=vallex&amp;frame=v-w6205f4", "směřovat (v-w6205f4)")</f>
        <v>směřovat (v-w6205f4)</v>
      </c>
    </row>
    <row r="44977" spans="1:4" x14ac:dyDescent="0.2">
      <c r="B44977" t="s">
        <v>1</v>
      </c>
      <c r="C44977" t="s">
        <v>33</v>
      </c>
      <c r="D44977" t="s">
        <v>23069</v>
      </c>
    </row>
    <row r="44978" spans="1:4" x14ac:dyDescent="0.2">
      <c r="B44978" t="s">
        <v>8</v>
      </c>
      <c r="C44978" t="s">
        <v>1215</v>
      </c>
      <c r="D44978" t="s">
        <v>23070</v>
      </c>
    </row>
    <row r="44979" spans="1:4" x14ac:dyDescent="0.2">
      <c r="B44979" t="s">
        <v>90</v>
      </c>
      <c r="C44979" t="s">
        <v>9601</v>
      </c>
      <c r="D44979" t="s">
        <v>23570</v>
      </c>
    </row>
    <row r="44981" spans="1:4" x14ac:dyDescent="0.2">
      <c r="A44981" t="s">
        <v>14374</v>
      </c>
      <c r="B44981" t="str">
        <f>HYPERLINK("https://lindat.mff.cuni.cz/services/teitok/pdtc10/index.php?action=vallex&amp;frame=v-w6205f2", "směřovat (v-w6205f2)")</f>
        <v>směřovat (v-w6205f2)</v>
      </c>
    </row>
    <row r="44982" spans="1:4" x14ac:dyDescent="0.2">
      <c r="B44982" t="s">
        <v>1</v>
      </c>
      <c r="C44982" t="s">
        <v>14375</v>
      </c>
      <c r="D44982" t="s">
        <v>23360</v>
      </c>
    </row>
    <row r="44983" spans="1:4" x14ac:dyDescent="0.2">
      <c r="B44983" t="s">
        <v>3344</v>
      </c>
      <c r="C44983" t="s">
        <v>14376</v>
      </c>
      <c r="D44983" t="s">
        <v>23361</v>
      </c>
    </row>
    <row r="44985" spans="1:4" x14ac:dyDescent="0.2">
      <c r="A44985" t="s">
        <v>14377</v>
      </c>
      <c r="B44985" t="str">
        <f>HYPERLINK("https://lindat.mff.cuni.cz/services/teitok/pdtc10/index.php?action=vallex&amp;frame=v-w6205f1", "směřovat (v-w6205f1)")</f>
        <v>směřovat (v-w6205f1)</v>
      </c>
    </row>
    <row r="44986" spans="1:4" x14ac:dyDescent="0.2">
      <c r="B44986" t="s">
        <v>1</v>
      </c>
      <c r="C44986" t="s">
        <v>14378</v>
      </c>
      <c r="D44986" t="s">
        <v>23474</v>
      </c>
    </row>
    <row r="44987" spans="1:4" x14ac:dyDescent="0.2">
      <c r="B44987" t="s">
        <v>90</v>
      </c>
      <c r="C44987" t="s">
        <v>14379</v>
      </c>
      <c r="D44987" t="s">
        <v>11579</v>
      </c>
    </row>
    <row r="44989" spans="1:4" x14ac:dyDescent="0.2">
      <c r="A44989" t="s">
        <v>14380</v>
      </c>
      <c r="B44989" t="str">
        <f>HYPERLINK("https://lindat.mff.cuni.cz/services/teitok/pdtc10/index.php?action=vallex&amp;frame=v-w6205f3", "směřovat (v-w6205f3)")</f>
        <v>směřovat (v-w6205f3)</v>
      </c>
    </row>
    <row r="44990" spans="1:4" x14ac:dyDescent="0.2">
      <c r="B44990" t="s">
        <v>1</v>
      </c>
      <c r="C44990" t="s">
        <v>14381</v>
      </c>
      <c r="D44990" t="s">
        <v>3622</v>
      </c>
    </row>
    <row r="44991" spans="1:4" x14ac:dyDescent="0.2">
      <c r="B44991" t="s">
        <v>90</v>
      </c>
      <c r="C44991" t="s">
        <v>14382</v>
      </c>
    </row>
    <row r="44993" spans="1:4" x14ac:dyDescent="0.2">
      <c r="A44993" t="s">
        <v>14383</v>
      </c>
      <c r="B44993" t="str">
        <f>HYPERLINK("https://lindat.mff.cuni.cz/services/teitok/pdtc10/index.php?action=vallex&amp;frame=v-w6234f1", "snažit se (v-w6234f1)")</f>
        <v>snažit se (v-w6234f1)</v>
      </c>
    </row>
    <row r="44994" spans="1:4" x14ac:dyDescent="0.2">
      <c r="B44994" t="s">
        <v>1</v>
      </c>
      <c r="C44994" t="s">
        <v>14384</v>
      </c>
      <c r="D44994" t="s">
        <v>22995</v>
      </c>
    </row>
    <row r="44995" spans="1:4" x14ac:dyDescent="0.2">
      <c r="B44995" t="s">
        <v>9145</v>
      </c>
      <c r="C44995" t="s">
        <v>14385</v>
      </c>
      <c r="D44995" t="s">
        <v>22996</v>
      </c>
    </row>
    <row r="44997" spans="1:4" x14ac:dyDescent="0.2">
      <c r="A44997" t="s">
        <v>14386</v>
      </c>
      <c r="B44997" t="str">
        <f>HYPERLINK("https://lindat.mff.cuni.cz/services/teitok/pdtc10/index.php?action=vallex&amp;frame=v-w6253f1", "snižovat (v-w6253f1)")</f>
        <v>snižovat (v-w6253f1)</v>
      </c>
    </row>
    <row r="44998" spans="1:4" x14ac:dyDescent="0.2">
      <c r="B44998" t="s">
        <v>1</v>
      </c>
      <c r="C44998" t="s">
        <v>14387</v>
      </c>
      <c r="D44998" t="s">
        <v>23730</v>
      </c>
    </row>
    <row r="44999" spans="1:4" x14ac:dyDescent="0.2">
      <c r="B44999" t="s">
        <v>8</v>
      </c>
      <c r="C44999" t="s">
        <v>14388</v>
      </c>
      <c r="D44999" t="s">
        <v>23731</v>
      </c>
    </row>
    <row r="45000" spans="1:4" x14ac:dyDescent="0.2">
      <c r="B45000" t="s">
        <v>24</v>
      </c>
      <c r="C45000" t="s">
        <v>14389</v>
      </c>
      <c r="D45000" t="s">
        <v>23732</v>
      </c>
    </row>
    <row r="45001" spans="1:4" x14ac:dyDescent="0.2">
      <c r="B45001" t="s">
        <v>61</v>
      </c>
      <c r="C45001" t="s">
        <v>14390</v>
      </c>
      <c r="D45001" t="s">
        <v>23733</v>
      </c>
    </row>
    <row r="45003" spans="1:4" x14ac:dyDescent="0.2">
      <c r="A45003" t="s">
        <v>14391</v>
      </c>
      <c r="B45003" t="str">
        <f>HYPERLINK("https://lindat.mff.cuni.cz/services/teitok/pdtc10/index.php?action=vallex&amp;frame=v-w6254f1", "snižovat se (v-w6254f1)")</f>
        <v>snižovat se (v-w6254f1)</v>
      </c>
    </row>
    <row r="45004" spans="1:4" x14ac:dyDescent="0.2">
      <c r="B45004" t="s">
        <v>1</v>
      </c>
      <c r="C45004" t="s">
        <v>14392</v>
      </c>
      <c r="D45004" t="s">
        <v>23736</v>
      </c>
    </row>
    <row r="45005" spans="1:4" x14ac:dyDescent="0.2">
      <c r="B45005" t="s">
        <v>46</v>
      </c>
      <c r="C45005" t="s">
        <v>14393</v>
      </c>
      <c r="D45005" t="s">
        <v>23737</v>
      </c>
    </row>
    <row r="45006" spans="1:4" x14ac:dyDescent="0.2">
      <c r="B45006" t="s">
        <v>24</v>
      </c>
      <c r="C45006" t="s">
        <v>14394</v>
      </c>
      <c r="D45006" t="s">
        <v>23738</v>
      </c>
    </row>
    <row r="45008" spans="1:4" x14ac:dyDescent="0.2">
      <c r="A45008" t="s">
        <v>14395</v>
      </c>
      <c r="B45008" t="str">
        <f>HYPERLINK("https://lindat.mff.cuni.cz/services/teitok/pdtc10/index.php?action=vallex&amp;frame=v-w11593_ZUf1_ZU", "snoubit (v-w11593_ZUf1_ZU)")</f>
        <v>snoubit (v-w11593_ZUf1_ZU)</v>
      </c>
    </row>
    <row r="45009" spans="1:4" x14ac:dyDescent="0.2">
      <c r="B45009" t="s">
        <v>1</v>
      </c>
    </row>
    <row r="45010" spans="1:4" x14ac:dyDescent="0.2">
      <c r="B45010" t="s">
        <v>8</v>
      </c>
    </row>
    <row r="45011" spans="1:4" x14ac:dyDescent="0.2">
      <c r="B45011" t="s">
        <v>153</v>
      </c>
    </row>
    <row r="45012" spans="1:4" x14ac:dyDescent="0.2">
      <c r="B45012" t="s">
        <v>2156</v>
      </c>
    </row>
    <row r="45014" spans="1:4" x14ac:dyDescent="0.2">
      <c r="A45014" t="s">
        <v>14396</v>
      </c>
      <c r="B45014" t="str">
        <f>HYPERLINK("https://lindat.mff.cuni.cz/services/teitok/pdtc10/index.php?action=vallex&amp;frame=v-w6255f1", "snoubit se (v-w6255f1)")</f>
        <v>snoubit se (v-w6255f1)</v>
      </c>
    </row>
    <row r="45015" spans="1:4" x14ac:dyDescent="0.2">
      <c r="B45015" t="s">
        <v>1</v>
      </c>
      <c r="D45015" t="s">
        <v>23233</v>
      </c>
    </row>
    <row r="45016" spans="1:4" x14ac:dyDescent="0.2">
      <c r="B45016" t="s">
        <v>411</v>
      </c>
      <c r="D45016" t="s">
        <v>23234</v>
      </c>
    </row>
    <row r="45017" spans="1:4" x14ac:dyDescent="0.2">
      <c r="B45017" t="s">
        <v>2156</v>
      </c>
      <c r="D45017" t="s">
        <v>23829</v>
      </c>
    </row>
    <row r="45019" spans="1:4" x14ac:dyDescent="0.2">
      <c r="A45019" t="s">
        <v>14397</v>
      </c>
      <c r="B45019" t="str">
        <f>HYPERLINK("https://lindat.mff.cuni.cz/services/teitok/pdtc10/index.php?action=vallex&amp;frame=v-w11159f2", "snout (v-w11159f2)")</f>
        <v>snout (v-w11159f2)</v>
      </c>
    </row>
    <row r="45020" spans="1:4" x14ac:dyDescent="0.2">
      <c r="B45020" t="s">
        <v>1</v>
      </c>
    </row>
    <row r="45021" spans="1:4" x14ac:dyDescent="0.2">
      <c r="B45021" t="s">
        <v>14398</v>
      </c>
    </row>
    <row r="45023" spans="1:4" x14ac:dyDescent="0.2">
      <c r="A45023" t="s">
        <v>14399</v>
      </c>
      <c r="B45023" t="str">
        <f>HYPERLINK("https://lindat.mff.cuni.cz/services/teitok/pdtc10/index.php?action=vallex&amp;frame=v-w6230f5_ZU", "snášet (v-w6230f5_ZU)")</f>
        <v>snášet (v-w6230f5_ZU)</v>
      </c>
    </row>
    <row r="45024" spans="1:4" x14ac:dyDescent="0.2">
      <c r="B45024" t="s">
        <v>1</v>
      </c>
    </row>
    <row r="45025" spans="1:4" x14ac:dyDescent="0.2">
      <c r="B45025" t="s">
        <v>1417</v>
      </c>
    </row>
    <row r="45027" spans="1:4" x14ac:dyDescent="0.2">
      <c r="A45027" t="s">
        <v>14399</v>
      </c>
      <c r="B45027" t="str">
        <f>HYPERLINK("https://lindat.mff.cuni.cz/services/teitok/pdtc10/index.php?action=vallex&amp;frame=v-w6230f1", "snášet (v-w6230f1) - substituted with v-w6230f5_ZU")</f>
        <v>snášet (v-w6230f1) - substituted with v-w6230f5_ZU</v>
      </c>
    </row>
    <row r="45028" spans="1:4" x14ac:dyDescent="0.2">
      <c r="B45028" t="s">
        <v>1</v>
      </c>
      <c r="C45028" t="s">
        <v>14400</v>
      </c>
    </row>
    <row r="45029" spans="1:4" x14ac:dyDescent="0.2">
      <c r="B45029" t="s">
        <v>1417</v>
      </c>
      <c r="C45029" t="s">
        <v>14401</v>
      </c>
    </row>
    <row r="45031" spans="1:4" x14ac:dyDescent="0.2">
      <c r="A45031" t="s">
        <v>14399</v>
      </c>
      <c r="B45031" t="str">
        <f>HYPERLINK("https://lindat.mff.cuni.cz/services/teitok/pdtc10/index.php?action=vallex&amp;frame=v-w6230hsa_47", "snášet (v-w6230hsa_47) - substituted with v-w6230f5_ZU")</f>
        <v>snášet (v-w6230hsa_47) - substituted with v-w6230f5_ZU</v>
      </c>
    </row>
    <row r="45032" spans="1:4" x14ac:dyDescent="0.2">
      <c r="B45032" t="s">
        <v>1</v>
      </c>
      <c r="C45032" t="s">
        <v>373</v>
      </c>
      <c r="D45032" t="s">
        <v>430</v>
      </c>
    </row>
    <row r="45033" spans="1:4" x14ac:dyDescent="0.2">
      <c r="B45033" t="s">
        <v>1417</v>
      </c>
      <c r="C45033" t="s">
        <v>54</v>
      </c>
      <c r="D45033" t="s">
        <v>1128</v>
      </c>
    </row>
    <row r="45035" spans="1:4" x14ac:dyDescent="0.2">
      <c r="A45035" t="s">
        <v>14402</v>
      </c>
      <c r="B45035" t="str">
        <f>HYPERLINK("https://lindat.mff.cuni.cz/services/teitok/pdtc10/index.php?action=vallex&amp;frame=v-w6230f2", "snášet (v-w6230f2)")</f>
        <v>snášet (v-w6230f2)</v>
      </c>
    </row>
    <row r="45036" spans="1:4" x14ac:dyDescent="0.2">
      <c r="B45036" t="s">
        <v>1</v>
      </c>
    </row>
    <row r="45037" spans="1:4" x14ac:dyDescent="0.2">
      <c r="B45037" t="s">
        <v>8</v>
      </c>
    </row>
    <row r="45039" spans="1:4" x14ac:dyDescent="0.2">
      <c r="A45039" t="s">
        <v>14403</v>
      </c>
      <c r="B45039" t="str">
        <f>HYPERLINK("https://lindat.mff.cuni.cz/services/teitok/pdtc10/index.php?action=vallex&amp;frame=v-w6230f4", "snášet (v-w6230f4)")</f>
        <v>snášet (v-w6230f4)</v>
      </c>
    </row>
    <row r="45040" spans="1:4" x14ac:dyDescent="0.2">
      <c r="B45040" t="s">
        <v>1</v>
      </c>
    </row>
    <row r="45041" spans="1:4" x14ac:dyDescent="0.2">
      <c r="B45041" t="s">
        <v>8</v>
      </c>
    </row>
    <row r="45042" spans="1:4" x14ac:dyDescent="0.2">
      <c r="B45042" t="s">
        <v>346</v>
      </c>
    </row>
    <row r="45043" spans="1:4" x14ac:dyDescent="0.2">
      <c r="B45043" t="s">
        <v>349</v>
      </c>
    </row>
    <row r="45044" spans="1:4" x14ac:dyDescent="0.2">
      <c r="B45044" t="s">
        <v>351</v>
      </c>
    </row>
    <row r="45046" spans="1:4" x14ac:dyDescent="0.2">
      <c r="A45046" t="s">
        <v>14404</v>
      </c>
      <c r="B45046" t="str">
        <f>HYPERLINK("https://lindat.mff.cuni.cz/services/teitok/pdtc10/index.php?action=vallex&amp;frame=v-w6230f3", "snášet (v-w6230f3)")</f>
        <v>snášet (v-w6230f3)</v>
      </c>
    </row>
    <row r="45047" spans="1:4" x14ac:dyDescent="0.2">
      <c r="B45047" t="s">
        <v>1</v>
      </c>
    </row>
    <row r="45048" spans="1:4" x14ac:dyDescent="0.2">
      <c r="B45048" t="s">
        <v>8</v>
      </c>
    </row>
    <row r="45050" spans="1:4" x14ac:dyDescent="0.2">
      <c r="A45050" t="s">
        <v>14405</v>
      </c>
      <c r="B45050" t="str">
        <f>HYPERLINK("https://lindat.mff.cuni.cz/services/teitok/pdtc10/index.php?action=vallex&amp;frame=v-whsa_643hsa_644", "snášet se (v-whsa_643hsa_644)")</f>
        <v>snášet se (v-whsa_643hsa_644)</v>
      </c>
    </row>
    <row r="45051" spans="1:4" x14ac:dyDescent="0.2">
      <c r="B45051" t="s">
        <v>1</v>
      </c>
    </row>
    <row r="45052" spans="1:4" x14ac:dyDescent="0.2">
      <c r="B45052" t="s">
        <v>411</v>
      </c>
    </row>
    <row r="45054" spans="1:4" x14ac:dyDescent="0.2">
      <c r="A45054" t="s">
        <v>14406</v>
      </c>
      <c r="B45054" t="str">
        <f>HYPERLINK("https://lindat.mff.cuni.cz/services/teitok/pdtc10/index.php?action=vallex&amp;frame=v-w6238f1", "snést (v-w6238f1)")</f>
        <v>snést (v-w6238f1)</v>
      </c>
    </row>
    <row r="45055" spans="1:4" x14ac:dyDescent="0.2">
      <c r="B45055" t="s">
        <v>1</v>
      </c>
      <c r="C45055" t="s">
        <v>14407</v>
      </c>
      <c r="D45055" t="s">
        <v>430</v>
      </c>
    </row>
    <row r="45056" spans="1:4" x14ac:dyDescent="0.2">
      <c r="B45056" t="s">
        <v>3766</v>
      </c>
      <c r="C45056" t="s">
        <v>14408</v>
      </c>
      <c r="D45056" t="s">
        <v>1128</v>
      </c>
    </row>
    <row r="45058" spans="1:2" x14ac:dyDescent="0.2">
      <c r="A45058" t="s">
        <v>14409</v>
      </c>
      <c r="B45058" t="str">
        <f>HYPERLINK("https://lindat.mff.cuni.cz/services/teitok/pdtc10/index.php?action=vallex&amp;frame=v-w6238f2", "snést (v-w6238f2)")</f>
        <v>snést (v-w6238f2)</v>
      </c>
    </row>
    <row r="45059" spans="1:2" x14ac:dyDescent="0.2">
      <c r="B45059" t="s">
        <v>1</v>
      </c>
    </row>
    <row r="45060" spans="1:2" x14ac:dyDescent="0.2">
      <c r="B45060" t="s">
        <v>8</v>
      </c>
    </row>
    <row r="45062" spans="1:2" x14ac:dyDescent="0.2">
      <c r="A45062" t="s">
        <v>14410</v>
      </c>
      <c r="B45062" t="str">
        <f>HYPERLINK("https://lindat.mff.cuni.cz/services/teitok/pdtc10/index.php?action=vallex&amp;frame=v-w6239f2", "snést se (v-w6239f2)")</f>
        <v>snést se (v-w6239f2)</v>
      </c>
    </row>
    <row r="45063" spans="1:2" x14ac:dyDescent="0.2">
      <c r="B45063" t="s">
        <v>1</v>
      </c>
    </row>
    <row r="45064" spans="1:2" x14ac:dyDescent="0.2">
      <c r="B45064" t="s">
        <v>411</v>
      </c>
    </row>
    <row r="45066" spans="1:2" x14ac:dyDescent="0.2">
      <c r="A45066" t="s">
        <v>14411</v>
      </c>
      <c r="B45066" t="str">
        <f>HYPERLINK("https://lindat.mff.cuni.cz/services/teitok/pdtc10/index.php?action=vallex&amp;frame=v-w6239f1", "snést se (v-w6239f1)")</f>
        <v>snést se (v-w6239f1)</v>
      </c>
    </row>
    <row r="45067" spans="1:2" x14ac:dyDescent="0.2">
      <c r="B45067" t="s">
        <v>1</v>
      </c>
    </row>
    <row r="45068" spans="1:2" x14ac:dyDescent="0.2">
      <c r="B45068" t="s">
        <v>90</v>
      </c>
    </row>
    <row r="45070" spans="1:2" x14ac:dyDescent="0.2">
      <c r="A45070" t="s">
        <v>14412</v>
      </c>
      <c r="B45070" t="str">
        <f>HYPERLINK("https://lindat.mff.cuni.cz/services/teitok/pdtc10/index.php?action=vallex&amp;frame=v-whsa_1241f1_ZU", "snídat (v-whsa_1241f1_ZU)")</f>
        <v>snídat (v-whsa_1241f1_ZU)</v>
      </c>
    </row>
    <row r="45071" spans="1:2" x14ac:dyDescent="0.2">
      <c r="B45071" t="s">
        <v>1</v>
      </c>
    </row>
    <row r="45072" spans="1:2" x14ac:dyDescent="0.2">
      <c r="B45072" t="s">
        <v>220</v>
      </c>
    </row>
    <row r="45074" spans="1:4" x14ac:dyDescent="0.2">
      <c r="A45074" t="s">
        <v>14412</v>
      </c>
      <c r="B45074" t="str">
        <f>HYPERLINK("https://lindat.mff.cuni.cz/services/teitok/pdtc10/index.php?action=vallex&amp;frame=v-whsa_1241hsa_1242", "snídat (v-whsa_1241hsa_1242) - substituted with v-whsa_1241f1_ZU")</f>
        <v>snídat (v-whsa_1241hsa_1242) - substituted with v-whsa_1241f1_ZU</v>
      </c>
    </row>
    <row r="45075" spans="1:4" x14ac:dyDescent="0.2">
      <c r="B45075" t="s">
        <v>1</v>
      </c>
    </row>
    <row r="45076" spans="1:4" x14ac:dyDescent="0.2">
      <c r="B45076" t="s">
        <v>220</v>
      </c>
    </row>
    <row r="45078" spans="1:4" x14ac:dyDescent="0.2">
      <c r="A45078" t="s">
        <v>14413</v>
      </c>
      <c r="B45078" t="str">
        <f>HYPERLINK("https://lindat.mff.cuni.cz/services/teitok/pdtc10/index.php?action=vallex&amp;frame=v-w6243f1", "snímat (v-w6243f1)")</f>
        <v>snímat (v-w6243f1)</v>
      </c>
    </row>
    <row r="45079" spans="1:4" x14ac:dyDescent="0.2">
      <c r="B45079" t="s">
        <v>1</v>
      </c>
    </row>
    <row r="45080" spans="1:4" x14ac:dyDescent="0.2">
      <c r="B45080" t="s">
        <v>8</v>
      </c>
    </row>
    <row r="45081" spans="1:4" x14ac:dyDescent="0.2">
      <c r="B45081" t="s">
        <v>333</v>
      </c>
    </row>
    <row r="45083" spans="1:4" x14ac:dyDescent="0.2">
      <c r="A45083" t="s">
        <v>14414</v>
      </c>
      <c r="B45083" t="str">
        <f>HYPERLINK("https://lindat.mff.cuni.cz/services/teitok/pdtc10/index.php?action=vallex&amp;frame=v-w6243f2_ZU", "snímat (v-w6243f2_ZU)")</f>
        <v>snímat (v-w6243f2_ZU)</v>
      </c>
    </row>
    <row r="45084" spans="1:4" x14ac:dyDescent="0.2">
      <c r="B45084" t="s">
        <v>1</v>
      </c>
      <c r="C45084" t="s">
        <v>140</v>
      </c>
    </row>
    <row r="45085" spans="1:4" x14ac:dyDescent="0.2">
      <c r="B45085" t="s">
        <v>8</v>
      </c>
      <c r="C45085" t="s">
        <v>34</v>
      </c>
    </row>
    <row r="45087" spans="1:4" x14ac:dyDescent="0.2">
      <c r="A45087" t="s">
        <v>14415</v>
      </c>
      <c r="B45087" t="str">
        <f>HYPERLINK("https://lindat.mff.cuni.cz/services/teitok/pdtc10/index.php?action=vallex&amp;frame=v-w6245f1", "sníst (v-w6245f1)")</f>
        <v>sníst (v-w6245f1)</v>
      </c>
    </row>
    <row r="45088" spans="1:4" x14ac:dyDescent="0.2">
      <c r="B45088" t="s">
        <v>1</v>
      </c>
      <c r="C45088" t="s">
        <v>3765</v>
      </c>
      <c r="D45088" t="s">
        <v>15948</v>
      </c>
    </row>
    <row r="45089" spans="1:4" x14ac:dyDescent="0.2">
      <c r="B45089" t="s">
        <v>8</v>
      </c>
      <c r="C45089" t="s">
        <v>1109</v>
      </c>
      <c r="D45089" t="s">
        <v>110</v>
      </c>
    </row>
    <row r="45091" spans="1:4" x14ac:dyDescent="0.2">
      <c r="A45091" t="s">
        <v>14416</v>
      </c>
      <c r="B45091" t="str">
        <f>HYPERLINK("https://lindat.mff.cuni.cz/services/teitok/pdtc10/index.php?action=vallex&amp;frame=v-w6245f2_ZU", "sníst (v-w6245f2_ZU)")</f>
        <v>sníst (v-w6245f2_ZU)</v>
      </c>
    </row>
    <row r="45092" spans="1:4" x14ac:dyDescent="0.2">
      <c r="B45092" t="s">
        <v>1</v>
      </c>
    </row>
    <row r="45093" spans="1:4" x14ac:dyDescent="0.2">
      <c r="B45093" t="s">
        <v>14417</v>
      </c>
    </row>
    <row r="45095" spans="1:4" x14ac:dyDescent="0.2">
      <c r="A45095" t="s">
        <v>14418</v>
      </c>
      <c r="B45095" t="str">
        <f>HYPERLINK("https://lindat.mff.cuni.cz/services/teitok/pdtc10/index.php?action=vallex&amp;frame=v-w6246f1", "snít (v-w6246f1)")</f>
        <v>snít (v-w6246f1)</v>
      </c>
    </row>
    <row r="45096" spans="1:4" x14ac:dyDescent="0.2">
      <c r="B45096" t="s">
        <v>1</v>
      </c>
      <c r="C45096" t="s">
        <v>430</v>
      </c>
      <c r="D45096" t="s">
        <v>373</v>
      </c>
    </row>
    <row r="45097" spans="1:4" x14ac:dyDescent="0.2">
      <c r="B45097" t="s">
        <v>2327</v>
      </c>
      <c r="C45097" t="s">
        <v>1044</v>
      </c>
      <c r="D45097" t="s">
        <v>54</v>
      </c>
    </row>
    <row r="45099" spans="1:4" x14ac:dyDescent="0.2">
      <c r="A45099" t="s">
        <v>14419</v>
      </c>
      <c r="B45099" t="str">
        <f>HYPERLINK("https://lindat.mff.cuni.cz/services/teitok/pdtc10/index.php?action=vallex&amp;frame=v-w6246f2", "snít (v-w6246f2)")</f>
        <v>snít (v-w6246f2)</v>
      </c>
    </row>
    <row r="45100" spans="1:4" x14ac:dyDescent="0.2">
      <c r="B45100" t="s">
        <v>1</v>
      </c>
    </row>
    <row r="45101" spans="1:4" x14ac:dyDescent="0.2">
      <c r="B45101" t="s">
        <v>220</v>
      </c>
    </row>
    <row r="45103" spans="1:4" x14ac:dyDescent="0.2">
      <c r="A45103" t="s">
        <v>14420</v>
      </c>
      <c r="B45103" t="str">
        <f>HYPERLINK("https://lindat.mff.cuni.cz/services/teitok/pdtc10/index.php?action=vallex&amp;frame=v-w6246f3_ZU", "snít (v-w6246f3_ZU)")</f>
        <v>snít (v-w6246f3_ZU)</v>
      </c>
    </row>
    <row r="45104" spans="1:4" x14ac:dyDescent="0.2">
      <c r="B45104" t="s">
        <v>1</v>
      </c>
    </row>
    <row r="45105" spans="1:4" x14ac:dyDescent="0.2">
      <c r="B45105" t="s">
        <v>183</v>
      </c>
    </row>
    <row r="45106" spans="1:4" x14ac:dyDescent="0.2">
      <c r="B45106" t="s">
        <v>3021</v>
      </c>
    </row>
    <row r="45108" spans="1:4" x14ac:dyDescent="0.2">
      <c r="A45108" t="s">
        <v>14421</v>
      </c>
      <c r="B45108" t="str">
        <f>HYPERLINK("https://lindat.mff.cuni.cz/services/teitok/pdtc10/index.php?action=vallex&amp;frame=v-w6247f1", "snít se (v-w6247f1)")</f>
        <v>snít se (v-w6247f1)</v>
      </c>
    </row>
    <row r="45109" spans="1:4" x14ac:dyDescent="0.2">
      <c r="B45109" t="s">
        <v>455</v>
      </c>
    </row>
    <row r="45110" spans="1:4" x14ac:dyDescent="0.2">
      <c r="B45110" t="s">
        <v>12478</v>
      </c>
    </row>
    <row r="45111" spans="1:4" x14ac:dyDescent="0.2">
      <c r="B45111" t="s">
        <v>14422</v>
      </c>
    </row>
    <row r="45113" spans="1:4" x14ac:dyDescent="0.2">
      <c r="A45113" t="s">
        <v>14423</v>
      </c>
      <c r="B45113" t="str">
        <f>HYPERLINK("https://lindat.mff.cuni.cz/services/teitok/pdtc10/index.php?action=vallex&amp;frame=v-w6248f1", "snít si (v-w6248f1)")</f>
        <v>snít si (v-w6248f1)</v>
      </c>
    </row>
    <row r="45114" spans="1:4" x14ac:dyDescent="0.2">
      <c r="B45114" t="s">
        <v>1</v>
      </c>
    </row>
    <row r="45115" spans="1:4" x14ac:dyDescent="0.2">
      <c r="B45115" t="s">
        <v>220</v>
      </c>
    </row>
    <row r="45117" spans="1:4" x14ac:dyDescent="0.2">
      <c r="A45117" t="s">
        <v>14424</v>
      </c>
      <c r="B45117" t="str">
        <f>HYPERLINK("https://lindat.mff.cuni.cz/services/teitok/pdtc10/index.php?action=vallex&amp;frame=v-w6250f1", "snížit (v-w6250f1)")</f>
        <v>snížit (v-w6250f1)</v>
      </c>
    </row>
    <row r="45118" spans="1:4" x14ac:dyDescent="0.2">
      <c r="B45118" t="s">
        <v>1</v>
      </c>
      <c r="C45118" t="s">
        <v>14425</v>
      </c>
      <c r="D45118" t="s">
        <v>23730</v>
      </c>
    </row>
    <row r="45119" spans="1:4" x14ac:dyDescent="0.2">
      <c r="B45119" t="s">
        <v>8</v>
      </c>
      <c r="C45119" t="s">
        <v>14426</v>
      </c>
      <c r="D45119" t="s">
        <v>23731</v>
      </c>
    </row>
    <row r="45120" spans="1:4" x14ac:dyDescent="0.2">
      <c r="B45120" t="s">
        <v>24</v>
      </c>
      <c r="C45120" t="s">
        <v>14427</v>
      </c>
      <c r="D45120" t="s">
        <v>23732</v>
      </c>
    </row>
    <row r="45121" spans="1:4" x14ac:dyDescent="0.2">
      <c r="B45121" t="s">
        <v>61</v>
      </c>
      <c r="C45121" t="s">
        <v>14428</v>
      </c>
      <c r="D45121" t="s">
        <v>23733</v>
      </c>
    </row>
    <row r="45123" spans="1:4" x14ac:dyDescent="0.2">
      <c r="A45123" t="s">
        <v>14429</v>
      </c>
      <c r="B45123" t="str">
        <f>HYPERLINK("https://lindat.mff.cuni.cz/services/teitok/pdtc10/index.php?action=vallex&amp;frame=v-w6250hsa_1031", "snížit (v-w6250hsa_1031)")</f>
        <v>snížit (v-w6250hsa_1031)</v>
      </c>
    </row>
    <row r="45124" spans="1:4" x14ac:dyDescent="0.2">
      <c r="B45124" t="s">
        <v>1</v>
      </c>
    </row>
    <row r="45125" spans="1:4" x14ac:dyDescent="0.2">
      <c r="B45125" t="s">
        <v>46</v>
      </c>
    </row>
    <row r="45126" spans="1:4" x14ac:dyDescent="0.2">
      <c r="B45126" t="s">
        <v>24</v>
      </c>
    </row>
    <row r="45128" spans="1:4" x14ac:dyDescent="0.2">
      <c r="A45128" t="s">
        <v>14430</v>
      </c>
      <c r="B45128" t="str">
        <f>HYPERLINK("https://lindat.mff.cuni.cz/services/teitok/pdtc10/index.php?action=vallex&amp;frame=v-w6251f1", "snížit se (v-w6251f1)")</f>
        <v>snížit se (v-w6251f1)</v>
      </c>
    </row>
    <row r="45129" spans="1:4" x14ac:dyDescent="0.2">
      <c r="B45129" t="s">
        <v>1</v>
      </c>
      <c r="C45129" t="s">
        <v>14431</v>
      </c>
      <c r="D45129" t="s">
        <v>23736</v>
      </c>
    </row>
    <row r="45130" spans="1:4" x14ac:dyDescent="0.2">
      <c r="B45130" t="s">
        <v>46</v>
      </c>
      <c r="C45130" t="s">
        <v>14432</v>
      </c>
      <c r="D45130" t="s">
        <v>23737</v>
      </c>
    </row>
    <row r="45131" spans="1:4" x14ac:dyDescent="0.2">
      <c r="B45131" t="s">
        <v>24</v>
      </c>
      <c r="C45131" t="s">
        <v>14433</v>
      </c>
      <c r="D45131" t="s">
        <v>23738</v>
      </c>
    </row>
    <row r="45133" spans="1:4" x14ac:dyDescent="0.2">
      <c r="A45133" t="s">
        <v>14434</v>
      </c>
      <c r="B45133" t="str">
        <f>HYPERLINK("https://lindat.mff.cuni.cz/services/teitok/pdtc10/index.php?action=vallex&amp;frame=v-w6251f2", "snížit se (v-w6251f2)")</f>
        <v>snížit se (v-w6251f2)</v>
      </c>
    </row>
    <row r="45134" spans="1:4" x14ac:dyDescent="0.2">
      <c r="B45134" t="s">
        <v>1</v>
      </c>
    </row>
    <row r="45135" spans="1:4" x14ac:dyDescent="0.2">
      <c r="B45135" t="s">
        <v>176</v>
      </c>
    </row>
    <row r="45137" spans="1:2" x14ac:dyDescent="0.2">
      <c r="A45137" t="s">
        <v>14435</v>
      </c>
      <c r="B45137" t="str">
        <f>HYPERLINK("https://lindat.mff.cuni.cz/services/teitok/pdtc10/index.php?action=vallex&amp;frame=v-w6240f2", "sněžit (v-w6240f2)")</f>
        <v>sněžit (v-w6240f2)</v>
      </c>
    </row>
    <row r="45138" spans="1:2" x14ac:dyDescent="0.2">
      <c r="B45138" t="s">
        <v>1</v>
      </c>
    </row>
    <row r="45140" spans="1:2" x14ac:dyDescent="0.2">
      <c r="A45140" t="s">
        <v>14436</v>
      </c>
      <c r="B45140" t="str">
        <f>HYPERLINK("https://lindat.mff.cuni.cz/services/teitok/pdtc10/index.php?action=vallex&amp;frame=v-w6240f1", "sněžit (v-w6240f1)")</f>
        <v>sněžit (v-w6240f1)</v>
      </c>
    </row>
    <row r="45142" spans="1:2" x14ac:dyDescent="0.2">
      <c r="A45142" t="s">
        <v>14437</v>
      </c>
      <c r="B45142" t="str">
        <f>HYPERLINK("https://lindat.mff.cuni.cz/services/teitok/pdtc10/index.php?action=vallex&amp;frame=v-whsa_1339hsa_1340", "solit (v-whsa_1339hsa_1340)")</f>
        <v>solit (v-whsa_1339hsa_1340)</v>
      </c>
    </row>
    <row r="45143" spans="1:2" x14ac:dyDescent="0.2">
      <c r="B45143" t="s">
        <v>1</v>
      </c>
    </row>
    <row r="45144" spans="1:2" x14ac:dyDescent="0.2">
      <c r="B45144" t="s">
        <v>8</v>
      </c>
    </row>
    <row r="45146" spans="1:2" x14ac:dyDescent="0.2">
      <c r="A45146" t="s">
        <v>14438</v>
      </c>
      <c r="B45146" t="str">
        <f>HYPERLINK("https://lindat.mff.cuni.cz/services/teitok/pdtc10/index.php?action=vallex&amp;frame=v-w6261f1", "sondovat (v-w6261f1)")</f>
        <v>sondovat (v-w6261f1)</v>
      </c>
    </row>
    <row r="45147" spans="1:2" x14ac:dyDescent="0.2">
      <c r="B45147" t="s">
        <v>1</v>
      </c>
    </row>
    <row r="45148" spans="1:2" x14ac:dyDescent="0.2">
      <c r="B45148" t="s">
        <v>1693</v>
      </c>
    </row>
    <row r="45150" spans="1:2" x14ac:dyDescent="0.2">
      <c r="A45150" t="s">
        <v>14439</v>
      </c>
      <c r="B45150" t="str">
        <f>HYPERLINK("https://lindat.mff.cuni.cz/services/teitok/pdtc10/index.php?action=vallex&amp;frame=v-w10413f2", "soptit (v-w10413f2)")</f>
        <v>soptit (v-w10413f2)</v>
      </c>
    </row>
    <row r="45151" spans="1:2" x14ac:dyDescent="0.2">
      <c r="B45151" t="s">
        <v>1</v>
      </c>
    </row>
    <row r="45152" spans="1:2" x14ac:dyDescent="0.2">
      <c r="B45152" t="s">
        <v>28</v>
      </c>
    </row>
    <row r="45154" spans="1:4" x14ac:dyDescent="0.2">
      <c r="A45154" t="s">
        <v>14440</v>
      </c>
      <c r="B45154" t="str">
        <f>HYPERLINK("https://lindat.mff.cuni.cz/services/teitok/pdtc10/index.php?action=vallex&amp;frame=v-w10413f3", "soptit (v-w10413f3)")</f>
        <v>soptit (v-w10413f3)</v>
      </c>
    </row>
    <row r="45155" spans="1:4" x14ac:dyDescent="0.2">
      <c r="B45155" t="s">
        <v>1</v>
      </c>
    </row>
    <row r="45157" spans="1:4" x14ac:dyDescent="0.2">
      <c r="A45157" t="s">
        <v>14441</v>
      </c>
      <c r="B45157" t="str">
        <f>HYPERLINK("https://lindat.mff.cuni.cz/services/teitok/pdtc10/index.php?action=vallex&amp;frame=v-w10909f2", "soucítit (v-w10909f2)")</f>
        <v>soucítit (v-w10909f2)</v>
      </c>
    </row>
    <row r="45158" spans="1:4" x14ac:dyDescent="0.2">
      <c r="B45158" t="s">
        <v>1</v>
      </c>
      <c r="C45158" t="s">
        <v>33</v>
      </c>
      <c r="D45158" t="s">
        <v>3255</v>
      </c>
    </row>
    <row r="45159" spans="1:4" x14ac:dyDescent="0.2">
      <c r="B45159" t="s">
        <v>411</v>
      </c>
      <c r="D45159" t="s">
        <v>2402</v>
      </c>
    </row>
    <row r="45161" spans="1:4" x14ac:dyDescent="0.2">
      <c r="A45161" t="s">
        <v>14442</v>
      </c>
      <c r="B45161" t="str">
        <f>HYPERLINK("https://lindat.mff.cuni.cz/services/teitok/pdtc10/index.php?action=vallex&amp;frame=v-w6269f2", "soudcovat (v-w6269f2)")</f>
        <v>soudcovat (v-w6269f2)</v>
      </c>
    </row>
    <row r="45162" spans="1:4" x14ac:dyDescent="0.2">
      <c r="B45162" t="s">
        <v>1</v>
      </c>
    </row>
    <row r="45163" spans="1:4" x14ac:dyDescent="0.2">
      <c r="B45163" t="s">
        <v>8</v>
      </c>
    </row>
    <row r="45165" spans="1:4" x14ac:dyDescent="0.2">
      <c r="A45165" t="s">
        <v>14443</v>
      </c>
      <c r="B45165" t="str">
        <f>HYPERLINK("https://lindat.mff.cuni.cz/services/teitok/pdtc10/index.php?action=vallex&amp;frame=v-w6269f1", "soudcovat (v-w6269f1)")</f>
        <v>soudcovat (v-w6269f1)</v>
      </c>
    </row>
    <row r="45166" spans="1:4" x14ac:dyDescent="0.2">
      <c r="B45166" t="s">
        <v>1</v>
      </c>
    </row>
    <row r="45168" spans="1:4" x14ac:dyDescent="0.2">
      <c r="A45168" t="s">
        <v>14444</v>
      </c>
      <c r="B45168" t="str">
        <f>HYPERLINK("https://lindat.mff.cuni.cz/services/teitok/pdtc10/index.php?action=vallex&amp;frame=v-w6270f2", "soudit (v-w6270f2)")</f>
        <v>soudit (v-w6270f2)</v>
      </c>
    </row>
    <row r="45169" spans="1:4" x14ac:dyDescent="0.2">
      <c r="B45169" t="s">
        <v>1</v>
      </c>
      <c r="C45169" t="s">
        <v>14445</v>
      </c>
      <c r="D45169" t="s">
        <v>24177</v>
      </c>
    </row>
    <row r="45170" spans="1:4" x14ac:dyDescent="0.2">
      <c r="B45170" t="s">
        <v>8</v>
      </c>
      <c r="C45170" t="s">
        <v>14446</v>
      </c>
      <c r="D45170" t="s">
        <v>24178</v>
      </c>
    </row>
    <row r="45172" spans="1:4" x14ac:dyDescent="0.2">
      <c r="A45172" t="s">
        <v>14447</v>
      </c>
      <c r="B45172" t="str">
        <f>HYPERLINK("https://lindat.mff.cuni.cz/services/teitok/pdtc10/index.php?action=vallex&amp;frame=v-w6270f1", "soudit (v-w6270f1)")</f>
        <v>soudit (v-w6270f1)</v>
      </c>
    </row>
    <row r="45173" spans="1:4" x14ac:dyDescent="0.2">
      <c r="B45173" t="s">
        <v>1</v>
      </c>
      <c r="C45173" t="s">
        <v>14448</v>
      </c>
      <c r="D45173" t="s">
        <v>24179</v>
      </c>
    </row>
    <row r="45174" spans="1:4" x14ac:dyDescent="0.2">
      <c r="B45174" t="s">
        <v>4749</v>
      </c>
      <c r="C45174" t="s">
        <v>14449</v>
      </c>
      <c r="D45174" t="s">
        <v>24180</v>
      </c>
    </row>
    <row r="45175" spans="1:4" x14ac:dyDescent="0.2">
      <c r="B45175" t="s">
        <v>269</v>
      </c>
      <c r="C45175" t="s">
        <v>14450</v>
      </c>
      <c r="D45175" t="s">
        <v>24181</v>
      </c>
    </row>
    <row r="45177" spans="1:4" x14ac:dyDescent="0.2">
      <c r="A45177" t="s">
        <v>14451</v>
      </c>
      <c r="B45177" t="str">
        <f>HYPERLINK("https://lindat.mff.cuni.cz/services/teitok/pdtc10/index.php?action=vallex&amp;frame=v-w6270f3_ZU", "soudit (v-w6270f3_ZU)")</f>
        <v>soudit (v-w6270f3_ZU)</v>
      </c>
    </row>
    <row r="45178" spans="1:4" x14ac:dyDescent="0.2">
      <c r="B45178" t="s">
        <v>14452</v>
      </c>
    </row>
    <row r="45179" spans="1:4" x14ac:dyDescent="0.2">
      <c r="B45179" t="s">
        <v>14453</v>
      </c>
    </row>
    <row r="45181" spans="1:4" x14ac:dyDescent="0.2">
      <c r="A45181" t="s">
        <v>14454</v>
      </c>
      <c r="B45181" t="str">
        <f>HYPERLINK("https://lindat.mff.cuni.cz/services/teitok/pdtc10/index.php?action=vallex&amp;frame=v-w6271f1", "soudit se (v-w6271f1)")</f>
        <v>soudit se (v-w6271f1)</v>
      </c>
    </row>
    <row r="45182" spans="1:4" x14ac:dyDescent="0.2">
      <c r="B45182" t="s">
        <v>1</v>
      </c>
      <c r="C45182" t="s">
        <v>1366</v>
      </c>
    </row>
    <row r="45183" spans="1:4" x14ac:dyDescent="0.2">
      <c r="B45183" t="s">
        <v>467</v>
      </c>
      <c r="C45183" t="s">
        <v>14455</v>
      </c>
    </row>
    <row r="45184" spans="1:4" x14ac:dyDescent="0.2">
      <c r="B45184" t="s">
        <v>153</v>
      </c>
      <c r="C45184" t="s">
        <v>14456</v>
      </c>
    </row>
    <row r="45186" spans="1:4" x14ac:dyDescent="0.2">
      <c r="A45186" t="s">
        <v>14457</v>
      </c>
      <c r="B45186" t="str">
        <f>HYPERLINK("https://lindat.mff.cuni.cz/services/teitok/pdtc10/index.php?action=vallex&amp;frame=v-w6275f5_ZU", "souhlasit (v-w6275f5_ZU)")</f>
        <v>souhlasit (v-w6275f5_ZU)</v>
      </c>
    </row>
    <row r="45187" spans="1:4" x14ac:dyDescent="0.2">
      <c r="B45187" t="s">
        <v>1</v>
      </c>
      <c r="C45187" t="s">
        <v>14458</v>
      </c>
      <c r="D45187" t="s">
        <v>24122</v>
      </c>
    </row>
    <row r="45188" spans="1:4" x14ac:dyDescent="0.2">
      <c r="B45188" t="s">
        <v>14459</v>
      </c>
      <c r="C45188" t="s">
        <v>1620</v>
      </c>
      <c r="D45188" t="s">
        <v>24123</v>
      </c>
    </row>
    <row r="45189" spans="1:4" x14ac:dyDescent="0.2">
      <c r="B45189" t="s">
        <v>153</v>
      </c>
      <c r="C45189" t="s">
        <v>14460</v>
      </c>
      <c r="D45189" t="s">
        <v>24124</v>
      </c>
    </row>
    <row r="45191" spans="1:4" x14ac:dyDescent="0.2">
      <c r="A45191" t="s">
        <v>14457</v>
      </c>
      <c r="B45191" t="str">
        <f>HYPERLINK("https://lindat.mff.cuni.cz/services/teitok/pdtc10/index.php?action=vallex&amp;frame=v-w6275f2", "souhlasit (v-w6275f2) - substituted with v-w6275f5_ZU")</f>
        <v>souhlasit (v-w6275f2) - substituted with v-w6275f5_ZU</v>
      </c>
    </row>
    <row r="45192" spans="1:4" x14ac:dyDescent="0.2">
      <c r="B45192" t="s">
        <v>1</v>
      </c>
      <c r="C45192" t="s">
        <v>14461</v>
      </c>
    </row>
    <row r="45193" spans="1:4" x14ac:dyDescent="0.2">
      <c r="B45193" t="s">
        <v>14459</v>
      </c>
      <c r="C45193" t="s">
        <v>14462</v>
      </c>
    </row>
    <row r="45194" spans="1:4" x14ac:dyDescent="0.2">
      <c r="B45194" t="s">
        <v>153</v>
      </c>
      <c r="C45194" t="s">
        <v>14463</v>
      </c>
    </row>
    <row r="45196" spans="1:4" x14ac:dyDescent="0.2">
      <c r="A45196" t="s">
        <v>14464</v>
      </c>
      <c r="B45196" t="str">
        <f>HYPERLINK("https://lindat.mff.cuni.cz/services/teitok/pdtc10/index.php?action=vallex&amp;frame=v-w6275f3", "souhlasit (v-w6275f3)")</f>
        <v>souhlasit (v-w6275f3)</v>
      </c>
    </row>
    <row r="45197" spans="1:4" x14ac:dyDescent="0.2">
      <c r="B45197" t="s">
        <v>1</v>
      </c>
      <c r="C45197" t="s">
        <v>14465</v>
      </c>
      <c r="D45197" t="s">
        <v>2172</v>
      </c>
    </row>
    <row r="45198" spans="1:4" x14ac:dyDescent="0.2">
      <c r="B45198" t="s">
        <v>411</v>
      </c>
      <c r="C45198" t="s">
        <v>7685</v>
      </c>
      <c r="D45198" t="s">
        <v>3156</v>
      </c>
    </row>
    <row r="45200" spans="1:4" x14ac:dyDescent="0.2">
      <c r="A45200" t="s">
        <v>14466</v>
      </c>
      <c r="B45200" t="str">
        <f>HYPERLINK("https://lindat.mff.cuni.cz/services/teitok/pdtc10/index.php?action=vallex&amp;frame=v-w6275f8_ZU", "souhlasit (v-w6275f8_ZU)")</f>
        <v>souhlasit (v-w6275f8_ZU)</v>
      </c>
    </row>
    <row r="45201" spans="1:4" x14ac:dyDescent="0.2">
      <c r="B45201" t="s">
        <v>1</v>
      </c>
      <c r="C45201" t="s">
        <v>14467</v>
      </c>
      <c r="D45201" t="s">
        <v>22948</v>
      </c>
    </row>
    <row r="45202" spans="1:4" x14ac:dyDescent="0.2">
      <c r="B45202" t="s">
        <v>14468</v>
      </c>
      <c r="C45202" t="s">
        <v>14469</v>
      </c>
      <c r="D45202" t="s">
        <v>22949</v>
      </c>
    </row>
    <row r="45204" spans="1:4" x14ac:dyDescent="0.2">
      <c r="A45204" t="s">
        <v>14466</v>
      </c>
      <c r="B45204" t="str">
        <f>HYPERLINK("https://lindat.mff.cuni.cz/services/teitok/pdtc10/index.php?action=vallex&amp;frame=v-w6275f1", "souhlasit (v-w6275f1) - substituted with v-w6275f8_ZU")</f>
        <v>souhlasit (v-w6275f1) - substituted with v-w6275f8_ZU</v>
      </c>
    </row>
    <row r="45205" spans="1:4" x14ac:dyDescent="0.2">
      <c r="B45205" t="s">
        <v>1</v>
      </c>
      <c r="C45205" t="s">
        <v>14470</v>
      </c>
    </row>
    <row r="45206" spans="1:4" x14ac:dyDescent="0.2">
      <c r="B45206" t="s">
        <v>14468</v>
      </c>
      <c r="C45206" t="s">
        <v>14471</v>
      </c>
    </row>
    <row r="45208" spans="1:4" x14ac:dyDescent="0.2">
      <c r="A45208" t="s">
        <v>14466</v>
      </c>
      <c r="B45208" t="str">
        <f>HYPERLINK("https://lindat.mff.cuni.cz/services/teitok/pdtc10/index.php?action=vallex&amp;frame=v-w6275f4_ZU", "souhlasit (v-w6275f4_ZU) - substituted with v-w6275f8_ZU")</f>
        <v>souhlasit (v-w6275f4_ZU) - substituted with v-w6275f8_ZU</v>
      </c>
    </row>
    <row r="45209" spans="1:4" x14ac:dyDescent="0.2">
      <c r="B45209" t="s">
        <v>1</v>
      </c>
      <c r="C45209" t="s">
        <v>14472</v>
      </c>
    </row>
    <row r="45210" spans="1:4" x14ac:dyDescent="0.2">
      <c r="B45210" t="s">
        <v>14468</v>
      </c>
      <c r="C45210" t="s">
        <v>14473</v>
      </c>
    </row>
    <row r="45212" spans="1:4" x14ac:dyDescent="0.2">
      <c r="A45212" t="s">
        <v>14466</v>
      </c>
      <c r="B45212" t="str">
        <f>HYPERLINK("https://lindat.mff.cuni.cz/services/teitok/pdtc10/index.php?action=vallex&amp;frame=v-w6275f6_ZU", "souhlasit (v-w6275f6_ZU) - substituted with v-w6275f8_ZU")</f>
        <v>souhlasit (v-w6275f6_ZU) - substituted with v-w6275f8_ZU</v>
      </c>
    </row>
    <row r="45213" spans="1:4" x14ac:dyDescent="0.2">
      <c r="B45213" t="s">
        <v>1</v>
      </c>
      <c r="C45213" t="s">
        <v>14474</v>
      </c>
    </row>
    <row r="45214" spans="1:4" x14ac:dyDescent="0.2">
      <c r="B45214" t="s">
        <v>14468</v>
      </c>
      <c r="C45214" t="s">
        <v>1620</v>
      </c>
    </row>
    <row r="45216" spans="1:4" x14ac:dyDescent="0.2">
      <c r="A45216" t="s">
        <v>14466</v>
      </c>
      <c r="B45216" t="str">
        <f>HYPERLINK("https://lindat.mff.cuni.cz/services/teitok/pdtc10/index.php?action=vallex&amp;frame=v-w6275f7_ZU", "souhlasit (v-w6275f7_ZU) - substituted with v-w6275f8_ZU")</f>
        <v>souhlasit (v-w6275f7_ZU) - substituted with v-w6275f8_ZU</v>
      </c>
    </row>
    <row r="45217" spans="1:4" x14ac:dyDescent="0.2">
      <c r="B45217" t="s">
        <v>1</v>
      </c>
      <c r="C45217" t="s">
        <v>370</v>
      </c>
    </row>
    <row r="45218" spans="1:4" x14ac:dyDescent="0.2">
      <c r="B45218" t="s">
        <v>14468</v>
      </c>
      <c r="C45218" t="s">
        <v>14475</v>
      </c>
    </row>
    <row r="45220" spans="1:4" x14ac:dyDescent="0.2">
      <c r="A45220" t="s">
        <v>14476</v>
      </c>
      <c r="B45220" t="str">
        <f>HYPERLINK("https://lindat.mff.cuni.cz/services/teitok/pdtc10/index.php?action=vallex&amp;frame=v-w6275hsa_743", "souhlasit (v-w6275hsa_743)")</f>
        <v>souhlasit (v-w6275hsa_743)</v>
      </c>
    </row>
    <row r="45221" spans="1:4" x14ac:dyDescent="0.2">
      <c r="B45221" t="s">
        <v>1</v>
      </c>
    </row>
    <row r="45222" spans="1:4" x14ac:dyDescent="0.2">
      <c r="B45222" t="s">
        <v>3934</v>
      </c>
    </row>
    <row r="45224" spans="1:4" x14ac:dyDescent="0.2">
      <c r="A45224" t="s">
        <v>14477</v>
      </c>
      <c r="B45224" t="str">
        <f>HYPERLINK("https://lindat.mff.cuni.cz/services/teitok/pdtc10/index.php?action=vallex&amp;frame=v-w10846f2", "souložit (v-w10846f2)")</f>
        <v>souložit (v-w10846f2)</v>
      </c>
    </row>
    <row r="45225" spans="1:4" x14ac:dyDescent="0.2">
      <c r="B45225" t="s">
        <v>1</v>
      </c>
      <c r="C45225" t="s">
        <v>1086</v>
      </c>
    </row>
    <row r="45226" spans="1:4" x14ac:dyDescent="0.2">
      <c r="B45226" t="s">
        <v>411</v>
      </c>
    </row>
    <row r="45228" spans="1:4" x14ac:dyDescent="0.2">
      <c r="A45228" t="s">
        <v>14478</v>
      </c>
      <c r="B45228" t="str">
        <f>HYPERLINK("https://lindat.mff.cuni.cz/services/teitok/pdtc10/index.php?action=vallex&amp;frame=v-w6280hsa_1181", "soupeřit (v-w6280hsa_1181)")</f>
        <v>soupeřit (v-w6280hsa_1181)</v>
      </c>
    </row>
    <row r="45229" spans="1:4" x14ac:dyDescent="0.2">
      <c r="B45229" t="s">
        <v>1</v>
      </c>
      <c r="D45229" t="s">
        <v>1992</v>
      </c>
    </row>
    <row r="45230" spans="1:4" x14ac:dyDescent="0.2">
      <c r="B45230" t="s">
        <v>14479</v>
      </c>
      <c r="D45230" t="s">
        <v>22991</v>
      </c>
    </row>
    <row r="45231" spans="1:4" x14ac:dyDescent="0.2">
      <c r="B45231" t="s">
        <v>14480</v>
      </c>
      <c r="D45231" t="s">
        <v>22992</v>
      </c>
    </row>
    <row r="45233" spans="1:4" x14ac:dyDescent="0.2">
      <c r="A45233" t="s">
        <v>14478</v>
      </c>
      <c r="B45233" t="str">
        <f>HYPERLINK("https://lindat.mff.cuni.cz/services/teitok/pdtc10/index.php?action=vallex&amp;frame=v-w6280f1", "soupeřit (v-w6280f1) - substituted with v-w6280hsa_1181")</f>
        <v>soupeřit (v-w6280f1) - substituted with v-w6280hsa_1181</v>
      </c>
    </row>
    <row r="45234" spans="1:4" x14ac:dyDescent="0.2">
      <c r="B45234" t="s">
        <v>1</v>
      </c>
      <c r="C45234" t="s">
        <v>337</v>
      </c>
    </row>
    <row r="45235" spans="1:4" x14ac:dyDescent="0.2">
      <c r="B45235" t="s">
        <v>14479</v>
      </c>
      <c r="C45235" t="s">
        <v>14481</v>
      </c>
    </row>
    <row r="45236" spans="1:4" x14ac:dyDescent="0.2">
      <c r="B45236" t="s">
        <v>14480</v>
      </c>
      <c r="C45236" t="s">
        <v>14482</v>
      </c>
    </row>
    <row r="45238" spans="1:4" x14ac:dyDescent="0.2">
      <c r="A45238" t="s">
        <v>14483</v>
      </c>
      <c r="B45238" t="str">
        <f>HYPERLINK("https://lindat.mff.cuni.cz/services/teitok/pdtc10/index.php?action=vallex&amp;frame=v-w6282f1", "sousedit (v-w6282f1)")</f>
        <v>sousedit (v-w6282f1)</v>
      </c>
    </row>
    <row r="45239" spans="1:4" x14ac:dyDescent="0.2">
      <c r="B45239" t="s">
        <v>1</v>
      </c>
    </row>
    <row r="45240" spans="1:4" x14ac:dyDescent="0.2">
      <c r="B45240" t="s">
        <v>411</v>
      </c>
    </row>
    <row r="45242" spans="1:4" x14ac:dyDescent="0.2">
      <c r="A45242" t="s">
        <v>14484</v>
      </c>
      <c r="B45242" t="str">
        <f>HYPERLINK("https://lindat.mff.cuni.cz/services/teitok/pdtc10/index.php?action=vallex&amp;frame=v-w6287f1", "soustředit (v-w6287f1)")</f>
        <v>soustředit (v-w6287f1)</v>
      </c>
    </row>
    <row r="45243" spans="1:4" x14ac:dyDescent="0.2">
      <c r="B45243" t="s">
        <v>1</v>
      </c>
      <c r="C45243" t="s">
        <v>990</v>
      </c>
      <c r="D45243" t="s">
        <v>23069</v>
      </c>
    </row>
    <row r="45244" spans="1:4" x14ac:dyDescent="0.2">
      <c r="B45244" t="s">
        <v>8</v>
      </c>
      <c r="C45244" t="s">
        <v>14485</v>
      </c>
      <c r="D45244" t="s">
        <v>23070</v>
      </c>
    </row>
    <row r="45245" spans="1:4" x14ac:dyDescent="0.2">
      <c r="B45245" t="s">
        <v>6008</v>
      </c>
      <c r="C45245" t="s">
        <v>14486</v>
      </c>
      <c r="D45245" t="s">
        <v>23071</v>
      </c>
    </row>
    <row r="45247" spans="1:4" x14ac:dyDescent="0.2">
      <c r="A45247" t="s">
        <v>14487</v>
      </c>
      <c r="B45247" t="str">
        <f>HYPERLINK("https://lindat.mff.cuni.cz/services/teitok/pdtc10/index.php?action=vallex&amp;frame=v-w6287f2", "soustředit (v-w6287f2)")</f>
        <v>soustředit (v-w6287f2)</v>
      </c>
    </row>
    <row r="45248" spans="1:4" x14ac:dyDescent="0.2">
      <c r="B45248" t="s">
        <v>1</v>
      </c>
      <c r="C45248" t="s">
        <v>33</v>
      </c>
    </row>
    <row r="45249" spans="1:4" x14ac:dyDescent="0.2">
      <c r="B45249" t="s">
        <v>8</v>
      </c>
      <c r="C45249" t="s">
        <v>14488</v>
      </c>
    </row>
    <row r="45250" spans="1:4" x14ac:dyDescent="0.2">
      <c r="B45250" t="s">
        <v>5</v>
      </c>
      <c r="C45250" t="s">
        <v>4101</v>
      </c>
    </row>
    <row r="45252" spans="1:4" x14ac:dyDescent="0.2">
      <c r="A45252" t="s">
        <v>14489</v>
      </c>
      <c r="B45252" t="str">
        <f>HYPERLINK("https://lindat.mff.cuni.cz/services/teitok/pdtc10/index.php?action=vallex&amp;frame=v-w6287f3", "soustředit (v-w6287f3)")</f>
        <v>soustředit (v-w6287f3)</v>
      </c>
    </row>
    <row r="45253" spans="1:4" x14ac:dyDescent="0.2">
      <c r="B45253" t="s">
        <v>1</v>
      </c>
      <c r="C45253" t="s">
        <v>80</v>
      </c>
      <c r="D45253" t="s">
        <v>23181</v>
      </c>
    </row>
    <row r="45254" spans="1:4" x14ac:dyDescent="0.2">
      <c r="B45254" t="s">
        <v>8</v>
      </c>
      <c r="C45254" t="s">
        <v>14490</v>
      </c>
      <c r="D45254" t="s">
        <v>23182</v>
      </c>
    </row>
    <row r="45255" spans="1:4" x14ac:dyDescent="0.2">
      <c r="B45255" t="s">
        <v>90</v>
      </c>
      <c r="C45255" t="s">
        <v>14491</v>
      </c>
      <c r="D45255" t="s">
        <v>11579</v>
      </c>
    </row>
    <row r="45257" spans="1:4" x14ac:dyDescent="0.2">
      <c r="A45257" t="s">
        <v>14492</v>
      </c>
      <c r="B45257" t="str">
        <f>HYPERLINK("https://lindat.mff.cuni.cz/services/teitok/pdtc10/index.php?action=vallex&amp;frame=v-w6288f1", "soustředit se (v-w6288f1)")</f>
        <v>soustředit se (v-w6288f1)</v>
      </c>
    </row>
    <row r="45258" spans="1:4" x14ac:dyDescent="0.2">
      <c r="B45258" t="s">
        <v>1</v>
      </c>
      <c r="C45258" t="s">
        <v>14493</v>
      </c>
      <c r="D45258" t="s">
        <v>23410</v>
      </c>
    </row>
    <row r="45259" spans="1:4" x14ac:dyDescent="0.2">
      <c r="B45259" t="s">
        <v>46</v>
      </c>
      <c r="C45259" t="s">
        <v>14494</v>
      </c>
      <c r="D45259" t="s">
        <v>23411</v>
      </c>
    </row>
    <row r="45261" spans="1:4" x14ac:dyDescent="0.2">
      <c r="A45261" t="s">
        <v>14495</v>
      </c>
      <c r="B45261" t="str">
        <f>HYPERLINK("https://lindat.mff.cuni.cz/services/teitok/pdtc10/index.php?action=vallex&amp;frame=v-w6288f2", "soustředit se (v-w6288f2)")</f>
        <v>soustředit se (v-w6288f2)</v>
      </c>
    </row>
    <row r="45262" spans="1:4" x14ac:dyDescent="0.2">
      <c r="B45262" t="s">
        <v>1</v>
      </c>
    </row>
    <row r="45263" spans="1:4" x14ac:dyDescent="0.2">
      <c r="B45263" t="s">
        <v>5</v>
      </c>
    </row>
    <row r="45265" spans="1:4" x14ac:dyDescent="0.2">
      <c r="A45265" t="s">
        <v>14496</v>
      </c>
      <c r="B45265" t="str">
        <f>HYPERLINK("https://lindat.mff.cuni.cz/services/teitok/pdtc10/index.php?action=vallex&amp;frame=v-w6288f3", "soustředit se (v-w6288f3)")</f>
        <v>soustředit se (v-w6288f3)</v>
      </c>
    </row>
    <row r="45266" spans="1:4" x14ac:dyDescent="0.2">
      <c r="B45266" t="s">
        <v>1</v>
      </c>
      <c r="C45266" t="s">
        <v>8011</v>
      </c>
      <c r="D45266" t="s">
        <v>10477</v>
      </c>
    </row>
    <row r="45267" spans="1:4" x14ac:dyDescent="0.2">
      <c r="B45267" t="s">
        <v>90</v>
      </c>
    </row>
    <row r="45269" spans="1:4" x14ac:dyDescent="0.2">
      <c r="A45269" t="s">
        <v>14497</v>
      </c>
      <c r="B45269" t="str">
        <f>HYPERLINK("https://lindat.mff.cuni.cz/services/teitok/pdtc10/index.php?action=vallex&amp;frame=v-w6290f1", "soustřeďovat (v-w6290f1)")</f>
        <v>soustřeďovat (v-w6290f1)</v>
      </c>
    </row>
    <row r="45270" spans="1:4" x14ac:dyDescent="0.2">
      <c r="B45270" t="s">
        <v>1</v>
      </c>
    </row>
    <row r="45271" spans="1:4" x14ac:dyDescent="0.2">
      <c r="B45271" t="s">
        <v>8</v>
      </c>
    </row>
    <row r="45273" spans="1:4" x14ac:dyDescent="0.2">
      <c r="A45273" t="s">
        <v>14498</v>
      </c>
      <c r="B45273" t="str">
        <f>HYPERLINK("https://lindat.mff.cuni.cz/services/teitok/pdtc10/index.php?action=vallex&amp;frame=v-w6291f1", "soustřeďovat se (v-w6291f1)")</f>
        <v>soustřeďovat se (v-w6291f1)</v>
      </c>
    </row>
    <row r="45274" spans="1:4" x14ac:dyDescent="0.2">
      <c r="B45274" t="s">
        <v>1</v>
      </c>
      <c r="C45274" t="s">
        <v>14499</v>
      </c>
      <c r="D45274" t="s">
        <v>5968</v>
      </c>
    </row>
    <row r="45275" spans="1:4" x14ac:dyDescent="0.2">
      <c r="B45275" t="s">
        <v>28</v>
      </c>
      <c r="C45275" t="s">
        <v>14500</v>
      </c>
      <c r="D45275" t="s">
        <v>23485</v>
      </c>
    </row>
    <row r="45277" spans="1:4" x14ac:dyDescent="0.2">
      <c r="A45277" t="s">
        <v>14501</v>
      </c>
      <c r="B45277" t="str">
        <f>HYPERLINK("https://lindat.mff.cuni.cz/services/teitok/pdtc10/index.php?action=vallex&amp;frame=v-w6291f4_ZU", "soustřeďovat se (v-w6291f4_ZU)")</f>
        <v>soustřeďovat se (v-w6291f4_ZU)</v>
      </c>
    </row>
    <row r="45278" spans="1:4" x14ac:dyDescent="0.2">
      <c r="B45278" t="s">
        <v>1</v>
      </c>
    </row>
    <row r="45279" spans="1:4" x14ac:dyDescent="0.2">
      <c r="B45279" t="s">
        <v>5</v>
      </c>
    </row>
    <row r="45281" spans="1:4" x14ac:dyDescent="0.2">
      <c r="A45281" t="s">
        <v>14501</v>
      </c>
      <c r="B45281" t="str">
        <f>HYPERLINK("https://lindat.mff.cuni.cz/services/teitok/pdtc10/index.php?action=vallex&amp;frame=v-w6291f2", "soustřeďovat se (v-w6291f2) - substituted with v-w6291f4_ZU")</f>
        <v>soustřeďovat se (v-w6291f2) - substituted with v-w6291f4_ZU</v>
      </c>
    </row>
    <row r="45282" spans="1:4" x14ac:dyDescent="0.2">
      <c r="B45282" t="s">
        <v>1</v>
      </c>
      <c r="C45282" t="s">
        <v>186</v>
      </c>
      <c r="D45282" t="s">
        <v>10477</v>
      </c>
    </row>
    <row r="45283" spans="1:4" x14ac:dyDescent="0.2">
      <c r="B45283" t="s">
        <v>5</v>
      </c>
      <c r="C45283" t="s">
        <v>4585</v>
      </c>
    </row>
    <row r="45285" spans="1:4" x14ac:dyDescent="0.2">
      <c r="A45285" t="s">
        <v>14502</v>
      </c>
      <c r="B45285" t="str">
        <f>HYPERLINK("https://lindat.mff.cuni.cz/services/teitok/pdtc10/index.php?action=vallex&amp;frame=v-w6291f3", "soustřeďovat se (v-w6291f3)")</f>
        <v>soustřeďovat se (v-w6291f3)</v>
      </c>
    </row>
    <row r="45286" spans="1:4" x14ac:dyDescent="0.2">
      <c r="B45286" t="s">
        <v>1</v>
      </c>
      <c r="D45286" t="s">
        <v>10477</v>
      </c>
    </row>
    <row r="45287" spans="1:4" x14ac:dyDescent="0.2">
      <c r="B45287" t="s">
        <v>90</v>
      </c>
    </row>
    <row r="45289" spans="1:4" x14ac:dyDescent="0.2">
      <c r="A45289" t="s">
        <v>14503</v>
      </c>
      <c r="B45289" t="str">
        <f>HYPERLINK("https://lindat.mff.cuni.cz/services/teitok/pdtc10/index.php?action=vallex&amp;frame=v-w6295f1", "soutěžit (v-w6295f1)")</f>
        <v>soutěžit (v-w6295f1)</v>
      </c>
    </row>
    <row r="45290" spans="1:4" x14ac:dyDescent="0.2">
      <c r="B45290" t="s">
        <v>1</v>
      </c>
      <c r="C45290" t="s">
        <v>1805</v>
      </c>
      <c r="D45290" t="s">
        <v>1992</v>
      </c>
    </row>
    <row r="45291" spans="1:4" x14ac:dyDescent="0.2">
      <c r="B45291" t="s">
        <v>235</v>
      </c>
      <c r="C45291" t="s">
        <v>14481</v>
      </c>
      <c r="D45291" t="s">
        <v>22991</v>
      </c>
    </row>
    <row r="45292" spans="1:4" x14ac:dyDescent="0.2">
      <c r="B45292" t="s">
        <v>2287</v>
      </c>
      <c r="C45292" t="s">
        <v>7685</v>
      </c>
      <c r="D45292" t="s">
        <v>22992</v>
      </c>
    </row>
    <row r="45294" spans="1:4" x14ac:dyDescent="0.2">
      <c r="A45294" t="s">
        <v>14504</v>
      </c>
      <c r="B45294" t="str">
        <f>HYPERLINK("https://lindat.mff.cuni.cz/services/teitok/pdtc10/index.php?action=vallex&amp;frame=v-w6297f1", "souviset (v-w6297f1)")</f>
        <v>souviset (v-w6297f1)</v>
      </c>
    </row>
    <row r="45295" spans="1:4" x14ac:dyDescent="0.2">
      <c r="B45295" t="s">
        <v>1</v>
      </c>
      <c r="C45295" t="s">
        <v>14505</v>
      </c>
      <c r="D45295" t="s">
        <v>23220</v>
      </c>
    </row>
    <row r="45296" spans="1:4" x14ac:dyDescent="0.2">
      <c r="B45296" t="s">
        <v>411</v>
      </c>
      <c r="C45296" t="s">
        <v>14506</v>
      </c>
      <c r="D45296" t="s">
        <v>23221</v>
      </c>
    </row>
    <row r="45298" spans="1:3" x14ac:dyDescent="0.2">
      <c r="A45298" t="s">
        <v>14507</v>
      </c>
      <c r="B45298" t="str">
        <f>HYPERLINK("https://lindat.mff.cuni.cz/services/teitok/pdtc10/index.php?action=vallex&amp;frame=v-w10277f2", "souznít (v-w10277f2)")</f>
        <v>souznít (v-w10277f2)</v>
      </c>
    </row>
    <row r="45299" spans="1:3" x14ac:dyDescent="0.2">
      <c r="B45299" t="s">
        <v>1</v>
      </c>
    </row>
    <row r="45300" spans="1:3" x14ac:dyDescent="0.2">
      <c r="B45300" t="s">
        <v>411</v>
      </c>
    </row>
    <row r="45302" spans="1:3" x14ac:dyDescent="0.2">
      <c r="A45302" t="s">
        <v>14508</v>
      </c>
      <c r="B45302" t="str">
        <f>HYPERLINK("https://lindat.mff.cuni.cz/services/teitok/pdtc10/index.php?action=vallex&amp;frame=v-w11353f1", "soužit (v-w11353f1)")</f>
        <v>soužit (v-w11353f1)</v>
      </c>
    </row>
    <row r="45303" spans="1:3" x14ac:dyDescent="0.2">
      <c r="B45303" t="s">
        <v>1</v>
      </c>
    </row>
    <row r="45304" spans="1:3" x14ac:dyDescent="0.2">
      <c r="B45304" t="s">
        <v>8</v>
      </c>
    </row>
    <row r="45306" spans="1:3" x14ac:dyDescent="0.2">
      <c r="A45306" t="s">
        <v>14509</v>
      </c>
      <c r="B45306" t="str">
        <f>HYPERLINK("https://lindat.mff.cuni.cz/services/teitok/pdtc10/index.php?action=vallex&amp;frame=v-w6303f1", "spadat (v-w6303f1)")</f>
        <v>spadat (v-w6303f1)</v>
      </c>
    </row>
    <row r="45307" spans="1:3" x14ac:dyDescent="0.2">
      <c r="B45307" t="s">
        <v>607</v>
      </c>
      <c r="C45307" t="s">
        <v>14510</v>
      </c>
    </row>
    <row r="45308" spans="1:3" x14ac:dyDescent="0.2">
      <c r="B45308" t="s">
        <v>90</v>
      </c>
      <c r="C45308" t="s">
        <v>14511</v>
      </c>
    </row>
    <row r="45310" spans="1:3" x14ac:dyDescent="0.2">
      <c r="A45310" t="s">
        <v>14512</v>
      </c>
      <c r="B45310" t="str">
        <f>HYPERLINK("https://lindat.mff.cuni.cz/services/teitok/pdtc10/index.php?action=vallex&amp;frame=v-w6303f2_ZU", "spadat (v-w6303f2_ZU)")</f>
        <v>spadat (v-w6303f2_ZU)</v>
      </c>
    </row>
    <row r="45311" spans="1:3" x14ac:dyDescent="0.2">
      <c r="B45311" t="s">
        <v>1</v>
      </c>
    </row>
    <row r="45312" spans="1:3" x14ac:dyDescent="0.2">
      <c r="B45312" t="s">
        <v>205</v>
      </c>
    </row>
    <row r="45314" spans="1:4" x14ac:dyDescent="0.2">
      <c r="A45314" t="s">
        <v>14513</v>
      </c>
      <c r="B45314" t="str">
        <f>HYPERLINK("https://lindat.mff.cuni.cz/services/teitok/pdtc10/index.php?action=vallex&amp;frame=v-w6304f4", "spadnout (v-w6304f4)")</f>
        <v>spadnout (v-w6304f4)</v>
      </c>
    </row>
    <row r="45315" spans="1:4" x14ac:dyDescent="0.2">
      <c r="B45315" t="s">
        <v>1</v>
      </c>
      <c r="C45315" t="s">
        <v>14514</v>
      </c>
      <c r="D45315" t="s">
        <v>23736</v>
      </c>
    </row>
    <row r="45316" spans="1:4" x14ac:dyDescent="0.2">
      <c r="B45316" t="s">
        <v>46</v>
      </c>
      <c r="C45316" t="s">
        <v>14515</v>
      </c>
      <c r="D45316" t="s">
        <v>23737</v>
      </c>
    </row>
    <row r="45317" spans="1:4" x14ac:dyDescent="0.2">
      <c r="B45317" t="s">
        <v>24</v>
      </c>
      <c r="C45317" t="s">
        <v>14516</v>
      </c>
      <c r="D45317" t="s">
        <v>23738</v>
      </c>
    </row>
    <row r="45319" spans="1:4" x14ac:dyDescent="0.2">
      <c r="A45319" t="s">
        <v>14517</v>
      </c>
      <c r="B45319" t="str">
        <f>HYPERLINK("https://lindat.mff.cuni.cz/services/teitok/pdtc10/index.php?action=vallex&amp;frame=v-w6304f2", "spadnout (v-w6304f2)")</f>
        <v>spadnout (v-w6304f2)</v>
      </c>
    </row>
    <row r="45320" spans="1:4" x14ac:dyDescent="0.2">
      <c r="B45320" t="s">
        <v>1</v>
      </c>
      <c r="C45320" t="s">
        <v>14518</v>
      </c>
      <c r="D45320" t="s">
        <v>3043</v>
      </c>
    </row>
    <row r="45322" spans="1:4" x14ac:dyDescent="0.2">
      <c r="A45322" t="s">
        <v>14519</v>
      </c>
      <c r="B45322" t="str">
        <f>HYPERLINK("https://lindat.mff.cuni.cz/services/teitok/pdtc10/index.php?action=vallex&amp;frame=v-w6304f1", "spadnout (v-w6304f1)")</f>
        <v>spadnout (v-w6304f1)</v>
      </c>
    </row>
    <row r="45323" spans="1:4" x14ac:dyDescent="0.2">
      <c r="B45323" t="s">
        <v>1</v>
      </c>
      <c r="C45323" t="s">
        <v>566</v>
      </c>
      <c r="D45323" t="s">
        <v>3043</v>
      </c>
    </row>
    <row r="45325" spans="1:4" x14ac:dyDescent="0.2">
      <c r="A45325" t="s">
        <v>14520</v>
      </c>
      <c r="B45325" t="str">
        <f>HYPERLINK("https://lindat.mff.cuni.cz/services/teitok/pdtc10/index.php?action=vallex&amp;frame=v-w6304f3", "spadnout (v-w6304f3)")</f>
        <v>spadnout (v-w6304f3)</v>
      </c>
    </row>
    <row r="45326" spans="1:4" x14ac:dyDescent="0.2">
      <c r="B45326" t="s">
        <v>1</v>
      </c>
    </row>
    <row r="45327" spans="1:4" x14ac:dyDescent="0.2">
      <c r="B45327" t="s">
        <v>14521</v>
      </c>
    </row>
    <row r="45328" spans="1:4" x14ac:dyDescent="0.2">
      <c r="B45328" t="s">
        <v>103</v>
      </c>
    </row>
    <row r="45330" spans="1:4" x14ac:dyDescent="0.2">
      <c r="A45330" t="s">
        <v>14522</v>
      </c>
      <c r="B45330" t="str">
        <f>HYPERLINK("https://lindat.mff.cuni.cz/services/teitok/pdtc10/index.php?action=vallex&amp;frame=v-w6304f5", "spadnout (v-w6304f5)")</f>
        <v>spadnout (v-w6304f5)</v>
      </c>
    </row>
    <row r="45331" spans="1:4" x14ac:dyDescent="0.2">
      <c r="B45331" t="s">
        <v>1</v>
      </c>
    </row>
    <row r="45332" spans="1:4" x14ac:dyDescent="0.2">
      <c r="B45332" t="s">
        <v>14523</v>
      </c>
    </row>
    <row r="45334" spans="1:4" x14ac:dyDescent="0.2">
      <c r="A45334" t="s">
        <v>14524</v>
      </c>
      <c r="B45334" t="str">
        <f>HYPERLINK("https://lindat.mff.cuni.cz/services/teitok/pdtc10/index.php?action=vallex&amp;frame=v-w6304f6", "spadnout (v-w6304f6)")</f>
        <v>spadnout (v-w6304f6)</v>
      </c>
    </row>
    <row r="45335" spans="1:4" x14ac:dyDescent="0.2">
      <c r="B45335" t="s">
        <v>1</v>
      </c>
    </row>
    <row r="45336" spans="1:4" x14ac:dyDescent="0.2">
      <c r="B45336" t="s">
        <v>14525</v>
      </c>
    </row>
    <row r="45338" spans="1:4" x14ac:dyDescent="0.2">
      <c r="A45338" t="s">
        <v>14526</v>
      </c>
      <c r="B45338" t="str">
        <f>HYPERLINK("https://lindat.mff.cuni.cz/services/teitok/pdtc10/index.php?action=vallex&amp;frame=v-w6304f8_ZU", "spadnout (v-w6304f8_ZU)")</f>
        <v>spadnout (v-w6304f8_ZU)</v>
      </c>
    </row>
    <row r="45339" spans="1:4" x14ac:dyDescent="0.2">
      <c r="B45339" t="s">
        <v>1</v>
      </c>
      <c r="C45339" t="s">
        <v>127</v>
      </c>
      <c r="D45339" t="s">
        <v>201</v>
      </c>
    </row>
    <row r="45340" spans="1:4" x14ac:dyDescent="0.2">
      <c r="B45340" t="s">
        <v>205</v>
      </c>
      <c r="D45340" t="s">
        <v>6117</v>
      </c>
    </row>
    <row r="45342" spans="1:4" x14ac:dyDescent="0.2">
      <c r="A45342" t="s">
        <v>14526</v>
      </c>
      <c r="B45342" t="str">
        <f>HYPERLINK("https://lindat.mff.cuni.cz/services/teitok/pdtc10/index.php?action=vallex&amp;frame=v-w6304f7_ZU", "spadnout (v-w6304f7_ZU) - substituted with v-w6304f8_ZU")</f>
        <v>spadnout (v-w6304f7_ZU) - substituted with v-w6304f8_ZU</v>
      </c>
    </row>
    <row r="45343" spans="1:4" x14ac:dyDescent="0.2">
      <c r="B45343" t="s">
        <v>1</v>
      </c>
    </row>
    <row r="45344" spans="1:4" x14ac:dyDescent="0.2">
      <c r="B45344" t="s">
        <v>205</v>
      </c>
    </row>
    <row r="45346" spans="1:2" x14ac:dyDescent="0.2">
      <c r="A45346" t="s">
        <v>14526</v>
      </c>
      <c r="B45346" t="str">
        <f>HYPERLINK("https://lindat.mff.cuni.cz/services/teitok/pdtc10/index.php?action=vallex&amp;frame=v-w6304hsa_264", "spadnout (v-w6304hsa_264) - substituted with v-w6304f8_ZU")</f>
        <v>spadnout (v-w6304hsa_264) - substituted with v-w6304f8_ZU</v>
      </c>
    </row>
    <row r="45347" spans="1:2" x14ac:dyDescent="0.2">
      <c r="B45347" t="s">
        <v>1</v>
      </c>
    </row>
    <row r="45348" spans="1:2" x14ac:dyDescent="0.2">
      <c r="B45348" t="s">
        <v>205</v>
      </c>
    </row>
    <row r="45350" spans="1:2" x14ac:dyDescent="0.2">
      <c r="A45350" t="s">
        <v>14527</v>
      </c>
      <c r="B45350" t="str">
        <f>HYPERLINK("https://lindat.mff.cuni.cz/services/teitok/pdtc10/index.php?action=vallex&amp;frame=v-w6304hsa_1319", "spadnout (v-w6304hsa_1319)")</f>
        <v>spadnout (v-w6304hsa_1319)</v>
      </c>
    </row>
    <row r="45351" spans="1:2" x14ac:dyDescent="0.2">
      <c r="B45351" t="s">
        <v>1</v>
      </c>
    </row>
    <row r="45352" spans="1:2" x14ac:dyDescent="0.2">
      <c r="B45352" t="s">
        <v>90</v>
      </c>
    </row>
    <row r="45354" spans="1:2" x14ac:dyDescent="0.2">
      <c r="A45354" t="s">
        <v>14528</v>
      </c>
      <c r="B45354" t="str">
        <f>HYPERLINK("https://lindat.mff.cuni.cz/services/teitok/pdtc10/index.php?action=vallex&amp;frame=v-w12369_MMf1_MM", "spakovat (v-w12369_MMf1_MM)")</f>
        <v>spakovat (v-w12369_MMf1_MM)</v>
      </c>
    </row>
    <row r="45355" spans="1:2" x14ac:dyDescent="0.2">
      <c r="B45355" t="s">
        <v>1</v>
      </c>
    </row>
    <row r="45356" spans="1:2" x14ac:dyDescent="0.2">
      <c r="B45356" t="s">
        <v>8</v>
      </c>
    </row>
    <row r="45358" spans="1:2" x14ac:dyDescent="0.2">
      <c r="A45358" t="s">
        <v>14529</v>
      </c>
      <c r="B45358" t="str">
        <f>HYPERLINK("https://lindat.mff.cuni.cz/services/teitok/pdtc10/index.php?action=vallex&amp;frame=v-w6312f1", "spalovat (v-w6312f1)")</f>
        <v>spalovat (v-w6312f1)</v>
      </c>
    </row>
    <row r="45359" spans="1:2" x14ac:dyDescent="0.2">
      <c r="B45359" t="s">
        <v>1</v>
      </c>
    </row>
    <row r="45360" spans="1:2" x14ac:dyDescent="0.2">
      <c r="B45360" t="s">
        <v>8</v>
      </c>
    </row>
    <row r="45362" spans="1:4" x14ac:dyDescent="0.2">
      <c r="A45362" t="s">
        <v>14530</v>
      </c>
      <c r="B45362" t="str">
        <f>HYPERLINK("https://lindat.mff.cuni.cz/services/teitok/pdtc10/index.php?action=vallex&amp;frame=v-w6312f2", "spalovat (v-w6312f2)")</f>
        <v>spalovat (v-w6312f2)</v>
      </c>
    </row>
    <row r="45363" spans="1:4" x14ac:dyDescent="0.2">
      <c r="B45363" t="s">
        <v>1</v>
      </c>
      <c r="C45363" t="s">
        <v>1125</v>
      </c>
    </row>
    <row r="45364" spans="1:4" x14ac:dyDescent="0.2">
      <c r="B45364" t="s">
        <v>8</v>
      </c>
      <c r="C45364" t="s">
        <v>11139</v>
      </c>
    </row>
    <row r="45366" spans="1:4" x14ac:dyDescent="0.2">
      <c r="A45366" t="s">
        <v>14531</v>
      </c>
      <c r="B45366" t="str">
        <f>HYPERLINK("https://lindat.mff.cuni.cz/services/teitok/pdtc10/index.php?action=vallex&amp;frame=v-w12265_ZUf1_ZU", "spapat (v-w12265_ZUf1_ZU)")</f>
        <v>spapat (v-w12265_ZUf1_ZU)</v>
      </c>
    </row>
    <row r="45367" spans="1:4" x14ac:dyDescent="0.2">
      <c r="B45367" t="s">
        <v>1</v>
      </c>
    </row>
    <row r="45368" spans="1:4" x14ac:dyDescent="0.2">
      <c r="B45368" t="s">
        <v>8</v>
      </c>
    </row>
    <row r="45370" spans="1:4" x14ac:dyDescent="0.2">
      <c r="A45370" t="s">
        <v>14532</v>
      </c>
      <c r="B45370" t="str">
        <f>HYPERLINK("https://lindat.mff.cuni.cz/services/teitok/pdtc10/index.php?action=vallex&amp;frame=v-w6314f1", "spasit (v-w6314f1)")</f>
        <v>spasit (v-w6314f1)</v>
      </c>
    </row>
    <row r="45371" spans="1:4" x14ac:dyDescent="0.2">
      <c r="B45371" t="s">
        <v>1</v>
      </c>
      <c r="C45371" t="s">
        <v>133</v>
      </c>
      <c r="D45371" t="s">
        <v>23370</v>
      </c>
    </row>
    <row r="45372" spans="1:4" x14ac:dyDescent="0.2">
      <c r="B45372" t="s">
        <v>8</v>
      </c>
      <c r="C45372" t="s">
        <v>1128</v>
      </c>
      <c r="D45372" t="s">
        <v>23371</v>
      </c>
    </row>
    <row r="45373" spans="1:4" x14ac:dyDescent="0.2">
      <c r="B45373" t="s">
        <v>7530</v>
      </c>
      <c r="D45373" t="s">
        <v>24182</v>
      </c>
    </row>
    <row r="45375" spans="1:4" x14ac:dyDescent="0.2">
      <c r="A45375" t="s">
        <v>14533</v>
      </c>
      <c r="B45375" t="str">
        <f>HYPERLINK("https://lindat.mff.cuni.cz/services/teitok/pdtc10/index.php?action=vallex&amp;frame=v-w6317f4", "spatřit (v-w6317f4)")</f>
        <v>spatřit (v-w6317f4)</v>
      </c>
    </row>
    <row r="45376" spans="1:4" x14ac:dyDescent="0.2">
      <c r="B45376" t="s">
        <v>1</v>
      </c>
    </row>
    <row r="45377" spans="1:4" x14ac:dyDescent="0.2">
      <c r="B45377" t="s">
        <v>41</v>
      </c>
    </row>
    <row r="45378" spans="1:4" x14ac:dyDescent="0.2">
      <c r="B45378" t="s">
        <v>9827</v>
      </c>
    </row>
    <row r="45380" spans="1:4" x14ac:dyDescent="0.2">
      <c r="A45380" t="s">
        <v>14534</v>
      </c>
      <c r="B45380" t="str">
        <f>HYPERLINK("https://lindat.mff.cuni.cz/services/teitok/pdtc10/index.php?action=vallex&amp;frame=v-w6317f3", "spatřit (v-w6317f3)")</f>
        <v>spatřit (v-w6317f3)</v>
      </c>
    </row>
    <row r="45381" spans="1:4" x14ac:dyDescent="0.2">
      <c r="B45381" t="s">
        <v>1</v>
      </c>
      <c r="C45381" t="s">
        <v>14535</v>
      </c>
      <c r="D45381" t="s">
        <v>24183</v>
      </c>
    </row>
    <row r="45382" spans="1:4" x14ac:dyDescent="0.2">
      <c r="B45382" t="s">
        <v>8</v>
      </c>
      <c r="C45382" t="s">
        <v>14536</v>
      </c>
      <c r="D45382" t="s">
        <v>24184</v>
      </c>
    </row>
    <row r="45383" spans="1:4" x14ac:dyDescent="0.2">
      <c r="B45383" t="s">
        <v>14537</v>
      </c>
      <c r="C45383" t="s">
        <v>14538</v>
      </c>
    </row>
    <row r="45385" spans="1:4" x14ac:dyDescent="0.2">
      <c r="A45385" t="s">
        <v>14539</v>
      </c>
      <c r="B45385" t="str">
        <f>HYPERLINK("https://lindat.mff.cuni.cz/services/teitok/pdtc10/index.php?action=vallex&amp;frame=v-w6317f1", "spatřit (v-w6317f1)")</f>
        <v>spatřit (v-w6317f1)</v>
      </c>
    </row>
    <row r="45386" spans="1:4" x14ac:dyDescent="0.2">
      <c r="B45386" t="s">
        <v>1</v>
      </c>
      <c r="C45386" t="s">
        <v>14540</v>
      </c>
      <c r="D45386" t="s">
        <v>24183</v>
      </c>
    </row>
    <row r="45387" spans="1:4" x14ac:dyDescent="0.2">
      <c r="B45387" t="s">
        <v>13410</v>
      </c>
      <c r="C45387" t="s">
        <v>14541</v>
      </c>
      <c r="D45387" t="s">
        <v>24184</v>
      </c>
    </row>
    <row r="45389" spans="1:4" x14ac:dyDescent="0.2">
      <c r="A45389" t="s">
        <v>14542</v>
      </c>
      <c r="B45389" t="str">
        <f>HYPERLINK("https://lindat.mff.cuni.cz/services/teitok/pdtc10/index.php?action=vallex&amp;frame=v-w6317f2", "spatřit (v-w6317f2)")</f>
        <v>spatřit (v-w6317f2)</v>
      </c>
    </row>
    <row r="45390" spans="1:4" x14ac:dyDescent="0.2">
      <c r="B45390" t="s">
        <v>1</v>
      </c>
    </row>
    <row r="45391" spans="1:4" x14ac:dyDescent="0.2">
      <c r="B45391" t="s">
        <v>14543</v>
      </c>
    </row>
    <row r="45393" spans="1:3" x14ac:dyDescent="0.2">
      <c r="A45393" t="s">
        <v>14544</v>
      </c>
      <c r="B45393" t="str">
        <f>HYPERLINK("https://lindat.mff.cuni.cz/services/teitok/pdtc10/index.php?action=vallex&amp;frame=v-w6318f1", "spatřovat (v-w6318f1)")</f>
        <v>spatřovat (v-w6318f1)</v>
      </c>
    </row>
    <row r="45394" spans="1:3" x14ac:dyDescent="0.2">
      <c r="B45394" t="s">
        <v>1</v>
      </c>
      <c r="C45394" t="s">
        <v>14545</v>
      </c>
    </row>
    <row r="45395" spans="1:3" x14ac:dyDescent="0.2">
      <c r="B45395" t="s">
        <v>41</v>
      </c>
      <c r="C45395" t="s">
        <v>14546</v>
      </c>
    </row>
    <row r="45396" spans="1:3" x14ac:dyDescent="0.2">
      <c r="B45396" t="s">
        <v>9827</v>
      </c>
      <c r="C45396" t="s">
        <v>14547</v>
      </c>
    </row>
    <row r="45398" spans="1:3" x14ac:dyDescent="0.2">
      <c r="A45398" t="s">
        <v>14548</v>
      </c>
      <c r="B45398" t="str">
        <f>HYPERLINK("https://lindat.mff.cuni.cz/services/teitok/pdtc10/index.php?action=vallex&amp;frame=v-w6318f3_ZU", "spatřovat (v-w6318f3_ZU)")</f>
        <v>spatřovat (v-w6318f3_ZU)</v>
      </c>
    </row>
    <row r="45399" spans="1:3" x14ac:dyDescent="0.2">
      <c r="B45399" t="s">
        <v>1</v>
      </c>
    </row>
    <row r="45400" spans="1:3" x14ac:dyDescent="0.2">
      <c r="B45400" t="s">
        <v>8</v>
      </c>
    </row>
    <row r="45401" spans="1:3" x14ac:dyDescent="0.2">
      <c r="B45401" t="s">
        <v>1151</v>
      </c>
    </row>
    <row r="45403" spans="1:3" x14ac:dyDescent="0.2">
      <c r="A45403" t="s">
        <v>14549</v>
      </c>
      <c r="B45403" t="str">
        <f>HYPERLINK("https://lindat.mff.cuni.cz/services/teitok/pdtc10/index.php?action=vallex&amp;frame=v-w6318f2", "spatřovat (v-w6318f2)")</f>
        <v>spatřovat (v-w6318f2)</v>
      </c>
    </row>
    <row r="45404" spans="1:3" x14ac:dyDescent="0.2">
      <c r="B45404" t="s">
        <v>1</v>
      </c>
      <c r="C45404" t="s">
        <v>682</v>
      </c>
    </row>
    <row r="45405" spans="1:3" x14ac:dyDescent="0.2">
      <c r="B45405" t="s">
        <v>8</v>
      </c>
      <c r="C45405" t="s">
        <v>2293</v>
      </c>
    </row>
    <row r="45406" spans="1:3" x14ac:dyDescent="0.2">
      <c r="B45406" t="s">
        <v>5</v>
      </c>
    </row>
    <row r="45408" spans="1:3" x14ac:dyDescent="0.2">
      <c r="A45408" t="s">
        <v>14550</v>
      </c>
      <c r="B45408" t="str">
        <f>HYPERLINK("https://lindat.mff.cuni.cz/services/teitok/pdtc10/index.php?action=vallex&amp;frame=v-w6322f1", "specializovat se (v-w6322f1)")</f>
        <v>specializovat se (v-w6322f1)</v>
      </c>
    </row>
    <row r="45409" spans="1:4" x14ac:dyDescent="0.2">
      <c r="B45409" t="s">
        <v>1</v>
      </c>
      <c r="C45409" t="s">
        <v>370</v>
      </c>
      <c r="D45409" t="s">
        <v>24185</v>
      </c>
    </row>
    <row r="45410" spans="1:4" x14ac:dyDescent="0.2">
      <c r="B45410" t="s">
        <v>28</v>
      </c>
      <c r="C45410" t="s">
        <v>10242</v>
      </c>
      <c r="D45410" t="s">
        <v>24186</v>
      </c>
    </row>
    <row r="45412" spans="1:4" x14ac:dyDescent="0.2">
      <c r="A45412" t="s">
        <v>14551</v>
      </c>
      <c r="B45412" t="str">
        <f>HYPERLINK("https://lindat.mff.cuni.cz/services/teitok/pdtc10/index.php?action=vallex&amp;frame=v-w6325f1", "specifikovat (v-w6325f1)")</f>
        <v>specifikovat (v-w6325f1)</v>
      </c>
    </row>
    <row r="45413" spans="1:4" x14ac:dyDescent="0.2">
      <c r="B45413" t="s">
        <v>1</v>
      </c>
      <c r="C45413" t="s">
        <v>7126</v>
      </c>
      <c r="D45413" t="s">
        <v>5475</v>
      </c>
    </row>
    <row r="45414" spans="1:4" x14ac:dyDescent="0.2">
      <c r="B45414" t="s">
        <v>2304</v>
      </c>
      <c r="C45414" t="s">
        <v>5971</v>
      </c>
      <c r="D45414" t="s">
        <v>1798</v>
      </c>
    </row>
    <row r="45416" spans="1:4" x14ac:dyDescent="0.2">
      <c r="A45416" t="s">
        <v>14552</v>
      </c>
      <c r="B45416" t="str">
        <f>HYPERLINK("https://lindat.mff.cuni.cz/services/teitok/pdtc10/index.php?action=vallex&amp;frame=v-w6328f1", "spekulovat (v-w6328f1)")</f>
        <v>spekulovat (v-w6328f1)</v>
      </c>
    </row>
    <row r="45417" spans="1:4" x14ac:dyDescent="0.2">
      <c r="B45417" t="s">
        <v>1</v>
      </c>
      <c r="C45417" t="s">
        <v>2571</v>
      </c>
      <c r="D45417" t="s">
        <v>24021</v>
      </c>
    </row>
    <row r="45418" spans="1:4" x14ac:dyDescent="0.2">
      <c r="B45418" t="s">
        <v>2469</v>
      </c>
      <c r="C45418" t="s">
        <v>54</v>
      </c>
      <c r="D45418" t="s">
        <v>24022</v>
      </c>
    </row>
    <row r="45420" spans="1:4" x14ac:dyDescent="0.2">
      <c r="A45420" t="s">
        <v>14553</v>
      </c>
      <c r="B45420" t="str">
        <f>HYPERLINK("https://lindat.mff.cuni.cz/services/teitok/pdtc10/index.php?action=vallex&amp;frame=v-w6328f2", "spekulovat (v-w6328f2)")</f>
        <v>spekulovat (v-w6328f2)</v>
      </c>
    </row>
    <row r="45421" spans="1:4" x14ac:dyDescent="0.2">
      <c r="B45421" t="s">
        <v>1</v>
      </c>
      <c r="C45421" t="s">
        <v>14554</v>
      </c>
    </row>
    <row r="45422" spans="1:4" x14ac:dyDescent="0.2">
      <c r="B45422" t="s">
        <v>411</v>
      </c>
    </row>
    <row r="45424" spans="1:4" x14ac:dyDescent="0.2">
      <c r="A45424" t="s">
        <v>14555</v>
      </c>
      <c r="B45424" t="str">
        <f>HYPERLINK("https://lindat.mff.cuni.cz/services/teitok/pdtc10/index.php?action=vallex&amp;frame=v-w6329f1", "spelovat (v-w6329f1)")</f>
        <v>spelovat (v-w6329f1)</v>
      </c>
    </row>
    <row r="45425" spans="1:3" x14ac:dyDescent="0.2">
      <c r="B45425" t="s">
        <v>1</v>
      </c>
    </row>
    <row r="45426" spans="1:3" x14ac:dyDescent="0.2">
      <c r="B45426" t="s">
        <v>8</v>
      </c>
    </row>
    <row r="45428" spans="1:3" x14ac:dyDescent="0.2">
      <c r="A45428" t="s">
        <v>14556</v>
      </c>
      <c r="B45428" t="str">
        <f>HYPERLINK("https://lindat.mff.cuni.cz/services/teitok/pdtc10/index.php?action=vallex&amp;frame=v-w11441f1", "spiknout se (v-w11441f1)")</f>
        <v>spiknout se (v-w11441f1)</v>
      </c>
    </row>
    <row r="45429" spans="1:3" x14ac:dyDescent="0.2">
      <c r="B45429" t="s">
        <v>1</v>
      </c>
      <c r="C45429" t="s">
        <v>80</v>
      </c>
    </row>
    <row r="45430" spans="1:3" x14ac:dyDescent="0.2">
      <c r="B45430" t="s">
        <v>153</v>
      </c>
    </row>
    <row r="45431" spans="1:3" x14ac:dyDescent="0.2">
      <c r="B45431" t="s">
        <v>1310</v>
      </c>
    </row>
    <row r="45433" spans="1:3" x14ac:dyDescent="0.2">
      <c r="A45433" t="s">
        <v>14557</v>
      </c>
      <c r="B45433" t="str">
        <f>HYPERLINK("https://lindat.mff.cuni.cz/services/teitok/pdtc10/index.php?action=vallex&amp;frame=v-whsa_203f1_ZU", "splachovat (v-whsa_203f1_ZU)")</f>
        <v>splachovat (v-whsa_203f1_ZU)</v>
      </c>
    </row>
    <row r="45434" spans="1:3" x14ac:dyDescent="0.2">
      <c r="B45434" t="s">
        <v>1</v>
      </c>
    </row>
    <row r="45435" spans="1:3" x14ac:dyDescent="0.2">
      <c r="B45435" t="s">
        <v>8</v>
      </c>
    </row>
    <row r="45436" spans="1:3" x14ac:dyDescent="0.2">
      <c r="B45436" t="s">
        <v>4622</v>
      </c>
    </row>
    <row r="45438" spans="1:3" x14ac:dyDescent="0.2">
      <c r="A45438" t="s">
        <v>14558</v>
      </c>
      <c r="B45438" t="str">
        <f>HYPERLINK("https://lindat.mff.cuni.cz/services/teitok/pdtc10/index.php?action=vallex&amp;frame=v-whsa_203hsa_204", "splachovat (v-whsa_203hsa_204)")</f>
        <v>splachovat (v-whsa_203hsa_204)</v>
      </c>
    </row>
    <row r="45439" spans="1:3" x14ac:dyDescent="0.2">
      <c r="B45439" t="s">
        <v>1</v>
      </c>
    </row>
    <row r="45440" spans="1:3" x14ac:dyDescent="0.2">
      <c r="B45440" t="s">
        <v>8</v>
      </c>
    </row>
    <row r="45442" spans="1:4" x14ac:dyDescent="0.2">
      <c r="A45442" t="s">
        <v>14559</v>
      </c>
      <c r="B45442" t="str">
        <f>HYPERLINK("https://lindat.mff.cuni.cz/services/teitok/pdtc10/index.php?action=vallex&amp;frame=v-w6340f1", "splakat (v-w6340f1)")</f>
        <v>splakat (v-w6340f1)</v>
      </c>
    </row>
    <row r="45443" spans="1:4" x14ac:dyDescent="0.2">
      <c r="B45443" t="s">
        <v>1</v>
      </c>
    </row>
    <row r="45444" spans="1:4" x14ac:dyDescent="0.2">
      <c r="B45444" t="s">
        <v>164</v>
      </c>
    </row>
    <row r="45446" spans="1:4" x14ac:dyDescent="0.2">
      <c r="A45446" t="s">
        <v>14560</v>
      </c>
      <c r="B45446" t="str">
        <f>HYPERLINK("https://lindat.mff.cuni.cz/services/teitok/pdtc10/index.php?action=vallex&amp;frame=v-w12051_ZUf1_ZU", "splanýrovat (v-w12051_ZUf1_ZU)")</f>
        <v>splanýrovat (v-w12051_ZUf1_ZU)</v>
      </c>
    </row>
    <row r="45447" spans="1:4" x14ac:dyDescent="0.2">
      <c r="B45447" t="s">
        <v>1</v>
      </c>
    </row>
    <row r="45448" spans="1:4" x14ac:dyDescent="0.2">
      <c r="B45448" t="s">
        <v>8</v>
      </c>
    </row>
    <row r="45450" spans="1:4" x14ac:dyDescent="0.2">
      <c r="A45450" t="s">
        <v>14561</v>
      </c>
      <c r="B45450" t="str">
        <f>HYPERLINK("https://lindat.mff.cuni.cz/services/teitok/pdtc10/index.php?action=vallex&amp;frame=v-w6341f1", "splasknout (v-w6341f1)")</f>
        <v>splasknout (v-w6341f1)</v>
      </c>
    </row>
    <row r="45451" spans="1:4" x14ac:dyDescent="0.2">
      <c r="B45451" t="s">
        <v>1</v>
      </c>
    </row>
    <row r="45453" spans="1:4" x14ac:dyDescent="0.2">
      <c r="A45453" t="s">
        <v>14562</v>
      </c>
      <c r="B45453" t="str">
        <f>HYPERLINK("https://lindat.mff.cuni.cz/services/teitok/pdtc10/index.php?action=vallex&amp;frame=v-w6342f1", "splatit (v-w6342f1)")</f>
        <v>splatit (v-w6342f1)</v>
      </c>
    </row>
    <row r="45454" spans="1:4" x14ac:dyDescent="0.2">
      <c r="B45454" t="s">
        <v>1</v>
      </c>
      <c r="C45454" t="s">
        <v>14563</v>
      </c>
      <c r="D45454" t="s">
        <v>23164</v>
      </c>
    </row>
    <row r="45455" spans="1:4" x14ac:dyDescent="0.2">
      <c r="B45455" t="s">
        <v>8</v>
      </c>
      <c r="C45455" t="s">
        <v>14564</v>
      </c>
      <c r="D45455" t="s">
        <v>23165</v>
      </c>
    </row>
    <row r="45456" spans="1:4" x14ac:dyDescent="0.2">
      <c r="B45456" t="s">
        <v>35</v>
      </c>
      <c r="C45456" t="s">
        <v>14565</v>
      </c>
      <c r="D45456" t="s">
        <v>23166</v>
      </c>
    </row>
    <row r="45458" spans="1:2" x14ac:dyDescent="0.2">
      <c r="A45458" t="s">
        <v>14566</v>
      </c>
      <c r="B45458" t="str">
        <f>HYPERLINK("https://lindat.mff.cuni.cz/services/teitok/pdtc10/index.php?action=vallex&amp;frame=v-w6342f2", "splatit (v-w6342f2)")</f>
        <v>splatit (v-w6342f2)</v>
      </c>
    </row>
    <row r="45459" spans="1:2" x14ac:dyDescent="0.2">
      <c r="B45459" t="s">
        <v>1</v>
      </c>
    </row>
    <row r="45460" spans="1:2" x14ac:dyDescent="0.2">
      <c r="B45460" t="s">
        <v>8</v>
      </c>
    </row>
    <row r="45461" spans="1:2" x14ac:dyDescent="0.2">
      <c r="B45461" t="s">
        <v>35</v>
      </c>
    </row>
    <row r="45463" spans="1:2" x14ac:dyDescent="0.2">
      <c r="A45463" t="s">
        <v>14567</v>
      </c>
      <c r="B45463" t="str">
        <f>HYPERLINK("https://lindat.mff.cuni.cz/services/teitok/pdtc10/index.php?action=vallex&amp;frame=v-w12176_ZUf1_ZU", "splavovat (v-w12176_ZUf1_ZU)")</f>
        <v>splavovat (v-w12176_ZUf1_ZU)</v>
      </c>
    </row>
    <row r="45464" spans="1:2" x14ac:dyDescent="0.2">
      <c r="B45464" t="s">
        <v>1</v>
      </c>
    </row>
    <row r="45465" spans="1:2" x14ac:dyDescent="0.2">
      <c r="B45465" t="s">
        <v>8</v>
      </c>
    </row>
    <row r="45467" spans="1:2" x14ac:dyDescent="0.2">
      <c r="A45467" t="s">
        <v>14568</v>
      </c>
      <c r="B45467" t="str">
        <f>HYPERLINK("https://lindat.mff.cuni.cz/services/teitok/pdtc10/index.php?action=vallex&amp;frame=v-w12175_ZUf1_ZU", "splašit (v-w12175_ZUf1_ZU)")</f>
        <v>splašit (v-w12175_ZUf1_ZU)</v>
      </c>
    </row>
    <row r="45468" spans="1:2" x14ac:dyDescent="0.2">
      <c r="B45468" t="s">
        <v>1</v>
      </c>
    </row>
    <row r="45469" spans="1:2" x14ac:dyDescent="0.2">
      <c r="B45469" t="s">
        <v>8</v>
      </c>
    </row>
    <row r="45471" spans="1:2" x14ac:dyDescent="0.2">
      <c r="A45471" t="s">
        <v>14569</v>
      </c>
      <c r="B45471" t="str">
        <f>HYPERLINK("https://lindat.mff.cuni.cz/services/teitok/pdtc10/index.php?action=vallex&amp;frame=v-whsa_94f1_ZU", "splašit se (v-whsa_94f1_ZU)")</f>
        <v>splašit se (v-whsa_94f1_ZU)</v>
      </c>
    </row>
    <row r="45472" spans="1:2" x14ac:dyDescent="0.2">
      <c r="B45472" t="s">
        <v>1</v>
      </c>
    </row>
    <row r="45474" spans="1:4" x14ac:dyDescent="0.2">
      <c r="A45474" t="s">
        <v>14570</v>
      </c>
      <c r="B45474" t="str">
        <f>HYPERLINK("https://lindat.mff.cuni.cz/services/teitok/pdtc10/index.php?action=vallex&amp;frame=v-whsa_94hsa_95", "splašit se (v-whsa_94hsa_95)")</f>
        <v>splašit se (v-whsa_94hsa_95)</v>
      </c>
    </row>
    <row r="45475" spans="1:4" x14ac:dyDescent="0.2">
      <c r="B45475" t="s">
        <v>1</v>
      </c>
    </row>
    <row r="45477" spans="1:4" x14ac:dyDescent="0.2">
      <c r="A45477" t="s">
        <v>14571</v>
      </c>
      <c r="B45477" t="str">
        <f>HYPERLINK("https://lindat.mff.cuni.cz/services/teitok/pdtc10/index.php?action=vallex&amp;frame=v-w6347f1", "splnit (v-w6347f1)")</f>
        <v>splnit (v-w6347f1)</v>
      </c>
    </row>
    <row r="45478" spans="1:4" x14ac:dyDescent="0.2">
      <c r="B45478" t="s">
        <v>1</v>
      </c>
      <c r="C45478" t="s">
        <v>14572</v>
      </c>
      <c r="D45478" t="s">
        <v>24187</v>
      </c>
    </row>
    <row r="45479" spans="1:4" x14ac:dyDescent="0.2">
      <c r="B45479" t="s">
        <v>172</v>
      </c>
      <c r="C45479" t="s">
        <v>14573</v>
      </c>
      <c r="D45479" t="s">
        <v>24188</v>
      </c>
    </row>
    <row r="45481" spans="1:4" x14ac:dyDescent="0.2">
      <c r="A45481" t="s">
        <v>14574</v>
      </c>
      <c r="B45481" t="str">
        <f>HYPERLINK("https://lindat.mff.cuni.cz/services/teitok/pdtc10/index.php?action=vallex&amp;frame=v-w6348f1", "splnit se (v-w6348f1)")</f>
        <v>splnit se (v-w6348f1)</v>
      </c>
    </row>
    <row r="45482" spans="1:4" x14ac:dyDescent="0.2">
      <c r="B45482" t="s">
        <v>1</v>
      </c>
    </row>
    <row r="45484" spans="1:4" x14ac:dyDescent="0.2">
      <c r="A45484" t="s">
        <v>14575</v>
      </c>
      <c r="B45484" t="str">
        <f>HYPERLINK("https://lindat.mff.cuni.cz/services/teitok/pdtc10/index.php?action=vallex&amp;frame=v-w6351f1", "splynout (v-w6351f1)")</f>
        <v>splynout (v-w6351f1)</v>
      </c>
    </row>
    <row r="45485" spans="1:4" x14ac:dyDescent="0.2">
      <c r="B45485" t="s">
        <v>1</v>
      </c>
      <c r="C45485" t="s">
        <v>4306</v>
      </c>
      <c r="D45485" t="s">
        <v>23280</v>
      </c>
    </row>
    <row r="45486" spans="1:4" x14ac:dyDescent="0.2">
      <c r="B45486" t="s">
        <v>411</v>
      </c>
      <c r="C45486" t="s">
        <v>14576</v>
      </c>
      <c r="D45486" t="s">
        <v>23281</v>
      </c>
    </row>
    <row r="45487" spans="1:4" x14ac:dyDescent="0.2">
      <c r="B45487" t="s">
        <v>2156</v>
      </c>
      <c r="C45487" t="s">
        <v>4075</v>
      </c>
      <c r="D45487" t="s">
        <v>23829</v>
      </c>
    </row>
    <row r="45489" spans="1:4" x14ac:dyDescent="0.2">
      <c r="A45489" t="s">
        <v>14577</v>
      </c>
      <c r="B45489" t="str">
        <f>HYPERLINK("https://lindat.mff.cuni.cz/services/teitok/pdtc10/index.php?action=vallex&amp;frame=v-whsa_966f1_ZU", "splácat (v-whsa_966f1_ZU)")</f>
        <v>splácat (v-whsa_966f1_ZU)</v>
      </c>
    </row>
    <row r="45490" spans="1:4" x14ac:dyDescent="0.2">
      <c r="B45490" t="s">
        <v>1</v>
      </c>
    </row>
    <row r="45491" spans="1:4" x14ac:dyDescent="0.2">
      <c r="B45491" t="s">
        <v>8</v>
      </c>
    </row>
    <row r="45492" spans="1:4" x14ac:dyDescent="0.2">
      <c r="B45492" t="s">
        <v>2156</v>
      </c>
    </row>
    <row r="45493" spans="1:4" x14ac:dyDescent="0.2">
      <c r="B45493" t="s">
        <v>24</v>
      </c>
    </row>
    <row r="45495" spans="1:4" x14ac:dyDescent="0.2">
      <c r="A45495" t="s">
        <v>14577</v>
      </c>
      <c r="B45495" t="str">
        <f>HYPERLINK("https://lindat.mff.cuni.cz/services/teitok/pdtc10/index.php?action=vallex&amp;frame=v-whsa_966hsa_967", "splácat (v-whsa_966hsa_967) - substituted with v-whsa_966f1_ZU")</f>
        <v>splácat (v-whsa_966hsa_967) - substituted with v-whsa_966f1_ZU</v>
      </c>
    </row>
    <row r="45496" spans="1:4" x14ac:dyDescent="0.2">
      <c r="B45496" t="s">
        <v>1</v>
      </c>
    </row>
    <row r="45497" spans="1:4" x14ac:dyDescent="0.2">
      <c r="B45497" t="s">
        <v>8</v>
      </c>
    </row>
    <row r="45498" spans="1:4" x14ac:dyDescent="0.2">
      <c r="B45498" t="s">
        <v>2156</v>
      </c>
    </row>
    <row r="45499" spans="1:4" x14ac:dyDescent="0.2">
      <c r="B45499" t="s">
        <v>24</v>
      </c>
    </row>
    <row r="45501" spans="1:4" x14ac:dyDescent="0.2">
      <c r="A45501" t="s">
        <v>14578</v>
      </c>
      <c r="B45501" t="str">
        <f>HYPERLINK("https://lindat.mff.cuni.cz/services/teitok/pdtc10/index.php?action=vallex&amp;frame=v-w6339f1", "splácet (v-w6339f1)")</f>
        <v>splácet (v-w6339f1)</v>
      </c>
    </row>
    <row r="45502" spans="1:4" x14ac:dyDescent="0.2">
      <c r="B45502" t="s">
        <v>1</v>
      </c>
      <c r="C45502" t="s">
        <v>14579</v>
      </c>
      <c r="D45502" t="s">
        <v>23164</v>
      </c>
    </row>
    <row r="45503" spans="1:4" x14ac:dyDescent="0.2">
      <c r="B45503" t="s">
        <v>8</v>
      </c>
      <c r="C45503" t="s">
        <v>14580</v>
      </c>
      <c r="D45503" t="s">
        <v>23165</v>
      </c>
    </row>
    <row r="45504" spans="1:4" x14ac:dyDescent="0.2">
      <c r="B45504" t="s">
        <v>35</v>
      </c>
      <c r="C45504" t="s">
        <v>14581</v>
      </c>
      <c r="D45504" t="s">
        <v>23166</v>
      </c>
    </row>
    <row r="45506" spans="1:2" x14ac:dyDescent="0.2">
      <c r="A45506" t="s">
        <v>14582</v>
      </c>
      <c r="B45506" t="str">
        <f>HYPERLINK("https://lindat.mff.cuni.cz/services/teitok/pdtc10/index.php?action=vallex&amp;frame=v-w6339f2", "splácet (v-w6339f2)")</f>
        <v>splácet (v-w6339f2)</v>
      </c>
    </row>
    <row r="45507" spans="1:2" x14ac:dyDescent="0.2">
      <c r="B45507" t="s">
        <v>1</v>
      </c>
    </row>
    <row r="45508" spans="1:2" x14ac:dyDescent="0.2">
      <c r="B45508" t="s">
        <v>8</v>
      </c>
    </row>
    <row r="45509" spans="1:2" x14ac:dyDescent="0.2">
      <c r="B45509" t="s">
        <v>35</v>
      </c>
    </row>
    <row r="45511" spans="1:2" x14ac:dyDescent="0.2">
      <c r="A45511" t="s">
        <v>14583</v>
      </c>
      <c r="B45511" t="str">
        <f>HYPERLINK("https://lindat.mff.cuni.cz/services/teitok/pdtc10/index.php?action=vallex&amp;frame=v-w6339f3_ZU", "splácet (v-w6339f3_ZU)")</f>
        <v>splácet (v-w6339f3_ZU)</v>
      </c>
    </row>
    <row r="45512" spans="1:2" x14ac:dyDescent="0.2">
      <c r="B45512" t="s">
        <v>1</v>
      </c>
    </row>
    <row r="45513" spans="1:2" x14ac:dyDescent="0.2">
      <c r="B45513" t="s">
        <v>8</v>
      </c>
    </row>
    <row r="45515" spans="1:2" x14ac:dyDescent="0.2">
      <c r="A45515" t="s">
        <v>14584</v>
      </c>
      <c r="B45515" t="str">
        <f>HYPERLINK("https://lindat.mff.cuni.cz/services/teitok/pdtc10/index.php?action=vallex&amp;frame=v-w10680f2", "spláchnout (v-w10680f2)")</f>
        <v>spláchnout (v-w10680f2)</v>
      </c>
    </row>
    <row r="45516" spans="1:2" x14ac:dyDescent="0.2">
      <c r="B45516" t="s">
        <v>1</v>
      </c>
    </row>
    <row r="45517" spans="1:2" x14ac:dyDescent="0.2">
      <c r="B45517" t="s">
        <v>8</v>
      </c>
    </row>
    <row r="45519" spans="1:2" x14ac:dyDescent="0.2">
      <c r="A45519" t="s">
        <v>14585</v>
      </c>
      <c r="B45519" t="str">
        <f>HYPERLINK("https://lindat.mff.cuni.cz/services/teitok/pdtc10/index.php?action=vallex&amp;frame=v-w10680f3_ZU", "spláchnout (v-w10680f3_ZU)")</f>
        <v>spláchnout (v-w10680f3_ZU)</v>
      </c>
    </row>
    <row r="45520" spans="1:2" x14ac:dyDescent="0.2">
      <c r="B45520" t="s">
        <v>1</v>
      </c>
    </row>
    <row r="45521" spans="1:2" x14ac:dyDescent="0.2">
      <c r="B45521" t="s">
        <v>8</v>
      </c>
    </row>
    <row r="45522" spans="1:2" x14ac:dyDescent="0.2">
      <c r="B45522" t="s">
        <v>333</v>
      </c>
    </row>
    <row r="45524" spans="1:2" x14ac:dyDescent="0.2">
      <c r="A45524" t="s">
        <v>14586</v>
      </c>
      <c r="B45524" t="str">
        <f>HYPERLINK("https://lindat.mff.cuni.cz/services/teitok/pdtc10/index.php?action=vallex&amp;frame=v-whsa_1697f1_ZU", "splést (v-whsa_1697f1_ZU)")</f>
        <v>splést (v-whsa_1697f1_ZU)</v>
      </c>
    </row>
    <row r="45525" spans="1:2" x14ac:dyDescent="0.2">
      <c r="B45525" t="s">
        <v>1</v>
      </c>
    </row>
    <row r="45526" spans="1:2" x14ac:dyDescent="0.2">
      <c r="B45526" t="s">
        <v>8</v>
      </c>
    </row>
    <row r="45527" spans="1:2" x14ac:dyDescent="0.2">
      <c r="B45527" t="s">
        <v>2604</v>
      </c>
    </row>
    <row r="45529" spans="1:2" x14ac:dyDescent="0.2">
      <c r="A45529" t="s">
        <v>14586</v>
      </c>
      <c r="B45529" t="str">
        <f>HYPERLINK("https://lindat.mff.cuni.cz/services/teitok/pdtc10/index.php?action=vallex&amp;frame=v-whsa_1697hsa_1698", "splést (v-whsa_1697hsa_1698) - substituted with v-whsa_1697f1_ZU")</f>
        <v>splést (v-whsa_1697hsa_1698) - substituted with v-whsa_1697f1_ZU</v>
      </c>
    </row>
    <row r="45530" spans="1:2" x14ac:dyDescent="0.2">
      <c r="B45530" t="s">
        <v>1</v>
      </c>
    </row>
    <row r="45531" spans="1:2" x14ac:dyDescent="0.2">
      <c r="B45531" t="s">
        <v>8</v>
      </c>
    </row>
    <row r="45532" spans="1:2" x14ac:dyDescent="0.2">
      <c r="B45532" t="s">
        <v>2604</v>
      </c>
    </row>
    <row r="45534" spans="1:2" x14ac:dyDescent="0.2">
      <c r="A45534" t="s">
        <v>14587</v>
      </c>
      <c r="B45534" t="str">
        <f>HYPERLINK("https://lindat.mff.cuni.cz/services/teitok/pdtc10/index.php?action=vallex&amp;frame=v-w6345f1", "splést se (v-w6345f1)")</f>
        <v>splést se (v-w6345f1)</v>
      </c>
    </row>
    <row r="45535" spans="1:2" x14ac:dyDescent="0.2">
      <c r="B45535" t="s">
        <v>1</v>
      </c>
    </row>
    <row r="45537" spans="1:4" x14ac:dyDescent="0.2">
      <c r="A45537" t="s">
        <v>14588</v>
      </c>
      <c r="B45537" t="str">
        <f>HYPERLINK("https://lindat.mff.cuni.cz/services/teitok/pdtc10/index.php?action=vallex&amp;frame=v-w12259_ZUf1_ZU", "splétat (v-w12259_ZUf1_ZU)")</f>
        <v>splétat (v-w12259_ZUf1_ZU)</v>
      </c>
    </row>
    <row r="45538" spans="1:4" x14ac:dyDescent="0.2">
      <c r="B45538" t="s">
        <v>1</v>
      </c>
    </row>
    <row r="45539" spans="1:4" x14ac:dyDescent="0.2">
      <c r="B45539" t="s">
        <v>8</v>
      </c>
    </row>
    <row r="45540" spans="1:4" x14ac:dyDescent="0.2">
      <c r="B45540" t="s">
        <v>24</v>
      </c>
    </row>
    <row r="45542" spans="1:4" x14ac:dyDescent="0.2">
      <c r="A45542" t="s">
        <v>14589</v>
      </c>
      <c r="B45542" t="str">
        <f>HYPERLINK("https://lindat.mff.cuni.cz/services/teitok/pdtc10/index.php?action=vallex&amp;frame=v-w6354f1", "splývat (v-w6354f1)")</f>
        <v>splývat (v-w6354f1)</v>
      </c>
    </row>
    <row r="45543" spans="1:4" x14ac:dyDescent="0.2">
      <c r="B45543" t="s">
        <v>1</v>
      </c>
      <c r="D45543" t="s">
        <v>23233</v>
      </c>
    </row>
    <row r="45544" spans="1:4" x14ac:dyDescent="0.2">
      <c r="B45544" t="s">
        <v>411</v>
      </c>
      <c r="D45544" t="s">
        <v>23234</v>
      </c>
    </row>
    <row r="45545" spans="1:4" x14ac:dyDescent="0.2">
      <c r="B45545" t="s">
        <v>2156</v>
      </c>
      <c r="D45545" t="s">
        <v>23829</v>
      </c>
    </row>
    <row r="45547" spans="1:4" x14ac:dyDescent="0.2">
      <c r="A45547" t="s">
        <v>14590</v>
      </c>
      <c r="B45547" t="str">
        <f>HYPERLINK("https://lindat.mff.cuni.cz/services/teitok/pdtc10/index.php?action=vallex&amp;frame=v-w6349f1", "splňovat (v-w6349f1)")</f>
        <v>splňovat (v-w6349f1)</v>
      </c>
    </row>
    <row r="45548" spans="1:4" x14ac:dyDescent="0.2">
      <c r="B45548" t="s">
        <v>1</v>
      </c>
      <c r="C45548" t="s">
        <v>2125</v>
      </c>
      <c r="D45548" t="s">
        <v>23121</v>
      </c>
    </row>
    <row r="45549" spans="1:4" x14ac:dyDescent="0.2">
      <c r="B45549" t="s">
        <v>172</v>
      </c>
      <c r="C45549" t="s">
        <v>14591</v>
      </c>
      <c r="D45549" t="s">
        <v>23122</v>
      </c>
    </row>
    <row r="45551" spans="1:4" x14ac:dyDescent="0.2">
      <c r="A45551" t="s">
        <v>14592</v>
      </c>
      <c r="B45551" t="str">
        <f>HYPERLINK("https://lindat.mff.cuni.cz/services/teitok/pdtc10/index.php?action=vallex&amp;frame=v-w6363f2", "spojit (v-w6363f2)")</f>
        <v>spojit (v-w6363f2)</v>
      </c>
    </row>
    <row r="45552" spans="1:4" x14ac:dyDescent="0.2">
      <c r="B45552" t="s">
        <v>1</v>
      </c>
      <c r="C45552" t="s">
        <v>14593</v>
      </c>
      <c r="D45552" t="s">
        <v>373</v>
      </c>
    </row>
    <row r="45553" spans="1:4" x14ac:dyDescent="0.2">
      <c r="B45553" t="s">
        <v>8</v>
      </c>
      <c r="C45553" t="s">
        <v>14594</v>
      </c>
      <c r="D45553" t="s">
        <v>17</v>
      </c>
    </row>
    <row r="45554" spans="1:4" x14ac:dyDescent="0.2">
      <c r="B45554" t="s">
        <v>153</v>
      </c>
      <c r="C45554" t="s">
        <v>14595</v>
      </c>
      <c r="D45554" t="s">
        <v>23364</v>
      </c>
    </row>
    <row r="45555" spans="1:4" x14ac:dyDescent="0.2">
      <c r="B45555" t="s">
        <v>2156</v>
      </c>
      <c r="C45555" t="s">
        <v>4075</v>
      </c>
      <c r="D45555" t="s">
        <v>14051</v>
      </c>
    </row>
    <row r="45557" spans="1:4" x14ac:dyDescent="0.2">
      <c r="A45557" t="s">
        <v>14596</v>
      </c>
      <c r="B45557" t="str">
        <f>HYPERLINK("https://lindat.mff.cuni.cz/services/teitok/pdtc10/index.php?action=vallex&amp;frame=v-w6363f3", "spojit (v-w6363f3)")</f>
        <v>spojit (v-w6363f3)</v>
      </c>
    </row>
    <row r="45558" spans="1:4" x14ac:dyDescent="0.2">
      <c r="B45558" t="s">
        <v>1</v>
      </c>
      <c r="C45558" t="s">
        <v>14597</v>
      </c>
      <c r="D45558" t="s">
        <v>3542</v>
      </c>
    </row>
    <row r="45559" spans="1:4" x14ac:dyDescent="0.2">
      <c r="B45559" t="s">
        <v>8</v>
      </c>
      <c r="C45559" t="s">
        <v>14598</v>
      </c>
      <c r="D45559" t="s">
        <v>23927</v>
      </c>
    </row>
    <row r="45560" spans="1:4" x14ac:dyDescent="0.2">
      <c r="B45560" t="s">
        <v>153</v>
      </c>
      <c r="C45560" t="s">
        <v>14599</v>
      </c>
      <c r="D45560" t="s">
        <v>23958</v>
      </c>
    </row>
    <row r="45562" spans="1:4" x14ac:dyDescent="0.2">
      <c r="A45562" t="s">
        <v>14600</v>
      </c>
      <c r="B45562" t="str">
        <f>HYPERLINK("https://lindat.mff.cuni.cz/services/teitok/pdtc10/index.php?action=vallex&amp;frame=v-w6363f1", "spojit (v-w6363f1)")</f>
        <v>spojit (v-w6363f1)</v>
      </c>
    </row>
    <row r="45563" spans="1:4" x14ac:dyDescent="0.2">
      <c r="B45563" t="s">
        <v>1</v>
      </c>
      <c r="C45563" t="s">
        <v>14601</v>
      </c>
      <c r="D45563" t="s">
        <v>14079</v>
      </c>
    </row>
    <row r="45564" spans="1:4" x14ac:dyDescent="0.2">
      <c r="B45564" t="s">
        <v>8</v>
      </c>
      <c r="C45564" t="s">
        <v>14602</v>
      </c>
      <c r="D45564" t="s">
        <v>23170</v>
      </c>
    </row>
    <row r="45565" spans="1:4" x14ac:dyDescent="0.2">
      <c r="B45565" t="s">
        <v>2604</v>
      </c>
      <c r="C45565" t="s">
        <v>14603</v>
      </c>
      <c r="D45565" t="s">
        <v>23171</v>
      </c>
    </row>
    <row r="45567" spans="1:4" x14ac:dyDescent="0.2">
      <c r="A45567" t="s">
        <v>14604</v>
      </c>
      <c r="B45567" t="str">
        <f>HYPERLINK("https://lindat.mff.cuni.cz/services/teitok/pdtc10/index.php?action=vallex&amp;frame=v-w6363f4", "spojit (v-w6363f4)")</f>
        <v>spojit (v-w6363f4)</v>
      </c>
    </row>
    <row r="45568" spans="1:4" x14ac:dyDescent="0.2">
      <c r="B45568" t="s">
        <v>1</v>
      </c>
    </row>
    <row r="45569" spans="1:4" x14ac:dyDescent="0.2">
      <c r="B45569" t="s">
        <v>8</v>
      </c>
    </row>
    <row r="45571" spans="1:4" x14ac:dyDescent="0.2">
      <c r="A45571" t="s">
        <v>14605</v>
      </c>
      <c r="B45571" t="str">
        <f>HYPERLINK("https://lindat.mff.cuni.cz/services/teitok/pdtc10/index.php?action=vallex&amp;frame=v-w6363hsa_908", "spojit (v-w6363hsa_908)")</f>
        <v>spojit (v-w6363hsa_908)</v>
      </c>
    </row>
    <row r="45572" spans="1:4" x14ac:dyDescent="0.2">
      <c r="B45572" t="s">
        <v>1</v>
      </c>
      <c r="C45572" t="s">
        <v>2303</v>
      </c>
      <c r="D45572" t="s">
        <v>3542</v>
      </c>
    </row>
    <row r="45573" spans="1:4" x14ac:dyDescent="0.2">
      <c r="B45573" t="s">
        <v>8</v>
      </c>
      <c r="C45573" t="s">
        <v>338</v>
      </c>
      <c r="D45573" t="s">
        <v>23927</v>
      </c>
    </row>
    <row r="45574" spans="1:4" x14ac:dyDescent="0.2">
      <c r="B45574" t="s">
        <v>153</v>
      </c>
      <c r="C45574" t="s">
        <v>10725</v>
      </c>
      <c r="D45574" t="s">
        <v>23958</v>
      </c>
    </row>
    <row r="45576" spans="1:4" x14ac:dyDescent="0.2">
      <c r="A45576" t="s">
        <v>14606</v>
      </c>
      <c r="B45576" t="str">
        <f>HYPERLINK("https://lindat.mff.cuni.cz/services/teitok/pdtc10/index.php?action=vallex&amp;frame=v-w6365f1", "spojit se (v-w6365f1)")</f>
        <v>spojit se (v-w6365f1)</v>
      </c>
    </row>
    <row r="45577" spans="1:4" x14ac:dyDescent="0.2">
      <c r="B45577" t="s">
        <v>1</v>
      </c>
      <c r="C45577" t="s">
        <v>14607</v>
      </c>
      <c r="D45577" t="s">
        <v>23280</v>
      </c>
    </row>
    <row r="45578" spans="1:4" x14ac:dyDescent="0.2">
      <c r="B45578" t="s">
        <v>411</v>
      </c>
      <c r="C45578" t="s">
        <v>14608</v>
      </c>
      <c r="D45578" t="s">
        <v>23281</v>
      </c>
    </row>
    <row r="45579" spans="1:4" x14ac:dyDescent="0.2">
      <c r="B45579" t="s">
        <v>2156</v>
      </c>
      <c r="C45579" t="s">
        <v>14609</v>
      </c>
      <c r="D45579" t="s">
        <v>23829</v>
      </c>
    </row>
    <row r="45581" spans="1:4" x14ac:dyDescent="0.2">
      <c r="A45581" t="s">
        <v>14610</v>
      </c>
      <c r="B45581" t="str">
        <f>HYPERLINK("https://lindat.mff.cuni.cz/services/teitok/pdtc10/index.php?action=vallex&amp;frame=v-w6365f2", "spojit se (v-w6365f2)")</f>
        <v>spojit se (v-w6365f2)</v>
      </c>
    </row>
    <row r="45582" spans="1:4" x14ac:dyDescent="0.2">
      <c r="B45582" t="s">
        <v>1</v>
      </c>
    </row>
    <row r="45583" spans="1:4" x14ac:dyDescent="0.2">
      <c r="B45583" t="s">
        <v>411</v>
      </c>
    </row>
    <row r="45585" spans="1:4" x14ac:dyDescent="0.2">
      <c r="A45585" t="s">
        <v>14611</v>
      </c>
      <c r="B45585" t="str">
        <f>HYPERLINK("https://lindat.mff.cuni.cz/services/teitok/pdtc10/index.php?action=vallex&amp;frame=v-w6369f2", "spojovat (v-w6369f2)")</f>
        <v>spojovat (v-w6369f2)</v>
      </c>
    </row>
    <row r="45586" spans="1:4" x14ac:dyDescent="0.2">
      <c r="B45586" t="s">
        <v>1</v>
      </c>
      <c r="C45586" t="s">
        <v>13030</v>
      </c>
      <c r="D45586" t="s">
        <v>373</v>
      </c>
    </row>
    <row r="45587" spans="1:4" x14ac:dyDescent="0.2">
      <c r="B45587" t="s">
        <v>8</v>
      </c>
      <c r="C45587" t="s">
        <v>98</v>
      </c>
      <c r="D45587" t="s">
        <v>17</v>
      </c>
    </row>
    <row r="45588" spans="1:4" x14ac:dyDescent="0.2">
      <c r="B45588" t="s">
        <v>153</v>
      </c>
      <c r="C45588" t="s">
        <v>987</v>
      </c>
      <c r="D45588" t="s">
        <v>23364</v>
      </c>
    </row>
    <row r="45589" spans="1:4" x14ac:dyDescent="0.2">
      <c r="B45589" t="s">
        <v>2156</v>
      </c>
      <c r="D45589" t="s">
        <v>14051</v>
      </c>
    </row>
    <row r="45591" spans="1:4" x14ac:dyDescent="0.2">
      <c r="A45591" t="s">
        <v>14612</v>
      </c>
      <c r="B45591" t="str">
        <f>HYPERLINK("https://lindat.mff.cuni.cz/services/teitok/pdtc10/index.php?action=vallex&amp;frame=v-w6369f1", "spojovat (v-w6369f1)")</f>
        <v>spojovat (v-w6369f1)</v>
      </c>
    </row>
    <row r="45592" spans="1:4" x14ac:dyDescent="0.2">
      <c r="B45592" t="s">
        <v>1</v>
      </c>
      <c r="C45592" t="s">
        <v>1077</v>
      </c>
      <c r="D45592" t="s">
        <v>3542</v>
      </c>
    </row>
    <row r="45593" spans="1:4" x14ac:dyDescent="0.2">
      <c r="B45593" t="s">
        <v>8</v>
      </c>
      <c r="C45593" t="s">
        <v>14613</v>
      </c>
      <c r="D45593" t="s">
        <v>23927</v>
      </c>
    </row>
    <row r="45594" spans="1:4" x14ac:dyDescent="0.2">
      <c r="B45594" t="s">
        <v>153</v>
      </c>
      <c r="C45594" t="s">
        <v>14614</v>
      </c>
      <c r="D45594" t="s">
        <v>23958</v>
      </c>
    </row>
    <row r="45596" spans="1:4" x14ac:dyDescent="0.2">
      <c r="A45596" t="s">
        <v>14615</v>
      </c>
      <c r="B45596" t="str">
        <f>HYPERLINK("https://lindat.mff.cuni.cz/services/teitok/pdtc10/index.php?action=vallex&amp;frame=v-w6369f3", "spojovat (v-w6369f3)")</f>
        <v>spojovat (v-w6369f3)</v>
      </c>
    </row>
    <row r="45597" spans="1:4" x14ac:dyDescent="0.2">
      <c r="B45597" t="s">
        <v>1</v>
      </c>
      <c r="D45597" t="s">
        <v>14079</v>
      </c>
    </row>
    <row r="45598" spans="1:4" x14ac:dyDescent="0.2">
      <c r="B45598" t="s">
        <v>8</v>
      </c>
      <c r="D45598" t="s">
        <v>23170</v>
      </c>
    </row>
    <row r="45599" spans="1:4" x14ac:dyDescent="0.2">
      <c r="B45599" t="s">
        <v>2604</v>
      </c>
      <c r="D45599" t="s">
        <v>23171</v>
      </c>
    </row>
    <row r="45601" spans="1:4" x14ac:dyDescent="0.2">
      <c r="A45601" t="s">
        <v>14616</v>
      </c>
      <c r="B45601" t="str">
        <f>HYPERLINK("https://lindat.mff.cuni.cz/services/teitok/pdtc10/index.php?action=vallex&amp;frame=v-w6369f4", "spojovat (v-w6369f4)")</f>
        <v>spojovat (v-w6369f4)</v>
      </c>
    </row>
    <row r="45602" spans="1:4" x14ac:dyDescent="0.2">
      <c r="B45602" t="s">
        <v>1</v>
      </c>
    </row>
    <row r="45603" spans="1:4" x14ac:dyDescent="0.2">
      <c r="B45603" t="s">
        <v>8</v>
      </c>
    </row>
    <row r="45605" spans="1:4" x14ac:dyDescent="0.2">
      <c r="A45605" t="s">
        <v>14617</v>
      </c>
      <c r="B45605" t="str">
        <f>HYPERLINK("https://lindat.mff.cuni.cz/services/teitok/pdtc10/index.php?action=vallex&amp;frame=v-w6369f6_ZU", "spojovat (v-w6369f6_ZU)")</f>
        <v>spojovat (v-w6369f6_ZU)</v>
      </c>
    </row>
    <row r="45606" spans="1:4" x14ac:dyDescent="0.2">
      <c r="B45606" t="s">
        <v>1</v>
      </c>
      <c r="D45606" t="s">
        <v>3542</v>
      </c>
    </row>
    <row r="45607" spans="1:4" x14ac:dyDescent="0.2">
      <c r="B45607" t="s">
        <v>8</v>
      </c>
      <c r="C45607" t="s">
        <v>1128</v>
      </c>
      <c r="D45607" t="s">
        <v>23927</v>
      </c>
    </row>
    <row r="45608" spans="1:4" x14ac:dyDescent="0.2">
      <c r="B45608" t="s">
        <v>153</v>
      </c>
      <c r="C45608" t="s">
        <v>14618</v>
      </c>
      <c r="D45608" t="s">
        <v>23958</v>
      </c>
    </row>
    <row r="45610" spans="1:4" x14ac:dyDescent="0.2">
      <c r="A45610" t="s">
        <v>14617</v>
      </c>
      <c r="B45610" t="str">
        <f>HYPERLINK("https://lindat.mff.cuni.cz/services/teitok/pdtc10/index.php?action=vallex&amp;frame=v-w6369f5_ZU", "spojovat (v-w6369f5_ZU) - substituted with v-w6369f6_ZU")</f>
        <v>spojovat (v-w6369f5_ZU) - substituted with v-w6369f6_ZU</v>
      </c>
    </row>
    <row r="45611" spans="1:4" x14ac:dyDescent="0.2">
      <c r="B45611" t="s">
        <v>1</v>
      </c>
      <c r="C45611" t="s">
        <v>3583</v>
      </c>
    </row>
    <row r="45612" spans="1:4" x14ac:dyDescent="0.2">
      <c r="B45612" t="s">
        <v>8</v>
      </c>
      <c r="C45612" t="s">
        <v>14619</v>
      </c>
    </row>
    <row r="45613" spans="1:4" x14ac:dyDescent="0.2">
      <c r="B45613" t="s">
        <v>153</v>
      </c>
      <c r="C45613" t="s">
        <v>14620</v>
      </c>
    </row>
    <row r="45615" spans="1:4" x14ac:dyDescent="0.2">
      <c r="A45615" t="s">
        <v>14617</v>
      </c>
      <c r="B45615" t="str">
        <f>HYPERLINK("https://lindat.mff.cuni.cz/services/teitok/pdtc10/index.php?action=vallex&amp;frame=v-w6369hsa_1017", "spojovat (v-w6369hsa_1017) - substituted with v-w6369f6_ZU")</f>
        <v>spojovat (v-w6369hsa_1017) - substituted with v-w6369f6_ZU</v>
      </c>
    </row>
    <row r="45616" spans="1:4" x14ac:dyDescent="0.2">
      <c r="B45616" t="s">
        <v>1</v>
      </c>
    </row>
    <row r="45617" spans="1:4" x14ac:dyDescent="0.2">
      <c r="B45617" t="s">
        <v>8</v>
      </c>
    </row>
    <row r="45618" spans="1:4" x14ac:dyDescent="0.2">
      <c r="B45618" t="s">
        <v>153</v>
      </c>
    </row>
    <row r="45620" spans="1:4" x14ac:dyDescent="0.2">
      <c r="A45620" t="s">
        <v>14621</v>
      </c>
      <c r="B45620" t="str">
        <f>HYPERLINK("https://lindat.mff.cuni.cz/services/teitok/pdtc10/index.php?action=vallex&amp;frame=v-w6370f4_ZU", "spojovat se (v-w6370f4_ZU)")</f>
        <v>spojovat se (v-w6370f4_ZU)</v>
      </c>
    </row>
    <row r="45621" spans="1:4" x14ac:dyDescent="0.2">
      <c r="B45621" t="s">
        <v>455</v>
      </c>
    </row>
    <row r="45622" spans="1:4" x14ac:dyDescent="0.2">
      <c r="B45622" t="s">
        <v>243</v>
      </c>
      <c r="C45622" t="s">
        <v>14622</v>
      </c>
    </row>
    <row r="45623" spans="1:4" x14ac:dyDescent="0.2">
      <c r="B45623" t="s">
        <v>2604</v>
      </c>
      <c r="C45623" t="s">
        <v>14623</v>
      </c>
    </row>
    <row r="45625" spans="1:4" x14ac:dyDescent="0.2">
      <c r="A45625" t="s">
        <v>14621</v>
      </c>
      <c r="B45625" t="str">
        <f>HYPERLINK("https://lindat.mff.cuni.cz/services/teitok/pdtc10/index.php?action=vallex&amp;frame=v-w6370f3_ZU", "spojovat se (v-w6370f3_ZU) - substituted with v-w6370f4_ZU")</f>
        <v>spojovat se (v-w6370f3_ZU) - substituted with v-w6370f4_ZU</v>
      </c>
    </row>
    <row r="45626" spans="1:4" x14ac:dyDescent="0.2">
      <c r="B45626" t="s">
        <v>455</v>
      </c>
    </row>
    <row r="45627" spans="1:4" x14ac:dyDescent="0.2">
      <c r="B45627" t="s">
        <v>243</v>
      </c>
    </row>
    <row r="45628" spans="1:4" x14ac:dyDescent="0.2">
      <c r="B45628" t="s">
        <v>2604</v>
      </c>
    </row>
    <row r="45630" spans="1:4" x14ac:dyDescent="0.2">
      <c r="A45630" t="s">
        <v>14624</v>
      </c>
      <c r="B45630" t="str">
        <f>HYPERLINK("https://lindat.mff.cuni.cz/services/teitok/pdtc10/index.php?action=vallex&amp;frame=v-w6370f1", "spojovat se (v-w6370f1)")</f>
        <v>spojovat se (v-w6370f1)</v>
      </c>
    </row>
    <row r="45631" spans="1:4" x14ac:dyDescent="0.2">
      <c r="B45631" t="s">
        <v>1</v>
      </c>
      <c r="C45631" t="s">
        <v>14625</v>
      </c>
      <c r="D45631" t="s">
        <v>23233</v>
      </c>
    </row>
    <row r="45632" spans="1:4" x14ac:dyDescent="0.2">
      <c r="B45632" t="s">
        <v>411</v>
      </c>
      <c r="C45632" t="s">
        <v>14626</v>
      </c>
      <c r="D45632" t="s">
        <v>23234</v>
      </c>
    </row>
    <row r="45633" spans="1:4" x14ac:dyDescent="0.2">
      <c r="B45633" t="s">
        <v>2156</v>
      </c>
      <c r="C45633" t="s">
        <v>4075</v>
      </c>
      <c r="D45633" t="s">
        <v>23829</v>
      </c>
    </row>
    <row r="45635" spans="1:4" x14ac:dyDescent="0.2">
      <c r="A45635" t="s">
        <v>14627</v>
      </c>
      <c r="B45635" t="str">
        <f>HYPERLINK("https://lindat.mff.cuni.cz/services/teitok/pdtc10/index.php?action=vallex&amp;frame=v-w6370f2", "spojovat se (v-w6370f2)")</f>
        <v>spojovat se (v-w6370f2)</v>
      </c>
    </row>
    <row r="45636" spans="1:4" x14ac:dyDescent="0.2">
      <c r="B45636" t="s">
        <v>1</v>
      </c>
    </row>
    <row r="45637" spans="1:4" x14ac:dyDescent="0.2">
      <c r="B45637" t="s">
        <v>411</v>
      </c>
    </row>
    <row r="45639" spans="1:4" x14ac:dyDescent="0.2">
      <c r="A45639" t="s">
        <v>14628</v>
      </c>
      <c r="B45639" t="str">
        <f>HYPERLINK("https://lindat.mff.cuni.cz/services/teitok/pdtc10/index.php?action=vallex&amp;frame=v-w6374f1", "spokojit se (v-w6374f1)")</f>
        <v>spokojit se (v-w6374f1)</v>
      </c>
    </row>
    <row r="45640" spans="1:4" x14ac:dyDescent="0.2">
      <c r="B45640" t="s">
        <v>1</v>
      </c>
      <c r="C45640" t="s">
        <v>33</v>
      </c>
      <c r="D45640" t="s">
        <v>133</v>
      </c>
    </row>
    <row r="45641" spans="1:4" x14ac:dyDescent="0.2">
      <c r="B45641" t="s">
        <v>411</v>
      </c>
      <c r="C45641" t="s">
        <v>14629</v>
      </c>
      <c r="D45641" t="s">
        <v>7745</v>
      </c>
    </row>
    <row r="45643" spans="1:4" x14ac:dyDescent="0.2">
      <c r="A45643" t="s">
        <v>14630</v>
      </c>
      <c r="B45643" t="str">
        <f>HYPERLINK("https://lindat.mff.cuni.cz/services/teitok/pdtc10/index.php?action=vallex&amp;frame=v-w6375f1", "spokojovat se (v-w6375f1)")</f>
        <v>spokojovat se (v-w6375f1)</v>
      </c>
    </row>
    <row r="45644" spans="1:4" x14ac:dyDescent="0.2">
      <c r="B45644" t="s">
        <v>1</v>
      </c>
      <c r="D45644" t="s">
        <v>133</v>
      </c>
    </row>
    <row r="45645" spans="1:4" x14ac:dyDescent="0.2">
      <c r="B45645" t="s">
        <v>411</v>
      </c>
      <c r="D45645" t="s">
        <v>7745</v>
      </c>
    </row>
    <row r="45647" spans="1:4" x14ac:dyDescent="0.2">
      <c r="A45647" t="s">
        <v>14631</v>
      </c>
      <c r="B45647" t="str">
        <f>HYPERLINK("https://lindat.mff.cuni.cz/services/teitok/pdtc10/index.php?action=vallex&amp;frame=v-w6384f2_ZU", "spolehnout se (v-w6384f2_ZU)")</f>
        <v>spolehnout se (v-w6384f2_ZU)</v>
      </c>
    </row>
    <row r="45648" spans="1:4" x14ac:dyDescent="0.2">
      <c r="B45648" t="s">
        <v>1</v>
      </c>
      <c r="D45648" t="s">
        <v>2031</v>
      </c>
    </row>
    <row r="45649" spans="1:4" x14ac:dyDescent="0.2">
      <c r="B45649" t="s">
        <v>7193</v>
      </c>
      <c r="D45649" t="s">
        <v>23727</v>
      </c>
    </row>
    <row r="45651" spans="1:4" x14ac:dyDescent="0.2">
      <c r="A45651" t="s">
        <v>14631</v>
      </c>
      <c r="B45651" t="str">
        <f>HYPERLINK("https://lindat.mff.cuni.cz/services/teitok/pdtc10/index.php?action=vallex&amp;frame=v-w6384f1", "spolehnout se (v-w6384f1) - substituted with v-w6384f2_ZU")</f>
        <v>spolehnout se (v-w6384f1) - substituted with v-w6384f2_ZU</v>
      </c>
    </row>
    <row r="45652" spans="1:4" x14ac:dyDescent="0.2">
      <c r="B45652" t="s">
        <v>1</v>
      </c>
      <c r="C45652" t="s">
        <v>294</v>
      </c>
    </row>
    <row r="45653" spans="1:4" x14ac:dyDescent="0.2">
      <c r="B45653" t="s">
        <v>7193</v>
      </c>
      <c r="C45653" t="s">
        <v>14632</v>
      </c>
    </row>
    <row r="45655" spans="1:4" x14ac:dyDescent="0.2">
      <c r="A45655" t="s">
        <v>14633</v>
      </c>
      <c r="B45655" t="str">
        <f>HYPERLINK("https://lindat.mff.cuni.cz/services/teitok/pdtc10/index.php?action=vallex&amp;frame=v-w6384hsa_584", "spolehnout se (v-w6384hsa_584)")</f>
        <v>spolehnout se (v-w6384hsa_584)</v>
      </c>
    </row>
    <row r="45656" spans="1:4" x14ac:dyDescent="0.2">
      <c r="B45656" t="s">
        <v>1</v>
      </c>
    </row>
    <row r="45657" spans="1:4" x14ac:dyDescent="0.2">
      <c r="B45657" t="s">
        <v>88</v>
      </c>
    </row>
    <row r="45658" spans="1:4" x14ac:dyDescent="0.2">
      <c r="B45658" t="s">
        <v>2480</v>
      </c>
    </row>
    <row r="45660" spans="1:4" x14ac:dyDescent="0.2">
      <c r="A45660" t="s">
        <v>14634</v>
      </c>
      <c r="B45660" t="str">
        <f>HYPERLINK("https://lindat.mff.cuni.cz/services/teitok/pdtc10/index.php?action=vallex&amp;frame=v-w6385f1", "spolknout (v-w6385f1)")</f>
        <v>spolknout (v-w6385f1)</v>
      </c>
    </row>
    <row r="45661" spans="1:4" x14ac:dyDescent="0.2">
      <c r="B45661" t="s">
        <v>1</v>
      </c>
      <c r="C45661" t="s">
        <v>430</v>
      </c>
    </row>
    <row r="45662" spans="1:4" x14ac:dyDescent="0.2">
      <c r="B45662" t="s">
        <v>8</v>
      </c>
      <c r="C45662" t="s">
        <v>56</v>
      </c>
    </row>
    <row r="45664" spans="1:4" x14ac:dyDescent="0.2">
      <c r="A45664" t="s">
        <v>14635</v>
      </c>
      <c r="B45664" t="str">
        <f>HYPERLINK("https://lindat.mff.cuni.cz/services/teitok/pdtc10/index.php?action=vallex&amp;frame=v-w6385f2_ZU", "spolknout (v-w6385f2_ZU)")</f>
        <v>spolknout (v-w6385f2_ZU)</v>
      </c>
    </row>
    <row r="45665" spans="1:2" x14ac:dyDescent="0.2">
      <c r="B45665" t="s">
        <v>1</v>
      </c>
    </row>
    <row r="45666" spans="1:2" x14ac:dyDescent="0.2">
      <c r="B45666" t="s">
        <v>8</v>
      </c>
    </row>
    <row r="45668" spans="1:2" x14ac:dyDescent="0.2">
      <c r="A45668" t="s">
        <v>14636</v>
      </c>
      <c r="B45668" t="str">
        <f>HYPERLINK("https://lindat.mff.cuni.cz/services/teitok/pdtc10/index.php?action=vallex&amp;frame=v-w6385hsa_1881", "spolknout (v-w6385hsa_1881)")</f>
        <v>spolknout (v-w6385hsa_1881)</v>
      </c>
    </row>
    <row r="45669" spans="1:2" x14ac:dyDescent="0.2">
      <c r="B45669" t="s">
        <v>1</v>
      </c>
    </row>
    <row r="45670" spans="1:2" x14ac:dyDescent="0.2">
      <c r="B45670" t="s">
        <v>8</v>
      </c>
    </row>
    <row r="45672" spans="1:2" x14ac:dyDescent="0.2">
      <c r="A45672" t="s">
        <v>14637</v>
      </c>
      <c r="B45672" t="str">
        <f>HYPERLINK("https://lindat.mff.cuni.cz/services/teitok/pdtc10/index.php?action=vallex&amp;frame=v-w6385hsa_1882", "spolknout (v-w6385hsa_1882)")</f>
        <v>spolknout (v-w6385hsa_1882)</v>
      </c>
    </row>
    <row r="45673" spans="1:2" x14ac:dyDescent="0.2">
      <c r="B45673" t="s">
        <v>1</v>
      </c>
    </row>
    <row r="45674" spans="1:2" x14ac:dyDescent="0.2">
      <c r="B45674" t="s">
        <v>172</v>
      </c>
    </row>
    <row r="45676" spans="1:2" x14ac:dyDescent="0.2">
      <c r="A45676" t="s">
        <v>14638</v>
      </c>
      <c r="B45676" t="str">
        <f>HYPERLINK("https://lindat.mff.cuni.cz/services/teitok/pdtc10/index.php?action=vallex&amp;frame=v-w6387f1", "spolufinancovat (v-w6387f1)")</f>
        <v>spolufinancovat (v-w6387f1)</v>
      </c>
    </row>
    <row r="45677" spans="1:2" x14ac:dyDescent="0.2">
      <c r="B45677" t="s">
        <v>1</v>
      </c>
    </row>
    <row r="45678" spans="1:2" x14ac:dyDescent="0.2">
      <c r="B45678" t="s">
        <v>8</v>
      </c>
    </row>
    <row r="45680" spans="1:2" x14ac:dyDescent="0.2">
      <c r="A45680" t="s">
        <v>14639</v>
      </c>
      <c r="B45680" t="str">
        <f>HYPERLINK("https://lindat.mff.cuni.cz/services/teitok/pdtc10/index.php?action=vallex&amp;frame=v-w6392f1", "spolupodílet se (v-w6392f1)")</f>
        <v>spolupodílet se (v-w6392f1)</v>
      </c>
    </row>
    <row r="45681" spans="1:4" x14ac:dyDescent="0.2">
      <c r="B45681" t="s">
        <v>1</v>
      </c>
    </row>
    <row r="45682" spans="1:4" x14ac:dyDescent="0.2">
      <c r="B45682" t="s">
        <v>161</v>
      </c>
    </row>
    <row r="45684" spans="1:4" x14ac:dyDescent="0.2">
      <c r="A45684" t="s">
        <v>14640</v>
      </c>
      <c r="B45684" t="str">
        <f>HYPERLINK("https://lindat.mff.cuni.cz/services/teitok/pdtc10/index.php?action=vallex&amp;frame=v-w6394f1", "spolupracovat (v-w6394f1)")</f>
        <v>spolupracovat (v-w6394f1)</v>
      </c>
    </row>
    <row r="45685" spans="1:4" x14ac:dyDescent="0.2">
      <c r="B45685" t="s">
        <v>1</v>
      </c>
      <c r="C45685" t="s">
        <v>14641</v>
      </c>
      <c r="D45685" t="s">
        <v>23401</v>
      </c>
    </row>
    <row r="45686" spans="1:4" x14ac:dyDescent="0.2">
      <c r="B45686" t="s">
        <v>4058</v>
      </c>
      <c r="C45686" t="s">
        <v>14642</v>
      </c>
      <c r="D45686" t="s">
        <v>23402</v>
      </c>
    </row>
    <row r="45687" spans="1:4" x14ac:dyDescent="0.2">
      <c r="B45687" t="s">
        <v>4059</v>
      </c>
      <c r="C45687" t="s">
        <v>14643</v>
      </c>
      <c r="D45687" t="s">
        <v>14643</v>
      </c>
    </row>
    <row r="45689" spans="1:4" x14ac:dyDescent="0.2">
      <c r="A45689" t="s">
        <v>14644</v>
      </c>
      <c r="B45689" t="str">
        <f>HYPERLINK("https://lindat.mff.cuni.cz/services/teitok/pdtc10/index.php?action=vallex&amp;frame=v-w6397f1", "spolupůsobit (v-w6397f1)")</f>
        <v>spolupůsobit (v-w6397f1)</v>
      </c>
    </row>
    <row r="45690" spans="1:4" x14ac:dyDescent="0.2">
      <c r="B45690" t="s">
        <v>1</v>
      </c>
    </row>
    <row r="45691" spans="1:4" x14ac:dyDescent="0.2">
      <c r="B45691" t="s">
        <v>5</v>
      </c>
    </row>
    <row r="45693" spans="1:4" x14ac:dyDescent="0.2">
      <c r="A45693" t="s">
        <v>14645</v>
      </c>
      <c r="B45693" t="str">
        <f>HYPERLINK("https://lindat.mff.cuni.cz/services/teitok/pdtc10/index.php?action=vallex&amp;frame=v-w10495f2", "spolusponzorovat (v-w10495f2)")</f>
        <v>spolusponzorovat (v-w10495f2)</v>
      </c>
    </row>
    <row r="45694" spans="1:4" x14ac:dyDescent="0.2">
      <c r="B45694" t="s">
        <v>1</v>
      </c>
    </row>
    <row r="45695" spans="1:4" x14ac:dyDescent="0.2">
      <c r="B45695" t="s">
        <v>8</v>
      </c>
    </row>
    <row r="45697" spans="1:4" x14ac:dyDescent="0.2">
      <c r="A45697" t="s">
        <v>14646</v>
      </c>
      <c r="B45697" t="str">
        <f>HYPERLINK("https://lindat.mff.cuni.cz/services/teitok/pdtc10/index.php?action=vallex&amp;frame=v-whsa_1218hsa_1219", "spoluspravovat (v-whsa_1218hsa_1219)")</f>
        <v>spoluspravovat (v-whsa_1218hsa_1219)</v>
      </c>
    </row>
    <row r="45698" spans="1:4" x14ac:dyDescent="0.2">
      <c r="B45698" t="s">
        <v>1</v>
      </c>
      <c r="D45698" t="s">
        <v>14299</v>
      </c>
    </row>
    <row r="45699" spans="1:4" x14ac:dyDescent="0.2">
      <c r="B45699" t="s">
        <v>8</v>
      </c>
      <c r="D45699" t="s">
        <v>24189</v>
      </c>
    </row>
    <row r="45700" spans="1:4" x14ac:dyDescent="0.2">
      <c r="B45700" t="s">
        <v>153</v>
      </c>
      <c r="D45700" t="s">
        <v>24190</v>
      </c>
    </row>
    <row r="45702" spans="1:4" x14ac:dyDescent="0.2">
      <c r="A45702" t="s">
        <v>14647</v>
      </c>
      <c r="B45702" t="str">
        <f>HYPERLINK("https://lindat.mff.cuni.cz/services/teitok/pdtc10/index.php?action=vallex&amp;frame=v-w6403f1", "spoluvytvářet (v-w6403f1)")</f>
        <v>spoluvytvářet (v-w6403f1)</v>
      </c>
    </row>
    <row r="45703" spans="1:4" x14ac:dyDescent="0.2">
      <c r="B45703" t="s">
        <v>1</v>
      </c>
    </row>
    <row r="45704" spans="1:4" x14ac:dyDescent="0.2">
      <c r="B45704" t="s">
        <v>8</v>
      </c>
    </row>
    <row r="45705" spans="1:4" x14ac:dyDescent="0.2">
      <c r="B45705" t="s">
        <v>24</v>
      </c>
    </row>
    <row r="45707" spans="1:4" x14ac:dyDescent="0.2">
      <c r="A45707" t="s">
        <v>14648</v>
      </c>
      <c r="B45707" t="str">
        <f>HYPERLINK("https://lindat.mff.cuni.cz/services/teitok/pdtc10/index.php?action=vallex&amp;frame=v-w6404f1", "spoluzahájit (v-w6404f1)")</f>
        <v>spoluzahájit (v-w6404f1)</v>
      </c>
    </row>
    <row r="45708" spans="1:4" x14ac:dyDescent="0.2">
      <c r="B45708" t="s">
        <v>1</v>
      </c>
    </row>
    <row r="45709" spans="1:4" x14ac:dyDescent="0.2">
      <c r="B45709" t="s">
        <v>8</v>
      </c>
    </row>
    <row r="45711" spans="1:4" x14ac:dyDescent="0.2">
      <c r="A45711" t="s">
        <v>14649</v>
      </c>
      <c r="B45711" t="str">
        <f>HYPERLINK("https://lindat.mff.cuni.cz/services/teitok/pdtc10/index.php?action=vallex&amp;frame=v-w10126f2", "spoluzajišťovat (v-w10126f2)")</f>
        <v>spoluzajišťovat (v-w10126f2)</v>
      </c>
    </row>
    <row r="45712" spans="1:4" x14ac:dyDescent="0.2">
      <c r="B45712" t="s">
        <v>1</v>
      </c>
      <c r="D45712" t="s">
        <v>11013</v>
      </c>
    </row>
    <row r="45713" spans="1:4" x14ac:dyDescent="0.2">
      <c r="B45713" t="s">
        <v>5970</v>
      </c>
      <c r="D45713" t="s">
        <v>24191</v>
      </c>
    </row>
    <row r="45714" spans="1:4" x14ac:dyDescent="0.2">
      <c r="B45714" t="s">
        <v>1629</v>
      </c>
      <c r="D45714" t="s">
        <v>156</v>
      </c>
    </row>
    <row r="45716" spans="1:4" x14ac:dyDescent="0.2">
      <c r="A45716" t="s">
        <v>14650</v>
      </c>
      <c r="B45716" t="str">
        <f>HYPERLINK("https://lindat.mff.cuni.cz/services/teitok/pdtc10/index.php?action=vallex&amp;frame=v-w10894f2", "spoluzaložit (v-w10894f2)")</f>
        <v>spoluzaložit (v-w10894f2)</v>
      </c>
    </row>
    <row r="45717" spans="1:4" x14ac:dyDescent="0.2">
      <c r="B45717" t="s">
        <v>1</v>
      </c>
      <c r="D45717" t="s">
        <v>24111</v>
      </c>
    </row>
    <row r="45718" spans="1:4" x14ac:dyDescent="0.2">
      <c r="B45718" t="s">
        <v>8</v>
      </c>
      <c r="D45718" t="s">
        <v>24112</v>
      </c>
    </row>
    <row r="45719" spans="1:4" x14ac:dyDescent="0.2">
      <c r="B45719" t="s">
        <v>14651</v>
      </c>
      <c r="D45719" t="s">
        <v>7067</v>
      </c>
    </row>
    <row r="45721" spans="1:4" x14ac:dyDescent="0.2">
      <c r="A45721" t="s">
        <v>14652</v>
      </c>
      <c r="B45721" t="str">
        <f>HYPERLINK("https://lindat.mff.cuni.cz/services/teitok/pdtc10/index.php?action=vallex&amp;frame=v-w6407f1", "spolužít (v-w6407f1)")</f>
        <v>spolužít (v-w6407f1)</v>
      </c>
    </row>
    <row r="45722" spans="1:4" x14ac:dyDescent="0.2">
      <c r="B45722" t="s">
        <v>1</v>
      </c>
    </row>
    <row r="45723" spans="1:4" x14ac:dyDescent="0.2">
      <c r="B45723" t="s">
        <v>411</v>
      </c>
    </row>
    <row r="45725" spans="1:4" x14ac:dyDescent="0.2">
      <c r="A45725" t="s">
        <v>14653</v>
      </c>
      <c r="B45725" t="str">
        <f>HYPERLINK("https://lindat.mff.cuni.cz/services/teitok/pdtc10/index.php?action=vallex&amp;frame=v-w6408f1", "spolykat (v-w6408f1)")</f>
        <v>spolykat (v-w6408f1)</v>
      </c>
    </row>
    <row r="45726" spans="1:4" x14ac:dyDescent="0.2">
      <c r="B45726" t="s">
        <v>1</v>
      </c>
    </row>
    <row r="45727" spans="1:4" x14ac:dyDescent="0.2">
      <c r="B45727" t="s">
        <v>8</v>
      </c>
    </row>
    <row r="45729" spans="1:4" x14ac:dyDescent="0.2">
      <c r="A45729" t="s">
        <v>14654</v>
      </c>
      <c r="B45729" t="str">
        <f>HYPERLINK("https://lindat.mff.cuni.cz/services/teitok/pdtc10/index.php?action=vallex&amp;frame=v-w6382f2_ZU", "spoléhat (v-w6382f2_ZU)")</f>
        <v>spoléhat (v-w6382f2_ZU)</v>
      </c>
    </row>
    <row r="45730" spans="1:4" x14ac:dyDescent="0.2">
      <c r="B45730" t="s">
        <v>1</v>
      </c>
      <c r="C45730" t="s">
        <v>7126</v>
      </c>
      <c r="D45730" t="s">
        <v>2031</v>
      </c>
    </row>
    <row r="45731" spans="1:4" x14ac:dyDescent="0.2">
      <c r="B45731" t="s">
        <v>7193</v>
      </c>
      <c r="C45731" t="s">
        <v>14655</v>
      </c>
      <c r="D45731" t="s">
        <v>23727</v>
      </c>
    </row>
    <row r="45733" spans="1:4" x14ac:dyDescent="0.2">
      <c r="A45733" t="s">
        <v>14654</v>
      </c>
      <c r="B45733" t="str">
        <f>HYPERLINK("https://lindat.mff.cuni.cz/services/teitok/pdtc10/index.php?action=vallex&amp;frame=v-w6382f1", "spoléhat (v-w6382f1) - substituted with v-w6382f2_ZU")</f>
        <v>spoléhat (v-w6382f1) - substituted with v-w6382f2_ZU</v>
      </c>
    </row>
    <row r="45734" spans="1:4" x14ac:dyDescent="0.2">
      <c r="B45734" t="s">
        <v>1</v>
      </c>
      <c r="C45734" t="s">
        <v>7126</v>
      </c>
    </row>
    <row r="45735" spans="1:4" x14ac:dyDescent="0.2">
      <c r="B45735" t="s">
        <v>7193</v>
      </c>
      <c r="C45735" t="s">
        <v>14655</v>
      </c>
    </row>
    <row r="45737" spans="1:4" x14ac:dyDescent="0.2">
      <c r="A45737" t="s">
        <v>14656</v>
      </c>
      <c r="B45737" t="str">
        <f>HYPERLINK("https://lindat.mff.cuni.cz/services/teitok/pdtc10/index.php?action=vallex&amp;frame=v-w6383f2_ZU", "spoléhat se (v-w6383f2_ZU)")</f>
        <v>spoléhat se (v-w6383f2_ZU)</v>
      </c>
    </row>
    <row r="45738" spans="1:4" x14ac:dyDescent="0.2">
      <c r="B45738" t="s">
        <v>1</v>
      </c>
      <c r="D45738" t="s">
        <v>2031</v>
      </c>
    </row>
    <row r="45739" spans="1:4" x14ac:dyDescent="0.2">
      <c r="B45739" t="s">
        <v>7193</v>
      </c>
      <c r="D45739" t="s">
        <v>23727</v>
      </c>
    </row>
    <row r="45741" spans="1:4" x14ac:dyDescent="0.2">
      <c r="A45741" t="s">
        <v>14656</v>
      </c>
      <c r="B45741" t="str">
        <f>HYPERLINK("https://lindat.mff.cuni.cz/services/teitok/pdtc10/index.php?action=vallex&amp;frame=v-w6383f1", "spoléhat se (v-w6383f1) - substituted with v-w6383f2_ZU")</f>
        <v>spoléhat se (v-w6383f1) - substituted with v-w6383f2_ZU</v>
      </c>
    </row>
    <row r="45742" spans="1:4" x14ac:dyDescent="0.2">
      <c r="B45742" t="s">
        <v>1</v>
      </c>
      <c r="C45742" t="s">
        <v>14657</v>
      </c>
    </row>
    <row r="45743" spans="1:4" x14ac:dyDescent="0.2">
      <c r="B45743" t="s">
        <v>7193</v>
      </c>
      <c r="C45743" t="s">
        <v>14658</v>
      </c>
    </row>
    <row r="45745" spans="1:4" x14ac:dyDescent="0.2">
      <c r="A45745" t="s">
        <v>14659</v>
      </c>
      <c r="B45745" t="str">
        <f>HYPERLINK("https://lindat.mff.cuni.cz/services/teitok/pdtc10/index.php?action=vallex&amp;frame=v-w6383hsa_143", "spoléhat se (v-w6383hsa_143)")</f>
        <v>spoléhat se (v-w6383hsa_143)</v>
      </c>
    </row>
    <row r="45746" spans="1:4" x14ac:dyDescent="0.2">
      <c r="B45746" t="s">
        <v>1</v>
      </c>
      <c r="C45746" t="s">
        <v>2031</v>
      </c>
    </row>
    <row r="45747" spans="1:4" x14ac:dyDescent="0.2">
      <c r="B45747" t="s">
        <v>88</v>
      </c>
      <c r="C45747" t="s">
        <v>14660</v>
      </c>
    </row>
    <row r="45748" spans="1:4" x14ac:dyDescent="0.2">
      <c r="B45748" t="s">
        <v>2480</v>
      </c>
      <c r="C45748" t="s">
        <v>14661</v>
      </c>
    </row>
    <row r="45750" spans="1:4" x14ac:dyDescent="0.2">
      <c r="A45750" t="s">
        <v>14662</v>
      </c>
      <c r="B45750" t="str">
        <f>HYPERLINK("https://lindat.mff.cuni.cz/services/teitok/pdtc10/index.php?action=vallex&amp;frame=v-w6377f1", "spolčit se (v-w6377f1)")</f>
        <v>spolčit se (v-w6377f1)</v>
      </c>
    </row>
    <row r="45751" spans="1:4" x14ac:dyDescent="0.2">
      <c r="B45751" t="s">
        <v>1</v>
      </c>
    </row>
    <row r="45752" spans="1:4" x14ac:dyDescent="0.2">
      <c r="B45752" t="s">
        <v>153</v>
      </c>
    </row>
    <row r="45753" spans="1:4" x14ac:dyDescent="0.2">
      <c r="B45753" t="s">
        <v>1310</v>
      </c>
    </row>
    <row r="45755" spans="1:4" x14ac:dyDescent="0.2">
      <c r="A45755" t="s">
        <v>14663</v>
      </c>
      <c r="B45755" t="str">
        <f>HYPERLINK("https://lindat.mff.cuni.cz/services/teitok/pdtc10/index.php?action=vallex&amp;frame=v-w6411f1", "sponzorovat (v-w6411f1)")</f>
        <v>sponzorovat (v-w6411f1)</v>
      </c>
    </row>
    <row r="45756" spans="1:4" x14ac:dyDescent="0.2">
      <c r="B45756" t="s">
        <v>1</v>
      </c>
      <c r="C45756" t="s">
        <v>14664</v>
      </c>
      <c r="D45756" t="s">
        <v>23218</v>
      </c>
    </row>
    <row r="45757" spans="1:4" x14ac:dyDescent="0.2">
      <c r="B45757" t="s">
        <v>8</v>
      </c>
      <c r="C45757" t="s">
        <v>14665</v>
      </c>
      <c r="D45757" t="s">
        <v>17729</v>
      </c>
    </row>
    <row r="45759" spans="1:4" x14ac:dyDescent="0.2">
      <c r="A45759" t="s">
        <v>14666</v>
      </c>
      <c r="B45759" t="str">
        <f>HYPERLINK("https://lindat.mff.cuni.cz/services/teitok/pdtc10/index.php?action=vallex&amp;frame=v-whsa_46hsa_47", "sportovat (v-whsa_46hsa_47)")</f>
        <v>sportovat (v-whsa_46hsa_47)</v>
      </c>
    </row>
    <row r="45760" spans="1:4" x14ac:dyDescent="0.2">
      <c r="B45760" t="s">
        <v>1</v>
      </c>
    </row>
    <row r="45762" spans="1:4" x14ac:dyDescent="0.2">
      <c r="A45762" t="s">
        <v>14667</v>
      </c>
      <c r="B45762" t="str">
        <f>HYPERLINK("https://lindat.mff.cuni.cz/services/teitok/pdtc10/index.php?action=vallex&amp;frame=v-w6419f1", "spotřebovat (v-w6419f1)")</f>
        <v>spotřebovat (v-w6419f1)</v>
      </c>
    </row>
    <row r="45763" spans="1:4" x14ac:dyDescent="0.2">
      <c r="B45763" t="s">
        <v>1</v>
      </c>
      <c r="C45763" t="s">
        <v>14668</v>
      </c>
      <c r="D45763" t="s">
        <v>6294</v>
      </c>
    </row>
    <row r="45764" spans="1:4" x14ac:dyDescent="0.2">
      <c r="B45764" t="s">
        <v>8</v>
      </c>
      <c r="C45764" t="s">
        <v>14669</v>
      </c>
      <c r="D45764" t="s">
        <v>24192</v>
      </c>
    </row>
    <row r="45766" spans="1:4" x14ac:dyDescent="0.2">
      <c r="A45766" t="s">
        <v>14670</v>
      </c>
      <c r="B45766" t="str">
        <f>HYPERLINK("https://lindat.mff.cuni.cz/services/teitok/pdtc10/index.php?action=vallex&amp;frame=v-w6420f1", "spotřebovávat (v-w6420f1)")</f>
        <v>spotřebovávat (v-w6420f1)</v>
      </c>
    </row>
    <row r="45767" spans="1:4" x14ac:dyDescent="0.2">
      <c r="B45767" t="s">
        <v>1</v>
      </c>
      <c r="C45767" t="s">
        <v>14668</v>
      </c>
      <c r="D45767" t="s">
        <v>6294</v>
      </c>
    </row>
    <row r="45768" spans="1:4" x14ac:dyDescent="0.2">
      <c r="B45768" t="s">
        <v>8</v>
      </c>
      <c r="C45768" t="s">
        <v>14671</v>
      </c>
      <c r="D45768" t="s">
        <v>24192</v>
      </c>
    </row>
    <row r="45770" spans="1:4" x14ac:dyDescent="0.2">
      <c r="A45770" t="s">
        <v>14672</v>
      </c>
      <c r="B45770" t="str">
        <f>HYPERLINK("https://lindat.mff.cuni.cz/services/teitok/pdtc10/index.php?action=vallex&amp;frame=v-w6422f1", "spoutat (v-w6422f1)")</f>
        <v>spoutat (v-w6422f1)</v>
      </c>
    </row>
    <row r="45771" spans="1:4" x14ac:dyDescent="0.2">
      <c r="B45771" t="s">
        <v>1</v>
      </c>
      <c r="C45771" t="s">
        <v>33</v>
      </c>
      <c r="D45771" t="s">
        <v>33</v>
      </c>
    </row>
    <row r="45772" spans="1:4" x14ac:dyDescent="0.2">
      <c r="B45772" t="s">
        <v>8</v>
      </c>
      <c r="C45772" t="s">
        <v>56</v>
      </c>
      <c r="D45772" t="s">
        <v>56</v>
      </c>
    </row>
    <row r="45774" spans="1:4" x14ac:dyDescent="0.2">
      <c r="A45774" t="s">
        <v>14673</v>
      </c>
      <c r="B45774" t="str">
        <f>HYPERLINK("https://lindat.mff.cuni.cz/services/teitok/pdtc10/index.php?action=vallex&amp;frame=v-w6421f1", "spouštět (v-w6421f1)")</f>
        <v>spouštět (v-w6421f1)</v>
      </c>
    </row>
    <row r="45775" spans="1:4" x14ac:dyDescent="0.2">
      <c r="B45775" t="s">
        <v>1</v>
      </c>
    </row>
    <row r="45776" spans="1:4" x14ac:dyDescent="0.2">
      <c r="B45776" t="s">
        <v>8</v>
      </c>
    </row>
    <row r="45778" spans="1:4" x14ac:dyDescent="0.2">
      <c r="A45778" t="s">
        <v>14674</v>
      </c>
      <c r="B45778" t="str">
        <f>HYPERLINK("https://lindat.mff.cuni.cz/services/teitok/pdtc10/index.php?action=vallex&amp;frame=v-w6421f2", "spouštět (v-w6421f2)")</f>
        <v>spouštět (v-w6421f2)</v>
      </c>
    </row>
    <row r="45779" spans="1:4" x14ac:dyDescent="0.2">
      <c r="B45779" t="s">
        <v>1</v>
      </c>
      <c r="C45779" t="s">
        <v>14675</v>
      </c>
      <c r="D45779" t="s">
        <v>22950</v>
      </c>
    </row>
    <row r="45780" spans="1:4" x14ac:dyDescent="0.2">
      <c r="B45780" t="s">
        <v>8</v>
      </c>
      <c r="C45780" t="s">
        <v>14676</v>
      </c>
      <c r="D45780" t="s">
        <v>22951</v>
      </c>
    </row>
    <row r="45782" spans="1:4" x14ac:dyDescent="0.2">
      <c r="A45782" t="s">
        <v>14677</v>
      </c>
      <c r="B45782" t="str">
        <f>HYPERLINK("https://lindat.mff.cuni.cz/services/teitok/pdtc10/index.php?action=vallex&amp;frame=v-w6421f3_ZU", "spouštět (v-w6421f3_ZU)")</f>
        <v>spouštět (v-w6421f3_ZU)</v>
      </c>
    </row>
    <row r="45783" spans="1:4" x14ac:dyDescent="0.2">
      <c r="B45783" t="s">
        <v>1</v>
      </c>
    </row>
    <row r="45784" spans="1:4" x14ac:dyDescent="0.2">
      <c r="B45784" t="s">
        <v>8</v>
      </c>
    </row>
    <row r="45786" spans="1:4" x14ac:dyDescent="0.2">
      <c r="A45786" t="s">
        <v>14677</v>
      </c>
      <c r="B45786" t="str">
        <f>HYPERLINK("https://lindat.mff.cuni.cz/services/teitok/pdtc10/index.php?action=vallex&amp;frame=v-w6421hsa_1326", "spouštět (v-w6421hsa_1326) - substituted with v-w6421f3_ZU")</f>
        <v>spouštět (v-w6421hsa_1326) - substituted with v-w6421f3_ZU</v>
      </c>
    </row>
    <row r="45787" spans="1:4" x14ac:dyDescent="0.2">
      <c r="B45787" t="s">
        <v>1</v>
      </c>
      <c r="C45787" t="s">
        <v>1680</v>
      </c>
      <c r="D45787" t="s">
        <v>22950</v>
      </c>
    </row>
    <row r="45788" spans="1:4" x14ac:dyDescent="0.2">
      <c r="B45788" t="s">
        <v>8</v>
      </c>
      <c r="C45788" t="s">
        <v>3305</v>
      </c>
      <c r="D45788" t="s">
        <v>22951</v>
      </c>
    </row>
    <row r="45790" spans="1:4" x14ac:dyDescent="0.2">
      <c r="A45790" t="s">
        <v>14678</v>
      </c>
      <c r="B45790" t="str">
        <f>HYPERLINK("https://lindat.mff.cuni.cz/services/teitok/pdtc10/index.php?action=vallex&amp;frame=v-whsa_207f1_ZU", "spouštět se (v-whsa_207f1_ZU)")</f>
        <v>spouštět se (v-whsa_207f1_ZU)</v>
      </c>
    </row>
    <row r="45791" spans="1:4" x14ac:dyDescent="0.2">
      <c r="B45791" t="s">
        <v>1</v>
      </c>
    </row>
    <row r="45793" spans="1:3" x14ac:dyDescent="0.2">
      <c r="A45793" t="s">
        <v>14678</v>
      </c>
      <c r="B45793" t="str">
        <f>HYPERLINK("https://lindat.mff.cuni.cz/services/teitok/pdtc10/index.php?action=vallex&amp;frame=v-whsa_207hsa_208", "spouštět se (v-whsa_207hsa_208) - substituted with v-whsa_207f1_ZU")</f>
        <v>spouštět se (v-whsa_207hsa_208) - substituted with v-whsa_207f1_ZU</v>
      </c>
    </row>
    <row r="45794" spans="1:3" x14ac:dyDescent="0.2">
      <c r="B45794" t="s">
        <v>1</v>
      </c>
    </row>
    <row r="45796" spans="1:3" x14ac:dyDescent="0.2">
      <c r="A45796" t="s">
        <v>14679</v>
      </c>
      <c r="B45796" t="str">
        <f>HYPERLINK("https://lindat.mff.cuni.cz/services/teitok/pdtc10/index.php?action=vallex&amp;frame=v-w10867f3", "spočinout (v-w10867f3)")</f>
        <v>spočinout (v-w10867f3)</v>
      </c>
    </row>
    <row r="45797" spans="1:3" x14ac:dyDescent="0.2">
      <c r="B45797" t="s">
        <v>1</v>
      </c>
    </row>
    <row r="45798" spans="1:3" x14ac:dyDescent="0.2">
      <c r="B45798" t="s">
        <v>5</v>
      </c>
    </row>
    <row r="45800" spans="1:3" x14ac:dyDescent="0.2">
      <c r="A45800" t="s">
        <v>14680</v>
      </c>
      <c r="B45800" t="str">
        <f>HYPERLINK("https://lindat.mff.cuni.cz/services/teitok/pdtc10/index.php?action=vallex&amp;frame=v-w10867f2", "spočinout (v-w10867f2)")</f>
        <v>spočinout (v-w10867f2)</v>
      </c>
    </row>
    <row r="45801" spans="1:3" x14ac:dyDescent="0.2">
      <c r="B45801" t="s">
        <v>1</v>
      </c>
      <c r="C45801" t="s">
        <v>33</v>
      </c>
    </row>
    <row r="45803" spans="1:3" x14ac:dyDescent="0.2">
      <c r="A45803" t="s">
        <v>14681</v>
      </c>
      <c r="B45803" t="str">
        <f>HYPERLINK("https://lindat.mff.cuni.cz/services/teitok/pdtc10/index.php?action=vallex&amp;frame=v-w6355f1", "spočíst (v-w6355f1)")</f>
        <v>spočíst (v-w6355f1)</v>
      </c>
    </row>
    <row r="45804" spans="1:3" x14ac:dyDescent="0.2">
      <c r="B45804" t="s">
        <v>1</v>
      </c>
    </row>
    <row r="45805" spans="1:3" x14ac:dyDescent="0.2">
      <c r="B45805" t="s">
        <v>2304</v>
      </c>
    </row>
    <row r="45807" spans="1:3" x14ac:dyDescent="0.2">
      <c r="A45807" t="s">
        <v>14682</v>
      </c>
      <c r="B45807" t="str">
        <f>HYPERLINK("https://lindat.mff.cuni.cz/services/teitok/pdtc10/index.php?action=vallex&amp;frame=v-w6356f2_ZU", "spočítat (v-w6356f2_ZU)")</f>
        <v>spočítat (v-w6356f2_ZU)</v>
      </c>
    </row>
    <row r="45808" spans="1:3" x14ac:dyDescent="0.2">
      <c r="B45808" t="s">
        <v>1</v>
      </c>
    </row>
    <row r="45809" spans="1:4" x14ac:dyDescent="0.2">
      <c r="B45809" t="s">
        <v>14683</v>
      </c>
    </row>
    <row r="45811" spans="1:4" x14ac:dyDescent="0.2">
      <c r="A45811" t="s">
        <v>14682</v>
      </c>
      <c r="B45811" t="str">
        <f>HYPERLINK("https://lindat.mff.cuni.cz/services/teitok/pdtc10/index.php?action=vallex&amp;frame=v-w6356f1", "spočítat (v-w6356f1) - substituted with v-w6356f2_ZU")</f>
        <v>spočítat (v-w6356f1) - substituted with v-w6356f2_ZU</v>
      </c>
    </row>
    <row r="45812" spans="1:4" x14ac:dyDescent="0.2">
      <c r="B45812" t="s">
        <v>1</v>
      </c>
      <c r="C45812" t="s">
        <v>14684</v>
      </c>
    </row>
    <row r="45813" spans="1:4" x14ac:dyDescent="0.2">
      <c r="B45813" t="s">
        <v>14683</v>
      </c>
      <c r="C45813" t="s">
        <v>7921</v>
      </c>
    </row>
    <row r="45815" spans="1:4" x14ac:dyDescent="0.2">
      <c r="A45815" t="s">
        <v>14682</v>
      </c>
      <c r="B45815" t="str">
        <f>HYPERLINK("https://lindat.mff.cuni.cz/services/teitok/pdtc10/index.php?action=vallex&amp;frame=v-w6356hsa_222", "spočítat (v-w6356hsa_222) - substituted with v-w6356f2_ZU")</f>
        <v>spočítat (v-w6356hsa_222) - substituted with v-w6356f2_ZU</v>
      </c>
    </row>
    <row r="45816" spans="1:4" x14ac:dyDescent="0.2">
      <c r="B45816" t="s">
        <v>1</v>
      </c>
      <c r="C45816" t="s">
        <v>109</v>
      </c>
      <c r="D45816" t="s">
        <v>10633</v>
      </c>
    </row>
    <row r="45817" spans="1:4" x14ac:dyDescent="0.2">
      <c r="B45817" t="s">
        <v>14683</v>
      </c>
      <c r="C45817" t="s">
        <v>359</v>
      </c>
      <c r="D45817" t="s">
        <v>93</v>
      </c>
    </row>
    <row r="45819" spans="1:4" x14ac:dyDescent="0.2">
      <c r="A45819" t="s">
        <v>14685</v>
      </c>
      <c r="B45819" t="str">
        <f>HYPERLINK("https://lindat.mff.cuni.cz/services/teitok/pdtc10/index.php?action=vallex&amp;frame=v-w6357f1", "spočítat si (v-w6357f1)")</f>
        <v>spočítat si (v-w6357f1)</v>
      </c>
    </row>
    <row r="45820" spans="1:4" x14ac:dyDescent="0.2">
      <c r="B45820" t="s">
        <v>1</v>
      </c>
      <c r="C45820" t="s">
        <v>14686</v>
      </c>
      <c r="D45820" t="s">
        <v>10633</v>
      </c>
    </row>
    <row r="45821" spans="1:4" x14ac:dyDescent="0.2">
      <c r="B45821" t="s">
        <v>7150</v>
      </c>
      <c r="C45821" t="s">
        <v>14687</v>
      </c>
      <c r="D45821" t="s">
        <v>93</v>
      </c>
    </row>
    <row r="45823" spans="1:4" x14ac:dyDescent="0.2">
      <c r="A45823" t="s">
        <v>14688</v>
      </c>
      <c r="B45823" t="str">
        <f>HYPERLINK("https://lindat.mff.cuni.cz/services/teitok/pdtc10/index.php?action=vallex&amp;frame=v-w6359f2", "spočívat (v-w6359f2)")</f>
        <v>spočívat (v-w6359f2)</v>
      </c>
    </row>
    <row r="45824" spans="1:4" x14ac:dyDescent="0.2">
      <c r="B45824" t="s">
        <v>1</v>
      </c>
    </row>
    <row r="45825" spans="1:4" x14ac:dyDescent="0.2">
      <c r="B45825" t="s">
        <v>161</v>
      </c>
    </row>
    <row r="45827" spans="1:4" x14ac:dyDescent="0.2">
      <c r="A45827" t="s">
        <v>14689</v>
      </c>
      <c r="B45827" t="str">
        <f>HYPERLINK("https://lindat.mff.cuni.cz/services/teitok/pdtc10/index.php?action=vallex&amp;frame=v-w6359f3", "spočívat (v-w6359f3)")</f>
        <v>spočívat (v-w6359f3)</v>
      </c>
    </row>
    <row r="45828" spans="1:4" x14ac:dyDescent="0.2">
      <c r="B45828" t="s">
        <v>1</v>
      </c>
    </row>
    <row r="45829" spans="1:4" x14ac:dyDescent="0.2">
      <c r="B45829" t="s">
        <v>161</v>
      </c>
    </row>
    <row r="45831" spans="1:4" x14ac:dyDescent="0.2">
      <c r="A45831" t="s">
        <v>14690</v>
      </c>
      <c r="B45831" t="str">
        <f>HYPERLINK("https://lindat.mff.cuni.cz/services/teitok/pdtc10/index.php?action=vallex&amp;frame=v-w6359f1", "spočívat (v-w6359f1)")</f>
        <v>spočívat (v-w6359f1)</v>
      </c>
    </row>
    <row r="45832" spans="1:4" x14ac:dyDescent="0.2">
      <c r="B45832" t="s">
        <v>1</v>
      </c>
      <c r="C45832" t="s">
        <v>14691</v>
      </c>
      <c r="D45832" t="s">
        <v>7870</v>
      </c>
    </row>
    <row r="45833" spans="1:4" x14ac:dyDescent="0.2">
      <c r="B45833" t="s">
        <v>290</v>
      </c>
      <c r="C45833" t="s">
        <v>14692</v>
      </c>
      <c r="D45833" t="s">
        <v>15039</v>
      </c>
    </row>
    <row r="45835" spans="1:4" x14ac:dyDescent="0.2">
      <c r="A45835" t="s">
        <v>14693</v>
      </c>
      <c r="B45835" t="str">
        <f>HYPERLINK("https://lindat.mff.cuni.cz/services/teitok/pdtc10/index.php?action=vallex&amp;frame=v-w6359f4", "spočívat (v-w6359f4)")</f>
        <v>spočívat (v-w6359f4)</v>
      </c>
    </row>
    <row r="45836" spans="1:4" x14ac:dyDescent="0.2">
      <c r="B45836" t="s">
        <v>1</v>
      </c>
    </row>
    <row r="45837" spans="1:4" x14ac:dyDescent="0.2">
      <c r="B45837" t="s">
        <v>5</v>
      </c>
    </row>
    <row r="45839" spans="1:4" x14ac:dyDescent="0.2">
      <c r="A45839" t="s">
        <v>14694</v>
      </c>
      <c r="B45839" t="str">
        <f>HYPERLINK("https://lindat.mff.cuni.cz/services/teitok/pdtc10/index.php?action=vallex&amp;frame=v-w6416f1", "spořit (v-w6416f1)")</f>
        <v>spořit (v-w6416f1)</v>
      </c>
    </row>
    <row r="45840" spans="1:4" x14ac:dyDescent="0.2">
      <c r="B45840" t="s">
        <v>1</v>
      </c>
      <c r="C45840" t="s">
        <v>249</v>
      </c>
      <c r="D45840" t="s">
        <v>22774</v>
      </c>
    </row>
    <row r="45841" spans="1:4" x14ac:dyDescent="0.2">
      <c r="B45841" t="s">
        <v>8</v>
      </c>
      <c r="C45841" t="s">
        <v>23</v>
      </c>
      <c r="D45841" t="s">
        <v>2235</v>
      </c>
    </row>
    <row r="45843" spans="1:4" x14ac:dyDescent="0.2">
      <c r="A45843" t="s">
        <v>14695</v>
      </c>
      <c r="B45843" t="str">
        <f>HYPERLINK("https://lindat.mff.cuni.cz/services/teitok/pdtc10/index.php?action=vallex&amp;frame=v-w6414f1", "spořádat (v-w6414f1)")</f>
        <v>spořádat (v-w6414f1)</v>
      </c>
    </row>
    <row r="45844" spans="1:4" x14ac:dyDescent="0.2">
      <c r="B45844" t="s">
        <v>1</v>
      </c>
    </row>
    <row r="45845" spans="1:4" x14ac:dyDescent="0.2">
      <c r="B45845" t="s">
        <v>8</v>
      </c>
    </row>
    <row r="45847" spans="1:4" x14ac:dyDescent="0.2">
      <c r="A45847" t="s">
        <v>14696</v>
      </c>
      <c r="B45847" t="str">
        <f>HYPERLINK("https://lindat.mff.cuni.cz/services/teitok/pdtc10/index.php?action=vallex&amp;frame=v-w6425f2", "spravit (v-w6425f2)")</f>
        <v>spravit (v-w6425f2)</v>
      </c>
    </row>
    <row r="45848" spans="1:4" x14ac:dyDescent="0.2">
      <c r="B45848" t="s">
        <v>331</v>
      </c>
    </row>
    <row r="45849" spans="1:4" x14ac:dyDescent="0.2">
      <c r="B45849" t="s">
        <v>8</v>
      </c>
    </row>
    <row r="45850" spans="1:4" x14ac:dyDescent="0.2">
      <c r="B45850" t="s">
        <v>35</v>
      </c>
    </row>
    <row r="45852" spans="1:4" x14ac:dyDescent="0.2">
      <c r="A45852" t="s">
        <v>14697</v>
      </c>
      <c r="B45852" t="str">
        <f>HYPERLINK("https://lindat.mff.cuni.cz/services/teitok/pdtc10/index.php?action=vallex&amp;frame=v-w6425f1", "spravit (v-w6425f1)")</f>
        <v>spravit (v-w6425f1)</v>
      </c>
    </row>
    <row r="45853" spans="1:4" x14ac:dyDescent="0.2">
      <c r="B45853" t="s">
        <v>1</v>
      </c>
      <c r="D45853" t="s">
        <v>373</v>
      </c>
    </row>
    <row r="45854" spans="1:4" x14ac:dyDescent="0.2">
      <c r="B45854" t="s">
        <v>8</v>
      </c>
      <c r="D45854" t="s">
        <v>338</v>
      </c>
    </row>
    <row r="45856" spans="1:4" x14ac:dyDescent="0.2">
      <c r="A45856" t="s">
        <v>14698</v>
      </c>
      <c r="B45856" t="str">
        <f>HYPERLINK("https://lindat.mff.cuni.cz/services/teitok/pdtc10/index.php?action=vallex&amp;frame=v-w6425hsa_40", "spravit (v-w6425hsa_40)")</f>
        <v>spravit (v-w6425hsa_40)</v>
      </c>
    </row>
    <row r="45857" spans="1:4" x14ac:dyDescent="0.2">
      <c r="B45857" t="s">
        <v>1</v>
      </c>
    </row>
    <row r="45858" spans="1:4" x14ac:dyDescent="0.2">
      <c r="B45858" t="s">
        <v>8</v>
      </c>
    </row>
    <row r="45860" spans="1:4" x14ac:dyDescent="0.2">
      <c r="A45860" t="s">
        <v>14699</v>
      </c>
      <c r="B45860" t="str">
        <f>HYPERLINK("https://lindat.mff.cuni.cz/services/teitok/pdtc10/index.php?action=vallex&amp;frame=v-whsa_1608hsa_1609", "spravit se (v-whsa_1608hsa_1609)")</f>
        <v>spravit se (v-whsa_1608hsa_1609)</v>
      </c>
    </row>
    <row r="45861" spans="1:4" x14ac:dyDescent="0.2">
      <c r="B45861" t="s">
        <v>1</v>
      </c>
    </row>
    <row r="45862" spans="1:4" x14ac:dyDescent="0.2">
      <c r="B45862" t="s">
        <v>46</v>
      </c>
    </row>
    <row r="45863" spans="1:4" x14ac:dyDescent="0.2">
      <c r="B45863" t="s">
        <v>24</v>
      </c>
    </row>
    <row r="45865" spans="1:4" x14ac:dyDescent="0.2">
      <c r="A45865" t="s">
        <v>14700</v>
      </c>
      <c r="B45865" t="str">
        <f>HYPERLINK("https://lindat.mff.cuni.cz/services/teitok/pdtc10/index.php?action=vallex&amp;frame=v-w6429f1", "spravovat (v-w6429f1)")</f>
        <v>spravovat (v-w6429f1)</v>
      </c>
    </row>
    <row r="45866" spans="1:4" x14ac:dyDescent="0.2">
      <c r="B45866" t="s">
        <v>1</v>
      </c>
      <c r="C45866" t="s">
        <v>14701</v>
      </c>
      <c r="D45866" t="s">
        <v>23098</v>
      </c>
    </row>
    <row r="45867" spans="1:4" x14ac:dyDescent="0.2">
      <c r="B45867" t="s">
        <v>8</v>
      </c>
      <c r="C45867" t="s">
        <v>14702</v>
      </c>
      <c r="D45867" t="s">
        <v>16830</v>
      </c>
    </row>
    <row r="45869" spans="1:4" x14ac:dyDescent="0.2">
      <c r="A45869" t="s">
        <v>14703</v>
      </c>
      <c r="B45869" t="str">
        <f>HYPERLINK("https://lindat.mff.cuni.cz/services/teitok/pdtc10/index.php?action=vallex&amp;frame=v-w6429f2", "spravovat (v-w6429f2)")</f>
        <v>spravovat (v-w6429f2)</v>
      </c>
    </row>
    <row r="45870" spans="1:4" x14ac:dyDescent="0.2">
      <c r="B45870" t="s">
        <v>1</v>
      </c>
    </row>
    <row r="45871" spans="1:4" x14ac:dyDescent="0.2">
      <c r="B45871" t="s">
        <v>8</v>
      </c>
    </row>
    <row r="45873" spans="1:4" x14ac:dyDescent="0.2">
      <c r="A45873" t="s">
        <v>14704</v>
      </c>
      <c r="B45873" t="str">
        <f>HYPERLINK("https://lindat.mff.cuni.cz/services/teitok/pdtc10/index.php?action=vallex&amp;frame=v-w6429f3", "spravovat (v-w6429f3)")</f>
        <v>spravovat (v-w6429f3)</v>
      </c>
    </row>
    <row r="45874" spans="1:4" x14ac:dyDescent="0.2">
      <c r="B45874" t="s">
        <v>1</v>
      </c>
      <c r="C45874" t="s">
        <v>140</v>
      </c>
      <c r="D45874" t="s">
        <v>373</v>
      </c>
    </row>
    <row r="45875" spans="1:4" x14ac:dyDescent="0.2">
      <c r="B45875" t="s">
        <v>8</v>
      </c>
      <c r="C45875" t="s">
        <v>1044</v>
      </c>
      <c r="D45875" t="s">
        <v>338</v>
      </c>
    </row>
    <row r="45877" spans="1:4" x14ac:dyDescent="0.2">
      <c r="A45877" t="s">
        <v>14705</v>
      </c>
      <c r="B45877" t="str">
        <f>HYPERLINK("https://lindat.mff.cuni.cz/services/teitok/pdtc10/index.php?action=vallex&amp;frame=v-w6430f1", "sprchnout (v-w6430f1)")</f>
        <v>sprchnout (v-w6430f1)</v>
      </c>
    </row>
    <row r="45878" spans="1:4" x14ac:dyDescent="0.2">
      <c r="B45878" t="s">
        <v>1</v>
      </c>
      <c r="D45878" t="s">
        <v>186</v>
      </c>
    </row>
    <row r="45880" spans="1:4" x14ac:dyDescent="0.2">
      <c r="A45880" t="s">
        <v>14706</v>
      </c>
      <c r="B45880" t="str">
        <f>HYPERLINK("https://lindat.mff.cuni.cz/services/teitok/pdtc10/index.php?action=vallex&amp;frame=v-w6432f1", "sprchovat (v-w6432f1)")</f>
        <v>sprchovat (v-w6432f1)</v>
      </c>
    </row>
    <row r="45881" spans="1:4" x14ac:dyDescent="0.2">
      <c r="B45881" t="s">
        <v>1</v>
      </c>
      <c r="C45881" t="s">
        <v>337</v>
      </c>
      <c r="D45881" t="s">
        <v>22</v>
      </c>
    </row>
    <row r="45882" spans="1:4" x14ac:dyDescent="0.2">
      <c r="B45882" t="s">
        <v>8</v>
      </c>
      <c r="D45882" t="s">
        <v>23428</v>
      </c>
    </row>
    <row r="45884" spans="1:4" x14ac:dyDescent="0.2">
      <c r="A45884" t="s">
        <v>14707</v>
      </c>
      <c r="B45884" t="str">
        <f>HYPERLINK("https://lindat.mff.cuni.cz/services/teitok/pdtc10/index.php?action=vallex&amp;frame=v-w6433f1", "sprintovat (v-w6433f1)")</f>
        <v>sprintovat (v-w6433f1)</v>
      </c>
    </row>
    <row r="45885" spans="1:4" x14ac:dyDescent="0.2">
      <c r="B45885" t="s">
        <v>1</v>
      </c>
    </row>
    <row r="45887" spans="1:4" x14ac:dyDescent="0.2">
      <c r="A45887" t="s">
        <v>14708</v>
      </c>
      <c r="B45887" t="str">
        <f>HYPERLINK("https://lindat.mff.cuni.cz/services/teitok/pdtc10/index.php?action=vallex&amp;frame=v-w6434f1", "sprovodit (v-w6434f1)")</f>
        <v>sprovodit (v-w6434f1)</v>
      </c>
    </row>
    <row r="45888" spans="1:4" x14ac:dyDescent="0.2">
      <c r="B45888" t="s">
        <v>1</v>
      </c>
      <c r="C45888" t="s">
        <v>1077</v>
      </c>
      <c r="D45888" t="s">
        <v>23088</v>
      </c>
    </row>
    <row r="45889" spans="1:4" x14ac:dyDescent="0.2">
      <c r="B45889" t="s">
        <v>8</v>
      </c>
      <c r="C45889" t="s">
        <v>5571</v>
      </c>
      <c r="D45889" t="s">
        <v>986</v>
      </c>
    </row>
    <row r="45890" spans="1:4" x14ac:dyDescent="0.2">
      <c r="B45890" t="s">
        <v>333</v>
      </c>
    </row>
    <row r="45892" spans="1:4" x14ac:dyDescent="0.2">
      <c r="A45892" t="s">
        <v>14709</v>
      </c>
      <c r="B45892" t="str">
        <f>HYPERLINK("https://lindat.mff.cuni.cz/services/teitok/pdtc10/index.php?action=vallex&amp;frame=v-whsa_29f1_ZU", "spráskat (v-whsa_29f1_ZU)")</f>
        <v>spráskat (v-whsa_29f1_ZU)</v>
      </c>
    </row>
    <row r="45893" spans="1:4" x14ac:dyDescent="0.2">
      <c r="B45893" t="s">
        <v>1</v>
      </c>
    </row>
    <row r="45894" spans="1:4" x14ac:dyDescent="0.2">
      <c r="B45894" t="s">
        <v>8</v>
      </c>
    </row>
    <row r="45896" spans="1:4" x14ac:dyDescent="0.2">
      <c r="A45896" t="s">
        <v>14709</v>
      </c>
      <c r="B45896" t="str">
        <f>HYPERLINK("https://lindat.mff.cuni.cz/services/teitok/pdtc10/index.php?action=vallex&amp;frame=v-whsa_29hsa_30", "spráskat (v-whsa_29hsa_30) - substituted with v-whsa_29f1_ZU")</f>
        <v>spráskat (v-whsa_29hsa_30) - substituted with v-whsa_29f1_ZU</v>
      </c>
    </row>
    <row r="45897" spans="1:4" x14ac:dyDescent="0.2">
      <c r="B45897" t="s">
        <v>1</v>
      </c>
    </row>
    <row r="45898" spans="1:4" x14ac:dyDescent="0.2">
      <c r="B45898" t="s">
        <v>8</v>
      </c>
    </row>
    <row r="45900" spans="1:4" x14ac:dyDescent="0.2">
      <c r="A45900" t="s">
        <v>14710</v>
      </c>
      <c r="B45900" t="str">
        <f>HYPERLINK("https://lindat.mff.cuni.cz/services/teitok/pdtc10/index.php?action=vallex&amp;frame=v-whsa_1201hsa_1202", "správcovat (v-whsa_1201hsa_1202)")</f>
        <v>správcovat (v-whsa_1201hsa_1202)</v>
      </c>
    </row>
    <row r="45901" spans="1:4" x14ac:dyDescent="0.2">
      <c r="B45901" t="s">
        <v>1</v>
      </c>
    </row>
    <row r="45903" spans="1:4" x14ac:dyDescent="0.2">
      <c r="A45903" t="s">
        <v>14711</v>
      </c>
      <c r="B45903" t="str">
        <f>HYPERLINK("https://lindat.mff.cuni.cz/services/teitok/pdtc10/index.php?action=vallex&amp;frame=v-w6438f2", "spustit (v-w6438f2)")</f>
        <v>spustit (v-w6438f2)</v>
      </c>
    </row>
    <row r="45904" spans="1:4" x14ac:dyDescent="0.2">
      <c r="B45904" t="s">
        <v>1</v>
      </c>
    </row>
    <row r="45905" spans="1:4" x14ac:dyDescent="0.2">
      <c r="B45905" t="s">
        <v>8</v>
      </c>
    </row>
    <row r="45906" spans="1:4" x14ac:dyDescent="0.2">
      <c r="B45906" t="s">
        <v>90</v>
      </c>
    </row>
    <row r="45908" spans="1:4" x14ac:dyDescent="0.2">
      <c r="A45908" t="s">
        <v>14712</v>
      </c>
      <c r="B45908" t="str">
        <f>HYPERLINK("https://lindat.mff.cuni.cz/services/teitok/pdtc10/index.php?action=vallex&amp;frame=v-w6438f1", "spustit (v-w6438f1)")</f>
        <v>spustit (v-w6438f1)</v>
      </c>
    </row>
    <row r="45909" spans="1:4" x14ac:dyDescent="0.2">
      <c r="B45909" t="s">
        <v>1</v>
      </c>
      <c r="C45909" t="s">
        <v>14713</v>
      </c>
      <c r="D45909" t="s">
        <v>22950</v>
      </c>
    </row>
    <row r="45910" spans="1:4" x14ac:dyDescent="0.2">
      <c r="B45910" t="s">
        <v>8</v>
      </c>
      <c r="C45910" t="s">
        <v>14714</v>
      </c>
      <c r="D45910" t="s">
        <v>22951</v>
      </c>
    </row>
    <row r="45912" spans="1:4" x14ac:dyDescent="0.2">
      <c r="A45912" t="s">
        <v>14715</v>
      </c>
      <c r="B45912" t="str">
        <f>HYPERLINK("https://lindat.mff.cuni.cz/services/teitok/pdtc10/index.php?action=vallex&amp;frame=v-w6438hsa_130", "spustit (v-w6438hsa_130)")</f>
        <v>spustit (v-w6438hsa_130)</v>
      </c>
    </row>
    <row r="45913" spans="1:4" x14ac:dyDescent="0.2">
      <c r="B45913" t="s">
        <v>1</v>
      </c>
      <c r="C45913" t="s">
        <v>9346</v>
      </c>
    </row>
    <row r="45915" spans="1:4" x14ac:dyDescent="0.2">
      <c r="A45915" t="s">
        <v>14716</v>
      </c>
      <c r="B45915" t="str">
        <f>HYPERLINK("https://lindat.mff.cuni.cz/services/teitok/pdtc10/index.php?action=vallex&amp;frame=v-w6438hsa_131", "spustit (v-w6438hsa_131)")</f>
        <v>spustit (v-w6438hsa_131)</v>
      </c>
    </row>
    <row r="45916" spans="1:4" x14ac:dyDescent="0.2">
      <c r="B45916" t="s">
        <v>1</v>
      </c>
      <c r="C45916" t="s">
        <v>294</v>
      </c>
      <c r="D45916" t="s">
        <v>22950</v>
      </c>
    </row>
    <row r="45917" spans="1:4" x14ac:dyDescent="0.2">
      <c r="B45917" t="s">
        <v>8</v>
      </c>
      <c r="C45917" t="s">
        <v>5674</v>
      </c>
      <c r="D45917" t="s">
        <v>22951</v>
      </c>
    </row>
    <row r="45919" spans="1:4" x14ac:dyDescent="0.2">
      <c r="A45919" t="s">
        <v>14717</v>
      </c>
      <c r="B45919" t="str">
        <f>HYPERLINK("https://lindat.mff.cuni.cz/services/teitok/pdtc10/index.php?action=vallex&amp;frame=v-w6438f3_ZU", "spustit (v-w6438f3_ZU)")</f>
        <v>spustit (v-w6438f3_ZU)</v>
      </c>
    </row>
    <row r="45920" spans="1:4" x14ac:dyDescent="0.2">
      <c r="B45920" t="s">
        <v>1</v>
      </c>
    </row>
    <row r="45921" spans="1:2" x14ac:dyDescent="0.2">
      <c r="B45921" t="s">
        <v>14718</v>
      </c>
    </row>
    <row r="45922" spans="1:2" x14ac:dyDescent="0.2">
      <c r="B45922" t="s">
        <v>168</v>
      </c>
    </row>
    <row r="45924" spans="1:2" x14ac:dyDescent="0.2">
      <c r="A45924" t="s">
        <v>14717</v>
      </c>
      <c r="B45924" t="str">
        <f>HYPERLINK("https://lindat.mff.cuni.cz/services/teitok/pdtc10/index.php?action=vallex&amp;frame=v-w6438hsa_132", "spustit (v-w6438hsa_132) - substituted with v-w6438f3_ZU")</f>
        <v>spustit (v-w6438hsa_132) - substituted with v-w6438f3_ZU</v>
      </c>
    </row>
    <row r="45925" spans="1:2" x14ac:dyDescent="0.2">
      <c r="B45925" t="s">
        <v>1</v>
      </c>
    </row>
    <row r="45926" spans="1:2" x14ac:dyDescent="0.2">
      <c r="B45926" t="s">
        <v>14718</v>
      </c>
    </row>
    <row r="45927" spans="1:2" x14ac:dyDescent="0.2">
      <c r="B45927" t="s">
        <v>168</v>
      </c>
    </row>
    <row r="45929" spans="1:2" x14ac:dyDescent="0.2">
      <c r="A45929" t="s">
        <v>14719</v>
      </c>
      <c r="B45929" t="str">
        <f>HYPERLINK("https://lindat.mff.cuni.cz/services/teitok/pdtc10/index.php?action=vallex&amp;frame=v-w6438f4_ZU", "spustit (v-w6438f4_ZU)")</f>
        <v>spustit (v-w6438f4_ZU)</v>
      </c>
    </row>
    <row r="45930" spans="1:2" x14ac:dyDescent="0.2">
      <c r="B45930" t="s">
        <v>1</v>
      </c>
    </row>
    <row r="45931" spans="1:2" x14ac:dyDescent="0.2">
      <c r="B45931" t="s">
        <v>41</v>
      </c>
    </row>
    <row r="45932" spans="1:2" x14ac:dyDescent="0.2">
      <c r="B45932" t="s">
        <v>3527</v>
      </c>
    </row>
    <row r="45934" spans="1:2" x14ac:dyDescent="0.2">
      <c r="A45934" t="s">
        <v>14720</v>
      </c>
      <c r="B45934" t="str">
        <f>HYPERLINK("https://lindat.mff.cuni.cz/services/teitok/pdtc10/index.php?action=vallex&amp;frame=v-w6439f3", "spustit se (v-w6439f3)")</f>
        <v>spustit se (v-w6439f3)</v>
      </c>
    </row>
    <row r="45935" spans="1:2" x14ac:dyDescent="0.2">
      <c r="B45935" t="s">
        <v>1</v>
      </c>
    </row>
    <row r="45936" spans="1:2" x14ac:dyDescent="0.2">
      <c r="B45936" t="s">
        <v>411</v>
      </c>
    </row>
    <row r="45938" spans="1:4" x14ac:dyDescent="0.2">
      <c r="A45938" t="s">
        <v>14721</v>
      </c>
      <c r="B45938" t="str">
        <f>HYPERLINK("https://lindat.mff.cuni.cz/services/teitok/pdtc10/index.php?action=vallex&amp;frame=v-w6439f2", "spustit se (v-w6439f2)")</f>
        <v>spustit se (v-w6439f2)</v>
      </c>
    </row>
    <row r="45939" spans="1:4" x14ac:dyDescent="0.2">
      <c r="B45939" t="s">
        <v>1</v>
      </c>
      <c r="D45939" t="s">
        <v>1586</v>
      </c>
    </row>
    <row r="45940" spans="1:4" x14ac:dyDescent="0.2">
      <c r="B45940" t="s">
        <v>90</v>
      </c>
    </row>
    <row r="45942" spans="1:4" x14ac:dyDescent="0.2">
      <c r="A45942" t="s">
        <v>14722</v>
      </c>
      <c r="B45942" t="str">
        <f>HYPERLINK("https://lindat.mff.cuni.cz/services/teitok/pdtc10/index.php?action=vallex&amp;frame=v-w6439f4_ZU", "spustit se (v-w6439f4_ZU)")</f>
        <v>spustit se (v-w6439f4_ZU)</v>
      </c>
    </row>
    <row r="45943" spans="1:4" x14ac:dyDescent="0.2">
      <c r="B45943" t="s">
        <v>1</v>
      </c>
    </row>
    <row r="45945" spans="1:4" x14ac:dyDescent="0.2">
      <c r="A45945" t="s">
        <v>14722</v>
      </c>
      <c r="B45945" t="str">
        <f>HYPERLINK("https://lindat.mff.cuni.cz/services/teitok/pdtc10/index.php?action=vallex&amp;frame=v-w6439f1", "spustit se (v-w6439f1) - substituted with v-w6439f4_ZU")</f>
        <v>spustit se (v-w6439f1) - substituted with v-w6439f4_ZU</v>
      </c>
    </row>
    <row r="45946" spans="1:4" x14ac:dyDescent="0.2">
      <c r="B45946" t="s">
        <v>1</v>
      </c>
      <c r="C45946" t="s">
        <v>186</v>
      </c>
      <c r="D45946" t="s">
        <v>24193</v>
      </c>
    </row>
    <row r="45948" spans="1:4" x14ac:dyDescent="0.2">
      <c r="A45948" t="s">
        <v>14723</v>
      </c>
      <c r="B45948" t="str">
        <f>HYPERLINK("https://lindat.mff.cuni.cz/services/teitok/pdtc10/index.php?action=vallex&amp;frame=v-w6308f2", "spáchat (v-w6308f2)")</f>
        <v>spáchat (v-w6308f2)</v>
      </c>
    </row>
    <row r="45949" spans="1:4" x14ac:dyDescent="0.2">
      <c r="B45949" t="s">
        <v>1</v>
      </c>
    </row>
    <row r="45950" spans="1:4" x14ac:dyDescent="0.2">
      <c r="B45950" t="s">
        <v>8</v>
      </c>
    </row>
    <row r="45951" spans="1:4" x14ac:dyDescent="0.2">
      <c r="B45951" t="s">
        <v>35</v>
      </c>
    </row>
    <row r="45953" spans="1:4" x14ac:dyDescent="0.2">
      <c r="A45953" t="s">
        <v>14724</v>
      </c>
      <c r="B45953" t="str">
        <f>HYPERLINK("https://lindat.mff.cuni.cz/services/teitok/pdtc10/index.php?action=vallex&amp;frame=v-w6308f1", "spáchat (v-w6308f1)")</f>
        <v>spáchat (v-w6308f1)</v>
      </c>
    </row>
    <row r="45954" spans="1:4" x14ac:dyDescent="0.2">
      <c r="B45954" t="s">
        <v>1</v>
      </c>
      <c r="C45954" t="s">
        <v>13976</v>
      </c>
      <c r="D45954" t="s">
        <v>80</v>
      </c>
    </row>
    <row r="45955" spans="1:4" x14ac:dyDescent="0.2">
      <c r="B45955" t="s">
        <v>8</v>
      </c>
      <c r="C45955" t="s">
        <v>4132</v>
      </c>
      <c r="D45955" t="s">
        <v>354</v>
      </c>
    </row>
    <row r="45957" spans="1:4" x14ac:dyDescent="0.2">
      <c r="A45957" t="s">
        <v>14725</v>
      </c>
      <c r="B45957" t="str">
        <f>HYPERLINK("https://lindat.mff.cuni.cz/services/teitok/pdtc10/index.php?action=vallex&amp;frame=v-w6310f1", "spálit (v-w6310f1)")</f>
        <v>spálit (v-w6310f1)</v>
      </c>
    </row>
    <row r="45958" spans="1:4" x14ac:dyDescent="0.2">
      <c r="B45958" t="s">
        <v>1</v>
      </c>
      <c r="C45958" t="s">
        <v>1125</v>
      </c>
    </row>
    <row r="45959" spans="1:4" x14ac:dyDescent="0.2">
      <c r="B45959" t="s">
        <v>8</v>
      </c>
      <c r="C45959" t="s">
        <v>11139</v>
      </c>
    </row>
    <row r="45961" spans="1:4" x14ac:dyDescent="0.2">
      <c r="A45961" t="s">
        <v>14726</v>
      </c>
      <c r="B45961" t="str">
        <f>HYPERLINK("https://lindat.mff.cuni.cz/services/teitok/pdtc10/index.php?action=vallex&amp;frame=v-w6310f3", "spálit (v-w6310f3)")</f>
        <v>spálit (v-w6310f3)</v>
      </c>
    </row>
    <row r="45962" spans="1:4" x14ac:dyDescent="0.2">
      <c r="B45962" t="s">
        <v>1</v>
      </c>
      <c r="C45962" t="s">
        <v>1125</v>
      </c>
    </row>
    <row r="45963" spans="1:4" x14ac:dyDescent="0.2">
      <c r="B45963" t="s">
        <v>8</v>
      </c>
      <c r="C45963" t="s">
        <v>11139</v>
      </c>
    </row>
    <row r="45965" spans="1:4" x14ac:dyDescent="0.2">
      <c r="A45965" t="s">
        <v>14727</v>
      </c>
      <c r="B45965" t="str">
        <f>HYPERLINK("https://lindat.mff.cuni.cz/services/teitok/pdtc10/index.php?action=vallex&amp;frame=v-w6310f2", "spálit (v-w6310f2)")</f>
        <v>spálit (v-w6310f2)</v>
      </c>
    </row>
    <row r="45966" spans="1:4" x14ac:dyDescent="0.2">
      <c r="B45966" t="s">
        <v>1</v>
      </c>
      <c r="C45966" t="s">
        <v>1125</v>
      </c>
    </row>
    <row r="45967" spans="1:4" x14ac:dyDescent="0.2">
      <c r="B45967" t="s">
        <v>8</v>
      </c>
      <c r="C45967" t="s">
        <v>11139</v>
      </c>
    </row>
    <row r="45969" spans="1:4" x14ac:dyDescent="0.2">
      <c r="A45969" t="s">
        <v>14728</v>
      </c>
      <c r="B45969" t="str">
        <f>HYPERLINK("https://lindat.mff.cuni.cz/services/teitok/pdtc10/index.php?action=vallex&amp;frame=v-w6310hsa_398", "spálit (v-w6310hsa_398)")</f>
        <v>spálit (v-w6310hsa_398)</v>
      </c>
    </row>
    <row r="45970" spans="1:4" x14ac:dyDescent="0.2">
      <c r="B45970" t="s">
        <v>1</v>
      </c>
      <c r="C45970" t="s">
        <v>1125</v>
      </c>
    </row>
    <row r="45971" spans="1:4" x14ac:dyDescent="0.2">
      <c r="B45971" t="s">
        <v>8</v>
      </c>
      <c r="C45971" t="s">
        <v>11139</v>
      </c>
    </row>
    <row r="45973" spans="1:4" x14ac:dyDescent="0.2">
      <c r="A45973" t="s">
        <v>14729</v>
      </c>
      <c r="B45973" t="str">
        <f>HYPERLINK("https://lindat.mff.cuni.cz/services/teitok/pdtc10/index.php?action=vallex&amp;frame=v-w11594_ZUf1_ZU", "spálit se (v-w11594_ZUf1_ZU)")</f>
        <v>spálit se (v-w11594_ZUf1_ZU)</v>
      </c>
    </row>
    <row r="45974" spans="1:4" x14ac:dyDescent="0.2">
      <c r="B45974" t="s">
        <v>1</v>
      </c>
      <c r="C45974" t="s">
        <v>4306</v>
      </c>
      <c r="D45974" t="s">
        <v>10645</v>
      </c>
    </row>
    <row r="45976" spans="1:4" x14ac:dyDescent="0.2">
      <c r="A45976" t="s">
        <v>14730</v>
      </c>
      <c r="B45976" t="str">
        <f>HYPERLINK("https://lindat.mff.cuni.cz/services/teitok/pdtc10/index.php?action=vallex&amp;frame=v-w11594_ZUhsa_294", "spálit se (v-w11594_ZUhsa_294)")</f>
        <v>spálit se (v-w11594_ZUhsa_294)</v>
      </c>
    </row>
    <row r="45977" spans="1:4" x14ac:dyDescent="0.2">
      <c r="B45977" t="s">
        <v>1</v>
      </c>
    </row>
    <row r="45979" spans="1:4" x14ac:dyDescent="0.2">
      <c r="A45979" t="s">
        <v>14731</v>
      </c>
      <c r="B45979" t="str">
        <f>HYPERLINK("https://lindat.mff.cuni.cz/services/teitok/pdtc10/index.php?action=vallex&amp;frame=v-whsa_414hsa_415", "spást (v-whsa_414hsa_415)")</f>
        <v>spást (v-whsa_414hsa_415)</v>
      </c>
    </row>
    <row r="45980" spans="1:4" x14ac:dyDescent="0.2">
      <c r="B45980" t="s">
        <v>1</v>
      </c>
    </row>
    <row r="45981" spans="1:4" x14ac:dyDescent="0.2">
      <c r="B45981" t="s">
        <v>8</v>
      </c>
    </row>
    <row r="45983" spans="1:4" x14ac:dyDescent="0.2">
      <c r="A45983" t="s">
        <v>14732</v>
      </c>
      <c r="B45983" t="str">
        <f>HYPERLINK("https://lindat.mff.cuni.cz/services/teitok/pdtc10/index.php?action=vallex&amp;frame=v-w6315f2_ZU", "spát (v-w6315f2_ZU)")</f>
        <v>spát (v-w6315f2_ZU)</v>
      </c>
    </row>
    <row r="45984" spans="1:4" x14ac:dyDescent="0.2">
      <c r="B45984" t="s">
        <v>1</v>
      </c>
      <c r="C45984" t="s">
        <v>140</v>
      </c>
    </row>
    <row r="45985" spans="1:4" x14ac:dyDescent="0.2">
      <c r="B45985" t="s">
        <v>411</v>
      </c>
    </row>
    <row r="45987" spans="1:4" x14ac:dyDescent="0.2">
      <c r="A45987" t="s">
        <v>14733</v>
      </c>
      <c r="B45987" t="str">
        <f>HYPERLINK("https://lindat.mff.cuni.cz/services/teitok/pdtc10/index.php?action=vallex&amp;frame=v-w6315f1", "spát (v-w6315f1)")</f>
        <v>spát (v-w6315f1)</v>
      </c>
    </row>
    <row r="45988" spans="1:4" x14ac:dyDescent="0.2">
      <c r="B45988" t="s">
        <v>1</v>
      </c>
      <c r="C45988" t="s">
        <v>2239</v>
      </c>
      <c r="D45988" t="s">
        <v>373</v>
      </c>
    </row>
    <row r="45990" spans="1:4" x14ac:dyDescent="0.2">
      <c r="A45990" t="s">
        <v>14734</v>
      </c>
      <c r="B45990" t="str">
        <f>HYPERLINK("https://lindat.mff.cuni.cz/services/teitok/pdtc10/index.php?action=vallex&amp;frame=v-whsa_1818f1_ZU", "spávat (v-whsa_1818f1_ZU)")</f>
        <v>spávat (v-whsa_1818f1_ZU)</v>
      </c>
    </row>
    <row r="45991" spans="1:4" x14ac:dyDescent="0.2">
      <c r="B45991" t="s">
        <v>1</v>
      </c>
    </row>
    <row r="45993" spans="1:4" x14ac:dyDescent="0.2">
      <c r="A45993" t="s">
        <v>14734</v>
      </c>
      <c r="B45993" t="str">
        <f>HYPERLINK("https://lindat.mff.cuni.cz/services/teitok/pdtc10/index.php?action=vallex&amp;frame=v-whsa_1818hsa_1819", "spávat (v-whsa_1818hsa_1819) - substituted with v-whsa_1818f1_ZU")</f>
        <v>spávat (v-whsa_1818hsa_1819) - substituted with v-whsa_1818f1_ZU</v>
      </c>
    </row>
    <row r="45994" spans="1:4" x14ac:dyDescent="0.2">
      <c r="B45994" t="s">
        <v>1</v>
      </c>
    </row>
    <row r="45996" spans="1:4" x14ac:dyDescent="0.2">
      <c r="A45996" t="s">
        <v>14735</v>
      </c>
      <c r="B45996" t="str">
        <f>HYPERLINK("https://lindat.mff.cuni.cz/services/teitok/pdtc10/index.php?action=vallex&amp;frame=v-w10379f3", "spářit (v-w10379f3)")</f>
        <v>spářit (v-w10379f3)</v>
      </c>
    </row>
    <row r="45997" spans="1:4" x14ac:dyDescent="0.2">
      <c r="B45997" t="s">
        <v>1</v>
      </c>
    </row>
    <row r="45998" spans="1:4" x14ac:dyDescent="0.2">
      <c r="B45998" t="s">
        <v>8</v>
      </c>
      <c r="C45998" t="s">
        <v>150</v>
      </c>
    </row>
    <row r="46000" spans="1:4" x14ac:dyDescent="0.2">
      <c r="A46000" t="s">
        <v>14736</v>
      </c>
      <c r="B46000" t="str">
        <f>HYPERLINK("https://lindat.mff.cuni.cz/services/teitok/pdtc10/index.php?action=vallex&amp;frame=v-w6331f1", "spíchnout (v-w6331f1)")</f>
        <v>spíchnout (v-w6331f1)</v>
      </c>
    </row>
    <row r="46001" spans="1:4" x14ac:dyDescent="0.2">
      <c r="B46001" t="s">
        <v>1</v>
      </c>
    </row>
    <row r="46002" spans="1:4" x14ac:dyDescent="0.2">
      <c r="B46002" t="s">
        <v>8</v>
      </c>
    </row>
    <row r="46003" spans="1:4" x14ac:dyDescent="0.2">
      <c r="B46003" t="s">
        <v>24</v>
      </c>
    </row>
    <row r="46005" spans="1:4" x14ac:dyDescent="0.2">
      <c r="A46005" t="s">
        <v>14737</v>
      </c>
      <c r="B46005" t="str">
        <f>HYPERLINK("https://lindat.mff.cuni.cz/services/teitok/pdtc10/index.php?action=vallex&amp;frame=v-w6331f2", "spíchnout (v-w6331f2)")</f>
        <v>spíchnout (v-w6331f2)</v>
      </c>
    </row>
    <row r="46006" spans="1:4" x14ac:dyDescent="0.2">
      <c r="B46006" t="s">
        <v>1</v>
      </c>
    </row>
    <row r="46007" spans="1:4" x14ac:dyDescent="0.2">
      <c r="B46007" t="s">
        <v>8</v>
      </c>
    </row>
    <row r="46008" spans="1:4" x14ac:dyDescent="0.2">
      <c r="B46008" t="s">
        <v>24</v>
      </c>
    </row>
    <row r="46010" spans="1:4" x14ac:dyDescent="0.2">
      <c r="A46010" t="s">
        <v>14738</v>
      </c>
      <c r="B46010" t="str">
        <f>HYPERLINK("https://lindat.mff.cuni.cz/services/teitok/pdtc10/index.php?action=vallex&amp;frame=v-w6333f1", "spílat (v-w6333f1)")</f>
        <v>spílat (v-w6333f1)</v>
      </c>
    </row>
    <row r="46011" spans="1:4" x14ac:dyDescent="0.2">
      <c r="B46011" t="s">
        <v>1</v>
      </c>
      <c r="C46011" t="s">
        <v>140</v>
      </c>
      <c r="D46011" t="s">
        <v>16</v>
      </c>
    </row>
    <row r="46012" spans="1:4" x14ac:dyDescent="0.2">
      <c r="B46012" t="s">
        <v>35</v>
      </c>
      <c r="C46012" t="s">
        <v>2810</v>
      </c>
      <c r="D46012" t="s">
        <v>24194</v>
      </c>
    </row>
    <row r="46013" spans="1:4" x14ac:dyDescent="0.2">
      <c r="B46013" t="s">
        <v>14739</v>
      </c>
      <c r="D46013" t="s">
        <v>4141</v>
      </c>
    </row>
    <row r="46015" spans="1:4" x14ac:dyDescent="0.2">
      <c r="A46015" t="s">
        <v>14740</v>
      </c>
      <c r="B46015" t="str">
        <f>HYPERLINK("https://lindat.mff.cuni.cz/services/teitok/pdtc10/index.php?action=vallex&amp;frame=v-w6326f4_MM", "spěchat (v-w6326f4_MM)")</f>
        <v>spěchat (v-w6326f4_MM)</v>
      </c>
    </row>
    <row r="46016" spans="1:4" x14ac:dyDescent="0.2">
      <c r="B46016" t="s">
        <v>1</v>
      </c>
    </row>
    <row r="46017" spans="1:4" x14ac:dyDescent="0.2">
      <c r="B46017" t="s">
        <v>14741</v>
      </c>
    </row>
    <row r="46019" spans="1:4" x14ac:dyDescent="0.2">
      <c r="A46019" t="s">
        <v>14740</v>
      </c>
      <c r="B46019" t="str">
        <f>HYPERLINK("https://lindat.mff.cuni.cz/services/teitok/pdtc10/index.php?action=vallex&amp;frame=v-w6326f2", "spěchat (v-w6326f2) - substituted with v-w6326f4_MM")</f>
        <v>spěchat (v-w6326f2) - substituted with v-w6326f4_MM</v>
      </c>
    </row>
    <row r="46020" spans="1:4" x14ac:dyDescent="0.2">
      <c r="B46020" t="s">
        <v>1</v>
      </c>
      <c r="C46020" t="s">
        <v>14742</v>
      </c>
    </row>
    <row r="46021" spans="1:4" x14ac:dyDescent="0.2">
      <c r="B46021" t="s">
        <v>14741</v>
      </c>
      <c r="C46021" t="s">
        <v>14743</v>
      </c>
    </row>
    <row r="46023" spans="1:4" x14ac:dyDescent="0.2">
      <c r="A46023" t="s">
        <v>14740</v>
      </c>
      <c r="B46023" t="str">
        <f>HYPERLINK("https://lindat.mff.cuni.cz/services/teitok/pdtc10/index.php?action=vallex&amp;frame=v-w6326hsa_1016", "spěchat (v-w6326hsa_1016) - substituted with v-w6326f4_MM")</f>
        <v>spěchat (v-w6326hsa_1016) - substituted with v-w6326f4_MM</v>
      </c>
    </row>
    <row r="46024" spans="1:4" x14ac:dyDescent="0.2">
      <c r="B46024" t="s">
        <v>1</v>
      </c>
      <c r="C46024" t="s">
        <v>9634</v>
      </c>
      <c r="D46024" t="s">
        <v>23337</v>
      </c>
    </row>
    <row r="46025" spans="1:4" x14ac:dyDescent="0.2">
      <c r="B46025" t="s">
        <v>14741</v>
      </c>
      <c r="D46025" t="s">
        <v>23339</v>
      </c>
    </row>
    <row r="46027" spans="1:4" x14ac:dyDescent="0.2">
      <c r="A46027" t="s">
        <v>14744</v>
      </c>
      <c r="B46027" t="str">
        <f>HYPERLINK("https://lindat.mff.cuni.cz/services/teitok/pdtc10/index.php?action=vallex&amp;frame=v-w6326f1", "spěchat (v-w6326f1)")</f>
        <v>spěchat (v-w6326f1)</v>
      </c>
    </row>
    <row r="46028" spans="1:4" x14ac:dyDescent="0.2">
      <c r="B46028" t="s">
        <v>1</v>
      </c>
      <c r="C46028" t="s">
        <v>14745</v>
      </c>
      <c r="D46028" t="s">
        <v>147</v>
      </c>
    </row>
    <row r="46029" spans="1:4" x14ac:dyDescent="0.2">
      <c r="B46029" t="s">
        <v>90</v>
      </c>
    </row>
    <row r="46031" spans="1:4" x14ac:dyDescent="0.2">
      <c r="A46031" t="s">
        <v>14746</v>
      </c>
      <c r="B46031" t="str">
        <f>HYPERLINK("https://lindat.mff.cuni.cz/services/teitok/pdtc10/index.php?action=vallex&amp;frame=v-w6326f3", "spěchat (v-w6326f3)")</f>
        <v>spěchat (v-w6326f3)</v>
      </c>
    </row>
    <row r="46032" spans="1:4" x14ac:dyDescent="0.2">
      <c r="B46032" t="s">
        <v>1</v>
      </c>
      <c r="C46032" t="s">
        <v>9634</v>
      </c>
    </row>
    <row r="46034" spans="1:4" x14ac:dyDescent="0.2">
      <c r="A46034" t="s">
        <v>14747</v>
      </c>
      <c r="B46034" t="str">
        <f>HYPERLINK("https://lindat.mff.cuni.cz/services/teitok/pdtc10/index.php?action=vallex&amp;frame=v-w10264f2", "spěchávat (v-w10264f2)")</f>
        <v>spěchávat (v-w10264f2)</v>
      </c>
    </row>
    <row r="46035" spans="1:4" x14ac:dyDescent="0.2">
      <c r="B46035" t="s">
        <v>1</v>
      </c>
      <c r="D46035" t="s">
        <v>147</v>
      </c>
    </row>
    <row r="46036" spans="1:4" x14ac:dyDescent="0.2">
      <c r="B46036" t="s">
        <v>90</v>
      </c>
    </row>
    <row r="46038" spans="1:4" x14ac:dyDescent="0.2">
      <c r="A46038" t="s">
        <v>14748</v>
      </c>
      <c r="B46038" t="str">
        <f>HYPERLINK("https://lindat.mff.cuni.cz/services/teitok/pdtc10/index.php?action=vallex&amp;frame=v-w6330f1", "spět (v-w6330f1)")</f>
        <v>spět (v-w6330f1)</v>
      </c>
    </row>
    <row r="46039" spans="1:4" x14ac:dyDescent="0.2">
      <c r="B46039" t="s">
        <v>1</v>
      </c>
      <c r="C46039" t="s">
        <v>2172</v>
      </c>
      <c r="D46039" t="s">
        <v>24195</v>
      </c>
    </row>
    <row r="46040" spans="1:4" x14ac:dyDescent="0.2">
      <c r="B46040" t="s">
        <v>176</v>
      </c>
      <c r="D46040" t="s">
        <v>24196</v>
      </c>
    </row>
    <row r="46042" spans="1:4" x14ac:dyDescent="0.2">
      <c r="A46042" t="s">
        <v>14749</v>
      </c>
      <c r="B46042" t="str">
        <f>HYPERLINK("https://lindat.mff.cuni.cz/services/teitok/pdtc10/index.php?action=vallex&amp;frame=v-w6330f2", "spět (v-w6330f2)")</f>
        <v>spět (v-w6330f2)</v>
      </c>
    </row>
    <row r="46043" spans="1:4" x14ac:dyDescent="0.2">
      <c r="B46043" t="s">
        <v>1</v>
      </c>
    </row>
    <row r="46044" spans="1:4" x14ac:dyDescent="0.2">
      <c r="B46044" t="s">
        <v>90</v>
      </c>
    </row>
    <row r="46046" spans="1:4" x14ac:dyDescent="0.2">
      <c r="A46046" t="s">
        <v>14750</v>
      </c>
      <c r="B46046" t="str">
        <f>HYPERLINK("https://lindat.mff.cuni.cz/services/teitok/pdtc10/index.php?action=vallex&amp;frame=v-w6435f2", "spřádat (v-w6435f2)")</f>
        <v>spřádat (v-w6435f2)</v>
      </c>
    </row>
    <row r="46047" spans="1:4" x14ac:dyDescent="0.2">
      <c r="B46047" t="s">
        <v>1</v>
      </c>
    </row>
    <row r="46048" spans="1:4" x14ac:dyDescent="0.2">
      <c r="B46048" t="s">
        <v>8</v>
      </c>
    </row>
    <row r="46050" spans="1:4" x14ac:dyDescent="0.2">
      <c r="A46050" t="s">
        <v>14751</v>
      </c>
      <c r="B46050" t="str">
        <f>HYPERLINK("https://lindat.mff.cuni.cz/services/teitok/pdtc10/index.php?action=vallex&amp;frame=v-w6435f3", "spřádat (v-w6435f3)")</f>
        <v>spřádat (v-w6435f3)</v>
      </c>
    </row>
    <row r="46051" spans="1:4" x14ac:dyDescent="0.2">
      <c r="B46051" t="s">
        <v>1</v>
      </c>
    </row>
    <row r="46052" spans="1:4" x14ac:dyDescent="0.2">
      <c r="B46052" t="s">
        <v>14752</v>
      </c>
    </row>
    <row r="46054" spans="1:4" x14ac:dyDescent="0.2">
      <c r="A46054" t="s">
        <v>14751</v>
      </c>
      <c r="B46054" t="str">
        <f>HYPERLINK("https://lindat.mff.cuni.cz/services/teitok/pdtc10/index.php?action=vallex&amp;frame=v-w6435f1", "spřádat (v-w6435f1) - substituted with v-w6435f3")</f>
        <v>spřádat (v-w6435f1) - substituted with v-w6435f3</v>
      </c>
    </row>
    <row r="46055" spans="1:4" x14ac:dyDescent="0.2">
      <c r="B46055" t="s">
        <v>1</v>
      </c>
    </row>
    <row r="46056" spans="1:4" x14ac:dyDescent="0.2">
      <c r="B46056" t="s">
        <v>14752</v>
      </c>
    </row>
    <row r="46058" spans="1:4" x14ac:dyDescent="0.2">
      <c r="A46058" t="s">
        <v>14753</v>
      </c>
      <c r="B46058" t="str">
        <f>HYPERLINK("https://lindat.mff.cuni.cz/services/teitok/pdtc10/index.php?action=vallex&amp;frame=v-w11300f1", "spřáhnout se (v-w11300f1)")</f>
        <v>spřáhnout se (v-w11300f1)</v>
      </c>
    </row>
    <row r="46059" spans="1:4" x14ac:dyDescent="0.2">
      <c r="B46059" t="s">
        <v>1</v>
      </c>
      <c r="C46059" t="s">
        <v>4011</v>
      </c>
      <c r="D46059" t="s">
        <v>23233</v>
      </c>
    </row>
    <row r="46060" spans="1:4" x14ac:dyDescent="0.2">
      <c r="B46060" t="s">
        <v>411</v>
      </c>
      <c r="C46060" t="s">
        <v>4060</v>
      </c>
      <c r="D46060" t="s">
        <v>23234</v>
      </c>
    </row>
    <row r="46061" spans="1:4" x14ac:dyDescent="0.2">
      <c r="B46061" t="s">
        <v>2156</v>
      </c>
      <c r="D46061" t="s">
        <v>23829</v>
      </c>
    </row>
    <row r="46063" spans="1:4" x14ac:dyDescent="0.2">
      <c r="A46063" t="s">
        <v>14754</v>
      </c>
      <c r="B46063" t="str">
        <f>HYPERLINK("https://lindat.mff.cuni.cz/services/teitok/pdtc10/index.php?action=vallex&amp;frame=v-w6436f1", "spřátelit se (v-w6436f1)")</f>
        <v>spřátelit se (v-w6436f1)</v>
      </c>
    </row>
    <row r="46064" spans="1:4" x14ac:dyDescent="0.2">
      <c r="B46064" t="s">
        <v>1</v>
      </c>
    </row>
    <row r="46065" spans="1:4" x14ac:dyDescent="0.2">
      <c r="B46065" t="s">
        <v>411</v>
      </c>
    </row>
    <row r="46067" spans="1:4" x14ac:dyDescent="0.2">
      <c r="A46067" t="s">
        <v>14755</v>
      </c>
      <c r="B46067" t="str">
        <f>HYPERLINK("https://lindat.mff.cuni.cz/services/teitok/pdtc10/index.php?action=vallex&amp;frame=v-w6442f3_ZU", "srazit (v-w6442f3_ZU)")</f>
        <v>srazit (v-w6442f3_ZU)</v>
      </c>
    </row>
    <row r="46068" spans="1:4" x14ac:dyDescent="0.2">
      <c r="B46068" t="s">
        <v>1</v>
      </c>
      <c r="C46068" t="s">
        <v>14756</v>
      </c>
      <c r="D46068" t="s">
        <v>23730</v>
      </c>
    </row>
    <row r="46069" spans="1:4" x14ac:dyDescent="0.2">
      <c r="B46069" t="s">
        <v>8</v>
      </c>
      <c r="C46069" t="s">
        <v>14757</v>
      </c>
      <c r="D46069" t="s">
        <v>23731</v>
      </c>
    </row>
    <row r="46070" spans="1:4" x14ac:dyDescent="0.2">
      <c r="B46070" t="s">
        <v>24</v>
      </c>
      <c r="C46070" t="s">
        <v>14758</v>
      </c>
      <c r="D46070" t="s">
        <v>23732</v>
      </c>
    </row>
    <row r="46071" spans="1:4" x14ac:dyDescent="0.2">
      <c r="B46071" t="s">
        <v>61</v>
      </c>
      <c r="C46071" t="s">
        <v>14759</v>
      </c>
      <c r="D46071" t="s">
        <v>23733</v>
      </c>
    </row>
    <row r="46073" spans="1:4" x14ac:dyDescent="0.2">
      <c r="A46073" t="s">
        <v>14760</v>
      </c>
      <c r="B46073" t="str">
        <f>HYPERLINK("https://lindat.mff.cuni.cz/services/teitok/pdtc10/index.php?action=vallex&amp;frame=v-w6442f4_ZU", "srazit (v-w6442f4_ZU)")</f>
        <v>srazit (v-w6442f4_ZU)</v>
      </c>
    </row>
    <row r="46074" spans="1:4" x14ac:dyDescent="0.2">
      <c r="B46074" t="s">
        <v>1</v>
      </c>
      <c r="C46074" t="s">
        <v>140</v>
      </c>
      <c r="D46074" t="s">
        <v>140</v>
      </c>
    </row>
    <row r="46075" spans="1:4" x14ac:dyDescent="0.2">
      <c r="B46075" t="s">
        <v>8</v>
      </c>
      <c r="C46075" t="s">
        <v>113</v>
      </c>
      <c r="D46075" t="s">
        <v>113</v>
      </c>
    </row>
    <row r="46076" spans="1:4" x14ac:dyDescent="0.2">
      <c r="B46076" t="s">
        <v>4622</v>
      </c>
    </row>
    <row r="46078" spans="1:4" x14ac:dyDescent="0.2">
      <c r="A46078" t="s">
        <v>14761</v>
      </c>
      <c r="B46078" t="str">
        <f>HYPERLINK("https://lindat.mff.cuni.cz/services/teitok/pdtc10/index.php?action=vallex&amp;frame=v-w6442f1", "srazit (v-w6442f1)")</f>
        <v>srazit (v-w6442f1)</v>
      </c>
    </row>
    <row r="46079" spans="1:4" x14ac:dyDescent="0.2">
      <c r="B46079" t="s">
        <v>1</v>
      </c>
      <c r="C46079" t="s">
        <v>976</v>
      </c>
    </row>
    <row r="46080" spans="1:4" x14ac:dyDescent="0.2">
      <c r="B46080" t="s">
        <v>8</v>
      </c>
      <c r="C46080" t="s">
        <v>3324</v>
      </c>
    </row>
    <row r="46082" spans="1:2" x14ac:dyDescent="0.2">
      <c r="A46082" t="s">
        <v>14762</v>
      </c>
      <c r="B46082" t="str">
        <f>HYPERLINK("https://lindat.mff.cuni.cz/services/teitok/pdtc10/index.php?action=vallex&amp;frame=v-w6442f2", "srazit (v-w6442f2)")</f>
        <v>srazit (v-w6442f2)</v>
      </c>
    </row>
    <row r="46083" spans="1:2" x14ac:dyDescent="0.2">
      <c r="B46083" t="s">
        <v>1</v>
      </c>
    </row>
    <row r="46084" spans="1:2" x14ac:dyDescent="0.2">
      <c r="B46084" t="s">
        <v>14763</v>
      </c>
    </row>
    <row r="46085" spans="1:2" x14ac:dyDescent="0.2">
      <c r="B46085" t="s">
        <v>8</v>
      </c>
    </row>
    <row r="46087" spans="1:2" x14ac:dyDescent="0.2">
      <c r="A46087" t="s">
        <v>14764</v>
      </c>
      <c r="B46087" t="str">
        <f>HYPERLINK("https://lindat.mff.cuni.cz/services/teitok/pdtc10/index.php?action=vallex&amp;frame=v-w6442f5_ZU", "srazit (v-w6442f5_ZU)")</f>
        <v>srazit (v-w6442f5_ZU)</v>
      </c>
    </row>
    <row r="46088" spans="1:2" x14ac:dyDescent="0.2">
      <c r="B46088" t="s">
        <v>1</v>
      </c>
    </row>
    <row r="46089" spans="1:2" x14ac:dyDescent="0.2">
      <c r="B46089" t="s">
        <v>8</v>
      </c>
    </row>
    <row r="46090" spans="1:2" x14ac:dyDescent="0.2">
      <c r="B46090" t="s">
        <v>24</v>
      </c>
    </row>
    <row r="46091" spans="1:2" x14ac:dyDescent="0.2">
      <c r="B46091" t="s">
        <v>61</v>
      </c>
    </row>
    <row r="46093" spans="1:2" x14ac:dyDescent="0.2">
      <c r="A46093" t="s">
        <v>14764</v>
      </c>
      <c r="B46093" t="str">
        <f>HYPERLINK("https://lindat.mff.cuni.cz/services/teitok/pdtc10/index.php?action=vallex&amp;frame=v-w6442hsa_1584", "srazit (v-w6442hsa_1584) - substituted with v-w6442f5_ZU")</f>
        <v>srazit (v-w6442hsa_1584) - substituted with v-w6442f5_ZU</v>
      </c>
    </row>
    <row r="46094" spans="1:2" x14ac:dyDescent="0.2">
      <c r="B46094" t="s">
        <v>1</v>
      </c>
    </row>
    <row r="46095" spans="1:2" x14ac:dyDescent="0.2">
      <c r="B46095" t="s">
        <v>8</v>
      </c>
    </row>
    <row r="46096" spans="1:2" x14ac:dyDescent="0.2">
      <c r="B46096" t="s">
        <v>24</v>
      </c>
    </row>
    <row r="46097" spans="1:3" x14ac:dyDescent="0.2">
      <c r="B46097" t="s">
        <v>61</v>
      </c>
    </row>
    <row r="46099" spans="1:3" x14ac:dyDescent="0.2">
      <c r="A46099" t="s">
        <v>14765</v>
      </c>
      <c r="B46099" t="str">
        <f>HYPERLINK("https://lindat.mff.cuni.cz/services/teitok/pdtc10/index.php?action=vallex&amp;frame=v-w6443f1", "srazit se (v-w6443f1)")</f>
        <v>srazit se (v-w6443f1)</v>
      </c>
    </row>
    <row r="46100" spans="1:3" x14ac:dyDescent="0.2">
      <c r="B46100" t="s">
        <v>1</v>
      </c>
    </row>
    <row r="46101" spans="1:3" x14ac:dyDescent="0.2">
      <c r="B46101" t="s">
        <v>411</v>
      </c>
    </row>
    <row r="46103" spans="1:3" x14ac:dyDescent="0.2">
      <c r="A46103" t="s">
        <v>14766</v>
      </c>
      <c r="B46103" t="str">
        <f>HYPERLINK("https://lindat.mff.cuni.cz/services/teitok/pdtc10/index.php?action=vallex&amp;frame=v-w11121f2", "srkat (v-w11121f2)")</f>
        <v>srkat (v-w11121f2)</v>
      </c>
    </row>
    <row r="46104" spans="1:3" x14ac:dyDescent="0.2">
      <c r="B46104" t="s">
        <v>1</v>
      </c>
    </row>
    <row r="46105" spans="1:3" x14ac:dyDescent="0.2">
      <c r="B46105" t="s">
        <v>8</v>
      </c>
    </row>
    <row r="46107" spans="1:3" x14ac:dyDescent="0.2">
      <c r="A46107" t="s">
        <v>14767</v>
      </c>
      <c r="B46107" t="str">
        <f>HYPERLINK("https://lindat.mff.cuni.cz/services/teitok/pdtc10/index.php?action=vallex&amp;frame=v-whsa_808hsa_809", "srocovat se (v-whsa_808hsa_809)")</f>
        <v>srocovat se (v-whsa_808hsa_809)</v>
      </c>
    </row>
    <row r="46108" spans="1:3" x14ac:dyDescent="0.2">
      <c r="B46108" t="s">
        <v>1</v>
      </c>
    </row>
    <row r="46110" spans="1:3" x14ac:dyDescent="0.2">
      <c r="A46110" t="s">
        <v>14768</v>
      </c>
      <c r="B46110" t="str">
        <f>HYPERLINK("https://lindat.mff.cuni.cz/services/teitok/pdtc10/index.php?action=vallex&amp;frame=v-w6447f2", "srovnat (v-w6447f2)")</f>
        <v>srovnat (v-w6447f2)</v>
      </c>
    </row>
    <row r="46111" spans="1:3" x14ac:dyDescent="0.2">
      <c r="B46111" t="s">
        <v>1</v>
      </c>
      <c r="C46111" t="s">
        <v>337</v>
      </c>
    </row>
    <row r="46112" spans="1:3" x14ac:dyDescent="0.2">
      <c r="B46112" t="s">
        <v>8</v>
      </c>
      <c r="C46112" t="s">
        <v>6566</v>
      </c>
    </row>
    <row r="46113" spans="1:4" x14ac:dyDescent="0.2">
      <c r="B46113" t="s">
        <v>24</v>
      </c>
    </row>
    <row r="46114" spans="1:4" x14ac:dyDescent="0.2">
      <c r="B46114" t="s">
        <v>61</v>
      </c>
      <c r="C46114" t="s">
        <v>14769</v>
      </c>
    </row>
    <row r="46116" spans="1:4" x14ac:dyDescent="0.2">
      <c r="A46116" t="s">
        <v>14770</v>
      </c>
      <c r="B46116" t="str">
        <f>HYPERLINK("https://lindat.mff.cuni.cz/services/teitok/pdtc10/index.php?action=vallex&amp;frame=v-w6447f1", "srovnat (v-w6447f1)")</f>
        <v>srovnat (v-w6447f1)</v>
      </c>
    </row>
    <row r="46117" spans="1:4" x14ac:dyDescent="0.2">
      <c r="B46117" t="s">
        <v>1</v>
      </c>
      <c r="C46117" t="s">
        <v>230</v>
      </c>
      <c r="D46117" t="s">
        <v>337</v>
      </c>
    </row>
    <row r="46118" spans="1:4" x14ac:dyDescent="0.2">
      <c r="B46118" t="s">
        <v>172</v>
      </c>
      <c r="C46118" t="s">
        <v>4631</v>
      </c>
      <c r="D46118" t="s">
        <v>6566</v>
      </c>
    </row>
    <row r="46119" spans="1:4" x14ac:dyDescent="0.2">
      <c r="B46119" t="s">
        <v>2604</v>
      </c>
      <c r="C46119" t="s">
        <v>9480</v>
      </c>
      <c r="D46119" t="s">
        <v>14769</v>
      </c>
    </row>
    <row r="46121" spans="1:4" x14ac:dyDescent="0.2">
      <c r="A46121" t="s">
        <v>14771</v>
      </c>
      <c r="B46121" t="str">
        <f>HYPERLINK("https://lindat.mff.cuni.cz/services/teitok/pdtc10/index.php?action=vallex&amp;frame=v-w6447f4", "srovnat (v-w6447f4)")</f>
        <v>srovnat (v-w6447f4)</v>
      </c>
    </row>
    <row r="46122" spans="1:4" x14ac:dyDescent="0.2">
      <c r="B46122" t="s">
        <v>1</v>
      </c>
    </row>
    <row r="46123" spans="1:4" x14ac:dyDescent="0.2">
      <c r="B46123" t="s">
        <v>8</v>
      </c>
    </row>
    <row r="46124" spans="1:4" x14ac:dyDescent="0.2">
      <c r="B46124" t="s">
        <v>25</v>
      </c>
    </row>
    <row r="46126" spans="1:4" x14ac:dyDescent="0.2">
      <c r="A46126" t="s">
        <v>14772</v>
      </c>
      <c r="B46126" t="str">
        <f>HYPERLINK("https://lindat.mff.cuni.cz/services/teitok/pdtc10/index.php?action=vallex&amp;frame=v-w6447f6", "srovnat (v-w6447f6)")</f>
        <v>srovnat (v-w6447f6)</v>
      </c>
    </row>
    <row r="46127" spans="1:4" x14ac:dyDescent="0.2">
      <c r="B46127" t="s">
        <v>1</v>
      </c>
    </row>
    <row r="46128" spans="1:4" x14ac:dyDescent="0.2">
      <c r="B46128" t="s">
        <v>8</v>
      </c>
    </row>
    <row r="46130" spans="1:4" x14ac:dyDescent="0.2">
      <c r="A46130" t="s">
        <v>14773</v>
      </c>
      <c r="B46130" t="str">
        <f>HYPERLINK("https://lindat.mff.cuni.cz/services/teitok/pdtc10/index.php?action=vallex&amp;frame=v-w6447f5", "srovnat (v-w6447f5)")</f>
        <v>srovnat (v-w6447f5)</v>
      </c>
    </row>
    <row r="46131" spans="1:4" x14ac:dyDescent="0.2">
      <c r="B46131" t="s">
        <v>1</v>
      </c>
      <c r="D46131" t="s">
        <v>10454</v>
      </c>
    </row>
    <row r="46132" spans="1:4" x14ac:dyDescent="0.2">
      <c r="B46132" t="s">
        <v>8</v>
      </c>
      <c r="D46132" t="s">
        <v>24197</v>
      </c>
    </row>
    <row r="46134" spans="1:4" x14ac:dyDescent="0.2">
      <c r="A46134" t="s">
        <v>14774</v>
      </c>
      <c r="B46134" t="str">
        <f>HYPERLINK("https://lindat.mff.cuni.cz/services/teitok/pdtc10/index.php?action=vallex&amp;frame=v-w6447f3", "srovnat (v-w6447f3)")</f>
        <v>srovnat (v-w6447f3)</v>
      </c>
    </row>
    <row r="46135" spans="1:4" x14ac:dyDescent="0.2">
      <c r="B46135" t="s">
        <v>1</v>
      </c>
    </row>
    <row r="46136" spans="1:4" x14ac:dyDescent="0.2">
      <c r="B46136" t="s">
        <v>14775</v>
      </c>
    </row>
    <row r="46137" spans="1:4" x14ac:dyDescent="0.2">
      <c r="B46137" t="s">
        <v>8</v>
      </c>
      <c r="C46137" t="s">
        <v>991</v>
      </c>
      <c r="D46137" t="s">
        <v>991</v>
      </c>
    </row>
    <row r="46139" spans="1:4" x14ac:dyDescent="0.2">
      <c r="A46139" t="s">
        <v>14776</v>
      </c>
      <c r="B46139" t="str">
        <f>HYPERLINK("https://lindat.mff.cuni.cz/services/teitok/pdtc10/index.php?action=vallex&amp;frame=v-w6447f7_ZU", "srovnat (v-w6447f7_ZU)")</f>
        <v>srovnat (v-w6447f7_ZU)</v>
      </c>
    </row>
    <row r="46140" spans="1:4" x14ac:dyDescent="0.2">
      <c r="B46140" t="s">
        <v>1</v>
      </c>
    </row>
    <row r="46141" spans="1:4" x14ac:dyDescent="0.2">
      <c r="B46141" t="s">
        <v>2388</v>
      </c>
    </row>
    <row r="46142" spans="1:4" x14ac:dyDescent="0.2">
      <c r="B46142" t="s">
        <v>411</v>
      </c>
    </row>
    <row r="46144" spans="1:4" x14ac:dyDescent="0.2">
      <c r="A46144" t="s">
        <v>14777</v>
      </c>
      <c r="B46144" t="str">
        <f>HYPERLINK("https://lindat.mff.cuni.cz/services/teitok/pdtc10/index.php?action=vallex&amp;frame=v-whsa_995hsa_996", "srovnat se (v-whsa_995hsa_996)")</f>
        <v>srovnat se (v-whsa_995hsa_996)</v>
      </c>
    </row>
    <row r="46145" spans="1:4" x14ac:dyDescent="0.2">
      <c r="B46145" t="s">
        <v>1</v>
      </c>
      <c r="C46145" t="s">
        <v>133</v>
      </c>
      <c r="D46145" t="s">
        <v>80</v>
      </c>
    </row>
    <row r="46146" spans="1:4" x14ac:dyDescent="0.2">
      <c r="B46146" t="s">
        <v>411</v>
      </c>
      <c r="C46146" t="s">
        <v>23</v>
      </c>
      <c r="D46146" t="s">
        <v>1066</v>
      </c>
    </row>
    <row r="46148" spans="1:4" x14ac:dyDescent="0.2">
      <c r="A46148" t="s">
        <v>14778</v>
      </c>
      <c r="B46148" t="str">
        <f>HYPERLINK("https://lindat.mff.cuni.cz/services/teitok/pdtc10/index.php?action=vallex&amp;frame=v-whsa_995f2_ZU", "srovnat se (v-whsa_995f2_ZU)")</f>
        <v>srovnat se (v-whsa_995f2_ZU)</v>
      </c>
    </row>
    <row r="46149" spans="1:4" x14ac:dyDescent="0.2">
      <c r="B46149" t="s">
        <v>1</v>
      </c>
    </row>
    <row r="46150" spans="1:4" x14ac:dyDescent="0.2">
      <c r="B46150" t="s">
        <v>46</v>
      </c>
    </row>
    <row r="46152" spans="1:4" x14ac:dyDescent="0.2">
      <c r="A46152" t="s">
        <v>14778</v>
      </c>
      <c r="B46152" t="str">
        <f>HYPERLINK("https://lindat.mff.cuni.cz/services/teitok/pdtc10/index.php?action=vallex&amp;frame=v-whsa_995f1_ZU", "srovnat se (v-whsa_995f1_ZU) - substituted with v-whsa_995f2_ZU")</f>
        <v>srovnat se (v-whsa_995f1_ZU) - substituted with v-whsa_995f2_ZU</v>
      </c>
    </row>
    <row r="46153" spans="1:4" x14ac:dyDescent="0.2">
      <c r="B46153" t="s">
        <v>1</v>
      </c>
    </row>
    <row r="46154" spans="1:4" x14ac:dyDescent="0.2">
      <c r="B46154" t="s">
        <v>46</v>
      </c>
    </row>
    <row r="46156" spans="1:4" x14ac:dyDescent="0.2">
      <c r="A46156" t="s">
        <v>14779</v>
      </c>
      <c r="B46156" t="str">
        <f>HYPERLINK("https://lindat.mff.cuni.cz/services/teitok/pdtc10/index.php?action=vallex&amp;frame=v-w6450f1", "srovnat si (v-w6450f1)")</f>
        <v>srovnat si (v-w6450f1)</v>
      </c>
    </row>
    <row r="46157" spans="1:4" x14ac:dyDescent="0.2">
      <c r="B46157" t="s">
        <v>1</v>
      </c>
    </row>
    <row r="46158" spans="1:4" x14ac:dyDescent="0.2">
      <c r="B46158" t="s">
        <v>1284</v>
      </c>
    </row>
    <row r="46160" spans="1:4" x14ac:dyDescent="0.2">
      <c r="A46160" t="s">
        <v>14780</v>
      </c>
      <c r="B46160" t="str">
        <f>HYPERLINK("https://lindat.mff.cuni.cz/services/teitok/pdtc10/index.php?action=vallex&amp;frame=v-w6452f4", "srovnávat (v-w6452f4)")</f>
        <v>srovnávat (v-w6452f4)</v>
      </c>
    </row>
    <row r="46161" spans="1:4" x14ac:dyDescent="0.2">
      <c r="B46161" t="s">
        <v>1</v>
      </c>
    </row>
    <row r="46162" spans="1:4" x14ac:dyDescent="0.2">
      <c r="B46162" t="s">
        <v>8</v>
      </c>
    </row>
    <row r="46163" spans="1:4" x14ac:dyDescent="0.2">
      <c r="B46163" t="s">
        <v>24</v>
      </c>
    </row>
    <row r="46164" spans="1:4" x14ac:dyDescent="0.2">
      <c r="B46164" t="s">
        <v>61</v>
      </c>
    </row>
    <row r="46166" spans="1:4" x14ac:dyDescent="0.2">
      <c r="A46166" t="s">
        <v>14781</v>
      </c>
      <c r="B46166" t="str">
        <f>HYPERLINK("https://lindat.mff.cuni.cz/services/teitok/pdtc10/index.php?action=vallex&amp;frame=v-w6452f1", "srovnávat (v-w6452f1)")</f>
        <v>srovnávat (v-w6452f1)</v>
      </c>
    </row>
    <row r="46167" spans="1:4" x14ac:dyDescent="0.2">
      <c r="B46167" t="s">
        <v>1</v>
      </c>
      <c r="C46167" t="s">
        <v>337</v>
      </c>
      <c r="D46167" t="s">
        <v>337</v>
      </c>
    </row>
    <row r="46168" spans="1:4" x14ac:dyDescent="0.2">
      <c r="B46168" t="s">
        <v>8</v>
      </c>
      <c r="C46168" t="s">
        <v>14782</v>
      </c>
      <c r="D46168" t="s">
        <v>6566</v>
      </c>
    </row>
    <row r="46169" spans="1:4" x14ac:dyDescent="0.2">
      <c r="B46169" t="s">
        <v>2604</v>
      </c>
      <c r="C46169" t="s">
        <v>14783</v>
      </c>
      <c r="D46169" t="s">
        <v>14769</v>
      </c>
    </row>
    <row r="46171" spans="1:4" x14ac:dyDescent="0.2">
      <c r="A46171" t="s">
        <v>14784</v>
      </c>
      <c r="B46171" t="str">
        <f>HYPERLINK("https://lindat.mff.cuni.cz/services/teitok/pdtc10/index.php?action=vallex&amp;frame=v-w6452f3", "srovnávat (v-w6452f3)")</f>
        <v>srovnávat (v-w6452f3)</v>
      </c>
    </row>
    <row r="46172" spans="1:4" x14ac:dyDescent="0.2">
      <c r="B46172" t="s">
        <v>1</v>
      </c>
    </row>
    <row r="46173" spans="1:4" x14ac:dyDescent="0.2">
      <c r="B46173" t="s">
        <v>8</v>
      </c>
    </row>
    <row r="46174" spans="1:4" x14ac:dyDescent="0.2">
      <c r="B46174" t="s">
        <v>25</v>
      </c>
    </row>
    <row r="46176" spans="1:4" x14ac:dyDescent="0.2">
      <c r="A46176" t="s">
        <v>14785</v>
      </c>
      <c r="B46176" t="str">
        <f>HYPERLINK("https://lindat.mff.cuni.cz/services/teitok/pdtc10/index.php?action=vallex&amp;frame=v-w6452f2", "srovnávat (v-w6452f2)")</f>
        <v>srovnávat (v-w6452f2)</v>
      </c>
    </row>
    <row r="46177" spans="1:4" x14ac:dyDescent="0.2">
      <c r="B46177" t="s">
        <v>1</v>
      </c>
    </row>
    <row r="46178" spans="1:4" x14ac:dyDescent="0.2">
      <c r="B46178" t="s">
        <v>8</v>
      </c>
    </row>
    <row r="46180" spans="1:4" x14ac:dyDescent="0.2">
      <c r="A46180" t="s">
        <v>14786</v>
      </c>
      <c r="B46180" t="str">
        <f>HYPERLINK("https://lindat.mff.cuni.cz/services/teitok/pdtc10/index.php?action=vallex&amp;frame=v-whsa_904hsa_905", "srát (v-whsa_904hsa_905)")</f>
        <v>srát (v-whsa_904hsa_905)</v>
      </c>
    </row>
    <row r="46181" spans="1:4" x14ac:dyDescent="0.2">
      <c r="B46181" t="s">
        <v>1</v>
      </c>
    </row>
    <row r="46182" spans="1:4" x14ac:dyDescent="0.2">
      <c r="B46182" t="s">
        <v>28</v>
      </c>
    </row>
    <row r="46184" spans="1:4" x14ac:dyDescent="0.2">
      <c r="A46184" t="s">
        <v>14787</v>
      </c>
      <c r="B46184" t="str">
        <f>HYPERLINK("https://lindat.mff.cuni.cz/services/teitok/pdtc10/index.php?action=vallex&amp;frame=v-w6444f1", "srážet (v-w6444f1)")</f>
        <v>srážet (v-w6444f1)</v>
      </c>
    </row>
    <row r="46185" spans="1:4" x14ac:dyDescent="0.2">
      <c r="B46185" t="s">
        <v>1</v>
      </c>
    </row>
    <row r="46186" spans="1:4" x14ac:dyDescent="0.2">
      <c r="B46186" t="s">
        <v>8</v>
      </c>
    </row>
    <row r="46187" spans="1:4" x14ac:dyDescent="0.2">
      <c r="B46187" t="s">
        <v>35</v>
      </c>
    </row>
    <row r="46189" spans="1:4" x14ac:dyDescent="0.2">
      <c r="A46189" t="s">
        <v>14788</v>
      </c>
      <c r="B46189" t="str">
        <f>HYPERLINK("https://lindat.mff.cuni.cz/services/teitok/pdtc10/index.php?action=vallex&amp;frame=v-w6444f2", "srážet (v-w6444f2)")</f>
        <v>srážet (v-w6444f2)</v>
      </c>
    </row>
    <row r="46190" spans="1:4" x14ac:dyDescent="0.2">
      <c r="B46190" t="s">
        <v>1</v>
      </c>
      <c r="C46190" t="s">
        <v>14789</v>
      </c>
      <c r="D46190" t="s">
        <v>23730</v>
      </c>
    </row>
    <row r="46191" spans="1:4" x14ac:dyDescent="0.2">
      <c r="B46191" t="s">
        <v>8</v>
      </c>
      <c r="C46191" t="s">
        <v>14790</v>
      </c>
      <c r="D46191" t="s">
        <v>23731</v>
      </c>
    </row>
    <row r="46192" spans="1:4" x14ac:dyDescent="0.2">
      <c r="B46192" t="s">
        <v>24</v>
      </c>
      <c r="D46192" t="s">
        <v>23732</v>
      </c>
    </row>
    <row r="46193" spans="1:4" x14ac:dyDescent="0.2">
      <c r="B46193" t="s">
        <v>61</v>
      </c>
      <c r="D46193" t="s">
        <v>23733</v>
      </c>
    </row>
    <row r="46195" spans="1:4" x14ac:dyDescent="0.2">
      <c r="A46195" t="s">
        <v>14791</v>
      </c>
      <c r="B46195" t="str">
        <f>HYPERLINK("https://lindat.mff.cuni.cz/services/teitok/pdtc10/index.php?action=vallex&amp;frame=v-whsb_44hsa_45", "srážet se (v-whsb_44hsa_45)")</f>
        <v>srážet se (v-whsb_44hsa_45)</v>
      </c>
    </row>
    <row r="46196" spans="1:4" x14ac:dyDescent="0.2">
      <c r="B46196" t="s">
        <v>1</v>
      </c>
    </row>
    <row r="46198" spans="1:4" x14ac:dyDescent="0.2">
      <c r="A46198" t="s">
        <v>14792</v>
      </c>
      <c r="B46198" t="str">
        <f>HYPERLINK("https://lindat.mff.cuni.cz/services/teitok/pdtc10/index.php?action=vallex&amp;frame=v-w6455f1", "srůst (v-w6455f1)")</f>
        <v>srůst (v-w6455f1)</v>
      </c>
    </row>
    <row r="46199" spans="1:4" x14ac:dyDescent="0.2">
      <c r="B46199" t="s">
        <v>1</v>
      </c>
    </row>
    <row r="46200" spans="1:4" x14ac:dyDescent="0.2">
      <c r="B46200" t="s">
        <v>411</v>
      </c>
    </row>
    <row r="46201" spans="1:4" x14ac:dyDescent="0.2">
      <c r="B46201" t="s">
        <v>2156</v>
      </c>
    </row>
    <row r="46203" spans="1:4" x14ac:dyDescent="0.2">
      <c r="A46203" t="s">
        <v>14793</v>
      </c>
      <c r="B46203" t="str">
        <f>HYPERLINK("https://lindat.mff.cuni.cz/services/teitok/pdtc10/index.php?action=vallex&amp;frame=v-w6458f1", "stabilizovat (v-w6458f1)")</f>
        <v>stabilizovat (v-w6458f1)</v>
      </c>
    </row>
    <row r="46204" spans="1:4" x14ac:dyDescent="0.2">
      <c r="B46204" t="s">
        <v>1</v>
      </c>
      <c r="C46204" t="s">
        <v>14794</v>
      </c>
      <c r="D46204" t="s">
        <v>83</v>
      </c>
    </row>
    <row r="46205" spans="1:4" x14ac:dyDescent="0.2">
      <c r="B46205" t="s">
        <v>8</v>
      </c>
      <c r="C46205" t="s">
        <v>14795</v>
      </c>
      <c r="D46205" t="s">
        <v>2235</v>
      </c>
    </row>
    <row r="46207" spans="1:4" x14ac:dyDescent="0.2">
      <c r="A46207" t="s">
        <v>14796</v>
      </c>
      <c r="B46207" t="str">
        <f>HYPERLINK("https://lindat.mff.cuni.cz/services/teitok/pdtc10/index.php?action=vallex&amp;frame=v-w6459f1", "stabilizovat se (v-w6459f1)")</f>
        <v>stabilizovat se (v-w6459f1)</v>
      </c>
    </row>
    <row r="46208" spans="1:4" x14ac:dyDescent="0.2">
      <c r="B46208" t="s">
        <v>1</v>
      </c>
      <c r="C46208" t="s">
        <v>7489</v>
      </c>
      <c r="D46208" t="s">
        <v>24198</v>
      </c>
    </row>
    <row r="46210" spans="1:4" x14ac:dyDescent="0.2">
      <c r="A46210" t="s">
        <v>14797</v>
      </c>
      <c r="B46210" t="str">
        <f>HYPERLINK("https://lindat.mff.cuni.cz/services/teitok/pdtc10/index.php?action=vallex&amp;frame=v-w6465f1", "stagnovat (v-w6465f1)")</f>
        <v>stagnovat (v-w6465f1)</v>
      </c>
    </row>
    <row r="46211" spans="1:4" x14ac:dyDescent="0.2">
      <c r="B46211" t="s">
        <v>1</v>
      </c>
      <c r="C46211" t="s">
        <v>14798</v>
      </c>
      <c r="D46211" t="s">
        <v>24199</v>
      </c>
    </row>
    <row r="46213" spans="1:4" x14ac:dyDescent="0.2">
      <c r="A46213" t="s">
        <v>14799</v>
      </c>
      <c r="B46213" t="str">
        <f>HYPERLINK("https://lindat.mff.cuni.cz/services/teitok/pdtc10/index.php?action=vallex&amp;frame=v-w6471f1", "stahovat (v-w6471f1)")</f>
        <v>stahovat (v-w6471f1)</v>
      </c>
    </row>
    <row r="46214" spans="1:4" x14ac:dyDescent="0.2">
      <c r="B46214" t="s">
        <v>1</v>
      </c>
      <c r="C46214" t="s">
        <v>370</v>
      </c>
      <c r="D46214" t="s">
        <v>3307</v>
      </c>
    </row>
    <row r="46215" spans="1:4" x14ac:dyDescent="0.2">
      <c r="B46215" t="s">
        <v>8</v>
      </c>
      <c r="C46215" t="s">
        <v>6123</v>
      </c>
      <c r="D46215" t="s">
        <v>21244</v>
      </c>
    </row>
    <row r="46216" spans="1:4" x14ac:dyDescent="0.2">
      <c r="B46216" t="s">
        <v>333</v>
      </c>
      <c r="C46216" t="s">
        <v>14800</v>
      </c>
    </row>
    <row r="46218" spans="1:4" x14ac:dyDescent="0.2">
      <c r="A46218" t="s">
        <v>14801</v>
      </c>
      <c r="B46218" t="str">
        <f>HYPERLINK("https://lindat.mff.cuni.cz/services/teitok/pdtc10/index.php?action=vallex&amp;frame=v-w6471f2", "stahovat (v-w6471f2)")</f>
        <v>stahovat (v-w6471f2)</v>
      </c>
    </row>
    <row r="46219" spans="1:4" x14ac:dyDescent="0.2">
      <c r="B46219" t="s">
        <v>1</v>
      </c>
    </row>
    <row r="46220" spans="1:4" x14ac:dyDescent="0.2">
      <c r="B46220" t="s">
        <v>8</v>
      </c>
      <c r="C46220" t="s">
        <v>14802</v>
      </c>
    </row>
    <row r="46222" spans="1:4" x14ac:dyDescent="0.2">
      <c r="A46222" t="s">
        <v>14803</v>
      </c>
      <c r="B46222" t="str">
        <f>HYPERLINK("https://lindat.mff.cuni.cz/services/teitok/pdtc10/index.php?action=vallex&amp;frame=v-w6471f3_ZU", "stahovat (v-w6471f3_ZU)")</f>
        <v>stahovat (v-w6471f3_ZU)</v>
      </c>
    </row>
    <row r="46223" spans="1:4" x14ac:dyDescent="0.2">
      <c r="B46223" t="s">
        <v>1</v>
      </c>
      <c r="C46223" t="s">
        <v>5475</v>
      </c>
      <c r="D46223" t="s">
        <v>23598</v>
      </c>
    </row>
    <row r="46224" spans="1:4" x14ac:dyDescent="0.2">
      <c r="B46224" t="s">
        <v>8</v>
      </c>
      <c r="C46224" t="s">
        <v>14804</v>
      </c>
      <c r="D46224" t="s">
        <v>23599</v>
      </c>
    </row>
    <row r="46226" spans="1:2" x14ac:dyDescent="0.2">
      <c r="A46226" t="s">
        <v>14805</v>
      </c>
      <c r="B46226" t="str">
        <f>HYPERLINK("https://lindat.mff.cuni.cz/services/teitok/pdtc10/index.php?action=vallex&amp;frame=v-w6471f4_ZU", "stahovat (v-w6471f4_ZU)")</f>
        <v>stahovat (v-w6471f4_ZU)</v>
      </c>
    </row>
    <row r="46227" spans="1:2" x14ac:dyDescent="0.2">
      <c r="B46227" t="s">
        <v>1</v>
      </c>
    </row>
    <row r="46228" spans="1:2" x14ac:dyDescent="0.2">
      <c r="B46228" t="s">
        <v>14806</v>
      </c>
    </row>
    <row r="46230" spans="1:2" x14ac:dyDescent="0.2">
      <c r="A46230" t="s">
        <v>14805</v>
      </c>
      <c r="B46230" t="str">
        <f>HYPERLINK("https://lindat.mff.cuni.cz/services/teitok/pdtc10/index.php?action=vallex&amp;frame=v-w6471hsa_474", "stahovat (v-w6471hsa_474) - substituted with v-w6471f4_ZU")</f>
        <v>stahovat (v-w6471hsa_474) - substituted with v-w6471f4_ZU</v>
      </c>
    </row>
    <row r="46231" spans="1:2" x14ac:dyDescent="0.2">
      <c r="B46231" t="s">
        <v>1</v>
      </c>
    </row>
    <row r="46232" spans="1:2" x14ac:dyDescent="0.2">
      <c r="B46232" t="s">
        <v>14806</v>
      </c>
    </row>
    <row r="46234" spans="1:2" x14ac:dyDescent="0.2">
      <c r="A46234" t="s">
        <v>14807</v>
      </c>
      <c r="B46234" t="str">
        <f>HYPERLINK("https://lindat.mff.cuni.cz/services/teitok/pdtc10/index.php?action=vallex&amp;frame=v-w6471f5_ZU", "stahovat (v-w6471f5_ZU)")</f>
        <v>stahovat (v-w6471f5_ZU)</v>
      </c>
    </row>
    <row r="46235" spans="1:2" x14ac:dyDescent="0.2">
      <c r="B46235" t="s">
        <v>1</v>
      </c>
    </row>
    <row r="46236" spans="1:2" x14ac:dyDescent="0.2">
      <c r="B46236" t="s">
        <v>8</v>
      </c>
    </row>
    <row r="46238" spans="1:2" x14ac:dyDescent="0.2">
      <c r="A46238" t="s">
        <v>14808</v>
      </c>
      <c r="B46238" t="str">
        <f>HYPERLINK("https://lindat.mff.cuni.cz/services/teitok/pdtc10/index.php?action=vallex&amp;frame=v-w6471f6_MM", "stahovat (v-w6471f6_MM)")</f>
        <v>stahovat (v-w6471f6_MM)</v>
      </c>
    </row>
    <row r="46239" spans="1:2" x14ac:dyDescent="0.2">
      <c r="B46239" t="s">
        <v>1</v>
      </c>
    </row>
    <row r="46240" spans="1:2" x14ac:dyDescent="0.2">
      <c r="B46240" t="s">
        <v>8</v>
      </c>
    </row>
    <row r="46242" spans="1:4" x14ac:dyDescent="0.2">
      <c r="A46242" t="s">
        <v>14809</v>
      </c>
      <c r="B46242" t="str">
        <f>HYPERLINK("https://lindat.mff.cuni.cz/services/teitok/pdtc10/index.php?action=vallex&amp;frame=v-w6472f3_ZU", "stahovat se (v-w6472f3_ZU)")</f>
        <v>stahovat se (v-w6472f3_ZU)</v>
      </c>
    </row>
    <row r="46243" spans="1:4" x14ac:dyDescent="0.2">
      <c r="B46243" t="s">
        <v>1</v>
      </c>
      <c r="C46243" t="s">
        <v>14810</v>
      </c>
      <c r="D46243" t="s">
        <v>23091</v>
      </c>
    </row>
    <row r="46244" spans="1:4" x14ac:dyDescent="0.2">
      <c r="B46244" t="s">
        <v>4622</v>
      </c>
      <c r="D46244" t="s">
        <v>7666</v>
      </c>
    </row>
    <row r="46246" spans="1:4" x14ac:dyDescent="0.2">
      <c r="A46246" t="s">
        <v>14811</v>
      </c>
      <c r="B46246" t="str">
        <f>HYPERLINK("https://lindat.mff.cuni.cz/services/teitok/pdtc10/index.php?action=vallex&amp;frame=v-w6472f2", "stahovat se (v-w6472f2)")</f>
        <v>stahovat se (v-w6472f2)</v>
      </c>
    </row>
    <row r="46247" spans="1:4" x14ac:dyDescent="0.2">
      <c r="B46247" t="s">
        <v>1</v>
      </c>
    </row>
    <row r="46248" spans="1:4" x14ac:dyDescent="0.2">
      <c r="B46248" t="s">
        <v>90</v>
      </c>
    </row>
    <row r="46250" spans="1:4" x14ac:dyDescent="0.2">
      <c r="A46250" t="s">
        <v>14812</v>
      </c>
      <c r="B46250" t="str">
        <f>HYPERLINK("https://lindat.mff.cuni.cz/services/teitok/pdtc10/index.php?action=vallex&amp;frame=v-w6472f1", "stahovat se (v-w6472f1)")</f>
        <v>stahovat se (v-w6472f1)</v>
      </c>
    </row>
    <row r="46251" spans="1:4" x14ac:dyDescent="0.2">
      <c r="B46251" t="s">
        <v>14813</v>
      </c>
    </row>
    <row r="46252" spans="1:4" x14ac:dyDescent="0.2">
      <c r="B46252" t="s">
        <v>14814</v>
      </c>
    </row>
    <row r="46254" spans="1:4" x14ac:dyDescent="0.2">
      <c r="A46254" t="s">
        <v>14815</v>
      </c>
      <c r="B46254" t="str">
        <f>HYPERLINK("https://lindat.mff.cuni.cz/services/teitok/pdtc10/index.php?action=vallex&amp;frame=v-w11067f2", "standardizovat (v-w11067f2)")</f>
        <v>standardizovat (v-w11067f2)</v>
      </c>
    </row>
    <row r="46255" spans="1:4" x14ac:dyDescent="0.2">
      <c r="B46255" t="s">
        <v>1</v>
      </c>
      <c r="C46255" t="s">
        <v>140</v>
      </c>
      <c r="D46255" t="s">
        <v>23458</v>
      </c>
    </row>
    <row r="46256" spans="1:4" x14ac:dyDescent="0.2">
      <c r="B46256" t="s">
        <v>8</v>
      </c>
      <c r="C46256" t="s">
        <v>113</v>
      </c>
      <c r="D46256" t="s">
        <v>2240</v>
      </c>
    </row>
    <row r="46258" spans="1:4" x14ac:dyDescent="0.2">
      <c r="A46258" t="s">
        <v>14816</v>
      </c>
      <c r="B46258" t="str">
        <f>HYPERLINK("https://lindat.mff.cuni.cz/services/teitok/pdtc10/index.php?action=vallex&amp;frame=v-w6475f2", "stanout (v-w6475f2)")</f>
        <v>stanout (v-w6475f2)</v>
      </c>
    </row>
    <row r="46259" spans="1:4" x14ac:dyDescent="0.2">
      <c r="B46259" t="s">
        <v>1</v>
      </c>
    </row>
    <row r="46260" spans="1:4" x14ac:dyDescent="0.2">
      <c r="B46260" t="s">
        <v>2360</v>
      </c>
    </row>
    <row r="46262" spans="1:4" x14ac:dyDescent="0.2">
      <c r="A46262" t="s">
        <v>14817</v>
      </c>
      <c r="B46262" t="str">
        <f>HYPERLINK("https://lindat.mff.cuni.cz/services/teitok/pdtc10/index.php?action=vallex&amp;frame=v-w6475f1", "stanout (v-w6475f1)")</f>
        <v>stanout (v-w6475f1)</v>
      </c>
    </row>
    <row r="46263" spans="1:4" x14ac:dyDescent="0.2">
      <c r="B46263" t="s">
        <v>1</v>
      </c>
      <c r="C46263" t="s">
        <v>14818</v>
      </c>
      <c r="D46263" t="s">
        <v>4529</v>
      </c>
    </row>
    <row r="46264" spans="1:4" x14ac:dyDescent="0.2">
      <c r="B46264" t="s">
        <v>5</v>
      </c>
      <c r="C46264" t="s">
        <v>14819</v>
      </c>
      <c r="D46264" t="s">
        <v>24200</v>
      </c>
    </row>
    <row r="46266" spans="1:4" x14ac:dyDescent="0.2">
      <c r="A46266" t="s">
        <v>14820</v>
      </c>
      <c r="B46266" t="str">
        <f>HYPERLINK("https://lindat.mff.cuni.cz/services/teitok/pdtc10/index.php?action=vallex&amp;frame=v-whsa_1788hsa_1789", "stanovat (v-whsa_1788hsa_1789)")</f>
        <v>stanovat (v-whsa_1788hsa_1789)</v>
      </c>
    </row>
    <row r="46267" spans="1:4" x14ac:dyDescent="0.2">
      <c r="B46267" t="s">
        <v>1</v>
      </c>
    </row>
    <row r="46268" spans="1:4" x14ac:dyDescent="0.2">
      <c r="B46268" t="s">
        <v>5</v>
      </c>
    </row>
    <row r="46270" spans="1:4" x14ac:dyDescent="0.2">
      <c r="A46270" t="s">
        <v>14821</v>
      </c>
      <c r="B46270" t="str">
        <f>HYPERLINK("https://lindat.mff.cuni.cz/services/teitok/pdtc10/index.php?action=vallex&amp;frame=v-w6480f2", "stanovit (v-w6480f2)")</f>
        <v>stanovit (v-w6480f2)</v>
      </c>
    </row>
    <row r="46271" spans="1:4" x14ac:dyDescent="0.2">
      <c r="B46271" t="s">
        <v>1</v>
      </c>
      <c r="C46271" t="s">
        <v>14822</v>
      </c>
      <c r="D46271" t="s">
        <v>24201</v>
      </c>
    </row>
    <row r="46272" spans="1:4" x14ac:dyDescent="0.2">
      <c r="B46272" t="s">
        <v>8</v>
      </c>
      <c r="C46272" t="s">
        <v>14823</v>
      </c>
      <c r="D46272" t="s">
        <v>24202</v>
      </c>
    </row>
    <row r="46273" spans="1:4" x14ac:dyDescent="0.2">
      <c r="B46273" t="s">
        <v>78</v>
      </c>
      <c r="C46273" t="s">
        <v>2573</v>
      </c>
      <c r="D46273" t="s">
        <v>24203</v>
      </c>
    </row>
    <row r="46274" spans="1:4" x14ac:dyDescent="0.2">
      <c r="B46274" t="s">
        <v>2491</v>
      </c>
      <c r="D46274" t="s">
        <v>23248</v>
      </c>
    </row>
    <row r="46276" spans="1:4" x14ac:dyDescent="0.2">
      <c r="A46276" t="s">
        <v>14824</v>
      </c>
      <c r="B46276" t="str">
        <f>HYPERLINK("https://lindat.mff.cuni.cz/services/teitok/pdtc10/index.php?action=vallex&amp;frame=v-w6480f4", "stanovit (v-w6480f4)")</f>
        <v>stanovit (v-w6480f4)</v>
      </c>
    </row>
    <row r="46277" spans="1:4" x14ac:dyDescent="0.2">
      <c r="B46277" t="s">
        <v>1</v>
      </c>
    </row>
    <row r="46278" spans="1:4" x14ac:dyDescent="0.2">
      <c r="B46278" t="s">
        <v>8</v>
      </c>
    </row>
    <row r="46279" spans="1:4" x14ac:dyDescent="0.2">
      <c r="B46279" t="s">
        <v>14825</v>
      </c>
    </row>
    <row r="46281" spans="1:4" x14ac:dyDescent="0.2">
      <c r="A46281" t="s">
        <v>14826</v>
      </c>
      <c r="B46281" t="str">
        <f>HYPERLINK("https://lindat.mff.cuni.cz/services/teitok/pdtc10/index.php?action=vallex&amp;frame=v-w6480f3", "stanovit (v-w6480f3)")</f>
        <v>stanovit (v-w6480f3)</v>
      </c>
    </row>
    <row r="46282" spans="1:4" x14ac:dyDescent="0.2">
      <c r="B46282" t="s">
        <v>1</v>
      </c>
      <c r="C46282" t="s">
        <v>9585</v>
      </c>
      <c r="D46282" t="s">
        <v>23042</v>
      </c>
    </row>
    <row r="46283" spans="1:4" x14ac:dyDescent="0.2">
      <c r="B46283" t="s">
        <v>41</v>
      </c>
      <c r="C46283" t="s">
        <v>14827</v>
      </c>
      <c r="D46283" t="s">
        <v>23043</v>
      </c>
    </row>
    <row r="46284" spans="1:4" x14ac:dyDescent="0.2">
      <c r="B46284" t="s">
        <v>61</v>
      </c>
      <c r="C46284" t="s">
        <v>6965</v>
      </c>
      <c r="D46284" t="s">
        <v>23044</v>
      </c>
    </row>
    <row r="46286" spans="1:4" x14ac:dyDescent="0.2">
      <c r="A46286" t="s">
        <v>14828</v>
      </c>
      <c r="B46286" t="str">
        <f>HYPERLINK("https://lindat.mff.cuni.cz/services/teitok/pdtc10/index.php?action=vallex&amp;frame=v-w6480f5_ZU", "stanovit (v-w6480f5_ZU)")</f>
        <v>stanovit (v-w6480f5_ZU)</v>
      </c>
    </row>
    <row r="46287" spans="1:4" x14ac:dyDescent="0.2">
      <c r="B46287" t="s">
        <v>1</v>
      </c>
      <c r="D46287" t="s">
        <v>23918</v>
      </c>
    </row>
    <row r="46288" spans="1:4" x14ac:dyDescent="0.2">
      <c r="B46288" t="s">
        <v>7150</v>
      </c>
      <c r="D46288" t="s">
        <v>24204</v>
      </c>
    </row>
    <row r="46290" spans="1:4" x14ac:dyDescent="0.2">
      <c r="A46290" t="s">
        <v>14828</v>
      </c>
      <c r="B46290" t="str">
        <f>HYPERLINK("https://lindat.mff.cuni.cz/services/teitok/pdtc10/index.php?action=vallex&amp;frame=v-w6480f1", "stanovit (v-w6480f1) - substituted with v-w6480f5_ZU")</f>
        <v>stanovit (v-w6480f1) - substituted with v-w6480f5_ZU</v>
      </c>
    </row>
    <row r="46291" spans="1:4" x14ac:dyDescent="0.2">
      <c r="B46291" t="s">
        <v>1</v>
      </c>
      <c r="C46291" t="s">
        <v>14829</v>
      </c>
    </row>
    <row r="46292" spans="1:4" x14ac:dyDescent="0.2">
      <c r="B46292" t="s">
        <v>7150</v>
      </c>
      <c r="C46292" t="s">
        <v>14830</v>
      </c>
    </row>
    <row r="46294" spans="1:4" x14ac:dyDescent="0.2">
      <c r="A46294" t="s">
        <v>14831</v>
      </c>
      <c r="B46294" t="str">
        <f>HYPERLINK("https://lindat.mff.cuni.cz/services/teitok/pdtc10/index.php?action=vallex&amp;frame=v-w6482f3", "stanovovat (v-w6482f3)")</f>
        <v>stanovovat (v-w6482f3)</v>
      </c>
    </row>
    <row r="46295" spans="1:4" x14ac:dyDescent="0.2">
      <c r="B46295" t="s">
        <v>1</v>
      </c>
      <c r="C46295" t="s">
        <v>2303</v>
      </c>
      <c r="D46295" t="s">
        <v>23815</v>
      </c>
    </row>
    <row r="46296" spans="1:4" x14ac:dyDescent="0.2">
      <c r="B46296" t="s">
        <v>5069</v>
      </c>
      <c r="C46296" t="s">
        <v>125</v>
      </c>
      <c r="D46296" t="s">
        <v>23816</v>
      </c>
    </row>
    <row r="46297" spans="1:4" x14ac:dyDescent="0.2">
      <c r="B46297" t="s">
        <v>78</v>
      </c>
      <c r="D46297" t="s">
        <v>23817</v>
      </c>
    </row>
    <row r="46298" spans="1:4" x14ac:dyDescent="0.2">
      <c r="B46298" t="s">
        <v>2491</v>
      </c>
    </row>
    <row r="46300" spans="1:4" x14ac:dyDescent="0.2">
      <c r="A46300" t="s">
        <v>14832</v>
      </c>
      <c r="B46300" t="str">
        <f>HYPERLINK("https://lindat.mff.cuni.cz/services/teitok/pdtc10/index.php?action=vallex&amp;frame=v-w6482f2", "stanovovat (v-w6482f2)")</f>
        <v>stanovovat (v-w6482f2)</v>
      </c>
    </row>
    <row r="46301" spans="1:4" x14ac:dyDescent="0.2">
      <c r="B46301" t="s">
        <v>1</v>
      </c>
      <c r="C46301" t="s">
        <v>3064</v>
      </c>
      <c r="D46301" t="s">
        <v>23042</v>
      </c>
    </row>
    <row r="46302" spans="1:4" x14ac:dyDescent="0.2">
      <c r="B46302" t="s">
        <v>41</v>
      </c>
      <c r="C46302" t="s">
        <v>14833</v>
      </c>
      <c r="D46302" t="s">
        <v>23043</v>
      </c>
    </row>
    <row r="46303" spans="1:4" x14ac:dyDescent="0.2">
      <c r="B46303" t="s">
        <v>61</v>
      </c>
      <c r="D46303" t="s">
        <v>23044</v>
      </c>
    </row>
    <row r="46305" spans="1:4" x14ac:dyDescent="0.2">
      <c r="A46305" t="s">
        <v>14834</v>
      </c>
      <c r="B46305" t="str">
        <f>HYPERLINK("https://lindat.mff.cuni.cz/services/teitok/pdtc10/index.php?action=vallex&amp;frame=v-w6482f1", "stanovovat (v-w6482f1)")</f>
        <v>stanovovat (v-w6482f1)</v>
      </c>
    </row>
    <row r="46306" spans="1:4" x14ac:dyDescent="0.2">
      <c r="B46306" t="s">
        <v>1</v>
      </c>
      <c r="C46306" t="s">
        <v>8467</v>
      </c>
      <c r="D46306" t="s">
        <v>23918</v>
      </c>
    </row>
    <row r="46307" spans="1:4" x14ac:dyDescent="0.2">
      <c r="B46307" t="s">
        <v>8</v>
      </c>
      <c r="C46307" t="s">
        <v>14835</v>
      </c>
      <c r="D46307" t="s">
        <v>24204</v>
      </c>
    </row>
    <row r="46309" spans="1:4" x14ac:dyDescent="0.2">
      <c r="A46309" t="s">
        <v>14836</v>
      </c>
      <c r="B46309" t="str">
        <f>HYPERLINK("https://lindat.mff.cuni.cz/services/teitok/pdtc10/index.php?action=vallex&amp;frame=v-w6483f1", "starat se (v-w6483f1)")</f>
        <v>starat se (v-w6483f1)</v>
      </c>
    </row>
    <row r="46310" spans="1:4" x14ac:dyDescent="0.2">
      <c r="B46310" t="s">
        <v>1</v>
      </c>
      <c r="C46310" t="s">
        <v>14837</v>
      </c>
      <c r="D46310" t="s">
        <v>23386</v>
      </c>
    </row>
    <row r="46311" spans="1:4" x14ac:dyDescent="0.2">
      <c r="B46311" t="s">
        <v>9640</v>
      </c>
      <c r="C46311" t="s">
        <v>14838</v>
      </c>
      <c r="D46311" t="s">
        <v>2439</v>
      </c>
    </row>
    <row r="46313" spans="1:4" x14ac:dyDescent="0.2">
      <c r="A46313" t="s">
        <v>14839</v>
      </c>
      <c r="B46313" t="str">
        <f>HYPERLINK("https://lindat.mff.cuni.cz/services/teitok/pdtc10/index.php?action=vallex&amp;frame=v-w6490f3", "startovat (v-w6490f3)")</f>
        <v>startovat (v-w6490f3)</v>
      </c>
    </row>
    <row r="46314" spans="1:4" x14ac:dyDescent="0.2">
      <c r="B46314" t="s">
        <v>1</v>
      </c>
    </row>
    <row r="46315" spans="1:4" x14ac:dyDescent="0.2">
      <c r="B46315" t="s">
        <v>8</v>
      </c>
    </row>
    <row r="46317" spans="1:4" x14ac:dyDescent="0.2">
      <c r="A46317" t="s">
        <v>14840</v>
      </c>
      <c r="B46317" t="str">
        <f>HYPERLINK("https://lindat.mff.cuni.cz/services/teitok/pdtc10/index.php?action=vallex&amp;frame=v-w6490f1", "startovat (v-w6490f1)")</f>
        <v>startovat (v-w6490f1)</v>
      </c>
    </row>
    <row r="46318" spans="1:4" x14ac:dyDescent="0.2">
      <c r="B46318" t="s">
        <v>1</v>
      </c>
    </row>
    <row r="46320" spans="1:4" x14ac:dyDescent="0.2">
      <c r="A46320" t="s">
        <v>14841</v>
      </c>
      <c r="B46320" t="str">
        <f>HYPERLINK("https://lindat.mff.cuni.cz/services/teitok/pdtc10/index.php?action=vallex&amp;frame=v-w6490f2", "startovat (v-w6490f2)")</f>
        <v>startovat (v-w6490f2)</v>
      </c>
    </row>
    <row r="46321" spans="1:4" x14ac:dyDescent="0.2">
      <c r="B46321" t="s">
        <v>1</v>
      </c>
    </row>
    <row r="46323" spans="1:4" x14ac:dyDescent="0.2">
      <c r="A46323" t="s">
        <v>14842</v>
      </c>
      <c r="B46323" t="str">
        <f>HYPERLINK("https://lindat.mff.cuni.cz/services/teitok/pdtc10/index.php?action=vallex&amp;frame=v-w6490hsa_1188", "startovat (v-w6490hsa_1188)")</f>
        <v>startovat (v-w6490hsa_1188)</v>
      </c>
    </row>
    <row r="46324" spans="1:4" x14ac:dyDescent="0.2">
      <c r="B46324" t="s">
        <v>1</v>
      </c>
    </row>
    <row r="46325" spans="1:4" x14ac:dyDescent="0.2">
      <c r="B46325" t="s">
        <v>8</v>
      </c>
    </row>
    <row r="46327" spans="1:4" x14ac:dyDescent="0.2">
      <c r="A46327" t="s">
        <v>14843</v>
      </c>
      <c r="B46327" t="str">
        <f>HYPERLINK("https://lindat.mff.cuni.cz/services/teitok/pdtc10/index.php?action=vallex&amp;frame=v-w6507f2", "stavit (v-w6507f2)")</f>
        <v>stavit (v-w6507f2)</v>
      </c>
    </row>
    <row r="46328" spans="1:4" x14ac:dyDescent="0.2">
      <c r="B46328" t="s">
        <v>1</v>
      </c>
      <c r="C46328" t="s">
        <v>4807</v>
      </c>
      <c r="D46328" t="s">
        <v>23418</v>
      </c>
    </row>
    <row r="46329" spans="1:4" x14ac:dyDescent="0.2">
      <c r="B46329" t="s">
        <v>8</v>
      </c>
      <c r="C46329" t="s">
        <v>4132</v>
      </c>
      <c r="D46329" t="s">
        <v>23419</v>
      </c>
    </row>
    <row r="46330" spans="1:4" x14ac:dyDescent="0.2">
      <c r="B46330" t="s">
        <v>442</v>
      </c>
      <c r="C46330" t="s">
        <v>14844</v>
      </c>
      <c r="D46330" t="s">
        <v>10345</v>
      </c>
    </row>
    <row r="46332" spans="1:4" x14ac:dyDescent="0.2">
      <c r="A46332" t="s">
        <v>14845</v>
      </c>
      <c r="B46332" t="str">
        <f>HYPERLINK("https://lindat.mff.cuni.cz/services/teitok/pdtc10/index.php?action=vallex&amp;frame=v-w6507f1", "stavit (v-w6507f1)")</f>
        <v>stavit (v-w6507f1)</v>
      </c>
    </row>
    <row r="46333" spans="1:4" x14ac:dyDescent="0.2">
      <c r="B46333" t="s">
        <v>1</v>
      </c>
      <c r="C46333" t="s">
        <v>249</v>
      </c>
    </row>
    <row r="46334" spans="1:4" x14ac:dyDescent="0.2">
      <c r="B46334" t="s">
        <v>8</v>
      </c>
      <c r="C46334" t="s">
        <v>23</v>
      </c>
    </row>
    <row r="46335" spans="1:4" x14ac:dyDescent="0.2">
      <c r="B46335" t="s">
        <v>205</v>
      </c>
      <c r="C46335" t="s">
        <v>14846</v>
      </c>
    </row>
    <row r="46337" spans="1:4" x14ac:dyDescent="0.2">
      <c r="A46337" t="s">
        <v>14847</v>
      </c>
      <c r="B46337" t="str">
        <f>HYPERLINK("https://lindat.mff.cuni.cz/services/teitok/pdtc10/index.php?action=vallex&amp;frame=v-w6507f3_ZU", "stavit (v-w6507f3_ZU)")</f>
        <v>stavit (v-w6507f3_ZU)</v>
      </c>
    </row>
    <row r="46338" spans="1:4" x14ac:dyDescent="0.2">
      <c r="B46338" t="s">
        <v>1</v>
      </c>
    </row>
    <row r="46339" spans="1:4" x14ac:dyDescent="0.2">
      <c r="B46339" t="s">
        <v>8</v>
      </c>
    </row>
    <row r="46340" spans="1:4" x14ac:dyDescent="0.2">
      <c r="B46340" t="s">
        <v>24</v>
      </c>
    </row>
    <row r="46342" spans="1:4" x14ac:dyDescent="0.2">
      <c r="A46342" t="s">
        <v>14847</v>
      </c>
      <c r="B46342" t="str">
        <f>HYPERLINK("https://lindat.mff.cuni.cz/services/teitok/pdtc10/index.php?action=vallex&amp;frame=v-w6507hsa_564", "stavit (v-w6507hsa_564) - substituted with v-w6507f3_ZU")</f>
        <v>stavit (v-w6507hsa_564) - substituted with v-w6507f3_ZU</v>
      </c>
    </row>
    <row r="46343" spans="1:4" x14ac:dyDescent="0.2">
      <c r="B46343" t="s">
        <v>1</v>
      </c>
    </row>
    <row r="46344" spans="1:4" x14ac:dyDescent="0.2">
      <c r="B46344" t="s">
        <v>8</v>
      </c>
    </row>
    <row r="46345" spans="1:4" x14ac:dyDescent="0.2">
      <c r="B46345" t="s">
        <v>24</v>
      </c>
    </row>
    <row r="46347" spans="1:4" x14ac:dyDescent="0.2">
      <c r="A46347" t="s">
        <v>14848</v>
      </c>
      <c r="B46347" t="str">
        <f>HYPERLINK("https://lindat.mff.cuni.cz/services/teitok/pdtc10/index.php?action=vallex&amp;frame=v-w6509f1", "stavit se (v-w6509f1)")</f>
        <v>stavit se (v-w6509f1)</v>
      </c>
    </row>
    <row r="46348" spans="1:4" x14ac:dyDescent="0.2">
      <c r="B46348" t="s">
        <v>1</v>
      </c>
      <c r="C46348" t="s">
        <v>7920</v>
      </c>
      <c r="D46348" t="s">
        <v>23331</v>
      </c>
    </row>
    <row r="46349" spans="1:4" x14ac:dyDescent="0.2">
      <c r="B46349" t="s">
        <v>14849</v>
      </c>
      <c r="C46349" t="s">
        <v>7921</v>
      </c>
      <c r="D46349" t="s">
        <v>23332</v>
      </c>
    </row>
    <row r="46351" spans="1:4" x14ac:dyDescent="0.2">
      <c r="A46351" t="s">
        <v>14850</v>
      </c>
      <c r="B46351" t="str">
        <f>HYPERLINK("https://lindat.mff.cuni.cz/services/teitok/pdtc10/index.php?action=vallex&amp;frame=v-w6509f2", "stavit se (v-w6509f2)")</f>
        <v>stavit se (v-w6509f2)</v>
      </c>
    </row>
    <row r="46352" spans="1:4" x14ac:dyDescent="0.2">
      <c r="B46352" t="s">
        <v>1</v>
      </c>
    </row>
    <row r="46353" spans="1:4" x14ac:dyDescent="0.2">
      <c r="B46353" t="s">
        <v>5</v>
      </c>
    </row>
    <row r="46355" spans="1:4" x14ac:dyDescent="0.2">
      <c r="A46355" t="s">
        <v>14851</v>
      </c>
      <c r="B46355" t="str">
        <f>HYPERLINK("https://lindat.mff.cuni.cz/services/teitok/pdtc10/index.php?action=vallex&amp;frame=v-w12385_MMf1_MM", "stavovat se (v-w12385_MMf1_MM)")</f>
        <v>stavovat se (v-w12385_MMf1_MM)</v>
      </c>
    </row>
    <row r="46356" spans="1:4" x14ac:dyDescent="0.2">
      <c r="B46356" t="s">
        <v>1</v>
      </c>
    </row>
    <row r="46357" spans="1:4" x14ac:dyDescent="0.2">
      <c r="B46357" t="s">
        <v>5</v>
      </c>
    </row>
    <row r="46359" spans="1:4" x14ac:dyDescent="0.2">
      <c r="A46359" t="s">
        <v>14852</v>
      </c>
      <c r="B46359" t="str">
        <f>HYPERLINK("https://lindat.mff.cuni.cz/services/teitok/pdtc10/index.php?action=vallex&amp;frame=v-whsa_1887hsa_1888", "stavívat se (v-whsa_1887hsa_1888)")</f>
        <v>stavívat se (v-whsa_1887hsa_1888)</v>
      </c>
    </row>
    <row r="46360" spans="1:4" x14ac:dyDescent="0.2">
      <c r="B46360" t="s">
        <v>1</v>
      </c>
    </row>
    <row r="46361" spans="1:4" x14ac:dyDescent="0.2">
      <c r="B46361" t="s">
        <v>5</v>
      </c>
    </row>
    <row r="46363" spans="1:4" x14ac:dyDescent="0.2">
      <c r="A46363" t="s">
        <v>14853</v>
      </c>
      <c r="B46363" t="str">
        <f>HYPERLINK("https://lindat.mff.cuni.cz/services/teitok/pdtc10/index.php?action=vallex&amp;frame=v-w6505f2", "stavět (v-w6505f2)")</f>
        <v>stavět (v-w6505f2)</v>
      </c>
    </row>
    <row r="46364" spans="1:4" x14ac:dyDescent="0.2">
      <c r="B46364" t="s">
        <v>1</v>
      </c>
      <c r="C46364" t="s">
        <v>4807</v>
      </c>
      <c r="D46364" t="s">
        <v>334</v>
      </c>
    </row>
    <row r="46365" spans="1:4" x14ac:dyDescent="0.2">
      <c r="B46365" t="s">
        <v>8</v>
      </c>
      <c r="C46365" t="s">
        <v>4132</v>
      </c>
      <c r="D46365" t="s">
        <v>3328</v>
      </c>
    </row>
    <row r="46366" spans="1:4" x14ac:dyDescent="0.2">
      <c r="B46366" t="s">
        <v>442</v>
      </c>
      <c r="C46366" t="s">
        <v>4604</v>
      </c>
      <c r="D46366" t="s">
        <v>23020</v>
      </c>
    </row>
    <row r="46368" spans="1:4" x14ac:dyDescent="0.2">
      <c r="A46368" t="s">
        <v>14854</v>
      </c>
      <c r="B46368" t="str">
        <f>HYPERLINK("https://lindat.mff.cuni.cz/services/teitok/pdtc10/index.php?action=vallex&amp;frame=v-w6505f1", "stavět (v-w6505f1)")</f>
        <v>stavět (v-w6505f1)</v>
      </c>
    </row>
    <row r="46369" spans="1:4" x14ac:dyDescent="0.2">
      <c r="B46369" t="s">
        <v>1</v>
      </c>
      <c r="C46369" t="s">
        <v>1372</v>
      </c>
      <c r="D46369" t="s">
        <v>23418</v>
      </c>
    </row>
    <row r="46370" spans="1:4" x14ac:dyDescent="0.2">
      <c r="B46370" t="s">
        <v>8</v>
      </c>
      <c r="C46370" t="s">
        <v>9651</v>
      </c>
      <c r="D46370" t="s">
        <v>23419</v>
      </c>
    </row>
    <row r="46371" spans="1:4" x14ac:dyDescent="0.2">
      <c r="B46371" t="s">
        <v>24</v>
      </c>
      <c r="C46371" t="s">
        <v>4687</v>
      </c>
      <c r="D46371" t="s">
        <v>10345</v>
      </c>
    </row>
    <row r="46373" spans="1:4" x14ac:dyDescent="0.2">
      <c r="A46373" t="s">
        <v>14855</v>
      </c>
      <c r="B46373" t="str">
        <f>HYPERLINK("https://lindat.mff.cuni.cz/services/teitok/pdtc10/index.php?action=vallex&amp;frame=v-w6505f7", "stavět (v-w6505f7)")</f>
        <v>stavět (v-w6505f7)</v>
      </c>
    </row>
    <row r="46374" spans="1:4" x14ac:dyDescent="0.2">
      <c r="B46374" t="s">
        <v>1</v>
      </c>
    </row>
    <row r="46375" spans="1:4" x14ac:dyDescent="0.2">
      <c r="B46375" t="s">
        <v>8</v>
      </c>
    </row>
    <row r="46376" spans="1:4" x14ac:dyDescent="0.2">
      <c r="B46376" t="s">
        <v>14856</v>
      </c>
    </row>
    <row r="46378" spans="1:4" x14ac:dyDescent="0.2">
      <c r="A46378" t="s">
        <v>14857</v>
      </c>
      <c r="B46378" t="str">
        <f>HYPERLINK("https://lindat.mff.cuni.cz/services/teitok/pdtc10/index.php?action=vallex&amp;frame=v-w6505f8", "stavět (v-w6505f8)")</f>
        <v>stavět (v-w6505f8)</v>
      </c>
    </row>
    <row r="46379" spans="1:4" x14ac:dyDescent="0.2">
      <c r="B46379" t="s">
        <v>1</v>
      </c>
      <c r="C46379" t="s">
        <v>7589</v>
      </c>
    </row>
    <row r="46380" spans="1:4" x14ac:dyDescent="0.2">
      <c r="B46380" t="s">
        <v>8</v>
      </c>
      <c r="C46380" t="s">
        <v>732</v>
      </c>
    </row>
    <row r="46381" spans="1:4" x14ac:dyDescent="0.2">
      <c r="B46381" t="s">
        <v>205</v>
      </c>
      <c r="C46381" t="s">
        <v>4020</v>
      </c>
    </row>
    <row r="46383" spans="1:4" x14ac:dyDescent="0.2">
      <c r="A46383" t="s">
        <v>14858</v>
      </c>
      <c r="B46383" t="str">
        <f>HYPERLINK("https://lindat.mff.cuni.cz/services/teitok/pdtc10/index.php?action=vallex&amp;frame=v-w6505f3", "stavět (v-w6505f3)")</f>
        <v>stavět (v-w6505f3)</v>
      </c>
    </row>
    <row r="46384" spans="1:4" x14ac:dyDescent="0.2">
      <c r="B46384" t="s">
        <v>1</v>
      </c>
      <c r="C46384" t="s">
        <v>14859</v>
      </c>
      <c r="D46384" t="s">
        <v>24205</v>
      </c>
    </row>
    <row r="46385" spans="1:4" x14ac:dyDescent="0.2">
      <c r="B46385" t="s">
        <v>8</v>
      </c>
      <c r="C46385" t="s">
        <v>14860</v>
      </c>
      <c r="D46385" t="s">
        <v>24206</v>
      </c>
    </row>
    <row r="46386" spans="1:4" x14ac:dyDescent="0.2">
      <c r="B46386" t="s">
        <v>90</v>
      </c>
      <c r="C46386" t="s">
        <v>14861</v>
      </c>
      <c r="D46386" t="s">
        <v>24207</v>
      </c>
    </row>
    <row r="46388" spans="1:4" x14ac:dyDescent="0.2">
      <c r="A46388" t="s">
        <v>14862</v>
      </c>
      <c r="B46388" t="str">
        <f>HYPERLINK("https://lindat.mff.cuni.cz/services/teitok/pdtc10/index.php?action=vallex&amp;frame=v-w6505f4", "stavět (v-w6505f4)")</f>
        <v>stavět (v-w6505f4)</v>
      </c>
    </row>
    <row r="46389" spans="1:4" x14ac:dyDescent="0.2">
      <c r="B46389" t="s">
        <v>1</v>
      </c>
    </row>
    <row r="46391" spans="1:4" x14ac:dyDescent="0.2">
      <c r="A46391" t="s">
        <v>14863</v>
      </c>
      <c r="B46391" t="str">
        <f>HYPERLINK("https://lindat.mff.cuni.cz/services/teitok/pdtc10/index.php?action=vallex&amp;frame=v-w6505f5", "stavět (v-w6505f5)")</f>
        <v>stavět (v-w6505f5)</v>
      </c>
    </row>
    <row r="46392" spans="1:4" x14ac:dyDescent="0.2">
      <c r="B46392" t="s">
        <v>1</v>
      </c>
    </row>
    <row r="46393" spans="1:4" x14ac:dyDescent="0.2">
      <c r="B46393" t="s">
        <v>14864</v>
      </c>
    </row>
    <row r="46394" spans="1:4" x14ac:dyDescent="0.2">
      <c r="B46394" t="s">
        <v>78</v>
      </c>
    </row>
    <row r="46396" spans="1:4" x14ac:dyDescent="0.2">
      <c r="A46396" t="s">
        <v>14865</v>
      </c>
      <c r="B46396" t="str">
        <f>HYPERLINK("https://lindat.mff.cuni.cz/services/teitok/pdtc10/index.php?action=vallex&amp;frame=v-w6505f6", "stavět (v-w6505f6)")</f>
        <v>stavět (v-w6505f6)</v>
      </c>
    </row>
    <row r="46397" spans="1:4" x14ac:dyDescent="0.2">
      <c r="B46397" t="s">
        <v>1</v>
      </c>
    </row>
    <row r="46398" spans="1:4" x14ac:dyDescent="0.2">
      <c r="B46398" t="s">
        <v>14866</v>
      </c>
    </row>
    <row r="46399" spans="1:4" x14ac:dyDescent="0.2">
      <c r="B46399" t="s">
        <v>78</v>
      </c>
    </row>
    <row r="46401" spans="1:2" x14ac:dyDescent="0.2">
      <c r="A46401" t="s">
        <v>14867</v>
      </c>
      <c r="B46401" t="str">
        <f>HYPERLINK("https://lindat.mff.cuni.cz/services/teitok/pdtc10/index.php?action=vallex&amp;frame=v-w6506hsa_954", "stavět se (v-w6506hsa_954)")</f>
        <v>stavět se (v-w6506hsa_954)</v>
      </c>
    </row>
    <row r="46402" spans="1:2" x14ac:dyDescent="0.2">
      <c r="B46402" t="s">
        <v>1</v>
      </c>
    </row>
    <row r="46403" spans="1:2" x14ac:dyDescent="0.2">
      <c r="B46403" t="s">
        <v>14868</v>
      </c>
    </row>
    <row r="46404" spans="1:2" x14ac:dyDescent="0.2">
      <c r="B46404" t="s">
        <v>346</v>
      </c>
    </row>
    <row r="46405" spans="1:2" x14ac:dyDescent="0.2">
      <c r="B46405" t="s">
        <v>349</v>
      </c>
    </row>
    <row r="46406" spans="1:2" x14ac:dyDescent="0.2">
      <c r="B46406" t="s">
        <v>350</v>
      </c>
    </row>
    <row r="46407" spans="1:2" x14ac:dyDescent="0.2">
      <c r="B46407" t="s">
        <v>351</v>
      </c>
    </row>
    <row r="46409" spans="1:2" x14ac:dyDescent="0.2">
      <c r="A46409" t="s">
        <v>14867</v>
      </c>
      <c r="B46409" t="str">
        <f>HYPERLINK("https://lindat.mff.cuni.cz/services/teitok/pdtc10/index.php?action=vallex&amp;frame=v-w6506f1", "stavět se (v-w6506f1) - substituted with v-w6506hsa_954")</f>
        <v>stavět se (v-w6506f1) - substituted with v-w6506hsa_954</v>
      </c>
    </row>
    <row r="46410" spans="1:2" x14ac:dyDescent="0.2">
      <c r="B46410" t="s">
        <v>1</v>
      </c>
    </row>
    <row r="46411" spans="1:2" x14ac:dyDescent="0.2">
      <c r="B46411" t="s">
        <v>14868</v>
      </c>
    </row>
    <row r="46412" spans="1:2" x14ac:dyDescent="0.2">
      <c r="B46412" t="s">
        <v>346</v>
      </c>
    </row>
    <row r="46413" spans="1:2" x14ac:dyDescent="0.2">
      <c r="B46413" t="s">
        <v>349</v>
      </c>
    </row>
    <row r="46414" spans="1:2" x14ac:dyDescent="0.2">
      <c r="B46414" t="s">
        <v>350</v>
      </c>
    </row>
    <row r="46415" spans="1:2" x14ac:dyDescent="0.2">
      <c r="B46415" t="s">
        <v>351</v>
      </c>
    </row>
    <row r="46417" spans="1:4" x14ac:dyDescent="0.2">
      <c r="A46417" t="s">
        <v>14869</v>
      </c>
      <c r="B46417" t="str">
        <f>HYPERLINK("https://lindat.mff.cuni.cz/services/teitok/pdtc10/index.php?action=vallex&amp;frame=v-w6506f2", "stavět se (v-w6506f2)")</f>
        <v>stavět se (v-w6506f2)</v>
      </c>
    </row>
    <row r="46418" spans="1:4" x14ac:dyDescent="0.2">
      <c r="B46418" t="s">
        <v>1</v>
      </c>
      <c r="C46418" t="s">
        <v>14870</v>
      </c>
      <c r="D46418" t="s">
        <v>23331</v>
      </c>
    </row>
    <row r="46419" spans="1:4" x14ac:dyDescent="0.2">
      <c r="B46419" t="s">
        <v>14871</v>
      </c>
      <c r="C46419" t="s">
        <v>9604</v>
      </c>
      <c r="D46419" t="s">
        <v>23332</v>
      </c>
    </row>
    <row r="46421" spans="1:4" x14ac:dyDescent="0.2">
      <c r="A46421" t="s">
        <v>14872</v>
      </c>
      <c r="B46421" t="str">
        <f>HYPERLINK("https://lindat.mff.cuni.cz/services/teitok/pdtc10/index.php?action=vallex&amp;frame=v-w6506f5", "stavět se (v-w6506f5)")</f>
        <v>stavět se (v-w6506f5)</v>
      </c>
    </row>
    <row r="46422" spans="1:4" x14ac:dyDescent="0.2">
      <c r="B46422" t="s">
        <v>1</v>
      </c>
    </row>
    <row r="46423" spans="1:4" x14ac:dyDescent="0.2">
      <c r="B46423" t="s">
        <v>5</v>
      </c>
    </row>
    <row r="46425" spans="1:4" x14ac:dyDescent="0.2">
      <c r="A46425" t="s">
        <v>14873</v>
      </c>
      <c r="B46425" t="str">
        <f>HYPERLINK("https://lindat.mff.cuni.cz/services/teitok/pdtc10/index.php?action=vallex&amp;frame=v-w6506f3", "stavět se (v-w6506f3)")</f>
        <v>stavět se (v-w6506f3)</v>
      </c>
    </row>
    <row r="46426" spans="1:4" x14ac:dyDescent="0.2">
      <c r="B46426" t="s">
        <v>1</v>
      </c>
    </row>
    <row r="46427" spans="1:4" x14ac:dyDescent="0.2">
      <c r="B46427" t="s">
        <v>205</v>
      </c>
    </row>
    <row r="46429" spans="1:4" x14ac:dyDescent="0.2">
      <c r="A46429" t="s">
        <v>14874</v>
      </c>
      <c r="B46429" t="str">
        <f>HYPERLINK("https://lindat.mff.cuni.cz/services/teitok/pdtc10/index.php?action=vallex&amp;frame=v-w6506f6_ZU", "stavět se (v-w6506f6_ZU)")</f>
        <v>stavět se (v-w6506f6_ZU)</v>
      </c>
    </row>
    <row r="46430" spans="1:4" x14ac:dyDescent="0.2">
      <c r="B46430" t="s">
        <v>1</v>
      </c>
    </row>
    <row r="46431" spans="1:4" x14ac:dyDescent="0.2">
      <c r="B46431" t="s">
        <v>14875</v>
      </c>
    </row>
    <row r="46432" spans="1:4" x14ac:dyDescent="0.2">
      <c r="B46432" t="s">
        <v>103</v>
      </c>
    </row>
    <row r="46434" spans="1:3" x14ac:dyDescent="0.2">
      <c r="A46434" t="s">
        <v>14874</v>
      </c>
      <c r="B46434" t="str">
        <f>HYPERLINK("https://lindat.mff.cuni.cz/services/teitok/pdtc10/index.php?action=vallex&amp;frame=v-w6506f4", "stavět se (v-w6506f4) - substituted with v-w6506f6_ZU")</f>
        <v>stavět se (v-w6506f4) - substituted with v-w6506f6_ZU</v>
      </c>
    </row>
    <row r="46435" spans="1:3" x14ac:dyDescent="0.2">
      <c r="B46435" t="s">
        <v>1</v>
      </c>
    </row>
    <row r="46436" spans="1:3" x14ac:dyDescent="0.2">
      <c r="B46436" t="s">
        <v>14875</v>
      </c>
    </row>
    <row r="46437" spans="1:3" x14ac:dyDescent="0.2">
      <c r="B46437" t="s">
        <v>103</v>
      </c>
    </row>
    <row r="46439" spans="1:3" x14ac:dyDescent="0.2">
      <c r="A46439" t="s">
        <v>14876</v>
      </c>
      <c r="B46439" t="str">
        <f>HYPERLINK("https://lindat.mff.cuni.cz/services/teitok/pdtc10/index.php?action=vallex&amp;frame=v-w6506f7_ZU", "stavět se (v-w6506f7_ZU)")</f>
        <v>stavět se (v-w6506f7_ZU)</v>
      </c>
    </row>
    <row r="46440" spans="1:3" x14ac:dyDescent="0.2">
      <c r="B46440" t="s">
        <v>1</v>
      </c>
      <c r="C46440" t="s">
        <v>4011</v>
      </c>
    </row>
    <row r="46441" spans="1:3" x14ac:dyDescent="0.2">
      <c r="B46441" t="s">
        <v>9666</v>
      </c>
    </row>
    <row r="46443" spans="1:3" x14ac:dyDescent="0.2">
      <c r="A46443" t="s">
        <v>14877</v>
      </c>
      <c r="B46443" t="str">
        <f>HYPERLINK("https://lindat.mff.cuni.cz/services/teitok/pdtc10/index.php?action=vallex&amp;frame=v-w6506f8_ZU", "stavět se (v-w6506f8_ZU)")</f>
        <v>stavět se (v-w6506f8_ZU)</v>
      </c>
    </row>
    <row r="46444" spans="1:3" x14ac:dyDescent="0.2">
      <c r="B46444" t="s">
        <v>1</v>
      </c>
      <c r="C46444" t="s">
        <v>4529</v>
      </c>
    </row>
    <row r="46445" spans="1:3" x14ac:dyDescent="0.2">
      <c r="B46445" t="s">
        <v>9680</v>
      </c>
      <c r="C46445" t="s">
        <v>14878</v>
      </c>
    </row>
    <row r="46447" spans="1:3" x14ac:dyDescent="0.2">
      <c r="A46447" t="s">
        <v>14877</v>
      </c>
      <c r="B46447" t="str">
        <f>HYPERLINK("https://lindat.mff.cuni.cz/services/teitok/pdtc10/index.php?action=vallex&amp;frame=v-w6506hsa_955", "stavět se (v-w6506hsa_955) - substituted with v-w6506f8_ZU")</f>
        <v>stavět se (v-w6506hsa_955) - substituted with v-w6506f8_ZU</v>
      </c>
    </row>
    <row r="46448" spans="1:3" x14ac:dyDescent="0.2">
      <c r="B46448" t="s">
        <v>1</v>
      </c>
    </row>
    <row r="46449" spans="1:4" x14ac:dyDescent="0.2">
      <c r="B46449" t="s">
        <v>9680</v>
      </c>
    </row>
    <row r="46451" spans="1:4" x14ac:dyDescent="0.2">
      <c r="A46451" t="s">
        <v>14879</v>
      </c>
      <c r="B46451" t="str">
        <f>HYPERLINK("https://lindat.mff.cuni.cz/services/teitok/pdtc10/index.php?action=vallex&amp;frame=v-w6462f4", "stačit (v-w6462f4)")</f>
        <v>stačit (v-w6462f4)</v>
      </c>
    </row>
    <row r="46452" spans="1:4" x14ac:dyDescent="0.2">
      <c r="B46452" t="s">
        <v>1</v>
      </c>
      <c r="C46452" t="s">
        <v>83</v>
      </c>
      <c r="D46452" t="s">
        <v>2303</v>
      </c>
    </row>
    <row r="46453" spans="1:4" x14ac:dyDescent="0.2">
      <c r="B46453" t="s">
        <v>103</v>
      </c>
      <c r="C46453" t="s">
        <v>1025</v>
      </c>
      <c r="D46453" t="s">
        <v>2390</v>
      </c>
    </row>
    <row r="46454" spans="1:4" x14ac:dyDescent="0.2">
      <c r="B46454" t="s">
        <v>14880</v>
      </c>
    </row>
    <row r="46456" spans="1:4" x14ac:dyDescent="0.2">
      <c r="A46456" t="s">
        <v>14881</v>
      </c>
      <c r="B46456" t="str">
        <f>HYPERLINK("https://lindat.mff.cuni.cz/services/teitok/pdtc10/index.php?action=vallex&amp;frame=v-w6462f7_ZU", "stačit (v-w6462f7_ZU)")</f>
        <v>stačit (v-w6462f7_ZU)</v>
      </c>
    </row>
    <row r="46457" spans="1:4" x14ac:dyDescent="0.2">
      <c r="B46457" t="s">
        <v>196</v>
      </c>
    </row>
    <row r="46458" spans="1:4" x14ac:dyDescent="0.2">
      <c r="B46458" t="s">
        <v>14882</v>
      </c>
    </row>
    <row r="46460" spans="1:4" x14ac:dyDescent="0.2">
      <c r="A46460" t="s">
        <v>14881</v>
      </c>
      <c r="B46460" t="str">
        <f>HYPERLINK("https://lindat.mff.cuni.cz/services/teitok/pdtc10/index.php?action=vallex&amp;frame=v-w6462f3", "stačit (v-w6462f3) - substituted with v-w6462f7_ZU")</f>
        <v>stačit (v-w6462f3) - substituted with v-w6462f7_ZU</v>
      </c>
    </row>
    <row r="46461" spans="1:4" x14ac:dyDescent="0.2">
      <c r="B46461" t="s">
        <v>196</v>
      </c>
    </row>
    <row r="46462" spans="1:4" x14ac:dyDescent="0.2">
      <c r="B46462" t="s">
        <v>14882</v>
      </c>
    </row>
    <row r="46464" spans="1:4" x14ac:dyDescent="0.2">
      <c r="A46464" t="s">
        <v>14881</v>
      </c>
      <c r="B46464" t="str">
        <f>HYPERLINK("https://lindat.mff.cuni.cz/services/teitok/pdtc10/index.php?action=vallex&amp;frame=v-w6462hsa_1248", "stačit (v-w6462hsa_1248) - substituted with v-w6462f7_ZU")</f>
        <v>stačit (v-w6462hsa_1248) - substituted with v-w6462f7_ZU</v>
      </c>
    </row>
    <row r="46465" spans="1:4" x14ac:dyDescent="0.2">
      <c r="B46465" t="s">
        <v>196</v>
      </c>
    </row>
    <row r="46466" spans="1:4" x14ac:dyDescent="0.2">
      <c r="B46466" t="s">
        <v>14882</v>
      </c>
    </row>
    <row r="46468" spans="1:4" x14ac:dyDescent="0.2">
      <c r="A46468" t="s">
        <v>14881</v>
      </c>
      <c r="B46468" t="str">
        <f>HYPERLINK("https://lindat.mff.cuni.cz/services/teitok/pdtc10/index.php?action=vallex&amp;frame=v-w6462hsa_2022", "stačit (v-w6462hsa_2022) - substituted with v-w6462f7_ZU")</f>
        <v>stačit (v-w6462hsa_2022) - substituted with v-w6462f7_ZU</v>
      </c>
    </row>
    <row r="46469" spans="1:4" x14ac:dyDescent="0.2">
      <c r="B46469" t="s">
        <v>196</v>
      </c>
    </row>
    <row r="46470" spans="1:4" x14ac:dyDescent="0.2">
      <c r="B46470" t="s">
        <v>14882</v>
      </c>
    </row>
    <row r="46472" spans="1:4" x14ac:dyDescent="0.2">
      <c r="A46472" t="s">
        <v>14883</v>
      </c>
      <c r="B46472" t="str">
        <f>HYPERLINK("https://lindat.mff.cuni.cz/services/teitok/pdtc10/index.php?action=vallex&amp;frame=v-w6462f2", "stačit (v-w6462f2)")</f>
        <v>stačit (v-w6462f2)</v>
      </c>
    </row>
    <row r="46473" spans="1:4" x14ac:dyDescent="0.2">
      <c r="B46473" t="s">
        <v>1</v>
      </c>
      <c r="C46473" t="s">
        <v>6984</v>
      </c>
      <c r="D46473" t="s">
        <v>1566</v>
      </c>
    </row>
    <row r="46474" spans="1:4" x14ac:dyDescent="0.2">
      <c r="B46474" t="s">
        <v>228</v>
      </c>
      <c r="C46474" t="s">
        <v>14884</v>
      </c>
      <c r="D46474" t="s">
        <v>359</v>
      </c>
    </row>
    <row r="46476" spans="1:4" x14ac:dyDescent="0.2">
      <c r="A46476" t="s">
        <v>14885</v>
      </c>
      <c r="B46476" t="str">
        <f>HYPERLINK("https://lindat.mff.cuni.cz/services/teitok/pdtc10/index.php?action=vallex&amp;frame=v-w6462f6", "stačit (v-w6462f6)")</f>
        <v>stačit (v-w6462f6)</v>
      </c>
    </row>
    <row r="46477" spans="1:4" x14ac:dyDescent="0.2">
      <c r="B46477" t="s">
        <v>1</v>
      </c>
    </row>
    <row r="46478" spans="1:4" x14ac:dyDescent="0.2">
      <c r="B46478" t="s">
        <v>411</v>
      </c>
    </row>
    <row r="46480" spans="1:4" x14ac:dyDescent="0.2">
      <c r="A46480" t="s">
        <v>14886</v>
      </c>
      <c r="B46480" t="str">
        <f>HYPERLINK("https://lindat.mff.cuni.cz/services/teitok/pdtc10/index.php?action=vallex&amp;frame=v-w6462f8_ZU", "stačit (v-w6462f8_ZU)")</f>
        <v>stačit (v-w6462f8_ZU)</v>
      </c>
    </row>
    <row r="46481" spans="1:3" x14ac:dyDescent="0.2">
      <c r="B46481" t="s">
        <v>14887</v>
      </c>
    </row>
    <row r="46482" spans="1:3" x14ac:dyDescent="0.2">
      <c r="B46482" t="s">
        <v>14888</v>
      </c>
    </row>
    <row r="46484" spans="1:3" x14ac:dyDescent="0.2">
      <c r="A46484" t="s">
        <v>14886</v>
      </c>
      <c r="B46484" t="str">
        <f>HYPERLINK("https://lindat.mff.cuni.cz/services/teitok/pdtc10/index.php?action=vallex&amp;frame=v-w6462f1", "stačit (v-w6462f1) - substituted with v-w6462f8_ZU")</f>
        <v>stačit (v-w6462f1) - substituted with v-w6462f8_ZU</v>
      </c>
    </row>
    <row r="46485" spans="1:3" x14ac:dyDescent="0.2">
      <c r="B46485" t="s">
        <v>14887</v>
      </c>
      <c r="C46485" t="s">
        <v>14889</v>
      </c>
    </row>
    <row r="46486" spans="1:3" x14ac:dyDescent="0.2">
      <c r="B46486" t="s">
        <v>14888</v>
      </c>
      <c r="C46486" t="s">
        <v>14890</v>
      </c>
    </row>
    <row r="46488" spans="1:3" x14ac:dyDescent="0.2">
      <c r="A46488" t="s">
        <v>14886</v>
      </c>
      <c r="B46488" t="str">
        <f>HYPERLINK("https://lindat.mff.cuni.cz/services/teitok/pdtc10/index.php?action=vallex&amp;frame=v-w6462hsa_1249", "stačit (v-w6462hsa_1249) - substituted with v-w6462f8_ZU")</f>
        <v>stačit (v-w6462hsa_1249) - substituted with v-w6462f8_ZU</v>
      </c>
    </row>
    <row r="46489" spans="1:3" x14ac:dyDescent="0.2">
      <c r="B46489" t="s">
        <v>14887</v>
      </c>
    </row>
    <row r="46490" spans="1:3" x14ac:dyDescent="0.2">
      <c r="B46490" t="s">
        <v>14888</v>
      </c>
    </row>
    <row r="46492" spans="1:3" x14ac:dyDescent="0.2">
      <c r="A46492" t="s">
        <v>14886</v>
      </c>
      <c r="B46492" t="str">
        <f>HYPERLINK("https://lindat.mff.cuni.cz/services/teitok/pdtc10/index.php?action=vallex&amp;frame=v-w6462hsa_2021", "stačit (v-w6462hsa_2021) - substituted with v-w6462f8_ZU")</f>
        <v>stačit (v-w6462hsa_2021) - substituted with v-w6462f8_ZU</v>
      </c>
    </row>
    <row r="46493" spans="1:3" x14ac:dyDescent="0.2">
      <c r="B46493" t="s">
        <v>14887</v>
      </c>
    </row>
    <row r="46494" spans="1:3" x14ac:dyDescent="0.2">
      <c r="B46494" t="s">
        <v>14888</v>
      </c>
    </row>
    <row r="46496" spans="1:3" x14ac:dyDescent="0.2">
      <c r="A46496" t="s">
        <v>14891</v>
      </c>
      <c r="B46496" t="str">
        <f>HYPERLINK("https://lindat.mff.cuni.cz/services/teitok/pdtc10/index.php?action=vallex&amp;frame=v-w6462f5", "stačit (v-w6462f5)")</f>
        <v>stačit (v-w6462f5)</v>
      </c>
    </row>
    <row r="46497" spans="1:4" x14ac:dyDescent="0.2">
      <c r="B46497" t="s">
        <v>1</v>
      </c>
    </row>
    <row r="46498" spans="1:4" x14ac:dyDescent="0.2">
      <c r="B46498" t="s">
        <v>5</v>
      </c>
    </row>
    <row r="46500" spans="1:4" x14ac:dyDescent="0.2">
      <c r="A46500" t="s">
        <v>14892</v>
      </c>
      <c r="B46500" t="str">
        <f>HYPERLINK("https://lindat.mff.cuni.cz/services/teitok/pdtc10/index.php?action=vallex&amp;frame=v-w6462f9_MM", "stačit (v-w6462f9_MM)")</f>
        <v>stačit (v-w6462f9_MM)</v>
      </c>
    </row>
    <row r="46501" spans="1:4" x14ac:dyDescent="0.2">
      <c r="B46501" t="s">
        <v>455</v>
      </c>
    </row>
    <row r="46502" spans="1:4" x14ac:dyDescent="0.2">
      <c r="B46502" t="s">
        <v>14893</v>
      </c>
    </row>
    <row r="46504" spans="1:4" x14ac:dyDescent="0.2">
      <c r="A46504" t="s">
        <v>14894</v>
      </c>
      <c r="B46504" t="str">
        <f>HYPERLINK("https://lindat.mff.cuni.cz/services/teitok/pdtc10/index.php?action=vallex&amp;frame=v-whsa_1006hsa_1007", "stepovat (v-whsa_1006hsa_1007)")</f>
        <v>stepovat (v-whsa_1006hsa_1007)</v>
      </c>
    </row>
    <row r="46505" spans="1:4" x14ac:dyDescent="0.2">
      <c r="B46505" t="s">
        <v>1</v>
      </c>
    </row>
    <row r="46507" spans="1:4" x14ac:dyDescent="0.2">
      <c r="A46507" t="s">
        <v>14895</v>
      </c>
      <c r="B46507" t="str">
        <f>HYPERLINK("https://lindat.mff.cuni.cz/services/teitok/pdtc10/index.php?action=vallex&amp;frame=v-w6519f1", "sterilizovat (v-w6519f1)")</f>
        <v>sterilizovat (v-w6519f1)</v>
      </c>
    </row>
    <row r="46508" spans="1:4" x14ac:dyDescent="0.2">
      <c r="B46508" t="s">
        <v>1</v>
      </c>
      <c r="C46508" t="s">
        <v>33</v>
      </c>
      <c r="D46508" t="s">
        <v>80</v>
      </c>
    </row>
    <row r="46509" spans="1:4" x14ac:dyDescent="0.2">
      <c r="B46509" t="s">
        <v>8</v>
      </c>
      <c r="C46509" t="s">
        <v>113</v>
      </c>
      <c r="D46509" t="s">
        <v>23455</v>
      </c>
    </row>
    <row r="46511" spans="1:4" x14ac:dyDescent="0.2">
      <c r="A46511" t="s">
        <v>14896</v>
      </c>
      <c r="B46511" t="str">
        <f>HYPERLINK("https://lindat.mff.cuni.cz/services/teitok/pdtc10/index.php?action=vallex&amp;frame=v-w11908_ZUf1_ZU", "sterilovat (v-w11908_ZUf1_ZU)")</f>
        <v>sterilovat (v-w11908_ZUf1_ZU)</v>
      </c>
    </row>
    <row r="46512" spans="1:4" x14ac:dyDescent="0.2">
      <c r="B46512" t="s">
        <v>1</v>
      </c>
    </row>
    <row r="46513" spans="1:4" x14ac:dyDescent="0.2">
      <c r="B46513" t="s">
        <v>8</v>
      </c>
    </row>
    <row r="46515" spans="1:4" x14ac:dyDescent="0.2">
      <c r="A46515" t="s">
        <v>14897</v>
      </c>
      <c r="B46515" t="str">
        <f>HYPERLINK("https://lindat.mff.cuni.cz/services/teitok/pdtc10/index.php?action=vallex&amp;frame=v-w6524f1", "stihnout (v-w6524f1)")</f>
        <v>stihnout (v-w6524f1)</v>
      </c>
    </row>
    <row r="46516" spans="1:4" x14ac:dyDescent="0.2">
      <c r="B46516" t="s">
        <v>1</v>
      </c>
      <c r="C46516" t="s">
        <v>133</v>
      </c>
      <c r="D46516" t="s">
        <v>24208</v>
      </c>
    </row>
    <row r="46517" spans="1:4" x14ac:dyDescent="0.2">
      <c r="B46517" t="s">
        <v>228</v>
      </c>
      <c r="C46517" t="s">
        <v>991</v>
      </c>
      <c r="D46517" t="s">
        <v>24209</v>
      </c>
    </row>
    <row r="46519" spans="1:4" x14ac:dyDescent="0.2">
      <c r="A46519" t="s">
        <v>14898</v>
      </c>
      <c r="B46519" t="str">
        <f>HYPERLINK("https://lindat.mff.cuni.cz/services/teitok/pdtc10/index.php?action=vallex&amp;frame=v-w6524f2", "stihnout (v-w6524f2)")</f>
        <v>stihnout (v-w6524f2)</v>
      </c>
    </row>
    <row r="46520" spans="1:4" x14ac:dyDescent="0.2">
      <c r="B46520" t="s">
        <v>1</v>
      </c>
    </row>
    <row r="46521" spans="1:4" x14ac:dyDescent="0.2">
      <c r="B46521" t="s">
        <v>8</v>
      </c>
    </row>
    <row r="46523" spans="1:4" x14ac:dyDescent="0.2">
      <c r="A46523" t="s">
        <v>14899</v>
      </c>
      <c r="B46523" t="str">
        <f>HYPERLINK("https://lindat.mff.cuni.cz/services/teitok/pdtc10/index.php?action=vallex&amp;frame=v-w6526f2", "stimulovat (v-w6526f2)")</f>
        <v>stimulovat (v-w6526f2)</v>
      </c>
    </row>
    <row r="46524" spans="1:4" x14ac:dyDescent="0.2">
      <c r="B46524" t="s">
        <v>1</v>
      </c>
    </row>
    <row r="46525" spans="1:4" x14ac:dyDescent="0.2">
      <c r="B46525" t="s">
        <v>8840</v>
      </c>
    </row>
    <row r="46526" spans="1:4" x14ac:dyDescent="0.2">
      <c r="B46526" t="s">
        <v>58</v>
      </c>
    </row>
    <row r="46528" spans="1:4" x14ac:dyDescent="0.2">
      <c r="A46528" t="s">
        <v>14900</v>
      </c>
      <c r="B46528" t="str">
        <f>HYPERLINK("https://lindat.mff.cuni.cz/services/teitok/pdtc10/index.php?action=vallex&amp;frame=v-w6526f1", "stimulovat (v-w6526f1)")</f>
        <v>stimulovat (v-w6526f1)</v>
      </c>
    </row>
    <row r="46529" spans="1:4" x14ac:dyDescent="0.2">
      <c r="B46529" t="s">
        <v>1</v>
      </c>
      <c r="C46529" t="s">
        <v>133</v>
      </c>
      <c r="D46529" t="s">
        <v>23552</v>
      </c>
    </row>
    <row r="46530" spans="1:4" x14ac:dyDescent="0.2">
      <c r="B46530" t="s">
        <v>8</v>
      </c>
      <c r="C46530" t="s">
        <v>354</v>
      </c>
      <c r="D46530" t="s">
        <v>23553</v>
      </c>
    </row>
    <row r="46532" spans="1:4" x14ac:dyDescent="0.2">
      <c r="A46532" t="s">
        <v>14901</v>
      </c>
      <c r="B46532" t="str">
        <f>HYPERLINK("https://lindat.mff.cuni.cz/services/teitok/pdtc10/index.php?action=vallex&amp;frame=v-w10187f2", "stisknout (v-w10187f2)")</f>
        <v>stisknout (v-w10187f2)</v>
      </c>
    </row>
    <row r="46533" spans="1:4" x14ac:dyDescent="0.2">
      <c r="B46533" t="s">
        <v>1</v>
      </c>
      <c r="C46533" t="s">
        <v>370</v>
      </c>
      <c r="D46533" t="s">
        <v>92</v>
      </c>
    </row>
    <row r="46534" spans="1:4" x14ac:dyDescent="0.2">
      <c r="B46534" t="s">
        <v>8</v>
      </c>
      <c r="C46534" t="s">
        <v>2235</v>
      </c>
      <c r="D46534" t="s">
        <v>2755</v>
      </c>
    </row>
    <row r="46536" spans="1:4" x14ac:dyDescent="0.2">
      <c r="A46536" t="s">
        <v>14902</v>
      </c>
      <c r="B46536" t="str">
        <f>HYPERLINK("https://lindat.mff.cuni.cz/services/teitok/pdtc10/index.php?action=vallex&amp;frame=v-w6534f1", "stlačit (v-w6534f1)")</f>
        <v>stlačit (v-w6534f1)</v>
      </c>
    </row>
    <row r="46537" spans="1:4" x14ac:dyDescent="0.2">
      <c r="B46537" t="s">
        <v>1</v>
      </c>
      <c r="C46537" t="s">
        <v>1680</v>
      </c>
      <c r="D46537" t="s">
        <v>23730</v>
      </c>
    </row>
    <row r="46538" spans="1:4" x14ac:dyDescent="0.2">
      <c r="B46538" t="s">
        <v>8</v>
      </c>
      <c r="C46538" t="s">
        <v>1815</v>
      </c>
      <c r="D46538" t="s">
        <v>23731</v>
      </c>
    </row>
    <row r="46539" spans="1:4" x14ac:dyDescent="0.2">
      <c r="B46539" t="s">
        <v>24</v>
      </c>
      <c r="C46539" t="s">
        <v>1289</v>
      </c>
      <c r="D46539" t="s">
        <v>23732</v>
      </c>
    </row>
    <row r="46540" spans="1:4" x14ac:dyDescent="0.2">
      <c r="B46540" t="s">
        <v>61</v>
      </c>
      <c r="C46540" t="s">
        <v>14903</v>
      </c>
      <c r="D46540" t="s">
        <v>23733</v>
      </c>
    </row>
    <row r="46542" spans="1:4" x14ac:dyDescent="0.2">
      <c r="A46542" t="s">
        <v>14904</v>
      </c>
      <c r="B46542" t="str">
        <f>HYPERLINK("https://lindat.mff.cuni.cz/services/teitok/pdtc10/index.php?action=vallex&amp;frame=v-w6534f2", "stlačit (v-w6534f2)")</f>
        <v>stlačit (v-w6534f2)</v>
      </c>
    </row>
    <row r="46543" spans="1:4" x14ac:dyDescent="0.2">
      <c r="B46543" t="s">
        <v>1</v>
      </c>
      <c r="C46543" t="s">
        <v>1077</v>
      </c>
    </row>
    <row r="46544" spans="1:4" x14ac:dyDescent="0.2">
      <c r="B46544" t="s">
        <v>8</v>
      </c>
      <c r="C46544" t="s">
        <v>2113</v>
      </c>
    </row>
    <row r="46546" spans="1:4" x14ac:dyDescent="0.2">
      <c r="A46546" t="s">
        <v>14905</v>
      </c>
      <c r="B46546" t="str">
        <f>HYPERLINK("https://lindat.mff.cuni.cz/services/teitok/pdtc10/index.php?action=vallex&amp;frame=v-w6534hsa_60", "stlačit (v-w6534hsa_60)")</f>
        <v>stlačit (v-w6534hsa_60)</v>
      </c>
    </row>
    <row r="46547" spans="1:4" x14ac:dyDescent="0.2">
      <c r="B46547" t="s">
        <v>1</v>
      </c>
      <c r="C46547" t="s">
        <v>140</v>
      </c>
    </row>
    <row r="46548" spans="1:4" x14ac:dyDescent="0.2">
      <c r="B46548" t="s">
        <v>103</v>
      </c>
      <c r="C46548" t="s">
        <v>34</v>
      </c>
    </row>
    <row r="46549" spans="1:4" x14ac:dyDescent="0.2">
      <c r="B46549" t="s">
        <v>90</v>
      </c>
    </row>
    <row r="46551" spans="1:4" x14ac:dyDescent="0.2">
      <c r="A46551" t="s">
        <v>14906</v>
      </c>
      <c r="B46551" t="str">
        <f>HYPERLINK("https://lindat.mff.cuni.cz/services/teitok/pdtc10/index.php?action=vallex&amp;frame=v-w6535f1", "stlačovat (v-w6535f1)")</f>
        <v>stlačovat (v-w6535f1)</v>
      </c>
    </row>
    <row r="46552" spans="1:4" x14ac:dyDescent="0.2">
      <c r="B46552" t="s">
        <v>1</v>
      </c>
      <c r="C46552" t="s">
        <v>2237</v>
      </c>
      <c r="D46552" t="s">
        <v>23730</v>
      </c>
    </row>
    <row r="46553" spans="1:4" x14ac:dyDescent="0.2">
      <c r="B46553" t="s">
        <v>8</v>
      </c>
      <c r="C46553" t="s">
        <v>31</v>
      </c>
      <c r="D46553" t="s">
        <v>23731</v>
      </c>
    </row>
    <row r="46554" spans="1:4" x14ac:dyDescent="0.2">
      <c r="B46554" t="s">
        <v>24</v>
      </c>
      <c r="D46554" t="s">
        <v>23732</v>
      </c>
    </row>
    <row r="46555" spans="1:4" x14ac:dyDescent="0.2">
      <c r="B46555" t="s">
        <v>61</v>
      </c>
      <c r="C46555" t="s">
        <v>3737</v>
      </c>
      <c r="D46555" t="s">
        <v>23733</v>
      </c>
    </row>
    <row r="46557" spans="1:4" x14ac:dyDescent="0.2">
      <c r="A46557" t="s">
        <v>14907</v>
      </c>
      <c r="B46557" t="str">
        <f>HYPERLINK("https://lindat.mff.cuni.cz/services/teitok/pdtc10/index.php?action=vallex&amp;frame=v-w6535f2", "stlačovat (v-w6535f2)")</f>
        <v>stlačovat (v-w6535f2)</v>
      </c>
    </row>
    <row r="46558" spans="1:4" x14ac:dyDescent="0.2">
      <c r="B46558" t="s">
        <v>1</v>
      </c>
    </row>
    <row r="46559" spans="1:4" x14ac:dyDescent="0.2">
      <c r="B46559" t="s">
        <v>8</v>
      </c>
    </row>
    <row r="46561" spans="1:2" x14ac:dyDescent="0.2">
      <c r="A46561" t="s">
        <v>14908</v>
      </c>
      <c r="B46561" t="str">
        <f>HYPERLINK("https://lindat.mff.cuni.cz/services/teitok/pdtc10/index.php?action=vallex&amp;frame=v-whsa_131f1_ZU", "stlouci (v-whsa_131f1_ZU)")</f>
        <v>stlouci (v-whsa_131f1_ZU)</v>
      </c>
    </row>
    <row r="46562" spans="1:2" x14ac:dyDescent="0.2">
      <c r="B46562" t="s">
        <v>1</v>
      </c>
    </row>
    <row r="46563" spans="1:2" x14ac:dyDescent="0.2">
      <c r="B46563" t="s">
        <v>8</v>
      </c>
    </row>
    <row r="46564" spans="1:2" x14ac:dyDescent="0.2">
      <c r="B46564" t="s">
        <v>153</v>
      </c>
    </row>
    <row r="46566" spans="1:2" x14ac:dyDescent="0.2">
      <c r="A46566" t="s">
        <v>14908</v>
      </c>
      <c r="B46566" t="str">
        <f>HYPERLINK("https://lindat.mff.cuni.cz/services/teitok/pdtc10/index.php?action=vallex&amp;frame=v-whsa_131hsa_132", "stlouci (v-whsa_131hsa_132) - substituted with v-whsa_131f1_ZU")</f>
        <v>stlouci (v-whsa_131hsa_132) - substituted with v-whsa_131f1_ZU</v>
      </c>
    </row>
    <row r="46567" spans="1:2" x14ac:dyDescent="0.2">
      <c r="B46567" t="s">
        <v>1</v>
      </c>
    </row>
    <row r="46568" spans="1:2" x14ac:dyDescent="0.2">
      <c r="B46568" t="s">
        <v>8</v>
      </c>
    </row>
    <row r="46569" spans="1:2" x14ac:dyDescent="0.2">
      <c r="B46569" t="s">
        <v>153</v>
      </c>
    </row>
    <row r="46571" spans="1:2" x14ac:dyDescent="0.2">
      <c r="A46571" t="s">
        <v>14909</v>
      </c>
      <c r="B46571" t="str">
        <f>HYPERLINK("https://lindat.mff.cuni.cz/services/teitok/pdtc10/index.php?action=vallex&amp;frame=v-whsa_1547hsa_1548", "stlát (v-whsa_1547hsa_1548)")</f>
        <v>stlát (v-whsa_1547hsa_1548)</v>
      </c>
    </row>
    <row r="46572" spans="1:2" x14ac:dyDescent="0.2">
      <c r="B46572" t="s">
        <v>1</v>
      </c>
    </row>
    <row r="46573" spans="1:2" x14ac:dyDescent="0.2">
      <c r="B46573" t="s">
        <v>8</v>
      </c>
    </row>
    <row r="46575" spans="1:2" x14ac:dyDescent="0.2">
      <c r="A46575" t="s">
        <v>14910</v>
      </c>
      <c r="B46575" t="str">
        <f>HYPERLINK("https://lindat.mff.cuni.cz/services/teitok/pdtc10/index.php?action=vallex&amp;frame=v-w6537f2", "stmelit (v-w6537f2)")</f>
        <v>stmelit (v-w6537f2)</v>
      </c>
    </row>
    <row r="46576" spans="1:2" x14ac:dyDescent="0.2">
      <c r="B46576" t="s">
        <v>1</v>
      </c>
    </row>
    <row r="46577" spans="1:4" x14ac:dyDescent="0.2">
      <c r="B46577" t="s">
        <v>8</v>
      </c>
    </row>
    <row r="46578" spans="1:4" x14ac:dyDescent="0.2">
      <c r="B46578" t="s">
        <v>153</v>
      </c>
    </row>
    <row r="46579" spans="1:4" x14ac:dyDescent="0.2">
      <c r="B46579" t="s">
        <v>2156</v>
      </c>
    </row>
    <row r="46581" spans="1:4" x14ac:dyDescent="0.2">
      <c r="A46581" t="s">
        <v>14911</v>
      </c>
      <c r="B46581" t="str">
        <f>HYPERLINK("https://lindat.mff.cuni.cz/services/teitok/pdtc10/index.php?action=vallex&amp;frame=v-w6537f1", "stmelit (v-w6537f1)")</f>
        <v>stmelit (v-w6537f1)</v>
      </c>
    </row>
    <row r="46582" spans="1:4" x14ac:dyDescent="0.2">
      <c r="B46582" t="s">
        <v>1</v>
      </c>
      <c r="C46582" t="s">
        <v>33</v>
      </c>
      <c r="D46582" t="s">
        <v>373</v>
      </c>
    </row>
    <row r="46583" spans="1:4" x14ac:dyDescent="0.2">
      <c r="B46583" t="s">
        <v>8</v>
      </c>
      <c r="C46583" t="s">
        <v>991</v>
      </c>
      <c r="D46583" t="s">
        <v>17</v>
      </c>
    </row>
    <row r="46584" spans="1:4" x14ac:dyDescent="0.2">
      <c r="B46584" t="s">
        <v>2156</v>
      </c>
      <c r="C46584" t="s">
        <v>3966</v>
      </c>
      <c r="D46584" t="s">
        <v>14051</v>
      </c>
    </row>
    <row r="46586" spans="1:4" x14ac:dyDescent="0.2">
      <c r="A46586" t="s">
        <v>14912</v>
      </c>
      <c r="B46586" t="str">
        <f>HYPERLINK("https://lindat.mff.cuni.cz/services/teitok/pdtc10/index.php?action=vallex&amp;frame=v-w11815_ZUf1_ZU", "stmelit se (v-w11815_ZUf1_ZU)")</f>
        <v>stmelit se (v-w11815_ZUf1_ZU)</v>
      </c>
    </row>
    <row r="46587" spans="1:4" x14ac:dyDescent="0.2">
      <c r="B46587" t="s">
        <v>1</v>
      </c>
    </row>
    <row r="46588" spans="1:4" x14ac:dyDescent="0.2">
      <c r="B46588" t="s">
        <v>411</v>
      </c>
    </row>
    <row r="46589" spans="1:4" x14ac:dyDescent="0.2">
      <c r="B46589" t="s">
        <v>2156</v>
      </c>
    </row>
    <row r="46591" spans="1:4" x14ac:dyDescent="0.2">
      <c r="A46591" t="s">
        <v>14913</v>
      </c>
      <c r="B46591" t="str">
        <f>HYPERLINK("https://lindat.mff.cuni.cz/services/teitok/pdtc10/index.php?action=vallex&amp;frame=v-w11815_ZUf2_ZU", "stmelit se (v-w11815_ZUf2_ZU)")</f>
        <v>stmelit se (v-w11815_ZUf2_ZU)</v>
      </c>
    </row>
    <row r="46592" spans="1:4" x14ac:dyDescent="0.2">
      <c r="B46592" t="s">
        <v>1</v>
      </c>
    </row>
    <row r="46594" spans="1:2" x14ac:dyDescent="0.2">
      <c r="A46594" t="s">
        <v>14914</v>
      </c>
      <c r="B46594" t="str">
        <f>HYPERLINK("https://lindat.mff.cuni.cz/services/teitok/pdtc10/index.php?action=vallex&amp;frame=v-w6538f1", "stmívat se (v-w6538f1)")</f>
        <v>stmívat se (v-w6538f1)</v>
      </c>
    </row>
    <row r="46596" spans="1:2" x14ac:dyDescent="0.2">
      <c r="A46596" t="s">
        <v>14915</v>
      </c>
      <c r="B46596" t="str">
        <f>HYPERLINK("https://lindat.mff.cuni.cz/services/teitok/pdtc10/index.php?action=vallex&amp;frame=v-whsa_1615hsa_1616", "stonat (v-whsa_1615hsa_1616)")</f>
        <v>stonat (v-whsa_1615hsa_1616)</v>
      </c>
    </row>
    <row r="46597" spans="1:2" x14ac:dyDescent="0.2">
      <c r="B46597" t="s">
        <v>1</v>
      </c>
    </row>
    <row r="46598" spans="1:2" x14ac:dyDescent="0.2">
      <c r="B46598" t="s">
        <v>2423</v>
      </c>
    </row>
    <row r="46600" spans="1:2" x14ac:dyDescent="0.2">
      <c r="A46600" t="s">
        <v>14916</v>
      </c>
      <c r="B46600" t="str">
        <f>HYPERLINK("https://lindat.mff.cuni.cz/services/teitok/pdtc10/index.php?action=vallex&amp;frame=v-w12389_MMf2_MM", "stopnout (v-w12389_MMf2_MM)")</f>
        <v>stopnout (v-w12389_MMf2_MM)</v>
      </c>
    </row>
    <row r="46601" spans="1:2" x14ac:dyDescent="0.2">
      <c r="B46601" t="s">
        <v>1</v>
      </c>
    </row>
    <row r="46602" spans="1:2" x14ac:dyDescent="0.2">
      <c r="B46602" t="s">
        <v>8</v>
      </c>
    </row>
    <row r="46604" spans="1:2" x14ac:dyDescent="0.2">
      <c r="A46604" t="s">
        <v>14916</v>
      </c>
      <c r="B46604" t="str">
        <f>HYPERLINK("https://lindat.mff.cuni.cz/services/teitok/pdtc10/index.php?action=vallex&amp;frame=v-w12389_MMf1_MM", "stopnout (v-w12389_MMf1_MM) - substituted with v-w12389_MMf2_MM")</f>
        <v>stopnout (v-w12389_MMf1_MM) - substituted with v-w12389_MMf2_MM</v>
      </c>
    </row>
    <row r="46605" spans="1:2" x14ac:dyDescent="0.2">
      <c r="B46605" t="s">
        <v>1</v>
      </c>
    </row>
    <row r="46606" spans="1:2" x14ac:dyDescent="0.2">
      <c r="B46606" t="s">
        <v>8</v>
      </c>
    </row>
    <row r="46608" spans="1:2" x14ac:dyDescent="0.2">
      <c r="A46608" t="s">
        <v>14917</v>
      </c>
      <c r="B46608" t="str">
        <f>HYPERLINK("https://lindat.mff.cuni.cz/services/teitok/pdtc10/index.php?action=vallex&amp;frame=v-w6544f1", "stopovat (v-w6544f1)")</f>
        <v>stopovat (v-w6544f1)</v>
      </c>
    </row>
    <row r="46609" spans="1:4" x14ac:dyDescent="0.2">
      <c r="B46609" t="s">
        <v>1</v>
      </c>
    </row>
    <row r="46610" spans="1:4" x14ac:dyDescent="0.2">
      <c r="B46610" t="s">
        <v>8</v>
      </c>
    </row>
    <row r="46612" spans="1:4" x14ac:dyDescent="0.2">
      <c r="A46612" t="s">
        <v>14918</v>
      </c>
      <c r="B46612" t="str">
        <f>HYPERLINK("https://lindat.mff.cuni.cz/services/teitok/pdtc10/index.php?action=vallex&amp;frame=v-w6545f1", "stornovat (v-w6545f1)")</f>
        <v>stornovat (v-w6545f1)</v>
      </c>
    </row>
    <row r="46613" spans="1:4" x14ac:dyDescent="0.2">
      <c r="B46613" t="s">
        <v>1</v>
      </c>
      <c r="C46613" t="s">
        <v>2106</v>
      </c>
      <c r="D46613" t="s">
        <v>23598</v>
      </c>
    </row>
    <row r="46614" spans="1:4" x14ac:dyDescent="0.2">
      <c r="B46614" t="s">
        <v>8</v>
      </c>
      <c r="C46614" t="s">
        <v>2755</v>
      </c>
      <c r="D46614" t="s">
        <v>23599</v>
      </c>
    </row>
    <row r="46616" spans="1:4" x14ac:dyDescent="0.2">
      <c r="A46616" t="s">
        <v>14919</v>
      </c>
      <c r="B46616" t="str">
        <f>HYPERLINK("https://lindat.mff.cuni.cz/services/teitok/pdtc10/index.php?action=vallex&amp;frame=v-w6548f3_ZU", "stoupat (v-w6548f3_ZU)")</f>
        <v>stoupat (v-w6548f3_ZU)</v>
      </c>
    </row>
    <row r="46617" spans="1:4" x14ac:dyDescent="0.2">
      <c r="B46617" t="s">
        <v>1</v>
      </c>
      <c r="D46617" t="s">
        <v>23510</v>
      </c>
    </row>
    <row r="46618" spans="1:4" x14ac:dyDescent="0.2">
      <c r="B46618" t="s">
        <v>1826</v>
      </c>
      <c r="D46618" t="s">
        <v>23393</v>
      </c>
    </row>
    <row r="46619" spans="1:4" x14ac:dyDescent="0.2">
      <c r="B46619" t="s">
        <v>24</v>
      </c>
      <c r="D46619" t="s">
        <v>23394</v>
      </c>
    </row>
    <row r="46621" spans="1:4" x14ac:dyDescent="0.2">
      <c r="A46621" t="s">
        <v>14919</v>
      </c>
      <c r="B46621" t="str">
        <f>HYPERLINK("https://lindat.mff.cuni.cz/services/teitok/pdtc10/index.php?action=vallex&amp;frame=v-w6548f1", "stoupat (v-w6548f1) - substituted with v-w6548f3_ZU")</f>
        <v>stoupat (v-w6548f1) - substituted with v-w6548f3_ZU</v>
      </c>
    </row>
    <row r="46622" spans="1:4" x14ac:dyDescent="0.2">
      <c r="B46622" t="s">
        <v>1</v>
      </c>
      <c r="C46622" t="s">
        <v>14920</v>
      </c>
    </row>
    <row r="46623" spans="1:4" x14ac:dyDescent="0.2">
      <c r="B46623" t="s">
        <v>1826</v>
      </c>
      <c r="C46623" t="s">
        <v>14921</v>
      </c>
    </row>
    <row r="46624" spans="1:4" x14ac:dyDescent="0.2">
      <c r="B46624" t="s">
        <v>24</v>
      </c>
      <c r="C46624" t="s">
        <v>14922</v>
      </c>
    </row>
    <row r="46626" spans="1:4" x14ac:dyDescent="0.2">
      <c r="A46626" t="s">
        <v>14923</v>
      </c>
      <c r="B46626" t="str">
        <f>HYPERLINK("https://lindat.mff.cuni.cz/services/teitok/pdtc10/index.php?action=vallex&amp;frame=v-w6548f2_ZU", "stoupat (v-w6548f2_ZU)")</f>
        <v>stoupat (v-w6548f2_ZU)</v>
      </c>
    </row>
    <row r="46627" spans="1:4" x14ac:dyDescent="0.2">
      <c r="B46627" t="s">
        <v>1</v>
      </c>
    </row>
    <row r="46629" spans="1:4" x14ac:dyDescent="0.2">
      <c r="A46629" t="s">
        <v>14924</v>
      </c>
      <c r="B46629" t="str">
        <f>HYPERLINK("https://lindat.mff.cuni.cz/services/teitok/pdtc10/index.php?action=vallex&amp;frame=v-w6548f4_ZU", "stoupat (v-w6548f4_ZU)")</f>
        <v>stoupat (v-w6548f4_ZU)</v>
      </c>
    </row>
    <row r="46630" spans="1:4" x14ac:dyDescent="0.2">
      <c r="B46630" t="s">
        <v>1</v>
      </c>
    </row>
    <row r="46631" spans="1:4" x14ac:dyDescent="0.2">
      <c r="B46631" t="s">
        <v>252</v>
      </c>
    </row>
    <row r="46633" spans="1:4" x14ac:dyDescent="0.2">
      <c r="A46633" t="s">
        <v>14925</v>
      </c>
      <c r="B46633" t="str">
        <f>HYPERLINK("https://lindat.mff.cuni.cz/services/teitok/pdtc10/index.php?action=vallex&amp;frame=v-w6548f5_MM", "stoupat (v-w6548f5_MM)")</f>
        <v>stoupat (v-w6548f5_MM)</v>
      </c>
    </row>
    <row r="46634" spans="1:4" x14ac:dyDescent="0.2">
      <c r="B46634" t="s">
        <v>1</v>
      </c>
    </row>
    <row r="46635" spans="1:4" x14ac:dyDescent="0.2">
      <c r="B46635" t="s">
        <v>90</v>
      </c>
    </row>
    <row r="46637" spans="1:4" x14ac:dyDescent="0.2">
      <c r="A46637" t="s">
        <v>14926</v>
      </c>
      <c r="B46637" t="str">
        <f>HYPERLINK("https://lindat.mff.cuni.cz/services/teitok/pdtc10/index.php?action=vallex&amp;frame=v-w6551f1", "stoupnout (v-w6551f1)")</f>
        <v>stoupnout (v-w6551f1)</v>
      </c>
    </row>
    <row r="46638" spans="1:4" x14ac:dyDescent="0.2">
      <c r="B46638" t="s">
        <v>1</v>
      </c>
      <c r="C46638" t="s">
        <v>14927</v>
      </c>
      <c r="D46638" t="s">
        <v>23510</v>
      </c>
    </row>
    <row r="46639" spans="1:4" x14ac:dyDescent="0.2">
      <c r="B46639" t="s">
        <v>46</v>
      </c>
      <c r="C46639" t="s">
        <v>14928</v>
      </c>
      <c r="D46639" t="s">
        <v>23393</v>
      </c>
    </row>
    <row r="46640" spans="1:4" x14ac:dyDescent="0.2">
      <c r="B46640" t="s">
        <v>24</v>
      </c>
      <c r="C46640" t="s">
        <v>14929</v>
      </c>
      <c r="D46640" t="s">
        <v>23394</v>
      </c>
    </row>
    <row r="46642" spans="1:2" x14ac:dyDescent="0.2">
      <c r="A46642" t="s">
        <v>14930</v>
      </c>
      <c r="B46642" t="str">
        <f>HYPERLINK("https://lindat.mff.cuni.cz/services/teitok/pdtc10/index.php?action=vallex&amp;frame=v-w6551f2_ZU", "stoupnout (v-w6551f2_ZU)")</f>
        <v>stoupnout (v-w6551f2_ZU)</v>
      </c>
    </row>
    <row r="46643" spans="1:2" x14ac:dyDescent="0.2">
      <c r="B46643" t="s">
        <v>1</v>
      </c>
    </row>
    <row r="46644" spans="1:2" x14ac:dyDescent="0.2">
      <c r="B46644" t="s">
        <v>14931</v>
      </c>
    </row>
    <row r="46645" spans="1:2" x14ac:dyDescent="0.2">
      <c r="B46645" t="s">
        <v>103</v>
      </c>
    </row>
    <row r="46647" spans="1:2" x14ac:dyDescent="0.2">
      <c r="A46647" t="s">
        <v>14930</v>
      </c>
      <c r="B46647" t="str">
        <f>HYPERLINK("https://lindat.mff.cuni.cz/services/teitok/pdtc10/index.php?action=vallex&amp;frame=v-w6551hsa_762", "stoupnout (v-w6551hsa_762) - substituted with v-w6551f2_ZU")</f>
        <v>stoupnout (v-w6551hsa_762) - substituted with v-w6551f2_ZU</v>
      </c>
    </row>
    <row r="46648" spans="1:2" x14ac:dyDescent="0.2">
      <c r="B46648" t="s">
        <v>1</v>
      </c>
    </row>
    <row r="46649" spans="1:2" x14ac:dyDescent="0.2">
      <c r="B46649" t="s">
        <v>14931</v>
      </c>
    </row>
    <row r="46650" spans="1:2" x14ac:dyDescent="0.2">
      <c r="B46650" t="s">
        <v>103</v>
      </c>
    </row>
    <row r="46652" spans="1:2" x14ac:dyDescent="0.2">
      <c r="A46652" t="s">
        <v>14932</v>
      </c>
      <c r="B46652" t="str">
        <f>HYPERLINK("https://lindat.mff.cuni.cz/services/teitok/pdtc10/index.php?action=vallex&amp;frame=v-w6551f3_MM", "stoupnout (v-w6551f3_MM)")</f>
        <v>stoupnout (v-w6551f3_MM)</v>
      </c>
    </row>
    <row r="46653" spans="1:2" x14ac:dyDescent="0.2">
      <c r="B46653" t="s">
        <v>1</v>
      </c>
    </row>
    <row r="46654" spans="1:2" x14ac:dyDescent="0.2">
      <c r="B46654" t="s">
        <v>252</v>
      </c>
    </row>
    <row r="46656" spans="1:2" x14ac:dyDescent="0.2">
      <c r="A46656" t="s">
        <v>14933</v>
      </c>
      <c r="B46656" t="str">
        <f>HYPERLINK("https://lindat.mff.cuni.cz/services/teitok/pdtc10/index.php?action=vallex&amp;frame=v-w6551hsa_763", "stoupnout (v-w6551hsa_763)")</f>
        <v>stoupnout (v-w6551hsa_763)</v>
      </c>
    </row>
    <row r="46657" spans="1:2" x14ac:dyDescent="0.2">
      <c r="B46657" t="s">
        <v>1</v>
      </c>
    </row>
    <row r="46658" spans="1:2" x14ac:dyDescent="0.2">
      <c r="B46658" t="s">
        <v>103</v>
      </c>
    </row>
    <row r="46659" spans="1:2" x14ac:dyDescent="0.2">
      <c r="B46659" t="s">
        <v>90</v>
      </c>
    </row>
    <row r="46661" spans="1:2" x14ac:dyDescent="0.2">
      <c r="A46661" t="s">
        <v>14934</v>
      </c>
      <c r="B46661" t="str">
        <f>HYPERLINK("https://lindat.mff.cuni.cz/services/teitok/pdtc10/index.php?action=vallex&amp;frame=v-w11597_ZUf1_ZU", "stoupnout si (v-w11597_ZUf1_ZU)")</f>
        <v>stoupnout si (v-w11597_ZUf1_ZU)</v>
      </c>
    </row>
    <row r="46662" spans="1:2" x14ac:dyDescent="0.2">
      <c r="B46662" t="s">
        <v>1</v>
      </c>
    </row>
    <row r="46664" spans="1:2" x14ac:dyDescent="0.2">
      <c r="A46664" t="s">
        <v>14935</v>
      </c>
      <c r="B46664" t="str">
        <f>HYPERLINK("https://lindat.mff.cuni.cz/services/teitok/pdtc10/index.php?action=vallex&amp;frame=v-w11597_ZUhsa_768", "stoupnout si (v-w11597_ZUhsa_768)")</f>
        <v>stoupnout si (v-w11597_ZUhsa_768)</v>
      </c>
    </row>
    <row r="46665" spans="1:2" x14ac:dyDescent="0.2">
      <c r="B46665" t="s">
        <v>1</v>
      </c>
    </row>
    <row r="46666" spans="1:2" x14ac:dyDescent="0.2">
      <c r="B46666" t="s">
        <v>90</v>
      </c>
    </row>
    <row r="46668" spans="1:2" x14ac:dyDescent="0.2">
      <c r="A46668" t="s">
        <v>14936</v>
      </c>
      <c r="B46668" t="str">
        <f>HYPERLINK("https://lindat.mff.cuni.cz/services/teitok/pdtc10/index.php?action=vallex&amp;frame=v-w6539f1", "stočit (v-w6539f1)")</f>
        <v>stočit (v-w6539f1)</v>
      </c>
    </row>
    <row r="46669" spans="1:2" x14ac:dyDescent="0.2">
      <c r="B46669" t="s">
        <v>1</v>
      </c>
    </row>
    <row r="46670" spans="1:2" x14ac:dyDescent="0.2">
      <c r="B46670" t="s">
        <v>8</v>
      </c>
    </row>
    <row r="46672" spans="1:2" x14ac:dyDescent="0.2">
      <c r="A46672" t="s">
        <v>14937</v>
      </c>
      <c r="B46672" t="str">
        <f>HYPERLINK("https://lindat.mff.cuni.cz/services/teitok/pdtc10/index.php?action=vallex&amp;frame=v-w6539f2_ZU", "stočit (v-w6539f2_ZU)")</f>
        <v>stočit (v-w6539f2_ZU)</v>
      </c>
    </row>
    <row r="46673" spans="1:4" x14ac:dyDescent="0.2">
      <c r="B46673" t="s">
        <v>1</v>
      </c>
    </row>
    <row r="46674" spans="1:4" x14ac:dyDescent="0.2">
      <c r="B46674" t="s">
        <v>8</v>
      </c>
    </row>
    <row r="46675" spans="1:4" x14ac:dyDescent="0.2">
      <c r="B46675" t="s">
        <v>130</v>
      </c>
    </row>
    <row r="46677" spans="1:4" x14ac:dyDescent="0.2">
      <c r="A46677" t="s">
        <v>14937</v>
      </c>
      <c r="B46677" t="str">
        <f>HYPERLINK("https://lindat.mff.cuni.cz/services/teitok/pdtc10/index.php?action=vallex&amp;frame=v-w6539hsa_1893", "stočit (v-w6539hsa_1893) - substituted with v-w6539f2_ZU")</f>
        <v>stočit (v-w6539hsa_1893) - substituted with v-w6539f2_ZU</v>
      </c>
    </row>
    <row r="46678" spans="1:4" x14ac:dyDescent="0.2">
      <c r="B46678" t="s">
        <v>1</v>
      </c>
    </row>
    <row r="46679" spans="1:4" x14ac:dyDescent="0.2">
      <c r="B46679" t="s">
        <v>8</v>
      </c>
    </row>
    <row r="46680" spans="1:4" x14ac:dyDescent="0.2">
      <c r="B46680" t="s">
        <v>130</v>
      </c>
    </row>
    <row r="46682" spans="1:4" x14ac:dyDescent="0.2">
      <c r="A46682" t="s">
        <v>14938</v>
      </c>
      <c r="B46682" t="str">
        <f>HYPERLINK("https://lindat.mff.cuni.cz/services/teitok/pdtc10/index.php?action=vallex&amp;frame=v-w11304f2", "stočit se (v-w11304f2)")</f>
        <v>stočit se (v-w11304f2)</v>
      </c>
    </row>
    <row r="46683" spans="1:4" x14ac:dyDescent="0.2">
      <c r="B46683" t="s">
        <v>1</v>
      </c>
      <c r="C46683" t="s">
        <v>140</v>
      </c>
      <c r="D46683" t="s">
        <v>23639</v>
      </c>
    </row>
    <row r="46685" spans="1:4" x14ac:dyDescent="0.2">
      <c r="A46685" t="s">
        <v>14939</v>
      </c>
      <c r="B46685" t="str">
        <f>HYPERLINK("https://lindat.mff.cuni.cz/services/teitok/pdtc10/index.php?action=vallex&amp;frame=v-w6555f2", "strachovat se (v-w6555f2)")</f>
        <v>strachovat se (v-w6555f2)</v>
      </c>
    </row>
    <row r="46686" spans="1:4" x14ac:dyDescent="0.2">
      <c r="B46686" t="s">
        <v>1</v>
      </c>
      <c r="C46686" t="s">
        <v>337</v>
      </c>
      <c r="D46686" t="s">
        <v>23024</v>
      </c>
    </row>
    <row r="46687" spans="1:4" x14ac:dyDescent="0.2">
      <c r="B46687" t="s">
        <v>14940</v>
      </c>
      <c r="C46687" t="s">
        <v>2344</v>
      </c>
      <c r="D46687" t="s">
        <v>23025</v>
      </c>
    </row>
    <row r="46689" spans="1:4" x14ac:dyDescent="0.2">
      <c r="A46689" t="s">
        <v>14939</v>
      </c>
      <c r="B46689" t="str">
        <f>HYPERLINK("https://lindat.mff.cuni.cz/services/teitok/pdtc10/index.php?action=vallex&amp;frame=v-w6555f1", "strachovat se (v-w6555f1) - substituted with v-w6555f2")</f>
        <v>strachovat se (v-w6555f1) - substituted with v-w6555f2</v>
      </c>
    </row>
    <row r="46690" spans="1:4" x14ac:dyDescent="0.2">
      <c r="B46690" t="s">
        <v>1</v>
      </c>
    </row>
    <row r="46691" spans="1:4" x14ac:dyDescent="0.2">
      <c r="B46691" t="s">
        <v>14940</v>
      </c>
    </row>
    <row r="46693" spans="1:4" x14ac:dyDescent="0.2">
      <c r="A46693" t="s">
        <v>14941</v>
      </c>
      <c r="B46693" t="str">
        <f>HYPERLINK("https://lindat.mff.cuni.cz/services/teitok/pdtc10/index.php?action=vallex&amp;frame=v-w6556f1", "stranit (v-w6556f1)")</f>
        <v>stranit (v-w6556f1)</v>
      </c>
    </row>
    <row r="46694" spans="1:4" x14ac:dyDescent="0.2">
      <c r="B46694" t="s">
        <v>1</v>
      </c>
      <c r="C46694" t="s">
        <v>30</v>
      </c>
      <c r="D46694" t="s">
        <v>23552</v>
      </c>
    </row>
    <row r="46695" spans="1:4" x14ac:dyDescent="0.2">
      <c r="B46695" t="s">
        <v>103</v>
      </c>
      <c r="C46695" t="s">
        <v>5993</v>
      </c>
      <c r="D46695" t="s">
        <v>23553</v>
      </c>
    </row>
    <row r="46697" spans="1:4" x14ac:dyDescent="0.2">
      <c r="A46697" t="s">
        <v>14942</v>
      </c>
      <c r="B46697" t="str">
        <f>HYPERLINK("https://lindat.mff.cuni.cz/services/teitok/pdtc10/index.php?action=vallex&amp;frame=v-w11307f1", "stranit se (v-w11307f1)")</f>
        <v>stranit se (v-w11307f1)</v>
      </c>
    </row>
    <row r="46698" spans="1:4" x14ac:dyDescent="0.2">
      <c r="B46698" t="s">
        <v>1</v>
      </c>
    </row>
    <row r="46699" spans="1:4" x14ac:dyDescent="0.2">
      <c r="B46699" t="s">
        <v>917</v>
      </c>
    </row>
    <row r="46701" spans="1:4" x14ac:dyDescent="0.2">
      <c r="A46701" t="s">
        <v>14943</v>
      </c>
      <c r="B46701" t="str">
        <f>HYPERLINK("https://lindat.mff.cuni.cz/services/teitok/pdtc10/index.php?action=vallex&amp;frame=v-w6562f1", "stravovat se (v-w6562f1)")</f>
        <v>stravovat se (v-w6562f1)</v>
      </c>
    </row>
    <row r="46702" spans="1:4" x14ac:dyDescent="0.2">
      <c r="B46702" t="s">
        <v>1</v>
      </c>
    </row>
    <row r="46703" spans="1:4" x14ac:dyDescent="0.2">
      <c r="B46703" t="s">
        <v>438</v>
      </c>
    </row>
    <row r="46705" spans="1:4" x14ac:dyDescent="0.2">
      <c r="A46705" t="s">
        <v>14944</v>
      </c>
      <c r="B46705" t="str">
        <f>HYPERLINK("https://lindat.mff.cuni.cz/services/teitok/pdtc10/index.php?action=vallex&amp;frame=v-w6558f4_ZU", "strašit (v-w6558f4_ZU)")</f>
        <v>strašit (v-w6558f4_ZU)</v>
      </c>
    </row>
    <row r="46706" spans="1:4" x14ac:dyDescent="0.2">
      <c r="B46706" t="s">
        <v>1</v>
      </c>
    </row>
    <row r="46707" spans="1:4" x14ac:dyDescent="0.2">
      <c r="B46707" t="s">
        <v>41</v>
      </c>
    </row>
    <row r="46709" spans="1:4" x14ac:dyDescent="0.2">
      <c r="A46709" t="s">
        <v>14944</v>
      </c>
      <c r="B46709" t="str">
        <f>HYPERLINK("https://lindat.mff.cuni.cz/services/teitok/pdtc10/index.php?action=vallex&amp;frame=v-w6558f1", "strašit (v-w6558f1) - substituted with v-w6558f4_ZU")</f>
        <v>strašit (v-w6558f1) - substituted with v-w6558f4_ZU</v>
      </c>
    </row>
    <row r="46710" spans="1:4" x14ac:dyDescent="0.2">
      <c r="B46710" t="s">
        <v>1</v>
      </c>
      <c r="C46710" t="s">
        <v>1425</v>
      </c>
      <c r="D46710" t="s">
        <v>23316</v>
      </c>
    </row>
    <row r="46711" spans="1:4" x14ac:dyDescent="0.2">
      <c r="B46711" t="s">
        <v>41</v>
      </c>
      <c r="C46711" t="s">
        <v>991</v>
      </c>
      <c r="D46711" t="s">
        <v>2213</v>
      </c>
    </row>
    <row r="46713" spans="1:4" x14ac:dyDescent="0.2">
      <c r="A46713" t="s">
        <v>14945</v>
      </c>
      <c r="B46713" t="str">
        <f>HYPERLINK("https://lindat.mff.cuni.cz/services/teitok/pdtc10/index.php?action=vallex&amp;frame=v-w6558f2", "strašit (v-w6558f2)")</f>
        <v>strašit (v-w6558f2)</v>
      </c>
    </row>
    <row r="46714" spans="1:4" x14ac:dyDescent="0.2">
      <c r="B46714" t="s">
        <v>5</v>
      </c>
      <c r="C46714" t="s">
        <v>14946</v>
      </c>
    </row>
    <row r="46716" spans="1:4" x14ac:dyDescent="0.2">
      <c r="A46716" t="s">
        <v>14947</v>
      </c>
      <c r="B46716" t="str">
        <f>HYPERLINK("https://lindat.mff.cuni.cz/services/teitok/pdtc10/index.php?action=vallex&amp;frame=v-w6558f3_ZU", "strašit (v-w6558f3_ZU)")</f>
        <v>strašit (v-w6558f3_ZU)</v>
      </c>
    </row>
    <row r="46717" spans="1:4" x14ac:dyDescent="0.2">
      <c r="B46717" t="s">
        <v>1</v>
      </c>
    </row>
    <row r="46719" spans="1:4" x14ac:dyDescent="0.2">
      <c r="A46719" t="s">
        <v>14948</v>
      </c>
      <c r="B46719" t="str">
        <f>HYPERLINK("https://lindat.mff.cuni.cz/services/teitok/pdtc10/index.php?action=vallex&amp;frame=v-w11794_ZUf1_ZU", "strefit se (v-w11794_ZUf1_ZU)")</f>
        <v>strefit se (v-w11794_ZUf1_ZU)</v>
      </c>
    </row>
    <row r="46720" spans="1:4" x14ac:dyDescent="0.2">
      <c r="B46720" t="s">
        <v>1</v>
      </c>
    </row>
    <row r="46721" spans="1:3" x14ac:dyDescent="0.2">
      <c r="B46721" t="s">
        <v>252</v>
      </c>
    </row>
    <row r="46723" spans="1:3" x14ac:dyDescent="0.2">
      <c r="A46723" t="s">
        <v>14949</v>
      </c>
      <c r="B46723" t="str">
        <f>HYPERLINK("https://lindat.mff.cuni.cz/services/teitok/pdtc10/index.php?action=vallex&amp;frame=v-w11383f1", "strefovat se (v-w11383f1)")</f>
        <v>strefovat se (v-w11383f1)</v>
      </c>
    </row>
    <row r="46724" spans="1:3" x14ac:dyDescent="0.2">
      <c r="B46724" t="s">
        <v>1</v>
      </c>
    </row>
    <row r="46725" spans="1:3" x14ac:dyDescent="0.2">
      <c r="B46725" t="s">
        <v>817</v>
      </c>
    </row>
    <row r="46727" spans="1:3" x14ac:dyDescent="0.2">
      <c r="A46727" t="s">
        <v>14950</v>
      </c>
      <c r="B46727" t="str">
        <f>HYPERLINK("https://lindat.mff.cuni.cz/services/teitok/pdtc10/index.php?action=vallex&amp;frame=v-w11383f2", "strefovat se (v-w11383f2)")</f>
        <v>strefovat se (v-w11383f2)</v>
      </c>
    </row>
    <row r="46728" spans="1:3" x14ac:dyDescent="0.2">
      <c r="B46728" t="s">
        <v>1</v>
      </c>
    </row>
    <row r="46729" spans="1:3" x14ac:dyDescent="0.2">
      <c r="B46729" t="s">
        <v>14951</v>
      </c>
    </row>
    <row r="46731" spans="1:3" x14ac:dyDescent="0.2">
      <c r="A46731" t="s">
        <v>14952</v>
      </c>
      <c r="B46731" t="str">
        <f>HYPERLINK("https://lindat.mff.cuni.cz/services/teitok/pdtc10/index.php?action=vallex&amp;frame=v-w6567f1", "strhat (v-w6567f1)")</f>
        <v>strhat (v-w6567f1)</v>
      </c>
    </row>
    <row r="46732" spans="1:3" x14ac:dyDescent="0.2">
      <c r="B46732" t="s">
        <v>1</v>
      </c>
    </row>
    <row r="46733" spans="1:3" x14ac:dyDescent="0.2">
      <c r="B46733" t="s">
        <v>8</v>
      </c>
    </row>
    <row r="46735" spans="1:3" x14ac:dyDescent="0.2">
      <c r="A46735" t="s">
        <v>14953</v>
      </c>
      <c r="B46735" t="str">
        <f>HYPERLINK("https://lindat.mff.cuni.cz/services/teitok/pdtc10/index.php?action=vallex&amp;frame=v-w6570f5", "strhnout (v-w6570f5)")</f>
        <v>strhnout (v-w6570f5)</v>
      </c>
    </row>
    <row r="46736" spans="1:3" x14ac:dyDescent="0.2">
      <c r="B46736" t="s">
        <v>1</v>
      </c>
      <c r="C46736" t="s">
        <v>1065</v>
      </c>
    </row>
    <row r="46737" spans="1:4" x14ac:dyDescent="0.2">
      <c r="B46737" t="s">
        <v>8</v>
      </c>
      <c r="C46737" t="s">
        <v>2235</v>
      </c>
    </row>
    <row r="46738" spans="1:4" x14ac:dyDescent="0.2">
      <c r="B46738" t="s">
        <v>35</v>
      </c>
      <c r="C46738" t="s">
        <v>14954</v>
      </c>
    </row>
    <row r="46740" spans="1:4" x14ac:dyDescent="0.2">
      <c r="A46740" t="s">
        <v>14955</v>
      </c>
      <c r="B46740" t="str">
        <f>HYPERLINK("https://lindat.mff.cuni.cz/services/teitok/pdtc10/index.php?action=vallex&amp;frame=v-w6570f2", "strhnout (v-w6570f2)")</f>
        <v>strhnout (v-w6570f2)</v>
      </c>
    </row>
    <row r="46741" spans="1:4" x14ac:dyDescent="0.2">
      <c r="B46741" t="s">
        <v>1</v>
      </c>
      <c r="C46741" t="s">
        <v>133</v>
      </c>
      <c r="D46741" t="s">
        <v>2353</v>
      </c>
    </row>
    <row r="46742" spans="1:4" x14ac:dyDescent="0.2">
      <c r="B46742" t="s">
        <v>8</v>
      </c>
      <c r="C46742" t="s">
        <v>54</v>
      </c>
      <c r="D46742" t="s">
        <v>7127</v>
      </c>
    </row>
    <row r="46743" spans="1:4" x14ac:dyDescent="0.2">
      <c r="B46743" t="s">
        <v>61</v>
      </c>
      <c r="D46743" t="s">
        <v>13074</v>
      </c>
    </row>
    <row r="46745" spans="1:4" x14ac:dyDescent="0.2">
      <c r="A46745" t="s">
        <v>14956</v>
      </c>
      <c r="B46745" t="str">
        <f>HYPERLINK("https://lindat.mff.cuni.cz/services/teitok/pdtc10/index.php?action=vallex&amp;frame=v-w6570f1", "strhnout (v-w6570f1)")</f>
        <v>strhnout (v-w6570f1)</v>
      </c>
    </row>
    <row r="46746" spans="1:4" x14ac:dyDescent="0.2">
      <c r="B46746" t="s">
        <v>1</v>
      </c>
      <c r="C46746" t="s">
        <v>9364</v>
      </c>
      <c r="D46746" t="s">
        <v>373</v>
      </c>
    </row>
    <row r="46747" spans="1:4" x14ac:dyDescent="0.2">
      <c r="B46747" t="s">
        <v>8</v>
      </c>
      <c r="D46747" t="s">
        <v>23</v>
      </c>
    </row>
    <row r="46748" spans="1:4" x14ac:dyDescent="0.2">
      <c r="B46748" t="s">
        <v>90</v>
      </c>
      <c r="C46748" t="s">
        <v>3819</v>
      </c>
    </row>
    <row r="46750" spans="1:4" x14ac:dyDescent="0.2">
      <c r="A46750" t="s">
        <v>14957</v>
      </c>
      <c r="B46750" t="str">
        <f>HYPERLINK("https://lindat.mff.cuni.cz/services/teitok/pdtc10/index.php?action=vallex&amp;frame=v-w6570f4", "strhnout (v-w6570f4)")</f>
        <v>strhnout (v-w6570f4)</v>
      </c>
    </row>
    <row r="46751" spans="1:4" x14ac:dyDescent="0.2">
      <c r="B46751" t="s">
        <v>1</v>
      </c>
    </row>
    <row r="46752" spans="1:4" x14ac:dyDescent="0.2">
      <c r="B46752" t="s">
        <v>8</v>
      </c>
    </row>
    <row r="46754" spans="1:2" x14ac:dyDescent="0.2">
      <c r="A46754" t="s">
        <v>14958</v>
      </c>
      <c r="B46754" t="str">
        <f>HYPERLINK("https://lindat.mff.cuni.cz/services/teitok/pdtc10/index.php?action=vallex&amp;frame=v-w6570f3", "strhnout (v-w6570f3)")</f>
        <v>strhnout (v-w6570f3)</v>
      </c>
    </row>
    <row r="46755" spans="1:2" x14ac:dyDescent="0.2">
      <c r="B46755" t="s">
        <v>1</v>
      </c>
    </row>
    <row r="46756" spans="1:2" x14ac:dyDescent="0.2">
      <c r="B46756" t="s">
        <v>58</v>
      </c>
    </row>
    <row r="46757" spans="1:2" x14ac:dyDescent="0.2">
      <c r="B46757" t="s">
        <v>14959</v>
      </c>
    </row>
    <row r="46759" spans="1:2" x14ac:dyDescent="0.2">
      <c r="A46759" t="s">
        <v>14960</v>
      </c>
      <c r="B46759" t="str">
        <f>HYPERLINK("https://lindat.mff.cuni.cz/services/teitok/pdtc10/index.php?action=vallex&amp;frame=v-w6570f6_ZU", "strhnout (v-w6570f6_ZU)")</f>
        <v>strhnout (v-w6570f6_ZU)</v>
      </c>
    </row>
    <row r="46760" spans="1:2" x14ac:dyDescent="0.2">
      <c r="B46760" t="s">
        <v>1</v>
      </c>
    </row>
    <row r="46761" spans="1:2" x14ac:dyDescent="0.2">
      <c r="B46761" t="s">
        <v>8</v>
      </c>
    </row>
    <row r="46763" spans="1:2" x14ac:dyDescent="0.2">
      <c r="A46763" t="s">
        <v>14961</v>
      </c>
      <c r="B46763" t="str">
        <f>HYPERLINK("https://lindat.mff.cuni.cz/services/teitok/pdtc10/index.php?action=vallex&amp;frame=v-w6570f7_MM", "strhnout (v-w6570f7_MM)")</f>
        <v>strhnout (v-w6570f7_MM)</v>
      </c>
    </row>
    <row r="46764" spans="1:2" x14ac:dyDescent="0.2">
      <c r="B46764" t="s">
        <v>1</v>
      </c>
    </row>
    <row r="46765" spans="1:2" x14ac:dyDescent="0.2">
      <c r="B46765" t="s">
        <v>8</v>
      </c>
    </row>
    <row r="46767" spans="1:2" x14ac:dyDescent="0.2">
      <c r="A46767" t="s">
        <v>14962</v>
      </c>
      <c r="B46767" t="str">
        <f>HYPERLINK("https://lindat.mff.cuni.cz/services/teitok/pdtc10/index.php?action=vallex&amp;frame=v-w6570f8_MM", "strhnout (v-w6570f8_MM)")</f>
        <v>strhnout (v-w6570f8_MM)</v>
      </c>
    </row>
    <row r="46768" spans="1:2" x14ac:dyDescent="0.2">
      <c r="B46768" t="s">
        <v>1</v>
      </c>
    </row>
    <row r="46769" spans="1:2" x14ac:dyDescent="0.2">
      <c r="B46769" t="s">
        <v>8</v>
      </c>
    </row>
    <row r="46770" spans="1:2" x14ac:dyDescent="0.2">
      <c r="B46770" t="s">
        <v>333</v>
      </c>
    </row>
    <row r="46772" spans="1:2" x14ac:dyDescent="0.2">
      <c r="A46772" t="s">
        <v>14963</v>
      </c>
      <c r="B46772" t="str">
        <f>HYPERLINK("https://lindat.mff.cuni.cz/services/teitok/pdtc10/index.php?action=vallex&amp;frame=v-w6571f1", "strhnout se (v-w6571f1)")</f>
        <v>strhnout se (v-w6571f1)</v>
      </c>
    </row>
    <row r="46773" spans="1:2" x14ac:dyDescent="0.2">
      <c r="B46773" t="s">
        <v>1</v>
      </c>
    </row>
    <row r="46775" spans="1:2" x14ac:dyDescent="0.2">
      <c r="A46775" t="s">
        <v>14964</v>
      </c>
      <c r="B46775" t="str">
        <f>HYPERLINK("https://lindat.mff.cuni.cz/services/teitok/pdtc10/index.php?action=vallex&amp;frame=v-w11598_ZUf1_ZU", "strhovat (v-w11598_ZUf1_ZU)")</f>
        <v>strhovat (v-w11598_ZUf1_ZU)</v>
      </c>
    </row>
    <row r="46776" spans="1:2" x14ac:dyDescent="0.2">
      <c r="B46776" t="s">
        <v>1</v>
      </c>
    </row>
    <row r="46777" spans="1:2" x14ac:dyDescent="0.2">
      <c r="B46777" t="s">
        <v>8</v>
      </c>
    </row>
    <row r="46778" spans="1:2" x14ac:dyDescent="0.2">
      <c r="B46778" t="s">
        <v>205</v>
      </c>
    </row>
    <row r="46780" spans="1:2" x14ac:dyDescent="0.2">
      <c r="A46780" t="s">
        <v>14965</v>
      </c>
      <c r="B46780" t="str">
        <f>HYPERLINK("https://lindat.mff.cuni.cz/services/teitok/pdtc10/index.php?action=vallex&amp;frame=v-w6568f1", "strhávat (v-w6568f1)")</f>
        <v>strhávat (v-w6568f1)</v>
      </c>
    </row>
    <row r="46781" spans="1:2" x14ac:dyDescent="0.2">
      <c r="B46781" t="s">
        <v>1</v>
      </c>
    </row>
    <row r="46782" spans="1:2" x14ac:dyDescent="0.2">
      <c r="B46782" t="s">
        <v>8</v>
      </c>
    </row>
    <row r="46783" spans="1:2" x14ac:dyDescent="0.2">
      <c r="B46783" t="s">
        <v>35</v>
      </c>
    </row>
    <row r="46785" spans="1:4" x14ac:dyDescent="0.2">
      <c r="A46785" t="s">
        <v>14966</v>
      </c>
      <c r="B46785" t="str">
        <f>HYPERLINK("https://lindat.mff.cuni.cz/services/teitok/pdtc10/index.php?action=vallex&amp;frame=v-w6568f2", "strhávat (v-w6568f2)")</f>
        <v>strhávat (v-w6568f2)</v>
      </c>
    </row>
    <row r="46786" spans="1:4" x14ac:dyDescent="0.2">
      <c r="B46786" t="s">
        <v>1</v>
      </c>
    </row>
    <row r="46787" spans="1:4" x14ac:dyDescent="0.2">
      <c r="B46787" t="s">
        <v>172</v>
      </c>
    </row>
    <row r="46788" spans="1:4" x14ac:dyDescent="0.2">
      <c r="B46788" t="s">
        <v>61</v>
      </c>
    </row>
    <row r="46790" spans="1:4" x14ac:dyDescent="0.2">
      <c r="A46790" t="s">
        <v>14967</v>
      </c>
      <c r="B46790" t="str">
        <f>HYPERLINK("https://lindat.mff.cuni.cz/services/teitok/pdtc10/index.php?action=vallex&amp;frame=v-w6568f3_MM", "strhávat (v-w6568f3_MM)")</f>
        <v>strhávat (v-w6568f3_MM)</v>
      </c>
    </row>
    <row r="46791" spans="1:4" x14ac:dyDescent="0.2">
      <c r="B46791" t="s">
        <v>1</v>
      </c>
    </row>
    <row r="46792" spans="1:4" x14ac:dyDescent="0.2">
      <c r="B46792" t="s">
        <v>8</v>
      </c>
    </row>
    <row r="46793" spans="1:4" x14ac:dyDescent="0.2">
      <c r="B46793" t="s">
        <v>333</v>
      </c>
    </row>
    <row r="46795" spans="1:4" x14ac:dyDescent="0.2">
      <c r="A46795" t="s">
        <v>14967</v>
      </c>
      <c r="B46795" t="str">
        <f>HYPERLINK("https://lindat.mff.cuni.cz/services/teitok/pdtc10/index.php?action=vallex&amp;frame=v-w6568hsa_734", "strhávat (v-w6568hsa_734) - substituted with v-w6568f3_MM")</f>
        <v>strhávat (v-w6568hsa_734) - substituted with v-w6568f3_MM</v>
      </c>
    </row>
    <row r="46796" spans="1:4" x14ac:dyDescent="0.2">
      <c r="B46796" t="s">
        <v>1</v>
      </c>
      <c r="D46796" t="s">
        <v>33</v>
      </c>
    </row>
    <row r="46797" spans="1:4" x14ac:dyDescent="0.2">
      <c r="B46797" t="s">
        <v>8</v>
      </c>
      <c r="C46797" t="s">
        <v>113</v>
      </c>
      <c r="D46797" t="s">
        <v>991</v>
      </c>
    </row>
    <row r="46798" spans="1:4" x14ac:dyDescent="0.2">
      <c r="B46798" t="s">
        <v>333</v>
      </c>
    </row>
    <row r="46800" spans="1:4" x14ac:dyDescent="0.2">
      <c r="A46800" t="s">
        <v>14968</v>
      </c>
      <c r="B46800" t="str">
        <f>HYPERLINK("https://lindat.mff.cuni.cz/services/teitok/pdtc10/index.php?action=vallex&amp;frame=v-w6569f1", "strhávat si (v-w6569f1)")</f>
        <v>strhávat si (v-w6569f1)</v>
      </c>
    </row>
    <row r="46801" spans="1:4" x14ac:dyDescent="0.2">
      <c r="B46801" t="s">
        <v>1</v>
      </c>
    </row>
    <row r="46802" spans="1:4" x14ac:dyDescent="0.2">
      <c r="B46802" t="s">
        <v>8</v>
      </c>
    </row>
    <row r="46804" spans="1:4" x14ac:dyDescent="0.2">
      <c r="A46804" t="s">
        <v>14969</v>
      </c>
      <c r="B46804" t="str">
        <f>HYPERLINK("https://lindat.mff.cuni.cz/services/teitok/pdtc10/index.php?action=vallex&amp;frame=v-w11483f1", "strkat (v-w11483f1)")</f>
        <v>strkat (v-w11483f1)</v>
      </c>
    </row>
    <row r="46805" spans="1:4" x14ac:dyDescent="0.2">
      <c r="B46805" t="s">
        <v>1</v>
      </c>
      <c r="D46805" t="s">
        <v>430</v>
      </c>
    </row>
    <row r="46806" spans="1:4" x14ac:dyDescent="0.2">
      <c r="B46806" t="s">
        <v>8</v>
      </c>
      <c r="D46806" t="s">
        <v>335</v>
      </c>
    </row>
    <row r="46807" spans="1:4" x14ac:dyDescent="0.2">
      <c r="B46807" t="s">
        <v>90</v>
      </c>
    </row>
    <row r="46809" spans="1:4" x14ac:dyDescent="0.2">
      <c r="A46809" t="s">
        <v>14970</v>
      </c>
      <c r="B46809" t="str">
        <f>HYPERLINK("https://lindat.mff.cuni.cz/services/teitok/pdtc10/index.php?action=vallex&amp;frame=v-w11483f2", "strkat (v-w11483f2)")</f>
        <v>strkat (v-w11483f2)</v>
      </c>
    </row>
    <row r="46810" spans="1:4" x14ac:dyDescent="0.2">
      <c r="B46810" t="s">
        <v>1</v>
      </c>
    </row>
    <row r="46811" spans="1:4" x14ac:dyDescent="0.2">
      <c r="B46811" t="s">
        <v>7750</v>
      </c>
    </row>
    <row r="46812" spans="1:4" x14ac:dyDescent="0.2">
      <c r="B46812" t="s">
        <v>817</v>
      </c>
    </row>
    <row r="46814" spans="1:4" x14ac:dyDescent="0.2">
      <c r="A46814" t="s">
        <v>14971</v>
      </c>
      <c r="B46814" t="str">
        <f>HYPERLINK("https://lindat.mff.cuni.cz/services/teitok/pdtc10/index.php?action=vallex&amp;frame=v-w11483f3_ZU", "strkat (v-w11483f3_ZU)")</f>
        <v>strkat (v-w11483f3_ZU)</v>
      </c>
    </row>
    <row r="46815" spans="1:4" x14ac:dyDescent="0.2">
      <c r="B46815" t="s">
        <v>1</v>
      </c>
    </row>
    <row r="46816" spans="1:4" x14ac:dyDescent="0.2">
      <c r="B46816" t="s">
        <v>8</v>
      </c>
    </row>
    <row r="46817" spans="1:4" x14ac:dyDescent="0.2">
      <c r="B46817" t="s">
        <v>35</v>
      </c>
    </row>
    <row r="46819" spans="1:4" x14ac:dyDescent="0.2">
      <c r="A46819" t="s">
        <v>14972</v>
      </c>
      <c r="B46819" t="str">
        <f>HYPERLINK("https://lindat.mff.cuni.cz/services/teitok/pdtc10/index.php?action=vallex&amp;frame=v-w6572f1", "strkat se (v-w6572f1)")</f>
        <v>strkat se (v-w6572f1)</v>
      </c>
    </row>
    <row r="46820" spans="1:4" x14ac:dyDescent="0.2">
      <c r="B46820" t="s">
        <v>1</v>
      </c>
    </row>
    <row r="46821" spans="1:4" x14ac:dyDescent="0.2">
      <c r="B46821" t="s">
        <v>153</v>
      </c>
    </row>
    <row r="46822" spans="1:4" x14ac:dyDescent="0.2">
      <c r="B46822" t="s">
        <v>2287</v>
      </c>
    </row>
    <row r="46824" spans="1:4" x14ac:dyDescent="0.2">
      <c r="A46824" t="s">
        <v>14973</v>
      </c>
      <c r="B46824" t="str">
        <f>HYPERLINK("https://lindat.mff.cuni.cz/services/teitok/pdtc10/index.php?action=vallex&amp;frame=v-w6573f1", "strnout (v-w6573f1)")</f>
        <v>strnout (v-w6573f1)</v>
      </c>
    </row>
    <row r="46825" spans="1:4" x14ac:dyDescent="0.2">
      <c r="B46825" t="s">
        <v>1</v>
      </c>
      <c r="D46825" t="s">
        <v>24210</v>
      </c>
    </row>
    <row r="46827" spans="1:4" x14ac:dyDescent="0.2">
      <c r="A46827" t="s">
        <v>14974</v>
      </c>
      <c r="B46827" t="str">
        <f>HYPERLINK("https://lindat.mff.cuni.cz/services/teitok/pdtc10/index.php?action=vallex&amp;frame=v-whsa_1487f1_MM", "strojit (v-whsa_1487f1_MM)")</f>
        <v>strojit (v-whsa_1487f1_MM)</v>
      </c>
    </row>
    <row r="46828" spans="1:4" x14ac:dyDescent="0.2">
      <c r="B46828" t="s">
        <v>1</v>
      </c>
    </row>
    <row r="46829" spans="1:4" x14ac:dyDescent="0.2">
      <c r="B46829" t="s">
        <v>8</v>
      </c>
    </row>
    <row r="46830" spans="1:4" x14ac:dyDescent="0.2">
      <c r="B46830" t="s">
        <v>130</v>
      </c>
    </row>
    <row r="46832" spans="1:4" x14ac:dyDescent="0.2">
      <c r="A46832" t="s">
        <v>14975</v>
      </c>
      <c r="B46832" t="str">
        <f>HYPERLINK("https://lindat.mff.cuni.cz/services/teitok/pdtc10/index.php?action=vallex&amp;frame=v-whsa_1487hsa_1488", "strojit (v-whsa_1487hsa_1488)")</f>
        <v>strojit (v-whsa_1487hsa_1488)</v>
      </c>
    </row>
    <row r="46833" spans="1:4" x14ac:dyDescent="0.2">
      <c r="B46833" t="s">
        <v>1</v>
      </c>
    </row>
    <row r="46834" spans="1:4" x14ac:dyDescent="0.2">
      <c r="B46834" t="s">
        <v>8</v>
      </c>
    </row>
    <row r="46836" spans="1:4" x14ac:dyDescent="0.2">
      <c r="A46836" t="s">
        <v>14976</v>
      </c>
      <c r="B46836" t="str">
        <f>HYPERLINK("https://lindat.mff.cuni.cz/services/teitok/pdtc10/index.php?action=vallex&amp;frame=v-w6576f2", "strpět (v-w6576f2)")</f>
        <v>strpět (v-w6576f2)</v>
      </c>
    </row>
    <row r="46837" spans="1:4" x14ac:dyDescent="0.2">
      <c r="B46837" t="s">
        <v>1</v>
      </c>
    </row>
    <row r="46838" spans="1:4" x14ac:dyDescent="0.2">
      <c r="B46838" t="s">
        <v>124</v>
      </c>
    </row>
    <row r="46839" spans="1:4" x14ac:dyDescent="0.2">
      <c r="B46839" t="s">
        <v>78</v>
      </c>
    </row>
    <row r="46841" spans="1:4" x14ac:dyDescent="0.2">
      <c r="A46841" t="s">
        <v>14977</v>
      </c>
      <c r="B46841" t="str">
        <f>HYPERLINK("https://lindat.mff.cuni.cz/services/teitok/pdtc10/index.php?action=vallex&amp;frame=v-w6576f1", "strpět (v-w6576f1)")</f>
        <v>strpět (v-w6576f1)</v>
      </c>
    </row>
    <row r="46842" spans="1:4" x14ac:dyDescent="0.2">
      <c r="B46842" t="s">
        <v>1</v>
      </c>
      <c r="C46842" t="s">
        <v>127</v>
      </c>
      <c r="D46842" t="s">
        <v>23968</v>
      </c>
    </row>
    <row r="46843" spans="1:4" x14ac:dyDescent="0.2">
      <c r="B46843" t="s">
        <v>8</v>
      </c>
      <c r="C46843" t="s">
        <v>10500</v>
      </c>
      <c r="D46843" t="s">
        <v>23969</v>
      </c>
    </row>
    <row r="46845" spans="1:4" x14ac:dyDescent="0.2">
      <c r="A46845" t="s">
        <v>14978</v>
      </c>
      <c r="B46845" t="str">
        <f>HYPERLINK("https://lindat.mff.cuni.cz/services/teitok/pdtc10/index.php?action=vallex&amp;frame=v-w6580f1", "strukturovat (v-w6580f1)")</f>
        <v>strukturovat (v-w6580f1)</v>
      </c>
    </row>
    <row r="46846" spans="1:4" x14ac:dyDescent="0.2">
      <c r="B46846" t="s">
        <v>1</v>
      </c>
      <c r="C46846" t="s">
        <v>140</v>
      </c>
      <c r="D46846" t="s">
        <v>140</v>
      </c>
    </row>
    <row r="46847" spans="1:4" x14ac:dyDescent="0.2">
      <c r="B46847" t="s">
        <v>8</v>
      </c>
      <c r="C46847" t="s">
        <v>2240</v>
      </c>
      <c r="D46847" t="s">
        <v>2240</v>
      </c>
    </row>
    <row r="46849" spans="1:4" x14ac:dyDescent="0.2">
      <c r="A46849" t="s">
        <v>14979</v>
      </c>
      <c r="B46849" t="str">
        <f>HYPERLINK("https://lindat.mff.cuni.cz/services/teitok/pdtc10/index.php?action=vallex&amp;frame=v-w6553f1", "strádat (v-w6553f1)")</f>
        <v>strádat (v-w6553f1)</v>
      </c>
    </row>
    <row r="46850" spans="1:4" x14ac:dyDescent="0.2">
      <c r="B46850" t="s">
        <v>1</v>
      </c>
      <c r="C46850" t="s">
        <v>14980</v>
      </c>
      <c r="D46850" t="s">
        <v>23167</v>
      </c>
    </row>
    <row r="46852" spans="1:4" x14ac:dyDescent="0.2">
      <c r="A46852" t="s">
        <v>14981</v>
      </c>
      <c r="B46852" t="str">
        <f>HYPERLINK("https://lindat.mff.cuni.cz/services/teitok/pdtc10/index.php?action=vallex&amp;frame=v-w6560f1", "strávit (v-w6560f1)")</f>
        <v>strávit (v-w6560f1)</v>
      </c>
    </row>
    <row r="46853" spans="1:4" x14ac:dyDescent="0.2">
      <c r="B46853" t="s">
        <v>1</v>
      </c>
      <c r="C46853" t="s">
        <v>8690</v>
      </c>
      <c r="D46853" t="s">
        <v>8690</v>
      </c>
    </row>
    <row r="46854" spans="1:4" x14ac:dyDescent="0.2">
      <c r="B46854" t="s">
        <v>8</v>
      </c>
      <c r="C46854" t="s">
        <v>2439</v>
      </c>
      <c r="D46854" t="s">
        <v>2439</v>
      </c>
    </row>
    <row r="46855" spans="1:4" x14ac:dyDescent="0.2">
      <c r="B46855" t="s">
        <v>5</v>
      </c>
      <c r="C46855" t="s">
        <v>14982</v>
      </c>
      <c r="D46855" t="s">
        <v>14982</v>
      </c>
    </row>
    <row r="46857" spans="1:4" x14ac:dyDescent="0.2">
      <c r="A46857" t="s">
        <v>14983</v>
      </c>
      <c r="B46857" t="str">
        <f>HYPERLINK("https://lindat.mff.cuni.cz/services/teitok/pdtc10/index.php?action=vallex&amp;frame=v-w6560f2", "strávit (v-w6560f2)")</f>
        <v>strávit (v-w6560f2)</v>
      </c>
    </row>
    <row r="46858" spans="1:4" x14ac:dyDescent="0.2">
      <c r="B46858" t="s">
        <v>1</v>
      </c>
      <c r="C46858" t="s">
        <v>14984</v>
      </c>
      <c r="D46858" t="s">
        <v>8690</v>
      </c>
    </row>
    <row r="46859" spans="1:4" x14ac:dyDescent="0.2">
      <c r="B46859" t="s">
        <v>8</v>
      </c>
      <c r="C46859" t="s">
        <v>14985</v>
      </c>
      <c r="D46859" t="s">
        <v>2439</v>
      </c>
    </row>
    <row r="46860" spans="1:4" x14ac:dyDescent="0.2">
      <c r="B46860" t="s">
        <v>415</v>
      </c>
      <c r="D46860" t="s">
        <v>24211</v>
      </c>
    </row>
    <row r="46861" spans="1:4" x14ac:dyDescent="0.2">
      <c r="B46861" t="s">
        <v>4836</v>
      </c>
      <c r="D46861" t="s">
        <v>14982</v>
      </c>
    </row>
    <row r="46862" spans="1:4" x14ac:dyDescent="0.2">
      <c r="B46862" t="s">
        <v>346</v>
      </c>
      <c r="D46862" t="s">
        <v>24212</v>
      </c>
    </row>
    <row r="46863" spans="1:4" x14ac:dyDescent="0.2">
      <c r="B46863" t="s">
        <v>348</v>
      </c>
      <c r="C46863" t="s">
        <v>14986</v>
      </c>
      <c r="D46863" t="s">
        <v>15531</v>
      </c>
    </row>
    <row r="46864" spans="1:4" x14ac:dyDescent="0.2">
      <c r="B46864" t="s">
        <v>349</v>
      </c>
      <c r="D46864" t="s">
        <v>15532</v>
      </c>
    </row>
    <row r="46865" spans="1:4" x14ac:dyDescent="0.2">
      <c r="B46865" t="s">
        <v>350</v>
      </c>
      <c r="D46865" t="s">
        <v>24213</v>
      </c>
    </row>
    <row r="46866" spans="1:4" x14ac:dyDescent="0.2">
      <c r="B46866" t="s">
        <v>351</v>
      </c>
      <c r="D46866" t="s">
        <v>24214</v>
      </c>
    </row>
    <row r="46868" spans="1:4" x14ac:dyDescent="0.2">
      <c r="A46868" t="s">
        <v>14987</v>
      </c>
      <c r="B46868" t="str">
        <f>HYPERLINK("https://lindat.mff.cuni.cz/services/teitok/pdtc10/index.php?action=vallex&amp;frame=v-w6560f3", "strávit (v-w6560f3)")</f>
        <v>strávit (v-w6560f3)</v>
      </c>
    </row>
    <row r="46869" spans="1:4" x14ac:dyDescent="0.2">
      <c r="B46869" t="s">
        <v>1</v>
      </c>
      <c r="C46869" t="s">
        <v>990</v>
      </c>
    </row>
    <row r="46870" spans="1:4" x14ac:dyDescent="0.2">
      <c r="B46870" t="s">
        <v>8</v>
      </c>
      <c r="C46870" t="s">
        <v>116</v>
      </c>
    </row>
    <row r="46872" spans="1:4" x14ac:dyDescent="0.2">
      <c r="A46872" t="s">
        <v>14988</v>
      </c>
      <c r="B46872" t="str">
        <f>HYPERLINK("https://lindat.mff.cuni.cz/services/teitok/pdtc10/index.php?action=vallex&amp;frame=v-w6566f1", "strčit (v-w6566f1)")</f>
        <v>strčit (v-w6566f1)</v>
      </c>
    </row>
    <row r="46873" spans="1:4" x14ac:dyDescent="0.2">
      <c r="B46873" t="s">
        <v>1</v>
      </c>
      <c r="C46873" t="s">
        <v>83</v>
      </c>
      <c r="D46873" t="s">
        <v>430</v>
      </c>
    </row>
    <row r="46874" spans="1:4" x14ac:dyDescent="0.2">
      <c r="B46874" t="s">
        <v>8</v>
      </c>
      <c r="C46874" t="s">
        <v>1340</v>
      </c>
      <c r="D46874" t="s">
        <v>335</v>
      </c>
    </row>
    <row r="46875" spans="1:4" x14ac:dyDescent="0.2">
      <c r="B46875" t="s">
        <v>90</v>
      </c>
    </row>
    <row r="46877" spans="1:4" x14ac:dyDescent="0.2">
      <c r="A46877" t="s">
        <v>14989</v>
      </c>
      <c r="B46877" t="str">
        <f>HYPERLINK("https://lindat.mff.cuni.cz/services/teitok/pdtc10/index.php?action=vallex&amp;frame=v-w6566f3_ZU", "strčit (v-w6566f3_ZU)")</f>
        <v>strčit (v-w6566f3_ZU)</v>
      </c>
    </row>
    <row r="46878" spans="1:4" x14ac:dyDescent="0.2">
      <c r="B46878" t="s">
        <v>1</v>
      </c>
    </row>
    <row r="46879" spans="1:4" x14ac:dyDescent="0.2">
      <c r="B46879" t="s">
        <v>58</v>
      </c>
    </row>
    <row r="46880" spans="1:4" x14ac:dyDescent="0.2">
      <c r="B46880" t="s">
        <v>817</v>
      </c>
    </row>
    <row r="46882" spans="1:2" x14ac:dyDescent="0.2">
      <c r="A46882" t="s">
        <v>14990</v>
      </c>
      <c r="B46882" t="str">
        <f>HYPERLINK("https://lindat.mff.cuni.cz/services/teitok/pdtc10/index.php?action=vallex&amp;frame=v-w6566f4_ZU", "strčit (v-w6566f4_ZU)")</f>
        <v>strčit (v-w6566f4_ZU)</v>
      </c>
    </row>
    <row r="46883" spans="1:2" x14ac:dyDescent="0.2">
      <c r="B46883" t="s">
        <v>1</v>
      </c>
    </row>
    <row r="46884" spans="1:2" x14ac:dyDescent="0.2">
      <c r="B46884" t="s">
        <v>35</v>
      </c>
    </row>
    <row r="46885" spans="1:2" x14ac:dyDescent="0.2">
      <c r="B46885" t="s">
        <v>8</v>
      </c>
    </row>
    <row r="46887" spans="1:2" x14ac:dyDescent="0.2">
      <c r="A46887" t="s">
        <v>14991</v>
      </c>
      <c r="B46887" t="str">
        <f>HYPERLINK("https://lindat.mff.cuni.cz/services/teitok/pdtc10/index.php?action=vallex&amp;frame=v-w6566f5_ZU", "strčit (v-w6566f5_ZU)")</f>
        <v>strčit (v-w6566f5_ZU)</v>
      </c>
    </row>
    <row r="46888" spans="1:2" x14ac:dyDescent="0.2">
      <c r="B46888" t="s">
        <v>1</v>
      </c>
    </row>
    <row r="46889" spans="1:2" x14ac:dyDescent="0.2">
      <c r="B46889" t="s">
        <v>8</v>
      </c>
    </row>
    <row r="46890" spans="1:2" x14ac:dyDescent="0.2">
      <c r="B46890" t="s">
        <v>35</v>
      </c>
    </row>
    <row r="46892" spans="1:2" x14ac:dyDescent="0.2">
      <c r="A46892" t="s">
        <v>14991</v>
      </c>
      <c r="B46892" t="str">
        <f>HYPERLINK("https://lindat.mff.cuni.cz/services/teitok/pdtc10/index.php?action=vallex&amp;frame=v-w6566f2_ZU", "strčit (v-w6566f2_ZU) - substituted with v-w6566f5_ZU")</f>
        <v>strčit (v-w6566f2_ZU) - substituted with v-w6566f5_ZU</v>
      </c>
    </row>
    <row r="46893" spans="1:2" x14ac:dyDescent="0.2">
      <c r="B46893" t="s">
        <v>1</v>
      </c>
    </row>
    <row r="46894" spans="1:2" x14ac:dyDescent="0.2">
      <c r="B46894" t="s">
        <v>8</v>
      </c>
    </row>
    <row r="46895" spans="1:2" x14ac:dyDescent="0.2">
      <c r="B46895" t="s">
        <v>35</v>
      </c>
    </row>
    <row r="46897" spans="1:4" x14ac:dyDescent="0.2">
      <c r="A46897" t="s">
        <v>14992</v>
      </c>
      <c r="B46897" t="str">
        <f>HYPERLINK("https://lindat.mff.cuni.cz/services/teitok/pdtc10/index.php?action=vallex&amp;frame=v-w6566hsa_1505", "strčit (v-w6566hsa_1505)")</f>
        <v>strčit (v-w6566hsa_1505)</v>
      </c>
    </row>
    <row r="46898" spans="1:4" x14ac:dyDescent="0.2">
      <c r="B46898" t="s">
        <v>1</v>
      </c>
    </row>
    <row r="46899" spans="1:4" x14ac:dyDescent="0.2">
      <c r="B46899" t="s">
        <v>8</v>
      </c>
    </row>
    <row r="46900" spans="1:4" x14ac:dyDescent="0.2">
      <c r="B46900" t="s">
        <v>35</v>
      </c>
    </row>
    <row r="46902" spans="1:4" x14ac:dyDescent="0.2">
      <c r="A46902" t="s">
        <v>14993</v>
      </c>
      <c r="B46902" t="str">
        <f>HYPERLINK("https://lindat.mff.cuni.cz/services/teitok/pdtc10/index.php?action=vallex&amp;frame=v-w6606f1", "studovat (v-w6606f1)")</f>
        <v>studovat (v-w6606f1)</v>
      </c>
    </row>
    <row r="46903" spans="1:4" x14ac:dyDescent="0.2">
      <c r="B46903" t="s">
        <v>1</v>
      </c>
      <c r="C46903" t="s">
        <v>14994</v>
      </c>
      <c r="D46903" t="s">
        <v>51</v>
      </c>
    </row>
    <row r="46904" spans="1:4" x14ac:dyDescent="0.2">
      <c r="B46904" t="s">
        <v>8</v>
      </c>
      <c r="C46904" t="s">
        <v>2305</v>
      </c>
      <c r="D46904" t="s">
        <v>3789</v>
      </c>
    </row>
    <row r="46906" spans="1:4" x14ac:dyDescent="0.2">
      <c r="A46906" t="s">
        <v>14995</v>
      </c>
      <c r="B46906" t="str">
        <f>HYPERLINK("https://lindat.mff.cuni.cz/services/teitok/pdtc10/index.php?action=vallex&amp;frame=v-w6606f3_ZU", "studovat (v-w6606f3_ZU)")</f>
        <v>studovat (v-w6606f3_ZU)</v>
      </c>
    </row>
    <row r="46907" spans="1:4" x14ac:dyDescent="0.2">
      <c r="B46907" t="s">
        <v>1</v>
      </c>
    </row>
    <row r="46908" spans="1:4" x14ac:dyDescent="0.2">
      <c r="B46908" t="s">
        <v>172</v>
      </c>
    </row>
    <row r="46910" spans="1:4" x14ac:dyDescent="0.2">
      <c r="A46910" t="s">
        <v>14995</v>
      </c>
      <c r="B46910" t="str">
        <f>HYPERLINK("https://lindat.mff.cuni.cz/services/teitok/pdtc10/index.php?action=vallex&amp;frame=v-w6606f2_ZU", "studovat (v-w6606f2_ZU) - substituted with v-w6606f3_ZU")</f>
        <v>studovat (v-w6606f2_ZU) - substituted with v-w6606f3_ZU</v>
      </c>
    </row>
    <row r="46911" spans="1:4" x14ac:dyDescent="0.2">
      <c r="B46911" t="s">
        <v>1</v>
      </c>
    </row>
    <row r="46912" spans="1:4" x14ac:dyDescent="0.2">
      <c r="B46912" t="s">
        <v>172</v>
      </c>
    </row>
    <row r="46914" spans="1:4" x14ac:dyDescent="0.2">
      <c r="A46914" t="s">
        <v>14995</v>
      </c>
      <c r="B46914" t="str">
        <f>HYPERLINK("https://lindat.mff.cuni.cz/services/teitok/pdtc10/index.php?action=vallex&amp;frame=v-w6606hsa_815", "studovat (v-w6606hsa_815) - substituted with v-w6606f3_ZU")</f>
        <v>studovat (v-w6606hsa_815) - substituted with v-w6606f3_ZU</v>
      </c>
    </row>
    <row r="46915" spans="1:4" x14ac:dyDescent="0.2">
      <c r="B46915" t="s">
        <v>1</v>
      </c>
      <c r="C46915" t="s">
        <v>51</v>
      </c>
      <c r="D46915" t="s">
        <v>22952</v>
      </c>
    </row>
    <row r="46916" spans="1:4" x14ac:dyDescent="0.2">
      <c r="B46916" t="s">
        <v>172</v>
      </c>
      <c r="C46916" t="s">
        <v>3789</v>
      </c>
      <c r="D46916" t="s">
        <v>22953</v>
      </c>
    </row>
    <row r="46918" spans="1:4" x14ac:dyDescent="0.2">
      <c r="A46918" t="s">
        <v>14996</v>
      </c>
      <c r="B46918" t="str">
        <f>HYPERLINK("https://lindat.mff.cuni.cz/services/teitok/pdtc10/index.php?action=vallex&amp;frame=v-w6606hsa_1762", "studovat (v-w6606hsa_1762)")</f>
        <v>studovat (v-w6606hsa_1762)</v>
      </c>
    </row>
    <row r="46919" spans="1:4" x14ac:dyDescent="0.2">
      <c r="B46919" t="s">
        <v>1</v>
      </c>
    </row>
    <row r="46920" spans="1:4" x14ac:dyDescent="0.2">
      <c r="B46920" t="s">
        <v>28</v>
      </c>
    </row>
    <row r="46922" spans="1:4" x14ac:dyDescent="0.2">
      <c r="A46922" t="s">
        <v>14997</v>
      </c>
      <c r="B46922" t="str">
        <f>HYPERLINK("https://lindat.mff.cuni.cz/services/teitok/pdtc10/index.php?action=vallex&amp;frame=v-w6607f1", "stupňovat (v-w6607f1)")</f>
        <v>stupňovat (v-w6607f1)</v>
      </c>
    </row>
    <row r="46923" spans="1:4" x14ac:dyDescent="0.2">
      <c r="B46923" t="s">
        <v>1</v>
      </c>
      <c r="C46923" t="s">
        <v>14998</v>
      </c>
      <c r="D46923" t="s">
        <v>23523</v>
      </c>
    </row>
    <row r="46924" spans="1:4" x14ac:dyDescent="0.2">
      <c r="B46924" t="s">
        <v>8</v>
      </c>
      <c r="C46924" t="s">
        <v>14999</v>
      </c>
      <c r="D46924" t="s">
        <v>23524</v>
      </c>
    </row>
    <row r="46926" spans="1:4" x14ac:dyDescent="0.2">
      <c r="A46926" t="s">
        <v>15000</v>
      </c>
      <c r="B46926" t="str">
        <f>HYPERLINK("https://lindat.mff.cuni.cz/services/teitok/pdtc10/index.php?action=vallex&amp;frame=v-w6608f1", "stupňovat se (v-w6608f1)")</f>
        <v>stupňovat se (v-w6608f1)</v>
      </c>
    </row>
    <row r="46927" spans="1:4" x14ac:dyDescent="0.2">
      <c r="B46927" t="s">
        <v>1</v>
      </c>
      <c r="C46927" t="s">
        <v>8238</v>
      </c>
      <c r="D46927" t="s">
        <v>24215</v>
      </c>
    </row>
    <row r="46929" spans="1:4" x14ac:dyDescent="0.2">
      <c r="A46929" t="s">
        <v>15001</v>
      </c>
      <c r="B46929" t="str">
        <f>HYPERLINK("https://lindat.mff.cuni.cz/services/teitok/pdtc10/index.php?action=vallex&amp;frame=v-w6610f1", "stvořit (v-w6610f1)")</f>
        <v>stvořit (v-w6610f1)</v>
      </c>
    </row>
    <row r="46930" spans="1:4" x14ac:dyDescent="0.2">
      <c r="B46930" t="s">
        <v>1</v>
      </c>
      <c r="C46930" t="s">
        <v>15002</v>
      </c>
      <c r="D46930" t="s">
        <v>24156</v>
      </c>
    </row>
    <row r="46931" spans="1:4" x14ac:dyDescent="0.2">
      <c r="B46931" t="s">
        <v>8</v>
      </c>
      <c r="C46931" t="s">
        <v>6252</v>
      </c>
      <c r="D46931" t="s">
        <v>24157</v>
      </c>
    </row>
    <row r="46932" spans="1:4" x14ac:dyDescent="0.2">
      <c r="B46932" t="s">
        <v>24</v>
      </c>
      <c r="C46932" t="s">
        <v>7067</v>
      </c>
      <c r="D46932" t="s">
        <v>24158</v>
      </c>
    </row>
    <row r="46934" spans="1:4" x14ac:dyDescent="0.2">
      <c r="A46934" t="s">
        <v>15003</v>
      </c>
      <c r="B46934" t="str">
        <f>HYPERLINK("https://lindat.mff.cuni.cz/services/teitok/pdtc10/index.php?action=vallex&amp;frame=v-w10598f2", "stvrdit (v-w10598f2)")</f>
        <v>stvrdit (v-w10598f2)</v>
      </c>
    </row>
    <row r="46935" spans="1:4" x14ac:dyDescent="0.2">
      <c r="B46935" t="s">
        <v>1</v>
      </c>
      <c r="C46935" t="s">
        <v>9656</v>
      </c>
      <c r="D46935" t="s">
        <v>22965</v>
      </c>
    </row>
    <row r="46936" spans="1:4" x14ac:dyDescent="0.2">
      <c r="B46936" t="s">
        <v>2158</v>
      </c>
      <c r="C46936" t="s">
        <v>3403</v>
      </c>
      <c r="D46936" t="s">
        <v>22966</v>
      </c>
    </row>
    <row r="46937" spans="1:4" x14ac:dyDescent="0.2">
      <c r="B46937" t="s">
        <v>78</v>
      </c>
      <c r="D46937" t="s">
        <v>4440</v>
      </c>
    </row>
    <row r="46939" spans="1:4" x14ac:dyDescent="0.2">
      <c r="A46939" t="s">
        <v>15004</v>
      </c>
      <c r="B46939" t="str">
        <f>HYPERLINK("https://lindat.mff.cuni.cz/services/teitok/pdtc10/index.php?action=vallex&amp;frame=v-w6612f1", "stvrzovat (v-w6612f1)")</f>
        <v>stvrzovat (v-w6612f1)</v>
      </c>
    </row>
    <row r="46940" spans="1:4" x14ac:dyDescent="0.2">
      <c r="B46940" t="s">
        <v>1</v>
      </c>
      <c r="D46940" t="s">
        <v>22965</v>
      </c>
    </row>
    <row r="46941" spans="1:4" x14ac:dyDescent="0.2">
      <c r="B46941" t="s">
        <v>2158</v>
      </c>
      <c r="D46941" t="s">
        <v>22966</v>
      </c>
    </row>
    <row r="46942" spans="1:4" x14ac:dyDescent="0.2">
      <c r="B46942" t="s">
        <v>78</v>
      </c>
      <c r="D46942" t="s">
        <v>4440</v>
      </c>
    </row>
    <row r="46944" spans="1:4" x14ac:dyDescent="0.2">
      <c r="A46944" t="s">
        <v>15005</v>
      </c>
      <c r="B46944" t="str">
        <f>HYPERLINK("https://lindat.mff.cuni.cz/services/teitok/pdtc10/index.php?action=vallex&amp;frame=v-w6613f2_ZU", "stydět se (v-w6613f2_ZU)")</f>
        <v>stydět se (v-w6613f2_ZU)</v>
      </c>
    </row>
    <row r="46945" spans="1:4" x14ac:dyDescent="0.2">
      <c r="B46945" t="s">
        <v>1</v>
      </c>
    </row>
    <row r="46946" spans="1:4" x14ac:dyDescent="0.2">
      <c r="B46946" t="s">
        <v>15006</v>
      </c>
    </row>
    <row r="46948" spans="1:4" x14ac:dyDescent="0.2">
      <c r="A46948" t="s">
        <v>15005</v>
      </c>
      <c r="B46948" t="str">
        <f>HYPERLINK("https://lindat.mff.cuni.cz/services/teitok/pdtc10/index.php?action=vallex&amp;frame=v-w6613f1", "stydět se (v-w6613f1) - substituted with v-w6613f2_ZU")</f>
        <v>stydět se (v-w6613f1) - substituted with v-w6613f2_ZU</v>
      </c>
    </row>
    <row r="46949" spans="1:4" x14ac:dyDescent="0.2">
      <c r="B46949" t="s">
        <v>1</v>
      </c>
    </row>
    <row r="46950" spans="1:4" x14ac:dyDescent="0.2">
      <c r="B46950" t="s">
        <v>15006</v>
      </c>
    </row>
    <row r="46952" spans="1:4" x14ac:dyDescent="0.2">
      <c r="A46952" t="s">
        <v>15007</v>
      </c>
      <c r="B46952" t="str">
        <f>HYPERLINK("https://lindat.mff.cuni.cz/services/teitok/pdtc10/index.php?action=vallex&amp;frame=v-w6466f4_ZU", "stáhnout (v-w6466f4_ZU)")</f>
        <v>stáhnout (v-w6466f4_ZU)</v>
      </c>
    </row>
    <row r="46953" spans="1:4" x14ac:dyDescent="0.2">
      <c r="B46953" t="s">
        <v>1</v>
      </c>
      <c r="C46953" t="s">
        <v>83</v>
      </c>
    </row>
    <row r="46954" spans="1:4" x14ac:dyDescent="0.2">
      <c r="B46954" t="s">
        <v>8</v>
      </c>
      <c r="C46954" t="s">
        <v>54</v>
      </c>
    </row>
    <row r="46955" spans="1:4" x14ac:dyDescent="0.2">
      <c r="B46955" t="s">
        <v>24</v>
      </c>
    </row>
    <row r="46956" spans="1:4" x14ac:dyDescent="0.2">
      <c r="B46956" t="s">
        <v>61</v>
      </c>
    </row>
    <row r="46958" spans="1:4" x14ac:dyDescent="0.2">
      <c r="A46958" t="s">
        <v>15008</v>
      </c>
      <c r="B46958" t="str">
        <f>HYPERLINK("https://lindat.mff.cuni.cz/services/teitok/pdtc10/index.php?action=vallex&amp;frame=v-w6466f1", "stáhnout (v-w6466f1)")</f>
        <v>stáhnout (v-w6466f1)</v>
      </c>
    </row>
    <row r="46959" spans="1:4" x14ac:dyDescent="0.2">
      <c r="B46959" t="s">
        <v>1</v>
      </c>
      <c r="C46959" t="s">
        <v>15009</v>
      </c>
      <c r="D46959" t="s">
        <v>3307</v>
      </c>
    </row>
    <row r="46960" spans="1:4" x14ac:dyDescent="0.2">
      <c r="B46960" t="s">
        <v>8</v>
      </c>
      <c r="C46960" t="s">
        <v>15010</v>
      </c>
      <c r="D46960" t="s">
        <v>21244</v>
      </c>
    </row>
    <row r="46961" spans="1:4" x14ac:dyDescent="0.2">
      <c r="B46961" t="s">
        <v>333</v>
      </c>
      <c r="C46961" t="s">
        <v>15011</v>
      </c>
    </row>
    <row r="46963" spans="1:4" x14ac:dyDescent="0.2">
      <c r="A46963" t="s">
        <v>15012</v>
      </c>
      <c r="B46963" t="str">
        <f>HYPERLINK("https://lindat.mff.cuni.cz/services/teitok/pdtc10/index.php?action=vallex&amp;frame=v-w6466f3_ZU", "stáhnout (v-w6466f3_ZU)")</f>
        <v>stáhnout (v-w6466f3_ZU)</v>
      </c>
    </row>
    <row r="46964" spans="1:4" x14ac:dyDescent="0.2">
      <c r="B46964" t="s">
        <v>1</v>
      </c>
      <c r="C46964" t="s">
        <v>373</v>
      </c>
    </row>
    <row r="46965" spans="1:4" x14ac:dyDescent="0.2">
      <c r="B46965" t="s">
        <v>8</v>
      </c>
      <c r="C46965" t="s">
        <v>1066</v>
      </c>
    </row>
    <row r="46966" spans="1:4" x14ac:dyDescent="0.2">
      <c r="B46966" t="s">
        <v>205</v>
      </c>
    </row>
    <row r="46968" spans="1:4" x14ac:dyDescent="0.2">
      <c r="A46968" t="s">
        <v>15013</v>
      </c>
      <c r="B46968" t="str">
        <f>HYPERLINK("https://lindat.mff.cuni.cz/services/teitok/pdtc10/index.php?action=vallex&amp;frame=v-w6466f5_ZU", "stáhnout (v-w6466f5_ZU)")</f>
        <v>stáhnout (v-w6466f5_ZU)</v>
      </c>
    </row>
    <row r="46969" spans="1:4" x14ac:dyDescent="0.2">
      <c r="B46969" t="s">
        <v>1</v>
      </c>
      <c r="C46969" t="s">
        <v>80</v>
      </c>
    </row>
    <row r="46970" spans="1:4" x14ac:dyDescent="0.2">
      <c r="B46970" t="s">
        <v>8</v>
      </c>
      <c r="C46970" t="s">
        <v>1510</v>
      </c>
    </row>
    <row r="46971" spans="1:4" x14ac:dyDescent="0.2">
      <c r="B46971" t="s">
        <v>252</v>
      </c>
      <c r="C46971" t="s">
        <v>15014</v>
      </c>
    </row>
    <row r="46973" spans="1:4" x14ac:dyDescent="0.2">
      <c r="A46973" t="s">
        <v>15015</v>
      </c>
      <c r="B46973" t="str">
        <f>HYPERLINK("https://lindat.mff.cuni.cz/services/teitok/pdtc10/index.php?action=vallex&amp;frame=v-w6466f6_ZU", "stáhnout (v-w6466f6_ZU)")</f>
        <v>stáhnout (v-w6466f6_ZU)</v>
      </c>
    </row>
    <row r="46974" spans="1:4" x14ac:dyDescent="0.2">
      <c r="B46974" t="s">
        <v>1</v>
      </c>
      <c r="C46974" t="s">
        <v>9234</v>
      </c>
      <c r="D46974" t="s">
        <v>23598</v>
      </c>
    </row>
    <row r="46975" spans="1:4" x14ac:dyDescent="0.2">
      <c r="B46975" t="s">
        <v>8</v>
      </c>
      <c r="C46975" t="s">
        <v>15016</v>
      </c>
      <c r="D46975" t="s">
        <v>23599</v>
      </c>
    </row>
    <row r="46977" spans="1:4" x14ac:dyDescent="0.2">
      <c r="A46977" t="s">
        <v>15015</v>
      </c>
      <c r="B46977" t="str">
        <f>HYPERLINK("https://lindat.mff.cuni.cz/services/teitok/pdtc10/index.php?action=vallex&amp;frame=v-w6466f2_ZU", "stáhnout (v-w6466f2_ZU) - substituted with v-w6466f6_ZU")</f>
        <v>stáhnout (v-w6466f2_ZU) - substituted with v-w6466f6_ZU</v>
      </c>
    </row>
    <row r="46978" spans="1:4" x14ac:dyDescent="0.2">
      <c r="B46978" t="s">
        <v>1</v>
      </c>
      <c r="C46978" t="s">
        <v>5475</v>
      </c>
    </row>
    <row r="46979" spans="1:4" x14ac:dyDescent="0.2">
      <c r="B46979" t="s">
        <v>8</v>
      </c>
      <c r="C46979" t="s">
        <v>14804</v>
      </c>
    </row>
    <row r="46981" spans="1:4" x14ac:dyDescent="0.2">
      <c r="A46981" t="s">
        <v>15017</v>
      </c>
      <c r="B46981" t="str">
        <f>HYPERLINK("https://lindat.mff.cuni.cz/services/teitok/pdtc10/index.php?action=vallex&amp;frame=v-w6466hsa_496", "stáhnout (v-w6466hsa_496)")</f>
        <v>stáhnout (v-w6466hsa_496)</v>
      </c>
    </row>
    <row r="46982" spans="1:4" x14ac:dyDescent="0.2">
      <c r="B46982" t="s">
        <v>1</v>
      </c>
      <c r="C46982" t="s">
        <v>140</v>
      </c>
      <c r="D46982" t="s">
        <v>140</v>
      </c>
    </row>
    <row r="46983" spans="1:4" x14ac:dyDescent="0.2">
      <c r="B46983" t="s">
        <v>8</v>
      </c>
      <c r="C46983" t="s">
        <v>15018</v>
      </c>
      <c r="D46983" t="s">
        <v>113</v>
      </c>
    </row>
    <row r="46985" spans="1:4" x14ac:dyDescent="0.2">
      <c r="A46985" t="s">
        <v>15019</v>
      </c>
      <c r="B46985" t="str">
        <f>HYPERLINK("https://lindat.mff.cuni.cz/services/teitok/pdtc10/index.php?action=vallex&amp;frame=v-w6466f7_ZU", "stáhnout (v-w6466f7_ZU)")</f>
        <v>stáhnout (v-w6466f7_ZU)</v>
      </c>
    </row>
    <row r="46986" spans="1:4" x14ac:dyDescent="0.2">
      <c r="B46986" t="s">
        <v>1</v>
      </c>
    </row>
    <row r="46987" spans="1:4" x14ac:dyDescent="0.2">
      <c r="B46987" t="s">
        <v>8</v>
      </c>
    </row>
    <row r="46988" spans="1:4" x14ac:dyDescent="0.2">
      <c r="B46988" t="s">
        <v>15020</v>
      </c>
    </row>
    <row r="46990" spans="1:4" x14ac:dyDescent="0.2">
      <c r="A46990" t="s">
        <v>15019</v>
      </c>
      <c r="B46990" t="str">
        <f>HYPERLINK("https://lindat.mff.cuni.cz/services/teitok/pdtc10/index.php?action=vallex&amp;frame=v-w6466hsa_497", "stáhnout (v-w6466hsa_497) - substituted with v-w6466f7_ZU")</f>
        <v>stáhnout (v-w6466hsa_497) - substituted with v-w6466f7_ZU</v>
      </c>
    </row>
    <row r="46991" spans="1:4" x14ac:dyDescent="0.2">
      <c r="B46991" t="s">
        <v>1</v>
      </c>
    </row>
    <row r="46992" spans="1:4" x14ac:dyDescent="0.2">
      <c r="B46992" t="s">
        <v>8</v>
      </c>
    </row>
    <row r="46993" spans="1:4" x14ac:dyDescent="0.2">
      <c r="B46993" t="s">
        <v>15020</v>
      </c>
    </row>
    <row r="46995" spans="1:4" x14ac:dyDescent="0.2">
      <c r="A46995" t="s">
        <v>15021</v>
      </c>
      <c r="B46995" t="str">
        <f>HYPERLINK("https://lindat.mff.cuni.cz/services/teitok/pdtc10/index.php?action=vallex&amp;frame=v-w6466f8_ZU", "stáhnout (v-w6466f8_ZU)")</f>
        <v>stáhnout (v-w6466f8_ZU)</v>
      </c>
    </row>
    <row r="46996" spans="1:4" x14ac:dyDescent="0.2">
      <c r="B46996" t="s">
        <v>1</v>
      </c>
    </row>
    <row r="46997" spans="1:4" x14ac:dyDescent="0.2">
      <c r="B46997" t="s">
        <v>8</v>
      </c>
    </row>
    <row r="46998" spans="1:4" x14ac:dyDescent="0.2">
      <c r="B46998" t="s">
        <v>24</v>
      </c>
    </row>
    <row r="47000" spans="1:4" x14ac:dyDescent="0.2">
      <c r="A47000" t="s">
        <v>15022</v>
      </c>
      <c r="B47000" t="str">
        <f>HYPERLINK("https://lindat.mff.cuni.cz/services/teitok/pdtc10/index.php?action=vallex&amp;frame=v-w6466f9_ZU", "stáhnout (v-w6466f9_ZU)")</f>
        <v>stáhnout (v-w6466f9_ZU)</v>
      </c>
    </row>
    <row r="47001" spans="1:4" x14ac:dyDescent="0.2">
      <c r="B47001" t="s">
        <v>1</v>
      </c>
    </row>
    <row r="47002" spans="1:4" x14ac:dyDescent="0.2">
      <c r="B47002" t="s">
        <v>8</v>
      </c>
    </row>
    <row r="47003" spans="1:4" x14ac:dyDescent="0.2">
      <c r="B47003" t="s">
        <v>4622</v>
      </c>
    </row>
    <row r="47005" spans="1:4" x14ac:dyDescent="0.2">
      <c r="A47005" t="s">
        <v>15023</v>
      </c>
      <c r="B47005" t="str">
        <f>HYPERLINK("https://lindat.mff.cuni.cz/services/teitok/pdtc10/index.php?action=vallex&amp;frame=v-w6467f1", "stáhnout se (v-w6467f1)")</f>
        <v>stáhnout se (v-w6467f1)</v>
      </c>
    </row>
    <row r="47006" spans="1:4" x14ac:dyDescent="0.2">
      <c r="B47006" t="s">
        <v>1</v>
      </c>
      <c r="C47006" t="s">
        <v>15024</v>
      </c>
      <c r="D47006" t="s">
        <v>23091</v>
      </c>
    </row>
    <row r="47007" spans="1:4" x14ac:dyDescent="0.2">
      <c r="B47007" t="s">
        <v>333</v>
      </c>
      <c r="C47007" t="s">
        <v>15025</v>
      </c>
      <c r="D47007" t="s">
        <v>7666</v>
      </c>
    </row>
    <row r="47009" spans="1:4" x14ac:dyDescent="0.2">
      <c r="A47009" t="s">
        <v>15026</v>
      </c>
      <c r="B47009" t="str">
        <f>HYPERLINK("https://lindat.mff.cuni.cz/services/teitok/pdtc10/index.php?action=vallex&amp;frame=v-w6467f2", "stáhnout se (v-w6467f2)")</f>
        <v>stáhnout se (v-w6467f2)</v>
      </c>
    </row>
    <row r="47010" spans="1:4" x14ac:dyDescent="0.2">
      <c r="B47010" t="s">
        <v>1</v>
      </c>
      <c r="C47010" t="s">
        <v>5913</v>
      </c>
    </row>
    <row r="47011" spans="1:4" x14ac:dyDescent="0.2">
      <c r="B47011" t="s">
        <v>90</v>
      </c>
      <c r="C47011" t="s">
        <v>15027</v>
      </c>
    </row>
    <row r="47013" spans="1:4" x14ac:dyDescent="0.2">
      <c r="A47013" t="s">
        <v>15028</v>
      </c>
      <c r="B47013" t="str">
        <f>HYPERLINK("https://lindat.mff.cuni.cz/services/teitok/pdtc10/index.php?action=vallex&amp;frame=v-w6467f3_ZU", "stáhnout se (v-w6467f3_ZU)")</f>
        <v>stáhnout se (v-w6467f3_ZU)</v>
      </c>
    </row>
    <row r="47014" spans="1:4" x14ac:dyDescent="0.2">
      <c r="B47014" t="s">
        <v>1</v>
      </c>
    </row>
    <row r="47016" spans="1:4" x14ac:dyDescent="0.2">
      <c r="A47016" t="s">
        <v>15029</v>
      </c>
      <c r="B47016" t="str">
        <f>HYPERLINK("https://lindat.mff.cuni.cz/services/teitok/pdtc10/index.php?action=vallex&amp;frame=v-w6484f1", "stárnout (v-w6484f1)")</f>
        <v>stárnout (v-w6484f1)</v>
      </c>
    </row>
    <row r="47017" spans="1:4" x14ac:dyDescent="0.2">
      <c r="B47017" t="s">
        <v>1</v>
      </c>
      <c r="C47017" t="s">
        <v>1904</v>
      </c>
      <c r="D47017" t="s">
        <v>23674</v>
      </c>
    </row>
    <row r="47019" spans="1:4" x14ac:dyDescent="0.2">
      <c r="A47019" t="s">
        <v>15030</v>
      </c>
      <c r="B47019" t="str">
        <f>HYPERLINK("https://lindat.mff.cuni.cz/services/teitok/pdtc10/index.php?action=vallex&amp;frame=v-w6492f3", "stát (v-w6492f3)")</f>
        <v>stát (v-w6492f3)</v>
      </c>
    </row>
    <row r="47020" spans="1:4" x14ac:dyDescent="0.2">
      <c r="B47020" t="s">
        <v>196</v>
      </c>
      <c r="C47020" t="s">
        <v>15031</v>
      </c>
      <c r="D47020" t="s">
        <v>17822</v>
      </c>
    </row>
    <row r="47021" spans="1:4" x14ac:dyDescent="0.2">
      <c r="B47021" t="s">
        <v>8</v>
      </c>
      <c r="C47021" t="s">
        <v>15032</v>
      </c>
      <c r="D47021" t="s">
        <v>17823</v>
      </c>
    </row>
    <row r="47022" spans="1:4" x14ac:dyDescent="0.2">
      <c r="B47022" t="s">
        <v>2194</v>
      </c>
      <c r="C47022" t="s">
        <v>15033</v>
      </c>
      <c r="D47022" t="s">
        <v>12216</v>
      </c>
    </row>
    <row r="47024" spans="1:4" x14ac:dyDescent="0.2">
      <c r="A47024" t="s">
        <v>15034</v>
      </c>
      <c r="B47024" t="str">
        <f>HYPERLINK("https://lindat.mff.cuni.cz/services/teitok/pdtc10/index.php?action=vallex&amp;frame=v-w6492f4", "stát (v-w6492f4)")</f>
        <v>stát (v-w6492f4)</v>
      </c>
    </row>
    <row r="47025" spans="1:4" x14ac:dyDescent="0.2">
      <c r="B47025" t="s">
        <v>15035</v>
      </c>
      <c r="C47025" t="s">
        <v>364</v>
      </c>
    </row>
    <row r="47026" spans="1:4" x14ac:dyDescent="0.2">
      <c r="B47026" t="s">
        <v>357</v>
      </c>
    </row>
    <row r="47027" spans="1:4" x14ac:dyDescent="0.2">
      <c r="B47027" t="s">
        <v>78</v>
      </c>
    </row>
    <row r="47029" spans="1:4" x14ac:dyDescent="0.2">
      <c r="A47029" t="s">
        <v>15036</v>
      </c>
      <c r="B47029" t="str">
        <f>HYPERLINK("https://lindat.mff.cuni.cz/services/teitok/pdtc10/index.php?action=vallex&amp;frame=v-w6492f15", "stát (v-w6492f15)")</f>
        <v>stát (v-w6492f15)</v>
      </c>
    </row>
    <row r="47030" spans="1:4" x14ac:dyDescent="0.2">
      <c r="B47030" t="s">
        <v>1</v>
      </c>
    </row>
    <row r="47031" spans="1:4" x14ac:dyDescent="0.2">
      <c r="B47031" t="s">
        <v>8</v>
      </c>
    </row>
    <row r="47033" spans="1:4" x14ac:dyDescent="0.2">
      <c r="A47033" t="s">
        <v>15037</v>
      </c>
      <c r="B47033" t="str">
        <f>HYPERLINK("https://lindat.mff.cuni.cz/services/teitok/pdtc10/index.php?action=vallex&amp;frame=v-w6492f9", "stát (v-w6492f9)")</f>
        <v>stát (v-w6492f9)</v>
      </c>
    </row>
    <row r="47034" spans="1:4" x14ac:dyDescent="0.2">
      <c r="B47034" t="s">
        <v>1</v>
      </c>
    </row>
    <row r="47035" spans="1:4" x14ac:dyDescent="0.2">
      <c r="B47035" t="s">
        <v>161</v>
      </c>
    </row>
    <row r="47037" spans="1:4" x14ac:dyDescent="0.2">
      <c r="A47037" t="s">
        <v>15038</v>
      </c>
      <c r="B47037" t="str">
        <f>HYPERLINK("https://lindat.mff.cuni.cz/services/teitok/pdtc10/index.php?action=vallex&amp;frame=v-w6492f13", "stát (v-w6492f13)")</f>
        <v>stát (v-w6492f13)</v>
      </c>
    </row>
    <row r="47038" spans="1:4" x14ac:dyDescent="0.2">
      <c r="B47038" t="s">
        <v>1</v>
      </c>
      <c r="C47038" t="s">
        <v>7870</v>
      </c>
      <c r="D47038" t="s">
        <v>7870</v>
      </c>
    </row>
    <row r="47039" spans="1:4" x14ac:dyDescent="0.2">
      <c r="B47039" t="s">
        <v>161</v>
      </c>
      <c r="C47039" t="s">
        <v>15039</v>
      </c>
      <c r="D47039" t="s">
        <v>15039</v>
      </c>
    </row>
    <row r="47041" spans="1:4" x14ac:dyDescent="0.2">
      <c r="A47041" t="s">
        <v>15040</v>
      </c>
      <c r="B47041" t="str">
        <f>HYPERLINK("https://lindat.mff.cuni.cz/services/teitok/pdtc10/index.php?action=vallex&amp;frame=v-w6492f8", "stát (v-w6492f8)")</f>
        <v>stát (v-w6492f8)</v>
      </c>
    </row>
    <row r="47042" spans="1:4" x14ac:dyDescent="0.2">
      <c r="B47042" t="s">
        <v>1</v>
      </c>
    </row>
    <row r="47043" spans="1:4" x14ac:dyDescent="0.2">
      <c r="B47043" t="s">
        <v>467</v>
      </c>
    </row>
    <row r="47045" spans="1:4" x14ac:dyDescent="0.2">
      <c r="A47045" t="s">
        <v>15041</v>
      </c>
      <c r="B47045" t="str">
        <f>HYPERLINK("https://lindat.mff.cuni.cz/services/teitok/pdtc10/index.php?action=vallex&amp;frame=v-w6492f12", "stát (v-w6492f12)")</f>
        <v>stát (v-w6492f12)</v>
      </c>
    </row>
    <row r="47046" spans="1:4" x14ac:dyDescent="0.2">
      <c r="B47046" t="s">
        <v>1</v>
      </c>
      <c r="C47046" t="s">
        <v>14818</v>
      </c>
      <c r="D47046" t="s">
        <v>14818</v>
      </c>
    </row>
    <row r="47047" spans="1:4" x14ac:dyDescent="0.2">
      <c r="B47047" t="s">
        <v>5328</v>
      </c>
      <c r="C47047" t="s">
        <v>6043</v>
      </c>
      <c r="D47047" t="s">
        <v>6043</v>
      </c>
    </row>
    <row r="47049" spans="1:4" x14ac:dyDescent="0.2">
      <c r="A47049" t="s">
        <v>15042</v>
      </c>
      <c r="B47049" t="str">
        <f>HYPERLINK("https://lindat.mff.cuni.cz/services/teitok/pdtc10/index.php?action=vallex&amp;frame=v-w6492f14", "stát (v-w6492f14)")</f>
        <v>stát (v-w6492f14)</v>
      </c>
    </row>
    <row r="47050" spans="1:4" x14ac:dyDescent="0.2">
      <c r="B47050" t="s">
        <v>1</v>
      </c>
    </row>
    <row r="47051" spans="1:4" x14ac:dyDescent="0.2">
      <c r="B47051" t="s">
        <v>411</v>
      </c>
    </row>
    <row r="47053" spans="1:4" x14ac:dyDescent="0.2">
      <c r="A47053" t="s">
        <v>15043</v>
      </c>
      <c r="B47053" t="str">
        <f>HYPERLINK("https://lindat.mff.cuni.cz/services/teitok/pdtc10/index.php?action=vallex&amp;frame=v-w6492hsa_77", "stát (v-w6492hsa_77)")</f>
        <v>stát (v-w6492hsa_77)</v>
      </c>
    </row>
    <row r="47054" spans="1:4" x14ac:dyDescent="0.2">
      <c r="B47054" t="s">
        <v>1</v>
      </c>
      <c r="C47054" t="s">
        <v>4529</v>
      </c>
      <c r="D47054" t="s">
        <v>24216</v>
      </c>
    </row>
    <row r="47055" spans="1:4" x14ac:dyDescent="0.2">
      <c r="B47055" t="s">
        <v>15044</v>
      </c>
      <c r="C47055" t="s">
        <v>15045</v>
      </c>
      <c r="D47055" t="s">
        <v>17741</v>
      </c>
    </row>
    <row r="47057" spans="1:4" x14ac:dyDescent="0.2">
      <c r="A47057" t="s">
        <v>15043</v>
      </c>
      <c r="B47057" t="str">
        <f>HYPERLINK("https://lindat.mff.cuni.cz/services/teitok/pdtc10/index.php?action=vallex&amp;frame=v-w6492f7", "stát (v-w6492f7) - substituted with v-w6492hsa_77")</f>
        <v>stát (v-w6492f7) - substituted with v-w6492hsa_77</v>
      </c>
    </row>
    <row r="47058" spans="1:4" x14ac:dyDescent="0.2">
      <c r="B47058" t="s">
        <v>1</v>
      </c>
      <c r="C47058" t="s">
        <v>15046</v>
      </c>
    </row>
    <row r="47059" spans="1:4" x14ac:dyDescent="0.2">
      <c r="B47059" t="s">
        <v>15044</v>
      </c>
      <c r="C47059" t="s">
        <v>15047</v>
      </c>
    </row>
    <row r="47061" spans="1:4" x14ac:dyDescent="0.2">
      <c r="A47061" t="s">
        <v>15048</v>
      </c>
      <c r="B47061" t="str">
        <f>HYPERLINK("https://lindat.mff.cuni.cz/services/teitok/pdtc10/index.php?action=vallex&amp;frame=v-w6492f17_ZU", "stát (v-w6492f17_ZU)")</f>
        <v>stát (v-w6492f17_ZU)</v>
      </c>
    </row>
    <row r="47062" spans="1:4" x14ac:dyDescent="0.2">
      <c r="B47062" t="s">
        <v>1</v>
      </c>
      <c r="C47062" t="s">
        <v>15049</v>
      </c>
    </row>
    <row r="47063" spans="1:4" x14ac:dyDescent="0.2">
      <c r="B47063" t="s">
        <v>3368</v>
      </c>
      <c r="C47063" t="s">
        <v>15050</v>
      </c>
    </row>
    <row r="47065" spans="1:4" x14ac:dyDescent="0.2">
      <c r="A47065" t="s">
        <v>15051</v>
      </c>
      <c r="B47065" t="str">
        <f>HYPERLINK("https://lindat.mff.cuni.cz/services/teitok/pdtc10/index.php?action=vallex&amp;frame=v-w6492f6", "stát (v-w6492f6)")</f>
        <v>stát (v-w6492f6)</v>
      </c>
    </row>
    <row r="47066" spans="1:4" x14ac:dyDescent="0.2">
      <c r="B47066" t="s">
        <v>15052</v>
      </c>
      <c r="C47066" t="s">
        <v>15053</v>
      </c>
      <c r="D47066" t="s">
        <v>4529</v>
      </c>
    </row>
    <row r="47067" spans="1:4" x14ac:dyDescent="0.2">
      <c r="B47067" t="s">
        <v>5</v>
      </c>
      <c r="C47067" t="s">
        <v>15054</v>
      </c>
      <c r="D47067" t="s">
        <v>24200</v>
      </c>
    </row>
    <row r="47069" spans="1:4" x14ac:dyDescent="0.2">
      <c r="A47069" t="s">
        <v>15055</v>
      </c>
      <c r="B47069" t="str">
        <f>HYPERLINK("https://lindat.mff.cuni.cz/services/teitok/pdtc10/index.php?action=vallex&amp;frame=v-w6492f11", "stát (v-w6492f11)")</f>
        <v>stát (v-w6492f11)</v>
      </c>
    </row>
    <row r="47070" spans="1:4" x14ac:dyDescent="0.2">
      <c r="B47070" t="s">
        <v>1</v>
      </c>
      <c r="C47070" t="s">
        <v>15056</v>
      </c>
      <c r="D47070" t="s">
        <v>4529</v>
      </c>
    </row>
    <row r="47071" spans="1:4" x14ac:dyDescent="0.2">
      <c r="B47071" t="s">
        <v>2360</v>
      </c>
      <c r="C47071" t="s">
        <v>15057</v>
      </c>
      <c r="D47071" t="s">
        <v>24200</v>
      </c>
    </row>
    <row r="47073" spans="1:4" x14ac:dyDescent="0.2">
      <c r="A47073" t="s">
        <v>15058</v>
      </c>
      <c r="B47073" t="str">
        <f>HYPERLINK("https://lindat.mff.cuni.cz/services/teitok/pdtc10/index.php?action=vallex&amp;frame=v-w6492f10", "stát (v-w6492f10)")</f>
        <v>stát (v-w6492f10)</v>
      </c>
    </row>
    <row r="47074" spans="1:4" x14ac:dyDescent="0.2">
      <c r="B47074" t="s">
        <v>1</v>
      </c>
      <c r="C47074" t="s">
        <v>15059</v>
      </c>
      <c r="D47074" t="s">
        <v>4529</v>
      </c>
    </row>
    <row r="47075" spans="1:4" x14ac:dyDescent="0.2">
      <c r="B47075" t="s">
        <v>5</v>
      </c>
      <c r="C47075" t="s">
        <v>15060</v>
      </c>
      <c r="D47075" t="s">
        <v>24200</v>
      </c>
    </row>
    <row r="47077" spans="1:4" x14ac:dyDescent="0.2">
      <c r="A47077" t="s">
        <v>15061</v>
      </c>
      <c r="B47077" t="str">
        <f>HYPERLINK("https://lindat.mff.cuni.cz/services/teitok/pdtc10/index.php?action=vallex&amp;frame=v-w6492f1", "stát (v-w6492f1)")</f>
        <v>stát (v-w6492f1)</v>
      </c>
    </row>
    <row r="47078" spans="1:4" x14ac:dyDescent="0.2">
      <c r="B47078" t="s">
        <v>1</v>
      </c>
      <c r="C47078" t="s">
        <v>15062</v>
      </c>
      <c r="D47078" t="s">
        <v>24217</v>
      </c>
    </row>
    <row r="47079" spans="1:4" x14ac:dyDescent="0.2">
      <c r="B47079" t="s">
        <v>524</v>
      </c>
      <c r="C47079" t="s">
        <v>15063</v>
      </c>
      <c r="D47079" t="s">
        <v>24218</v>
      </c>
    </row>
    <row r="47080" spans="1:4" x14ac:dyDescent="0.2">
      <c r="B47080" t="s">
        <v>220</v>
      </c>
      <c r="C47080" t="s">
        <v>15064</v>
      </c>
      <c r="D47080" t="s">
        <v>15064</v>
      </c>
    </row>
    <row r="47082" spans="1:4" x14ac:dyDescent="0.2">
      <c r="A47082" t="s">
        <v>15065</v>
      </c>
      <c r="B47082" t="str">
        <f>HYPERLINK("https://lindat.mff.cuni.cz/services/teitok/pdtc10/index.php?action=vallex&amp;frame=v-w6492f2", "stát (v-w6492f2)")</f>
        <v>stát (v-w6492f2)</v>
      </c>
    </row>
    <row r="47083" spans="1:4" x14ac:dyDescent="0.2">
      <c r="B47083" t="s">
        <v>1</v>
      </c>
      <c r="C47083" t="s">
        <v>15066</v>
      </c>
    </row>
    <row r="47085" spans="1:4" x14ac:dyDescent="0.2">
      <c r="A47085" t="s">
        <v>15067</v>
      </c>
      <c r="B47085" t="str">
        <f>HYPERLINK("https://lindat.mff.cuni.cz/services/teitok/pdtc10/index.php?action=vallex&amp;frame=v-w6492f5", "stát (v-w6492f5)")</f>
        <v>stát (v-w6492f5)</v>
      </c>
    </row>
    <row r="47086" spans="1:4" x14ac:dyDescent="0.2">
      <c r="B47086" t="s">
        <v>1</v>
      </c>
    </row>
    <row r="47088" spans="1:4" x14ac:dyDescent="0.2">
      <c r="A47088" t="s">
        <v>15068</v>
      </c>
      <c r="B47088" t="str">
        <f>HYPERLINK("https://lindat.mff.cuni.cz/services/teitok/pdtc10/index.php?action=vallex&amp;frame=v-w6492f16", "stát (v-w6492f16)")</f>
        <v>stát (v-w6492f16)</v>
      </c>
    </row>
    <row r="47089" spans="1:3" x14ac:dyDescent="0.2">
      <c r="B47089" t="s">
        <v>15069</v>
      </c>
    </row>
    <row r="47091" spans="1:3" x14ac:dyDescent="0.2">
      <c r="A47091" t="s">
        <v>15070</v>
      </c>
      <c r="B47091" t="str">
        <f>HYPERLINK("https://lindat.mff.cuni.cz/services/teitok/pdtc10/index.php?action=vallex&amp;frame=v-w6492f18_ZU", "stát (v-w6492f18_ZU)")</f>
        <v>stát (v-w6492f18_ZU)</v>
      </c>
    </row>
    <row r="47092" spans="1:3" x14ac:dyDescent="0.2">
      <c r="B47092" t="s">
        <v>1</v>
      </c>
      <c r="C47092" t="s">
        <v>201</v>
      </c>
    </row>
    <row r="47093" spans="1:3" x14ac:dyDescent="0.2">
      <c r="B47093" t="s">
        <v>15071</v>
      </c>
      <c r="C47093" t="s">
        <v>375</v>
      </c>
    </row>
    <row r="47095" spans="1:3" x14ac:dyDescent="0.2">
      <c r="A47095" t="s">
        <v>15070</v>
      </c>
      <c r="B47095" t="str">
        <f>HYPERLINK("https://lindat.mff.cuni.cz/services/teitok/pdtc10/index.php?action=vallex&amp;frame=v-w6492hsa_78", "stát (v-w6492hsa_78) - substituted with v-w6492f18_ZU")</f>
        <v>stát (v-w6492hsa_78) - substituted with v-w6492f18_ZU</v>
      </c>
    </row>
    <row r="47096" spans="1:3" x14ac:dyDescent="0.2">
      <c r="B47096" t="s">
        <v>1</v>
      </c>
    </row>
    <row r="47097" spans="1:3" x14ac:dyDescent="0.2">
      <c r="B47097" t="s">
        <v>15071</v>
      </c>
    </row>
    <row r="47099" spans="1:3" x14ac:dyDescent="0.2">
      <c r="A47099" t="s">
        <v>15072</v>
      </c>
      <c r="B47099" t="str">
        <f>HYPERLINK("https://lindat.mff.cuni.cz/services/teitok/pdtc10/index.php?action=vallex&amp;frame=v-w6492f20_ZU", "stát (v-w6492f20_ZU)")</f>
        <v>stát (v-w6492f20_ZU)</v>
      </c>
    </row>
    <row r="47100" spans="1:3" x14ac:dyDescent="0.2">
      <c r="B47100" t="s">
        <v>1</v>
      </c>
    </row>
    <row r="47101" spans="1:3" x14ac:dyDescent="0.2">
      <c r="B47101" t="s">
        <v>15073</v>
      </c>
    </row>
    <row r="47102" spans="1:3" x14ac:dyDescent="0.2">
      <c r="B47102" t="s">
        <v>35</v>
      </c>
    </row>
    <row r="47103" spans="1:3" x14ac:dyDescent="0.2">
      <c r="B47103" t="s">
        <v>1471</v>
      </c>
    </row>
    <row r="47105" spans="1:3" x14ac:dyDescent="0.2">
      <c r="A47105" t="s">
        <v>15072</v>
      </c>
      <c r="B47105" t="str">
        <f>HYPERLINK("https://lindat.mff.cuni.cz/services/teitok/pdtc10/index.php?action=vallex&amp;frame=v-w6492f19_ZU", "stát (v-w6492f19_ZU) - substituted with v-w6492f20_ZU")</f>
        <v>stát (v-w6492f19_ZU) - substituted with v-w6492f20_ZU</v>
      </c>
    </row>
    <row r="47106" spans="1:3" x14ac:dyDescent="0.2">
      <c r="B47106" t="s">
        <v>1</v>
      </c>
      <c r="C47106" t="s">
        <v>4529</v>
      </c>
    </row>
    <row r="47107" spans="1:3" x14ac:dyDescent="0.2">
      <c r="B47107" t="s">
        <v>15073</v>
      </c>
      <c r="C47107" t="s">
        <v>14878</v>
      </c>
    </row>
    <row r="47108" spans="1:3" x14ac:dyDescent="0.2">
      <c r="B47108" t="s">
        <v>35</v>
      </c>
    </row>
    <row r="47109" spans="1:3" x14ac:dyDescent="0.2">
      <c r="B47109" t="s">
        <v>1471</v>
      </c>
    </row>
    <row r="47111" spans="1:3" x14ac:dyDescent="0.2">
      <c r="A47111" t="s">
        <v>15072</v>
      </c>
      <c r="B47111" t="str">
        <f>HYPERLINK("https://lindat.mff.cuni.cz/services/teitok/pdtc10/index.php?action=vallex&amp;frame=v-w6492hsa_79", "stát (v-w6492hsa_79) - substituted with v-w6492f20_ZU")</f>
        <v>stát (v-w6492hsa_79) - substituted with v-w6492f20_ZU</v>
      </c>
    </row>
    <row r="47112" spans="1:3" x14ac:dyDescent="0.2">
      <c r="B47112" t="s">
        <v>1</v>
      </c>
    </row>
    <row r="47113" spans="1:3" x14ac:dyDescent="0.2">
      <c r="B47113" t="s">
        <v>15073</v>
      </c>
    </row>
    <row r="47114" spans="1:3" x14ac:dyDescent="0.2">
      <c r="B47114" t="s">
        <v>35</v>
      </c>
    </row>
    <row r="47115" spans="1:3" x14ac:dyDescent="0.2">
      <c r="B47115" t="s">
        <v>1471</v>
      </c>
    </row>
    <row r="47117" spans="1:3" x14ac:dyDescent="0.2">
      <c r="A47117" t="s">
        <v>15074</v>
      </c>
      <c r="B47117" t="str">
        <f>HYPERLINK("https://lindat.mff.cuni.cz/services/teitok/pdtc10/index.php?action=vallex&amp;frame=v-w6492f21_ZU", "stát (v-w6492f21_ZU)")</f>
        <v>stát (v-w6492f21_ZU)</v>
      </c>
    </row>
    <row r="47118" spans="1:3" x14ac:dyDescent="0.2">
      <c r="B47118" t="s">
        <v>1</v>
      </c>
    </row>
    <row r="47119" spans="1:3" x14ac:dyDescent="0.2">
      <c r="B47119" t="s">
        <v>15073</v>
      </c>
    </row>
    <row r="47120" spans="1:3" x14ac:dyDescent="0.2">
      <c r="B47120" t="s">
        <v>103</v>
      </c>
    </row>
    <row r="47122" spans="1:4" x14ac:dyDescent="0.2">
      <c r="A47122" t="s">
        <v>15075</v>
      </c>
      <c r="B47122" t="str">
        <f>HYPERLINK("https://lindat.mff.cuni.cz/services/teitok/pdtc10/index.php?action=vallex&amp;frame=v-w6492f22_ZU", "stát (v-w6492f22_ZU)")</f>
        <v>stát (v-w6492f22_ZU)</v>
      </c>
    </row>
    <row r="47123" spans="1:4" x14ac:dyDescent="0.2">
      <c r="B47123" t="s">
        <v>1</v>
      </c>
    </row>
    <row r="47125" spans="1:4" x14ac:dyDescent="0.2">
      <c r="A47125" t="s">
        <v>15076</v>
      </c>
      <c r="B47125" t="str">
        <f>HYPERLINK("https://lindat.mff.cuni.cz/services/teitok/pdtc10/index.php?action=vallex&amp;frame=v-w6492f23_ZU", "stát (v-w6492f23_ZU)")</f>
        <v>stát (v-w6492f23_ZU)</v>
      </c>
    </row>
    <row r="47126" spans="1:4" x14ac:dyDescent="0.2">
      <c r="B47126" t="s">
        <v>1</v>
      </c>
    </row>
    <row r="47128" spans="1:4" x14ac:dyDescent="0.2">
      <c r="A47128" t="s">
        <v>15077</v>
      </c>
      <c r="B47128" t="str">
        <f>HYPERLINK("https://lindat.mff.cuni.cz/services/teitok/pdtc10/index.php?action=vallex&amp;frame=v-w6496f1", "stát se (v-w6496f1)")</f>
        <v>stát se (v-w6496f1)</v>
      </c>
    </row>
    <row r="47129" spans="1:4" x14ac:dyDescent="0.2">
      <c r="B47129" t="s">
        <v>1</v>
      </c>
      <c r="C47129" t="s">
        <v>15078</v>
      </c>
      <c r="D47129" t="s">
        <v>23506</v>
      </c>
    </row>
    <row r="47130" spans="1:4" x14ac:dyDescent="0.2">
      <c r="B47130" t="s">
        <v>15079</v>
      </c>
      <c r="C47130" t="s">
        <v>15080</v>
      </c>
      <c r="D47130" t="s">
        <v>23507</v>
      </c>
    </row>
    <row r="47131" spans="1:4" x14ac:dyDescent="0.2">
      <c r="B47131" t="s">
        <v>24</v>
      </c>
      <c r="D47131" t="s">
        <v>11827</v>
      </c>
    </row>
    <row r="47133" spans="1:4" x14ac:dyDescent="0.2">
      <c r="A47133" t="s">
        <v>15081</v>
      </c>
      <c r="B47133" t="str">
        <f>HYPERLINK("https://lindat.mff.cuni.cz/services/teitok/pdtc10/index.php?action=vallex&amp;frame=v-w6496f6_ZU", "stát se (v-w6496f6_ZU)")</f>
        <v>stát se (v-w6496f6_ZU)</v>
      </c>
    </row>
    <row r="47134" spans="1:4" x14ac:dyDescent="0.2">
      <c r="B47134" t="s">
        <v>15082</v>
      </c>
    </row>
    <row r="47135" spans="1:4" x14ac:dyDescent="0.2">
      <c r="B47135" t="s">
        <v>411</v>
      </c>
    </row>
    <row r="47137" spans="1:4" x14ac:dyDescent="0.2">
      <c r="A47137" t="s">
        <v>15081</v>
      </c>
      <c r="B47137" t="str">
        <f>HYPERLINK("https://lindat.mff.cuni.cz/services/teitok/pdtc10/index.php?action=vallex&amp;frame=v-w6496f5", "stát se (v-w6496f5) - substituted with v-w6496f6_ZU")</f>
        <v>stát se (v-w6496f5) - substituted with v-w6496f6_ZU</v>
      </c>
    </row>
    <row r="47138" spans="1:4" x14ac:dyDescent="0.2">
      <c r="B47138" t="s">
        <v>15082</v>
      </c>
      <c r="C47138" t="s">
        <v>15083</v>
      </c>
      <c r="D47138" t="s">
        <v>20058</v>
      </c>
    </row>
    <row r="47139" spans="1:4" x14ac:dyDescent="0.2">
      <c r="B47139" t="s">
        <v>411</v>
      </c>
      <c r="C47139" t="s">
        <v>15084</v>
      </c>
      <c r="D47139" t="s">
        <v>2868</v>
      </c>
    </row>
    <row r="47141" spans="1:4" x14ac:dyDescent="0.2">
      <c r="A47141" t="s">
        <v>15085</v>
      </c>
      <c r="B47141" t="str">
        <f>HYPERLINK("https://lindat.mff.cuni.cz/services/teitok/pdtc10/index.php?action=vallex&amp;frame=v-w6496f4", "stát se (v-w6496f4)")</f>
        <v>stát se (v-w6496f4)</v>
      </c>
    </row>
    <row r="47142" spans="1:4" x14ac:dyDescent="0.2">
      <c r="B47142" t="s">
        <v>1</v>
      </c>
      <c r="C47142" t="s">
        <v>15086</v>
      </c>
      <c r="D47142" t="s">
        <v>24219</v>
      </c>
    </row>
    <row r="47143" spans="1:4" x14ac:dyDescent="0.2">
      <c r="B47143" t="s">
        <v>168</v>
      </c>
      <c r="C47143" t="s">
        <v>15087</v>
      </c>
      <c r="D47143" t="s">
        <v>24220</v>
      </c>
    </row>
    <row r="47145" spans="1:4" x14ac:dyDescent="0.2">
      <c r="A47145" t="s">
        <v>15088</v>
      </c>
      <c r="B47145" t="str">
        <f>HYPERLINK("https://lindat.mff.cuni.cz/services/teitok/pdtc10/index.php?action=vallex&amp;frame=v-w6496f2", "stát se (v-w6496f2)")</f>
        <v>stát se (v-w6496f2)</v>
      </c>
    </row>
    <row r="47146" spans="1:4" x14ac:dyDescent="0.2">
      <c r="B47146" t="s">
        <v>15089</v>
      </c>
      <c r="C47146" t="s">
        <v>15090</v>
      </c>
      <c r="D47146" t="s">
        <v>20058</v>
      </c>
    </row>
    <row r="47147" spans="1:4" x14ac:dyDescent="0.2">
      <c r="B47147" t="s">
        <v>86</v>
      </c>
      <c r="C47147" t="s">
        <v>15091</v>
      </c>
      <c r="D47147" t="s">
        <v>2868</v>
      </c>
    </row>
    <row r="47149" spans="1:4" x14ac:dyDescent="0.2">
      <c r="A47149" t="s">
        <v>15092</v>
      </c>
      <c r="B47149" t="str">
        <f>HYPERLINK("https://lindat.mff.cuni.cz/services/teitok/pdtc10/index.php?action=vallex&amp;frame=v-w6496f7_ZU", "stát se (v-w6496f7_ZU)")</f>
        <v>stát se (v-w6496f7_ZU)</v>
      </c>
    </row>
    <row r="47150" spans="1:4" x14ac:dyDescent="0.2">
      <c r="B47150" t="s">
        <v>15093</v>
      </c>
    </row>
    <row r="47152" spans="1:4" x14ac:dyDescent="0.2">
      <c r="A47152" t="s">
        <v>15092</v>
      </c>
      <c r="B47152" t="str">
        <f>HYPERLINK("https://lindat.mff.cuni.cz/services/teitok/pdtc10/index.php?action=vallex&amp;frame=v-w6496f3", "stát se (v-w6496f3) - substituted with v-w6496f7_ZU")</f>
        <v>stát se (v-w6496f3) - substituted with v-w6496f7_ZU</v>
      </c>
    </row>
    <row r="47153" spans="1:4" x14ac:dyDescent="0.2">
      <c r="B47153" t="s">
        <v>15093</v>
      </c>
      <c r="C47153" t="s">
        <v>15094</v>
      </c>
      <c r="D47153" t="s">
        <v>22988</v>
      </c>
    </row>
    <row r="47155" spans="1:4" x14ac:dyDescent="0.2">
      <c r="A47155" t="s">
        <v>15095</v>
      </c>
      <c r="B47155" t="str">
        <f>HYPERLINK("https://lindat.mff.cuni.cz/services/teitok/pdtc10/index.php?action=vallex&amp;frame=v-w6496f8_ZU", "stát se (v-w6496f8_ZU)")</f>
        <v>stát se (v-w6496f8_ZU)</v>
      </c>
    </row>
    <row r="47156" spans="1:4" x14ac:dyDescent="0.2">
      <c r="B47156" t="s">
        <v>1</v>
      </c>
    </row>
    <row r="47157" spans="1:4" x14ac:dyDescent="0.2">
      <c r="B47157" t="s">
        <v>15096</v>
      </c>
    </row>
    <row r="47159" spans="1:4" x14ac:dyDescent="0.2">
      <c r="A47159" t="s">
        <v>15095</v>
      </c>
      <c r="B47159" t="str">
        <f>HYPERLINK("https://lindat.mff.cuni.cz/services/teitok/pdtc10/index.php?action=vallex&amp;frame=v-w6496hsa_681", "stát se (v-w6496hsa_681) - substituted with v-w6496f8_ZU")</f>
        <v>stát se (v-w6496hsa_681) - substituted with v-w6496f8_ZU</v>
      </c>
    </row>
    <row r="47160" spans="1:4" x14ac:dyDescent="0.2">
      <c r="B47160" t="s">
        <v>1</v>
      </c>
    </row>
    <row r="47161" spans="1:4" x14ac:dyDescent="0.2">
      <c r="B47161" t="s">
        <v>15096</v>
      </c>
    </row>
    <row r="47163" spans="1:4" x14ac:dyDescent="0.2">
      <c r="A47163" t="s">
        <v>15097</v>
      </c>
      <c r="B47163" t="str">
        <f>HYPERLINK("https://lindat.mff.cuni.cz/services/teitok/pdtc10/index.php?action=vallex&amp;frame=v-w6497f2", "stát si (v-w6497f2)")</f>
        <v>stát si (v-w6497f2)</v>
      </c>
    </row>
    <row r="47164" spans="1:4" x14ac:dyDescent="0.2">
      <c r="B47164" t="s">
        <v>1</v>
      </c>
      <c r="C47164" t="s">
        <v>15098</v>
      </c>
      <c r="D47164" t="s">
        <v>24221</v>
      </c>
    </row>
    <row r="47165" spans="1:4" x14ac:dyDescent="0.2">
      <c r="B47165" t="s">
        <v>15099</v>
      </c>
      <c r="C47165" t="s">
        <v>15100</v>
      </c>
      <c r="D47165" t="s">
        <v>986</v>
      </c>
    </row>
    <row r="47167" spans="1:4" x14ac:dyDescent="0.2">
      <c r="A47167" t="s">
        <v>15101</v>
      </c>
      <c r="B47167" t="str">
        <f>HYPERLINK("https://lindat.mff.cuni.cz/services/teitok/pdtc10/index.php?action=vallex&amp;frame=v-w6497f1", "stát si (v-w6497f1)")</f>
        <v>stát si (v-w6497f1)</v>
      </c>
    </row>
    <row r="47168" spans="1:4" x14ac:dyDescent="0.2">
      <c r="B47168" t="s">
        <v>1</v>
      </c>
      <c r="C47168" t="s">
        <v>15102</v>
      </c>
      <c r="D47168" t="s">
        <v>23029</v>
      </c>
    </row>
    <row r="47169" spans="1:4" x14ac:dyDescent="0.2">
      <c r="B47169" t="s">
        <v>507</v>
      </c>
      <c r="C47169" t="s">
        <v>2929</v>
      </c>
      <c r="D47169" t="s">
        <v>23030</v>
      </c>
    </row>
    <row r="47171" spans="1:4" x14ac:dyDescent="0.2">
      <c r="A47171" t="s">
        <v>15103</v>
      </c>
      <c r="B47171" t="str">
        <f>HYPERLINK("https://lindat.mff.cuni.cz/services/teitok/pdtc10/index.php?action=vallex&amp;frame=v-w6499f1", "stávat (v-w6499f1)")</f>
        <v>stávat (v-w6499f1)</v>
      </c>
    </row>
    <row r="47172" spans="1:4" x14ac:dyDescent="0.2">
      <c r="B47172" t="s">
        <v>1</v>
      </c>
      <c r="D47172" t="s">
        <v>4529</v>
      </c>
    </row>
    <row r="47173" spans="1:4" x14ac:dyDescent="0.2">
      <c r="B47173" t="s">
        <v>5</v>
      </c>
      <c r="D47173" t="s">
        <v>24200</v>
      </c>
    </row>
    <row r="47175" spans="1:4" x14ac:dyDescent="0.2">
      <c r="A47175" t="s">
        <v>15104</v>
      </c>
      <c r="B47175" t="str">
        <f>HYPERLINK("https://lindat.mff.cuni.cz/services/teitok/pdtc10/index.php?action=vallex&amp;frame=v-w6499f2_ZU", "stávat (v-w6499f2_ZU)")</f>
        <v>stávat (v-w6499f2_ZU)</v>
      </c>
    </row>
    <row r="47176" spans="1:4" x14ac:dyDescent="0.2">
      <c r="B47176" t="s">
        <v>1</v>
      </c>
      <c r="C47176" t="s">
        <v>897</v>
      </c>
      <c r="D47176" t="s">
        <v>24217</v>
      </c>
    </row>
    <row r="47177" spans="1:4" x14ac:dyDescent="0.2">
      <c r="B47177" t="s">
        <v>524</v>
      </c>
      <c r="C47177" t="s">
        <v>15105</v>
      </c>
      <c r="D47177" t="s">
        <v>24218</v>
      </c>
    </row>
    <row r="47178" spans="1:4" x14ac:dyDescent="0.2">
      <c r="B47178" t="s">
        <v>220</v>
      </c>
      <c r="D47178" t="s">
        <v>15064</v>
      </c>
    </row>
    <row r="47180" spans="1:4" x14ac:dyDescent="0.2">
      <c r="A47180" t="s">
        <v>15106</v>
      </c>
      <c r="B47180" t="str">
        <f>HYPERLINK("https://lindat.mff.cuni.cz/services/teitok/pdtc10/index.php?action=vallex&amp;frame=v-w6500f1", "stávat se (v-w6500f1)")</f>
        <v>stávat se (v-w6500f1)</v>
      </c>
    </row>
    <row r="47181" spans="1:4" x14ac:dyDescent="0.2">
      <c r="B47181" t="s">
        <v>1</v>
      </c>
      <c r="C47181" t="s">
        <v>15107</v>
      </c>
      <c r="D47181" t="s">
        <v>23506</v>
      </c>
    </row>
    <row r="47182" spans="1:4" x14ac:dyDescent="0.2">
      <c r="B47182" t="s">
        <v>15079</v>
      </c>
      <c r="C47182" t="s">
        <v>15108</v>
      </c>
      <c r="D47182" t="s">
        <v>23507</v>
      </c>
    </row>
    <row r="47183" spans="1:4" x14ac:dyDescent="0.2">
      <c r="B47183" t="s">
        <v>24</v>
      </c>
      <c r="D47183" t="s">
        <v>11827</v>
      </c>
    </row>
    <row r="47185" spans="1:4" x14ac:dyDescent="0.2">
      <c r="A47185" t="s">
        <v>15109</v>
      </c>
      <c r="B47185" t="str">
        <f>HYPERLINK("https://lindat.mff.cuni.cz/services/teitok/pdtc10/index.php?action=vallex&amp;frame=v-w6500f3", "stávat se (v-w6500f3)")</f>
        <v>stávat se (v-w6500f3)</v>
      </c>
    </row>
    <row r="47186" spans="1:4" x14ac:dyDescent="0.2">
      <c r="B47186" t="s">
        <v>1</v>
      </c>
      <c r="C47186" t="s">
        <v>15110</v>
      </c>
      <c r="D47186" t="s">
        <v>24219</v>
      </c>
    </row>
    <row r="47187" spans="1:4" x14ac:dyDescent="0.2">
      <c r="B47187" t="s">
        <v>168</v>
      </c>
      <c r="C47187" t="s">
        <v>15111</v>
      </c>
      <c r="D47187" t="s">
        <v>24220</v>
      </c>
    </row>
    <row r="47189" spans="1:4" x14ac:dyDescent="0.2">
      <c r="A47189" t="s">
        <v>15112</v>
      </c>
      <c r="B47189" t="str">
        <f>HYPERLINK("https://lindat.mff.cuni.cz/services/teitok/pdtc10/index.php?action=vallex&amp;frame=v-w6500f4_ZU", "stávat se (v-w6500f4_ZU)")</f>
        <v>stávat se (v-w6500f4_ZU)</v>
      </c>
    </row>
    <row r="47190" spans="1:4" x14ac:dyDescent="0.2">
      <c r="B47190" t="s">
        <v>488</v>
      </c>
      <c r="C47190" t="s">
        <v>3781</v>
      </c>
      <c r="D47190" t="s">
        <v>20058</v>
      </c>
    </row>
    <row r="47191" spans="1:4" x14ac:dyDescent="0.2">
      <c r="B47191" t="s">
        <v>86</v>
      </c>
      <c r="C47191" t="s">
        <v>2868</v>
      </c>
      <c r="D47191" t="s">
        <v>2868</v>
      </c>
    </row>
    <row r="47193" spans="1:4" x14ac:dyDescent="0.2">
      <c r="A47193" t="s">
        <v>15112</v>
      </c>
      <c r="B47193" t="str">
        <f>HYPERLINK("https://lindat.mff.cuni.cz/services/teitok/pdtc10/index.php?action=vallex&amp;frame=v-w6500f2", "stávat se (v-w6500f2) - substituted with v-w6500f4_ZU")</f>
        <v>stávat se (v-w6500f2) - substituted with v-w6500f4_ZU</v>
      </c>
    </row>
    <row r="47194" spans="1:4" x14ac:dyDescent="0.2">
      <c r="B47194" t="s">
        <v>488</v>
      </c>
      <c r="C47194" t="s">
        <v>9702</v>
      </c>
    </row>
    <row r="47195" spans="1:4" x14ac:dyDescent="0.2">
      <c r="B47195" t="s">
        <v>86</v>
      </c>
    </row>
    <row r="47197" spans="1:4" x14ac:dyDescent="0.2">
      <c r="A47197" t="s">
        <v>15113</v>
      </c>
      <c r="B47197" t="str">
        <f>HYPERLINK("https://lindat.mff.cuni.cz/services/teitok/pdtc10/index.php?action=vallex&amp;frame=v-w6511f1", "stávkovat (v-w6511f1)")</f>
        <v>stávkovat (v-w6511f1)</v>
      </c>
    </row>
    <row r="47198" spans="1:4" x14ac:dyDescent="0.2">
      <c r="B47198" t="s">
        <v>1</v>
      </c>
      <c r="C47198" t="s">
        <v>33</v>
      </c>
      <c r="D47198" t="s">
        <v>20771</v>
      </c>
    </row>
    <row r="47200" spans="1:4" x14ac:dyDescent="0.2">
      <c r="A47200" t="s">
        <v>15114</v>
      </c>
      <c r="B47200" t="str">
        <f>HYPERLINK("https://lindat.mff.cuni.cz/services/teitok/pdtc10/index.php?action=vallex&amp;frame=v-w6461f1", "stáčet (v-w6461f1)")</f>
        <v>stáčet (v-w6461f1)</v>
      </c>
    </row>
    <row r="47201" spans="1:4" x14ac:dyDescent="0.2">
      <c r="B47201" t="s">
        <v>1</v>
      </c>
    </row>
    <row r="47202" spans="1:4" x14ac:dyDescent="0.2">
      <c r="B47202" t="s">
        <v>8</v>
      </c>
    </row>
    <row r="47204" spans="1:4" x14ac:dyDescent="0.2">
      <c r="A47204" t="s">
        <v>15115</v>
      </c>
      <c r="B47204" t="str">
        <f>HYPERLINK("https://lindat.mff.cuni.cz/services/teitok/pdtc10/index.php?action=vallex&amp;frame=v-w6461hsa_475", "stáčet (v-w6461hsa_475)")</f>
        <v>stáčet (v-w6461hsa_475)</v>
      </c>
    </row>
    <row r="47205" spans="1:4" x14ac:dyDescent="0.2">
      <c r="B47205" t="s">
        <v>1</v>
      </c>
      <c r="C47205" t="s">
        <v>140</v>
      </c>
    </row>
    <row r="47206" spans="1:4" x14ac:dyDescent="0.2">
      <c r="B47206" t="s">
        <v>8</v>
      </c>
      <c r="C47206" t="s">
        <v>1301</v>
      </c>
    </row>
    <row r="47207" spans="1:4" x14ac:dyDescent="0.2">
      <c r="B47207" t="s">
        <v>486</v>
      </c>
      <c r="C47207" t="s">
        <v>268</v>
      </c>
    </row>
    <row r="47209" spans="1:4" x14ac:dyDescent="0.2">
      <c r="A47209" t="s">
        <v>15116</v>
      </c>
      <c r="B47209" t="str">
        <f>HYPERLINK("https://lindat.mff.cuni.cz/services/teitok/pdtc10/index.php?action=vallex&amp;frame=v-whsa_279hsa_280", "stáčet se (v-whsa_279hsa_280)")</f>
        <v>stáčet se (v-whsa_279hsa_280)</v>
      </c>
    </row>
    <row r="47210" spans="1:4" x14ac:dyDescent="0.2">
      <c r="B47210" t="s">
        <v>1</v>
      </c>
      <c r="C47210" t="s">
        <v>186</v>
      </c>
      <c r="D47210" t="s">
        <v>23639</v>
      </c>
    </row>
    <row r="47211" spans="1:4" x14ac:dyDescent="0.2">
      <c r="B47211" t="s">
        <v>90</v>
      </c>
    </row>
    <row r="47213" spans="1:4" x14ac:dyDescent="0.2">
      <c r="A47213" t="s">
        <v>15117</v>
      </c>
      <c r="B47213" t="str">
        <f>HYPERLINK("https://lindat.mff.cuni.cz/services/teitok/pdtc10/index.php?action=vallex&amp;frame=v-whsa_277hsa_278", "stáčet se (v-whsa_277hsa_278)")</f>
        <v>stáčet se (v-whsa_277hsa_278)</v>
      </c>
    </row>
    <row r="47214" spans="1:4" x14ac:dyDescent="0.2">
      <c r="B47214" t="s">
        <v>1</v>
      </c>
    </row>
    <row r="47215" spans="1:4" x14ac:dyDescent="0.2">
      <c r="B47215" t="s">
        <v>5</v>
      </c>
    </row>
    <row r="47217" spans="1:4" x14ac:dyDescent="0.2">
      <c r="A47217" t="s">
        <v>15118</v>
      </c>
      <c r="B47217" t="str">
        <f>HYPERLINK("https://lindat.mff.cuni.cz/services/teitok/pdtc10/index.php?action=vallex&amp;frame=v-whsa_279f1_ZU", "stáčet se (v-whsa_279f1_ZU)")</f>
        <v>stáčet se (v-whsa_279f1_ZU)</v>
      </c>
    </row>
    <row r="47218" spans="1:4" x14ac:dyDescent="0.2">
      <c r="B47218" t="s">
        <v>1</v>
      </c>
    </row>
    <row r="47219" spans="1:4" x14ac:dyDescent="0.2">
      <c r="B47219" t="s">
        <v>5</v>
      </c>
    </row>
    <row r="47221" spans="1:4" x14ac:dyDescent="0.2">
      <c r="A47221" t="s">
        <v>15119</v>
      </c>
      <c r="B47221" t="str">
        <f>HYPERLINK("https://lindat.mff.cuni.cz/services/teitok/pdtc10/index.php?action=vallex&amp;frame=v-whsa_1890hsa_1891", "stékat (v-whsa_1890hsa_1891)")</f>
        <v>stékat (v-whsa_1890hsa_1891)</v>
      </c>
    </row>
    <row r="47222" spans="1:4" x14ac:dyDescent="0.2">
      <c r="B47222" t="s">
        <v>1</v>
      </c>
    </row>
    <row r="47223" spans="1:4" x14ac:dyDescent="0.2">
      <c r="B47223" t="s">
        <v>333</v>
      </c>
    </row>
    <row r="47225" spans="1:4" x14ac:dyDescent="0.2">
      <c r="A47225" t="s">
        <v>15120</v>
      </c>
      <c r="B47225" t="str">
        <f>HYPERLINK("https://lindat.mff.cuni.cz/services/teitok/pdtc10/index.php?action=vallex&amp;frame=v-w10285f2", "sténat (v-w10285f2)")</f>
        <v>sténat (v-w10285f2)</v>
      </c>
    </row>
    <row r="47226" spans="1:4" x14ac:dyDescent="0.2">
      <c r="B47226" t="s">
        <v>1</v>
      </c>
      <c r="C47226" t="s">
        <v>133</v>
      </c>
      <c r="D47226" t="s">
        <v>23719</v>
      </c>
    </row>
    <row r="47228" spans="1:4" x14ac:dyDescent="0.2">
      <c r="A47228" t="s">
        <v>15121</v>
      </c>
      <c r="B47228" t="str">
        <f>HYPERLINK("https://lindat.mff.cuni.cz/services/teitok/pdtc10/index.php?action=vallex&amp;frame=v-w6523f1", "stíhat (v-w6523f1)")</f>
        <v>stíhat (v-w6523f1)</v>
      </c>
    </row>
    <row r="47229" spans="1:4" x14ac:dyDescent="0.2">
      <c r="B47229" t="s">
        <v>1</v>
      </c>
      <c r="C47229" t="s">
        <v>249</v>
      </c>
      <c r="D47229" t="s">
        <v>83</v>
      </c>
    </row>
    <row r="47230" spans="1:4" x14ac:dyDescent="0.2">
      <c r="B47230" t="s">
        <v>8</v>
      </c>
      <c r="C47230" t="s">
        <v>1025</v>
      </c>
      <c r="D47230" t="s">
        <v>1190</v>
      </c>
    </row>
    <row r="47232" spans="1:4" x14ac:dyDescent="0.2">
      <c r="A47232" t="s">
        <v>15122</v>
      </c>
      <c r="B47232" t="str">
        <f>HYPERLINK("https://lindat.mff.cuni.cz/services/teitok/pdtc10/index.php?action=vallex&amp;frame=v-w6523hsa_1293", "stíhat (v-w6523hsa_1293)")</f>
        <v>stíhat (v-w6523hsa_1293)</v>
      </c>
    </row>
    <row r="47233" spans="1:3" x14ac:dyDescent="0.2">
      <c r="B47233" t="s">
        <v>1</v>
      </c>
    </row>
    <row r="47234" spans="1:3" x14ac:dyDescent="0.2">
      <c r="B47234" t="s">
        <v>8</v>
      </c>
    </row>
    <row r="47236" spans="1:3" x14ac:dyDescent="0.2">
      <c r="A47236" t="s">
        <v>15123</v>
      </c>
      <c r="B47236" t="str">
        <f>HYPERLINK("https://lindat.mff.cuni.cz/services/teitok/pdtc10/index.php?action=vallex&amp;frame=v-w6523hsa_1294", "stíhat (v-w6523hsa_1294)")</f>
        <v>stíhat (v-w6523hsa_1294)</v>
      </c>
    </row>
    <row r="47237" spans="1:3" x14ac:dyDescent="0.2">
      <c r="B47237" t="s">
        <v>1</v>
      </c>
    </row>
    <row r="47238" spans="1:3" x14ac:dyDescent="0.2">
      <c r="B47238" t="s">
        <v>228</v>
      </c>
    </row>
    <row r="47240" spans="1:3" x14ac:dyDescent="0.2">
      <c r="A47240" t="s">
        <v>15124</v>
      </c>
      <c r="B47240" t="str">
        <f>HYPERLINK("https://lindat.mff.cuni.cz/services/teitok/pdtc10/index.php?action=vallex&amp;frame=v-w10086f3_ZU", "stínit (v-w10086f3_ZU)")</f>
        <v>stínit (v-w10086f3_ZU)</v>
      </c>
    </row>
    <row r="47241" spans="1:3" x14ac:dyDescent="0.2">
      <c r="B47241" t="s">
        <v>1</v>
      </c>
    </row>
    <row r="47242" spans="1:3" x14ac:dyDescent="0.2">
      <c r="B47242" t="s">
        <v>103</v>
      </c>
    </row>
    <row r="47244" spans="1:3" x14ac:dyDescent="0.2">
      <c r="A47244" t="s">
        <v>15124</v>
      </c>
      <c r="B47244" t="str">
        <f>HYPERLINK("https://lindat.mff.cuni.cz/services/teitok/pdtc10/index.php?action=vallex&amp;frame=v-w10086f2", "stínit (v-w10086f2) - substituted with v-w10086f3_ZU")</f>
        <v>stínit (v-w10086f2) - substituted with v-w10086f3_ZU</v>
      </c>
    </row>
    <row r="47245" spans="1:3" x14ac:dyDescent="0.2">
      <c r="B47245" t="s">
        <v>1</v>
      </c>
      <c r="C47245" t="s">
        <v>133</v>
      </c>
    </row>
    <row r="47246" spans="1:3" x14ac:dyDescent="0.2">
      <c r="B47246" t="s">
        <v>103</v>
      </c>
      <c r="C47246" t="s">
        <v>34</v>
      </c>
    </row>
    <row r="47248" spans="1:3" x14ac:dyDescent="0.2">
      <c r="A47248" t="s">
        <v>15125</v>
      </c>
      <c r="B47248" t="str">
        <f>HYPERLINK("https://lindat.mff.cuni.cz/services/teitok/pdtc10/index.php?action=vallex&amp;frame=v-w10403f2", "stínovat (v-w10403f2)")</f>
        <v>stínovat (v-w10403f2)</v>
      </c>
    </row>
    <row r="47249" spans="1:4" x14ac:dyDescent="0.2">
      <c r="B47249" t="s">
        <v>1</v>
      </c>
    </row>
    <row r="47250" spans="1:4" x14ac:dyDescent="0.2">
      <c r="B47250" t="s">
        <v>8</v>
      </c>
    </row>
    <row r="47252" spans="1:4" x14ac:dyDescent="0.2">
      <c r="A47252" t="s">
        <v>15126</v>
      </c>
      <c r="B47252" t="str">
        <f>HYPERLINK("https://lindat.mff.cuni.cz/services/teitok/pdtc10/index.php?action=vallex&amp;frame=v-w11596_ZUf1_ZU", "stírat (v-w11596_ZUf1_ZU)")</f>
        <v>stírat (v-w11596_ZUf1_ZU)</v>
      </c>
    </row>
    <row r="47253" spans="1:4" x14ac:dyDescent="0.2">
      <c r="B47253" t="s">
        <v>1</v>
      </c>
      <c r="D47253" t="s">
        <v>33</v>
      </c>
    </row>
    <row r="47254" spans="1:4" x14ac:dyDescent="0.2">
      <c r="B47254" t="s">
        <v>8</v>
      </c>
      <c r="D47254" t="s">
        <v>1044</v>
      </c>
    </row>
    <row r="47256" spans="1:4" x14ac:dyDescent="0.2">
      <c r="A47256" t="s">
        <v>15127</v>
      </c>
      <c r="B47256" t="str">
        <f>HYPERLINK("https://lindat.mff.cuni.cz/services/teitok/pdtc10/index.php?action=vallex&amp;frame=v-w6531f1", "stísnit se (v-w6531f1)")</f>
        <v>stísnit se (v-w6531f1)</v>
      </c>
    </row>
    <row r="47257" spans="1:4" x14ac:dyDescent="0.2">
      <c r="B47257" t="s">
        <v>1</v>
      </c>
    </row>
    <row r="47258" spans="1:4" x14ac:dyDescent="0.2">
      <c r="B47258" t="s">
        <v>5</v>
      </c>
    </row>
    <row r="47260" spans="1:4" x14ac:dyDescent="0.2">
      <c r="A47260" t="s">
        <v>15128</v>
      </c>
      <c r="B47260" t="str">
        <f>HYPERLINK("https://lindat.mff.cuni.cz/services/teitok/pdtc10/index.php?action=vallex&amp;frame=v-w6531f2", "stísnit se (v-w6531f2)")</f>
        <v>stísnit se (v-w6531f2)</v>
      </c>
    </row>
    <row r="47261" spans="1:4" x14ac:dyDescent="0.2">
      <c r="B47261" t="s">
        <v>1</v>
      </c>
    </row>
    <row r="47262" spans="1:4" x14ac:dyDescent="0.2">
      <c r="B47262" t="s">
        <v>90</v>
      </c>
    </row>
    <row r="47264" spans="1:4" x14ac:dyDescent="0.2">
      <c r="A47264" t="s">
        <v>15129</v>
      </c>
      <c r="B47264" t="str">
        <f>HYPERLINK("https://lindat.mff.cuni.cz/services/teitok/pdtc10/index.php?action=vallex&amp;frame=v-w6615f1", "stýkat se (v-w6615f1)")</f>
        <v>stýkat se (v-w6615f1)</v>
      </c>
    </row>
    <row r="47265" spans="1:4" x14ac:dyDescent="0.2">
      <c r="B47265" t="s">
        <v>1</v>
      </c>
      <c r="D47265" t="s">
        <v>23867</v>
      </c>
    </row>
    <row r="47266" spans="1:4" x14ac:dyDescent="0.2">
      <c r="B47266" t="s">
        <v>411</v>
      </c>
      <c r="C47266" t="s">
        <v>113</v>
      </c>
      <c r="D47266" t="s">
        <v>7127</v>
      </c>
    </row>
    <row r="47268" spans="1:4" x14ac:dyDescent="0.2">
      <c r="A47268" t="s">
        <v>15130</v>
      </c>
      <c r="B47268" t="str">
        <f>HYPERLINK("https://lindat.mff.cuni.cz/services/teitok/pdtc10/index.php?action=vallex&amp;frame=v-w6615hsa_352", "stýkat se (v-w6615hsa_352)")</f>
        <v>stýkat se (v-w6615hsa_352)</v>
      </c>
    </row>
    <row r="47269" spans="1:4" x14ac:dyDescent="0.2">
      <c r="B47269" t="s">
        <v>1</v>
      </c>
    </row>
    <row r="47270" spans="1:4" x14ac:dyDescent="0.2">
      <c r="B47270" t="s">
        <v>411</v>
      </c>
    </row>
    <row r="47272" spans="1:4" x14ac:dyDescent="0.2">
      <c r="A47272" t="s">
        <v>15131</v>
      </c>
      <c r="B47272" t="str">
        <f>HYPERLINK("https://lindat.mff.cuni.cz/services/teitok/pdtc10/index.php?action=vallex&amp;frame=v-w6618f1", "stýskat se (v-w6618f1)")</f>
        <v>stýskat se (v-w6618f1)</v>
      </c>
    </row>
    <row r="47273" spans="1:4" x14ac:dyDescent="0.2">
      <c r="B47273" t="s">
        <v>455</v>
      </c>
    </row>
    <row r="47274" spans="1:4" x14ac:dyDescent="0.2">
      <c r="B47274" t="s">
        <v>1062</v>
      </c>
    </row>
    <row r="47276" spans="1:4" x14ac:dyDescent="0.2">
      <c r="A47276" t="s">
        <v>15132</v>
      </c>
      <c r="B47276" t="str">
        <f>HYPERLINK("https://lindat.mff.cuni.cz/services/teitok/pdtc10/index.php?action=vallex&amp;frame=v-w6516f1", "stěhovat (v-w6516f1)")</f>
        <v>stěhovat (v-w6516f1)</v>
      </c>
    </row>
    <row r="47277" spans="1:4" x14ac:dyDescent="0.2">
      <c r="B47277" t="s">
        <v>1</v>
      </c>
      <c r="C47277" t="s">
        <v>3560</v>
      </c>
      <c r="D47277" t="s">
        <v>3580</v>
      </c>
    </row>
    <row r="47278" spans="1:4" x14ac:dyDescent="0.2">
      <c r="B47278" t="s">
        <v>8</v>
      </c>
      <c r="C47278" t="s">
        <v>341</v>
      </c>
      <c r="D47278" t="s">
        <v>23652</v>
      </c>
    </row>
    <row r="47280" spans="1:4" x14ac:dyDescent="0.2">
      <c r="A47280" t="s">
        <v>15133</v>
      </c>
      <c r="B47280" t="str">
        <f>HYPERLINK("https://lindat.mff.cuni.cz/services/teitok/pdtc10/index.php?action=vallex&amp;frame=v-w6516f2", "stěhovat (v-w6516f2)")</f>
        <v>stěhovat (v-w6516f2)</v>
      </c>
    </row>
    <row r="47281" spans="1:4" x14ac:dyDescent="0.2">
      <c r="B47281" t="s">
        <v>1</v>
      </c>
    </row>
    <row r="47282" spans="1:4" x14ac:dyDescent="0.2">
      <c r="B47282" t="s">
        <v>8</v>
      </c>
    </row>
    <row r="47284" spans="1:4" x14ac:dyDescent="0.2">
      <c r="A47284" t="s">
        <v>15134</v>
      </c>
      <c r="B47284" t="str">
        <f>HYPERLINK("https://lindat.mff.cuni.cz/services/teitok/pdtc10/index.php?action=vallex&amp;frame=v-w6517f1", "stěhovat se (v-w6517f1)")</f>
        <v>stěhovat se (v-w6517f1)</v>
      </c>
    </row>
    <row r="47285" spans="1:4" x14ac:dyDescent="0.2">
      <c r="B47285" t="s">
        <v>1</v>
      </c>
      <c r="C47285" t="s">
        <v>6181</v>
      </c>
      <c r="D47285" t="s">
        <v>23091</v>
      </c>
    </row>
    <row r="47286" spans="1:4" x14ac:dyDescent="0.2">
      <c r="B47286" t="s">
        <v>90</v>
      </c>
    </row>
    <row r="47288" spans="1:4" x14ac:dyDescent="0.2">
      <c r="A47288" t="s">
        <v>15135</v>
      </c>
      <c r="B47288" t="str">
        <f>HYPERLINK("https://lindat.mff.cuni.cz/services/teitok/pdtc10/index.php?action=vallex&amp;frame=v-w12312_MMf1_MM", "stěsnat (v-w12312_MMf1_MM)")</f>
        <v>stěsnat (v-w12312_MMf1_MM)</v>
      </c>
    </row>
    <row r="47289" spans="1:4" x14ac:dyDescent="0.2">
      <c r="B47289" t="s">
        <v>1</v>
      </c>
    </row>
    <row r="47290" spans="1:4" x14ac:dyDescent="0.2">
      <c r="B47290" t="s">
        <v>8</v>
      </c>
    </row>
    <row r="47291" spans="1:4" x14ac:dyDescent="0.2">
      <c r="B47291" t="s">
        <v>90</v>
      </c>
    </row>
    <row r="47293" spans="1:4" x14ac:dyDescent="0.2">
      <c r="A47293" t="s">
        <v>15136</v>
      </c>
      <c r="B47293" t="str">
        <f>HYPERLINK("https://lindat.mff.cuni.cz/services/teitok/pdtc10/index.php?action=vallex&amp;frame=v-w6521f1", "stěžovat si (v-w6521f1)")</f>
        <v>stěžovat si (v-w6521f1)</v>
      </c>
    </row>
    <row r="47294" spans="1:4" x14ac:dyDescent="0.2">
      <c r="B47294" t="s">
        <v>1</v>
      </c>
      <c r="C47294" t="s">
        <v>2749</v>
      </c>
      <c r="D47294" t="s">
        <v>11295</v>
      </c>
    </row>
    <row r="47295" spans="1:4" x14ac:dyDescent="0.2">
      <c r="B47295" t="s">
        <v>15137</v>
      </c>
      <c r="C47295" t="s">
        <v>3233</v>
      </c>
      <c r="D47295" t="s">
        <v>6560</v>
      </c>
    </row>
    <row r="47296" spans="1:4" x14ac:dyDescent="0.2">
      <c r="B47296" t="s">
        <v>78</v>
      </c>
      <c r="C47296" t="s">
        <v>6645</v>
      </c>
      <c r="D47296" t="s">
        <v>6645</v>
      </c>
    </row>
    <row r="47298" spans="1:4" x14ac:dyDescent="0.2">
      <c r="A47298" t="s">
        <v>15138</v>
      </c>
      <c r="B47298" t="str">
        <f>HYPERLINK("https://lindat.mff.cuni.cz/services/teitok/pdtc10/index.php?action=vallex&amp;frame=v-w6521f2", "stěžovat si (v-w6521f2)")</f>
        <v>stěžovat si (v-w6521f2)</v>
      </c>
    </row>
    <row r="47299" spans="1:4" x14ac:dyDescent="0.2">
      <c r="B47299" t="s">
        <v>1</v>
      </c>
      <c r="C47299" t="s">
        <v>3590</v>
      </c>
      <c r="D47299" t="s">
        <v>11295</v>
      </c>
    </row>
    <row r="47300" spans="1:4" x14ac:dyDescent="0.2">
      <c r="B47300" t="s">
        <v>35</v>
      </c>
      <c r="C47300" t="s">
        <v>6645</v>
      </c>
      <c r="D47300" t="s">
        <v>6645</v>
      </c>
    </row>
    <row r="47301" spans="1:4" x14ac:dyDescent="0.2">
      <c r="B47301" t="s">
        <v>15139</v>
      </c>
      <c r="C47301" t="s">
        <v>15140</v>
      </c>
      <c r="D47301" t="s">
        <v>23882</v>
      </c>
    </row>
    <row r="47302" spans="1:4" x14ac:dyDescent="0.2">
      <c r="B47302" t="s">
        <v>46</v>
      </c>
      <c r="D47302" t="s">
        <v>6560</v>
      </c>
    </row>
    <row r="47304" spans="1:4" x14ac:dyDescent="0.2">
      <c r="A47304" t="s">
        <v>15141</v>
      </c>
      <c r="B47304" t="str">
        <f>HYPERLINK("https://lindat.mff.cuni.cz/services/teitok/pdtc10/index.php?action=vallex&amp;frame=v-w11595_ZUf1_ZU", "stěžovávat si (v-w11595_ZUf1_ZU)")</f>
        <v>stěžovávat si (v-w11595_ZUf1_ZU)</v>
      </c>
    </row>
    <row r="47305" spans="1:4" x14ac:dyDescent="0.2">
      <c r="B47305" t="s">
        <v>1</v>
      </c>
      <c r="D47305" t="s">
        <v>11295</v>
      </c>
    </row>
    <row r="47306" spans="1:4" x14ac:dyDescent="0.2">
      <c r="B47306" t="s">
        <v>15137</v>
      </c>
      <c r="D47306" t="s">
        <v>6560</v>
      </c>
    </row>
    <row r="47307" spans="1:4" x14ac:dyDescent="0.2">
      <c r="B47307" t="s">
        <v>78</v>
      </c>
      <c r="D47307" t="s">
        <v>6645</v>
      </c>
    </row>
    <row r="47309" spans="1:4" x14ac:dyDescent="0.2">
      <c r="A47309" t="s">
        <v>15142</v>
      </c>
      <c r="B47309" t="str">
        <f>HYPERLINK("https://lindat.mff.cuni.cz/services/teitok/pdtc10/index.php?action=vallex&amp;frame=v-w6587f4", "střelit (v-w6587f4)")</f>
        <v>střelit (v-w6587f4)</v>
      </c>
    </row>
    <row r="47310" spans="1:4" x14ac:dyDescent="0.2">
      <c r="B47310" t="s">
        <v>1</v>
      </c>
    </row>
    <row r="47311" spans="1:4" x14ac:dyDescent="0.2">
      <c r="B47311" t="s">
        <v>8</v>
      </c>
    </row>
    <row r="47312" spans="1:4" x14ac:dyDescent="0.2">
      <c r="B47312" t="s">
        <v>78</v>
      </c>
    </row>
    <row r="47314" spans="1:4" x14ac:dyDescent="0.2">
      <c r="A47314" t="s">
        <v>15143</v>
      </c>
      <c r="B47314" t="str">
        <f>HYPERLINK("https://lindat.mff.cuni.cz/services/teitok/pdtc10/index.php?action=vallex&amp;frame=v-w6587f5", "střelit (v-w6587f5)")</f>
        <v>střelit (v-w6587f5)</v>
      </c>
    </row>
    <row r="47315" spans="1:4" x14ac:dyDescent="0.2">
      <c r="B47315" t="s">
        <v>1</v>
      </c>
    </row>
    <row r="47316" spans="1:4" x14ac:dyDescent="0.2">
      <c r="B47316" t="s">
        <v>8</v>
      </c>
    </row>
    <row r="47317" spans="1:4" x14ac:dyDescent="0.2">
      <c r="B47317" t="s">
        <v>90</v>
      </c>
    </row>
    <row r="47319" spans="1:4" x14ac:dyDescent="0.2">
      <c r="A47319" t="s">
        <v>15144</v>
      </c>
      <c r="B47319" t="str">
        <f>HYPERLINK("https://lindat.mff.cuni.cz/services/teitok/pdtc10/index.php?action=vallex&amp;frame=v-w6587f3", "střelit (v-w6587f3)")</f>
        <v>střelit (v-w6587f3)</v>
      </c>
    </row>
    <row r="47320" spans="1:4" x14ac:dyDescent="0.2">
      <c r="B47320" t="s">
        <v>1</v>
      </c>
      <c r="C47320" t="s">
        <v>249</v>
      </c>
      <c r="D47320" t="s">
        <v>11295</v>
      </c>
    </row>
    <row r="47321" spans="1:4" x14ac:dyDescent="0.2">
      <c r="B47321" t="s">
        <v>8</v>
      </c>
      <c r="D47321" t="s">
        <v>13639</v>
      </c>
    </row>
    <row r="47323" spans="1:4" x14ac:dyDescent="0.2">
      <c r="A47323" t="s">
        <v>15145</v>
      </c>
      <c r="B47323" t="str">
        <f>HYPERLINK("https://lindat.mff.cuni.cz/services/teitok/pdtc10/index.php?action=vallex&amp;frame=v-w6587f2", "střelit (v-w6587f2)")</f>
        <v>střelit (v-w6587f2)</v>
      </c>
    </row>
    <row r="47324" spans="1:4" x14ac:dyDescent="0.2">
      <c r="B47324" t="s">
        <v>1</v>
      </c>
      <c r="D47324" t="s">
        <v>133</v>
      </c>
    </row>
    <row r="47325" spans="1:4" x14ac:dyDescent="0.2">
      <c r="B47325" t="s">
        <v>8</v>
      </c>
      <c r="D47325" t="s">
        <v>34</v>
      </c>
    </row>
    <row r="47327" spans="1:4" x14ac:dyDescent="0.2">
      <c r="A47327" t="s">
        <v>15146</v>
      </c>
      <c r="B47327" t="str">
        <f>HYPERLINK("https://lindat.mff.cuni.cz/services/teitok/pdtc10/index.php?action=vallex&amp;frame=v-w6587f1", "střelit (v-w6587f1)")</f>
        <v>střelit (v-w6587f1)</v>
      </c>
    </row>
    <row r="47328" spans="1:4" x14ac:dyDescent="0.2">
      <c r="B47328" t="s">
        <v>1</v>
      </c>
      <c r="C47328" t="s">
        <v>133</v>
      </c>
      <c r="D47328" t="s">
        <v>133</v>
      </c>
    </row>
    <row r="47329" spans="1:4" x14ac:dyDescent="0.2">
      <c r="B47329" t="s">
        <v>220</v>
      </c>
      <c r="C47329" t="s">
        <v>84</v>
      </c>
      <c r="D47329" t="s">
        <v>34</v>
      </c>
    </row>
    <row r="47331" spans="1:4" x14ac:dyDescent="0.2">
      <c r="A47331" t="s">
        <v>15147</v>
      </c>
      <c r="B47331" t="str">
        <f>HYPERLINK("https://lindat.mff.cuni.cz/services/teitok/pdtc10/index.php?action=vallex&amp;frame=v-w6587f6", "střelit (v-w6587f6)")</f>
        <v>střelit (v-w6587f6)</v>
      </c>
    </row>
    <row r="47332" spans="1:4" x14ac:dyDescent="0.2">
      <c r="B47332" t="s">
        <v>1</v>
      </c>
      <c r="C47332" t="s">
        <v>33</v>
      </c>
    </row>
    <row r="47333" spans="1:4" x14ac:dyDescent="0.2">
      <c r="B47333" t="s">
        <v>15148</v>
      </c>
      <c r="C47333" t="s">
        <v>3062</v>
      </c>
    </row>
    <row r="47334" spans="1:4" x14ac:dyDescent="0.2">
      <c r="B47334" t="s">
        <v>1165</v>
      </c>
    </row>
    <row r="47336" spans="1:4" x14ac:dyDescent="0.2">
      <c r="A47336" t="s">
        <v>15149</v>
      </c>
      <c r="B47336" t="str">
        <f>HYPERLINK("https://lindat.mff.cuni.cz/services/teitok/pdtc10/index.php?action=vallex&amp;frame=v-w6591f1", "střetnout (v-w6591f1)")</f>
        <v>střetnout (v-w6591f1)</v>
      </c>
    </row>
    <row r="47337" spans="1:4" x14ac:dyDescent="0.2">
      <c r="B47337" t="s">
        <v>1</v>
      </c>
    </row>
    <row r="47338" spans="1:4" x14ac:dyDescent="0.2">
      <c r="B47338" t="s">
        <v>411</v>
      </c>
    </row>
    <row r="47339" spans="1:4" x14ac:dyDescent="0.2">
      <c r="B47339" t="s">
        <v>1056</v>
      </c>
    </row>
    <row r="47341" spans="1:4" x14ac:dyDescent="0.2">
      <c r="A47341" t="s">
        <v>15150</v>
      </c>
      <c r="B47341" t="str">
        <f>HYPERLINK("https://lindat.mff.cuni.cz/services/teitok/pdtc10/index.php?action=vallex&amp;frame=v-w6591f2", "střetnout (v-w6591f2)")</f>
        <v>střetnout (v-w6591f2)</v>
      </c>
    </row>
    <row r="47342" spans="1:4" x14ac:dyDescent="0.2">
      <c r="B47342" t="s">
        <v>1</v>
      </c>
    </row>
    <row r="47343" spans="1:4" x14ac:dyDescent="0.2">
      <c r="B47343" t="s">
        <v>8</v>
      </c>
    </row>
    <row r="47345" spans="1:4" x14ac:dyDescent="0.2">
      <c r="A47345" t="s">
        <v>15151</v>
      </c>
      <c r="B47345" t="str">
        <f>HYPERLINK("https://lindat.mff.cuni.cz/services/teitok/pdtc10/index.php?action=vallex&amp;frame=v-w6592f1", "střetnout se (v-w6592f1)")</f>
        <v>střetnout se (v-w6592f1)</v>
      </c>
    </row>
    <row r="47346" spans="1:4" x14ac:dyDescent="0.2">
      <c r="B47346" t="s">
        <v>1</v>
      </c>
      <c r="C47346" t="s">
        <v>15152</v>
      </c>
      <c r="D47346" t="s">
        <v>1992</v>
      </c>
    </row>
    <row r="47347" spans="1:4" x14ac:dyDescent="0.2">
      <c r="B47347" t="s">
        <v>153</v>
      </c>
      <c r="C47347" t="s">
        <v>15153</v>
      </c>
      <c r="D47347" t="s">
        <v>22991</v>
      </c>
    </row>
    <row r="47348" spans="1:4" x14ac:dyDescent="0.2">
      <c r="B47348" t="s">
        <v>2287</v>
      </c>
      <c r="C47348" t="s">
        <v>1301</v>
      </c>
      <c r="D47348" t="s">
        <v>22992</v>
      </c>
    </row>
    <row r="47350" spans="1:4" x14ac:dyDescent="0.2">
      <c r="A47350" t="s">
        <v>15154</v>
      </c>
      <c r="B47350" t="str">
        <f>HYPERLINK("https://lindat.mff.cuni.cz/services/teitok/pdtc10/index.php?action=vallex&amp;frame=v-w6592f2_ZU", "střetnout se (v-w6592f2_ZU)")</f>
        <v>střetnout se (v-w6592f2_ZU)</v>
      </c>
    </row>
    <row r="47351" spans="1:4" x14ac:dyDescent="0.2">
      <c r="B47351" t="s">
        <v>1</v>
      </c>
    </row>
    <row r="47352" spans="1:4" x14ac:dyDescent="0.2">
      <c r="B47352" t="s">
        <v>411</v>
      </c>
    </row>
    <row r="47354" spans="1:4" x14ac:dyDescent="0.2">
      <c r="A47354" t="s">
        <v>15155</v>
      </c>
      <c r="B47354" t="str">
        <f>HYPERLINK("https://lindat.mff.cuni.cz/services/teitok/pdtc10/index.php?action=vallex&amp;frame=v-w6589f1", "střetávat (v-w6589f1)")</f>
        <v>střetávat (v-w6589f1)</v>
      </c>
    </row>
    <row r="47355" spans="1:4" x14ac:dyDescent="0.2">
      <c r="B47355" t="s">
        <v>1</v>
      </c>
    </row>
    <row r="47356" spans="1:4" x14ac:dyDescent="0.2">
      <c r="B47356" t="s">
        <v>411</v>
      </c>
    </row>
    <row r="47357" spans="1:4" x14ac:dyDescent="0.2">
      <c r="B47357" t="s">
        <v>1056</v>
      </c>
    </row>
    <row r="47359" spans="1:4" x14ac:dyDescent="0.2">
      <c r="A47359" t="s">
        <v>15156</v>
      </c>
      <c r="B47359" t="str">
        <f>HYPERLINK("https://lindat.mff.cuni.cz/services/teitok/pdtc10/index.php?action=vallex&amp;frame=v-w6589f2", "střetávat (v-w6589f2)")</f>
        <v>střetávat (v-w6589f2)</v>
      </c>
    </row>
    <row r="47360" spans="1:4" x14ac:dyDescent="0.2">
      <c r="B47360" t="s">
        <v>1</v>
      </c>
    </row>
    <row r="47361" spans="1:4" x14ac:dyDescent="0.2">
      <c r="B47361" t="s">
        <v>8</v>
      </c>
    </row>
    <row r="47363" spans="1:4" x14ac:dyDescent="0.2">
      <c r="A47363" t="s">
        <v>15157</v>
      </c>
      <c r="B47363" t="str">
        <f>HYPERLINK("https://lindat.mff.cuni.cz/services/teitok/pdtc10/index.php?action=vallex&amp;frame=v-w6590f1", "střetávat se (v-w6590f1)")</f>
        <v>střetávat se (v-w6590f1)</v>
      </c>
    </row>
    <row r="47364" spans="1:4" x14ac:dyDescent="0.2">
      <c r="B47364" t="s">
        <v>1</v>
      </c>
    </row>
    <row r="47365" spans="1:4" x14ac:dyDescent="0.2">
      <c r="B47365" t="s">
        <v>411</v>
      </c>
    </row>
    <row r="47367" spans="1:4" x14ac:dyDescent="0.2">
      <c r="A47367" t="s">
        <v>15158</v>
      </c>
      <c r="B47367" t="str">
        <f>HYPERLINK("https://lindat.mff.cuni.cz/services/teitok/pdtc10/index.php?action=vallex&amp;frame=v-w6590f2", "střetávat se (v-w6590f2)")</f>
        <v>střetávat se (v-w6590f2)</v>
      </c>
    </row>
    <row r="47368" spans="1:4" x14ac:dyDescent="0.2">
      <c r="B47368" t="s">
        <v>1</v>
      </c>
    </row>
    <row r="47369" spans="1:4" x14ac:dyDescent="0.2">
      <c r="B47369" t="s">
        <v>153</v>
      </c>
    </row>
    <row r="47370" spans="1:4" x14ac:dyDescent="0.2">
      <c r="B47370" t="s">
        <v>2287</v>
      </c>
    </row>
    <row r="47372" spans="1:4" x14ac:dyDescent="0.2">
      <c r="A47372" t="s">
        <v>15159</v>
      </c>
      <c r="B47372" t="str">
        <f>HYPERLINK("https://lindat.mff.cuni.cz/services/teitok/pdtc10/index.php?action=vallex&amp;frame=v-w6595f1", "střežit (v-w6595f1)")</f>
        <v>střežit (v-w6595f1)</v>
      </c>
    </row>
    <row r="47373" spans="1:4" x14ac:dyDescent="0.2">
      <c r="B47373" t="s">
        <v>1</v>
      </c>
      <c r="C47373" t="s">
        <v>430</v>
      </c>
      <c r="D47373" t="s">
        <v>430</v>
      </c>
    </row>
    <row r="47374" spans="1:4" x14ac:dyDescent="0.2">
      <c r="B47374" t="s">
        <v>1693</v>
      </c>
      <c r="C47374" t="s">
        <v>23</v>
      </c>
      <c r="D47374" t="s">
        <v>23</v>
      </c>
    </row>
    <row r="47376" spans="1:4" x14ac:dyDescent="0.2">
      <c r="A47376" t="s">
        <v>15160</v>
      </c>
      <c r="B47376" t="str">
        <f>HYPERLINK("https://lindat.mff.cuni.cz/services/teitok/pdtc10/index.php?action=vallex&amp;frame=v-w11599_ZUf1_ZU", "střihnout si (v-w11599_ZUf1_ZU)")</f>
        <v>střihnout si (v-w11599_ZUf1_ZU)</v>
      </c>
    </row>
    <row r="47377" spans="1:4" x14ac:dyDescent="0.2">
      <c r="B47377" t="s">
        <v>1</v>
      </c>
    </row>
    <row r="47378" spans="1:4" x14ac:dyDescent="0.2">
      <c r="B47378" t="s">
        <v>8</v>
      </c>
    </row>
    <row r="47380" spans="1:4" x14ac:dyDescent="0.2">
      <c r="A47380" t="s">
        <v>15161</v>
      </c>
      <c r="B47380" t="str">
        <f>HYPERLINK("https://lindat.mff.cuni.cz/services/teitok/pdtc10/index.php?action=vallex&amp;frame=v-w6582f1", "střádat (v-w6582f1)")</f>
        <v>střádat (v-w6582f1)</v>
      </c>
    </row>
    <row r="47381" spans="1:4" x14ac:dyDescent="0.2">
      <c r="B47381" t="s">
        <v>1</v>
      </c>
    </row>
    <row r="47382" spans="1:4" x14ac:dyDescent="0.2">
      <c r="B47382" t="s">
        <v>8</v>
      </c>
    </row>
    <row r="47384" spans="1:4" x14ac:dyDescent="0.2">
      <c r="A47384" t="s">
        <v>15162</v>
      </c>
      <c r="B47384" t="str">
        <f>HYPERLINK("https://lindat.mff.cuni.cz/services/teitok/pdtc10/index.php?action=vallex&amp;frame=v-w6598f1", "střídat (v-w6598f1)")</f>
        <v>střídat (v-w6598f1)</v>
      </c>
    </row>
    <row r="47385" spans="1:4" x14ac:dyDescent="0.2">
      <c r="B47385" t="s">
        <v>1</v>
      </c>
      <c r="C47385" t="s">
        <v>15163</v>
      </c>
      <c r="D47385" t="s">
        <v>23505</v>
      </c>
    </row>
    <row r="47386" spans="1:4" x14ac:dyDescent="0.2">
      <c r="B47386" t="s">
        <v>8</v>
      </c>
      <c r="C47386" t="s">
        <v>1721</v>
      </c>
      <c r="D47386" t="s">
        <v>8709</v>
      </c>
    </row>
    <row r="47387" spans="1:4" x14ac:dyDescent="0.2">
      <c r="B47387" t="s">
        <v>15164</v>
      </c>
      <c r="C47387" t="s">
        <v>6965</v>
      </c>
      <c r="D47387" t="s">
        <v>5641</v>
      </c>
    </row>
    <row r="47389" spans="1:4" x14ac:dyDescent="0.2">
      <c r="A47389" t="s">
        <v>15165</v>
      </c>
      <c r="B47389" t="str">
        <f>HYPERLINK("https://lindat.mff.cuni.cz/services/teitok/pdtc10/index.php?action=vallex&amp;frame=v-w6598f2", "střídat (v-w6598f2)")</f>
        <v>střídat (v-w6598f2)</v>
      </c>
    </row>
    <row r="47390" spans="1:4" x14ac:dyDescent="0.2">
      <c r="B47390" t="s">
        <v>1</v>
      </c>
      <c r="C47390" t="s">
        <v>8090</v>
      </c>
      <c r="D47390" t="s">
        <v>23529</v>
      </c>
    </row>
    <row r="47391" spans="1:4" x14ac:dyDescent="0.2">
      <c r="B47391" t="s">
        <v>8</v>
      </c>
      <c r="C47391" t="s">
        <v>15166</v>
      </c>
      <c r="D47391" t="s">
        <v>23530</v>
      </c>
    </row>
    <row r="47393" spans="1:4" x14ac:dyDescent="0.2">
      <c r="A47393" t="s">
        <v>15167</v>
      </c>
      <c r="B47393" t="str">
        <f>HYPERLINK("https://lindat.mff.cuni.cz/services/teitok/pdtc10/index.php?action=vallex&amp;frame=v-w6599f2_ZU", "střídat se (v-w6599f2_ZU)")</f>
        <v>střídat se (v-w6599f2_ZU)</v>
      </c>
    </row>
    <row r="47394" spans="1:4" x14ac:dyDescent="0.2">
      <c r="B47394" t="s">
        <v>1</v>
      </c>
    </row>
    <row r="47395" spans="1:4" x14ac:dyDescent="0.2">
      <c r="B47395" t="s">
        <v>411</v>
      </c>
    </row>
    <row r="47397" spans="1:4" x14ac:dyDescent="0.2">
      <c r="A47397" t="s">
        <v>15167</v>
      </c>
      <c r="B47397" t="str">
        <f>HYPERLINK("https://lindat.mff.cuni.cz/services/teitok/pdtc10/index.php?action=vallex&amp;frame=v-w6599f1", "střídat se (v-w6599f1) - substituted with v-w6599f2_ZU")</f>
        <v>střídat se (v-w6599f1) - substituted with v-w6599f2_ZU</v>
      </c>
    </row>
    <row r="47398" spans="1:4" x14ac:dyDescent="0.2">
      <c r="B47398" t="s">
        <v>1</v>
      </c>
      <c r="C47398" t="s">
        <v>2717</v>
      </c>
    </row>
    <row r="47399" spans="1:4" x14ac:dyDescent="0.2">
      <c r="B47399" t="s">
        <v>411</v>
      </c>
    </row>
    <row r="47401" spans="1:4" x14ac:dyDescent="0.2">
      <c r="A47401" t="s">
        <v>15168</v>
      </c>
      <c r="B47401" t="str">
        <f>HYPERLINK("https://lindat.mff.cuni.cz/services/teitok/pdtc10/index.php?action=vallex&amp;frame=v-w10231f2", "stříhat (v-w10231f2)")</f>
        <v>stříhat (v-w10231f2)</v>
      </c>
    </row>
    <row r="47402" spans="1:4" x14ac:dyDescent="0.2">
      <c r="B47402" t="s">
        <v>1</v>
      </c>
      <c r="C47402" t="s">
        <v>133</v>
      </c>
      <c r="D47402" t="s">
        <v>23432</v>
      </c>
    </row>
    <row r="47403" spans="1:4" x14ac:dyDescent="0.2">
      <c r="B47403" t="s">
        <v>8</v>
      </c>
      <c r="C47403" t="s">
        <v>1128</v>
      </c>
      <c r="D47403" t="s">
        <v>23433</v>
      </c>
    </row>
    <row r="47404" spans="1:4" x14ac:dyDescent="0.2">
      <c r="B47404" t="s">
        <v>4283</v>
      </c>
      <c r="D47404" t="s">
        <v>23434</v>
      </c>
    </row>
    <row r="47406" spans="1:4" x14ac:dyDescent="0.2">
      <c r="A47406" t="s">
        <v>15169</v>
      </c>
      <c r="B47406" t="str">
        <f>HYPERLINK("https://lindat.mff.cuni.cz/services/teitok/pdtc10/index.php?action=vallex&amp;frame=v-w6600f1", "stříkat (v-w6600f1)")</f>
        <v>stříkat (v-w6600f1)</v>
      </c>
    </row>
    <row r="47407" spans="1:4" x14ac:dyDescent="0.2">
      <c r="B47407" t="s">
        <v>1</v>
      </c>
    </row>
    <row r="47408" spans="1:4" x14ac:dyDescent="0.2">
      <c r="B47408" t="s">
        <v>8</v>
      </c>
    </row>
    <row r="47410" spans="1:4" x14ac:dyDescent="0.2">
      <c r="A47410" t="s">
        <v>15170</v>
      </c>
      <c r="B47410" t="str">
        <f>HYPERLINK("https://lindat.mff.cuni.cz/services/teitok/pdtc10/index.php?action=vallex&amp;frame=v-w6600f2", "stříkat (v-w6600f2)")</f>
        <v>stříkat (v-w6600f2)</v>
      </c>
    </row>
    <row r="47412" spans="1:4" x14ac:dyDescent="0.2">
      <c r="A47412" t="s">
        <v>15171</v>
      </c>
      <c r="B47412" t="str">
        <f>HYPERLINK("https://lindat.mff.cuni.cz/services/teitok/pdtc10/index.php?action=vallex&amp;frame=v-w6600f3_ZU", "stříkat (v-w6600f3_ZU)")</f>
        <v>stříkat (v-w6600f3_ZU)</v>
      </c>
    </row>
    <row r="47413" spans="1:4" x14ac:dyDescent="0.2">
      <c r="B47413" t="s">
        <v>1</v>
      </c>
    </row>
    <row r="47414" spans="1:4" x14ac:dyDescent="0.2">
      <c r="B47414" t="s">
        <v>8</v>
      </c>
    </row>
    <row r="47416" spans="1:4" x14ac:dyDescent="0.2">
      <c r="A47416" t="s">
        <v>15172</v>
      </c>
      <c r="B47416" t="str">
        <f>HYPERLINK("https://lindat.mff.cuni.cz/services/teitok/pdtc10/index.php?action=vallex&amp;frame=v-w6600f4_ZU", "stříkat (v-w6600f4_ZU)")</f>
        <v>stříkat (v-w6600f4_ZU)</v>
      </c>
    </row>
    <row r="47417" spans="1:4" x14ac:dyDescent="0.2">
      <c r="B47417" t="s">
        <v>1</v>
      </c>
    </row>
    <row r="47419" spans="1:4" x14ac:dyDescent="0.2">
      <c r="A47419" t="s">
        <v>15173</v>
      </c>
      <c r="B47419" t="str">
        <f>HYPERLINK("https://lindat.mff.cuni.cz/services/teitok/pdtc10/index.php?action=vallex&amp;frame=v-w6602f2", "střílet (v-w6602f2)")</f>
        <v>střílet (v-w6602f2)</v>
      </c>
    </row>
    <row r="47420" spans="1:4" x14ac:dyDescent="0.2">
      <c r="B47420" t="s">
        <v>1</v>
      </c>
      <c r="C47420" t="s">
        <v>249</v>
      </c>
    </row>
    <row r="47421" spans="1:4" x14ac:dyDescent="0.2">
      <c r="B47421" t="s">
        <v>8</v>
      </c>
    </row>
    <row r="47423" spans="1:4" x14ac:dyDescent="0.2">
      <c r="A47423" t="s">
        <v>15174</v>
      </c>
      <c r="B47423" t="str">
        <f>HYPERLINK("https://lindat.mff.cuni.cz/services/teitok/pdtc10/index.php?action=vallex&amp;frame=v-w6602f3", "střílet (v-w6602f3)")</f>
        <v>střílet (v-w6602f3)</v>
      </c>
    </row>
    <row r="47424" spans="1:4" x14ac:dyDescent="0.2">
      <c r="B47424" t="s">
        <v>1</v>
      </c>
      <c r="C47424" t="s">
        <v>140</v>
      </c>
      <c r="D47424" t="s">
        <v>133</v>
      </c>
    </row>
    <row r="47425" spans="1:4" x14ac:dyDescent="0.2">
      <c r="B47425" t="s">
        <v>8</v>
      </c>
      <c r="C47425" t="s">
        <v>113</v>
      </c>
      <c r="D47425" t="s">
        <v>34</v>
      </c>
    </row>
    <row r="47427" spans="1:4" x14ac:dyDescent="0.2">
      <c r="A47427" t="s">
        <v>15175</v>
      </c>
      <c r="B47427" t="str">
        <f>HYPERLINK("https://lindat.mff.cuni.cz/services/teitok/pdtc10/index.php?action=vallex&amp;frame=v-w6602f1", "střílet (v-w6602f1)")</f>
        <v>střílet (v-w6602f1)</v>
      </c>
    </row>
    <row r="47428" spans="1:4" x14ac:dyDescent="0.2">
      <c r="B47428" t="s">
        <v>1</v>
      </c>
      <c r="C47428" t="s">
        <v>22</v>
      </c>
      <c r="D47428" t="s">
        <v>133</v>
      </c>
    </row>
    <row r="47429" spans="1:4" x14ac:dyDescent="0.2">
      <c r="B47429" t="s">
        <v>220</v>
      </c>
      <c r="D47429" t="s">
        <v>34</v>
      </c>
    </row>
    <row r="47431" spans="1:4" x14ac:dyDescent="0.2">
      <c r="A47431" t="s">
        <v>15176</v>
      </c>
      <c r="B47431" t="str">
        <f>HYPERLINK("https://lindat.mff.cuni.cz/services/teitok/pdtc10/index.php?action=vallex&amp;frame=v-w6620f1", "subvencovat (v-w6620f1)")</f>
        <v>subvencovat (v-w6620f1)</v>
      </c>
    </row>
    <row r="47432" spans="1:4" x14ac:dyDescent="0.2">
      <c r="B47432" t="s">
        <v>1</v>
      </c>
      <c r="C47432" t="s">
        <v>430</v>
      </c>
      <c r="D47432" t="s">
        <v>23218</v>
      </c>
    </row>
    <row r="47433" spans="1:4" x14ac:dyDescent="0.2">
      <c r="B47433" t="s">
        <v>8</v>
      </c>
      <c r="C47433" t="s">
        <v>359</v>
      </c>
      <c r="D47433" t="s">
        <v>17729</v>
      </c>
    </row>
    <row r="47435" spans="1:4" x14ac:dyDescent="0.2">
      <c r="A47435" t="s">
        <v>15177</v>
      </c>
      <c r="B47435" t="str">
        <f>HYPERLINK("https://lindat.mff.cuni.cz/services/teitok/pdtc10/index.php?action=vallex&amp;frame=v-w6621f1", "sugerovat (v-w6621f1)")</f>
        <v>sugerovat (v-w6621f1)</v>
      </c>
    </row>
    <row r="47436" spans="1:4" x14ac:dyDescent="0.2">
      <c r="B47436" t="s">
        <v>1</v>
      </c>
    </row>
    <row r="47437" spans="1:4" x14ac:dyDescent="0.2">
      <c r="B47437" t="s">
        <v>124</v>
      </c>
    </row>
    <row r="47438" spans="1:4" x14ac:dyDescent="0.2">
      <c r="B47438" t="s">
        <v>35</v>
      </c>
    </row>
    <row r="47440" spans="1:4" x14ac:dyDescent="0.2">
      <c r="A47440" t="s">
        <v>15178</v>
      </c>
      <c r="B47440" t="str">
        <f>HYPERLINK("https://lindat.mff.cuni.cz/services/teitok/pdtc10/index.php?action=vallex&amp;frame=v-w6622f1", "sumarizovat (v-w6622f1)")</f>
        <v>sumarizovat (v-w6622f1)</v>
      </c>
    </row>
    <row r="47441" spans="1:4" x14ac:dyDescent="0.2">
      <c r="B47441" t="s">
        <v>1</v>
      </c>
      <c r="C47441" t="s">
        <v>1425</v>
      </c>
      <c r="D47441" t="s">
        <v>7439</v>
      </c>
    </row>
    <row r="47442" spans="1:4" x14ac:dyDescent="0.2">
      <c r="B47442" t="s">
        <v>14011</v>
      </c>
      <c r="C47442" t="s">
        <v>991</v>
      </c>
      <c r="D47442" t="s">
        <v>11560</v>
      </c>
    </row>
    <row r="47443" spans="1:4" x14ac:dyDescent="0.2">
      <c r="B47443" t="s">
        <v>2156</v>
      </c>
      <c r="D47443" t="s">
        <v>21999</v>
      </c>
    </row>
    <row r="47445" spans="1:4" x14ac:dyDescent="0.2">
      <c r="A47445" t="s">
        <v>15179</v>
      </c>
      <c r="B47445" t="str">
        <f>HYPERLINK("https://lindat.mff.cuni.cz/services/teitok/pdtc10/index.php?action=vallex&amp;frame=v-w6624f1", "sundat (v-w6624f1)")</f>
        <v>sundat (v-w6624f1)</v>
      </c>
    </row>
    <row r="47446" spans="1:4" x14ac:dyDescent="0.2">
      <c r="B47446" t="s">
        <v>1</v>
      </c>
    </row>
    <row r="47447" spans="1:4" x14ac:dyDescent="0.2">
      <c r="B47447" t="s">
        <v>8</v>
      </c>
    </row>
    <row r="47448" spans="1:4" x14ac:dyDescent="0.2">
      <c r="B47448" t="s">
        <v>333</v>
      </c>
    </row>
    <row r="47450" spans="1:4" x14ac:dyDescent="0.2">
      <c r="A47450" t="s">
        <v>15180</v>
      </c>
      <c r="B47450" t="str">
        <f>HYPERLINK("https://lindat.mff.cuni.cz/services/teitok/pdtc10/index.php?action=vallex&amp;frame=v-w6624f2", "sundat (v-w6624f2)")</f>
        <v>sundat (v-w6624f2)</v>
      </c>
    </row>
    <row r="47451" spans="1:4" x14ac:dyDescent="0.2">
      <c r="B47451" t="s">
        <v>1</v>
      </c>
    </row>
    <row r="47452" spans="1:4" x14ac:dyDescent="0.2">
      <c r="B47452" t="s">
        <v>8</v>
      </c>
    </row>
    <row r="47454" spans="1:4" x14ac:dyDescent="0.2">
      <c r="A47454" t="s">
        <v>15181</v>
      </c>
      <c r="B47454" t="str">
        <f>HYPERLINK("https://lindat.mff.cuni.cz/services/teitok/pdtc10/index.php?action=vallex&amp;frame=v-w6625f1", "sundávat (v-w6625f1)")</f>
        <v>sundávat (v-w6625f1)</v>
      </c>
    </row>
    <row r="47455" spans="1:4" x14ac:dyDescent="0.2">
      <c r="B47455" t="s">
        <v>1</v>
      </c>
    </row>
    <row r="47456" spans="1:4" x14ac:dyDescent="0.2">
      <c r="B47456" t="s">
        <v>8</v>
      </c>
    </row>
    <row r="47458" spans="1:2" x14ac:dyDescent="0.2">
      <c r="A47458" t="s">
        <v>15182</v>
      </c>
      <c r="B47458" t="str">
        <f>HYPERLINK("https://lindat.mff.cuni.cz/services/teitok/pdtc10/index.php?action=vallex&amp;frame=v-w6626f2", "sunout se (v-w6626f2)")</f>
        <v>sunout se (v-w6626f2)</v>
      </c>
    </row>
    <row r="47459" spans="1:2" x14ac:dyDescent="0.2">
      <c r="B47459" t="s">
        <v>1</v>
      </c>
    </row>
    <row r="47460" spans="1:2" x14ac:dyDescent="0.2">
      <c r="B47460" t="s">
        <v>205</v>
      </c>
    </row>
    <row r="47462" spans="1:2" x14ac:dyDescent="0.2">
      <c r="A47462" t="s">
        <v>15183</v>
      </c>
      <c r="B47462" t="str">
        <f>HYPERLINK("https://lindat.mff.cuni.cz/services/teitok/pdtc10/index.php?action=vallex&amp;frame=v-w6626f1", "sunout se (v-w6626f1)")</f>
        <v>sunout se (v-w6626f1)</v>
      </c>
    </row>
    <row r="47463" spans="1:2" x14ac:dyDescent="0.2">
      <c r="B47463" t="s">
        <v>1</v>
      </c>
    </row>
    <row r="47464" spans="1:2" x14ac:dyDescent="0.2">
      <c r="B47464" t="s">
        <v>90</v>
      </c>
    </row>
    <row r="47466" spans="1:2" x14ac:dyDescent="0.2">
      <c r="A47466" t="s">
        <v>15184</v>
      </c>
      <c r="B47466" t="str">
        <f>HYPERLINK("https://lindat.mff.cuni.cz/services/teitok/pdtc10/index.php?action=vallex&amp;frame=v-w10750f2", "supervidovat (v-w10750f2)")</f>
        <v>supervidovat (v-w10750f2)</v>
      </c>
    </row>
    <row r="47467" spans="1:2" x14ac:dyDescent="0.2">
      <c r="B47467" t="s">
        <v>1</v>
      </c>
    </row>
    <row r="47468" spans="1:2" x14ac:dyDescent="0.2">
      <c r="B47468" t="s">
        <v>8</v>
      </c>
    </row>
    <row r="47470" spans="1:2" x14ac:dyDescent="0.2">
      <c r="A47470" t="s">
        <v>15185</v>
      </c>
      <c r="B47470" t="str">
        <f>HYPERLINK("https://lindat.mff.cuni.cz/services/teitok/pdtc10/index.php?action=vallex&amp;frame=v-whsa_488f1_ZU", "suplovat (v-whsa_488f1_ZU)")</f>
        <v>suplovat (v-whsa_488f1_ZU)</v>
      </c>
    </row>
    <row r="47471" spans="1:2" x14ac:dyDescent="0.2">
      <c r="B47471" t="s">
        <v>1</v>
      </c>
    </row>
    <row r="47472" spans="1:2" x14ac:dyDescent="0.2">
      <c r="B47472" t="s">
        <v>8</v>
      </c>
    </row>
    <row r="47473" spans="1:2" x14ac:dyDescent="0.2">
      <c r="B47473" t="s">
        <v>413</v>
      </c>
    </row>
    <row r="47475" spans="1:2" x14ac:dyDescent="0.2">
      <c r="A47475" t="s">
        <v>15185</v>
      </c>
      <c r="B47475" t="str">
        <f>HYPERLINK("https://lindat.mff.cuni.cz/services/teitok/pdtc10/index.php?action=vallex&amp;frame=v-whsa_488hsa_489", "suplovat (v-whsa_488hsa_489) - substituted with v-whsa_488f1_ZU")</f>
        <v>suplovat (v-whsa_488hsa_489) - substituted with v-whsa_488f1_ZU</v>
      </c>
    </row>
    <row r="47476" spans="1:2" x14ac:dyDescent="0.2">
      <c r="B47476" t="s">
        <v>1</v>
      </c>
    </row>
    <row r="47477" spans="1:2" x14ac:dyDescent="0.2">
      <c r="B47477" t="s">
        <v>8</v>
      </c>
    </row>
    <row r="47478" spans="1:2" x14ac:dyDescent="0.2">
      <c r="B47478" t="s">
        <v>413</v>
      </c>
    </row>
    <row r="47480" spans="1:2" x14ac:dyDescent="0.2">
      <c r="A47480" t="s">
        <v>15186</v>
      </c>
      <c r="B47480" t="str">
        <f>HYPERLINK("https://lindat.mff.cuni.cz/services/teitok/pdtc10/index.php?action=vallex&amp;frame=v-whsa_488f2_ZU", "suplovat (v-whsa_488f2_ZU)")</f>
        <v>suplovat (v-whsa_488f2_ZU)</v>
      </c>
    </row>
    <row r="47481" spans="1:2" x14ac:dyDescent="0.2">
      <c r="B47481" t="s">
        <v>1</v>
      </c>
    </row>
    <row r="47482" spans="1:2" x14ac:dyDescent="0.2">
      <c r="B47482" t="s">
        <v>8</v>
      </c>
    </row>
    <row r="47484" spans="1:2" x14ac:dyDescent="0.2">
      <c r="A47484" t="s">
        <v>15187</v>
      </c>
      <c r="B47484" t="str">
        <f>HYPERLINK("https://lindat.mff.cuni.cz/services/teitok/pdtc10/index.php?action=vallex&amp;frame=v-w6628f1", "surfovat (v-w6628f1)")</f>
        <v>surfovat (v-w6628f1)</v>
      </c>
    </row>
    <row r="47485" spans="1:2" x14ac:dyDescent="0.2">
      <c r="B47485" t="s">
        <v>1</v>
      </c>
    </row>
    <row r="47487" spans="1:2" x14ac:dyDescent="0.2">
      <c r="A47487" t="s">
        <v>15188</v>
      </c>
      <c r="B47487" t="str">
        <f>HYPERLINK("https://lindat.mff.cuni.cz/services/teitok/pdtc10/index.php?action=vallex&amp;frame=v-w6628f2_ZU", "surfovat (v-w6628f2_ZU)")</f>
        <v>surfovat (v-w6628f2_ZU)</v>
      </c>
    </row>
    <row r="47488" spans="1:2" x14ac:dyDescent="0.2">
      <c r="B47488" t="s">
        <v>1</v>
      </c>
    </row>
    <row r="47490" spans="1:4" x14ac:dyDescent="0.2">
      <c r="A47490" t="s">
        <v>15189</v>
      </c>
      <c r="B47490" t="str">
        <f>HYPERLINK("https://lindat.mff.cuni.cz/services/teitok/pdtc10/index.php?action=vallex&amp;frame=v-w6629f1", "suspendovat (v-w6629f1)")</f>
        <v>suspendovat (v-w6629f1)</v>
      </c>
    </row>
    <row r="47491" spans="1:4" x14ac:dyDescent="0.2">
      <c r="B47491" t="s">
        <v>1</v>
      </c>
    </row>
    <row r="47492" spans="1:4" x14ac:dyDescent="0.2">
      <c r="B47492" t="s">
        <v>8</v>
      </c>
    </row>
    <row r="47494" spans="1:4" x14ac:dyDescent="0.2">
      <c r="A47494" t="s">
        <v>15190</v>
      </c>
      <c r="B47494" t="str">
        <f>HYPERLINK("https://lindat.mff.cuni.cz/services/teitok/pdtc10/index.php?action=vallex&amp;frame=v-whsa_819hsa_820", "sušit (v-whsa_819hsa_820)")</f>
        <v>sušit (v-whsa_819hsa_820)</v>
      </c>
    </row>
    <row r="47495" spans="1:4" x14ac:dyDescent="0.2">
      <c r="B47495" t="s">
        <v>1</v>
      </c>
    </row>
    <row r="47496" spans="1:4" x14ac:dyDescent="0.2">
      <c r="B47496" t="s">
        <v>8</v>
      </c>
    </row>
    <row r="47498" spans="1:4" x14ac:dyDescent="0.2">
      <c r="A47498" t="s">
        <v>15191</v>
      </c>
      <c r="B47498" t="str">
        <f>HYPERLINK("https://lindat.mff.cuni.cz/services/teitok/pdtc10/index.php?action=vallex&amp;frame=v-w6632f1", "sužovat (v-w6632f1)")</f>
        <v>sužovat (v-w6632f1)</v>
      </c>
    </row>
    <row r="47499" spans="1:4" x14ac:dyDescent="0.2">
      <c r="B47499" t="s">
        <v>1</v>
      </c>
      <c r="C47499" t="s">
        <v>1065</v>
      </c>
      <c r="D47499" t="s">
        <v>24222</v>
      </c>
    </row>
    <row r="47500" spans="1:4" x14ac:dyDescent="0.2">
      <c r="B47500" t="s">
        <v>8</v>
      </c>
      <c r="C47500" t="s">
        <v>1510</v>
      </c>
      <c r="D47500" t="s">
        <v>5975</v>
      </c>
    </row>
    <row r="47502" spans="1:4" x14ac:dyDescent="0.2">
      <c r="A47502" t="s">
        <v>15192</v>
      </c>
      <c r="B47502" t="str">
        <f>HYPERLINK("https://lindat.mff.cuni.cz/services/teitok/pdtc10/index.php?action=vallex&amp;frame=v-w11220f3", "svalit (v-w11220f3)")</f>
        <v>svalit (v-w11220f3)</v>
      </c>
    </row>
    <row r="47503" spans="1:4" x14ac:dyDescent="0.2">
      <c r="B47503" t="s">
        <v>1</v>
      </c>
    </row>
    <row r="47504" spans="1:4" x14ac:dyDescent="0.2">
      <c r="B47504" t="s">
        <v>8</v>
      </c>
    </row>
    <row r="47505" spans="1:4" x14ac:dyDescent="0.2">
      <c r="B47505" t="s">
        <v>88</v>
      </c>
    </row>
    <row r="47507" spans="1:4" x14ac:dyDescent="0.2">
      <c r="A47507" t="s">
        <v>15193</v>
      </c>
      <c r="B47507" t="str">
        <f>HYPERLINK("https://lindat.mff.cuni.cz/services/teitok/pdtc10/index.php?action=vallex&amp;frame=v-w11501f1", "svalit se (v-w11501f1)")</f>
        <v>svalit se (v-w11501f1)</v>
      </c>
    </row>
    <row r="47508" spans="1:4" x14ac:dyDescent="0.2">
      <c r="B47508" t="s">
        <v>1</v>
      </c>
    </row>
    <row r="47509" spans="1:4" x14ac:dyDescent="0.2">
      <c r="B47509" t="s">
        <v>90</v>
      </c>
    </row>
    <row r="47511" spans="1:4" x14ac:dyDescent="0.2">
      <c r="A47511" t="s">
        <v>15194</v>
      </c>
      <c r="B47511" t="str">
        <f>HYPERLINK("https://lindat.mff.cuni.cz/services/teitok/pdtc10/index.php?action=vallex&amp;frame=v-w11223f2", "svalovat (v-w11223f2)")</f>
        <v>svalovat (v-w11223f2)</v>
      </c>
    </row>
    <row r="47512" spans="1:4" x14ac:dyDescent="0.2">
      <c r="B47512" t="s">
        <v>1</v>
      </c>
      <c r="C47512" t="s">
        <v>15195</v>
      </c>
      <c r="D47512" t="s">
        <v>24223</v>
      </c>
    </row>
    <row r="47513" spans="1:4" x14ac:dyDescent="0.2">
      <c r="B47513" t="s">
        <v>8</v>
      </c>
      <c r="C47513" t="s">
        <v>15196</v>
      </c>
      <c r="D47513" t="s">
        <v>24224</v>
      </c>
    </row>
    <row r="47514" spans="1:4" x14ac:dyDescent="0.2">
      <c r="B47514" t="s">
        <v>88</v>
      </c>
      <c r="C47514" t="s">
        <v>15197</v>
      </c>
      <c r="D47514" t="s">
        <v>24225</v>
      </c>
    </row>
    <row r="47516" spans="1:4" x14ac:dyDescent="0.2">
      <c r="A47516" t="s">
        <v>15198</v>
      </c>
      <c r="B47516" t="str">
        <f>HYPERLINK("https://lindat.mff.cuni.cz/services/teitok/pdtc10/index.php?action=vallex&amp;frame=v-w6642f1", "svatořečit (v-w6642f1)")</f>
        <v>svatořečit (v-w6642f1)</v>
      </c>
    </row>
    <row r="47517" spans="1:4" x14ac:dyDescent="0.2">
      <c r="B47517" t="s">
        <v>1</v>
      </c>
      <c r="D47517" t="s">
        <v>2239</v>
      </c>
    </row>
    <row r="47518" spans="1:4" x14ac:dyDescent="0.2">
      <c r="B47518" t="s">
        <v>8</v>
      </c>
      <c r="D47518" t="s">
        <v>110</v>
      </c>
    </row>
    <row r="47520" spans="1:4" x14ac:dyDescent="0.2">
      <c r="A47520" t="s">
        <v>15199</v>
      </c>
      <c r="B47520" t="str">
        <f>HYPERLINK("https://lindat.mff.cuni.cz/services/teitok/pdtc10/index.php?action=vallex&amp;frame=v-w6647f1", "svazovat (v-w6647f1)")</f>
        <v>svazovat (v-w6647f1)</v>
      </c>
    </row>
    <row r="47521" spans="1:4" x14ac:dyDescent="0.2">
      <c r="B47521" t="s">
        <v>1</v>
      </c>
      <c r="D47521" t="s">
        <v>3542</v>
      </c>
    </row>
    <row r="47522" spans="1:4" x14ac:dyDescent="0.2">
      <c r="B47522" t="s">
        <v>8</v>
      </c>
      <c r="D47522" t="s">
        <v>23927</v>
      </c>
    </row>
    <row r="47523" spans="1:4" x14ac:dyDescent="0.2">
      <c r="B47523" t="s">
        <v>153</v>
      </c>
      <c r="D47523" t="s">
        <v>23958</v>
      </c>
    </row>
    <row r="47525" spans="1:4" x14ac:dyDescent="0.2">
      <c r="A47525" t="s">
        <v>15200</v>
      </c>
      <c r="B47525" t="str">
        <f>HYPERLINK("https://lindat.mff.cuni.cz/services/teitok/pdtc10/index.php?action=vallex&amp;frame=v-w6647f2", "svazovat (v-w6647f2)")</f>
        <v>svazovat (v-w6647f2)</v>
      </c>
    </row>
    <row r="47526" spans="1:4" x14ac:dyDescent="0.2">
      <c r="B47526" t="s">
        <v>1</v>
      </c>
      <c r="C47526" t="s">
        <v>80</v>
      </c>
    </row>
    <row r="47527" spans="1:4" x14ac:dyDescent="0.2">
      <c r="B47527" t="s">
        <v>8</v>
      </c>
      <c r="C47527" t="s">
        <v>354</v>
      </c>
    </row>
    <row r="47529" spans="1:4" x14ac:dyDescent="0.2">
      <c r="A47529" t="s">
        <v>15201</v>
      </c>
      <c r="B47529" t="str">
        <f>HYPERLINK("https://lindat.mff.cuni.cz/services/teitok/pdtc10/index.php?action=vallex&amp;frame=v-w6647f3_ZU", "svazovat (v-w6647f3_ZU)")</f>
        <v>svazovat (v-w6647f3_ZU)</v>
      </c>
    </row>
    <row r="47530" spans="1:4" x14ac:dyDescent="0.2">
      <c r="B47530" t="s">
        <v>1</v>
      </c>
    </row>
    <row r="47531" spans="1:4" x14ac:dyDescent="0.2">
      <c r="B47531" t="s">
        <v>8</v>
      </c>
    </row>
    <row r="47532" spans="1:4" x14ac:dyDescent="0.2">
      <c r="B47532" t="s">
        <v>24</v>
      </c>
    </row>
    <row r="47533" spans="1:4" x14ac:dyDescent="0.2">
      <c r="B47533" t="s">
        <v>130</v>
      </c>
    </row>
    <row r="47535" spans="1:4" x14ac:dyDescent="0.2">
      <c r="A47535" t="s">
        <v>15201</v>
      </c>
      <c r="B47535" t="str">
        <f>HYPERLINK("https://lindat.mff.cuni.cz/services/teitok/pdtc10/index.php?action=vallex&amp;frame=v-w6647hsa_1824", "svazovat (v-w6647hsa_1824) - substituted with v-w6647f3_ZU")</f>
        <v>svazovat (v-w6647hsa_1824) - substituted with v-w6647f3_ZU</v>
      </c>
    </row>
    <row r="47536" spans="1:4" x14ac:dyDescent="0.2">
      <c r="B47536" t="s">
        <v>1</v>
      </c>
    </row>
    <row r="47537" spans="1:2" x14ac:dyDescent="0.2">
      <c r="B47537" t="s">
        <v>8</v>
      </c>
    </row>
    <row r="47538" spans="1:2" x14ac:dyDescent="0.2">
      <c r="B47538" t="s">
        <v>24</v>
      </c>
    </row>
    <row r="47539" spans="1:2" x14ac:dyDescent="0.2">
      <c r="B47539" t="s">
        <v>130</v>
      </c>
    </row>
    <row r="47541" spans="1:2" x14ac:dyDescent="0.2">
      <c r="A47541" t="s">
        <v>15202</v>
      </c>
      <c r="B47541" t="str">
        <f>HYPERLINK("https://lindat.mff.cuni.cz/services/teitok/pdtc10/index.php?action=vallex&amp;frame=v-w11882_ZUf1_ZU", "svačit (v-w11882_ZUf1_ZU)")</f>
        <v>svačit (v-w11882_ZUf1_ZU)</v>
      </c>
    </row>
    <row r="47542" spans="1:2" x14ac:dyDescent="0.2">
      <c r="B47542" t="s">
        <v>1</v>
      </c>
    </row>
    <row r="47543" spans="1:2" x14ac:dyDescent="0.2">
      <c r="B47543" t="s">
        <v>8</v>
      </c>
    </row>
    <row r="47545" spans="1:2" x14ac:dyDescent="0.2">
      <c r="A47545" t="s">
        <v>15203</v>
      </c>
      <c r="B47545" t="str">
        <f>HYPERLINK("https://lindat.mff.cuni.cz/services/teitok/pdtc10/index.php?action=vallex&amp;frame=v-whsa_1909f1_ZU", "svařit (v-whsa_1909f1_ZU)")</f>
        <v>svařit (v-whsa_1909f1_ZU)</v>
      </c>
    </row>
    <row r="47546" spans="1:2" x14ac:dyDescent="0.2">
      <c r="B47546" t="s">
        <v>1</v>
      </c>
    </row>
    <row r="47547" spans="1:2" x14ac:dyDescent="0.2">
      <c r="B47547" t="s">
        <v>8</v>
      </c>
    </row>
    <row r="47549" spans="1:2" x14ac:dyDescent="0.2">
      <c r="A47549" t="s">
        <v>15203</v>
      </c>
      <c r="B47549" t="str">
        <f>HYPERLINK("https://lindat.mff.cuni.cz/services/teitok/pdtc10/index.php?action=vallex&amp;frame=v-whsa_1909hsa_1910", "svařit (v-whsa_1909hsa_1910) - substituted with v-whsa_1909f1_ZU")</f>
        <v>svařit (v-whsa_1909hsa_1910) - substituted with v-whsa_1909f1_ZU</v>
      </c>
    </row>
    <row r="47550" spans="1:2" x14ac:dyDescent="0.2">
      <c r="B47550" t="s">
        <v>1</v>
      </c>
    </row>
    <row r="47551" spans="1:2" x14ac:dyDescent="0.2">
      <c r="B47551" t="s">
        <v>8</v>
      </c>
    </row>
    <row r="47553" spans="1:2" x14ac:dyDescent="0.2">
      <c r="A47553" t="s">
        <v>15204</v>
      </c>
      <c r="B47553" t="str">
        <f>HYPERLINK("https://lindat.mff.cuni.cz/services/teitok/pdtc10/index.php?action=vallex&amp;frame=v-w6639f1", "svařovat (v-w6639f1)")</f>
        <v>svařovat (v-w6639f1)</v>
      </c>
    </row>
    <row r="47554" spans="1:2" x14ac:dyDescent="0.2">
      <c r="B47554" t="s">
        <v>1</v>
      </c>
    </row>
    <row r="47555" spans="1:2" x14ac:dyDescent="0.2">
      <c r="B47555" t="s">
        <v>8</v>
      </c>
    </row>
    <row r="47557" spans="1:2" x14ac:dyDescent="0.2">
      <c r="A47557" t="s">
        <v>15205</v>
      </c>
      <c r="B47557" t="str">
        <f>HYPERLINK("https://lindat.mff.cuni.cz/services/teitok/pdtc10/index.php?action=vallex&amp;frame=v-w6650f1", "svažovat se (v-w6650f1)")</f>
        <v>svažovat se (v-w6650f1)</v>
      </c>
    </row>
    <row r="47558" spans="1:2" x14ac:dyDescent="0.2">
      <c r="B47558" t="s">
        <v>1</v>
      </c>
    </row>
    <row r="47559" spans="1:2" x14ac:dyDescent="0.2">
      <c r="B47559" t="s">
        <v>90</v>
      </c>
    </row>
    <row r="47561" spans="1:2" x14ac:dyDescent="0.2">
      <c r="A47561" t="s">
        <v>15206</v>
      </c>
      <c r="B47561" t="str">
        <f>HYPERLINK("https://lindat.mff.cuni.cz/services/teitok/pdtc10/index.php?action=vallex&amp;frame=v-w6671f2", "svitnout (v-w6671f2)")</f>
        <v>svitnout (v-w6671f2)</v>
      </c>
    </row>
    <row r="47562" spans="1:2" x14ac:dyDescent="0.2">
      <c r="B47562" t="s">
        <v>455</v>
      </c>
    </row>
    <row r="47563" spans="1:2" x14ac:dyDescent="0.2">
      <c r="B47563" t="s">
        <v>1426</v>
      </c>
    </row>
    <row r="47565" spans="1:2" x14ac:dyDescent="0.2">
      <c r="A47565" t="s">
        <v>15207</v>
      </c>
      <c r="B47565" t="str">
        <f>HYPERLINK("https://lindat.mff.cuni.cz/services/teitok/pdtc10/index.php?action=vallex&amp;frame=v-w6671f1", "svitnout (v-w6671f1)")</f>
        <v>svitnout (v-w6671f1)</v>
      </c>
    </row>
    <row r="47566" spans="1:2" x14ac:dyDescent="0.2">
      <c r="B47566" t="s">
        <v>1</v>
      </c>
    </row>
    <row r="47568" spans="1:2" x14ac:dyDescent="0.2">
      <c r="A47568" t="s">
        <v>15208</v>
      </c>
      <c r="B47568" t="str">
        <f>HYPERLINK("https://lindat.mff.cuni.cz/services/teitok/pdtc10/index.php?action=vallex&amp;frame=v-w6668f1", "svištět (v-w6668f1)")</f>
        <v>svištět (v-w6668f1)</v>
      </c>
    </row>
    <row r="47569" spans="1:4" x14ac:dyDescent="0.2">
      <c r="B47569" t="s">
        <v>1</v>
      </c>
      <c r="C47569" t="s">
        <v>33</v>
      </c>
      <c r="D47569" t="s">
        <v>553</v>
      </c>
    </row>
    <row r="47571" spans="1:4" x14ac:dyDescent="0.2">
      <c r="A47571" t="s">
        <v>15209</v>
      </c>
      <c r="B47571" t="str">
        <f>HYPERLINK("https://lindat.mff.cuni.cz/services/teitok/pdtc10/index.php?action=vallex&amp;frame=v-w6668hsa_1072", "svištět (v-w6668hsa_1072)")</f>
        <v>svištět (v-w6668hsa_1072)</v>
      </c>
    </row>
    <row r="47572" spans="1:4" x14ac:dyDescent="0.2">
      <c r="B47572" t="s">
        <v>1</v>
      </c>
    </row>
    <row r="47574" spans="1:4" x14ac:dyDescent="0.2">
      <c r="A47574" t="s">
        <v>15210</v>
      </c>
      <c r="B47574" t="str">
        <f>HYPERLINK("https://lindat.mff.cuni.cz/services/teitok/pdtc10/index.php?action=vallex&amp;frame=v-w6672f1", "svlékat (v-w6672f1)")</f>
        <v>svlékat (v-w6672f1)</v>
      </c>
    </row>
    <row r="47575" spans="1:4" x14ac:dyDescent="0.2">
      <c r="B47575" t="s">
        <v>1</v>
      </c>
    </row>
    <row r="47576" spans="1:4" x14ac:dyDescent="0.2">
      <c r="B47576" t="s">
        <v>8</v>
      </c>
    </row>
    <row r="47578" spans="1:4" x14ac:dyDescent="0.2">
      <c r="A47578" t="s">
        <v>15211</v>
      </c>
      <c r="B47578" t="str">
        <f>HYPERLINK("https://lindat.mff.cuni.cz/services/teitok/pdtc10/index.php?action=vallex&amp;frame=v-w6672f3", "svlékat (v-w6672f3)")</f>
        <v>svlékat (v-w6672f3)</v>
      </c>
    </row>
    <row r="47579" spans="1:4" x14ac:dyDescent="0.2">
      <c r="B47579" t="s">
        <v>1</v>
      </c>
      <c r="C47579" t="s">
        <v>2409</v>
      </c>
    </row>
    <row r="47580" spans="1:4" x14ac:dyDescent="0.2">
      <c r="B47580" t="s">
        <v>8</v>
      </c>
      <c r="C47580" t="s">
        <v>969</v>
      </c>
    </row>
    <row r="47582" spans="1:4" x14ac:dyDescent="0.2">
      <c r="A47582" t="s">
        <v>15212</v>
      </c>
      <c r="B47582" t="str">
        <f>HYPERLINK("https://lindat.mff.cuni.cz/services/teitok/pdtc10/index.php?action=vallex&amp;frame=v-w6673f3_ZU", "svléknout (v-w6673f3_ZU)")</f>
        <v>svléknout (v-w6673f3_ZU)</v>
      </c>
    </row>
    <row r="47583" spans="1:4" x14ac:dyDescent="0.2">
      <c r="B47583" t="s">
        <v>1</v>
      </c>
    </row>
    <row r="47584" spans="1:4" x14ac:dyDescent="0.2">
      <c r="B47584" t="s">
        <v>8</v>
      </c>
    </row>
    <row r="47586" spans="1:2" x14ac:dyDescent="0.2">
      <c r="A47586" t="s">
        <v>15212</v>
      </c>
      <c r="B47586" t="str">
        <f>HYPERLINK("https://lindat.mff.cuni.cz/services/teitok/pdtc10/index.php?action=vallex&amp;frame=v-w6673f1", "svléknout (v-w6673f1) - substituted with v-w6673f3_ZU")</f>
        <v>svléknout (v-w6673f1) - substituted with v-w6673f3_ZU</v>
      </c>
    </row>
    <row r="47587" spans="1:2" x14ac:dyDescent="0.2">
      <c r="B47587" t="s">
        <v>1</v>
      </c>
    </row>
    <row r="47588" spans="1:2" x14ac:dyDescent="0.2">
      <c r="B47588" t="s">
        <v>8</v>
      </c>
    </row>
    <row r="47590" spans="1:2" x14ac:dyDescent="0.2">
      <c r="A47590" t="s">
        <v>15212</v>
      </c>
      <c r="B47590" t="str">
        <f>HYPERLINK("https://lindat.mff.cuni.cz/services/teitok/pdtc10/index.php?action=vallex&amp;frame=v-w6673f2", "svléknout (v-w6673f2) - substituted with v-w6673f3_ZU")</f>
        <v>svléknout (v-w6673f2) - substituted with v-w6673f3_ZU</v>
      </c>
    </row>
    <row r="47591" spans="1:2" x14ac:dyDescent="0.2">
      <c r="B47591" t="s">
        <v>1</v>
      </c>
    </row>
    <row r="47592" spans="1:2" x14ac:dyDescent="0.2">
      <c r="B47592" t="s">
        <v>8</v>
      </c>
    </row>
    <row r="47594" spans="1:2" x14ac:dyDescent="0.2">
      <c r="A47594" t="s">
        <v>15213</v>
      </c>
      <c r="B47594" t="str">
        <f>HYPERLINK("https://lindat.mff.cuni.cz/services/teitok/pdtc10/index.php?action=vallex&amp;frame=v-w6673f4_ZU", "svléknout (v-w6673f4_ZU)")</f>
        <v>svléknout (v-w6673f4_ZU)</v>
      </c>
    </row>
    <row r="47595" spans="1:2" x14ac:dyDescent="0.2">
      <c r="B47595" t="s">
        <v>1</v>
      </c>
    </row>
    <row r="47596" spans="1:2" x14ac:dyDescent="0.2">
      <c r="B47596" t="s">
        <v>8</v>
      </c>
    </row>
    <row r="47597" spans="1:2" x14ac:dyDescent="0.2">
      <c r="B47597" t="s">
        <v>130</v>
      </c>
    </row>
    <row r="47599" spans="1:2" x14ac:dyDescent="0.2">
      <c r="A47599" t="s">
        <v>15214</v>
      </c>
      <c r="B47599" t="str">
        <f>HYPERLINK("https://lindat.mff.cuni.cz/services/teitok/pdtc10/index.php?action=vallex&amp;frame=v-whsb_1251hsa_1252", "svlíkat se (v-whsb_1251hsa_1252)")</f>
        <v>svlíkat se (v-whsb_1251hsa_1252)</v>
      </c>
    </row>
    <row r="47600" spans="1:2" x14ac:dyDescent="0.2">
      <c r="B47600" t="s">
        <v>1</v>
      </c>
    </row>
    <row r="47601" spans="1:4" x14ac:dyDescent="0.2">
      <c r="B47601" t="s">
        <v>3202</v>
      </c>
    </row>
    <row r="47603" spans="1:4" x14ac:dyDescent="0.2">
      <c r="A47603" t="s">
        <v>15215</v>
      </c>
      <c r="B47603" t="str">
        <f>HYPERLINK("https://lindat.mff.cuni.cz/services/teitok/pdtc10/index.php?action=vallex&amp;frame=v-w6677f1", "svolat (v-w6677f1)")</f>
        <v>svolat (v-w6677f1)</v>
      </c>
    </row>
    <row r="47604" spans="1:4" x14ac:dyDescent="0.2">
      <c r="B47604" t="s">
        <v>1</v>
      </c>
      <c r="C47604" t="s">
        <v>96</v>
      </c>
      <c r="D47604" t="s">
        <v>22080</v>
      </c>
    </row>
    <row r="47605" spans="1:4" x14ac:dyDescent="0.2">
      <c r="B47605" t="s">
        <v>8</v>
      </c>
      <c r="C47605" t="s">
        <v>15216</v>
      </c>
      <c r="D47605" t="s">
        <v>21012</v>
      </c>
    </row>
    <row r="47607" spans="1:4" x14ac:dyDescent="0.2">
      <c r="A47607" t="s">
        <v>15217</v>
      </c>
      <c r="B47607" t="str">
        <f>HYPERLINK("https://lindat.mff.cuni.cz/services/teitok/pdtc10/index.php?action=vallex&amp;frame=v-w6679f1", "svolit (v-w6679f1)")</f>
        <v>svolit (v-w6679f1)</v>
      </c>
    </row>
    <row r="47608" spans="1:4" x14ac:dyDescent="0.2">
      <c r="B47608" t="s">
        <v>1</v>
      </c>
    </row>
    <row r="47609" spans="1:4" x14ac:dyDescent="0.2">
      <c r="B47609" t="s">
        <v>7943</v>
      </c>
    </row>
    <row r="47611" spans="1:4" x14ac:dyDescent="0.2">
      <c r="A47611" t="s">
        <v>15218</v>
      </c>
      <c r="B47611" t="str">
        <f>HYPERLINK("https://lindat.mff.cuni.cz/services/teitok/pdtc10/index.php?action=vallex&amp;frame=v-w10320f2", "svolovat (v-w10320f2)")</f>
        <v>svolovat (v-w10320f2)</v>
      </c>
    </row>
    <row r="47612" spans="1:4" x14ac:dyDescent="0.2">
      <c r="B47612" t="s">
        <v>1</v>
      </c>
    </row>
    <row r="47613" spans="1:4" x14ac:dyDescent="0.2">
      <c r="B47613" t="s">
        <v>7943</v>
      </c>
    </row>
    <row r="47615" spans="1:4" x14ac:dyDescent="0.2">
      <c r="A47615" t="s">
        <v>15219</v>
      </c>
      <c r="B47615" t="str">
        <f>HYPERLINK("https://lindat.mff.cuni.cz/services/teitok/pdtc10/index.php?action=vallex&amp;frame=v-w6678f1", "svolávat (v-w6678f1)")</f>
        <v>svolávat (v-w6678f1)</v>
      </c>
    </row>
    <row r="47616" spans="1:4" x14ac:dyDescent="0.2">
      <c r="B47616" t="s">
        <v>1</v>
      </c>
      <c r="D47616" t="s">
        <v>22080</v>
      </c>
    </row>
    <row r="47617" spans="1:4" x14ac:dyDescent="0.2">
      <c r="B47617" t="s">
        <v>8</v>
      </c>
      <c r="D47617" t="s">
        <v>21012</v>
      </c>
    </row>
    <row r="47619" spans="1:4" x14ac:dyDescent="0.2">
      <c r="A47619" t="s">
        <v>15220</v>
      </c>
      <c r="B47619" t="str">
        <f>HYPERLINK("https://lindat.mff.cuni.cz/services/teitok/pdtc10/index.php?action=vallex&amp;frame=v-w6678f2", "svolávat (v-w6678f2)")</f>
        <v>svolávat (v-w6678f2)</v>
      </c>
    </row>
    <row r="47620" spans="1:4" x14ac:dyDescent="0.2">
      <c r="B47620" t="s">
        <v>1</v>
      </c>
      <c r="D47620" t="s">
        <v>370</v>
      </c>
    </row>
    <row r="47621" spans="1:4" x14ac:dyDescent="0.2">
      <c r="B47621" t="s">
        <v>8</v>
      </c>
      <c r="D47621" t="s">
        <v>969</v>
      </c>
    </row>
    <row r="47623" spans="1:4" x14ac:dyDescent="0.2">
      <c r="A47623" t="s">
        <v>15221</v>
      </c>
      <c r="B47623" t="str">
        <f>HYPERLINK("https://lindat.mff.cuni.cz/services/teitok/pdtc10/index.php?action=vallex&amp;frame=v-w10290f2", "svraštět (v-w10290f2)")</f>
        <v>svraštět (v-w10290f2)</v>
      </c>
    </row>
    <row r="47624" spans="1:4" x14ac:dyDescent="0.2">
      <c r="B47624" t="s">
        <v>1</v>
      </c>
    </row>
    <row r="47625" spans="1:4" x14ac:dyDescent="0.2">
      <c r="B47625" t="s">
        <v>8</v>
      </c>
    </row>
    <row r="47627" spans="1:4" x14ac:dyDescent="0.2">
      <c r="A47627" t="s">
        <v>15222</v>
      </c>
      <c r="B47627" t="str">
        <f>HYPERLINK("https://lindat.mff.cuni.cz/services/teitok/pdtc10/index.php?action=vallex&amp;frame=v-w6681f1", "svrbit (v-w6681f1)")</f>
        <v>svrbit (v-w6681f1)</v>
      </c>
    </row>
    <row r="47628" spans="1:4" x14ac:dyDescent="0.2">
      <c r="B47628" t="s">
        <v>146</v>
      </c>
    </row>
    <row r="47629" spans="1:4" x14ac:dyDescent="0.2">
      <c r="B47629" t="s">
        <v>243</v>
      </c>
    </row>
    <row r="47631" spans="1:4" x14ac:dyDescent="0.2">
      <c r="A47631" t="s">
        <v>15223</v>
      </c>
      <c r="B47631" t="str">
        <f>HYPERLINK("https://lindat.mff.cuni.cz/services/teitok/pdtc10/index.php?action=vallex&amp;frame=v-w6681f2", "svrbit (v-w6681f2)")</f>
        <v>svrbit (v-w6681f2)</v>
      </c>
    </row>
    <row r="47632" spans="1:4" x14ac:dyDescent="0.2">
      <c r="B47632" t="s">
        <v>146</v>
      </c>
    </row>
    <row r="47633" spans="1:4" x14ac:dyDescent="0.2">
      <c r="B47633" t="s">
        <v>5</v>
      </c>
    </row>
    <row r="47635" spans="1:4" x14ac:dyDescent="0.2">
      <c r="A47635" t="s">
        <v>15224</v>
      </c>
      <c r="B47635" t="str">
        <f>HYPERLINK("https://lindat.mff.cuni.cz/services/teitok/pdtc10/index.php?action=vallex&amp;frame=v-w6680f1", "svrbět (v-w6680f1)")</f>
        <v>svrbět (v-w6680f1)</v>
      </c>
    </row>
    <row r="47636" spans="1:4" x14ac:dyDescent="0.2">
      <c r="B47636" t="s">
        <v>146</v>
      </c>
    </row>
    <row r="47637" spans="1:4" x14ac:dyDescent="0.2">
      <c r="B47637" t="s">
        <v>243</v>
      </c>
    </row>
    <row r="47639" spans="1:4" x14ac:dyDescent="0.2">
      <c r="A47639" t="s">
        <v>15225</v>
      </c>
      <c r="B47639" t="str">
        <f>HYPERLINK("https://lindat.mff.cuni.cz/services/teitok/pdtc10/index.php?action=vallex&amp;frame=v-w6680f2", "svrbět (v-w6680f2)")</f>
        <v>svrbět (v-w6680f2)</v>
      </c>
    </row>
    <row r="47640" spans="1:4" x14ac:dyDescent="0.2">
      <c r="B47640" t="s">
        <v>146</v>
      </c>
    </row>
    <row r="47641" spans="1:4" x14ac:dyDescent="0.2">
      <c r="B47641" t="s">
        <v>5</v>
      </c>
    </row>
    <row r="47643" spans="1:4" x14ac:dyDescent="0.2">
      <c r="A47643" t="s">
        <v>15226</v>
      </c>
      <c r="B47643" t="str">
        <f>HYPERLINK("https://lindat.mff.cuni.cz/services/teitok/pdtc10/index.php?action=vallex&amp;frame=v-w6682f1", "svrhnout (v-w6682f1)")</f>
        <v>svrhnout (v-w6682f1)</v>
      </c>
    </row>
    <row r="47644" spans="1:4" x14ac:dyDescent="0.2">
      <c r="B47644" t="s">
        <v>1</v>
      </c>
      <c r="C47644" t="s">
        <v>133</v>
      </c>
      <c r="D47644" t="s">
        <v>2148</v>
      </c>
    </row>
    <row r="47645" spans="1:4" x14ac:dyDescent="0.2">
      <c r="B47645" t="s">
        <v>8</v>
      </c>
      <c r="C47645" t="s">
        <v>1066</v>
      </c>
      <c r="D47645" t="s">
        <v>8988</v>
      </c>
    </row>
    <row r="47647" spans="1:4" x14ac:dyDescent="0.2">
      <c r="A47647" t="s">
        <v>15227</v>
      </c>
      <c r="B47647" t="str">
        <f>HYPERLINK("https://lindat.mff.cuni.cz/services/teitok/pdtc10/index.php?action=vallex&amp;frame=v-w6634f3", "svádět (v-w6634f3)")</f>
        <v>svádět (v-w6634f3)</v>
      </c>
    </row>
    <row r="47648" spans="1:4" x14ac:dyDescent="0.2">
      <c r="B47648" t="s">
        <v>1</v>
      </c>
    </row>
    <row r="47649" spans="1:4" x14ac:dyDescent="0.2">
      <c r="B47649" t="s">
        <v>8</v>
      </c>
    </row>
    <row r="47650" spans="1:4" x14ac:dyDescent="0.2">
      <c r="B47650" t="s">
        <v>153</v>
      </c>
    </row>
    <row r="47652" spans="1:4" x14ac:dyDescent="0.2">
      <c r="A47652" t="s">
        <v>15228</v>
      </c>
      <c r="B47652" t="str">
        <f>HYPERLINK("https://lindat.mff.cuni.cz/services/teitok/pdtc10/index.php?action=vallex&amp;frame=v-w6634f2", "svádět (v-w6634f2)")</f>
        <v>svádět (v-w6634f2)</v>
      </c>
    </row>
    <row r="47653" spans="1:4" x14ac:dyDescent="0.2">
      <c r="B47653" t="s">
        <v>1</v>
      </c>
      <c r="C47653" t="s">
        <v>3307</v>
      </c>
      <c r="D47653" t="s">
        <v>24223</v>
      </c>
    </row>
    <row r="47654" spans="1:4" x14ac:dyDescent="0.2">
      <c r="B47654" t="s">
        <v>8</v>
      </c>
      <c r="C47654" t="s">
        <v>15229</v>
      </c>
      <c r="D47654" t="s">
        <v>24224</v>
      </c>
    </row>
    <row r="47655" spans="1:4" x14ac:dyDescent="0.2">
      <c r="B47655" t="s">
        <v>1462</v>
      </c>
      <c r="C47655" t="s">
        <v>15230</v>
      </c>
      <c r="D47655" t="s">
        <v>24226</v>
      </c>
    </row>
    <row r="47657" spans="1:4" x14ac:dyDescent="0.2">
      <c r="A47657" t="s">
        <v>15231</v>
      </c>
      <c r="B47657" t="str">
        <f>HYPERLINK("https://lindat.mff.cuni.cz/services/teitok/pdtc10/index.php?action=vallex&amp;frame=v-w6634hsa_1316", "svádět (v-w6634hsa_1316)")</f>
        <v>svádět (v-w6634hsa_1316)</v>
      </c>
    </row>
    <row r="47658" spans="1:4" x14ac:dyDescent="0.2">
      <c r="B47658" t="s">
        <v>1</v>
      </c>
    </row>
    <row r="47659" spans="1:4" x14ac:dyDescent="0.2">
      <c r="B47659" t="s">
        <v>58</v>
      </c>
    </row>
    <row r="47660" spans="1:4" x14ac:dyDescent="0.2">
      <c r="B47660" t="s">
        <v>15232</v>
      </c>
    </row>
    <row r="47662" spans="1:4" x14ac:dyDescent="0.2">
      <c r="A47662" t="s">
        <v>15231</v>
      </c>
      <c r="B47662" t="str">
        <f>HYPERLINK("https://lindat.mff.cuni.cz/services/teitok/pdtc10/index.php?action=vallex&amp;frame=v-w6634f1", "svádět (v-w6634f1) - substituted with v-w6634hsa_1316")</f>
        <v>svádět (v-w6634f1) - substituted with v-w6634hsa_1316</v>
      </c>
    </row>
    <row r="47663" spans="1:4" x14ac:dyDescent="0.2">
      <c r="B47663" t="s">
        <v>1</v>
      </c>
      <c r="C47663" t="s">
        <v>33</v>
      </c>
    </row>
    <row r="47664" spans="1:4" x14ac:dyDescent="0.2">
      <c r="B47664" t="s">
        <v>58</v>
      </c>
      <c r="C47664" t="s">
        <v>4272</v>
      </c>
    </row>
    <row r="47665" spans="1:4" x14ac:dyDescent="0.2">
      <c r="B47665" t="s">
        <v>15232</v>
      </c>
      <c r="C47665" t="s">
        <v>1301</v>
      </c>
    </row>
    <row r="47667" spans="1:4" x14ac:dyDescent="0.2">
      <c r="A47667" t="s">
        <v>15233</v>
      </c>
      <c r="B47667" t="str">
        <f>HYPERLINK("https://lindat.mff.cuni.cz/services/teitok/pdtc10/index.php?action=vallex&amp;frame=v-w6645f2", "svázat (v-w6645f2)")</f>
        <v>svázat (v-w6645f2)</v>
      </c>
    </row>
    <row r="47668" spans="1:4" x14ac:dyDescent="0.2">
      <c r="B47668" t="s">
        <v>1</v>
      </c>
      <c r="C47668" t="s">
        <v>22</v>
      </c>
      <c r="D47668" t="s">
        <v>3542</v>
      </c>
    </row>
    <row r="47669" spans="1:4" x14ac:dyDescent="0.2">
      <c r="B47669" t="s">
        <v>8</v>
      </c>
      <c r="C47669" t="s">
        <v>15234</v>
      </c>
      <c r="D47669" t="s">
        <v>23927</v>
      </c>
    </row>
    <row r="47670" spans="1:4" x14ac:dyDescent="0.2">
      <c r="B47670" t="s">
        <v>153</v>
      </c>
      <c r="C47670" t="s">
        <v>15235</v>
      </c>
      <c r="D47670" t="s">
        <v>23958</v>
      </c>
    </row>
    <row r="47672" spans="1:4" x14ac:dyDescent="0.2">
      <c r="A47672" t="s">
        <v>15236</v>
      </c>
      <c r="B47672" t="str">
        <f>HYPERLINK("https://lindat.mff.cuni.cz/services/teitok/pdtc10/index.php?action=vallex&amp;frame=v-w6645f1", "svázat (v-w6645f1)")</f>
        <v>svázat (v-w6645f1)</v>
      </c>
    </row>
    <row r="47673" spans="1:4" x14ac:dyDescent="0.2">
      <c r="B47673" t="s">
        <v>1</v>
      </c>
    </row>
    <row r="47674" spans="1:4" x14ac:dyDescent="0.2">
      <c r="B47674" t="s">
        <v>8</v>
      </c>
    </row>
    <row r="47676" spans="1:4" x14ac:dyDescent="0.2">
      <c r="A47676" t="s">
        <v>15237</v>
      </c>
      <c r="B47676" t="str">
        <f>HYPERLINK("https://lindat.mff.cuni.cz/services/teitok/pdtc10/index.php?action=vallex&amp;frame=v-w6645f3", "svázat (v-w6645f3)")</f>
        <v>svázat (v-w6645f3)</v>
      </c>
    </row>
    <row r="47677" spans="1:4" x14ac:dyDescent="0.2">
      <c r="B47677" t="s">
        <v>1</v>
      </c>
      <c r="C47677" t="s">
        <v>33</v>
      </c>
      <c r="D47677" t="s">
        <v>3542</v>
      </c>
    </row>
    <row r="47678" spans="1:4" x14ac:dyDescent="0.2">
      <c r="B47678" t="s">
        <v>8</v>
      </c>
      <c r="C47678" t="s">
        <v>991</v>
      </c>
      <c r="D47678" t="s">
        <v>23927</v>
      </c>
    </row>
    <row r="47680" spans="1:4" x14ac:dyDescent="0.2">
      <c r="A47680" t="s">
        <v>15238</v>
      </c>
      <c r="B47680" t="str">
        <f>HYPERLINK("https://lindat.mff.cuni.cz/services/teitok/pdtc10/index.php?action=vallex&amp;frame=v-w6645f4_MM", "svázat (v-w6645f4_MM)")</f>
        <v>svázat (v-w6645f4_MM)</v>
      </c>
    </row>
    <row r="47681" spans="1:3" x14ac:dyDescent="0.2">
      <c r="B47681" t="s">
        <v>1</v>
      </c>
    </row>
    <row r="47682" spans="1:3" x14ac:dyDescent="0.2">
      <c r="B47682" t="s">
        <v>8</v>
      </c>
    </row>
    <row r="47683" spans="1:3" x14ac:dyDescent="0.2">
      <c r="B47683" t="s">
        <v>24</v>
      </c>
    </row>
    <row r="47685" spans="1:3" x14ac:dyDescent="0.2">
      <c r="A47685" t="s">
        <v>15239</v>
      </c>
      <c r="B47685" t="str">
        <f>HYPERLINK("https://lindat.mff.cuni.cz/services/teitok/pdtc10/index.php?action=vallex&amp;frame=v-w6638f1", "svářet (v-w6638f1)")</f>
        <v>svářet (v-w6638f1)</v>
      </c>
    </row>
    <row r="47686" spans="1:3" x14ac:dyDescent="0.2">
      <c r="B47686" t="s">
        <v>1</v>
      </c>
    </row>
    <row r="47687" spans="1:3" x14ac:dyDescent="0.2">
      <c r="B47687" t="s">
        <v>8</v>
      </c>
    </row>
    <row r="47689" spans="1:3" x14ac:dyDescent="0.2">
      <c r="A47689" t="s">
        <v>15240</v>
      </c>
      <c r="B47689" t="str">
        <f>HYPERLINK("https://lindat.mff.cuni.cz/services/teitok/pdtc10/index.php?action=vallex&amp;frame=v-w6649f1", "svážet (v-w6649f1)")</f>
        <v>svážet (v-w6649f1)</v>
      </c>
    </row>
    <row r="47690" spans="1:3" x14ac:dyDescent="0.2">
      <c r="B47690" t="s">
        <v>1</v>
      </c>
    </row>
    <row r="47691" spans="1:3" x14ac:dyDescent="0.2">
      <c r="B47691" t="s">
        <v>8</v>
      </c>
    </row>
    <row r="47692" spans="1:3" x14ac:dyDescent="0.2">
      <c r="B47692" t="s">
        <v>90</v>
      </c>
    </row>
    <row r="47694" spans="1:3" x14ac:dyDescent="0.2">
      <c r="A47694" t="s">
        <v>15241</v>
      </c>
      <c r="B47694" t="str">
        <f>HYPERLINK("https://lindat.mff.cuni.cz/services/teitok/pdtc10/index.php?action=vallex&amp;frame=v-w6663f2", "svést (v-w6663f2)")</f>
        <v>svést (v-w6663f2)</v>
      </c>
    </row>
    <row r="47695" spans="1:3" x14ac:dyDescent="0.2">
      <c r="B47695" t="s">
        <v>1</v>
      </c>
      <c r="C47695" t="s">
        <v>1566</v>
      </c>
    </row>
    <row r="47696" spans="1:3" x14ac:dyDescent="0.2">
      <c r="B47696" t="s">
        <v>8</v>
      </c>
      <c r="C47696" t="s">
        <v>2795</v>
      </c>
    </row>
    <row r="47697" spans="1:4" x14ac:dyDescent="0.2">
      <c r="B47697" t="s">
        <v>88</v>
      </c>
      <c r="C47697" t="s">
        <v>2796</v>
      </c>
    </row>
    <row r="47699" spans="1:4" x14ac:dyDescent="0.2">
      <c r="A47699" t="s">
        <v>15242</v>
      </c>
      <c r="B47699" t="str">
        <f>HYPERLINK("https://lindat.mff.cuni.cz/services/teitok/pdtc10/index.php?action=vallex&amp;frame=v-w6663f4", "svést (v-w6663f4)")</f>
        <v>svést (v-w6663f4)</v>
      </c>
    </row>
    <row r="47700" spans="1:4" x14ac:dyDescent="0.2">
      <c r="B47700" t="s">
        <v>1</v>
      </c>
    </row>
    <row r="47701" spans="1:4" x14ac:dyDescent="0.2">
      <c r="B47701" t="s">
        <v>8</v>
      </c>
    </row>
    <row r="47702" spans="1:4" x14ac:dyDescent="0.2">
      <c r="B47702" t="s">
        <v>153</v>
      </c>
    </row>
    <row r="47704" spans="1:4" x14ac:dyDescent="0.2">
      <c r="A47704" t="s">
        <v>15243</v>
      </c>
      <c r="B47704" t="str">
        <f>HYPERLINK("https://lindat.mff.cuni.cz/services/teitok/pdtc10/index.php?action=vallex&amp;frame=v-w6663f1", "svést (v-w6663f1)")</f>
        <v>svést (v-w6663f1)</v>
      </c>
    </row>
    <row r="47705" spans="1:4" x14ac:dyDescent="0.2">
      <c r="B47705" t="s">
        <v>1</v>
      </c>
    </row>
    <row r="47706" spans="1:4" x14ac:dyDescent="0.2">
      <c r="B47706" t="s">
        <v>1055</v>
      </c>
    </row>
    <row r="47708" spans="1:4" x14ac:dyDescent="0.2">
      <c r="A47708" t="s">
        <v>15244</v>
      </c>
      <c r="B47708" t="str">
        <f>HYPERLINK("https://lindat.mff.cuni.cz/services/teitok/pdtc10/index.php?action=vallex&amp;frame=v-w6663f3", "svést (v-w6663f3)")</f>
        <v>svést (v-w6663f3)</v>
      </c>
    </row>
    <row r="47709" spans="1:4" x14ac:dyDescent="0.2">
      <c r="B47709" t="s">
        <v>1</v>
      </c>
      <c r="C47709" t="s">
        <v>33</v>
      </c>
      <c r="D47709" t="s">
        <v>23460</v>
      </c>
    </row>
    <row r="47710" spans="1:4" x14ac:dyDescent="0.2">
      <c r="B47710" t="s">
        <v>58</v>
      </c>
      <c r="C47710" t="s">
        <v>4272</v>
      </c>
      <c r="D47710" t="s">
        <v>23461</v>
      </c>
    </row>
    <row r="47711" spans="1:4" x14ac:dyDescent="0.2">
      <c r="B47711" t="s">
        <v>59</v>
      </c>
      <c r="C47711" t="s">
        <v>1301</v>
      </c>
      <c r="D47711" t="s">
        <v>23462</v>
      </c>
    </row>
    <row r="47713" spans="1:2" x14ac:dyDescent="0.2">
      <c r="A47713" t="s">
        <v>15245</v>
      </c>
      <c r="B47713" t="str">
        <f>HYPERLINK("https://lindat.mff.cuni.cz/services/teitok/pdtc10/index.php?action=vallex&amp;frame=v-w6663hsa_770", "svést (v-w6663hsa_770)")</f>
        <v>svést (v-w6663hsa_770)</v>
      </c>
    </row>
    <row r="47714" spans="1:2" x14ac:dyDescent="0.2">
      <c r="B47714" t="s">
        <v>1</v>
      </c>
    </row>
    <row r="47715" spans="1:2" x14ac:dyDescent="0.2">
      <c r="B47715" t="s">
        <v>8</v>
      </c>
    </row>
    <row r="47716" spans="1:2" x14ac:dyDescent="0.2">
      <c r="B47716" t="s">
        <v>90</v>
      </c>
    </row>
    <row r="47718" spans="1:2" x14ac:dyDescent="0.2">
      <c r="A47718" t="s">
        <v>15246</v>
      </c>
      <c r="B47718" t="str">
        <f>HYPERLINK("https://lindat.mff.cuni.cz/services/teitok/pdtc10/index.php?action=vallex&amp;frame=v-w6665f1", "svézt (v-w6665f1)")</f>
        <v>svézt (v-w6665f1)</v>
      </c>
    </row>
    <row r="47719" spans="1:2" x14ac:dyDescent="0.2">
      <c r="B47719" t="s">
        <v>1</v>
      </c>
    </row>
    <row r="47720" spans="1:2" x14ac:dyDescent="0.2">
      <c r="B47720" t="s">
        <v>8</v>
      </c>
    </row>
    <row r="47721" spans="1:2" x14ac:dyDescent="0.2">
      <c r="B47721" t="s">
        <v>90</v>
      </c>
    </row>
    <row r="47723" spans="1:2" x14ac:dyDescent="0.2">
      <c r="A47723" t="s">
        <v>15247</v>
      </c>
      <c r="B47723" t="str">
        <f>HYPERLINK("https://lindat.mff.cuni.cz/services/teitok/pdtc10/index.php?action=vallex&amp;frame=v-w6665hsa_421", "svézt (v-w6665hsa_421)")</f>
        <v>svézt (v-w6665hsa_421)</v>
      </c>
    </row>
    <row r="47724" spans="1:2" x14ac:dyDescent="0.2">
      <c r="B47724" t="s">
        <v>1</v>
      </c>
    </row>
    <row r="47725" spans="1:2" x14ac:dyDescent="0.2">
      <c r="B47725" t="s">
        <v>8</v>
      </c>
    </row>
    <row r="47727" spans="1:2" x14ac:dyDescent="0.2">
      <c r="A47727" t="s">
        <v>15248</v>
      </c>
      <c r="B47727" t="str">
        <f>HYPERLINK("https://lindat.mff.cuni.cz/services/teitok/pdtc10/index.php?action=vallex&amp;frame=v-w6665hsa_422", "svézt (v-w6665hsa_422)")</f>
        <v>svézt (v-w6665hsa_422)</v>
      </c>
    </row>
    <row r="47728" spans="1:2" x14ac:dyDescent="0.2">
      <c r="B47728" t="s">
        <v>1</v>
      </c>
    </row>
    <row r="47729" spans="1:3" x14ac:dyDescent="0.2">
      <c r="B47729" t="s">
        <v>8</v>
      </c>
    </row>
    <row r="47730" spans="1:3" x14ac:dyDescent="0.2">
      <c r="B47730" t="s">
        <v>88</v>
      </c>
    </row>
    <row r="47732" spans="1:3" x14ac:dyDescent="0.2">
      <c r="A47732" t="s">
        <v>15249</v>
      </c>
      <c r="B47732" t="str">
        <f>HYPERLINK("https://lindat.mff.cuni.cz/services/teitok/pdtc10/index.php?action=vallex&amp;frame=v-w6666f2", "svézt se (v-w6666f2)")</f>
        <v>svézt se (v-w6666f2)</v>
      </c>
    </row>
    <row r="47733" spans="1:3" x14ac:dyDescent="0.2">
      <c r="B47733" t="s">
        <v>1</v>
      </c>
    </row>
    <row r="47734" spans="1:3" x14ac:dyDescent="0.2">
      <c r="B47734" t="s">
        <v>411</v>
      </c>
    </row>
    <row r="47736" spans="1:3" x14ac:dyDescent="0.2">
      <c r="A47736" t="s">
        <v>15250</v>
      </c>
      <c r="B47736" t="str">
        <f>HYPERLINK("https://lindat.mff.cuni.cz/services/teitok/pdtc10/index.php?action=vallex&amp;frame=v-w6666f1", "svézt se (v-w6666f1)")</f>
        <v>svézt se (v-w6666f1)</v>
      </c>
    </row>
    <row r="47737" spans="1:3" x14ac:dyDescent="0.2">
      <c r="B47737" t="s">
        <v>1</v>
      </c>
    </row>
    <row r="47739" spans="1:3" x14ac:dyDescent="0.2">
      <c r="A47739" t="s">
        <v>15251</v>
      </c>
      <c r="B47739" t="str">
        <f>HYPERLINK("https://lindat.mff.cuni.cz/services/teitok/pdtc10/index.php?action=vallex&amp;frame=v-w11348f1", "svíjet se (v-w11348f1)")</f>
        <v>svíjet se (v-w11348f1)</v>
      </c>
    </row>
    <row r="47740" spans="1:3" x14ac:dyDescent="0.2">
      <c r="B47740" t="s">
        <v>1</v>
      </c>
      <c r="C47740" t="s">
        <v>147</v>
      </c>
    </row>
    <row r="47742" spans="1:3" x14ac:dyDescent="0.2">
      <c r="A47742" t="s">
        <v>15252</v>
      </c>
      <c r="B47742" t="str">
        <f>HYPERLINK("https://lindat.mff.cuni.cz/services/teitok/pdtc10/index.php?action=vallex&amp;frame=v-w6667f2", "svírat (v-w6667f2)")</f>
        <v>svírat (v-w6667f2)</v>
      </c>
    </row>
    <row r="47743" spans="1:3" x14ac:dyDescent="0.2">
      <c r="B47743" t="s">
        <v>1</v>
      </c>
    </row>
    <row r="47744" spans="1:3" x14ac:dyDescent="0.2">
      <c r="B47744" t="s">
        <v>8</v>
      </c>
    </row>
    <row r="47746" spans="1:4" x14ac:dyDescent="0.2">
      <c r="A47746" t="s">
        <v>15253</v>
      </c>
      <c r="B47746" t="str">
        <f>HYPERLINK("https://lindat.mff.cuni.cz/services/teitok/pdtc10/index.php?action=vallex&amp;frame=v-w6667f1", "svírat (v-w6667f1)")</f>
        <v>svírat (v-w6667f1)</v>
      </c>
    </row>
    <row r="47747" spans="1:4" x14ac:dyDescent="0.2">
      <c r="B47747" t="s">
        <v>1</v>
      </c>
      <c r="D47747" t="s">
        <v>2367</v>
      </c>
    </row>
    <row r="47748" spans="1:4" x14ac:dyDescent="0.2">
      <c r="B47748" t="s">
        <v>8</v>
      </c>
      <c r="D47748" t="s">
        <v>18648</v>
      </c>
    </row>
    <row r="47750" spans="1:4" x14ac:dyDescent="0.2">
      <c r="A47750" t="s">
        <v>15254</v>
      </c>
      <c r="B47750" t="str">
        <f>HYPERLINK("https://lindat.mff.cuni.cz/services/teitok/pdtc10/index.php?action=vallex&amp;frame=v-w6667f3_ZU", "svírat (v-w6667f3_ZU)")</f>
        <v>svírat (v-w6667f3_ZU)</v>
      </c>
    </row>
    <row r="47751" spans="1:4" x14ac:dyDescent="0.2">
      <c r="B47751" t="s">
        <v>1</v>
      </c>
      <c r="C47751" t="s">
        <v>80</v>
      </c>
    </row>
    <row r="47752" spans="1:4" x14ac:dyDescent="0.2">
      <c r="B47752" t="s">
        <v>8</v>
      </c>
      <c r="C47752" t="s">
        <v>1066</v>
      </c>
    </row>
    <row r="47754" spans="1:4" x14ac:dyDescent="0.2">
      <c r="A47754" t="s">
        <v>15254</v>
      </c>
      <c r="B47754" t="str">
        <f>HYPERLINK("https://lindat.mff.cuni.cz/services/teitok/pdtc10/index.php?action=vallex&amp;frame=v-w6667hsa_431", "svírat (v-w6667hsa_431) - substituted with v-w6667f3_ZU")</f>
        <v>svírat (v-w6667hsa_431) - substituted with v-w6667f3_ZU</v>
      </c>
    </row>
    <row r="47755" spans="1:4" x14ac:dyDescent="0.2">
      <c r="B47755" t="s">
        <v>1</v>
      </c>
    </row>
    <row r="47756" spans="1:4" x14ac:dyDescent="0.2">
      <c r="B47756" t="s">
        <v>8</v>
      </c>
    </row>
    <row r="47758" spans="1:4" x14ac:dyDescent="0.2">
      <c r="A47758" t="s">
        <v>15255</v>
      </c>
      <c r="B47758" t="str">
        <f>HYPERLINK("https://lindat.mff.cuni.cz/services/teitok/pdtc10/index.php?action=vallex&amp;frame=v-w6669f2", "svítat (v-w6669f2)")</f>
        <v>svítat (v-w6669f2)</v>
      </c>
    </row>
    <row r="47759" spans="1:4" x14ac:dyDescent="0.2">
      <c r="B47759" t="s">
        <v>1</v>
      </c>
    </row>
    <row r="47761" spans="1:3" x14ac:dyDescent="0.2">
      <c r="A47761" t="s">
        <v>15256</v>
      </c>
      <c r="B47761" t="str">
        <f>HYPERLINK("https://lindat.mff.cuni.cz/services/teitok/pdtc10/index.php?action=vallex&amp;frame=v-w6669f1", "svítat (v-w6669f1)")</f>
        <v>svítat (v-w6669f1)</v>
      </c>
    </row>
    <row r="47763" spans="1:3" x14ac:dyDescent="0.2">
      <c r="A47763" t="s">
        <v>15257</v>
      </c>
      <c r="B47763" t="str">
        <f>HYPERLINK("https://lindat.mff.cuni.cz/services/teitok/pdtc10/index.php?action=vallex&amp;frame=v-w6670f1", "svítit (v-w6670f1)")</f>
        <v>svítit (v-w6670f1)</v>
      </c>
    </row>
    <row r="47764" spans="1:3" x14ac:dyDescent="0.2">
      <c r="B47764" t="s">
        <v>1</v>
      </c>
      <c r="C47764" t="s">
        <v>15258</v>
      </c>
    </row>
    <row r="47766" spans="1:3" x14ac:dyDescent="0.2">
      <c r="A47766" t="s">
        <v>15259</v>
      </c>
      <c r="B47766" t="str">
        <f>HYPERLINK("https://lindat.mff.cuni.cz/services/teitok/pdtc10/index.php?action=vallex&amp;frame=v-w6670hsa_129", "svítit (v-w6670hsa_129)")</f>
        <v>svítit (v-w6670hsa_129)</v>
      </c>
    </row>
    <row r="47767" spans="1:3" x14ac:dyDescent="0.2">
      <c r="B47767" t="s">
        <v>1</v>
      </c>
    </row>
    <row r="47769" spans="1:3" x14ac:dyDescent="0.2">
      <c r="A47769" t="s">
        <v>15260</v>
      </c>
      <c r="B47769" t="str">
        <f>HYPERLINK("https://lindat.mff.cuni.cz/services/teitok/pdtc10/index.php?action=vallex&amp;frame=v-w11758_ZUf2_MM", "svědit (v-w11758_ZUf2_MM)")</f>
        <v>svědit (v-w11758_ZUf2_MM)</v>
      </c>
    </row>
    <row r="47770" spans="1:3" x14ac:dyDescent="0.2">
      <c r="B47770" t="s">
        <v>146</v>
      </c>
    </row>
    <row r="47771" spans="1:3" x14ac:dyDescent="0.2">
      <c r="B47771" t="s">
        <v>5</v>
      </c>
    </row>
    <row r="47772" spans="1:3" x14ac:dyDescent="0.2">
      <c r="B47772" t="s">
        <v>15261</v>
      </c>
    </row>
    <row r="47774" spans="1:3" x14ac:dyDescent="0.2">
      <c r="A47774" t="s">
        <v>15260</v>
      </c>
      <c r="B47774" t="str">
        <f>HYPERLINK("https://lindat.mff.cuni.cz/services/teitok/pdtc10/index.php?action=vallex&amp;frame=v-w11758_ZUf1_ZU", "svědit (v-w11758_ZUf1_ZU) - substituted with v-w11758_ZUf2_MM")</f>
        <v>svědit (v-w11758_ZUf1_ZU) - substituted with v-w11758_ZUf2_MM</v>
      </c>
    </row>
    <row r="47775" spans="1:3" x14ac:dyDescent="0.2">
      <c r="B47775" t="s">
        <v>146</v>
      </c>
    </row>
    <row r="47776" spans="1:3" x14ac:dyDescent="0.2">
      <c r="B47776" t="s">
        <v>5</v>
      </c>
    </row>
    <row r="47777" spans="1:4" x14ac:dyDescent="0.2">
      <c r="B47777" t="s">
        <v>15261</v>
      </c>
    </row>
    <row r="47779" spans="1:4" x14ac:dyDescent="0.2">
      <c r="A47779" t="s">
        <v>15262</v>
      </c>
      <c r="B47779" t="str">
        <f>HYPERLINK("https://lindat.mff.cuni.cz/services/teitok/pdtc10/index.php?action=vallex&amp;frame=v-w6652f2", "svědčit (v-w6652f2)")</f>
        <v>svědčit (v-w6652f2)</v>
      </c>
    </row>
    <row r="47780" spans="1:4" x14ac:dyDescent="0.2">
      <c r="B47780" t="s">
        <v>811</v>
      </c>
    </row>
    <row r="47781" spans="1:4" x14ac:dyDescent="0.2">
      <c r="B47781" t="s">
        <v>103</v>
      </c>
      <c r="C47781" t="s">
        <v>15263</v>
      </c>
    </row>
    <row r="47783" spans="1:4" x14ac:dyDescent="0.2">
      <c r="A47783" t="s">
        <v>15264</v>
      </c>
      <c r="B47783" t="str">
        <f>HYPERLINK("https://lindat.mff.cuni.cz/services/teitok/pdtc10/index.php?action=vallex&amp;frame=v-w6652f1", "svědčit (v-w6652f1)")</f>
        <v>svědčit (v-w6652f1)</v>
      </c>
    </row>
    <row r="47784" spans="1:4" x14ac:dyDescent="0.2">
      <c r="B47784" t="s">
        <v>1</v>
      </c>
      <c r="C47784" t="s">
        <v>1667</v>
      </c>
    </row>
    <row r="47785" spans="1:4" x14ac:dyDescent="0.2">
      <c r="B47785" t="s">
        <v>183</v>
      </c>
      <c r="C47785" t="s">
        <v>15265</v>
      </c>
    </row>
    <row r="47787" spans="1:4" x14ac:dyDescent="0.2">
      <c r="A47787" t="s">
        <v>15266</v>
      </c>
      <c r="B47787" t="str">
        <f>HYPERLINK("https://lindat.mff.cuni.cz/services/teitok/pdtc10/index.php?action=vallex&amp;frame=v-w6652f4_ZU", "svědčit (v-w6652f4_ZU)")</f>
        <v>svědčit (v-w6652f4_ZU)</v>
      </c>
    </row>
    <row r="47788" spans="1:4" x14ac:dyDescent="0.2">
      <c r="B47788" t="s">
        <v>1</v>
      </c>
      <c r="C47788" t="s">
        <v>990</v>
      </c>
      <c r="D47788" t="s">
        <v>109</v>
      </c>
    </row>
    <row r="47789" spans="1:4" x14ac:dyDescent="0.2">
      <c r="B47789" t="s">
        <v>15267</v>
      </c>
      <c r="C47789" t="s">
        <v>1044</v>
      </c>
      <c r="D47789" t="s">
        <v>23348</v>
      </c>
    </row>
    <row r="47791" spans="1:4" x14ac:dyDescent="0.2">
      <c r="A47791" t="s">
        <v>15266</v>
      </c>
      <c r="B47791" t="str">
        <f>HYPERLINK("https://lindat.mff.cuni.cz/services/teitok/pdtc10/index.php?action=vallex&amp;frame=v-w6652f3", "svědčit (v-w6652f3) - substituted with v-w6652f4_ZU")</f>
        <v>svědčit (v-w6652f3) - substituted with v-w6652f4_ZU</v>
      </c>
    </row>
    <row r="47792" spans="1:4" x14ac:dyDescent="0.2">
      <c r="B47792" t="s">
        <v>1</v>
      </c>
      <c r="C47792" t="s">
        <v>109</v>
      </c>
    </row>
    <row r="47793" spans="1:3" x14ac:dyDescent="0.2">
      <c r="B47793" t="s">
        <v>15267</v>
      </c>
      <c r="C47793" t="s">
        <v>15268</v>
      </c>
    </row>
    <row r="47795" spans="1:3" x14ac:dyDescent="0.2">
      <c r="A47795" t="s">
        <v>15269</v>
      </c>
      <c r="B47795" t="str">
        <f>HYPERLINK("https://lindat.mff.cuni.cz/services/teitok/pdtc10/index.php?action=vallex&amp;frame=v-w6652f5_ZU", "svědčit (v-w6652f5_ZU)")</f>
        <v>svědčit (v-w6652f5_ZU)</v>
      </c>
    </row>
    <row r="47796" spans="1:3" x14ac:dyDescent="0.2">
      <c r="B47796" t="s">
        <v>1</v>
      </c>
    </row>
    <row r="47797" spans="1:3" x14ac:dyDescent="0.2">
      <c r="B47797" t="s">
        <v>86</v>
      </c>
    </row>
    <row r="47799" spans="1:3" x14ac:dyDescent="0.2">
      <c r="A47799" t="s">
        <v>15270</v>
      </c>
      <c r="B47799" t="str">
        <f>HYPERLINK("https://lindat.mff.cuni.cz/services/teitok/pdtc10/index.php?action=vallex&amp;frame=v-w6656f1", "svědět (v-w6656f1)")</f>
        <v>svědět (v-w6656f1)</v>
      </c>
    </row>
    <row r="47800" spans="1:3" x14ac:dyDescent="0.2">
      <c r="B47800" t="s">
        <v>146</v>
      </c>
    </row>
    <row r="47801" spans="1:3" x14ac:dyDescent="0.2">
      <c r="B47801" t="s">
        <v>243</v>
      </c>
    </row>
    <row r="47803" spans="1:3" x14ac:dyDescent="0.2">
      <c r="A47803" t="s">
        <v>15271</v>
      </c>
      <c r="B47803" t="str">
        <f>HYPERLINK("https://lindat.mff.cuni.cz/services/teitok/pdtc10/index.php?action=vallex&amp;frame=v-w6656f2", "svědět (v-w6656f2)")</f>
        <v>svědět (v-w6656f2)</v>
      </c>
    </row>
    <row r="47804" spans="1:3" x14ac:dyDescent="0.2">
      <c r="B47804" t="s">
        <v>146</v>
      </c>
    </row>
    <row r="47805" spans="1:3" x14ac:dyDescent="0.2">
      <c r="B47805" t="s">
        <v>5</v>
      </c>
    </row>
    <row r="47807" spans="1:3" x14ac:dyDescent="0.2">
      <c r="A47807" t="s">
        <v>15272</v>
      </c>
      <c r="B47807" t="str">
        <f>HYPERLINK("https://lindat.mff.cuni.cz/services/teitok/pdtc10/index.php?action=vallex&amp;frame=v-whsa_925f1_ZU", "světit (v-whsa_925f1_ZU)")</f>
        <v>světit (v-whsa_925f1_ZU)</v>
      </c>
    </row>
    <row r="47808" spans="1:3" x14ac:dyDescent="0.2">
      <c r="B47808" t="s">
        <v>1</v>
      </c>
    </row>
    <row r="47809" spans="1:4" x14ac:dyDescent="0.2">
      <c r="B47809" t="s">
        <v>8</v>
      </c>
    </row>
    <row r="47811" spans="1:4" x14ac:dyDescent="0.2">
      <c r="A47811" t="s">
        <v>15272</v>
      </c>
      <c r="B47811" t="str">
        <f>HYPERLINK("https://lindat.mff.cuni.cz/services/teitok/pdtc10/index.php?action=vallex&amp;frame=v-whsb_925hsa_926", "světit (v-whsb_925hsa_926) - substituted with v-whsa_925f1_ZU")</f>
        <v>světit (v-whsb_925hsa_926) - substituted with v-whsa_925f1_ZU</v>
      </c>
    </row>
    <row r="47812" spans="1:4" x14ac:dyDescent="0.2">
      <c r="B47812" t="s">
        <v>1</v>
      </c>
    </row>
    <row r="47813" spans="1:4" x14ac:dyDescent="0.2">
      <c r="B47813" t="s">
        <v>8</v>
      </c>
    </row>
    <row r="47815" spans="1:4" x14ac:dyDescent="0.2">
      <c r="A47815" t="s">
        <v>15273</v>
      </c>
      <c r="B47815" t="str">
        <f>HYPERLINK("https://lindat.mff.cuni.cz/services/teitok/pdtc10/index.php?action=vallex&amp;frame=v-whsa_925f2_ZU", "světit (v-whsa_925f2_ZU)")</f>
        <v>světit (v-whsa_925f2_ZU)</v>
      </c>
    </row>
    <row r="47816" spans="1:4" x14ac:dyDescent="0.2">
      <c r="B47816" t="s">
        <v>1</v>
      </c>
    </row>
    <row r="47817" spans="1:4" x14ac:dyDescent="0.2">
      <c r="B47817" t="s">
        <v>8</v>
      </c>
    </row>
    <row r="47819" spans="1:4" x14ac:dyDescent="0.2">
      <c r="A47819" t="s">
        <v>15273</v>
      </c>
      <c r="B47819" t="str">
        <f>HYPERLINK("https://lindat.mff.cuni.cz/services/teitok/pdtc10/index.php?action=vallex&amp;frame=v-whsa_925hsa_927", "světit (v-whsa_925hsa_927) - substituted with v-whsa_925f2_ZU")</f>
        <v>světit (v-whsa_925hsa_927) - substituted with v-whsa_925f2_ZU</v>
      </c>
    </row>
    <row r="47820" spans="1:4" x14ac:dyDescent="0.2">
      <c r="B47820" t="s">
        <v>1</v>
      </c>
    </row>
    <row r="47821" spans="1:4" x14ac:dyDescent="0.2">
      <c r="B47821" t="s">
        <v>8</v>
      </c>
    </row>
    <row r="47823" spans="1:4" x14ac:dyDescent="0.2">
      <c r="A47823" t="s">
        <v>15274</v>
      </c>
      <c r="B47823" t="str">
        <f>HYPERLINK("https://lindat.mff.cuni.cz/services/teitok/pdtc10/index.php?action=vallex&amp;frame=v-w6658f3", "svěřit (v-w6658f3)")</f>
        <v>svěřit (v-w6658f3)</v>
      </c>
    </row>
    <row r="47824" spans="1:4" x14ac:dyDescent="0.2">
      <c r="B47824" t="s">
        <v>1</v>
      </c>
      <c r="D47824" t="s">
        <v>1524</v>
      </c>
    </row>
    <row r="47825" spans="1:4" x14ac:dyDescent="0.2">
      <c r="B47825" t="s">
        <v>124</v>
      </c>
      <c r="D47825" t="s">
        <v>1750</v>
      </c>
    </row>
    <row r="47826" spans="1:4" x14ac:dyDescent="0.2">
      <c r="B47826" t="s">
        <v>35</v>
      </c>
      <c r="D47826" t="s">
        <v>8768</v>
      </c>
    </row>
    <row r="47828" spans="1:4" x14ac:dyDescent="0.2">
      <c r="A47828" t="s">
        <v>15275</v>
      </c>
      <c r="B47828" t="str">
        <f>HYPERLINK("https://lindat.mff.cuni.cz/services/teitok/pdtc10/index.php?action=vallex&amp;frame=v-w6658f1", "svěřit (v-w6658f1)")</f>
        <v>svěřit (v-w6658f1)</v>
      </c>
    </row>
    <row r="47829" spans="1:4" x14ac:dyDescent="0.2">
      <c r="B47829" t="s">
        <v>1</v>
      </c>
      <c r="C47829" t="s">
        <v>15276</v>
      </c>
      <c r="D47829" t="s">
        <v>24058</v>
      </c>
    </row>
    <row r="47830" spans="1:4" x14ac:dyDescent="0.2">
      <c r="B47830" t="s">
        <v>41</v>
      </c>
      <c r="C47830" t="s">
        <v>15277</v>
      </c>
      <c r="D47830" t="s">
        <v>24059</v>
      </c>
    </row>
    <row r="47831" spans="1:4" x14ac:dyDescent="0.2">
      <c r="B47831" t="s">
        <v>35</v>
      </c>
      <c r="C47831" t="s">
        <v>15278</v>
      </c>
      <c r="D47831" t="s">
        <v>24060</v>
      </c>
    </row>
    <row r="47833" spans="1:4" x14ac:dyDescent="0.2">
      <c r="A47833" t="s">
        <v>15279</v>
      </c>
      <c r="B47833" t="str">
        <f>HYPERLINK("https://lindat.mff.cuni.cz/services/teitok/pdtc10/index.php?action=vallex&amp;frame=v-w6658f2", "svěřit (v-w6658f2)")</f>
        <v>svěřit (v-w6658f2)</v>
      </c>
    </row>
    <row r="47834" spans="1:4" x14ac:dyDescent="0.2">
      <c r="B47834" t="s">
        <v>1</v>
      </c>
      <c r="C47834" t="s">
        <v>2353</v>
      </c>
      <c r="D47834" t="s">
        <v>23076</v>
      </c>
    </row>
    <row r="47835" spans="1:4" x14ac:dyDescent="0.2">
      <c r="B47835" t="s">
        <v>8</v>
      </c>
      <c r="C47835" t="s">
        <v>5666</v>
      </c>
      <c r="D47835" t="s">
        <v>23077</v>
      </c>
    </row>
    <row r="47836" spans="1:4" x14ac:dyDescent="0.2">
      <c r="B47836" t="s">
        <v>35</v>
      </c>
      <c r="C47836" t="s">
        <v>15280</v>
      </c>
      <c r="D47836" t="s">
        <v>23078</v>
      </c>
    </row>
    <row r="47838" spans="1:4" x14ac:dyDescent="0.2">
      <c r="A47838" t="s">
        <v>15281</v>
      </c>
      <c r="B47838" t="str">
        <f>HYPERLINK("https://lindat.mff.cuni.cz/services/teitok/pdtc10/index.php?action=vallex&amp;frame=v-w6658f4_ZU", "svěřit (v-w6658f4_ZU)")</f>
        <v>svěřit (v-w6658f4_ZU)</v>
      </c>
    </row>
    <row r="47839" spans="1:4" x14ac:dyDescent="0.2">
      <c r="B47839" t="s">
        <v>1</v>
      </c>
      <c r="C47839" t="s">
        <v>2555</v>
      </c>
    </row>
    <row r="47840" spans="1:4" x14ac:dyDescent="0.2">
      <c r="B47840" t="s">
        <v>8</v>
      </c>
      <c r="C47840" t="s">
        <v>2747</v>
      </c>
    </row>
    <row r="47841" spans="1:4" x14ac:dyDescent="0.2">
      <c r="B47841" t="s">
        <v>205</v>
      </c>
    </row>
    <row r="47843" spans="1:4" x14ac:dyDescent="0.2">
      <c r="A47843" t="s">
        <v>15282</v>
      </c>
      <c r="B47843" t="str">
        <f>HYPERLINK("https://lindat.mff.cuni.cz/services/teitok/pdtc10/index.php?action=vallex&amp;frame=v-w6659f1", "svěřit se (v-w6659f1)")</f>
        <v>svěřit se (v-w6659f1)</v>
      </c>
    </row>
    <row r="47844" spans="1:4" x14ac:dyDescent="0.2">
      <c r="B47844" t="s">
        <v>1</v>
      </c>
      <c r="C47844" t="s">
        <v>115</v>
      </c>
      <c r="D47844" t="s">
        <v>1524</v>
      </c>
    </row>
    <row r="47845" spans="1:4" x14ac:dyDescent="0.2">
      <c r="B47845" t="s">
        <v>15283</v>
      </c>
      <c r="C47845" t="s">
        <v>2886</v>
      </c>
      <c r="D47845" t="s">
        <v>1750</v>
      </c>
    </row>
    <row r="47846" spans="1:4" x14ac:dyDescent="0.2">
      <c r="B47846" t="s">
        <v>35</v>
      </c>
      <c r="C47846" t="s">
        <v>4440</v>
      </c>
      <c r="D47846" t="s">
        <v>8768</v>
      </c>
    </row>
    <row r="47848" spans="1:4" x14ac:dyDescent="0.2">
      <c r="A47848" t="s">
        <v>15284</v>
      </c>
      <c r="B47848" t="str">
        <f>HYPERLINK("https://lindat.mff.cuni.cz/services/teitok/pdtc10/index.php?action=vallex&amp;frame=v-w6661f1", "svěřovat (v-w6661f1)")</f>
        <v>svěřovat (v-w6661f1)</v>
      </c>
    </row>
    <row r="47849" spans="1:4" x14ac:dyDescent="0.2">
      <c r="B47849" t="s">
        <v>1</v>
      </c>
      <c r="D47849" t="s">
        <v>1524</v>
      </c>
    </row>
    <row r="47850" spans="1:4" x14ac:dyDescent="0.2">
      <c r="B47850" t="s">
        <v>124</v>
      </c>
      <c r="D47850" t="s">
        <v>1750</v>
      </c>
    </row>
    <row r="47851" spans="1:4" x14ac:dyDescent="0.2">
      <c r="B47851" t="s">
        <v>35</v>
      </c>
      <c r="D47851" t="s">
        <v>8768</v>
      </c>
    </row>
    <row r="47853" spans="1:4" x14ac:dyDescent="0.2">
      <c r="A47853" t="s">
        <v>15285</v>
      </c>
      <c r="B47853" t="str">
        <f>HYPERLINK("https://lindat.mff.cuni.cz/services/teitok/pdtc10/index.php?action=vallex&amp;frame=v-w6661f2", "svěřovat (v-w6661f2)")</f>
        <v>svěřovat (v-w6661f2)</v>
      </c>
    </row>
    <row r="47854" spans="1:4" x14ac:dyDescent="0.2">
      <c r="B47854" t="s">
        <v>1</v>
      </c>
      <c r="D47854" t="s">
        <v>3590</v>
      </c>
    </row>
    <row r="47855" spans="1:4" x14ac:dyDescent="0.2">
      <c r="B47855" t="s">
        <v>41</v>
      </c>
      <c r="D47855" t="s">
        <v>1362</v>
      </c>
    </row>
    <row r="47856" spans="1:4" x14ac:dyDescent="0.2">
      <c r="B47856" t="s">
        <v>35</v>
      </c>
      <c r="D47856" t="s">
        <v>23896</v>
      </c>
    </row>
    <row r="47858" spans="1:4" x14ac:dyDescent="0.2">
      <c r="A47858" t="s">
        <v>15286</v>
      </c>
      <c r="B47858" t="str">
        <f>HYPERLINK("https://lindat.mff.cuni.cz/services/teitok/pdtc10/index.php?action=vallex&amp;frame=v-w6661f3", "svěřovat (v-w6661f3)")</f>
        <v>svěřovat (v-w6661f3)</v>
      </c>
    </row>
    <row r="47859" spans="1:4" x14ac:dyDescent="0.2">
      <c r="B47859" t="s">
        <v>1</v>
      </c>
      <c r="C47859" t="s">
        <v>140</v>
      </c>
    </row>
    <row r="47860" spans="1:4" x14ac:dyDescent="0.2">
      <c r="B47860" t="s">
        <v>8</v>
      </c>
      <c r="C47860" t="s">
        <v>34</v>
      </c>
    </row>
    <row r="47861" spans="1:4" x14ac:dyDescent="0.2">
      <c r="B47861" t="s">
        <v>35</v>
      </c>
      <c r="C47861" t="s">
        <v>8768</v>
      </c>
    </row>
    <row r="47863" spans="1:4" x14ac:dyDescent="0.2">
      <c r="A47863" t="s">
        <v>15287</v>
      </c>
      <c r="B47863" t="str">
        <f>HYPERLINK("https://lindat.mff.cuni.cz/services/teitok/pdtc10/index.php?action=vallex&amp;frame=v-w6662f1", "svěřovat se (v-w6662f1)")</f>
        <v>svěřovat se (v-w6662f1)</v>
      </c>
    </row>
    <row r="47864" spans="1:4" x14ac:dyDescent="0.2">
      <c r="B47864" t="s">
        <v>1</v>
      </c>
      <c r="D47864" t="s">
        <v>24227</v>
      </c>
    </row>
    <row r="47865" spans="1:4" x14ac:dyDescent="0.2">
      <c r="B47865" t="s">
        <v>15283</v>
      </c>
      <c r="D47865" t="s">
        <v>24228</v>
      </c>
    </row>
    <row r="47866" spans="1:4" x14ac:dyDescent="0.2">
      <c r="B47866" t="s">
        <v>35</v>
      </c>
      <c r="D47866" t="s">
        <v>7074</v>
      </c>
    </row>
    <row r="47868" spans="1:4" x14ac:dyDescent="0.2">
      <c r="A47868" t="s">
        <v>15288</v>
      </c>
      <c r="B47868" t="str">
        <f>HYPERLINK("https://lindat.mff.cuni.cz/services/teitok/pdtc10/index.php?action=vallex&amp;frame=v-w6688f1", "symbolizovat (v-w6688f1)")</f>
        <v>symbolizovat (v-w6688f1)</v>
      </c>
    </row>
    <row r="47869" spans="1:4" x14ac:dyDescent="0.2">
      <c r="B47869" t="s">
        <v>479</v>
      </c>
      <c r="C47869" t="s">
        <v>147</v>
      </c>
      <c r="D47869" t="s">
        <v>147</v>
      </c>
    </row>
    <row r="47870" spans="1:4" x14ac:dyDescent="0.2">
      <c r="B47870" t="s">
        <v>41</v>
      </c>
      <c r="C47870" t="s">
        <v>299</v>
      </c>
      <c r="D47870" t="s">
        <v>299</v>
      </c>
    </row>
    <row r="47872" spans="1:4" x14ac:dyDescent="0.2">
      <c r="A47872" t="s">
        <v>15289</v>
      </c>
      <c r="B47872" t="str">
        <f>HYPERLINK("https://lindat.mff.cuni.cz/services/teitok/pdtc10/index.php?action=vallex&amp;frame=v-w6693f1", "sympatizovat (v-w6693f1)")</f>
        <v>sympatizovat (v-w6693f1)</v>
      </c>
    </row>
    <row r="47873" spans="1:4" x14ac:dyDescent="0.2">
      <c r="B47873" t="s">
        <v>1</v>
      </c>
    </row>
    <row r="47874" spans="1:4" x14ac:dyDescent="0.2">
      <c r="B47874" t="s">
        <v>411</v>
      </c>
    </row>
    <row r="47876" spans="1:4" x14ac:dyDescent="0.2">
      <c r="A47876" t="s">
        <v>15290</v>
      </c>
      <c r="B47876" t="str">
        <f>HYPERLINK("https://lindat.mff.cuni.cz/services/teitok/pdtc10/index.php?action=vallex&amp;frame=v-w11600_ZUf1_ZU", "synchronizovat (v-w11600_ZUf1_ZU)")</f>
        <v>synchronizovat (v-w11600_ZUf1_ZU)</v>
      </c>
    </row>
    <row r="47877" spans="1:4" x14ac:dyDescent="0.2">
      <c r="B47877" t="s">
        <v>1</v>
      </c>
      <c r="C47877" t="s">
        <v>140</v>
      </c>
      <c r="D47877" t="s">
        <v>334</v>
      </c>
    </row>
    <row r="47878" spans="1:4" x14ac:dyDescent="0.2">
      <c r="B47878" t="s">
        <v>8</v>
      </c>
      <c r="C47878" t="s">
        <v>113</v>
      </c>
      <c r="D47878" t="s">
        <v>23521</v>
      </c>
    </row>
    <row r="47880" spans="1:4" x14ac:dyDescent="0.2">
      <c r="A47880" t="s">
        <v>15291</v>
      </c>
      <c r="B47880" t="str">
        <f>HYPERLINK("https://lindat.mff.cuni.cz/services/teitok/pdtc10/index.php?action=vallex&amp;frame=v-w6698f4", "sypat (v-w6698f4)")</f>
        <v>sypat (v-w6698f4)</v>
      </c>
    </row>
    <row r="47881" spans="1:4" x14ac:dyDescent="0.2">
      <c r="B47881" t="s">
        <v>1</v>
      </c>
    </row>
    <row r="47882" spans="1:4" x14ac:dyDescent="0.2">
      <c r="B47882" t="s">
        <v>8</v>
      </c>
    </row>
    <row r="47883" spans="1:4" x14ac:dyDescent="0.2">
      <c r="B47883" t="s">
        <v>35</v>
      </c>
    </row>
    <row r="47885" spans="1:4" x14ac:dyDescent="0.2">
      <c r="A47885" t="s">
        <v>15292</v>
      </c>
      <c r="B47885" t="str">
        <f>HYPERLINK("https://lindat.mff.cuni.cz/services/teitok/pdtc10/index.php?action=vallex&amp;frame=v-w6698f6_ZU", "sypat (v-w6698f6_ZU)")</f>
        <v>sypat (v-w6698f6_ZU)</v>
      </c>
    </row>
    <row r="47886" spans="1:4" x14ac:dyDescent="0.2">
      <c r="B47886" t="s">
        <v>1</v>
      </c>
    </row>
    <row r="47887" spans="1:4" x14ac:dyDescent="0.2">
      <c r="B47887" t="s">
        <v>8</v>
      </c>
    </row>
    <row r="47888" spans="1:4" x14ac:dyDescent="0.2">
      <c r="B47888" t="s">
        <v>4622</v>
      </c>
    </row>
    <row r="47890" spans="1:4" x14ac:dyDescent="0.2">
      <c r="A47890" t="s">
        <v>15293</v>
      </c>
      <c r="B47890" t="str">
        <f>HYPERLINK("https://lindat.mff.cuni.cz/services/teitok/pdtc10/index.php?action=vallex&amp;frame=v-w6698f1", "sypat (v-w6698f1)")</f>
        <v>sypat (v-w6698f1)</v>
      </c>
    </row>
    <row r="47891" spans="1:4" x14ac:dyDescent="0.2">
      <c r="B47891" t="s">
        <v>1</v>
      </c>
      <c r="D47891" t="s">
        <v>1077</v>
      </c>
    </row>
    <row r="47892" spans="1:4" x14ac:dyDescent="0.2">
      <c r="B47892" t="s">
        <v>8</v>
      </c>
      <c r="D47892" t="s">
        <v>3324</v>
      </c>
    </row>
    <row r="47893" spans="1:4" x14ac:dyDescent="0.2">
      <c r="B47893" t="s">
        <v>90</v>
      </c>
    </row>
    <row r="47895" spans="1:4" x14ac:dyDescent="0.2">
      <c r="A47895" t="s">
        <v>15294</v>
      </c>
      <c r="B47895" t="str">
        <f>HYPERLINK("https://lindat.mff.cuni.cz/services/teitok/pdtc10/index.php?action=vallex&amp;frame=v-w6698f5", "sypat (v-w6698f5)")</f>
        <v>sypat (v-w6698f5)</v>
      </c>
    </row>
    <row r="47896" spans="1:4" x14ac:dyDescent="0.2">
      <c r="B47896" t="s">
        <v>1</v>
      </c>
    </row>
    <row r="47897" spans="1:4" x14ac:dyDescent="0.2">
      <c r="B47897" t="s">
        <v>8</v>
      </c>
    </row>
    <row r="47899" spans="1:4" x14ac:dyDescent="0.2">
      <c r="A47899" t="s">
        <v>15295</v>
      </c>
      <c r="B47899" t="str">
        <f>HYPERLINK("https://lindat.mff.cuni.cz/services/teitok/pdtc10/index.php?action=vallex&amp;frame=v-w6698f3", "sypat (v-w6698f3)")</f>
        <v>sypat (v-w6698f3)</v>
      </c>
    </row>
    <row r="47900" spans="1:4" x14ac:dyDescent="0.2">
      <c r="B47900" t="s">
        <v>1</v>
      </c>
    </row>
    <row r="47901" spans="1:4" x14ac:dyDescent="0.2">
      <c r="B47901" t="s">
        <v>90</v>
      </c>
    </row>
    <row r="47903" spans="1:4" x14ac:dyDescent="0.2">
      <c r="A47903" t="s">
        <v>15296</v>
      </c>
      <c r="B47903" t="str">
        <f>HYPERLINK("https://lindat.mff.cuni.cz/services/teitok/pdtc10/index.php?action=vallex&amp;frame=v-w6698f2", "sypat (v-w6698f2)")</f>
        <v>sypat (v-w6698f2)</v>
      </c>
    </row>
    <row r="47904" spans="1:4" x14ac:dyDescent="0.2">
      <c r="B47904" t="s">
        <v>1</v>
      </c>
    </row>
    <row r="47905" spans="1:3" x14ac:dyDescent="0.2">
      <c r="B47905" t="s">
        <v>15297</v>
      </c>
    </row>
    <row r="47906" spans="1:3" x14ac:dyDescent="0.2">
      <c r="B47906" t="s">
        <v>8</v>
      </c>
    </row>
    <row r="47908" spans="1:3" x14ac:dyDescent="0.2">
      <c r="A47908" t="s">
        <v>15298</v>
      </c>
      <c r="B47908" t="str">
        <f>HYPERLINK("https://lindat.mff.cuni.cz/services/teitok/pdtc10/index.php?action=vallex&amp;frame=v-w6699f1", "sypat se (v-w6699f1)")</f>
        <v>sypat se (v-w6699f1)</v>
      </c>
    </row>
    <row r="47909" spans="1:3" x14ac:dyDescent="0.2">
      <c r="B47909" t="s">
        <v>1</v>
      </c>
    </row>
    <row r="47910" spans="1:3" x14ac:dyDescent="0.2">
      <c r="B47910" t="s">
        <v>90</v>
      </c>
    </row>
    <row r="47912" spans="1:3" x14ac:dyDescent="0.2">
      <c r="A47912" t="s">
        <v>15299</v>
      </c>
      <c r="B47912" t="str">
        <f>HYPERLINK("https://lindat.mff.cuni.cz/services/teitok/pdtc10/index.php?action=vallex&amp;frame=v-w10834f3", "sytit (v-w10834f3)")</f>
        <v>sytit (v-w10834f3)</v>
      </c>
    </row>
    <row r="47913" spans="1:3" x14ac:dyDescent="0.2">
      <c r="B47913" t="s">
        <v>1</v>
      </c>
    </row>
    <row r="47914" spans="1:3" x14ac:dyDescent="0.2">
      <c r="B47914" t="s">
        <v>8</v>
      </c>
    </row>
    <row r="47916" spans="1:3" x14ac:dyDescent="0.2">
      <c r="A47916" t="s">
        <v>15300</v>
      </c>
      <c r="B47916" t="str">
        <f>HYPERLINK("https://lindat.mff.cuni.cz/services/teitok/pdtc10/index.php?action=vallex&amp;frame=v-w10834f2", "sytit (v-w10834f2)")</f>
        <v>sytit (v-w10834f2)</v>
      </c>
    </row>
    <row r="47917" spans="1:3" x14ac:dyDescent="0.2">
      <c r="B47917" t="s">
        <v>1</v>
      </c>
      <c r="C47917" t="s">
        <v>4597</v>
      </c>
    </row>
    <row r="47918" spans="1:3" x14ac:dyDescent="0.2">
      <c r="B47918" t="s">
        <v>8</v>
      </c>
      <c r="C47918" t="s">
        <v>991</v>
      </c>
    </row>
    <row r="47920" spans="1:3" x14ac:dyDescent="0.2">
      <c r="A47920" t="s">
        <v>15301</v>
      </c>
      <c r="B47920" t="str">
        <f>HYPERLINK("https://lindat.mff.cuni.cz/services/teitok/pdtc10/index.php?action=vallex&amp;frame=v-w6685f2_ZU", "syčet (v-w6685f2_ZU)")</f>
        <v>syčet (v-w6685f2_ZU)</v>
      </c>
    </row>
    <row r="47921" spans="1:3" x14ac:dyDescent="0.2">
      <c r="B47921" t="s">
        <v>1</v>
      </c>
    </row>
    <row r="47922" spans="1:3" x14ac:dyDescent="0.2">
      <c r="B47922" t="s">
        <v>46</v>
      </c>
    </row>
    <row r="47924" spans="1:3" x14ac:dyDescent="0.2">
      <c r="A47924" t="s">
        <v>15301</v>
      </c>
      <c r="B47924" t="str">
        <f>HYPERLINK("https://lindat.mff.cuni.cz/services/teitok/pdtc10/index.php?action=vallex&amp;frame=v-w6685f1", "syčet (v-w6685f1) - substituted with v-w6685f2_ZU")</f>
        <v>syčet (v-w6685f1) - substituted with v-w6685f2_ZU</v>
      </c>
    </row>
    <row r="47925" spans="1:3" x14ac:dyDescent="0.2">
      <c r="B47925" t="s">
        <v>1</v>
      </c>
    </row>
    <row r="47926" spans="1:3" x14ac:dyDescent="0.2">
      <c r="B47926" t="s">
        <v>46</v>
      </c>
    </row>
    <row r="47928" spans="1:3" x14ac:dyDescent="0.2">
      <c r="A47928" t="s">
        <v>15302</v>
      </c>
      <c r="B47928" t="str">
        <f>HYPERLINK("https://lindat.mff.cuni.cz/services/teitok/pdtc10/index.php?action=vallex&amp;frame=v-w5891f1", "sáhnout (v-w5891f1)")</f>
        <v>sáhnout (v-w5891f1)</v>
      </c>
    </row>
    <row r="47929" spans="1:3" x14ac:dyDescent="0.2">
      <c r="B47929" t="s">
        <v>1</v>
      </c>
      <c r="C47929" t="s">
        <v>109</v>
      </c>
    </row>
    <row r="47930" spans="1:3" x14ac:dyDescent="0.2">
      <c r="B47930" t="s">
        <v>13675</v>
      </c>
      <c r="C47930" t="s">
        <v>2886</v>
      </c>
    </row>
    <row r="47932" spans="1:3" x14ac:dyDescent="0.2">
      <c r="A47932" t="s">
        <v>15303</v>
      </c>
      <c r="B47932" t="str">
        <f>HYPERLINK("https://lindat.mff.cuni.cz/services/teitok/pdtc10/index.php?action=vallex&amp;frame=v-w5891f3", "sáhnout (v-w5891f3)")</f>
        <v>sáhnout (v-w5891f3)</v>
      </c>
    </row>
    <row r="47933" spans="1:3" x14ac:dyDescent="0.2">
      <c r="B47933" t="s">
        <v>1</v>
      </c>
    </row>
    <row r="47934" spans="1:3" x14ac:dyDescent="0.2">
      <c r="B47934" t="s">
        <v>28</v>
      </c>
    </row>
    <row r="47936" spans="1:3" x14ac:dyDescent="0.2">
      <c r="A47936" t="s">
        <v>15304</v>
      </c>
      <c r="B47936" t="str">
        <f>HYPERLINK("https://lindat.mff.cuni.cz/services/teitok/pdtc10/index.php?action=vallex&amp;frame=v-w5891f4_ZU", "sáhnout (v-w5891f4_ZU)")</f>
        <v>sáhnout (v-w5891f4_ZU)</v>
      </c>
    </row>
    <row r="47937" spans="1:4" x14ac:dyDescent="0.2">
      <c r="B47937" t="s">
        <v>1</v>
      </c>
    </row>
    <row r="47938" spans="1:4" x14ac:dyDescent="0.2">
      <c r="B47938" t="s">
        <v>90</v>
      </c>
    </row>
    <row r="47940" spans="1:4" x14ac:dyDescent="0.2">
      <c r="A47940" t="s">
        <v>15304</v>
      </c>
      <c r="B47940" t="str">
        <f>HYPERLINK("https://lindat.mff.cuni.cz/services/teitok/pdtc10/index.php?action=vallex&amp;frame=v-w5891f2", "sáhnout (v-w5891f2) - substituted with v-w5891f4_ZU")</f>
        <v>sáhnout (v-w5891f2) - substituted with v-w5891f4_ZU</v>
      </c>
    </row>
    <row r="47941" spans="1:4" x14ac:dyDescent="0.2">
      <c r="B47941" t="s">
        <v>1</v>
      </c>
      <c r="C47941" t="s">
        <v>22</v>
      </c>
      <c r="D47941" t="s">
        <v>373</v>
      </c>
    </row>
    <row r="47942" spans="1:4" x14ac:dyDescent="0.2">
      <c r="B47942" t="s">
        <v>90</v>
      </c>
      <c r="C47942" t="s">
        <v>15305</v>
      </c>
      <c r="D47942" t="s">
        <v>10652</v>
      </c>
    </row>
    <row r="47944" spans="1:4" x14ac:dyDescent="0.2">
      <c r="A47944" t="s">
        <v>15306</v>
      </c>
      <c r="B47944" t="str">
        <f>HYPERLINK("https://lindat.mff.cuni.cz/services/teitok/pdtc10/index.php?action=vallex&amp;frame=v-whsa_2f1_ZU", "sáhnout si (v-whsa_2f1_ZU)")</f>
        <v>sáhnout si (v-whsa_2f1_ZU)</v>
      </c>
    </row>
    <row r="47945" spans="1:4" x14ac:dyDescent="0.2">
      <c r="B47945" t="s">
        <v>1</v>
      </c>
    </row>
    <row r="47946" spans="1:4" x14ac:dyDescent="0.2">
      <c r="B47946" t="s">
        <v>15307</v>
      </c>
    </row>
    <row r="47948" spans="1:4" x14ac:dyDescent="0.2">
      <c r="A47948" t="s">
        <v>15306</v>
      </c>
      <c r="B47948" t="str">
        <f>HYPERLINK("https://lindat.mff.cuni.cz/services/teitok/pdtc10/index.php?action=vallex&amp;frame=v-whsa_2hsa_3", "sáhnout si (v-whsa_2hsa_3) - substituted with v-whsa_2f1_ZU")</f>
        <v>sáhnout si (v-whsa_2hsa_3) - substituted with v-whsa_2f1_ZU</v>
      </c>
    </row>
    <row r="47949" spans="1:4" x14ac:dyDescent="0.2">
      <c r="B47949" t="s">
        <v>1</v>
      </c>
    </row>
    <row r="47950" spans="1:4" x14ac:dyDescent="0.2">
      <c r="B47950" t="s">
        <v>15307</v>
      </c>
    </row>
    <row r="47952" spans="1:4" x14ac:dyDescent="0.2">
      <c r="A47952" t="s">
        <v>15308</v>
      </c>
      <c r="B47952" t="str">
        <f>HYPERLINK("https://lindat.mff.cuni.cz/services/teitok/pdtc10/index.php?action=vallex&amp;frame=v-w12307_MMf1_MM", "sápat se (v-w12307_MMf1_MM)")</f>
        <v>sápat se (v-w12307_MMf1_MM)</v>
      </c>
    </row>
    <row r="47953" spans="1:4" x14ac:dyDescent="0.2">
      <c r="B47953" t="s">
        <v>1</v>
      </c>
    </row>
    <row r="47954" spans="1:4" x14ac:dyDescent="0.2">
      <c r="B47954" t="s">
        <v>15309</v>
      </c>
    </row>
    <row r="47956" spans="1:4" x14ac:dyDescent="0.2">
      <c r="A47956" t="s">
        <v>15310</v>
      </c>
      <c r="B47956" t="str">
        <f>HYPERLINK("https://lindat.mff.cuni.cz/services/teitok/pdtc10/index.php?action=vallex&amp;frame=v-whsa_1790hsa_1791", "sát (v-whsa_1790hsa_1791)")</f>
        <v>sát (v-whsa_1790hsa_1791)</v>
      </c>
    </row>
    <row r="47957" spans="1:4" x14ac:dyDescent="0.2">
      <c r="B47957" t="s">
        <v>1</v>
      </c>
    </row>
    <row r="47958" spans="1:4" x14ac:dyDescent="0.2">
      <c r="B47958" t="s">
        <v>8</v>
      </c>
    </row>
    <row r="47960" spans="1:4" x14ac:dyDescent="0.2">
      <c r="A47960" t="s">
        <v>15311</v>
      </c>
      <c r="B47960" t="str">
        <f>HYPERLINK("https://lindat.mff.cuni.cz/services/teitok/pdtc10/index.php?action=vallex&amp;frame=v-w5898f3", "sázet (v-w5898f3)")</f>
        <v>sázet (v-w5898f3)</v>
      </c>
    </row>
    <row r="47961" spans="1:4" x14ac:dyDescent="0.2">
      <c r="B47961" t="s">
        <v>1</v>
      </c>
    </row>
    <row r="47962" spans="1:4" x14ac:dyDescent="0.2">
      <c r="B47962" t="s">
        <v>8</v>
      </c>
    </row>
    <row r="47963" spans="1:4" x14ac:dyDescent="0.2">
      <c r="B47963" t="s">
        <v>35</v>
      </c>
    </row>
    <row r="47965" spans="1:4" x14ac:dyDescent="0.2">
      <c r="A47965" t="s">
        <v>15312</v>
      </c>
      <c r="B47965" t="str">
        <f>HYPERLINK("https://lindat.mff.cuni.cz/services/teitok/pdtc10/index.php?action=vallex&amp;frame=v-w5898f2", "sázet (v-w5898f2)")</f>
        <v>sázet (v-w5898f2)</v>
      </c>
    </row>
    <row r="47966" spans="1:4" x14ac:dyDescent="0.2">
      <c r="B47966" t="s">
        <v>1</v>
      </c>
      <c r="C47966" t="s">
        <v>33</v>
      </c>
      <c r="D47966" t="s">
        <v>1065</v>
      </c>
    </row>
    <row r="47967" spans="1:4" x14ac:dyDescent="0.2">
      <c r="B47967" t="s">
        <v>8</v>
      </c>
      <c r="C47967" t="s">
        <v>1128</v>
      </c>
      <c r="D47967" t="s">
        <v>5518</v>
      </c>
    </row>
    <row r="47968" spans="1:4" x14ac:dyDescent="0.2">
      <c r="B47968" t="s">
        <v>61</v>
      </c>
    </row>
    <row r="47970" spans="1:4" x14ac:dyDescent="0.2">
      <c r="A47970" t="s">
        <v>15313</v>
      </c>
      <c r="B47970" t="str">
        <f>HYPERLINK("https://lindat.mff.cuni.cz/services/teitok/pdtc10/index.php?action=vallex&amp;frame=v-w5898f5", "sázet (v-w5898f5)")</f>
        <v>sázet (v-w5898f5)</v>
      </c>
    </row>
    <row r="47971" spans="1:4" x14ac:dyDescent="0.2">
      <c r="B47971" t="s">
        <v>1</v>
      </c>
    </row>
    <row r="47972" spans="1:4" x14ac:dyDescent="0.2">
      <c r="B47972" t="s">
        <v>8</v>
      </c>
    </row>
    <row r="47973" spans="1:4" x14ac:dyDescent="0.2">
      <c r="B47973" t="s">
        <v>90</v>
      </c>
    </row>
    <row r="47975" spans="1:4" x14ac:dyDescent="0.2">
      <c r="A47975" t="s">
        <v>15314</v>
      </c>
      <c r="B47975" t="str">
        <f>HYPERLINK("https://lindat.mff.cuni.cz/services/teitok/pdtc10/index.php?action=vallex&amp;frame=v-w5898f4", "sázet (v-w5898f4)")</f>
        <v>sázet (v-w5898f4)</v>
      </c>
    </row>
    <row r="47976" spans="1:4" x14ac:dyDescent="0.2">
      <c r="B47976" t="s">
        <v>1</v>
      </c>
    </row>
    <row r="47977" spans="1:4" x14ac:dyDescent="0.2">
      <c r="B47977" t="s">
        <v>8</v>
      </c>
    </row>
    <row r="47979" spans="1:4" x14ac:dyDescent="0.2">
      <c r="A47979" t="s">
        <v>15315</v>
      </c>
      <c r="B47979" t="str">
        <f>HYPERLINK("https://lindat.mff.cuni.cz/services/teitok/pdtc10/index.php?action=vallex&amp;frame=v-w5898f1", "sázet (v-w5898f1)")</f>
        <v>sázet (v-w5898f1)</v>
      </c>
    </row>
    <row r="47980" spans="1:4" x14ac:dyDescent="0.2">
      <c r="B47980" t="s">
        <v>1</v>
      </c>
      <c r="C47980" t="s">
        <v>92</v>
      </c>
      <c r="D47980" t="s">
        <v>1065</v>
      </c>
    </row>
    <row r="47981" spans="1:4" x14ac:dyDescent="0.2">
      <c r="B47981" t="s">
        <v>28</v>
      </c>
      <c r="C47981" t="s">
        <v>15316</v>
      </c>
      <c r="D47981" t="s">
        <v>5518</v>
      </c>
    </row>
    <row r="47983" spans="1:4" x14ac:dyDescent="0.2">
      <c r="A47983" t="s">
        <v>15317</v>
      </c>
      <c r="B47983" t="str">
        <f>HYPERLINK("https://lindat.mff.cuni.cz/services/teitok/pdtc10/index.php?action=vallex&amp;frame=v-w11583_ZUf3_ZU", "sázet se (v-w11583_ZUf3_ZU)")</f>
        <v>sázet se (v-w11583_ZUf3_ZU)</v>
      </c>
    </row>
    <row r="47984" spans="1:4" x14ac:dyDescent="0.2">
      <c r="B47984" t="s">
        <v>1</v>
      </c>
      <c r="D47984" t="s">
        <v>83</v>
      </c>
    </row>
    <row r="47985" spans="1:4" x14ac:dyDescent="0.2">
      <c r="B47985" t="s">
        <v>153</v>
      </c>
      <c r="D47985" t="s">
        <v>17270</v>
      </c>
    </row>
    <row r="47986" spans="1:4" x14ac:dyDescent="0.2">
      <c r="B47986" t="s">
        <v>15318</v>
      </c>
      <c r="D47986" t="s">
        <v>21999</v>
      </c>
    </row>
    <row r="47987" spans="1:4" x14ac:dyDescent="0.2">
      <c r="B47987" t="s">
        <v>2287</v>
      </c>
      <c r="D47987" t="s">
        <v>17273</v>
      </c>
    </row>
    <row r="47989" spans="1:4" x14ac:dyDescent="0.2">
      <c r="A47989" t="s">
        <v>15317</v>
      </c>
      <c r="B47989" t="str">
        <f>HYPERLINK("https://lindat.mff.cuni.cz/services/teitok/pdtc10/index.php?action=vallex&amp;frame=v-w11583_ZUf1_ZU", "sázet se (v-w11583_ZUf1_ZU) - substituted with v-w11583_ZUf3_ZU")</f>
        <v>sázet se (v-w11583_ZUf1_ZU) - substituted with v-w11583_ZUf3_ZU</v>
      </c>
    </row>
    <row r="47990" spans="1:4" x14ac:dyDescent="0.2">
      <c r="B47990" t="s">
        <v>1</v>
      </c>
    </row>
    <row r="47991" spans="1:4" x14ac:dyDescent="0.2">
      <c r="B47991" t="s">
        <v>153</v>
      </c>
    </row>
    <row r="47992" spans="1:4" x14ac:dyDescent="0.2">
      <c r="B47992" t="s">
        <v>15318</v>
      </c>
    </row>
    <row r="47993" spans="1:4" x14ac:dyDescent="0.2">
      <c r="B47993" t="s">
        <v>2287</v>
      </c>
    </row>
    <row r="47995" spans="1:4" x14ac:dyDescent="0.2">
      <c r="A47995" t="s">
        <v>15317</v>
      </c>
      <c r="B47995" t="str">
        <f>HYPERLINK("https://lindat.mff.cuni.cz/services/teitok/pdtc10/index.php?action=vallex&amp;frame=v-w11583_ZUf2_ZU", "sázet se (v-w11583_ZUf2_ZU) - substituted with v-w11583_ZUf3_ZU")</f>
        <v>sázet se (v-w11583_ZUf2_ZU) - substituted with v-w11583_ZUf3_ZU</v>
      </c>
    </row>
    <row r="47996" spans="1:4" x14ac:dyDescent="0.2">
      <c r="B47996" t="s">
        <v>1</v>
      </c>
      <c r="C47996" t="s">
        <v>1065</v>
      </c>
    </row>
    <row r="47997" spans="1:4" x14ac:dyDescent="0.2">
      <c r="B47997" t="s">
        <v>153</v>
      </c>
    </row>
    <row r="47998" spans="1:4" x14ac:dyDescent="0.2">
      <c r="B47998" t="s">
        <v>15318</v>
      </c>
      <c r="C47998" t="s">
        <v>15319</v>
      </c>
    </row>
    <row r="47999" spans="1:4" x14ac:dyDescent="0.2">
      <c r="B47999" t="s">
        <v>2287</v>
      </c>
    </row>
    <row r="48001" spans="1:4" x14ac:dyDescent="0.2">
      <c r="A48001" t="s">
        <v>15320</v>
      </c>
      <c r="B48001" t="str">
        <f>HYPERLINK("https://lindat.mff.cuni.cz/services/teitok/pdtc10/index.php?action=vallex&amp;frame=v-whsa_1543hsa_1544", "sáňkovat (v-whsa_1543hsa_1544)")</f>
        <v>sáňkovat (v-whsa_1543hsa_1544)</v>
      </c>
    </row>
    <row r="48002" spans="1:4" x14ac:dyDescent="0.2">
      <c r="B48002" t="s">
        <v>1</v>
      </c>
    </row>
    <row r="48004" spans="1:4" x14ac:dyDescent="0.2">
      <c r="A48004" t="s">
        <v>15321</v>
      </c>
      <c r="B48004" t="str">
        <f>HYPERLINK("https://lindat.mff.cuni.cz/services/teitok/pdtc10/index.php?action=vallex&amp;frame=v-w6061f1", "sídlit (v-w6061f1)")</f>
        <v>sídlit (v-w6061f1)</v>
      </c>
    </row>
    <row r="48005" spans="1:4" x14ac:dyDescent="0.2">
      <c r="B48005" t="s">
        <v>1</v>
      </c>
      <c r="C48005" t="s">
        <v>15322</v>
      </c>
      <c r="D48005" t="s">
        <v>23456</v>
      </c>
    </row>
    <row r="48006" spans="1:4" x14ac:dyDescent="0.2">
      <c r="B48006" t="s">
        <v>5</v>
      </c>
      <c r="C48006" t="s">
        <v>15323</v>
      </c>
      <c r="D48006" t="s">
        <v>23457</v>
      </c>
    </row>
    <row r="48008" spans="1:4" x14ac:dyDescent="0.2">
      <c r="A48008" t="s">
        <v>15324</v>
      </c>
      <c r="B48008" t="str">
        <f>HYPERLINK("https://lindat.mff.cuni.cz/services/teitok/pdtc10/index.php?action=vallex&amp;frame=v-w6069f1", "sílit (v-w6069f1)")</f>
        <v>sílit (v-w6069f1)</v>
      </c>
    </row>
    <row r="48009" spans="1:4" x14ac:dyDescent="0.2">
      <c r="B48009" t="s">
        <v>1</v>
      </c>
      <c r="C48009" t="s">
        <v>15325</v>
      </c>
      <c r="D48009" t="s">
        <v>23449</v>
      </c>
    </row>
    <row r="48011" spans="1:4" x14ac:dyDescent="0.2">
      <c r="A48011" t="s">
        <v>15326</v>
      </c>
      <c r="B48011" t="str">
        <f>HYPERLINK("https://lindat.mff.cuni.cz/services/teitok/pdtc10/index.php?action=vallex&amp;frame=v-w10061f2", "sípat (v-w10061f2)")</f>
        <v>sípat (v-w10061f2)</v>
      </c>
    </row>
    <row r="48012" spans="1:4" x14ac:dyDescent="0.2">
      <c r="B48012" t="s">
        <v>1</v>
      </c>
      <c r="C48012" t="s">
        <v>140</v>
      </c>
      <c r="D48012" t="s">
        <v>33</v>
      </c>
    </row>
    <row r="48014" spans="1:4" x14ac:dyDescent="0.2">
      <c r="A48014" t="s">
        <v>15327</v>
      </c>
      <c r="B48014" t="str">
        <f>HYPERLINK("https://lindat.mff.cuni.cz/services/teitok/pdtc10/index.php?action=vallex&amp;frame=v-w10575f2", "sít (v-w10575f2)")</f>
        <v>sít (v-w10575f2)</v>
      </c>
    </row>
    <row r="48015" spans="1:4" x14ac:dyDescent="0.2">
      <c r="B48015" t="s">
        <v>1</v>
      </c>
      <c r="C48015" t="s">
        <v>83</v>
      </c>
      <c r="D48015" t="s">
        <v>83</v>
      </c>
    </row>
    <row r="48016" spans="1:4" x14ac:dyDescent="0.2">
      <c r="B48016" t="s">
        <v>8</v>
      </c>
      <c r="C48016" t="s">
        <v>1128</v>
      </c>
      <c r="D48016" t="s">
        <v>1128</v>
      </c>
    </row>
    <row r="48018" spans="1:4" x14ac:dyDescent="0.2">
      <c r="A48018" t="s">
        <v>15328</v>
      </c>
      <c r="B48018" t="str">
        <f>HYPERLINK("https://lindat.mff.cuni.cz/services/teitok/pdtc10/index.php?action=vallex&amp;frame=v-w6686f1", "sýčkovat (v-w6686f1)")</f>
        <v>sýčkovat (v-w6686f1)</v>
      </c>
    </row>
    <row r="48019" spans="1:4" x14ac:dyDescent="0.2">
      <c r="B48019" t="s">
        <v>1</v>
      </c>
    </row>
    <row r="48020" spans="1:4" x14ac:dyDescent="0.2">
      <c r="B48020" t="s">
        <v>15329</v>
      </c>
    </row>
    <row r="48021" spans="1:4" x14ac:dyDescent="0.2">
      <c r="B48021" t="s">
        <v>269</v>
      </c>
    </row>
    <row r="48023" spans="1:4" x14ac:dyDescent="0.2">
      <c r="A48023" t="s">
        <v>15330</v>
      </c>
      <c r="B48023" t="str">
        <f>HYPERLINK("https://lindat.mff.cuni.cz/services/teitok/pdtc10/index.php?action=vallex&amp;frame=v-w5916f1", "sčítat (v-w5916f1)")</f>
        <v>sčítat (v-w5916f1)</v>
      </c>
    </row>
    <row r="48024" spans="1:4" x14ac:dyDescent="0.2">
      <c r="B48024" t="s">
        <v>1</v>
      </c>
      <c r="C48024" t="s">
        <v>3742</v>
      </c>
    </row>
    <row r="48025" spans="1:4" x14ac:dyDescent="0.2">
      <c r="B48025" t="s">
        <v>8</v>
      </c>
      <c r="C48025" t="s">
        <v>3308</v>
      </c>
      <c r="D48025" t="s">
        <v>34</v>
      </c>
    </row>
    <row r="48027" spans="1:4" x14ac:dyDescent="0.2">
      <c r="A48027" t="s">
        <v>15331</v>
      </c>
      <c r="B48027" t="str">
        <f>HYPERLINK("https://lindat.mff.cuni.cz/services/teitok/pdtc10/index.php?action=vallex&amp;frame=v-whsa_128hsa_129", "sžírat (v-whsa_128hsa_129)")</f>
        <v>sžírat (v-whsa_128hsa_129)</v>
      </c>
    </row>
    <row r="48028" spans="1:4" x14ac:dyDescent="0.2">
      <c r="B48028" t="s">
        <v>1</v>
      </c>
    </row>
    <row r="48029" spans="1:4" x14ac:dyDescent="0.2">
      <c r="B48029" t="s">
        <v>8</v>
      </c>
    </row>
    <row r="48031" spans="1:4" x14ac:dyDescent="0.2">
      <c r="A48031" t="s">
        <v>15332</v>
      </c>
      <c r="B48031" t="str">
        <f>HYPERLINK("https://lindat.mff.cuni.cz/services/teitok/pdtc10/index.php?action=vallex&amp;frame=v-w6701f1", "sžít se (v-w6701f1)")</f>
        <v>sžít se (v-w6701f1)</v>
      </c>
    </row>
    <row r="48032" spans="1:4" x14ac:dyDescent="0.2">
      <c r="B48032" t="s">
        <v>1</v>
      </c>
    </row>
    <row r="48033" spans="1:3" x14ac:dyDescent="0.2">
      <c r="B48033" t="s">
        <v>411</v>
      </c>
    </row>
    <row r="48035" spans="1:3" x14ac:dyDescent="0.2">
      <c r="A48035" t="s">
        <v>15333</v>
      </c>
      <c r="B48035" t="str">
        <f>HYPERLINK("https://lindat.mff.cuni.cz/services/teitok/pdtc10/index.php?action=vallex&amp;frame=v-w6767f1", "tabuizovat (v-w6767f1)")</f>
        <v>tabuizovat (v-w6767f1)</v>
      </c>
    </row>
    <row r="48036" spans="1:3" x14ac:dyDescent="0.2">
      <c r="B48036" t="s">
        <v>1</v>
      </c>
      <c r="C48036" t="s">
        <v>140</v>
      </c>
    </row>
    <row r="48037" spans="1:3" x14ac:dyDescent="0.2">
      <c r="B48037" t="s">
        <v>8</v>
      </c>
      <c r="C48037" t="s">
        <v>113</v>
      </c>
    </row>
    <row r="48039" spans="1:3" x14ac:dyDescent="0.2">
      <c r="A48039" t="s">
        <v>15334</v>
      </c>
      <c r="B48039" t="str">
        <f>HYPERLINK("https://lindat.mff.cuni.cz/services/teitok/pdtc10/index.php?action=vallex&amp;frame=v-w6770f1", "tahat (v-w6770f1)")</f>
        <v>tahat (v-w6770f1)</v>
      </c>
    </row>
    <row r="48040" spans="1:3" x14ac:dyDescent="0.2">
      <c r="B48040" t="s">
        <v>1</v>
      </c>
    </row>
    <row r="48041" spans="1:3" x14ac:dyDescent="0.2">
      <c r="B48041" t="s">
        <v>15335</v>
      </c>
    </row>
    <row r="48043" spans="1:3" x14ac:dyDescent="0.2">
      <c r="A48043" t="s">
        <v>15336</v>
      </c>
      <c r="B48043" t="str">
        <f>HYPERLINK("https://lindat.mff.cuni.cz/services/teitok/pdtc10/index.php?action=vallex&amp;frame=v-w6770f2_ZU", "tahat (v-w6770f2_ZU)")</f>
        <v>tahat (v-w6770f2_ZU)</v>
      </c>
    </row>
    <row r="48044" spans="1:3" x14ac:dyDescent="0.2">
      <c r="B48044" t="s">
        <v>1</v>
      </c>
      <c r="C48044" t="s">
        <v>249</v>
      </c>
    </row>
    <row r="48045" spans="1:3" x14ac:dyDescent="0.2">
      <c r="B48045" t="s">
        <v>15337</v>
      </c>
    </row>
    <row r="48047" spans="1:3" x14ac:dyDescent="0.2">
      <c r="A48047" t="s">
        <v>15336</v>
      </c>
      <c r="B48047" t="str">
        <f>HYPERLINK("https://lindat.mff.cuni.cz/services/teitok/pdtc10/index.php?action=vallex&amp;frame=v-w6770hsa_215", "tahat (v-w6770hsa_215) - substituted with v-w6770f2_ZU")</f>
        <v>tahat (v-w6770hsa_215) - substituted with v-w6770f2_ZU</v>
      </c>
    </row>
    <row r="48048" spans="1:3" x14ac:dyDescent="0.2">
      <c r="B48048" t="s">
        <v>1</v>
      </c>
    </row>
    <row r="48049" spans="1:4" x14ac:dyDescent="0.2">
      <c r="B48049" t="s">
        <v>15337</v>
      </c>
    </row>
    <row r="48051" spans="1:4" x14ac:dyDescent="0.2">
      <c r="A48051" t="s">
        <v>15338</v>
      </c>
      <c r="B48051" t="str">
        <f>HYPERLINK("https://lindat.mff.cuni.cz/services/teitok/pdtc10/index.php?action=vallex&amp;frame=v-w6770hsa_216", "tahat (v-w6770hsa_216)")</f>
        <v>tahat (v-w6770hsa_216)</v>
      </c>
    </row>
    <row r="48052" spans="1:4" x14ac:dyDescent="0.2">
      <c r="B48052" t="s">
        <v>1</v>
      </c>
      <c r="C48052" t="s">
        <v>33</v>
      </c>
      <c r="D48052" t="s">
        <v>83</v>
      </c>
    </row>
    <row r="48053" spans="1:4" x14ac:dyDescent="0.2">
      <c r="B48053" t="s">
        <v>8</v>
      </c>
      <c r="C48053" t="s">
        <v>34</v>
      </c>
      <c r="D48053" t="s">
        <v>335</v>
      </c>
    </row>
    <row r="48055" spans="1:4" x14ac:dyDescent="0.2">
      <c r="A48055" t="s">
        <v>15339</v>
      </c>
      <c r="B48055" t="str">
        <f>HYPERLINK("https://lindat.mff.cuni.cz/services/teitok/pdtc10/index.php?action=vallex&amp;frame=v-w6770f4_ZU", "tahat (v-w6770f4_ZU)")</f>
        <v>tahat (v-w6770f4_ZU)</v>
      </c>
    </row>
    <row r="48056" spans="1:4" x14ac:dyDescent="0.2">
      <c r="B48056" t="s">
        <v>1</v>
      </c>
    </row>
    <row r="48057" spans="1:4" x14ac:dyDescent="0.2">
      <c r="B48057" t="s">
        <v>8</v>
      </c>
    </row>
    <row r="48058" spans="1:4" x14ac:dyDescent="0.2">
      <c r="B48058" t="s">
        <v>90</v>
      </c>
    </row>
    <row r="48060" spans="1:4" x14ac:dyDescent="0.2">
      <c r="A48060" t="s">
        <v>15339</v>
      </c>
      <c r="B48060" t="str">
        <f>HYPERLINK("https://lindat.mff.cuni.cz/services/teitok/pdtc10/index.php?action=vallex&amp;frame=v-w6770hsa_1275", "tahat (v-w6770hsa_1275) - substituted with v-w6770f4_ZU")</f>
        <v>tahat (v-w6770hsa_1275) - substituted with v-w6770f4_ZU</v>
      </c>
    </row>
    <row r="48061" spans="1:4" x14ac:dyDescent="0.2">
      <c r="B48061" t="s">
        <v>1</v>
      </c>
    </row>
    <row r="48062" spans="1:4" x14ac:dyDescent="0.2">
      <c r="B48062" t="s">
        <v>8</v>
      </c>
    </row>
    <row r="48063" spans="1:4" x14ac:dyDescent="0.2">
      <c r="B48063" t="s">
        <v>90</v>
      </c>
    </row>
    <row r="48065" spans="1:2" x14ac:dyDescent="0.2">
      <c r="A48065" t="s">
        <v>15340</v>
      </c>
      <c r="B48065" t="str">
        <f>HYPERLINK("https://lindat.mff.cuni.cz/services/teitok/pdtc10/index.php?action=vallex&amp;frame=v-w6770f5_ZU", "tahat (v-w6770f5_ZU)")</f>
        <v>tahat (v-w6770f5_ZU)</v>
      </c>
    </row>
    <row r="48066" spans="1:2" x14ac:dyDescent="0.2">
      <c r="B48066" t="s">
        <v>1</v>
      </c>
    </row>
    <row r="48067" spans="1:2" x14ac:dyDescent="0.2">
      <c r="B48067" t="s">
        <v>8</v>
      </c>
    </row>
    <row r="48069" spans="1:2" x14ac:dyDescent="0.2">
      <c r="A48069" t="s">
        <v>15340</v>
      </c>
      <c r="B48069" t="str">
        <f>HYPERLINK("https://lindat.mff.cuni.cz/services/teitok/pdtc10/index.php?action=vallex&amp;frame=v-w6770f3_ZU", "tahat (v-w6770f3_ZU) - substituted with v-w6770f5_ZU")</f>
        <v>tahat (v-w6770f3_ZU) - substituted with v-w6770f5_ZU</v>
      </c>
    </row>
    <row r="48070" spans="1:2" x14ac:dyDescent="0.2">
      <c r="B48070" t="s">
        <v>1</v>
      </c>
    </row>
    <row r="48071" spans="1:2" x14ac:dyDescent="0.2">
      <c r="B48071" t="s">
        <v>8</v>
      </c>
    </row>
    <row r="48073" spans="1:2" x14ac:dyDescent="0.2">
      <c r="A48073" t="s">
        <v>15340</v>
      </c>
      <c r="B48073" t="str">
        <f>HYPERLINK("https://lindat.mff.cuni.cz/services/teitok/pdtc10/index.php?action=vallex&amp;frame=v-w6770hsa_1274", "tahat (v-w6770hsa_1274) - substituted with v-w6770f5_ZU")</f>
        <v>tahat (v-w6770hsa_1274) - substituted with v-w6770f5_ZU</v>
      </c>
    </row>
    <row r="48074" spans="1:2" x14ac:dyDescent="0.2">
      <c r="B48074" t="s">
        <v>1</v>
      </c>
    </row>
    <row r="48075" spans="1:2" x14ac:dyDescent="0.2">
      <c r="B48075" t="s">
        <v>8</v>
      </c>
    </row>
    <row r="48077" spans="1:2" x14ac:dyDescent="0.2">
      <c r="A48077" t="s">
        <v>15341</v>
      </c>
      <c r="B48077" t="str">
        <f>HYPERLINK("https://lindat.mff.cuni.cz/services/teitok/pdtc10/index.php?action=vallex&amp;frame=v-w6770f7_ZU", "tahat (v-w6770f7_ZU)")</f>
        <v>tahat (v-w6770f7_ZU)</v>
      </c>
    </row>
    <row r="48078" spans="1:2" x14ac:dyDescent="0.2">
      <c r="B48078" t="s">
        <v>1</v>
      </c>
    </row>
    <row r="48079" spans="1:2" x14ac:dyDescent="0.2">
      <c r="B48079" t="s">
        <v>8</v>
      </c>
    </row>
    <row r="48081" spans="1:4" x14ac:dyDescent="0.2">
      <c r="A48081" t="s">
        <v>15341</v>
      </c>
      <c r="B48081" t="str">
        <f>HYPERLINK("https://lindat.mff.cuni.cz/services/teitok/pdtc10/index.php?action=vallex&amp;frame=v-w6770f6_ZU", "tahat (v-w6770f6_ZU) - substituted with v-w6770f7_ZU")</f>
        <v>tahat (v-w6770f6_ZU) - substituted with v-w6770f7_ZU</v>
      </c>
    </row>
    <row r="48082" spans="1:4" x14ac:dyDescent="0.2">
      <c r="B48082" t="s">
        <v>1</v>
      </c>
    </row>
    <row r="48083" spans="1:4" x14ac:dyDescent="0.2">
      <c r="B48083" t="s">
        <v>8</v>
      </c>
    </row>
    <row r="48085" spans="1:4" x14ac:dyDescent="0.2">
      <c r="A48085" t="s">
        <v>15341</v>
      </c>
      <c r="B48085" t="str">
        <f>HYPERLINK("https://lindat.mff.cuni.cz/services/teitok/pdtc10/index.php?action=vallex&amp;frame=v-w6770hsa_1276", "tahat (v-w6770hsa_1276) - substituted with v-w6770f7_ZU")</f>
        <v>tahat (v-w6770hsa_1276) - substituted with v-w6770f7_ZU</v>
      </c>
    </row>
    <row r="48086" spans="1:4" x14ac:dyDescent="0.2">
      <c r="B48086" t="s">
        <v>1</v>
      </c>
    </row>
    <row r="48087" spans="1:4" x14ac:dyDescent="0.2">
      <c r="B48087" t="s">
        <v>8</v>
      </c>
    </row>
    <row r="48089" spans="1:4" x14ac:dyDescent="0.2">
      <c r="A48089" t="s">
        <v>15342</v>
      </c>
      <c r="B48089" t="str">
        <f>HYPERLINK("https://lindat.mff.cuni.cz/services/teitok/pdtc10/index.php?action=vallex&amp;frame=v-w6770hsa_1273", "tahat (v-w6770hsa_1273)")</f>
        <v>tahat (v-w6770hsa_1273)</v>
      </c>
    </row>
    <row r="48090" spans="1:4" x14ac:dyDescent="0.2">
      <c r="B48090" t="s">
        <v>1</v>
      </c>
    </row>
    <row r="48091" spans="1:4" x14ac:dyDescent="0.2">
      <c r="B48091" t="s">
        <v>8</v>
      </c>
    </row>
    <row r="48093" spans="1:4" x14ac:dyDescent="0.2">
      <c r="A48093" t="s">
        <v>15343</v>
      </c>
      <c r="B48093" t="str">
        <f>HYPERLINK("https://lindat.mff.cuni.cz/services/teitok/pdtc10/index.php?action=vallex&amp;frame=v-w6774f1", "tajit (v-w6774f1)")</f>
        <v>tajit (v-w6774f1)</v>
      </c>
    </row>
    <row r="48094" spans="1:4" x14ac:dyDescent="0.2">
      <c r="B48094" t="s">
        <v>1</v>
      </c>
      <c r="C48094" t="s">
        <v>133</v>
      </c>
      <c r="D48094" t="s">
        <v>23440</v>
      </c>
    </row>
    <row r="48095" spans="1:4" x14ac:dyDescent="0.2">
      <c r="B48095" t="s">
        <v>3199</v>
      </c>
      <c r="C48095" t="s">
        <v>15344</v>
      </c>
      <c r="D48095" t="s">
        <v>23441</v>
      </c>
    </row>
    <row r="48096" spans="1:4" x14ac:dyDescent="0.2">
      <c r="B48096" t="s">
        <v>216</v>
      </c>
      <c r="C48096" t="s">
        <v>8768</v>
      </c>
      <c r="D48096" t="s">
        <v>14173</v>
      </c>
    </row>
    <row r="48098" spans="1:3" x14ac:dyDescent="0.2">
      <c r="A48098" t="s">
        <v>15345</v>
      </c>
      <c r="B48098" t="str">
        <f>HYPERLINK("https://lindat.mff.cuni.cz/services/teitok/pdtc10/index.php?action=vallex&amp;frame=v-w6774f2", "tajit (v-w6774f2)")</f>
        <v>tajit (v-w6774f2)</v>
      </c>
    </row>
    <row r="48099" spans="1:3" x14ac:dyDescent="0.2">
      <c r="B48099" t="s">
        <v>1</v>
      </c>
    </row>
    <row r="48100" spans="1:3" x14ac:dyDescent="0.2">
      <c r="B48100" t="s">
        <v>13705</v>
      </c>
    </row>
    <row r="48101" spans="1:3" x14ac:dyDescent="0.2">
      <c r="B48101" t="s">
        <v>269</v>
      </c>
    </row>
    <row r="48102" spans="1:3" x14ac:dyDescent="0.2">
      <c r="B48102" t="s">
        <v>3200</v>
      </c>
    </row>
    <row r="48104" spans="1:3" x14ac:dyDescent="0.2">
      <c r="A48104" t="s">
        <v>15346</v>
      </c>
      <c r="B48104" t="str">
        <f>HYPERLINK("https://lindat.mff.cuni.cz/services/teitok/pdtc10/index.php?action=vallex&amp;frame=v-w6775f1", "tajit se (v-w6775f1)")</f>
        <v>tajit se (v-w6775f1)</v>
      </c>
    </row>
    <row r="48105" spans="1:3" x14ac:dyDescent="0.2">
      <c r="B48105" t="s">
        <v>1</v>
      </c>
    </row>
    <row r="48106" spans="1:3" x14ac:dyDescent="0.2">
      <c r="B48106" t="s">
        <v>15347</v>
      </c>
    </row>
    <row r="48108" spans="1:3" x14ac:dyDescent="0.2">
      <c r="A48108" t="s">
        <v>15348</v>
      </c>
      <c r="B48108" t="str">
        <f>HYPERLINK("https://lindat.mff.cuni.cz/services/teitok/pdtc10/index.php?action=vallex&amp;frame=v-w11601_ZUf3_ZU", "taktovat (v-w11601_ZUf3_ZU)")</f>
        <v>taktovat (v-w11601_ZUf3_ZU)</v>
      </c>
    </row>
    <row r="48109" spans="1:3" x14ac:dyDescent="0.2">
      <c r="B48109" t="s">
        <v>1</v>
      </c>
      <c r="C48109" t="s">
        <v>140</v>
      </c>
    </row>
    <row r="48110" spans="1:3" x14ac:dyDescent="0.2">
      <c r="B48110" t="s">
        <v>8</v>
      </c>
      <c r="C48110" t="s">
        <v>113</v>
      </c>
    </row>
    <row r="48111" spans="1:3" x14ac:dyDescent="0.2">
      <c r="B48111" t="s">
        <v>24</v>
      </c>
    </row>
    <row r="48112" spans="1:3" x14ac:dyDescent="0.2">
      <c r="B48112" t="s">
        <v>61</v>
      </c>
    </row>
    <row r="48114" spans="1:4" x14ac:dyDescent="0.2">
      <c r="A48114" t="s">
        <v>15348</v>
      </c>
      <c r="B48114" t="str">
        <f>HYPERLINK("https://lindat.mff.cuni.cz/services/teitok/pdtc10/index.php?action=vallex&amp;frame=v-w11601_ZUf1_ZU", "taktovat (v-w11601_ZUf1_ZU) - substituted with v-w11601_ZUf3_ZU")</f>
        <v>taktovat (v-w11601_ZUf1_ZU) - substituted with v-w11601_ZUf3_ZU</v>
      </c>
    </row>
    <row r="48115" spans="1:4" x14ac:dyDescent="0.2">
      <c r="B48115" t="s">
        <v>1</v>
      </c>
    </row>
    <row r="48116" spans="1:4" x14ac:dyDescent="0.2">
      <c r="B48116" t="s">
        <v>8</v>
      </c>
    </row>
    <row r="48117" spans="1:4" x14ac:dyDescent="0.2">
      <c r="B48117" t="s">
        <v>24</v>
      </c>
    </row>
    <row r="48118" spans="1:4" x14ac:dyDescent="0.2">
      <c r="B48118" t="s">
        <v>61</v>
      </c>
    </row>
    <row r="48120" spans="1:4" x14ac:dyDescent="0.2">
      <c r="A48120" t="s">
        <v>15348</v>
      </c>
      <c r="B48120" t="str">
        <f>HYPERLINK("https://lindat.mff.cuni.cz/services/teitok/pdtc10/index.php?action=vallex&amp;frame=v-w11601_ZUf2_ZU", "taktovat (v-w11601_ZUf2_ZU) - substituted with v-w11601_ZUf3_ZU")</f>
        <v>taktovat (v-w11601_ZUf2_ZU) - substituted with v-w11601_ZUf3_ZU</v>
      </c>
    </row>
    <row r="48121" spans="1:4" x14ac:dyDescent="0.2">
      <c r="B48121" t="s">
        <v>1</v>
      </c>
    </row>
    <row r="48122" spans="1:4" x14ac:dyDescent="0.2">
      <c r="B48122" t="s">
        <v>8</v>
      </c>
    </row>
    <row r="48123" spans="1:4" x14ac:dyDescent="0.2">
      <c r="B48123" t="s">
        <v>24</v>
      </c>
    </row>
    <row r="48124" spans="1:4" x14ac:dyDescent="0.2">
      <c r="B48124" t="s">
        <v>61</v>
      </c>
    </row>
    <row r="48126" spans="1:4" x14ac:dyDescent="0.2">
      <c r="A48126" t="s">
        <v>15349</v>
      </c>
      <c r="B48126" t="str">
        <f>HYPERLINK("https://lindat.mff.cuni.cz/services/teitok/pdtc10/index.php?action=vallex&amp;frame=v-w6777f1", "tancovat (v-w6777f1)")</f>
        <v>tancovat (v-w6777f1)</v>
      </c>
    </row>
    <row r="48127" spans="1:4" x14ac:dyDescent="0.2">
      <c r="B48127" t="s">
        <v>1</v>
      </c>
      <c r="D48127" t="s">
        <v>33</v>
      </c>
    </row>
    <row r="48128" spans="1:4" x14ac:dyDescent="0.2">
      <c r="B48128" t="s">
        <v>220</v>
      </c>
    </row>
    <row r="48130" spans="1:4" x14ac:dyDescent="0.2">
      <c r="A48130" t="s">
        <v>15350</v>
      </c>
      <c r="B48130" t="str">
        <f>HYPERLINK("https://lindat.mff.cuni.cz/services/teitok/pdtc10/index.php?action=vallex&amp;frame=v-w6782f1", "tankovat (v-w6782f1)")</f>
        <v>tankovat (v-w6782f1)</v>
      </c>
    </row>
    <row r="48131" spans="1:4" x14ac:dyDescent="0.2">
      <c r="B48131" t="s">
        <v>1</v>
      </c>
    </row>
    <row r="48132" spans="1:4" x14ac:dyDescent="0.2">
      <c r="B48132" t="s">
        <v>8</v>
      </c>
    </row>
    <row r="48134" spans="1:4" x14ac:dyDescent="0.2">
      <c r="A48134" t="s">
        <v>15351</v>
      </c>
      <c r="B48134" t="str">
        <f>HYPERLINK("https://lindat.mff.cuni.cz/services/teitok/pdtc10/index.php?action=vallex&amp;frame=v-w12224_ZUf1_ZU", "tanout (v-w12224_ZUf1_ZU)")</f>
        <v>tanout (v-w12224_ZUf1_ZU)</v>
      </c>
    </row>
    <row r="48135" spans="1:4" x14ac:dyDescent="0.2">
      <c r="B48135" t="s">
        <v>1</v>
      </c>
    </row>
    <row r="48136" spans="1:4" x14ac:dyDescent="0.2">
      <c r="B48136" t="s">
        <v>5060</v>
      </c>
    </row>
    <row r="48137" spans="1:4" x14ac:dyDescent="0.2">
      <c r="B48137" t="s">
        <v>103</v>
      </c>
    </row>
    <row r="48139" spans="1:4" x14ac:dyDescent="0.2">
      <c r="A48139" t="s">
        <v>15352</v>
      </c>
      <c r="B48139" t="str">
        <f>HYPERLINK("https://lindat.mff.cuni.cz/services/teitok/pdtc10/index.php?action=vallex&amp;frame=v-w6778f1", "tančit (v-w6778f1)")</f>
        <v>tančit (v-w6778f1)</v>
      </c>
    </row>
    <row r="48140" spans="1:4" x14ac:dyDescent="0.2">
      <c r="B48140" t="s">
        <v>1</v>
      </c>
      <c r="C48140" t="s">
        <v>33</v>
      </c>
      <c r="D48140" t="s">
        <v>33</v>
      </c>
    </row>
    <row r="48141" spans="1:4" x14ac:dyDescent="0.2">
      <c r="B48141" t="s">
        <v>220</v>
      </c>
    </row>
    <row r="48143" spans="1:4" x14ac:dyDescent="0.2">
      <c r="A48143" t="s">
        <v>15353</v>
      </c>
      <c r="B48143" t="str">
        <f>HYPERLINK("https://lindat.mff.cuni.cz/services/teitok/pdtc10/index.php?action=vallex&amp;frame=v-w6786f1", "tasit (v-w6786f1)")</f>
        <v>tasit (v-w6786f1)</v>
      </c>
    </row>
    <row r="48144" spans="1:4" x14ac:dyDescent="0.2">
      <c r="B48144" t="s">
        <v>1</v>
      </c>
    </row>
    <row r="48145" spans="1:4" x14ac:dyDescent="0.2">
      <c r="B48145" t="s">
        <v>8</v>
      </c>
    </row>
    <row r="48147" spans="1:4" x14ac:dyDescent="0.2">
      <c r="A48147" t="s">
        <v>15354</v>
      </c>
      <c r="B48147" t="str">
        <f>HYPERLINK("https://lindat.mff.cuni.cz/services/teitok/pdtc10/index.php?action=vallex&amp;frame=v-w6786f2", "tasit (v-w6786f2)")</f>
        <v>tasit (v-w6786f2)</v>
      </c>
    </row>
    <row r="48148" spans="1:4" x14ac:dyDescent="0.2">
      <c r="B48148" t="s">
        <v>1</v>
      </c>
    </row>
    <row r="48149" spans="1:4" x14ac:dyDescent="0.2">
      <c r="B48149" t="s">
        <v>8</v>
      </c>
    </row>
    <row r="48151" spans="1:4" x14ac:dyDescent="0.2">
      <c r="A48151" t="s">
        <v>15355</v>
      </c>
      <c r="B48151" t="str">
        <f>HYPERLINK("https://lindat.mff.cuni.cz/services/teitok/pdtc10/index.php?action=vallex&amp;frame=v-w6790f1", "taxikařit (v-w6790f1)")</f>
        <v>taxikařit (v-w6790f1)</v>
      </c>
    </row>
    <row r="48152" spans="1:4" x14ac:dyDescent="0.2">
      <c r="B48152" t="s">
        <v>1</v>
      </c>
    </row>
    <row r="48154" spans="1:4" x14ac:dyDescent="0.2">
      <c r="A48154" t="s">
        <v>15356</v>
      </c>
      <c r="B48154" t="str">
        <f>HYPERLINK("https://lindat.mff.cuni.cz/services/teitok/pdtc10/index.php?action=vallex&amp;frame=v-w6796f1", "tejpovat (v-w6796f1)")</f>
        <v>tejpovat (v-w6796f1)</v>
      </c>
    </row>
    <row r="48155" spans="1:4" x14ac:dyDescent="0.2">
      <c r="B48155" t="s">
        <v>1</v>
      </c>
    </row>
    <row r="48156" spans="1:4" x14ac:dyDescent="0.2">
      <c r="B48156" t="s">
        <v>8</v>
      </c>
    </row>
    <row r="48158" spans="1:4" x14ac:dyDescent="0.2">
      <c r="A48158" t="s">
        <v>15357</v>
      </c>
      <c r="B48158" t="str">
        <f>HYPERLINK("https://lindat.mff.cuni.cz/services/teitok/pdtc10/index.php?action=vallex&amp;frame=v-w6800f3", "telefonovat (v-w6800f3)")</f>
        <v>telefonovat (v-w6800f3)</v>
      </c>
    </row>
    <row r="48159" spans="1:4" x14ac:dyDescent="0.2">
      <c r="B48159" t="s">
        <v>1</v>
      </c>
      <c r="C48159" t="s">
        <v>430</v>
      </c>
      <c r="D48159" t="s">
        <v>2353</v>
      </c>
    </row>
    <row r="48160" spans="1:4" x14ac:dyDescent="0.2">
      <c r="B48160" t="s">
        <v>273</v>
      </c>
      <c r="C48160" t="s">
        <v>3156</v>
      </c>
      <c r="D48160" t="s">
        <v>20757</v>
      </c>
    </row>
    <row r="48161" spans="1:4" x14ac:dyDescent="0.2">
      <c r="B48161" t="s">
        <v>35</v>
      </c>
      <c r="C48161" t="s">
        <v>15358</v>
      </c>
      <c r="D48161" t="s">
        <v>22998</v>
      </c>
    </row>
    <row r="48163" spans="1:4" x14ac:dyDescent="0.2">
      <c r="A48163" t="s">
        <v>15359</v>
      </c>
      <c r="B48163" t="str">
        <f>HYPERLINK("https://lindat.mff.cuni.cz/services/teitok/pdtc10/index.php?action=vallex&amp;frame=v-w6800f2", "telefonovat (v-w6800f2)")</f>
        <v>telefonovat (v-w6800f2)</v>
      </c>
    </row>
    <row r="48164" spans="1:4" x14ac:dyDescent="0.2">
      <c r="B48164" t="s">
        <v>1</v>
      </c>
    </row>
    <row r="48165" spans="1:4" x14ac:dyDescent="0.2">
      <c r="B48165" t="s">
        <v>183</v>
      </c>
    </row>
    <row r="48166" spans="1:4" x14ac:dyDescent="0.2">
      <c r="B48166" t="s">
        <v>2328</v>
      </c>
    </row>
    <row r="48168" spans="1:4" x14ac:dyDescent="0.2">
      <c r="A48168" t="s">
        <v>15360</v>
      </c>
      <c r="B48168" t="str">
        <f>HYPERLINK("https://lindat.mff.cuni.cz/services/teitok/pdtc10/index.php?action=vallex&amp;frame=v-w6800f4", "telefonovat (v-w6800f4)")</f>
        <v>telefonovat (v-w6800f4)</v>
      </c>
    </row>
    <row r="48169" spans="1:4" x14ac:dyDescent="0.2">
      <c r="B48169" t="s">
        <v>1</v>
      </c>
      <c r="C48169" t="s">
        <v>373</v>
      </c>
      <c r="D48169" t="s">
        <v>2353</v>
      </c>
    </row>
    <row r="48170" spans="1:4" x14ac:dyDescent="0.2">
      <c r="B48170" t="s">
        <v>35</v>
      </c>
      <c r="C48170" t="s">
        <v>4769</v>
      </c>
      <c r="D48170" t="s">
        <v>22998</v>
      </c>
    </row>
    <row r="48171" spans="1:4" x14ac:dyDescent="0.2">
      <c r="B48171" t="s">
        <v>269</v>
      </c>
      <c r="C48171" t="s">
        <v>3156</v>
      </c>
      <c r="D48171" t="s">
        <v>20757</v>
      </c>
    </row>
    <row r="48173" spans="1:4" x14ac:dyDescent="0.2">
      <c r="A48173" t="s">
        <v>15361</v>
      </c>
      <c r="B48173" t="str">
        <f>HYPERLINK("https://lindat.mff.cuni.cz/services/teitok/pdtc10/index.php?action=vallex&amp;frame=v-w6800f1", "telefonovat (v-w6800f1)")</f>
        <v>telefonovat (v-w6800f1)</v>
      </c>
    </row>
    <row r="48174" spans="1:4" x14ac:dyDescent="0.2">
      <c r="B48174" t="s">
        <v>1</v>
      </c>
    </row>
    <row r="48175" spans="1:4" x14ac:dyDescent="0.2">
      <c r="B48175" t="s">
        <v>35</v>
      </c>
    </row>
    <row r="48176" spans="1:4" x14ac:dyDescent="0.2">
      <c r="B48176" t="s">
        <v>4742</v>
      </c>
    </row>
    <row r="48177" spans="1:4" x14ac:dyDescent="0.2">
      <c r="B48177" t="s">
        <v>269</v>
      </c>
    </row>
    <row r="48179" spans="1:4" x14ac:dyDescent="0.2">
      <c r="A48179" t="s">
        <v>15362</v>
      </c>
      <c r="B48179" t="str">
        <f>HYPERLINK("https://lindat.mff.cuni.cz/services/teitok/pdtc10/index.php?action=vallex&amp;frame=v-w6800f5", "telefonovat (v-w6800f5)")</f>
        <v>telefonovat (v-w6800f5)</v>
      </c>
    </row>
    <row r="48180" spans="1:4" x14ac:dyDescent="0.2">
      <c r="B48180" t="s">
        <v>1</v>
      </c>
      <c r="C48180" t="s">
        <v>2239</v>
      </c>
      <c r="D48180" t="s">
        <v>2353</v>
      </c>
    </row>
    <row r="48181" spans="1:4" x14ac:dyDescent="0.2">
      <c r="B48181" t="s">
        <v>90</v>
      </c>
      <c r="C48181" t="s">
        <v>10652</v>
      </c>
      <c r="D48181" t="s">
        <v>24229</v>
      </c>
    </row>
    <row r="48182" spans="1:4" x14ac:dyDescent="0.2">
      <c r="B48182" t="s">
        <v>269</v>
      </c>
      <c r="D48182" t="s">
        <v>20757</v>
      </c>
    </row>
    <row r="48184" spans="1:4" x14ac:dyDescent="0.2">
      <c r="A48184" t="s">
        <v>15363</v>
      </c>
      <c r="B48184" t="str">
        <f>HYPERLINK("https://lindat.mff.cuni.cz/services/teitok/pdtc10/index.php?action=vallex&amp;frame=v-w6800hsa_742", "telefonovat (v-w6800hsa_742)")</f>
        <v>telefonovat (v-w6800hsa_742)</v>
      </c>
    </row>
    <row r="48185" spans="1:4" x14ac:dyDescent="0.2">
      <c r="B48185" t="s">
        <v>1</v>
      </c>
      <c r="C48185" t="s">
        <v>140</v>
      </c>
      <c r="D48185" t="s">
        <v>2353</v>
      </c>
    </row>
    <row r="48186" spans="1:4" x14ac:dyDescent="0.2">
      <c r="B48186" t="s">
        <v>8</v>
      </c>
      <c r="C48186" t="s">
        <v>113</v>
      </c>
      <c r="D48186" t="s">
        <v>20757</v>
      </c>
    </row>
    <row r="48187" spans="1:4" x14ac:dyDescent="0.2">
      <c r="B48187" t="s">
        <v>90</v>
      </c>
      <c r="D48187" t="s">
        <v>24229</v>
      </c>
    </row>
    <row r="48189" spans="1:4" x14ac:dyDescent="0.2">
      <c r="A48189" t="s">
        <v>15364</v>
      </c>
      <c r="B48189" t="str">
        <f>HYPERLINK("https://lindat.mff.cuni.cz/services/teitok/pdtc10/index.php?action=vallex&amp;frame=v-w11602_ZUf1_ZU", "telegrafovat (v-w11602_ZUf1_ZU)")</f>
        <v>telegrafovat (v-w11602_ZUf1_ZU)</v>
      </c>
    </row>
    <row r="48190" spans="1:4" x14ac:dyDescent="0.2">
      <c r="B48190" t="s">
        <v>1</v>
      </c>
      <c r="C48190" t="s">
        <v>33</v>
      </c>
    </row>
    <row r="48191" spans="1:4" x14ac:dyDescent="0.2">
      <c r="B48191" t="s">
        <v>8</v>
      </c>
      <c r="C48191" t="s">
        <v>299</v>
      </c>
    </row>
    <row r="48192" spans="1:4" x14ac:dyDescent="0.2">
      <c r="B48192" t="s">
        <v>35</v>
      </c>
      <c r="C48192" t="s">
        <v>2810</v>
      </c>
    </row>
    <row r="48194" spans="1:4" x14ac:dyDescent="0.2">
      <c r="A48194" t="s">
        <v>15365</v>
      </c>
      <c r="B48194" t="str">
        <f>HYPERLINK("https://lindat.mff.cuni.cz/services/teitok/pdtc10/index.php?action=vallex&amp;frame=v-w6802f1", "tematizovat (v-w6802f1)")</f>
        <v>tematizovat (v-w6802f1)</v>
      </c>
    </row>
    <row r="48195" spans="1:4" x14ac:dyDescent="0.2">
      <c r="B48195" t="s">
        <v>1</v>
      </c>
    </row>
    <row r="48196" spans="1:4" x14ac:dyDescent="0.2">
      <c r="B48196" t="s">
        <v>8</v>
      </c>
    </row>
    <row r="48198" spans="1:4" x14ac:dyDescent="0.2">
      <c r="A48198" t="s">
        <v>15366</v>
      </c>
      <c r="B48198" t="str">
        <f>HYPERLINK("https://lindat.mff.cuni.cz/services/teitok/pdtc10/index.php?action=vallex&amp;frame=v-w6805f1", "tendovat (v-w6805f1)")</f>
        <v>tendovat (v-w6805f1)</v>
      </c>
    </row>
    <row r="48199" spans="1:4" x14ac:dyDescent="0.2">
      <c r="B48199" t="s">
        <v>1</v>
      </c>
    </row>
    <row r="48200" spans="1:4" x14ac:dyDescent="0.2">
      <c r="B48200" t="s">
        <v>176</v>
      </c>
    </row>
    <row r="48202" spans="1:4" x14ac:dyDescent="0.2">
      <c r="A48202" t="s">
        <v>15367</v>
      </c>
      <c r="B48202" t="str">
        <f>HYPERLINK("https://lindat.mff.cuni.cz/services/teitok/pdtc10/index.php?action=vallex&amp;frame=v-w6803f1", "tenčit se (v-w6803f1)")</f>
        <v>tenčit se (v-w6803f1)</v>
      </c>
    </row>
    <row r="48203" spans="1:4" x14ac:dyDescent="0.2">
      <c r="B48203" t="s">
        <v>1</v>
      </c>
    </row>
    <row r="48204" spans="1:4" x14ac:dyDescent="0.2">
      <c r="B48204" t="s">
        <v>46</v>
      </c>
    </row>
    <row r="48205" spans="1:4" x14ac:dyDescent="0.2">
      <c r="B48205" t="s">
        <v>24</v>
      </c>
    </row>
    <row r="48207" spans="1:4" x14ac:dyDescent="0.2">
      <c r="A48207" t="s">
        <v>15368</v>
      </c>
      <c r="B48207" t="str">
        <f>HYPERLINK("https://lindat.mff.cuni.cz/services/teitok/pdtc10/index.php?action=vallex&amp;frame=v-w10592hsa_1107", "teoretizovat (v-w10592hsa_1107)")</f>
        <v>teoretizovat (v-w10592hsa_1107)</v>
      </c>
    </row>
    <row r="48208" spans="1:4" x14ac:dyDescent="0.2">
      <c r="B48208" t="s">
        <v>1</v>
      </c>
      <c r="C48208" t="s">
        <v>33</v>
      </c>
      <c r="D48208" t="s">
        <v>3307</v>
      </c>
    </row>
    <row r="48209" spans="1:4" x14ac:dyDescent="0.2">
      <c r="B48209" t="s">
        <v>15369</v>
      </c>
      <c r="C48209" t="s">
        <v>991</v>
      </c>
      <c r="D48209" t="s">
        <v>991</v>
      </c>
    </row>
    <row r="48211" spans="1:4" x14ac:dyDescent="0.2">
      <c r="A48211" t="s">
        <v>15368</v>
      </c>
      <c r="B48211" t="str">
        <f>HYPERLINK("https://lindat.mff.cuni.cz/services/teitok/pdtc10/index.php?action=vallex&amp;frame=v-w10592f2", "teoretizovat (v-w10592f2) - substituted with v-w10592hsa_1107")</f>
        <v>teoretizovat (v-w10592f2) - substituted with v-w10592hsa_1107</v>
      </c>
    </row>
    <row r="48212" spans="1:4" x14ac:dyDescent="0.2">
      <c r="B48212" t="s">
        <v>1</v>
      </c>
    </row>
    <row r="48213" spans="1:4" x14ac:dyDescent="0.2">
      <c r="B48213" t="s">
        <v>15369</v>
      </c>
    </row>
    <row r="48215" spans="1:4" x14ac:dyDescent="0.2">
      <c r="A48215" t="s">
        <v>15370</v>
      </c>
      <c r="B48215" t="str">
        <f>HYPERLINK("https://lindat.mff.cuni.cz/services/teitok/pdtc10/index.php?action=vallex&amp;frame=v-w6808f1", "tepat (v-w6808f1)")</f>
        <v>tepat (v-w6808f1)</v>
      </c>
    </row>
    <row r="48216" spans="1:4" x14ac:dyDescent="0.2">
      <c r="B48216" t="s">
        <v>1</v>
      </c>
      <c r="D48216" t="s">
        <v>9612</v>
      </c>
    </row>
    <row r="48217" spans="1:4" x14ac:dyDescent="0.2">
      <c r="B48217" t="s">
        <v>8</v>
      </c>
      <c r="D48217" t="s">
        <v>1362</v>
      </c>
    </row>
    <row r="48219" spans="1:4" x14ac:dyDescent="0.2">
      <c r="A48219" t="s">
        <v>15371</v>
      </c>
      <c r="B48219" t="str">
        <f>HYPERLINK("https://lindat.mff.cuni.cz/services/teitok/pdtc10/index.php?action=vallex&amp;frame=v-w6808f2", "tepat (v-w6808f2)")</f>
        <v>tepat (v-w6808f2)</v>
      </c>
    </row>
    <row r="48220" spans="1:4" x14ac:dyDescent="0.2">
      <c r="B48220" t="s">
        <v>1</v>
      </c>
      <c r="C48220" t="s">
        <v>147</v>
      </c>
    </row>
    <row r="48222" spans="1:4" x14ac:dyDescent="0.2">
      <c r="A48222" t="s">
        <v>15372</v>
      </c>
      <c r="B48222" t="str">
        <f>HYPERLINK("https://lindat.mff.cuni.cz/services/teitok/pdtc10/index.php?action=vallex&amp;frame=v-w6811f1", "terorizovat (v-w6811f1)")</f>
        <v>terorizovat (v-w6811f1)</v>
      </c>
    </row>
    <row r="48223" spans="1:4" x14ac:dyDescent="0.2">
      <c r="B48223" t="s">
        <v>1</v>
      </c>
    </row>
    <row r="48224" spans="1:4" x14ac:dyDescent="0.2">
      <c r="B48224" t="s">
        <v>8</v>
      </c>
    </row>
    <row r="48226" spans="1:4" x14ac:dyDescent="0.2">
      <c r="A48226" t="s">
        <v>15373</v>
      </c>
      <c r="B48226" t="str">
        <f>HYPERLINK("https://lindat.mff.cuni.cz/services/teitok/pdtc10/index.php?action=vallex&amp;frame=v-w6816f1", "testovat (v-w6816f1)")</f>
        <v>testovat (v-w6816f1)</v>
      </c>
    </row>
    <row r="48227" spans="1:4" x14ac:dyDescent="0.2">
      <c r="B48227" t="s">
        <v>1</v>
      </c>
      <c r="C48227" t="s">
        <v>7065</v>
      </c>
      <c r="D48227" t="s">
        <v>7065</v>
      </c>
    </row>
    <row r="48228" spans="1:4" x14ac:dyDescent="0.2">
      <c r="B48228" t="s">
        <v>1693</v>
      </c>
      <c r="C48228" t="s">
        <v>3308</v>
      </c>
      <c r="D48228" t="s">
        <v>3308</v>
      </c>
    </row>
    <row r="48230" spans="1:4" x14ac:dyDescent="0.2">
      <c r="A48230" t="s">
        <v>15374</v>
      </c>
      <c r="B48230" t="str">
        <f>HYPERLINK("https://lindat.mff.cuni.cz/services/teitok/pdtc10/index.php?action=vallex&amp;frame=v-w6821f1", "tetovat (v-w6821f1)")</f>
        <v>tetovat (v-w6821f1)</v>
      </c>
    </row>
    <row r="48231" spans="1:4" x14ac:dyDescent="0.2">
      <c r="B48231" t="s">
        <v>1</v>
      </c>
    </row>
    <row r="48232" spans="1:4" x14ac:dyDescent="0.2">
      <c r="B48232" t="s">
        <v>8</v>
      </c>
    </row>
    <row r="48234" spans="1:4" x14ac:dyDescent="0.2">
      <c r="A48234" t="s">
        <v>15375</v>
      </c>
      <c r="B48234" t="str">
        <f>HYPERLINK("https://lindat.mff.cuni.cz/services/teitok/pdtc10/index.php?action=vallex&amp;frame=v-w6823f1", "textovat (v-w6823f1)")</f>
        <v>textovat (v-w6823f1)</v>
      </c>
    </row>
    <row r="48235" spans="1:4" x14ac:dyDescent="0.2">
      <c r="B48235" t="s">
        <v>1</v>
      </c>
    </row>
    <row r="48236" spans="1:4" x14ac:dyDescent="0.2">
      <c r="B48236" t="s">
        <v>8</v>
      </c>
    </row>
    <row r="48238" spans="1:4" x14ac:dyDescent="0.2">
      <c r="A48238" t="s">
        <v>15376</v>
      </c>
      <c r="B48238" t="str">
        <f>HYPERLINK("https://lindat.mff.cuni.cz/services/teitok/pdtc10/index.php?action=vallex&amp;frame=v-w10154f2", "tečkovat (v-w10154f2)")</f>
        <v>tečkovat (v-w10154f2)</v>
      </c>
    </row>
    <row r="48239" spans="1:4" x14ac:dyDescent="0.2">
      <c r="B48239" t="s">
        <v>1</v>
      </c>
      <c r="C48239" t="s">
        <v>15377</v>
      </c>
      <c r="D48239" t="s">
        <v>15377</v>
      </c>
    </row>
    <row r="48240" spans="1:4" x14ac:dyDescent="0.2">
      <c r="B48240" t="s">
        <v>8</v>
      </c>
      <c r="C48240" t="s">
        <v>991</v>
      </c>
      <c r="D48240" t="s">
        <v>991</v>
      </c>
    </row>
    <row r="48242" spans="1:2" x14ac:dyDescent="0.2">
      <c r="A48242" t="s">
        <v>15378</v>
      </c>
      <c r="B48242" t="str">
        <f>HYPERLINK("https://lindat.mff.cuni.cz/services/teitok/pdtc10/index.php?action=vallex&amp;frame=v-w6795f1", "tečovat (v-w6795f1)")</f>
        <v>tečovat (v-w6795f1)</v>
      </c>
    </row>
    <row r="48243" spans="1:2" x14ac:dyDescent="0.2">
      <c r="B48243" t="s">
        <v>1</v>
      </c>
    </row>
    <row r="48244" spans="1:2" x14ac:dyDescent="0.2">
      <c r="B48244" t="s">
        <v>8</v>
      </c>
    </row>
    <row r="48246" spans="1:2" x14ac:dyDescent="0.2">
      <c r="A48246" t="s">
        <v>15379</v>
      </c>
      <c r="B48246" t="str">
        <f>HYPERLINK("https://lindat.mff.cuni.cz/services/teitok/pdtc10/index.php?action=vallex&amp;frame=v-w11739_ZUf1_ZU", "tikat (v-w11739_ZUf1_ZU)")</f>
        <v>tikat (v-w11739_ZUf1_ZU)</v>
      </c>
    </row>
    <row r="48247" spans="1:2" x14ac:dyDescent="0.2">
      <c r="B48247" t="s">
        <v>455</v>
      </c>
    </row>
    <row r="48248" spans="1:2" x14ac:dyDescent="0.2">
      <c r="B48248" t="s">
        <v>15380</v>
      </c>
    </row>
    <row r="48250" spans="1:2" x14ac:dyDescent="0.2">
      <c r="A48250" t="s">
        <v>15381</v>
      </c>
      <c r="B48250" t="str">
        <f>HYPERLINK("https://lindat.mff.cuni.cz/services/teitok/pdtc10/index.php?action=vallex&amp;frame=v-w6831f1", "tipnout (v-w6831f1)")</f>
        <v>tipnout (v-w6831f1)</v>
      </c>
    </row>
    <row r="48251" spans="1:2" x14ac:dyDescent="0.2">
      <c r="B48251" t="s">
        <v>1</v>
      </c>
    </row>
    <row r="48252" spans="1:2" x14ac:dyDescent="0.2">
      <c r="B48252" t="s">
        <v>1284</v>
      </c>
    </row>
    <row r="48254" spans="1:2" x14ac:dyDescent="0.2">
      <c r="A48254" t="s">
        <v>15382</v>
      </c>
      <c r="B48254" t="str">
        <f>HYPERLINK("https://lindat.mff.cuni.cz/services/teitok/pdtc10/index.php?action=vallex&amp;frame=v-w6831f2_ZU", "tipnout (v-w6831f2_ZU)")</f>
        <v>tipnout (v-w6831f2_ZU)</v>
      </c>
    </row>
    <row r="48255" spans="1:2" x14ac:dyDescent="0.2">
      <c r="B48255" t="s">
        <v>1</v>
      </c>
    </row>
    <row r="48256" spans="1:2" x14ac:dyDescent="0.2">
      <c r="B48256" t="s">
        <v>8</v>
      </c>
    </row>
    <row r="48257" spans="1:2" x14ac:dyDescent="0.2">
      <c r="B48257" t="s">
        <v>1462</v>
      </c>
    </row>
    <row r="48259" spans="1:2" x14ac:dyDescent="0.2">
      <c r="A48259" t="s">
        <v>15383</v>
      </c>
      <c r="B48259" t="str">
        <f>HYPERLINK("https://lindat.mff.cuni.cz/services/teitok/pdtc10/index.php?action=vallex&amp;frame=v-w6833f3_ZU", "tipovat (v-w6833f3_ZU)")</f>
        <v>tipovat (v-w6833f3_ZU)</v>
      </c>
    </row>
    <row r="48260" spans="1:2" x14ac:dyDescent="0.2">
      <c r="B48260" t="s">
        <v>1</v>
      </c>
    </row>
    <row r="48261" spans="1:2" x14ac:dyDescent="0.2">
      <c r="B48261" t="s">
        <v>41</v>
      </c>
    </row>
    <row r="48262" spans="1:2" x14ac:dyDescent="0.2">
      <c r="B48262" t="s">
        <v>15384</v>
      </c>
    </row>
    <row r="48264" spans="1:2" x14ac:dyDescent="0.2">
      <c r="A48264" t="s">
        <v>15383</v>
      </c>
      <c r="B48264" t="str">
        <f>HYPERLINK("https://lindat.mff.cuni.cz/services/teitok/pdtc10/index.php?action=vallex&amp;frame=v-w6833f2", "tipovat (v-w6833f2) - substituted with v-w6833f3_ZU")</f>
        <v>tipovat (v-w6833f2) - substituted with v-w6833f3_ZU</v>
      </c>
    </row>
    <row r="48265" spans="1:2" x14ac:dyDescent="0.2">
      <c r="B48265" t="s">
        <v>1</v>
      </c>
    </row>
    <row r="48266" spans="1:2" x14ac:dyDescent="0.2">
      <c r="B48266" t="s">
        <v>41</v>
      </c>
    </row>
    <row r="48267" spans="1:2" x14ac:dyDescent="0.2">
      <c r="B48267" t="s">
        <v>15384</v>
      </c>
    </row>
    <row r="48269" spans="1:2" x14ac:dyDescent="0.2">
      <c r="A48269" t="s">
        <v>15385</v>
      </c>
      <c r="B48269" t="str">
        <f>HYPERLINK("https://lindat.mff.cuni.cz/services/teitok/pdtc10/index.php?action=vallex&amp;frame=v-w6833f1", "tipovat (v-w6833f1)")</f>
        <v>tipovat (v-w6833f1)</v>
      </c>
    </row>
    <row r="48270" spans="1:2" x14ac:dyDescent="0.2">
      <c r="B48270" t="s">
        <v>1</v>
      </c>
    </row>
    <row r="48271" spans="1:2" x14ac:dyDescent="0.2">
      <c r="B48271" t="s">
        <v>1284</v>
      </c>
    </row>
    <row r="48273" spans="1:4" x14ac:dyDescent="0.2">
      <c r="A48273" t="s">
        <v>15386</v>
      </c>
      <c r="B48273" t="str">
        <f>HYPERLINK("https://lindat.mff.cuni.cz/services/teitok/pdtc10/index.php?action=vallex&amp;frame=v-w6836f1", "tisknout (v-w6836f1)")</f>
        <v>tisknout (v-w6836f1)</v>
      </c>
    </row>
    <row r="48274" spans="1:4" x14ac:dyDescent="0.2">
      <c r="B48274" t="s">
        <v>1</v>
      </c>
      <c r="C48274" t="s">
        <v>990</v>
      </c>
      <c r="D48274" t="s">
        <v>990</v>
      </c>
    </row>
    <row r="48275" spans="1:4" x14ac:dyDescent="0.2">
      <c r="B48275" t="s">
        <v>8</v>
      </c>
      <c r="C48275" t="s">
        <v>125</v>
      </c>
      <c r="D48275" t="s">
        <v>125</v>
      </c>
    </row>
    <row r="48276" spans="1:4" x14ac:dyDescent="0.2">
      <c r="B48276" t="s">
        <v>24</v>
      </c>
    </row>
    <row r="48278" spans="1:4" x14ac:dyDescent="0.2">
      <c r="A48278" t="s">
        <v>15387</v>
      </c>
      <c r="B48278" t="str">
        <f>HYPERLINK("https://lindat.mff.cuni.cz/services/teitok/pdtc10/index.php?action=vallex&amp;frame=v-w6836f2", "tisknout (v-w6836f2)")</f>
        <v>tisknout (v-w6836f2)</v>
      </c>
    </row>
    <row r="48279" spans="1:4" x14ac:dyDescent="0.2">
      <c r="B48279" t="s">
        <v>1</v>
      </c>
    </row>
    <row r="48280" spans="1:4" x14ac:dyDescent="0.2">
      <c r="B48280" t="s">
        <v>8</v>
      </c>
    </row>
    <row r="48282" spans="1:4" x14ac:dyDescent="0.2">
      <c r="A48282" t="s">
        <v>15388</v>
      </c>
      <c r="B48282" t="str">
        <f>HYPERLINK("https://lindat.mff.cuni.cz/services/teitok/pdtc10/index.php?action=vallex&amp;frame=v-w6838f1", "tkvít (v-w6838f1)")</f>
        <v>tkvít (v-w6838f1)</v>
      </c>
    </row>
    <row r="48283" spans="1:4" x14ac:dyDescent="0.2">
      <c r="B48283" t="s">
        <v>1</v>
      </c>
      <c r="C48283" t="s">
        <v>15389</v>
      </c>
      <c r="D48283" t="s">
        <v>7870</v>
      </c>
    </row>
    <row r="48284" spans="1:4" x14ac:dyDescent="0.2">
      <c r="B48284" t="s">
        <v>290</v>
      </c>
      <c r="C48284" t="s">
        <v>15390</v>
      </c>
      <c r="D48284" t="s">
        <v>15039</v>
      </c>
    </row>
    <row r="48286" spans="1:4" x14ac:dyDescent="0.2">
      <c r="A48286" t="s">
        <v>15391</v>
      </c>
      <c r="B48286" t="str">
        <f>HYPERLINK("https://lindat.mff.cuni.cz/services/teitok/pdtc10/index.php?action=vallex&amp;frame=v-w6838f2", "tkvít (v-w6838f2)")</f>
        <v>tkvít (v-w6838f2)</v>
      </c>
    </row>
    <row r="48287" spans="1:4" x14ac:dyDescent="0.2">
      <c r="B48287" t="s">
        <v>1</v>
      </c>
    </row>
    <row r="48288" spans="1:4" x14ac:dyDescent="0.2">
      <c r="B48288" t="s">
        <v>5</v>
      </c>
    </row>
    <row r="48290" spans="1:4" x14ac:dyDescent="0.2">
      <c r="A48290" t="s">
        <v>15392</v>
      </c>
      <c r="B48290" t="str">
        <f>HYPERLINK("https://lindat.mff.cuni.cz/services/teitok/pdtc10/index.php?action=vallex&amp;frame=v-w6839f11_ZU", "tlačit (v-w6839f11_ZU)")</f>
        <v>tlačit (v-w6839f11_ZU)</v>
      </c>
    </row>
    <row r="48291" spans="1:4" x14ac:dyDescent="0.2">
      <c r="B48291" t="s">
        <v>1</v>
      </c>
    </row>
    <row r="48292" spans="1:4" x14ac:dyDescent="0.2">
      <c r="B48292" t="s">
        <v>8</v>
      </c>
    </row>
    <row r="48293" spans="1:4" x14ac:dyDescent="0.2">
      <c r="B48293" t="s">
        <v>90</v>
      </c>
    </row>
    <row r="48295" spans="1:4" x14ac:dyDescent="0.2">
      <c r="A48295" t="s">
        <v>15392</v>
      </c>
      <c r="B48295" t="str">
        <f>HYPERLINK("https://lindat.mff.cuni.cz/services/teitok/pdtc10/index.php?action=vallex&amp;frame=v-w6839f10_ZU", "tlačit (v-w6839f10_ZU) - substituted with v-w6839f11_ZU")</f>
        <v>tlačit (v-w6839f10_ZU) - substituted with v-w6839f11_ZU</v>
      </c>
    </row>
    <row r="48296" spans="1:4" x14ac:dyDescent="0.2">
      <c r="B48296" t="s">
        <v>1</v>
      </c>
    </row>
    <row r="48297" spans="1:4" x14ac:dyDescent="0.2">
      <c r="B48297" t="s">
        <v>8</v>
      </c>
    </row>
    <row r="48298" spans="1:4" x14ac:dyDescent="0.2">
      <c r="B48298" t="s">
        <v>90</v>
      </c>
    </row>
    <row r="48300" spans="1:4" x14ac:dyDescent="0.2">
      <c r="A48300" t="s">
        <v>15392</v>
      </c>
      <c r="B48300" t="str">
        <f>HYPERLINK("https://lindat.mff.cuni.cz/services/teitok/pdtc10/index.php?action=vallex&amp;frame=v-w6839f2", "tlačit (v-w6839f2) - substituted with v-w6839f11_ZU")</f>
        <v>tlačit (v-w6839f2) - substituted with v-w6839f11_ZU</v>
      </c>
    </row>
    <row r="48301" spans="1:4" x14ac:dyDescent="0.2">
      <c r="B48301" t="s">
        <v>1</v>
      </c>
      <c r="C48301" t="s">
        <v>3081</v>
      </c>
      <c r="D48301" t="s">
        <v>24230</v>
      </c>
    </row>
    <row r="48302" spans="1:4" x14ac:dyDescent="0.2">
      <c r="B48302" t="s">
        <v>8</v>
      </c>
      <c r="C48302" t="s">
        <v>341</v>
      </c>
      <c r="D48302" t="s">
        <v>19209</v>
      </c>
    </row>
    <row r="48303" spans="1:4" x14ac:dyDescent="0.2">
      <c r="B48303" t="s">
        <v>90</v>
      </c>
      <c r="D48303" t="s">
        <v>23197</v>
      </c>
    </row>
    <row r="48305" spans="1:4" x14ac:dyDescent="0.2">
      <c r="A48305" t="s">
        <v>15393</v>
      </c>
      <c r="B48305" t="str">
        <f>HYPERLINK("https://lindat.mff.cuni.cz/services/teitok/pdtc10/index.php?action=vallex&amp;frame=v-w6839f3", "tlačit (v-w6839f3)")</f>
        <v>tlačit (v-w6839f3)</v>
      </c>
    </row>
    <row r="48306" spans="1:4" x14ac:dyDescent="0.2">
      <c r="B48306" t="s">
        <v>1</v>
      </c>
      <c r="C48306" t="s">
        <v>22</v>
      </c>
    </row>
    <row r="48307" spans="1:4" x14ac:dyDescent="0.2">
      <c r="B48307" t="s">
        <v>8</v>
      </c>
      <c r="C48307" t="s">
        <v>1044</v>
      </c>
    </row>
    <row r="48309" spans="1:4" x14ac:dyDescent="0.2">
      <c r="A48309" t="s">
        <v>15394</v>
      </c>
      <c r="B48309" t="str">
        <f>HYPERLINK("https://lindat.mff.cuni.cz/services/teitok/pdtc10/index.php?action=vallex&amp;frame=v-w6839f5", "tlačit (v-w6839f5)")</f>
        <v>tlačit (v-w6839f5)</v>
      </c>
    </row>
    <row r="48310" spans="1:4" x14ac:dyDescent="0.2">
      <c r="B48310" t="s">
        <v>1</v>
      </c>
    </row>
    <row r="48311" spans="1:4" x14ac:dyDescent="0.2">
      <c r="B48311" t="s">
        <v>8</v>
      </c>
    </row>
    <row r="48313" spans="1:4" x14ac:dyDescent="0.2">
      <c r="A48313" t="s">
        <v>15395</v>
      </c>
      <c r="B48313" t="str">
        <f>HYPERLINK("https://lindat.mff.cuni.cz/services/teitok/pdtc10/index.php?action=vallex&amp;frame=v-w6839f4", "tlačit (v-w6839f4)")</f>
        <v>tlačit (v-w6839f4)</v>
      </c>
    </row>
    <row r="48314" spans="1:4" x14ac:dyDescent="0.2">
      <c r="B48314" t="s">
        <v>1</v>
      </c>
      <c r="C48314" t="s">
        <v>3590</v>
      </c>
      <c r="D48314" t="s">
        <v>23055</v>
      </c>
    </row>
    <row r="48315" spans="1:4" x14ac:dyDescent="0.2">
      <c r="B48315" t="s">
        <v>28</v>
      </c>
      <c r="C48315" t="s">
        <v>15396</v>
      </c>
      <c r="D48315" t="s">
        <v>23056</v>
      </c>
    </row>
    <row r="48317" spans="1:4" x14ac:dyDescent="0.2">
      <c r="A48317" t="s">
        <v>15397</v>
      </c>
      <c r="B48317" t="str">
        <f>HYPERLINK("https://lindat.mff.cuni.cz/services/teitok/pdtc10/index.php?action=vallex&amp;frame=v-w6839f12_ZU", "tlačit (v-w6839f12_ZU)")</f>
        <v>tlačit (v-w6839f12_ZU)</v>
      </c>
    </row>
    <row r="48318" spans="1:4" x14ac:dyDescent="0.2">
      <c r="B48318" t="s">
        <v>1</v>
      </c>
    </row>
    <row r="48319" spans="1:4" x14ac:dyDescent="0.2">
      <c r="B48319" t="s">
        <v>15398</v>
      </c>
    </row>
    <row r="48320" spans="1:4" x14ac:dyDescent="0.2">
      <c r="B48320" t="s">
        <v>15399</v>
      </c>
    </row>
    <row r="48322" spans="1:4" x14ac:dyDescent="0.2">
      <c r="A48322" t="s">
        <v>15397</v>
      </c>
      <c r="B48322" t="str">
        <f>HYPERLINK("https://lindat.mff.cuni.cz/services/teitok/pdtc10/index.php?action=vallex&amp;frame=v-w6839f1", "tlačit (v-w6839f1) - substituted with v-w6839f12_ZU")</f>
        <v>tlačit (v-w6839f1) - substituted with v-w6839f12_ZU</v>
      </c>
    </row>
    <row r="48323" spans="1:4" x14ac:dyDescent="0.2">
      <c r="B48323" t="s">
        <v>1</v>
      </c>
      <c r="C48323" t="s">
        <v>15400</v>
      </c>
      <c r="D48323" t="s">
        <v>24231</v>
      </c>
    </row>
    <row r="48324" spans="1:4" x14ac:dyDescent="0.2">
      <c r="B48324" t="s">
        <v>15398</v>
      </c>
      <c r="C48324" t="s">
        <v>15401</v>
      </c>
      <c r="D48324" t="s">
        <v>24232</v>
      </c>
    </row>
    <row r="48325" spans="1:4" x14ac:dyDescent="0.2">
      <c r="B48325" t="s">
        <v>15399</v>
      </c>
      <c r="C48325" t="s">
        <v>15402</v>
      </c>
      <c r="D48325" t="s">
        <v>24233</v>
      </c>
    </row>
    <row r="48327" spans="1:4" x14ac:dyDescent="0.2">
      <c r="A48327" t="s">
        <v>15403</v>
      </c>
      <c r="B48327" t="str">
        <f>HYPERLINK("https://lindat.mff.cuni.cz/services/teitok/pdtc10/index.php?action=vallex&amp;frame=v-w6839f6", "tlačit (v-w6839f6)")</f>
        <v>tlačit (v-w6839f6)</v>
      </c>
    </row>
    <row r="48328" spans="1:4" x14ac:dyDescent="0.2">
      <c r="B48328" t="s">
        <v>1</v>
      </c>
    </row>
    <row r="48329" spans="1:4" x14ac:dyDescent="0.2">
      <c r="B48329" t="s">
        <v>90</v>
      </c>
    </row>
    <row r="48331" spans="1:4" x14ac:dyDescent="0.2">
      <c r="A48331" t="s">
        <v>15404</v>
      </c>
      <c r="B48331" t="str">
        <f>HYPERLINK("https://lindat.mff.cuni.cz/services/teitok/pdtc10/index.php?action=vallex&amp;frame=v-w6839f7_ZU", "tlačit (v-w6839f7_ZU)")</f>
        <v>tlačit (v-w6839f7_ZU)</v>
      </c>
    </row>
    <row r="48332" spans="1:4" x14ac:dyDescent="0.2">
      <c r="B48332" t="s">
        <v>1</v>
      </c>
      <c r="D48332" t="s">
        <v>22</v>
      </c>
    </row>
    <row r="48333" spans="1:4" x14ac:dyDescent="0.2">
      <c r="B48333" t="s">
        <v>15405</v>
      </c>
    </row>
    <row r="48334" spans="1:4" x14ac:dyDescent="0.2">
      <c r="B48334" t="s">
        <v>8</v>
      </c>
      <c r="C48334" t="s">
        <v>113</v>
      </c>
      <c r="D48334" t="s">
        <v>54</v>
      </c>
    </row>
    <row r="48336" spans="1:4" x14ac:dyDescent="0.2">
      <c r="A48336" t="s">
        <v>15404</v>
      </c>
      <c r="B48336" t="str">
        <f>HYPERLINK("https://lindat.mff.cuni.cz/services/teitok/pdtc10/index.php?action=vallex&amp;frame=v-w6839hsa_400", "tlačit (v-w6839hsa_400) - substituted with v-w6839f7_ZU")</f>
        <v>tlačit (v-w6839hsa_400) - substituted with v-w6839f7_ZU</v>
      </c>
    </row>
    <row r="48337" spans="1:3" x14ac:dyDescent="0.2">
      <c r="B48337" t="s">
        <v>1</v>
      </c>
    </row>
    <row r="48338" spans="1:3" x14ac:dyDescent="0.2">
      <c r="B48338" t="s">
        <v>15405</v>
      </c>
    </row>
    <row r="48339" spans="1:3" x14ac:dyDescent="0.2">
      <c r="B48339" t="s">
        <v>8</v>
      </c>
    </row>
    <row r="48341" spans="1:3" x14ac:dyDescent="0.2">
      <c r="A48341" t="s">
        <v>15406</v>
      </c>
      <c r="B48341" t="str">
        <f>HYPERLINK("https://lindat.mff.cuni.cz/services/teitok/pdtc10/index.php?action=vallex&amp;frame=v-w6839f8_ZU", "tlačit (v-w6839f8_ZU)")</f>
        <v>tlačit (v-w6839f8_ZU)</v>
      </c>
    </row>
    <row r="48342" spans="1:3" x14ac:dyDescent="0.2">
      <c r="B48342" t="s">
        <v>1</v>
      </c>
      <c r="C48342" t="s">
        <v>16</v>
      </c>
    </row>
    <row r="48343" spans="1:3" x14ac:dyDescent="0.2">
      <c r="B48343" t="s">
        <v>15407</v>
      </c>
    </row>
    <row r="48345" spans="1:3" x14ac:dyDescent="0.2">
      <c r="A48345" t="s">
        <v>15406</v>
      </c>
      <c r="B48345" t="str">
        <f>HYPERLINK("https://lindat.mff.cuni.cz/services/teitok/pdtc10/index.php?action=vallex&amp;frame=v-w6839hsa_401", "tlačit (v-w6839hsa_401) - substituted with v-w6839f8_ZU")</f>
        <v>tlačit (v-w6839hsa_401) - substituted with v-w6839f8_ZU</v>
      </c>
    </row>
    <row r="48346" spans="1:3" x14ac:dyDescent="0.2">
      <c r="B48346" t="s">
        <v>1</v>
      </c>
    </row>
    <row r="48347" spans="1:3" x14ac:dyDescent="0.2">
      <c r="B48347" t="s">
        <v>15407</v>
      </c>
    </row>
    <row r="48349" spans="1:3" x14ac:dyDescent="0.2">
      <c r="A48349" t="s">
        <v>15408</v>
      </c>
      <c r="B48349" t="str">
        <f>HYPERLINK("https://lindat.mff.cuni.cz/services/teitok/pdtc10/index.php?action=vallex&amp;frame=v-w6839f9_ZU", "tlačit (v-w6839f9_ZU)")</f>
        <v>tlačit (v-w6839f9_ZU)</v>
      </c>
    </row>
    <row r="48350" spans="1:3" x14ac:dyDescent="0.2">
      <c r="B48350" t="s">
        <v>1</v>
      </c>
    </row>
    <row r="48351" spans="1:3" x14ac:dyDescent="0.2">
      <c r="B48351" t="s">
        <v>8</v>
      </c>
    </row>
    <row r="48352" spans="1:3" x14ac:dyDescent="0.2">
      <c r="B48352" t="s">
        <v>24</v>
      </c>
    </row>
    <row r="48354" spans="1:4" x14ac:dyDescent="0.2">
      <c r="A48354" t="s">
        <v>15409</v>
      </c>
      <c r="B48354" t="str">
        <f>HYPERLINK("https://lindat.mff.cuni.cz/services/teitok/pdtc10/index.php?action=vallex&amp;frame=v-w6840f3", "tlačit se (v-w6840f3)")</f>
        <v>tlačit se (v-w6840f3)</v>
      </c>
    </row>
    <row r="48355" spans="1:4" x14ac:dyDescent="0.2">
      <c r="B48355" t="s">
        <v>1</v>
      </c>
    </row>
    <row r="48356" spans="1:4" x14ac:dyDescent="0.2">
      <c r="B48356" t="s">
        <v>153</v>
      </c>
    </row>
    <row r="48357" spans="1:4" x14ac:dyDescent="0.2">
      <c r="B48357" t="s">
        <v>2287</v>
      </c>
    </row>
    <row r="48359" spans="1:4" x14ac:dyDescent="0.2">
      <c r="A48359" t="s">
        <v>15410</v>
      </c>
      <c r="B48359" t="str">
        <f>HYPERLINK("https://lindat.mff.cuni.cz/services/teitok/pdtc10/index.php?action=vallex&amp;frame=v-w6840f2", "tlačit se (v-w6840f2)")</f>
        <v>tlačit se (v-w6840f2)</v>
      </c>
    </row>
    <row r="48360" spans="1:4" x14ac:dyDescent="0.2">
      <c r="B48360" t="s">
        <v>1</v>
      </c>
      <c r="C48360" t="s">
        <v>140</v>
      </c>
      <c r="D48360" t="s">
        <v>23472</v>
      </c>
    </row>
    <row r="48361" spans="1:4" x14ac:dyDescent="0.2">
      <c r="B48361" t="s">
        <v>5</v>
      </c>
      <c r="D48361" t="s">
        <v>23473</v>
      </c>
    </row>
    <row r="48363" spans="1:4" x14ac:dyDescent="0.2">
      <c r="A48363" t="s">
        <v>15411</v>
      </c>
      <c r="B48363" t="str">
        <f>HYPERLINK("https://lindat.mff.cuni.cz/services/teitok/pdtc10/index.php?action=vallex&amp;frame=v-w6840f1", "tlačit se (v-w6840f1)")</f>
        <v>tlačit se (v-w6840f1)</v>
      </c>
    </row>
    <row r="48364" spans="1:4" x14ac:dyDescent="0.2">
      <c r="B48364" t="s">
        <v>1</v>
      </c>
      <c r="C48364" t="s">
        <v>115</v>
      </c>
    </row>
    <row r="48365" spans="1:4" x14ac:dyDescent="0.2">
      <c r="B48365" t="s">
        <v>90</v>
      </c>
    </row>
    <row r="48367" spans="1:4" x14ac:dyDescent="0.2">
      <c r="A48367" t="s">
        <v>15412</v>
      </c>
      <c r="B48367" t="str">
        <f>HYPERLINK("https://lindat.mff.cuni.cz/services/teitok/pdtc10/index.php?action=vallex&amp;frame=v-w6843f1", "tleskat (v-w6843f1)")</f>
        <v>tleskat (v-w6843f1)</v>
      </c>
    </row>
    <row r="48368" spans="1:4" x14ac:dyDescent="0.2">
      <c r="B48368" t="s">
        <v>1</v>
      </c>
      <c r="C48368" t="s">
        <v>16</v>
      </c>
      <c r="D48368" t="s">
        <v>990</v>
      </c>
    </row>
    <row r="48369" spans="1:4" x14ac:dyDescent="0.2">
      <c r="B48369" t="s">
        <v>86</v>
      </c>
      <c r="C48369" t="s">
        <v>1066</v>
      </c>
      <c r="D48369" t="s">
        <v>1340</v>
      </c>
    </row>
    <row r="48371" spans="1:4" x14ac:dyDescent="0.2">
      <c r="A48371" t="s">
        <v>15413</v>
      </c>
      <c r="B48371" t="str">
        <f>HYPERLINK("https://lindat.mff.cuni.cz/services/teitok/pdtc10/index.php?action=vallex&amp;frame=v-w6844f1", "tlouci (v-w6844f1)")</f>
        <v>tlouci (v-w6844f1)</v>
      </c>
    </row>
    <row r="48372" spans="1:4" x14ac:dyDescent="0.2">
      <c r="B48372" t="s">
        <v>1</v>
      </c>
      <c r="D48372" t="s">
        <v>33</v>
      </c>
    </row>
    <row r="48373" spans="1:4" x14ac:dyDescent="0.2">
      <c r="B48373" t="s">
        <v>8</v>
      </c>
      <c r="D48373" t="s">
        <v>84</v>
      </c>
    </row>
    <row r="48375" spans="1:4" x14ac:dyDescent="0.2">
      <c r="A48375" t="s">
        <v>15414</v>
      </c>
      <c r="B48375" t="str">
        <f>HYPERLINK("https://lindat.mff.cuni.cz/services/teitok/pdtc10/index.php?action=vallex&amp;frame=v-w6844f2", "tlouci (v-w6844f2)")</f>
        <v>tlouci (v-w6844f2)</v>
      </c>
    </row>
    <row r="48376" spans="1:4" x14ac:dyDescent="0.2">
      <c r="B48376" t="s">
        <v>1</v>
      </c>
      <c r="D48376" t="s">
        <v>140</v>
      </c>
    </row>
    <row r="48377" spans="1:4" x14ac:dyDescent="0.2">
      <c r="B48377" t="s">
        <v>158</v>
      </c>
    </row>
    <row r="48379" spans="1:4" x14ac:dyDescent="0.2">
      <c r="A48379" t="s">
        <v>15415</v>
      </c>
      <c r="B48379" t="str">
        <f>HYPERLINK("https://lindat.mff.cuni.cz/services/teitok/pdtc10/index.php?action=vallex&amp;frame=v-w6844f3_ZU", "tlouci (v-w6844f3_ZU)")</f>
        <v>tlouci (v-w6844f3_ZU)</v>
      </c>
    </row>
    <row r="48380" spans="1:4" x14ac:dyDescent="0.2">
      <c r="B48380" t="s">
        <v>1</v>
      </c>
    </row>
    <row r="48381" spans="1:4" x14ac:dyDescent="0.2">
      <c r="B48381" t="s">
        <v>8</v>
      </c>
    </row>
    <row r="48382" spans="1:4" x14ac:dyDescent="0.2">
      <c r="B48382" t="s">
        <v>486</v>
      </c>
    </row>
    <row r="48384" spans="1:4" x14ac:dyDescent="0.2">
      <c r="A48384" t="s">
        <v>15416</v>
      </c>
      <c r="B48384" t="str">
        <f>HYPERLINK("https://lindat.mff.cuni.cz/services/teitok/pdtc10/index.php?action=vallex&amp;frame=v-w6844f4_ZU", "tlouci (v-w6844f4_ZU)")</f>
        <v>tlouci (v-w6844f4_ZU)</v>
      </c>
    </row>
    <row r="48385" spans="1:2" x14ac:dyDescent="0.2">
      <c r="B48385" t="s">
        <v>1</v>
      </c>
    </row>
    <row r="48386" spans="1:2" x14ac:dyDescent="0.2">
      <c r="B48386" t="s">
        <v>8</v>
      </c>
    </row>
    <row r="48387" spans="1:2" x14ac:dyDescent="0.2">
      <c r="B48387" t="s">
        <v>24</v>
      </c>
    </row>
    <row r="48389" spans="1:2" x14ac:dyDescent="0.2">
      <c r="A48389" t="s">
        <v>15417</v>
      </c>
      <c r="B48389" t="str">
        <f>HYPERLINK("https://lindat.mff.cuni.cz/services/teitok/pdtc10/index.php?action=vallex&amp;frame=v-whsa_538f1_ZU", "tlouci se (v-whsa_538f1_ZU)")</f>
        <v>tlouci se (v-whsa_538f1_ZU)</v>
      </c>
    </row>
    <row r="48390" spans="1:2" x14ac:dyDescent="0.2">
      <c r="B48390" t="s">
        <v>1</v>
      </c>
    </row>
    <row r="48391" spans="1:2" x14ac:dyDescent="0.2">
      <c r="B48391" t="s">
        <v>411</v>
      </c>
    </row>
    <row r="48393" spans="1:2" x14ac:dyDescent="0.2">
      <c r="A48393" t="s">
        <v>15417</v>
      </c>
      <c r="B48393" t="str">
        <f>HYPERLINK("https://lindat.mff.cuni.cz/services/teitok/pdtc10/index.php?action=vallex&amp;frame=v-whsa_538hsa_539", "tlouci se (v-whsa_538hsa_539) - substituted with v-whsa_538f1_ZU")</f>
        <v>tlouci se (v-whsa_538hsa_539) - substituted with v-whsa_538f1_ZU</v>
      </c>
    </row>
    <row r="48394" spans="1:2" x14ac:dyDescent="0.2">
      <c r="B48394" t="s">
        <v>1</v>
      </c>
    </row>
    <row r="48395" spans="1:2" x14ac:dyDescent="0.2">
      <c r="B48395" t="s">
        <v>411</v>
      </c>
    </row>
    <row r="48397" spans="1:2" x14ac:dyDescent="0.2">
      <c r="A48397" t="s">
        <v>15418</v>
      </c>
      <c r="B48397" t="str">
        <f>HYPERLINK("https://lindat.mff.cuni.cz/services/teitok/pdtc10/index.php?action=vallex&amp;frame=v-w10078f2", "tloustnout (v-w10078f2)")</f>
        <v>tloustnout (v-w10078f2)</v>
      </c>
    </row>
    <row r="48398" spans="1:2" x14ac:dyDescent="0.2">
      <c r="B48398" t="s">
        <v>1</v>
      </c>
    </row>
    <row r="48400" spans="1:2" x14ac:dyDescent="0.2">
      <c r="A48400" t="s">
        <v>15419</v>
      </c>
      <c r="B48400" t="str">
        <f>HYPERLINK("https://lindat.mff.cuni.cz/services/teitok/pdtc10/index.php?action=vallex&amp;frame=v-w6846f1", "tlumit (v-w6846f1)")</f>
        <v>tlumit (v-w6846f1)</v>
      </c>
    </row>
    <row r="48401" spans="1:4" x14ac:dyDescent="0.2">
      <c r="B48401" t="s">
        <v>1</v>
      </c>
      <c r="C48401" t="s">
        <v>1065</v>
      </c>
      <c r="D48401" t="s">
        <v>1805</v>
      </c>
    </row>
    <row r="48402" spans="1:4" x14ac:dyDescent="0.2">
      <c r="B48402" t="s">
        <v>8</v>
      </c>
      <c r="C48402" t="s">
        <v>969</v>
      </c>
      <c r="D48402" t="s">
        <v>2747</v>
      </c>
    </row>
    <row r="48404" spans="1:4" x14ac:dyDescent="0.2">
      <c r="A48404" t="s">
        <v>15420</v>
      </c>
      <c r="B48404" t="str">
        <f>HYPERLINK("https://lindat.mff.cuni.cz/services/teitok/pdtc10/index.php?action=vallex&amp;frame=v-w6846f2", "tlumit (v-w6846f2)")</f>
        <v>tlumit (v-w6846f2)</v>
      </c>
    </row>
    <row r="48405" spans="1:4" x14ac:dyDescent="0.2">
      <c r="B48405" t="s">
        <v>1</v>
      </c>
    </row>
    <row r="48406" spans="1:4" x14ac:dyDescent="0.2">
      <c r="B48406" t="s">
        <v>8</v>
      </c>
    </row>
    <row r="48408" spans="1:4" x14ac:dyDescent="0.2">
      <c r="A48408" t="s">
        <v>15421</v>
      </c>
      <c r="B48408" t="str">
        <f>HYPERLINK("https://lindat.mff.cuni.cz/services/teitok/pdtc10/index.php?action=vallex&amp;frame=v-w6848f1", "tlumočit (v-w6848f1)")</f>
        <v>tlumočit (v-w6848f1)</v>
      </c>
    </row>
    <row r="48409" spans="1:4" x14ac:dyDescent="0.2">
      <c r="B48409" t="s">
        <v>1</v>
      </c>
      <c r="C48409" t="s">
        <v>373</v>
      </c>
    </row>
    <row r="48410" spans="1:4" x14ac:dyDescent="0.2">
      <c r="B48410" t="s">
        <v>273</v>
      </c>
      <c r="C48410" t="s">
        <v>2240</v>
      </c>
    </row>
    <row r="48411" spans="1:4" x14ac:dyDescent="0.2">
      <c r="B48411" t="s">
        <v>35</v>
      </c>
      <c r="C48411" t="s">
        <v>6645</v>
      </c>
    </row>
    <row r="48413" spans="1:4" x14ac:dyDescent="0.2">
      <c r="A48413" t="s">
        <v>15422</v>
      </c>
      <c r="B48413" t="str">
        <f>HYPERLINK("https://lindat.mff.cuni.cz/services/teitok/pdtc10/index.php?action=vallex&amp;frame=v-w6848f2", "tlumočit (v-w6848f2)")</f>
        <v>tlumočit (v-w6848f2)</v>
      </c>
    </row>
    <row r="48414" spans="1:4" x14ac:dyDescent="0.2">
      <c r="B48414" t="s">
        <v>1</v>
      </c>
    </row>
    <row r="48415" spans="1:4" x14ac:dyDescent="0.2">
      <c r="B48415" t="s">
        <v>8</v>
      </c>
    </row>
    <row r="48416" spans="1:4" x14ac:dyDescent="0.2">
      <c r="B48416" t="s">
        <v>24</v>
      </c>
    </row>
    <row r="48417" spans="1:4" x14ac:dyDescent="0.2">
      <c r="B48417" t="s">
        <v>130</v>
      </c>
    </row>
    <row r="48419" spans="1:4" x14ac:dyDescent="0.2">
      <c r="A48419" t="s">
        <v>15423</v>
      </c>
      <c r="B48419" t="str">
        <f>HYPERLINK("https://lindat.mff.cuni.cz/services/teitok/pdtc10/index.php?action=vallex&amp;frame=v-w12345_MMf1_MM", "tmelit (v-w12345_MMf1_MM)")</f>
        <v>tmelit (v-w12345_MMf1_MM)</v>
      </c>
    </row>
    <row r="48420" spans="1:4" x14ac:dyDescent="0.2">
      <c r="B48420" t="s">
        <v>1</v>
      </c>
    </row>
    <row r="48421" spans="1:4" x14ac:dyDescent="0.2">
      <c r="B48421" t="s">
        <v>8</v>
      </c>
    </row>
    <row r="48423" spans="1:4" x14ac:dyDescent="0.2">
      <c r="A48423" t="s">
        <v>15424</v>
      </c>
      <c r="B48423" t="str">
        <f>HYPERLINK("https://lindat.mff.cuni.cz/services/teitok/pdtc10/index.php?action=vallex&amp;frame=v-w6855f1", "tolerovat (v-w6855f1)")</f>
        <v>tolerovat (v-w6855f1)</v>
      </c>
    </row>
    <row r="48424" spans="1:4" x14ac:dyDescent="0.2">
      <c r="B48424" t="s">
        <v>1</v>
      </c>
      <c r="C48424" t="s">
        <v>133</v>
      </c>
      <c r="D48424" t="s">
        <v>80</v>
      </c>
    </row>
    <row r="48425" spans="1:4" x14ac:dyDescent="0.2">
      <c r="B48425" t="s">
        <v>124</v>
      </c>
      <c r="C48425" t="s">
        <v>23</v>
      </c>
      <c r="D48425" t="s">
        <v>1066</v>
      </c>
    </row>
    <row r="48426" spans="1:4" x14ac:dyDescent="0.2">
      <c r="B48426" t="s">
        <v>78</v>
      </c>
    </row>
    <row r="48428" spans="1:4" x14ac:dyDescent="0.2">
      <c r="A48428" t="s">
        <v>15425</v>
      </c>
      <c r="B48428" t="str">
        <f>HYPERLINK("https://lindat.mff.cuni.cz/services/teitok/pdtc10/index.php?action=vallex&amp;frame=v-w6855hsa_389", "tolerovat (v-w6855hsa_389)")</f>
        <v>tolerovat (v-w6855hsa_389)</v>
      </c>
    </row>
    <row r="48429" spans="1:4" x14ac:dyDescent="0.2">
      <c r="B48429" t="s">
        <v>1</v>
      </c>
      <c r="C48429" t="s">
        <v>33</v>
      </c>
      <c r="D48429" t="s">
        <v>80</v>
      </c>
    </row>
    <row r="48430" spans="1:4" x14ac:dyDescent="0.2">
      <c r="B48430" t="s">
        <v>8</v>
      </c>
      <c r="C48430" t="s">
        <v>991</v>
      </c>
      <c r="D48430" t="s">
        <v>1066</v>
      </c>
    </row>
    <row r="48432" spans="1:4" x14ac:dyDescent="0.2">
      <c r="A48432" t="s">
        <v>15426</v>
      </c>
      <c r="B48432" t="str">
        <f>HYPERLINK("https://lindat.mff.cuni.cz/services/teitok/pdtc10/index.php?action=vallex&amp;frame=v-w6856f1", "tonout (v-w6856f1)")</f>
        <v>tonout (v-w6856f1)</v>
      </c>
    </row>
    <row r="48433" spans="1:4" x14ac:dyDescent="0.2">
      <c r="B48433" t="s">
        <v>1</v>
      </c>
    </row>
    <row r="48434" spans="1:4" x14ac:dyDescent="0.2">
      <c r="B48434" t="s">
        <v>2360</v>
      </c>
    </row>
    <row r="48436" spans="1:4" x14ac:dyDescent="0.2">
      <c r="A48436" t="s">
        <v>15427</v>
      </c>
      <c r="B48436" t="str">
        <f>HYPERLINK("https://lindat.mff.cuni.cz/services/teitok/pdtc10/index.php?action=vallex&amp;frame=v-w6856f2", "tonout (v-w6856f2)")</f>
        <v>tonout (v-w6856f2)</v>
      </c>
    </row>
    <row r="48437" spans="1:4" x14ac:dyDescent="0.2">
      <c r="B48437" t="s">
        <v>1</v>
      </c>
    </row>
    <row r="48439" spans="1:4" x14ac:dyDescent="0.2">
      <c r="A48439" t="s">
        <v>15428</v>
      </c>
      <c r="B48439" t="str">
        <f>HYPERLINK("https://lindat.mff.cuni.cz/services/teitok/pdtc10/index.php?action=vallex&amp;frame=v-w6858f1", "topit (v-w6858f1)")</f>
        <v>topit (v-w6858f1)</v>
      </c>
    </row>
    <row r="48440" spans="1:4" x14ac:dyDescent="0.2">
      <c r="B48440" t="s">
        <v>1</v>
      </c>
    </row>
    <row r="48442" spans="1:4" x14ac:dyDescent="0.2">
      <c r="A48442" t="s">
        <v>15429</v>
      </c>
      <c r="B48442" t="str">
        <f>HYPERLINK("https://lindat.mff.cuni.cz/services/teitok/pdtc10/index.php?action=vallex&amp;frame=v-w6859f1", "topit se (v-w6859f1)")</f>
        <v>topit se (v-w6859f1)</v>
      </c>
    </row>
    <row r="48443" spans="1:4" x14ac:dyDescent="0.2">
      <c r="B48443" t="s">
        <v>1</v>
      </c>
    </row>
    <row r="48445" spans="1:4" x14ac:dyDescent="0.2">
      <c r="A48445" t="s">
        <v>15430</v>
      </c>
      <c r="B48445" t="str">
        <f>HYPERLINK("https://lindat.mff.cuni.cz/services/teitok/pdtc10/index.php?action=vallex&amp;frame=v-w6859f2_ZU", "topit se (v-w6859f2_ZU)")</f>
        <v>topit se (v-w6859f2_ZU)</v>
      </c>
    </row>
    <row r="48446" spans="1:4" x14ac:dyDescent="0.2">
      <c r="B48446" t="s">
        <v>1</v>
      </c>
      <c r="C48446" t="s">
        <v>15431</v>
      </c>
      <c r="D48446" t="s">
        <v>249</v>
      </c>
    </row>
    <row r="48448" spans="1:4" x14ac:dyDescent="0.2">
      <c r="A48448" t="s">
        <v>15432</v>
      </c>
      <c r="B48448" t="str">
        <f>HYPERLINK("https://lindat.mff.cuni.cz/services/teitok/pdtc10/index.php?action=vallex&amp;frame=v-w6860f1", "torpédovat (v-w6860f1)")</f>
        <v>torpédovat (v-w6860f1)</v>
      </c>
    </row>
    <row r="48449" spans="1:4" x14ac:dyDescent="0.2">
      <c r="B48449" t="s">
        <v>1</v>
      </c>
      <c r="C48449" t="s">
        <v>33</v>
      </c>
      <c r="D48449" t="s">
        <v>22980</v>
      </c>
    </row>
    <row r="48450" spans="1:4" x14ac:dyDescent="0.2">
      <c r="B48450" t="s">
        <v>8</v>
      </c>
      <c r="C48450" t="s">
        <v>113</v>
      </c>
      <c r="D48450" t="s">
        <v>22981</v>
      </c>
    </row>
    <row r="48452" spans="1:4" x14ac:dyDescent="0.2">
      <c r="A48452" t="s">
        <v>15433</v>
      </c>
      <c r="B48452" t="str">
        <f>HYPERLINK("https://lindat.mff.cuni.cz/services/teitok/pdtc10/index.php?action=vallex&amp;frame=v-w6860f2", "torpédovat (v-w6860f2)")</f>
        <v>torpédovat (v-w6860f2)</v>
      </c>
    </row>
    <row r="48453" spans="1:4" x14ac:dyDescent="0.2">
      <c r="B48453" t="s">
        <v>1</v>
      </c>
    </row>
    <row r="48454" spans="1:4" x14ac:dyDescent="0.2">
      <c r="B48454" t="s">
        <v>8</v>
      </c>
    </row>
    <row r="48456" spans="1:4" x14ac:dyDescent="0.2">
      <c r="A48456" t="s">
        <v>15434</v>
      </c>
      <c r="B48456" t="str">
        <f>HYPERLINK("https://lindat.mff.cuni.cz/services/teitok/pdtc10/index.php?action=vallex&amp;frame=v-w6864f1", "toulat se (v-w6864f1)")</f>
        <v>toulat se (v-w6864f1)</v>
      </c>
    </row>
    <row r="48457" spans="1:4" x14ac:dyDescent="0.2">
      <c r="B48457" t="s">
        <v>1</v>
      </c>
      <c r="C48457" t="s">
        <v>133</v>
      </c>
      <c r="D48457" t="s">
        <v>133</v>
      </c>
    </row>
    <row r="48459" spans="1:4" x14ac:dyDescent="0.2">
      <c r="A48459" t="s">
        <v>15435</v>
      </c>
      <c r="B48459" t="str">
        <f>HYPERLINK("https://lindat.mff.cuni.cz/services/teitok/pdtc10/index.php?action=vallex&amp;frame=v-w6866f2_ZU", "toužit (v-w6866f2_ZU)")</f>
        <v>toužit (v-w6866f2_ZU)</v>
      </c>
    </row>
    <row r="48460" spans="1:4" x14ac:dyDescent="0.2">
      <c r="B48460" t="s">
        <v>1</v>
      </c>
    </row>
    <row r="48461" spans="1:4" x14ac:dyDescent="0.2">
      <c r="B48461" t="s">
        <v>15436</v>
      </c>
    </row>
    <row r="48463" spans="1:4" x14ac:dyDescent="0.2">
      <c r="A48463" t="s">
        <v>15435</v>
      </c>
      <c r="B48463" t="str">
        <f>HYPERLINK("https://lindat.mff.cuni.cz/services/teitok/pdtc10/index.php?action=vallex&amp;frame=v-w6866f1", "toužit (v-w6866f1) - substituted with v-w6866f2_ZU")</f>
        <v>toužit (v-w6866f1) - substituted with v-w6866f2_ZU</v>
      </c>
    </row>
    <row r="48464" spans="1:4" x14ac:dyDescent="0.2">
      <c r="B48464" t="s">
        <v>1</v>
      </c>
      <c r="C48464" t="s">
        <v>15437</v>
      </c>
      <c r="D48464" t="s">
        <v>24234</v>
      </c>
    </row>
    <row r="48465" spans="1:4" x14ac:dyDescent="0.2">
      <c r="B48465" t="s">
        <v>15436</v>
      </c>
      <c r="C48465" t="s">
        <v>2747</v>
      </c>
      <c r="D48465" t="s">
        <v>24235</v>
      </c>
    </row>
    <row r="48467" spans="1:4" x14ac:dyDescent="0.2">
      <c r="A48467" t="s">
        <v>15438</v>
      </c>
      <c r="B48467" t="str">
        <f>HYPERLINK("https://lindat.mff.cuni.cz/services/teitok/pdtc10/index.php?action=vallex&amp;frame=v-w6850f1", "točit (v-w6850f1)")</f>
        <v>točit (v-w6850f1)</v>
      </c>
    </row>
    <row r="48468" spans="1:4" x14ac:dyDescent="0.2">
      <c r="B48468" t="s">
        <v>1</v>
      </c>
      <c r="C48468" t="s">
        <v>15439</v>
      </c>
      <c r="D48468" t="s">
        <v>1106</v>
      </c>
    </row>
    <row r="48469" spans="1:4" x14ac:dyDescent="0.2">
      <c r="B48469" t="s">
        <v>8</v>
      </c>
      <c r="C48469" t="s">
        <v>15440</v>
      </c>
      <c r="D48469" t="s">
        <v>9714</v>
      </c>
    </row>
    <row r="48471" spans="1:4" x14ac:dyDescent="0.2">
      <c r="A48471" t="s">
        <v>15441</v>
      </c>
      <c r="B48471" t="str">
        <f>HYPERLINK("https://lindat.mff.cuni.cz/services/teitok/pdtc10/index.php?action=vallex&amp;frame=v-w6850f2", "točit (v-w6850f2)")</f>
        <v>točit (v-w6850f2)</v>
      </c>
    </row>
    <row r="48472" spans="1:4" x14ac:dyDescent="0.2">
      <c r="B48472" t="s">
        <v>1</v>
      </c>
    </row>
    <row r="48473" spans="1:4" x14ac:dyDescent="0.2">
      <c r="B48473" t="s">
        <v>158</v>
      </c>
    </row>
    <row r="48475" spans="1:4" x14ac:dyDescent="0.2">
      <c r="A48475" t="s">
        <v>15442</v>
      </c>
      <c r="B48475" t="str">
        <f>HYPERLINK("https://lindat.mff.cuni.cz/services/teitok/pdtc10/index.php?action=vallex&amp;frame=v-w6850f3_ZU", "točit (v-w6850f3_ZU)")</f>
        <v>točit (v-w6850f3_ZU)</v>
      </c>
    </row>
    <row r="48476" spans="1:4" x14ac:dyDescent="0.2">
      <c r="B48476" t="s">
        <v>1</v>
      </c>
    </row>
    <row r="48477" spans="1:4" x14ac:dyDescent="0.2">
      <c r="B48477" t="s">
        <v>8</v>
      </c>
    </row>
    <row r="48479" spans="1:4" x14ac:dyDescent="0.2">
      <c r="A48479" t="s">
        <v>15442</v>
      </c>
      <c r="B48479" t="str">
        <f>HYPERLINK("https://lindat.mff.cuni.cz/services/teitok/pdtc10/index.php?action=vallex&amp;frame=v-w6850hsa_194", "točit (v-w6850hsa_194) - substituted with v-w6850f3_ZU")</f>
        <v>točit (v-w6850hsa_194) - substituted with v-w6850f3_ZU</v>
      </c>
    </row>
    <row r="48480" spans="1:4" x14ac:dyDescent="0.2">
      <c r="B48480" t="s">
        <v>1</v>
      </c>
    </row>
    <row r="48481" spans="1:3" x14ac:dyDescent="0.2">
      <c r="B48481" t="s">
        <v>8</v>
      </c>
    </row>
    <row r="48483" spans="1:3" x14ac:dyDescent="0.2">
      <c r="A48483" t="s">
        <v>15443</v>
      </c>
      <c r="B48483" t="str">
        <f>HYPERLINK("https://lindat.mff.cuni.cz/services/teitok/pdtc10/index.php?action=vallex&amp;frame=v-w6850f4_ZU", "točit (v-w6850f4_ZU)")</f>
        <v>točit (v-w6850f4_ZU)</v>
      </c>
    </row>
    <row r="48484" spans="1:3" x14ac:dyDescent="0.2">
      <c r="B48484" t="s">
        <v>1</v>
      </c>
    </row>
    <row r="48485" spans="1:3" x14ac:dyDescent="0.2">
      <c r="B48485" t="s">
        <v>8</v>
      </c>
    </row>
    <row r="48487" spans="1:3" x14ac:dyDescent="0.2">
      <c r="A48487" t="s">
        <v>15444</v>
      </c>
      <c r="B48487" t="str">
        <f>HYPERLINK("https://lindat.mff.cuni.cz/services/teitok/pdtc10/index.php?action=vallex&amp;frame=v-w6850hsa_192", "točit (v-w6850hsa_192)")</f>
        <v>točit (v-w6850hsa_192)</v>
      </c>
    </row>
    <row r="48488" spans="1:3" x14ac:dyDescent="0.2">
      <c r="B48488" t="s">
        <v>1</v>
      </c>
    </row>
    <row r="48489" spans="1:3" x14ac:dyDescent="0.2">
      <c r="B48489" t="s">
        <v>8</v>
      </c>
    </row>
    <row r="48491" spans="1:3" x14ac:dyDescent="0.2">
      <c r="A48491" t="s">
        <v>15445</v>
      </c>
      <c r="B48491" t="str">
        <f>HYPERLINK("https://lindat.mff.cuni.cz/services/teitok/pdtc10/index.php?action=vallex&amp;frame=v-w6850hsa_193", "točit (v-w6850hsa_193)")</f>
        <v>točit (v-w6850hsa_193)</v>
      </c>
    </row>
    <row r="48492" spans="1:3" x14ac:dyDescent="0.2">
      <c r="B48492" t="s">
        <v>1</v>
      </c>
    </row>
    <row r="48493" spans="1:3" x14ac:dyDescent="0.2">
      <c r="B48493" t="s">
        <v>8</v>
      </c>
    </row>
    <row r="48495" spans="1:3" x14ac:dyDescent="0.2">
      <c r="A48495" t="s">
        <v>15446</v>
      </c>
      <c r="B48495" t="str">
        <f>HYPERLINK("https://lindat.mff.cuni.cz/services/teitok/pdtc10/index.php?action=vallex&amp;frame=v-w6851f1", "točit se (v-w6851f1)")</f>
        <v>točit se (v-w6851f1)</v>
      </c>
    </row>
    <row r="48496" spans="1:3" x14ac:dyDescent="0.2">
      <c r="B48496" t="s">
        <v>1</v>
      </c>
      <c r="C48496" t="s">
        <v>2172</v>
      </c>
    </row>
    <row r="48497" spans="1:4" x14ac:dyDescent="0.2">
      <c r="B48497" t="s">
        <v>15447</v>
      </c>
      <c r="C48497" t="s">
        <v>2902</v>
      </c>
    </row>
    <row r="48499" spans="1:4" x14ac:dyDescent="0.2">
      <c r="A48499" t="s">
        <v>15448</v>
      </c>
      <c r="B48499" t="str">
        <f>HYPERLINK("https://lindat.mff.cuni.cz/services/teitok/pdtc10/index.php?action=vallex&amp;frame=v-w6851f2", "točit se (v-w6851f2)")</f>
        <v>točit se (v-w6851f2)</v>
      </c>
    </row>
    <row r="48500" spans="1:4" x14ac:dyDescent="0.2">
      <c r="B48500" t="s">
        <v>1</v>
      </c>
    </row>
    <row r="48501" spans="1:4" x14ac:dyDescent="0.2">
      <c r="B48501" t="s">
        <v>5</v>
      </c>
    </row>
    <row r="48503" spans="1:4" x14ac:dyDescent="0.2">
      <c r="A48503" t="s">
        <v>15449</v>
      </c>
      <c r="B48503" t="str">
        <f>HYPERLINK("https://lindat.mff.cuni.cz/services/teitok/pdtc10/index.php?action=vallex&amp;frame=v-w6851f4_ZU", "točit se (v-w6851f4_ZU)")</f>
        <v>točit se (v-w6851f4_ZU)</v>
      </c>
    </row>
    <row r="48504" spans="1:4" x14ac:dyDescent="0.2">
      <c r="B48504" t="s">
        <v>455</v>
      </c>
      <c r="C48504" t="s">
        <v>147</v>
      </c>
      <c r="D48504" t="s">
        <v>147</v>
      </c>
    </row>
    <row r="48505" spans="1:4" x14ac:dyDescent="0.2">
      <c r="B48505" t="s">
        <v>15450</v>
      </c>
    </row>
    <row r="48507" spans="1:4" x14ac:dyDescent="0.2">
      <c r="A48507" t="s">
        <v>15449</v>
      </c>
      <c r="B48507" t="str">
        <f>HYPERLINK("https://lindat.mff.cuni.cz/services/teitok/pdtc10/index.php?action=vallex&amp;frame=v-w6851hsa_570", "točit se (v-w6851hsa_570) - substituted with v-w6851f4_ZU")</f>
        <v>točit se (v-w6851hsa_570) - substituted with v-w6851f4_ZU</v>
      </c>
    </row>
    <row r="48508" spans="1:4" x14ac:dyDescent="0.2">
      <c r="B48508" t="s">
        <v>455</v>
      </c>
    </row>
    <row r="48509" spans="1:4" x14ac:dyDescent="0.2">
      <c r="B48509" t="s">
        <v>15450</v>
      </c>
    </row>
    <row r="48511" spans="1:4" x14ac:dyDescent="0.2">
      <c r="A48511" t="s">
        <v>15451</v>
      </c>
      <c r="B48511" t="str">
        <f>HYPERLINK("https://lindat.mff.cuni.cz/services/teitok/pdtc10/index.php?action=vallex&amp;frame=v-w6851f3_ZU", "točit se (v-w6851f3_ZU)")</f>
        <v>točit se (v-w6851f3_ZU)</v>
      </c>
    </row>
    <row r="48512" spans="1:4" x14ac:dyDescent="0.2">
      <c r="B48512" t="s">
        <v>1</v>
      </c>
      <c r="C48512" t="s">
        <v>140</v>
      </c>
    </row>
    <row r="48513" spans="1:3" x14ac:dyDescent="0.2">
      <c r="B48513" t="s">
        <v>15452</v>
      </c>
      <c r="C48513" t="s">
        <v>283</v>
      </c>
    </row>
    <row r="48514" spans="1:3" x14ac:dyDescent="0.2">
      <c r="B48514" t="s">
        <v>176</v>
      </c>
      <c r="C48514" t="s">
        <v>299</v>
      </c>
    </row>
    <row r="48516" spans="1:3" x14ac:dyDescent="0.2">
      <c r="A48516" t="s">
        <v>15451</v>
      </c>
      <c r="B48516" t="str">
        <f>HYPERLINK("https://lindat.mff.cuni.cz/services/teitok/pdtc10/index.php?action=vallex&amp;frame=v-w6851hsa_571", "točit se (v-w6851hsa_571) - substituted with v-w6851f3_ZU")</f>
        <v>točit se (v-w6851hsa_571) - substituted with v-w6851f3_ZU</v>
      </c>
    </row>
    <row r="48517" spans="1:3" x14ac:dyDescent="0.2">
      <c r="B48517" t="s">
        <v>1</v>
      </c>
    </row>
    <row r="48518" spans="1:3" x14ac:dyDescent="0.2">
      <c r="B48518" t="s">
        <v>15452</v>
      </c>
    </row>
    <row r="48519" spans="1:3" x14ac:dyDescent="0.2">
      <c r="B48519" t="s">
        <v>176</v>
      </c>
    </row>
    <row r="48521" spans="1:3" x14ac:dyDescent="0.2">
      <c r="A48521" t="s">
        <v>15453</v>
      </c>
      <c r="B48521" t="str">
        <f>HYPERLINK("https://lindat.mff.cuni.cz/services/teitok/pdtc10/index.php?action=vallex&amp;frame=v-w6851hsa_482", "točit se (v-w6851hsa_482)")</f>
        <v>točit se (v-w6851hsa_482)</v>
      </c>
    </row>
    <row r="48522" spans="1:3" x14ac:dyDescent="0.2">
      <c r="B48522" t="s">
        <v>1</v>
      </c>
    </row>
    <row r="48524" spans="1:3" x14ac:dyDescent="0.2">
      <c r="A48524" t="s">
        <v>15454</v>
      </c>
      <c r="B48524" t="str">
        <f>HYPERLINK("https://lindat.mff.cuni.cz/services/teitok/pdtc10/index.php?action=vallex&amp;frame=v-w6868f1", "tradovat (v-w6868f1)")</f>
        <v>tradovat (v-w6868f1)</v>
      </c>
    </row>
    <row r="48525" spans="1:3" x14ac:dyDescent="0.2">
      <c r="B48525" t="s">
        <v>1</v>
      </c>
      <c r="C48525" t="s">
        <v>186</v>
      </c>
    </row>
    <row r="48526" spans="1:3" x14ac:dyDescent="0.2">
      <c r="B48526" t="s">
        <v>4749</v>
      </c>
    </row>
    <row r="48527" spans="1:3" x14ac:dyDescent="0.2">
      <c r="B48527" t="s">
        <v>269</v>
      </c>
    </row>
    <row r="48529" spans="1:4" x14ac:dyDescent="0.2">
      <c r="A48529" t="s">
        <v>15455</v>
      </c>
      <c r="B48529" t="str">
        <f>HYPERLINK("https://lindat.mff.cuni.cz/services/teitok/pdtc10/index.php?action=vallex&amp;frame=v-w11880_ZUf1_ZU", "trampovat (v-w11880_ZUf1_ZU)")</f>
        <v>trampovat (v-w11880_ZUf1_ZU)</v>
      </c>
    </row>
    <row r="48530" spans="1:4" x14ac:dyDescent="0.2">
      <c r="B48530" t="s">
        <v>1</v>
      </c>
    </row>
    <row r="48532" spans="1:4" x14ac:dyDescent="0.2">
      <c r="A48532" t="s">
        <v>15456</v>
      </c>
      <c r="B48532" t="str">
        <f>HYPERLINK("https://lindat.mff.cuni.cz/services/teitok/pdtc10/index.php?action=vallex&amp;frame=v-w6877f1", "transformovat (v-w6877f1)")</f>
        <v>transformovat (v-w6877f1)</v>
      </c>
    </row>
    <row r="48533" spans="1:4" x14ac:dyDescent="0.2">
      <c r="B48533" t="s">
        <v>1</v>
      </c>
      <c r="C48533" t="s">
        <v>3358</v>
      </c>
      <c r="D48533" t="s">
        <v>22944</v>
      </c>
    </row>
    <row r="48534" spans="1:4" x14ac:dyDescent="0.2">
      <c r="B48534" t="s">
        <v>8</v>
      </c>
      <c r="C48534" t="s">
        <v>15457</v>
      </c>
      <c r="D48534" t="s">
        <v>22945</v>
      </c>
    </row>
    <row r="48535" spans="1:4" x14ac:dyDescent="0.2">
      <c r="B48535" t="s">
        <v>24</v>
      </c>
      <c r="C48535" t="s">
        <v>10630</v>
      </c>
      <c r="D48535" t="s">
        <v>22946</v>
      </c>
    </row>
    <row r="48536" spans="1:4" x14ac:dyDescent="0.2">
      <c r="B48536" t="s">
        <v>15458</v>
      </c>
      <c r="C48536" t="s">
        <v>15459</v>
      </c>
      <c r="D48536" t="s">
        <v>22947</v>
      </c>
    </row>
    <row r="48538" spans="1:4" x14ac:dyDescent="0.2">
      <c r="A48538" t="s">
        <v>15460</v>
      </c>
      <c r="B48538" t="str">
        <f>HYPERLINK("https://lindat.mff.cuni.cz/services/teitok/pdtc10/index.php?action=vallex&amp;frame=v-w6878f1", "transformovat se (v-w6878f1)")</f>
        <v>transformovat se (v-w6878f1)</v>
      </c>
    </row>
    <row r="48539" spans="1:4" x14ac:dyDescent="0.2">
      <c r="B48539" t="s">
        <v>1</v>
      </c>
      <c r="C48539" t="s">
        <v>15461</v>
      </c>
      <c r="D48539" t="s">
        <v>23506</v>
      </c>
    </row>
    <row r="48540" spans="1:4" x14ac:dyDescent="0.2">
      <c r="B48540" t="s">
        <v>11474</v>
      </c>
      <c r="C48540" t="s">
        <v>2657</v>
      </c>
      <c r="D48540" t="s">
        <v>23507</v>
      </c>
    </row>
    <row r="48541" spans="1:4" x14ac:dyDescent="0.2">
      <c r="B48541" t="s">
        <v>24</v>
      </c>
      <c r="C48541" t="s">
        <v>15462</v>
      </c>
      <c r="D48541" t="s">
        <v>11827</v>
      </c>
    </row>
    <row r="48543" spans="1:4" x14ac:dyDescent="0.2">
      <c r="A48543" t="s">
        <v>15463</v>
      </c>
      <c r="B48543" t="str">
        <f>HYPERLINK("https://lindat.mff.cuni.cz/services/teitok/pdtc10/index.php?action=vallex&amp;frame=v-w6883f1", "transplantovat (v-w6883f1)")</f>
        <v>transplantovat (v-w6883f1)</v>
      </c>
    </row>
    <row r="48544" spans="1:4" x14ac:dyDescent="0.2">
      <c r="B48544" t="s">
        <v>1</v>
      </c>
    </row>
    <row r="48545" spans="1:4" x14ac:dyDescent="0.2">
      <c r="B48545" t="s">
        <v>8</v>
      </c>
    </row>
    <row r="48546" spans="1:4" x14ac:dyDescent="0.2">
      <c r="B48546" t="s">
        <v>35</v>
      </c>
    </row>
    <row r="48548" spans="1:4" x14ac:dyDescent="0.2">
      <c r="A48548" t="s">
        <v>15464</v>
      </c>
      <c r="B48548" t="str">
        <f>HYPERLINK("https://lindat.mff.cuni.cz/services/teitok/pdtc10/index.php?action=vallex&amp;frame=v-w6885f1", "transportovat (v-w6885f1)")</f>
        <v>transportovat (v-w6885f1)</v>
      </c>
    </row>
    <row r="48549" spans="1:4" x14ac:dyDescent="0.2">
      <c r="B48549" t="s">
        <v>1</v>
      </c>
      <c r="C48549" t="s">
        <v>249</v>
      </c>
      <c r="D48549" t="s">
        <v>3580</v>
      </c>
    </row>
    <row r="48550" spans="1:4" x14ac:dyDescent="0.2">
      <c r="B48550" t="s">
        <v>8</v>
      </c>
      <c r="C48550" t="s">
        <v>1190</v>
      </c>
      <c r="D48550" t="s">
        <v>23652</v>
      </c>
    </row>
    <row r="48552" spans="1:4" x14ac:dyDescent="0.2">
      <c r="A48552" t="s">
        <v>15465</v>
      </c>
      <c r="B48552" t="str">
        <f>HYPERLINK("https://lindat.mff.cuni.cz/services/teitok/pdtc10/index.php?action=vallex&amp;frame=v-w6891f1", "tratit (v-w6891f1)")</f>
        <v>tratit (v-w6891f1)</v>
      </c>
    </row>
    <row r="48553" spans="1:4" x14ac:dyDescent="0.2">
      <c r="B48553" t="s">
        <v>1</v>
      </c>
      <c r="C48553" t="s">
        <v>12039</v>
      </c>
      <c r="D48553" t="s">
        <v>83</v>
      </c>
    </row>
    <row r="48554" spans="1:4" x14ac:dyDescent="0.2">
      <c r="B48554" t="s">
        <v>8</v>
      </c>
      <c r="C48554" t="s">
        <v>7964</v>
      </c>
      <c r="D48554" t="s">
        <v>1331</v>
      </c>
    </row>
    <row r="48555" spans="1:4" x14ac:dyDescent="0.2">
      <c r="B48555" t="s">
        <v>442</v>
      </c>
    </row>
    <row r="48557" spans="1:4" x14ac:dyDescent="0.2">
      <c r="A48557" t="s">
        <v>15466</v>
      </c>
      <c r="B48557" t="str">
        <f>HYPERLINK("https://lindat.mff.cuni.cz/services/teitok/pdtc10/index.php?action=vallex&amp;frame=v-w10245f2", "traumatizovat (v-w10245f2)")</f>
        <v>traumatizovat (v-w10245f2)</v>
      </c>
    </row>
    <row r="48558" spans="1:4" x14ac:dyDescent="0.2">
      <c r="B48558" t="s">
        <v>1</v>
      </c>
      <c r="C48558" t="s">
        <v>33</v>
      </c>
      <c r="D48558" t="s">
        <v>23156</v>
      </c>
    </row>
    <row r="48559" spans="1:4" x14ac:dyDescent="0.2">
      <c r="B48559" t="s">
        <v>8</v>
      </c>
      <c r="C48559" t="s">
        <v>113</v>
      </c>
      <c r="D48559" t="s">
        <v>23157</v>
      </c>
    </row>
    <row r="48561" spans="1:3" x14ac:dyDescent="0.2">
      <c r="A48561" t="s">
        <v>15467</v>
      </c>
      <c r="B48561" t="str">
        <f>HYPERLINK("https://lindat.mff.cuni.cz/services/teitok/pdtc10/index.php?action=vallex&amp;frame=v-w6896f1", "trefit (v-w6896f1)")</f>
        <v>trefit (v-w6896f1)</v>
      </c>
    </row>
    <row r="48562" spans="1:3" x14ac:dyDescent="0.2">
      <c r="B48562" t="s">
        <v>1</v>
      </c>
      <c r="C48562" t="s">
        <v>2717</v>
      </c>
    </row>
    <row r="48563" spans="1:3" x14ac:dyDescent="0.2">
      <c r="B48563" t="s">
        <v>8</v>
      </c>
    </row>
    <row r="48565" spans="1:3" x14ac:dyDescent="0.2">
      <c r="A48565" t="s">
        <v>15468</v>
      </c>
      <c r="B48565" t="str">
        <f>HYPERLINK("https://lindat.mff.cuni.cz/services/teitok/pdtc10/index.php?action=vallex&amp;frame=v-w6896f6", "trefit (v-w6896f6)")</f>
        <v>trefit (v-w6896f6)</v>
      </c>
    </row>
    <row r="48566" spans="1:3" x14ac:dyDescent="0.2">
      <c r="B48566" t="s">
        <v>1</v>
      </c>
    </row>
    <row r="48567" spans="1:3" x14ac:dyDescent="0.2">
      <c r="B48567" t="s">
        <v>8</v>
      </c>
    </row>
    <row r="48569" spans="1:3" x14ac:dyDescent="0.2">
      <c r="A48569" t="s">
        <v>15469</v>
      </c>
      <c r="B48569" t="str">
        <f>HYPERLINK("https://lindat.mff.cuni.cz/services/teitok/pdtc10/index.php?action=vallex&amp;frame=v-w6896f5", "trefit (v-w6896f5)")</f>
        <v>trefit (v-w6896f5)</v>
      </c>
    </row>
    <row r="48570" spans="1:3" x14ac:dyDescent="0.2">
      <c r="B48570" t="s">
        <v>1</v>
      </c>
    </row>
    <row r="48571" spans="1:3" x14ac:dyDescent="0.2">
      <c r="B48571" t="s">
        <v>28</v>
      </c>
    </row>
    <row r="48573" spans="1:3" x14ac:dyDescent="0.2">
      <c r="A48573" t="s">
        <v>15470</v>
      </c>
      <c r="B48573" t="str">
        <f>HYPERLINK("https://lindat.mff.cuni.cz/services/teitok/pdtc10/index.php?action=vallex&amp;frame=v-w6896f4", "trefit (v-w6896f4)")</f>
        <v>trefit (v-w6896f4)</v>
      </c>
    </row>
    <row r="48574" spans="1:3" x14ac:dyDescent="0.2">
      <c r="B48574" t="s">
        <v>1</v>
      </c>
    </row>
    <row r="48575" spans="1:3" x14ac:dyDescent="0.2">
      <c r="B48575" t="s">
        <v>90</v>
      </c>
    </row>
    <row r="48577" spans="1:2" x14ac:dyDescent="0.2">
      <c r="A48577" t="s">
        <v>15471</v>
      </c>
      <c r="B48577" t="str">
        <f>HYPERLINK("https://lindat.mff.cuni.cz/services/teitok/pdtc10/index.php?action=vallex&amp;frame=v-w6896f2", "trefit (v-w6896f2)")</f>
        <v>trefit (v-w6896f2)</v>
      </c>
    </row>
    <row r="48578" spans="1:2" x14ac:dyDescent="0.2">
      <c r="B48578" t="s">
        <v>1</v>
      </c>
    </row>
    <row r="48579" spans="1:2" x14ac:dyDescent="0.2">
      <c r="B48579" t="s">
        <v>15472</v>
      </c>
    </row>
    <row r="48581" spans="1:2" x14ac:dyDescent="0.2">
      <c r="A48581" t="s">
        <v>15473</v>
      </c>
      <c r="B48581" t="str">
        <f>HYPERLINK("https://lindat.mff.cuni.cz/services/teitok/pdtc10/index.php?action=vallex&amp;frame=v-w6896f3", "trefit (v-w6896f3)")</f>
        <v>trefit (v-w6896f3)</v>
      </c>
    </row>
    <row r="48582" spans="1:2" x14ac:dyDescent="0.2">
      <c r="B48582" t="s">
        <v>1</v>
      </c>
    </row>
    <row r="48583" spans="1:2" x14ac:dyDescent="0.2">
      <c r="B48583" t="s">
        <v>15474</v>
      </c>
    </row>
    <row r="48585" spans="1:2" x14ac:dyDescent="0.2">
      <c r="A48585" t="s">
        <v>15475</v>
      </c>
      <c r="B48585" t="str">
        <f>HYPERLINK("https://lindat.mff.cuni.cz/services/teitok/pdtc10/index.php?action=vallex&amp;frame=v-w6897f1", "trefit se (v-w6897f1)")</f>
        <v>trefit se (v-w6897f1)</v>
      </c>
    </row>
    <row r="48586" spans="1:2" x14ac:dyDescent="0.2">
      <c r="B48586" t="s">
        <v>1</v>
      </c>
    </row>
    <row r="48587" spans="1:2" x14ac:dyDescent="0.2">
      <c r="B48587" t="s">
        <v>90</v>
      </c>
    </row>
    <row r="48589" spans="1:2" x14ac:dyDescent="0.2">
      <c r="A48589" t="s">
        <v>15476</v>
      </c>
      <c r="B48589" t="str">
        <f>HYPERLINK("https://lindat.mff.cuni.cz/services/teitok/pdtc10/index.php?action=vallex&amp;frame=v-w6897hsa_189", "trefit se (v-w6897hsa_189)")</f>
        <v>trefit se (v-w6897hsa_189)</v>
      </c>
    </row>
    <row r="48590" spans="1:2" x14ac:dyDescent="0.2">
      <c r="B48590" t="s">
        <v>1</v>
      </c>
    </row>
    <row r="48592" spans="1:2" x14ac:dyDescent="0.2">
      <c r="A48592" t="s">
        <v>15477</v>
      </c>
      <c r="B48592" t="str">
        <f>HYPERLINK("https://lindat.mff.cuni.cz/services/teitok/pdtc10/index.php?action=vallex&amp;frame=v-w6897f2_ZU", "trefit se (v-w6897f2_ZU)")</f>
        <v>trefit se (v-w6897f2_ZU)</v>
      </c>
    </row>
    <row r="48593" spans="1:4" x14ac:dyDescent="0.2">
      <c r="B48593" t="s">
        <v>1</v>
      </c>
    </row>
    <row r="48594" spans="1:4" x14ac:dyDescent="0.2">
      <c r="B48594" t="s">
        <v>252</v>
      </c>
    </row>
    <row r="48596" spans="1:4" x14ac:dyDescent="0.2">
      <c r="A48596" t="s">
        <v>15478</v>
      </c>
      <c r="B48596" t="str">
        <f>HYPERLINK("https://lindat.mff.cuni.cz/services/teitok/pdtc10/index.php?action=vallex&amp;frame=v-w11797_ZUf1_ZU", "trefovat se (v-w11797_ZUf1_ZU)")</f>
        <v>trefovat se (v-w11797_ZUf1_ZU)</v>
      </c>
    </row>
    <row r="48597" spans="1:4" x14ac:dyDescent="0.2">
      <c r="B48597" t="s">
        <v>1</v>
      </c>
    </row>
    <row r="48599" spans="1:4" x14ac:dyDescent="0.2">
      <c r="A48599" t="s">
        <v>15479</v>
      </c>
      <c r="B48599" t="str">
        <f>HYPERLINK("https://lindat.mff.cuni.cz/services/teitok/pdtc10/index.php?action=vallex&amp;frame=v-w6907f1", "trestat (v-w6907f1)")</f>
        <v>trestat (v-w6907f1)</v>
      </c>
    </row>
    <row r="48600" spans="1:4" x14ac:dyDescent="0.2">
      <c r="B48600" t="s">
        <v>1</v>
      </c>
      <c r="C48600" t="s">
        <v>249</v>
      </c>
      <c r="D48600" t="s">
        <v>92</v>
      </c>
    </row>
    <row r="48601" spans="1:4" x14ac:dyDescent="0.2">
      <c r="B48601" t="s">
        <v>8</v>
      </c>
      <c r="C48601" t="s">
        <v>2240</v>
      </c>
      <c r="D48601" t="s">
        <v>328</v>
      </c>
    </row>
    <row r="48603" spans="1:4" x14ac:dyDescent="0.2">
      <c r="A48603" t="s">
        <v>15480</v>
      </c>
      <c r="B48603" t="str">
        <f>HYPERLINK("https://lindat.mff.cuni.cz/services/teitok/pdtc10/index.php?action=vallex&amp;frame=v-w6909f1", "trhat (v-w6909f1)")</f>
        <v>trhat (v-w6909f1)</v>
      </c>
    </row>
    <row r="48604" spans="1:4" x14ac:dyDescent="0.2">
      <c r="B48604" t="s">
        <v>1</v>
      </c>
      <c r="D48604" t="s">
        <v>2353</v>
      </c>
    </row>
    <row r="48605" spans="1:4" x14ac:dyDescent="0.2">
      <c r="B48605" t="s">
        <v>8</v>
      </c>
      <c r="C48605" t="s">
        <v>113</v>
      </c>
      <c r="D48605" t="s">
        <v>7127</v>
      </c>
    </row>
    <row r="48606" spans="1:4" x14ac:dyDescent="0.2">
      <c r="B48606" t="s">
        <v>61</v>
      </c>
      <c r="D48606" t="s">
        <v>13074</v>
      </c>
    </row>
    <row r="48608" spans="1:4" x14ac:dyDescent="0.2">
      <c r="A48608" t="s">
        <v>15481</v>
      </c>
      <c r="B48608" t="str">
        <f>HYPERLINK("https://lindat.mff.cuni.cz/services/teitok/pdtc10/index.php?action=vallex&amp;frame=v-w6909f2_ZU", "trhat (v-w6909f2_ZU)")</f>
        <v>trhat (v-w6909f2_ZU)</v>
      </c>
    </row>
    <row r="48609" spans="1:2" x14ac:dyDescent="0.2">
      <c r="B48609" t="s">
        <v>1</v>
      </c>
    </row>
    <row r="48611" spans="1:2" x14ac:dyDescent="0.2">
      <c r="A48611" t="s">
        <v>15482</v>
      </c>
      <c r="B48611" t="str">
        <f>HYPERLINK("https://lindat.mff.cuni.cz/services/teitok/pdtc10/index.php?action=vallex&amp;frame=v-w6909f3_ZU", "trhat (v-w6909f3_ZU)")</f>
        <v>trhat (v-w6909f3_ZU)</v>
      </c>
    </row>
    <row r="48612" spans="1:2" x14ac:dyDescent="0.2">
      <c r="B48612" t="s">
        <v>1</v>
      </c>
    </row>
    <row r="48613" spans="1:2" x14ac:dyDescent="0.2">
      <c r="B48613" t="s">
        <v>8</v>
      </c>
    </row>
    <row r="48615" spans="1:2" x14ac:dyDescent="0.2">
      <c r="A48615" t="s">
        <v>15482</v>
      </c>
      <c r="B48615" t="str">
        <f>HYPERLINK("https://lindat.mff.cuni.cz/services/teitok/pdtc10/index.php?action=vallex&amp;frame=v-w6909hsa_1900", "trhat (v-w6909hsa_1900) - substituted with v-w6909f3_ZU")</f>
        <v>trhat (v-w6909hsa_1900) - substituted with v-w6909f3_ZU</v>
      </c>
    </row>
    <row r="48616" spans="1:2" x14ac:dyDescent="0.2">
      <c r="B48616" t="s">
        <v>1</v>
      </c>
    </row>
    <row r="48617" spans="1:2" x14ac:dyDescent="0.2">
      <c r="B48617" t="s">
        <v>8</v>
      </c>
    </row>
    <row r="48619" spans="1:2" x14ac:dyDescent="0.2">
      <c r="A48619" t="s">
        <v>15483</v>
      </c>
      <c r="B48619" t="str">
        <f>HYPERLINK("https://lindat.mff.cuni.cz/services/teitok/pdtc10/index.php?action=vallex&amp;frame=v-w12333_MMf1_MM", "trhat se (v-w12333_MMf1_MM)")</f>
        <v>trhat se (v-w12333_MMf1_MM)</v>
      </c>
    </row>
    <row r="48620" spans="1:2" x14ac:dyDescent="0.2">
      <c r="B48620" t="s">
        <v>1</v>
      </c>
    </row>
    <row r="48621" spans="1:2" x14ac:dyDescent="0.2">
      <c r="B48621" t="s">
        <v>333</v>
      </c>
    </row>
    <row r="48623" spans="1:2" x14ac:dyDescent="0.2">
      <c r="A48623" t="s">
        <v>15484</v>
      </c>
      <c r="B48623" t="str">
        <f>HYPERLINK("https://lindat.mff.cuni.cz/services/teitok/pdtc10/index.php?action=vallex&amp;frame=v-w12371_MMf1_MM", "trhnout (v-w12371_MMf1_MM)")</f>
        <v>trhnout (v-w12371_MMf1_MM)</v>
      </c>
    </row>
    <row r="48624" spans="1:2" x14ac:dyDescent="0.2">
      <c r="B48624" t="s">
        <v>1</v>
      </c>
    </row>
    <row r="48625" spans="1:4" x14ac:dyDescent="0.2">
      <c r="B48625" t="s">
        <v>8582</v>
      </c>
    </row>
    <row r="48627" spans="1:4" x14ac:dyDescent="0.2">
      <c r="A48627" t="s">
        <v>15485</v>
      </c>
      <c r="B48627" t="str">
        <f>HYPERLINK("https://lindat.mff.cuni.cz/services/teitok/pdtc10/index.php?action=vallex&amp;frame=v-w12092_ZUf1_ZU", "trhnout se (v-w12092_ZUf1_ZU)")</f>
        <v>trhnout se (v-w12092_ZUf1_ZU)</v>
      </c>
    </row>
    <row r="48628" spans="1:4" x14ac:dyDescent="0.2">
      <c r="B48628" t="s">
        <v>1</v>
      </c>
    </row>
    <row r="48629" spans="1:4" x14ac:dyDescent="0.2">
      <c r="B48629" t="s">
        <v>4622</v>
      </c>
    </row>
    <row r="48631" spans="1:4" x14ac:dyDescent="0.2">
      <c r="A48631" t="s">
        <v>15486</v>
      </c>
      <c r="B48631" t="str">
        <f>HYPERLINK("https://lindat.mff.cuni.cz/services/teitok/pdtc10/index.php?action=vallex&amp;frame=v-w12092_ZUf2_ZU", "trhnout se (v-w12092_ZUf2_ZU)")</f>
        <v>trhnout se (v-w12092_ZUf2_ZU)</v>
      </c>
    </row>
    <row r="48632" spans="1:4" x14ac:dyDescent="0.2">
      <c r="B48632" t="s">
        <v>1</v>
      </c>
    </row>
    <row r="48633" spans="1:4" x14ac:dyDescent="0.2">
      <c r="B48633" t="s">
        <v>19</v>
      </c>
    </row>
    <row r="48635" spans="1:4" x14ac:dyDescent="0.2">
      <c r="A48635" t="s">
        <v>15487</v>
      </c>
      <c r="B48635" t="str">
        <f>HYPERLINK("https://lindat.mff.cuni.cz/services/teitok/pdtc10/index.php?action=vallex&amp;frame=v-w6913f1", "triumfovat (v-w6913f1)")</f>
        <v>triumfovat (v-w6913f1)</v>
      </c>
    </row>
    <row r="48636" spans="1:4" x14ac:dyDescent="0.2">
      <c r="B48636" t="s">
        <v>1</v>
      </c>
    </row>
    <row r="48637" spans="1:4" x14ac:dyDescent="0.2">
      <c r="B48637" t="s">
        <v>164</v>
      </c>
    </row>
    <row r="48639" spans="1:4" x14ac:dyDescent="0.2">
      <c r="A48639" t="s">
        <v>15488</v>
      </c>
      <c r="B48639" t="str">
        <f>HYPERLINK("https://lindat.mff.cuni.cz/services/teitok/pdtc10/index.php?action=vallex&amp;frame=v-w10279f2", "trivializovat (v-w10279f2)")</f>
        <v>trivializovat (v-w10279f2)</v>
      </c>
    </row>
    <row r="48640" spans="1:4" x14ac:dyDescent="0.2">
      <c r="B48640" t="s">
        <v>1</v>
      </c>
      <c r="D48640" t="s">
        <v>5889</v>
      </c>
    </row>
    <row r="48641" spans="1:4" x14ac:dyDescent="0.2">
      <c r="B48641" t="s">
        <v>8</v>
      </c>
      <c r="C48641" t="s">
        <v>113</v>
      </c>
      <c r="D48641" t="s">
        <v>17878</v>
      </c>
    </row>
    <row r="48643" spans="1:4" x14ac:dyDescent="0.2">
      <c r="A48643" t="s">
        <v>15489</v>
      </c>
      <c r="B48643" t="str">
        <f>HYPERLINK("https://lindat.mff.cuni.cz/services/teitok/pdtc10/index.php?action=vallex&amp;frame=v-w11604_ZUf1_ZU", "trmácet se (v-w11604_ZUf1_ZU)")</f>
        <v>trmácet se (v-w11604_ZUf1_ZU)</v>
      </c>
    </row>
    <row r="48644" spans="1:4" x14ac:dyDescent="0.2">
      <c r="B48644" t="s">
        <v>1</v>
      </c>
    </row>
    <row r="48646" spans="1:4" x14ac:dyDescent="0.2">
      <c r="A48646" t="s">
        <v>15490</v>
      </c>
      <c r="B48646" t="str">
        <f>HYPERLINK("https://lindat.mff.cuni.cz/services/teitok/pdtc10/index.php?action=vallex&amp;frame=v-whsa_1248hsa_1249", "trnout (v-whsa_1248hsa_1249)")</f>
        <v>trnout (v-whsa_1248hsa_1249)</v>
      </c>
    </row>
    <row r="48647" spans="1:4" x14ac:dyDescent="0.2">
      <c r="B48647" t="s">
        <v>1</v>
      </c>
    </row>
    <row r="48648" spans="1:4" x14ac:dyDescent="0.2">
      <c r="B48648" t="s">
        <v>15491</v>
      </c>
    </row>
    <row r="48650" spans="1:4" x14ac:dyDescent="0.2">
      <c r="A48650" t="s">
        <v>15492</v>
      </c>
      <c r="B48650" t="str">
        <f>HYPERLINK("https://lindat.mff.cuni.cz/services/teitok/pdtc10/index.php?action=vallex&amp;frame=v-w6914f1", "tropit (v-w6914f1)")</f>
        <v>tropit (v-w6914f1)</v>
      </c>
    </row>
    <row r="48651" spans="1:4" x14ac:dyDescent="0.2">
      <c r="B48651" t="s">
        <v>1</v>
      </c>
      <c r="D48651" t="s">
        <v>23017</v>
      </c>
    </row>
    <row r="48652" spans="1:4" x14ac:dyDescent="0.2">
      <c r="B48652" t="s">
        <v>8</v>
      </c>
      <c r="D48652" t="s">
        <v>23498</v>
      </c>
    </row>
    <row r="48653" spans="1:4" x14ac:dyDescent="0.2">
      <c r="B48653" t="s">
        <v>35</v>
      </c>
      <c r="D48653" t="s">
        <v>23522</v>
      </c>
    </row>
    <row r="48655" spans="1:4" x14ac:dyDescent="0.2">
      <c r="A48655" t="s">
        <v>15493</v>
      </c>
      <c r="B48655" t="str">
        <f>HYPERLINK("https://lindat.mff.cuni.cz/services/teitok/pdtc10/index.php?action=vallex&amp;frame=v-w10945f4", "troubit (v-w10945f4)")</f>
        <v>troubit (v-w10945f4)</v>
      </c>
    </row>
    <row r="48656" spans="1:4" x14ac:dyDescent="0.2">
      <c r="B48656" t="s">
        <v>1</v>
      </c>
    </row>
    <row r="48658" spans="1:2" x14ac:dyDescent="0.2">
      <c r="A48658" t="s">
        <v>15494</v>
      </c>
      <c r="B48658" t="str">
        <f>HYPERLINK("https://lindat.mff.cuni.cz/services/teitok/pdtc10/index.php?action=vallex&amp;frame=v-w10945f6_ZU", "troubit (v-w10945f6_ZU)")</f>
        <v>troubit (v-w10945f6_ZU)</v>
      </c>
    </row>
    <row r="48659" spans="1:2" x14ac:dyDescent="0.2">
      <c r="B48659" t="s">
        <v>1</v>
      </c>
    </row>
    <row r="48660" spans="1:2" x14ac:dyDescent="0.2">
      <c r="B48660" t="s">
        <v>46</v>
      </c>
    </row>
    <row r="48662" spans="1:2" x14ac:dyDescent="0.2">
      <c r="A48662" t="s">
        <v>15494</v>
      </c>
      <c r="B48662" t="str">
        <f>HYPERLINK("https://lindat.mff.cuni.cz/services/teitok/pdtc10/index.php?action=vallex&amp;frame=v-w10945f5", "troubit (v-w10945f5) - substituted with v-w10945f6_ZU")</f>
        <v>troubit (v-w10945f5) - substituted with v-w10945f6_ZU</v>
      </c>
    </row>
    <row r="48663" spans="1:2" x14ac:dyDescent="0.2">
      <c r="B48663" t="s">
        <v>1</v>
      </c>
    </row>
    <row r="48664" spans="1:2" x14ac:dyDescent="0.2">
      <c r="B48664" t="s">
        <v>46</v>
      </c>
    </row>
    <row r="48666" spans="1:2" x14ac:dyDescent="0.2">
      <c r="A48666" t="s">
        <v>15495</v>
      </c>
      <c r="B48666" t="str">
        <f>HYPERLINK("https://lindat.mff.cuni.cz/services/teitok/pdtc10/index.php?action=vallex&amp;frame=v-w10945f7_ZU", "troubit (v-w10945f7_ZU)")</f>
        <v>troubit (v-w10945f7_ZU)</v>
      </c>
    </row>
    <row r="48667" spans="1:2" x14ac:dyDescent="0.2">
      <c r="B48667" t="s">
        <v>1</v>
      </c>
    </row>
    <row r="48669" spans="1:2" x14ac:dyDescent="0.2">
      <c r="A48669" t="s">
        <v>15496</v>
      </c>
      <c r="B48669" t="str">
        <f>HYPERLINK("https://lindat.mff.cuni.cz/services/teitok/pdtc10/index.php?action=vallex&amp;frame=v-w6916f2_ZU", "troufat si (v-w6916f2_ZU)")</f>
        <v>troufat si (v-w6916f2_ZU)</v>
      </c>
    </row>
    <row r="48670" spans="1:2" x14ac:dyDescent="0.2">
      <c r="B48670" t="s">
        <v>1</v>
      </c>
    </row>
    <row r="48671" spans="1:2" x14ac:dyDescent="0.2">
      <c r="B48671" t="s">
        <v>14882</v>
      </c>
    </row>
    <row r="48673" spans="1:4" x14ac:dyDescent="0.2">
      <c r="A48673" t="s">
        <v>15496</v>
      </c>
      <c r="B48673" t="str">
        <f>HYPERLINK("https://lindat.mff.cuni.cz/services/teitok/pdtc10/index.php?action=vallex&amp;frame=v-w6916f1", "troufat si (v-w6916f1) - substituted with v-w6916f2_ZU")</f>
        <v>troufat si (v-w6916f1) - substituted with v-w6916f2_ZU</v>
      </c>
    </row>
    <row r="48674" spans="1:4" x14ac:dyDescent="0.2">
      <c r="B48674" t="s">
        <v>1</v>
      </c>
      <c r="C48674" t="s">
        <v>33</v>
      </c>
    </row>
    <row r="48675" spans="1:4" x14ac:dyDescent="0.2">
      <c r="B48675" t="s">
        <v>14882</v>
      </c>
      <c r="C48675" t="s">
        <v>34</v>
      </c>
    </row>
    <row r="48677" spans="1:4" x14ac:dyDescent="0.2">
      <c r="A48677" t="s">
        <v>15497</v>
      </c>
      <c r="B48677" t="str">
        <f>HYPERLINK("https://lindat.mff.cuni.cz/services/teitok/pdtc10/index.php?action=vallex&amp;frame=v-w6917f1", "troufnout si (v-w6917f1)")</f>
        <v>troufnout si (v-w6917f1)</v>
      </c>
    </row>
    <row r="48678" spans="1:4" x14ac:dyDescent="0.2">
      <c r="B48678" t="s">
        <v>1</v>
      </c>
      <c r="C48678" t="s">
        <v>140</v>
      </c>
      <c r="D48678" t="s">
        <v>24236</v>
      </c>
    </row>
    <row r="48679" spans="1:4" x14ac:dyDescent="0.2">
      <c r="B48679" t="s">
        <v>107</v>
      </c>
      <c r="C48679" t="s">
        <v>113</v>
      </c>
      <c r="D48679" t="s">
        <v>24034</v>
      </c>
    </row>
    <row r="48681" spans="1:4" x14ac:dyDescent="0.2">
      <c r="A48681" t="s">
        <v>15498</v>
      </c>
      <c r="B48681" t="str">
        <f>HYPERLINK("https://lindat.mff.cuni.cz/services/teitok/pdtc10/index.php?action=vallex&amp;frame=v-w12158_ZUf1_ZU", "trousit se (v-w12158_ZUf1_ZU)")</f>
        <v>trousit se (v-w12158_ZUf1_ZU)</v>
      </c>
    </row>
    <row r="48682" spans="1:4" x14ac:dyDescent="0.2">
      <c r="B48682" t="s">
        <v>1</v>
      </c>
    </row>
    <row r="48684" spans="1:4" x14ac:dyDescent="0.2">
      <c r="A48684" t="s">
        <v>15499</v>
      </c>
      <c r="B48684" t="str">
        <f>HYPERLINK("https://lindat.mff.cuni.cz/services/teitok/pdtc10/index.php?action=vallex&amp;frame=v-w6918f3", "trpět (v-w6918f3)")</f>
        <v>trpět (v-w6918f3)</v>
      </c>
    </row>
    <row r="48685" spans="1:4" x14ac:dyDescent="0.2">
      <c r="B48685" t="s">
        <v>1</v>
      </c>
    </row>
    <row r="48686" spans="1:4" x14ac:dyDescent="0.2">
      <c r="B48686" t="s">
        <v>124</v>
      </c>
    </row>
    <row r="48687" spans="1:4" x14ac:dyDescent="0.2">
      <c r="B48687" t="s">
        <v>78</v>
      </c>
    </row>
    <row r="48689" spans="1:4" x14ac:dyDescent="0.2">
      <c r="A48689" t="s">
        <v>15500</v>
      </c>
      <c r="B48689" t="str">
        <f>HYPERLINK("https://lindat.mff.cuni.cz/services/teitok/pdtc10/index.php?action=vallex&amp;frame=v-w6918f5_ZU", "trpět (v-w6918f5_ZU)")</f>
        <v>trpět (v-w6918f5_ZU)</v>
      </c>
    </row>
    <row r="48690" spans="1:4" x14ac:dyDescent="0.2">
      <c r="B48690" t="s">
        <v>1</v>
      </c>
      <c r="C48690" t="s">
        <v>1168</v>
      </c>
      <c r="D48690" t="s">
        <v>23167</v>
      </c>
    </row>
    <row r="48691" spans="1:4" x14ac:dyDescent="0.2">
      <c r="B48691" t="s">
        <v>15501</v>
      </c>
      <c r="C48691" t="s">
        <v>7854</v>
      </c>
      <c r="D48691" t="s">
        <v>23168</v>
      </c>
    </row>
    <row r="48693" spans="1:4" x14ac:dyDescent="0.2">
      <c r="A48693" t="s">
        <v>15500</v>
      </c>
      <c r="B48693" t="str">
        <f>HYPERLINK("https://lindat.mff.cuni.cz/services/teitok/pdtc10/index.php?action=vallex&amp;frame=v-w6918f1", "trpět (v-w6918f1) - substituted with v-w6918f5_ZU")</f>
        <v>trpět (v-w6918f1) - substituted with v-w6918f5_ZU</v>
      </c>
    </row>
    <row r="48694" spans="1:4" x14ac:dyDescent="0.2">
      <c r="B48694" t="s">
        <v>1</v>
      </c>
      <c r="C48694" t="s">
        <v>15502</v>
      </c>
    </row>
    <row r="48695" spans="1:4" x14ac:dyDescent="0.2">
      <c r="B48695" t="s">
        <v>15501</v>
      </c>
      <c r="C48695" t="s">
        <v>15503</v>
      </c>
    </row>
    <row r="48697" spans="1:4" x14ac:dyDescent="0.2">
      <c r="A48697" t="s">
        <v>15504</v>
      </c>
      <c r="B48697" t="str">
        <f>HYPERLINK("https://lindat.mff.cuni.cz/services/teitok/pdtc10/index.php?action=vallex&amp;frame=v-w6918f4", "trpět (v-w6918f4)")</f>
        <v>trpět (v-w6918f4)</v>
      </c>
    </row>
    <row r="48698" spans="1:4" x14ac:dyDescent="0.2">
      <c r="B48698" t="s">
        <v>1</v>
      </c>
    </row>
    <row r="48699" spans="1:4" x14ac:dyDescent="0.2">
      <c r="B48699" t="s">
        <v>28</v>
      </c>
    </row>
    <row r="48701" spans="1:4" x14ac:dyDescent="0.2">
      <c r="A48701" t="s">
        <v>15505</v>
      </c>
      <c r="B48701" t="str">
        <f>HYPERLINK("https://lindat.mff.cuni.cz/services/teitok/pdtc10/index.php?action=vallex&amp;frame=v-w6918f2", "trpět (v-w6918f2)")</f>
        <v>trpět (v-w6918f2)</v>
      </c>
    </row>
    <row r="48702" spans="1:4" x14ac:dyDescent="0.2">
      <c r="B48702" t="s">
        <v>1</v>
      </c>
      <c r="C48702" t="s">
        <v>15506</v>
      </c>
      <c r="D48702" t="s">
        <v>23167</v>
      </c>
    </row>
    <row r="48704" spans="1:4" x14ac:dyDescent="0.2">
      <c r="A48704" t="s">
        <v>15507</v>
      </c>
      <c r="B48704" t="str">
        <f>HYPERLINK("https://lindat.mff.cuni.cz/services/teitok/pdtc10/index.php?action=vallex&amp;frame=v-w10265f2", "truchlit (v-w10265f2)")</f>
        <v>truchlit (v-w10265f2)</v>
      </c>
    </row>
    <row r="48705" spans="1:4" x14ac:dyDescent="0.2">
      <c r="B48705" t="s">
        <v>1</v>
      </c>
    </row>
    <row r="48706" spans="1:4" x14ac:dyDescent="0.2">
      <c r="B48706" t="s">
        <v>15508</v>
      </c>
    </row>
    <row r="48708" spans="1:4" x14ac:dyDescent="0.2">
      <c r="A48708" t="s">
        <v>15509</v>
      </c>
      <c r="B48708" t="str">
        <f>HYPERLINK("https://lindat.mff.cuni.cz/services/teitok/pdtc10/index.php?action=vallex&amp;frame=v-w12168_ZUf1_ZU", "trucovat (v-w12168_ZUf1_ZU)")</f>
        <v>trucovat (v-w12168_ZUf1_ZU)</v>
      </c>
    </row>
    <row r="48709" spans="1:4" x14ac:dyDescent="0.2">
      <c r="B48709" t="s">
        <v>1</v>
      </c>
    </row>
    <row r="48711" spans="1:4" x14ac:dyDescent="0.2">
      <c r="A48711" t="s">
        <v>15510</v>
      </c>
      <c r="B48711" t="str">
        <f>HYPERLINK("https://lindat.mff.cuni.cz/services/teitok/pdtc10/index.php?action=vallex&amp;frame=v-w11086f2", "trumfnout (v-w11086f2)")</f>
        <v>trumfnout (v-w11086f2)</v>
      </c>
    </row>
    <row r="48712" spans="1:4" x14ac:dyDescent="0.2">
      <c r="B48712" t="s">
        <v>1</v>
      </c>
    </row>
    <row r="48713" spans="1:4" x14ac:dyDescent="0.2">
      <c r="B48713" t="s">
        <v>8</v>
      </c>
    </row>
    <row r="48715" spans="1:4" x14ac:dyDescent="0.2">
      <c r="A48715" t="s">
        <v>15511</v>
      </c>
      <c r="B48715" t="str">
        <f>HYPERLINK("https://lindat.mff.cuni.cz/services/teitok/pdtc10/index.php?action=vallex&amp;frame=v-w6920f1", "trumfovat (v-w6920f1)")</f>
        <v>trumfovat (v-w6920f1)</v>
      </c>
    </row>
    <row r="48716" spans="1:4" x14ac:dyDescent="0.2">
      <c r="B48716" t="s">
        <v>1</v>
      </c>
      <c r="D48716" t="s">
        <v>24237</v>
      </c>
    </row>
    <row r="48717" spans="1:4" x14ac:dyDescent="0.2">
      <c r="B48717" t="s">
        <v>8</v>
      </c>
      <c r="D48717" t="s">
        <v>23658</v>
      </c>
    </row>
    <row r="48719" spans="1:4" x14ac:dyDescent="0.2">
      <c r="A48719" t="s">
        <v>15512</v>
      </c>
      <c r="B48719" t="str">
        <f>HYPERLINK("https://lindat.mff.cuni.cz/services/teitok/pdtc10/index.php?action=vallex&amp;frame=v-w6923f3", "trvat (v-w6923f3)")</f>
        <v>trvat (v-w6923f3)</v>
      </c>
    </row>
    <row r="48720" spans="1:4" x14ac:dyDescent="0.2">
      <c r="B48720" t="s">
        <v>15513</v>
      </c>
      <c r="C48720" t="s">
        <v>15514</v>
      </c>
      <c r="D48720" t="s">
        <v>24238</v>
      </c>
    </row>
    <row r="48721" spans="1:4" x14ac:dyDescent="0.2">
      <c r="B48721" t="s">
        <v>103</v>
      </c>
    </row>
    <row r="48723" spans="1:4" x14ac:dyDescent="0.2">
      <c r="A48723" t="s">
        <v>15515</v>
      </c>
      <c r="B48723" t="str">
        <f>HYPERLINK("https://lindat.mff.cuni.cz/services/teitok/pdtc10/index.php?action=vallex&amp;frame=v-w6923f2", "trvat (v-w6923f2)")</f>
        <v>trvat (v-w6923f2)</v>
      </c>
    </row>
    <row r="48724" spans="1:4" x14ac:dyDescent="0.2">
      <c r="B48724" t="s">
        <v>1</v>
      </c>
      <c r="C48724" t="s">
        <v>15516</v>
      </c>
      <c r="D48724" t="s">
        <v>24239</v>
      </c>
    </row>
    <row r="48725" spans="1:4" x14ac:dyDescent="0.2">
      <c r="B48725" t="s">
        <v>161</v>
      </c>
      <c r="C48725" t="s">
        <v>15517</v>
      </c>
      <c r="D48725" t="s">
        <v>17603</v>
      </c>
    </row>
    <row r="48727" spans="1:4" x14ac:dyDescent="0.2">
      <c r="A48727" t="s">
        <v>15518</v>
      </c>
      <c r="B48727" t="str">
        <f>HYPERLINK("https://lindat.mff.cuni.cz/services/teitok/pdtc10/index.php?action=vallex&amp;frame=v-w6923f1", "trvat (v-w6923f1)")</f>
        <v>trvat (v-w6923f1)</v>
      </c>
    </row>
    <row r="48728" spans="1:4" x14ac:dyDescent="0.2">
      <c r="B48728" t="s">
        <v>1</v>
      </c>
      <c r="C48728" t="s">
        <v>15519</v>
      </c>
      <c r="D48728" t="s">
        <v>23041</v>
      </c>
    </row>
    <row r="48730" spans="1:4" x14ac:dyDescent="0.2">
      <c r="A48730" t="s">
        <v>15520</v>
      </c>
      <c r="B48730" t="str">
        <f>HYPERLINK("https://lindat.mff.cuni.cz/services/teitok/pdtc10/index.php?action=vallex&amp;frame=v-w6923f4", "trvat (v-w6923f4)")</f>
        <v>trvat (v-w6923f4)</v>
      </c>
    </row>
    <row r="48731" spans="1:4" x14ac:dyDescent="0.2">
      <c r="B48731" t="s">
        <v>1</v>
      </c>
      <c r="D48731" t="s">
        <v>2530</v>
      </c>
    </row>
    <row r="48732" spans="1:4" x14ac:dyDescent="0.2">
      <c r="B48732" t="s">
        <v>15521</v>
      </c>
      <c r="D48732" t="s">
        <v>2642</v>
      </c>
    </row>
    <row r="48734" spans="1:4" x14ac:dyDescent="0.2">
      <c r="A48734" t="s">
        <v>15522</v>
      </c>
      <c r="B48734" t="str">
        <f>HYPERLINK("https://lindat.mff.cuni.cz/services/teitok/pdtc10/index.php?action=vallex&amp;frame=v-w11200f2", "tryskat (v-w11200f2)")</f>
        <v>tryskat (v-w11200f2)</v>
      </c>
    </row>
    <row r="48735" spans="1:4" x14ac:dyDescent="0.2">
      <c r="B48735" t="s">
        <v>1</v>
      </c>
      <c r="C48735" t="s">
        <v>186</v>
      </c>
      <c r="D48735" t="s">
        <v>23789</v>
      </c>
    </row>
    <row r="48736" spans="1:4" x14ac:dyDescent="0.2">
      <c r="B48736" t="s">
        <v>333</v>
      </c>
      <c r="D48736" t="s">
        <v>24240</v>
      </c>
    </row>
    <row r="48738" spans="1:4" x14ac:dyDescent="0.2">
      <c r="A48738" t="s">
        <v>15523</v>
      </c>
      <c r="B48738" t="str">
        <f>HYPERLINK("https://lindat.mff.cuni.cz/services/teitok/pdtc10/index.php?action=vallex&amp;frame=v-w6889hsa_458", "trápit (v-w6889hsa_458)")</f>
        <v>trápit (v-w6889hsa_458)</v>
      </c>
    </row>
    <row r="48739" spans="1:4" x14ac:dyDescent="0.2">
      <c r="B48739" t="s">
        <v>15524</v>
      </c>
      <c r="D48739" t="s">
        <v>24241</v>
      </c>
    </row>
    <row r="48740" spans="1:4" x14ac:dyDescent="0.2">
      <c r="B48740" t="s">
        <v>8</v>
      </c>
      <c r="D48740" t="s">
        <v>24242</v>
      </c>
    </row>
    <row r="48742" spans="1:4" x14ac:dyDescent="0.2">
      <c r="A48742" t="s">
        <v>15523</v>
      </c>
      <c r="B48742" t="str">
        <f>HYPERLINK("https://lindat.mff.cuni.cz/services/teitok/pdtc10/index.php?action=vallex&amp;frame=v-w6889f1", "trápit (v-w6889f1) - substituted with v-w6889hsa_458")</f>
        <v>trápit (v-w6889f1) - substituted with v-w6889hsa_458</v>
      </c>
    </row>
    <row r="48743" spans="1:4" x14ac:dyDescent="0.2">
      <c r="B48743" t="s">
        <v>15524</v>
      </c>
      <c r="C48743" t="s">
        <v>16</v>
      </c>
    </row>
    <row r="48744" spans="1:4" x14ac:dyDescent="0.2">
      <c r="B48744" t="s">
        <v>8</v>
      </c>
      <c r="C48744" t="s">
        <v>116</v>
      </c>
    </row>
    <row r="48746" spans="1:4" x14ac:dyDescent="0.2">
      <c r="A48746" t="s">
        <v>15525</v>
      </c>
      <c r="B48746" t="str">
        <f>HYPERLINK("https://lindat.mff.cuni.cz/services/teitok/pdtc10/index.php?action=vallex&amp;frame=v-w6890f1", "trápit se (v-w6890f1)")</f>
        <v>trápit se (v-w6890f1)</v>
      </c>
    </row>
    <row r="48747" spans="1:4" x14ac:dyDescent="0.2">
      <c r="B48747" t="s">
        <v>1</v>
      </c>
      <c r="C48747" t="s">
        <v>1168</v>
      </c>
    </row>
    <row r="48748" spans="1:4" x14ac:dyDescent="0.2">
      <c r="B48748" t="s">
        <v>15526</v>
      </c>
      <c r="C48748" t="s">
        <v>7854</v>
      </c>
    </row>
    <row r="48750" spans="1:4" x14ac:dyDescent="0.2">
      <c r="A48750" t="s">
        <v>15527</v>
      </c>
      <c r="B48750" t="str">
        <f>HYPERLINK("https://lindat.mff.cuni.cz/services/teitok/pdtc10/index.php?action=vallex&amp;frame=v-w6890f2", "trápit se (v-w6890f2)")</f>
        <v>trápit se (v-w6890f2)</v>
      </c>
    </row>
    <row r="48751" spans="1:4" x14ac:dyDescent="0.2">
      <c r="B48751" t="s">
        <v>1</v>
      </c>
      <c r="C48751" t="s">
        <v>15528</v>
      </c>
      <c r="D48751" t="s">
        <v>1168</v>
      </c>
    </row>
    <row r="48753" spans="1:4" x14ac:dyDescent="0.2">
      <c r="A48753" t="s">
        <v>15529</v>
      </c>
      <c r="B48753" t="str">
        <f>HYPERLINK("https://lindat.mff.cuni.cz/services/teitok/pdtc10/index.php?action=vallex&amp;frame=v-w6893f1", "trávit (v-w6893f1)")</f>
        <v>trávit (v-w6893f1)</v>
      </c>
    </row>
    <row r="48754" spans="1:4" x14ac:dyDescent="0.2">
      <c r="B48754" t="s">
        <v>1</v>
      </c>
      <c r="C48754" t="s">
        <v>8690</v>
      </c>
      <c r="D48754" t="s">
        <v>8690</v>
      </c>
    </row>
    <row r="48755" spans="1:4" x14ac:dyDescent="0.2">
      <c r="B48755" t="s">
        <v>8</v>
      </c>
      <c r="C48755" t="s">
        <v>2439</v>
      </c>
      <c r="D48755" t="s">
        <v>2439</v>
      </c>
    </row>
    <row r="48756" spans="1:4" x14ac:dyDescent="0.2">
      <c r="B48756" t="s">
        <v>5</v>
      </c>
      <c r="C48756" t="s">
        <v>14982</v>
      </c>
      <c r="D48756" t="s">
        <v>14982</v>
      </c>
    </row>
    <row r="48758" spans="1:4" x14ac:dyDescent="0.2">
      <c r="A48758" t="s">
        <v>15530</v>
      </c>
      <c r="B48758" t="str">
        <f>HYPERLINK("https://lindat.mff.cuni.cz/services/teitok/pdtc10/index.php?action=vallex&amp;frame=v-w6893f4_ZU", "trávit (v-w6893f4_ZU)")</f>
        <v>trávit (v-w6893f4_ZU)</v>
      </c>
    </row>
    <row r="48759" spans="1:4" x14ac:dyDescent="0.2">
      <c r="B48759" t="s">
        <v>1</v>
      </c>
    </row>
    <row r="48760" spans="1:4" x14ac:dyDescent="0.2">
      <c r="B48760" t="s">
        <v>8</v>
      </c>
    </row>
    <row r="48761" spans="1:4" x14ac:dyDescent="0.2">
      <c r="B48761" t="s">
        <v>415</v>
      </c>
    </row>
    <row r="48762" spans="1:4" x14ac:dyDescent="0.2">
      <c r="B48762" t="s">
        <v>4836</v>
      </c>
    </row>
    <row r="48763" spans="1:4" x14ac:dyDescent="0.2">
      <c r="B48763" t="s">
        <v>346</v>
      </c>
    </row>
    <row r="48764" spans="1:4" x14ac:dyDescent="0.2">
      <c r="B48764" t="s">
        <v>348</v>
      </c>
    </row>
    <row r="48765" spans="1:4" x14ac:dyDescent="0.2">
      <c r="B48765" t="s">
        <v>349</v>
      </c>
    </row>
    <row r="48766" spans="1:4" x14ac:dyDescent="0.2">
      <c r="B48766" t="s">
        <v>350</v>
      </c>
    </row>
    <row r="48767" spans="1:4" x14ac:dyDescent="0.2">
      <c r="B48767" t="s">
        <v>351</v>
      </c>
    </row>
    <row r="48769" spans="1:4" x14ac:dyDescent="0.2">
      <c r="A48769" t="s">
        <v>15530</v>
      </c>
      <c r="B48769" t="str">
        <f>HYPERLINK("https://lindat.mff.cuni.cz/services/teitok/pdtc10/index.php?action=vallex&amp;frame=v-w6893f2", "trávit (v-w6893f2) - substituted with v-w6893f4_ZU")</f>
        <v>trávit (v-w6893f2) - substituted with v-w6893f4_ZU</v>
      </c>
    </row>
    <row r="48770" spans="1:4" x14ac:dyDescent="0.2">
      <c r="B48770" t="s">
        <v>1</v>
      </c>
      <c r="C48770" t="s">
        <v>8690</v>
      </c>
      <c r="D48770" t="s">
        <v>8690</v>
      </c>
    </row>
    <row r="48771" spans="1:4" x14ac:dyDescent="0.2">
      <c r="B48771" t="s">
        <v>8</v>
      </c>
      <c r="C48771" t="s">
        <v>2439</v>
      </c>
      <c r="D48771" t="s">
        <v>2439</v>
      </c>
    </row>
    <row r="48772" spans="1:4" x14ac:dyDescent="0.2">
      <c r="B48772" t="s">
        <v>415</v>
      </c>
      <c r="D48772" t="s">
        <v>24211</v>
      </c>
    </row>
    <row r="48773" spans="1:4" x14ac:dyDescent="0.2">
      <c r="B48773" t="s">
        <v>4836</v>
      </c>
      <c r="D48773" t="s">
        <v>14982</v>
      </c>
    </row>
    <row r="48774" spans="1:4" x14ac:dyDescent="0.2">
      <c r="B48774" t="s">
        <v>346</v>
      </c>
      <c r="D48774" t="s">
        <v>24212</v>
      </c>
    </row>
    <row r="48775" spans="1:4" x14ac:dyDescent="0.2">
      <c r="B48775" t="s">
        <v>348</v>
      </c>
      <c r="C48775" t="s">
        <v>15531</v>
      </c>
      <c r="D48775" t="s">
        <v>15531</v>
      </c>
    </row>
    <row r="48776" spans="1:4" x14ac:dyDescent="0.2">
      <c r="B48776" t="s">
        <v>349</v>
      </c>
      <c r="D48776" t="s">
        <v>15532</v>
      </c>
    </row>
    <row r="48777" spans="1:4" x14ac:dyDescent="0.2">
      <c r="B48777" t="s">
        <v>350</v>
      </c>
      <c r="D48777" t="s">
        <v>24213</v>
      </c>
    </row>
    <row r="48778" spans="1:4" x14ac:dyDescent="0.2">
      <c r="B48778" t="s">
        <v>351</v>
      </c>
      <c r="D48778" t="s">
        <v>24214</v>
      </c>
    </row>
    <row r="48780" spans="1:4" x14ac:dyDescent="0.2">
      <c r="A48780" t="s">
        <v>15530</v>
      </c>
      <c r="B48780" t="str">
        <f>HYPERLINK("https://lindat.mff.cuni.cz/services/teitok/pdtc10/index.php?action=vallex&amp;frame=v-w6893f3", "trávit (v-w6893f3) - substituted with v-w6893f4_ZU")</f>
        <v>trávit (v-w6893f3) - substituted with v-w6893f4_ZU</v>
      </c>
    </row>
    <row r="48781" spans="1:4" x14ac:dyDescent="0.2">
      <c r="B48781" t="s">
        <v>1</v>
      </c>
      <c r="C48781" t="s">
        <v>8690</v>
      </c>
      <c r="D48781" t="s">
        <v>8690</v>
      </c>
    </row>
    <row r="48782" spans="1:4" x14ac:dyDescent="0.2">
      <c r="B48782" t="s">
        <v>8</v>
      </c>
      <c r="C48782" t="s">
        <v>2439</v>
      </c>
      <c r="D48782" t="s">
        <v>2439</v>
      </c>
    </row>
    <row r="48783" spans="1:4" x14ac:dyDescent="0.2">
      <c r="B48783" t="s">
        <v>415</v>
      </c>
    </row>
    <row r="48784" spans="1:4" x14ac:dyDescent="0.2">
      <c r="B48784" t="s">
        <v>4836</v>
      </c>
    </row>
    <row r="48785" spans="1:4" x14ac:dyDescent="0.2">
      <c r="B48785" t="s">
        <v>346</v>
      </c>
    </row>
    <row r="48786" spans="1:4" x14ac:dyDescent="0.2">
      <c r="B48786" t="s">
        <v>348</v>
      </c>
    </row>
    <row r="48787" spans="1:4" x14ac:dyDescent="0.2">
      <c r="B48787" t="s">
        <v>349</v>
      </c>
      <c r="C48787" t="s">
        <v>15532</v>
      </c>
      <c r="D48787" t="s">
        <v>15532</v>
      </c>
    </row>
    <row r="48788" spans="1:4" x14ac:dyDescent="0.2">
      <c r="B48788" t="s">
        <v>350</v>
      </c>
    </row>
    <row r="48789" spans="1:4" x14ac:dyDescent="0.2">
      <c r="B48789" t="s">
        <v>351</v>
      </c>
    </row>
    <row r="48791" spans="1:4" x14ac:dyDescent="0.2">
      <c r="A48791" t="s">
        <v>15533</v>
      </c>
      <c r="B48791" t="str">
        <f>HYPERLINK("https://lindat.mff.cuni.cz/services/teitok/pdtc10/index.php?action=vallex&amp;frame=v-w6902f2", "trénovat (v-w6902f2)")</f>
        <v>trénovat (v-w6902f2)</v>
      </c>
    </row>
    <row r="48792" spans="1:4" x14ac:dyDescent="0.2">
      <c r="B48792" t="s">
        <v>1</v>
      </c>
    </row>
    <row r="48793" spans="1:4" x14ac:dyDescent="0.2">
      <c r="B48793" t="s">
        <v>8</v>
      </c>
    </row>
    <row r="48795" spans="1:4" x14ac:dyDescent="0.2">
      <c r="A48795" t="s">
        <v>15534</v>
      </c>
      <c r="B48795" t="str">
        <f>HYPERLINK("https://lindat.mff.cuni.cz/services/teitok/pdtc10/index.php?action=vallex&amp;frame=v-w6902f1", "trénovat (v-w6902f1)")</f>
        <v>trénovat (v-w6902f1)</v>
      </c>
    </row>
    <row r="48796" spans="1:4" x14ac:dyDescent="0.2">
      <c r="B48796" t="s">
        <v>1</v>
      </c>
      <c r="C48796" t="s">
        <v>1425</v>
      </c>
    </row>
    <row r="48797" spans="1:4" x14ac:dyDescent="0.2">
      <c r="B48797" t="s">
        <v>220</v>
      </c>
    </row>
    <row r="48799" spans="1:4" x14ac:dyDescent="0.2">
      <c r="A48799" t="s">
        <v>15535</v>
      </c>
      <c r="B48799" t="str">
        <f>HYPERLINK("https://lindat.mff.cuni.cz/services/teitok/pdtc10/index.php?action=vallex&amp;frame=v-w11605_ZUf2_ZU", "trýznit (v-w11605_ZUf2_ZU)")</f>
        <v>trýznit (v-w11605_ZUf2_ZU)</v>
      </c>
    </row>
    <row r="48800" spans="1:4" x14ac:dyDescent="0.2">
      <c r="B48800" t="s">
        <v>1</v>
      </c>
      <c r="C48800" t="s">
        <v>33</v>
      </c>
      <c r="D48800" t="s">
        <v>337</v>
      </c>
    </row>
    <row r="48801" spans="1:4" x14ac:dyDescent="0.2">
      <c r="B48801" t="s">
        <v>8</v>
      </c>
      <c r="D48801" t="s">
        <v>3433</v>
      </c>
    </row>
    <row r="48803" spans="1:4" x14ac:dyDescent="0.2">
      <c r="A48803" t="s">
        <v>15535</v>
      </c>
      <c r="B48803" t="str">
        <f>HYPERLINK("https://lindat.mff.cuni.cz/services/teitok/pdtc10/index.php?action=vallex&amp;frame=v-w11605_ZUf1_ZU", "trýznit (v-w11605_ZUf1_ZU) - substituted with v-w11605_ZUf2_ZU")</f>
        <v>trýznit (v-w11605_ZUf1_ZU) - substituted with v-w11605_ZUf2_ZU</v>
      </c>
    </row>
    <row r="48804" spans="1:4" x14ac:dyDescent="0.2">
      <c r="B48804" t="s">
        <v>1</v>
      </c>
    </row>
    <row r="48805" spans="1:4" x14ac:dyDescent="0.2">
      <c r="B48805" t="s">
        <v>8</v>
      </c>
    </row>
    <row r="48807" spans="1:4" x14ac:dyDescent="0.2">
      <c r="A48807" t="s">
        <v>15536</v>
      </c>
      <c r="B48807" t="str">
        <f>HYPERLINK("https://lindat.mff.cuni.cz/services/teitok/pdtc10/index.php?action=vallex&amp;frame=v-w6894f1", "trčet (v-w6894f1)")</f>
        <v>trčet (v-w6894f1)</v>
      </c>
    </row>
    <row r="48808" spans="1:4" x14ac:dyDescent="0.2">
      <c r="B48808" t="s">
        <v>1</v>
      </c>
      <c r="C48808" t="s">
        <v>4889</v>
      </c>
      <c r="D48808" t="s">
        <v>23245</v>
      </c>
    </row>
    <row r="48809" spans="1:4" x14ac:dyDescent="0.2">
      <c r="B48809" t="s">
        <v>5</v>
      </c>
      <c r="D48809" t="s">
        <v>23246</v>
      </c>
    </row>
    <row r="48811" spans="1:4" x14ac:dyDescent="0.2">
      <c r="A48811" t="s">
        <v>15537</v>
      </c>
      <c r="B48811" t="str">
        <f>HYPERLINK("https://lindat.mff.cuni.cz/services/teitok/pdtc10/index.php?action=vallex&amp;frame=v-w6894hsa_1586", "trčet (v-w6894hsa_1586)")</f>
        <v>trčet (v-w6894hsa_1586)</v>
      </c>
    </row>
    <row r="48812" spans="1:4" x14ac:dyDescent="0.2">
      <c r="B48812" t="s">
        <v>1</v>
      </c>
    </row>
    <row r="48814" spans="1:4" x14ac:dyDescent="0.2">
      <c r="A48814" t="s">
        <v>15538</v>
      </c>
      <c r="B48814" t="str">
        <f>HYPERLINK("https://lindat.mff.cuni.cz/services/teitok/pdtc10/index.php?action=vallex&amp;frame=v-w6937f1", "tuhnout (v-w6937f1)")</f>
        <v>tuhnout (v-w6937f1)</v>
      </c>
    </row>
    <row r="48815" spans="1:4" x14ac:dyDescent="0.2">
      <c r="B48815" t="s">
        <v>1</v>
      </c>
    </row>
    <row r="48817" spans="1:2" x14ac:dyDescent="0.2">
      <c r="A48817" t="s">
        <v>15539</v>
      </c>
      <c r="B48817" t="str">
        <f>HYPERLINK("https://lindat.mff.cuni.cz/services/teitok/pdtc10/index.php?action=vallex&amp;frame=v-w11980_ZUf1_ZU", "tulit se (v-w11980_ZUf1_ZU)")</f>
        <v>tulit se (v-w11980_ZUf1_ZU)</v>
      </c>
    </row>
    <row r="48818" spans="1:2" x14ac:dyDescent="0.2">
      <c r="B48818" t="s">
        <v>1</v>
      </c>
    </row>
    <row r="48819" spans="1:2" x14ac:dyDescent="0.2">
      <c r="B48819" t="s">
        <v>176</v>
      </c>
    </row>
    <row r="48821" spans="1:2" x14ac:dyDescent="0.2">
      <c r="A48821" t="s">
        <v>15540</v>
      </c>
      <c r="B48821" t="str">
        <f>HYPERLINK("https://lindat.mff.cuni.cz/services/teitok/pdtc10/index.php?action=vallex&amp;frame=v-w11679_ZUf1_ZU", "turistovat (v-w11679_ZUf1_ZU)")</f>
        <v>turistovat (v-w11679_ZUf1_ZU)</v>
      </c>
    </row>
    <row r="48822" spans="1:2" x14ac:dyDescent="0.2">
      <c r="B48822" t="s">
        <v>1</v>
      </c>
    </row>
    <row r="48824" spans="1:2" x14ac:dyDescent="0.2">
      <c r="A48824" t="s">
        <v>15541</v>
      </c>
      <c r="B48824" t="str">
        <f>HYPERLINK("https://lindat.mff.cuni.cz/services/teitok/pdtc10/index.php?action=vallex&amp;frame=v-w6944f1", "tutlat (v-w6944f1)")</f>
        <v>tutlat (v-w6944f1)</v>
      </c>
    </row>
    <row r="48825" spans="1:2" x14ac:dyDescent="0.2">
      <c r="B48825" t="s">
        <v>1</v>
      </c>
    </row>
    <row r="48826" spans="1:2" x14ac:dyDescent="0.2">
      <c r="B48826" t="s">
        <v>15542</v>
      </c>
    </row>
    <row r="48827" spans="1:2" x14ac:dyDescent="0.2">
      <c r="B48827" t="s">
        <v>3200</v>
      </c>
    </row>
    <row r="48829" spans="1:2" x14ac:dyDescent="0.2">
      <c r="A48829" t="s">
        <v>15543</v>
      </c>
      <c r="B48829" t="str">
        <f>HYPERLINK("https://lindat.mff.cuni.cz/services/teitok/pdtc10/index.php?action=vallex&amp;frame=v-w6944f2", "tutlat (v-w6944f2)")</f>
        <v>tutlat (v-w6944f2)</v>
      </c>
    </row>
    <row r="48830" spans="1:2" x14ac:dyDescent="0.2">
      <c r="B48830" t="s">
        <v>1</v>
      </c>
    </row>
    <row r="48831" spans="1:2" x14ac:dyDescent="0.2">
      <c r="B48831" t="s">
        <v>13705</v>
      </c>
    </row>
    <row r="48832" spans="1:2" x14ac:dyDescent="0.2">
      <c r="B48832" t="s">
        <v>269</v>
      </c>
    </row>
    <row r="48833" spans="1:4" x14ac:dyDescent="0.2">
      <c r="B48833" t="s">
        <v>3200</v>
      </c>
    </row>
    <row r="48835" spans="1:4" x14ac:dyDescent="0.2">
      <c r="A48835" t="s">
        <v>15544</v>
      </c>
      <c r="B48835" t="str">
        <f>HYPERLINK("https://lindat.mff.cuni.cz/services/teitok/pdtc10/index.php?action=vallex&amp;frame=v-w6943f2_ZU", "tušit (v-w6943f2_ZU)")</f>
        <v>tušit (v-w6943f2_ZU)</v>
      </c>
    </row>
    <row r="48836" spans="1:4" x14ac:dyDescent="0.2">
      <c r="B48836" t="s">
        <v>1</v>
      </c>
    </row>
    <row r="48837" spans="1:4" x14ac:dyDescent="0.2">
      <c r="B48837" t="s">
        <v>15545</v>
      </c>
    </row>
    <row r="48839" spans="1:4" x14ac:dyDescent="0.2">
      <c r="A48839" t="s">
        <v>15544</v>
      </c>
      <c r="B48839" t="str">
        <f>HYPERLINK("https://lindat.mff.cuni.cz/services/teitok/pdtc10/index.php?action=vallex&amp;frame=v-w6943f1", "tušit (v-w6943f1) - substituted with v-w6943f2_ZU")</f>
        <v>tušit (v-w6943f1) - substituted with v-w6943f2_ZU</v>
      </c>
    </row>
    <row r="48840" spans="1:4" x14ac:dyDescent="0.2">
      <c r="B48840" t="s">
        <v>1</v>
      </c>
      <c r="C48840" t="s">
        <v>15546</v>
      </c>
      <c r="D48840" t="s">
        <v>23543</v>
      </c>
    </row>
    <row r="48841" spans="1:4" x14ac:dyDescent="0.2">
      <c r="B48841" t="s">
        <v>15545</v>
      </c>
      <c r="C48841" t="s">
        <v>15547</v>
      </c>
      <c r="D48841" t="s">
        <v>23544</v>
      </c>
    </row>
    <row r="48843" spans="1:4" x14ac:dyDescent="0.2">
      <c r="A48843" t="s">
        <v>15548</v>
      </c>
      <c r="B48843" t="str">
        <f>HYPERLINK("https://lindat.mff.cuni.cz/services/teitok/pdtc10/index.php?action=vallex&amp;frame=v-w6946f2", "tvarovat (v-w6946f2)")</f>
        <v>tvarovat (v-w6946f2)</v>
      </c>
    </row>
    <row r="48844" spans="1:4" x14ac:dyDescent="0.2">
      <c r="B48844" t="s">
        <v>1</v>
      </c>
      <c r="C48844" t="s">
        <v>14593</v>
      </c>
    </row>
    <row r="48845" spans="1:4" x14ac:dyDescent="0.2">
      <c r="B48845" t="s">
        <v>8</v>
      </c>
      <c r="C48845" t="s">
        <v>10414</v>
      </c>
    </row>
    <row r="48846" spans="1:4" x14ac:dyDescent="0.2">
      <c r="B48846" t="s">
        <v>130</v>
      </c>
    </row>
    <row r="48848" spans="1:4" x14ac:dyDescent="0.2">
      <c r="A48848" t="s">
        <v>15549</v>
      </c>
      <c r="B48848" t="str">
        <f>HYPERLINK("https://lindat.mff.cuni.cz/services/teitok/pdtc10/index.php?action=vallex&amp;frame=v-w6946f1", "tvarovat (v-w6946f1)")</f>
        <v>tvarovat (v-w6946f1)</v>
      </c>
    </row>
    <row r="48849" spans="1:4" x14ac:dyDescent="0.2">
      <c r="B48849" t="s">
        <v>1</v>
      </c>
    </row>
    <row r="48850" spans="1:4" x14ac:dyDescent="0.2">
      <c r="B48850" t="s">
        <v>8</v>
      </c>
    </row>
    <row r="48852" spans="1:4" x14ac:dyDescent="0.2">
      <c r="A48852" t="s">
        <v>15550</v>
      </c>
      <c r="B48852" t="str">
        <f>HYPERLINK("https://lindat.mff.cuni.cz/services/teitok/pdtc10/index.php?action=vallex&amp;frame=v-w6951f1", "tvořit (v-w6951f1)")</f>
        <v>tvořit (v-w6951f1)</v>
      </c>
    </row>
    <row r="48853" spans="1:4" x14ac:dyDescent="0.2">
      <c r="B48853" t="s">
        <v>1</v>
      </c>
      <c r="C48853" t="s">
        <v>15551</v>
      </c>
      <c r="D48853" t="s">
        <v>23418</v>
      </c>
    </row>
    <row r="48854" spans="1:4" x14ac:dyDescent="0.2">
      <c r="B48854" t="s">
        <v>8</v>
      </c>
      <c r="C48854" t="s">
        <v>15552</v>
      </c>
      <c r="D48854" t="s">
        <v>23419</v>
      </c>
    </row>
    <row r="48855" spans="1:4" x14ac:dyDescent="0.2">
      <c r="B48855" t="s">
        <v>1629</v>
      </c>
      <c r="C48855" t="s">
        <v>15553</v>
      </c>
    </row>
    <row r="48856" spans="1:4" x14ac:dyDescent="0.2">
      <c r="B48856" t="s">
        <v>24</v>
      </c>
      <c r="C48856" t="s">
        <v>15554</v>
      </c>
      <c r="D48856" t="s">
        <v>10345</v>
      </c>
    </row>
    <row r="48858" spans="1:4" x14ac:dyDescent="0.2">
      <c r="A48858" t="s">
        <v>15555</v>
      </c>
      <c r="B48858" t="str">
        <f>HYPERLINK("https://lindat.mff.cuni.cz/services/teitok/pdtc10/index.php?action=vallex&amp;frame=v-w6951f2", "tvořit (v-w6951f2)")</f>
        <v>tvořit (v-w6951f2)</v>
      </c>
    </row>
    <row r="48859" spans="1:4" x14ac:dyDescent="0.2">
      <c r="B48859" t="s">
        <v>1</v>
      </c>
      <c r="C48859" t="s">
        <v>15556</v>
      </c>
      <c r="D48859" t="s">
        <v>24000</v>
      </c>
    </row>
    <row r="48860" spans="1:4" x14ac:dyDescent="0.2">
      <c r="B48860" t="s">
        <v>8</v>
      </c>
      <c r="C48860" t="s">
        <v>15557</v>
      </c>
      <c r="D48860" t="s">
        <v>24001</v>
      </c>
    </row>
    <row r="48862" spans="1:4" x14ac:dyDescent="0.2">
      <c r="A48862" t="s">
        <v>15558</v>
      </c>
      <c r="B48862" t="str">
        <f>HYPERLINK("https://lindat.mff.cuni.cz/services/teitok/pdtc10/index.php?action=vallex&amp;frame=v-w6951f3", "tvořit (v-w6951f3)")</f>
        <v>tvořit (v-w6951f3)</v>
      </c>
    </row>
    <row r="48863" spans="1:4" x14ac:dyDescent="0.2">
      <c r="B48863" t="s">
        <v>1</v>
      </c>
      <c r="C48863" t="s">
        <v>15559</v>
      </c>
      <c r="D48863" t="s">
        <v>23183</v>
      </c>
    </row>
    <row r="48864" spans="1:4" x14ac:dyDescent="0.2">
      <c r="B48864" t="s">
        <v>524</v>
      </c>
      <c r="C48864" t="s">
        <v>15560</v>
      </c>
      <c r="D48864" t="s">
        <v>23616</v>
      </c>
    </row>
    <row r="48866" spans="1:4" x14ac:dyDescent="0.2">
      <c r="A48866" t="s">
        <v>15561</v>
      </c>
      <c r="B48866" t="str">
        <f>HYPERLINK("https://lindat.mff.cuni.cz/services/teitok/pdtc10/index.php?action=vallex&amp;frame=v-w6952f1", "tvořit se (v-w6952f1)")</f>
        <v>tvořit se (v-w6952f1)</v>
      </c>
    </row>
    <row r="48867" spans="1:4" x14ac:dyDescent="0.2">
      <c r="B48867" t="s">
        <v>1</v>
      </c>
      <c r="D48867" t="s">
        <v>147</v>
      </c>
    </row>
    <row r="48868" spans="1:4" x14ac:dyDescent="0.2">
      <c r="B48868" t="s">
        <v>438</v>
      </c>
      <c r="D48868" t="s">
        <v>7038</v>
      </c>
    </row>
    <row r="48870" spans="1:4" x14ac:dyDescent="0.2">
      <c r="A48870" t="s">
        <v>15562</v>
      </c>
      <c r="B48870" t="str">
        <f>HYPERLINK("https://lindat.mff.cuni.cz/services/teitok/pdtc10/index.php?action=vallex&amp;frame=v-w6953f3", "tvrdit (v-w6953f3)")</f>
        <v>tvrdit (v-w6953f3)</v>
      </c>
    </row>
    <row r="48871" spans="1:4" x14ac:dyDescent="0.2">
      <c r="B48871" t="s">
        <v>1</v>
      </c>
    </row>
    <row r="48872" spans="1:4" x14ac:dyDescent="0.2">
      <c r="B48872" t="s">
        <v>8</v>
      </c>
    </row>
    <row r="48874" spans="1:4" x14ac:dyDescent="0.2">
      <c r="A48874" t="s">
        <v>15563</v>
      </c>
      <c r="B48874" t="str">
        <f>HYPERLINK("https://lindat.mff.cuni.cz/services/teitok/pdtc10/index.php?action=vallex&amp;frame=v-w6953f4_ZU", "tvrdit (v-w6953f4_ZU)")</f>
        <v>tvrdit (v-w6953f4_ZU)</v>
      </c>
    </row>
    <row r="48875" spans="1:4" x14ac:dyDescent="0.2">
      <c r="B48875" t="s">
        <v>1</v>
      </c>
    </row>
    <row r="48876" spans="1:4" x14ac:dyDescent="0.2">
      <c r="B48876" t="s">
        <v>15564</v>
      </c>
    </row>
    <row r="48877" spans="1:4" x14ac:dyDescent="0.2">
      <c r="B48877" t="s">
        <v>269</v>
      </c>
    </row>
    <row r="48878" spans="1:4" x14ac:dyDescent="0.2">
      <c r="B48878" t="s">
        <v>78</v>
      </c>
    </row>
    <row r="48880" spans="1:4" x14ac:dyDescent="0.2">
      <c r="A48880" t="s">
        <v>15563</v>
      </c>
      <c r="B48880" t="str">
        <f>HYPERLINK("https://lindat.mff.cuni.cz/services/teitok/pdtc10/index.php?action=vallex&amp;frame=v-w6953f1", "tvrdit (v-w6953f1) - substituted with v-w6953f4_ZU")</f>
        <v>tvrdit (v-w6953f1) - substituted with v-w6953f4_ZU</v>
      </c>
    </row>
    <row r="48881" spans="1:4" x14ac:dyDescent="0.2">
      <c r="B48881" t="s">
        <v>1</v>
      </c>
      <c r="C48881" t="s">
        <v>15565</v>
      </c>
      <c r="D48881" t="s">
        <v>22967</v>
      </c>
    </row>
    <row r="48882" spans="1:4" x14ac:dyDescent="0.2">
      <c r="B48882" t="s">
        <v>15564</v>
      </c>
      <c r="C48882" t="s">
        <v>15566</v>
      </c>
      <c r="D48882" t="s">
        <v>23120</v>
      </c>
    </row>
    <row r="48883" spans="1:4" x14ac:dyDescent="0.2">
      <c r="B48883" t="s">
        <v>269</v>
      </c>
      <c r="C48883" t="s">
        <v>15567</v>
      </c>
      <c r="D48883" t="s">
        <v>22968</v>
      </c>
    </row>
    <row r="48884" spans="1:4" x14ac:dyDescent="0.2">
      <c r="B48884" t="s">
        <v>78</v>
      </c>
      <c r="C48884" t="s">
        <v>15568</v>
      </c>
      <c r="D48884" t="s">
        <v>22969</v>
      </c>
    </row>
    <row r="48886" spans="1:4" x14ac:dyDescent="0.2">
      <c r="A48886" t="s">
        <v>15569</v>
      </c>
      <c r="B48886" t="str">
        <f>HYPERLINK("https://lindat.mff.cuni.cz/services/teitok/pdtc10/index.php?action=vallex&amp;frame=v-w6953f2", "tvrdit (v-w6953f2)")</f>
        <v>tvrdit (v-w6953f2)</v>
      </c>
    </row>
    <row r="48887" spans="1:4" x14ac:dyDescent="0.2">
      <c r="B48887" t="s">
        <v>15570</v>
      </c>
    </row>
    <row r="48889" spans="1:4" x14ac:dyDescent="0.2">
      <c r="A48889" t="s">
        <v>15571</v>
      </c>
      <c r="B48889" t="str">
        <f>HYPERLINK("https://lindat.mff.cuni.cz/services/teitok/pdtc10/index.php?action=vallex&amp;frame=v-w6947f1", "tvářit se (v-w6947f1)")</f>
        <v>tvářit se (v-w6947f1)</v>
      </c>
    </row>
    <row r="48890" spans="1:4" x14ac:dyDescent="0.2">
      <c r="B48890" t="s">
        <v>1</v>
      </c>
    </row>
    <row r="48891" spans="1:4" x14ac:dyDescent="0.2">
      <c r="B48891" t="s">
        <v>346</v>
      </c>
    </row>
    <row r="48892" spans="1:4" x14ac:dyDescent="0.2">
      <c r="B48892" t="s">
        <v>349</v>
      </c>
    </row>
    <row r="48893" spans="1:4" x14ac:dyDescent="0.2">
      <c r="B48893" t="s">
        <v>350</v>
      </c>
    </row>
    <row r="48894" spans="1:4" x14ac:dyDescent="0.2">
      <c r="B48894" t="s">
        <v>351</v>
      </c>
    </row>
    <row r="48896" spans="1:4" x14ac:dyDescent="0.2">
      <c r="A48896" t="s">
        <v>15572</v>
      </c>
      <c r="B48896" t="str">
        <f>HYPERLINK("https://lindat.mff.cuni.cz/services/teitok/pdtc10/index.php?action=vallex&amp;frame=v-whsa_1512hsa_1513", "tykat (v-whsa_1512hsa_1513)")</f>
        <v>tykat (v-whsa_1512hsa_1513)</v>
      </c>
    </row>
    <row r="48897" spans="1:4" x14ac:dyDescent="0.2">
      <c r="B48897" t="s">
        <v>1</v>
      </c>
    </row>
    <row r="48898" spans="1:4" x14ac:dyDescent="0.2">
      <c r="B48898" t="s">
        <v>103</v>
      </c>
    </row>
    <row r="48900" spans="1:4" x14ac:dyDescent="0.2">
      <c r="A48900" t="s">
        <v>15573</v>
      </c>
      <c r="B48900" t="str">
        <f>HYPERLINK("https://lindat.mff.cuni.cz/services/teitok/pdtc10/index.php?action=vallex&amp;frame=v-whsa_1375hsa_1376", "tykat si (v-whsa_1375hsa_1376)")</f>
        <v>tykat si (v-whsa_1375hsa_1376)</v>
      </c>
    </row>
    <row r="48901" spans="1:4" x14ac:dyDescent="0.2">
      <c r="B48901" t="s">
        <v>1</v>
      </c>
    </row>
    <row r="48902" spans="1:4" x14ac:dyDescent="0.2">
      <c r="B48902" t="s">
        <v>411</v>
      </c>
    </row>
    <row r="48904" spans="1:4" x14ac:dyDescent="0.2">
      <c r="A48904" t="s">
        <v>15574</v>
      </c>
      <c r="B48904" t="str">
        <f>HYPERLINK("https://lindat.mff.cuni.cz/services/teitok/pdtc10/index.php?action=vallex&amp;frame=v-w6956f1", "tyčit se (v-w6956f1)")</f>
        <v>tyčit se (v-w6956f1)</v>
      </c>
    </row>
    <row r="48905" spans="1:4" x14ac:dyDescent="0.2">
      <c r="B48905" t="s">
        <v>1</v>
      </c>
      <c r="C48905" t="s">
        <v>140</v>
      </c>
      <c r="D48905" t="s">
        <v>140</v>
      </c>
    </row>
    <row r="48907" spans="1:4" x14ac:dyDescent="0.2">
      <c r="A48907" t="s">
        <v>15575</v>
      </c>
      <c r="B48907" t="str">
        <f>HYPERLINK("https://lindat.mff.cuni.cz/services/teitok/pdtc10/index.php?action=vallex&amp;frame=v-w6766f1", "tábořit (v-w6766f1)")</f>
        <v>tábořit (v-w6766f1)</v>
      </c>
    </row>
    <row r="48908" spans="1:4" x14ac:dyDescent="0.2">
      <c r="B48908" t="s">
        <v>1</v>
      </c>
    </row>
    <row r="48909" spans="1:4" x14ac:dyDescent="0.2">
      <c r="B48909" t="s">
        <v>5</v>
      </c>
    </row>
    <row r="48911" spans="1:4" x14ac:dyDescent="0.2">
      <c r="A48911" t="s">
        <v>15576</v>
      </c>
      <c r="B48911" t="str">
        <f>HYPERLINK("https://lindat.mff.cuni.cz/services/teitok/pdtc10/index.php?action=vallex&amp;frame=v-w6771f1", "táhnout (v-w6771f1)")</f>
        <v>táhnout (v-w6771f1)</v>
      </c>
    </row>
    <row r="48912" spans="1:4" x14ac:dyDescent="0.2">
      <c r="B48912" t="s">
        <v>1</v>
      </c>
      <c r="C48912" t="s">
        <v>2264</v>
      </c>
    </row>
    <row r="48913" spans="1:4" x14ac:dyDescent="0.2">
      <c r="B48913" t="s">
        <v>8</v>
      </c>
      <c r="C48913" t="s">
        <v>15577</v>
      </c>
    </row>
    <row r="48915" spans="1:4" x14ac:dyDescent="0.2">
      <c r="A48915" t="s">
        <v>15578</v>
      </c>
      <c r="B48915" t="str">
        <f>HYPERLINK("https://lindat.mff.cuni.cz/services/teitok/pdtc10/index.php?action=vallex&amp;frame=v-w6771f5", "táhnout (v-w6771f5)")</f>
        <v>táhnout (v-w6771f5)</v>
      </c>
    </row>
    <row r="48916" spans="1:4" x14ac:dyDescent="0.2">
      <c r="B48916" t="s">
        <v>1</v>
      </c>
      <c r="C48916" t="s">
        <v>6131</v>
      </c>
      <c r="D48916" t="s">
        <v>23552</v>
      </c>
    </row>
    <row r="48917" spans="1:4" x14ac:dyDescent="0.2">
      <c r="B48917" t="s">
        <v>8</v>
      </c>
      <c r="C48917" t="s">
        <v>3072</v>
      </c>
      <c r="D48917" t="s">
        <v>23553</v>
      </c>
    </row>
    <row r="48919" spans="1:4" x14ac:dyDescent="0.2">
      <c r="A48919" t="s">
        <v>15579</v>
      </c>
      <c r="B48919" t="str">
        <f>HYPERLINK("https://lindat.mff.cuni.cz/services/teitok/pdtc10/index.php?action=vallex&amp;frame=v-w6771f13_ZU", "táhnout (v-w6771f13_ZU)")</f>
        <v>táhnout (v-w6771f13_ZU)</v>
      </c>
    </row>
    <row r="48920" spans="1:4" x14ac:dyDescent="0.2">
      <c r="B48920" t="s">
        <v>455</v>
      </c>
    </row>
    <row r="48921" spans="1:4" x14ac:dyDescent="0.2">
      <c r="B48921" t="s">
        <v>15580</v>
      </c>
    </row>
    <row r="48923" spans="1:4" x14ac:dyDescent="0.2">
      <c r="A48923" t="s">
        <v>15579</v>
      </c>
      <c r="B48923" t="str">
        <f>HYPERLINK("https://lindat.mff.cuni.cz/services/teitok/pdtc10/index.php?action=vallex&amp;frame=v-w6771f6", "táhnout (v-w6771f6) - substituted with v-w6771f13_ZU")</f>
        <v>táhnout (v-w6771f6) - substituted with v-w6771f13_ZU</v>
      </c>
    </row>
    <row r="48924" spans="1:4" x14ac:dyDescent="0.2">
      <c r="B48924" t="s">
        <v>455</v>
      </c>
    </row>
    <row r="48925" spans="1:4" x14ac:dyDescent="0.2">
      <c r="B48925" t="s">
        <v>15580</v>
      </c>
    </row>
    <row r="48927" spans="1:4" x14ac:dyDescent="0.2">
      <c r="A48927" t="s">
        <v>15581</v>
      </c>
      <c r="B48927" t="str">
        <f>HYPERLINK("https://lindat.mff.cuni.cz/services/teitok/pdtc10/index.php?action=vallex&amp;frame=v-w6771f4", "táhnout (v-w6771f4)")</f>
        <v>táhnout (v-w6771f4)</v>
      </c>
    </row>
    <row r="48928" spans="1:4" x14ac:dyDescent="0.2">
      <c r="B48928" t="s">
        <v>146</v>
      </c>
    </row>
    <row r="48929" spans="1:4" x14ac:dyDescent="0.2">
      <c r="B48929" t="s">
        <v>243</v>
      </c>
    </row>
    <row r="48931" spans="1:4" x14ac:dyDescent="0.2">
      <c r="A48931" t="s">
        <v>15582</v>
      </c>
      <c r="B48931" t="str">
        <f>HYPERLINK("https://lindat.mff.cuni.cz/services/teitok/pdtc10/index.php?action=vallex&amp;frame=v-w6771f12_ZU", "táhnout (v-w6771f12_ZU)")</f>
        <v>táhnout (v-w6771f12_ZU)</v>
      </c>
    </row>
    <row r="48932" spans="1:4" x14ac:dyDescent="0.2">
      <c r="B48932" t="s">
        <v>1</v>
      </c>
    </row>
    <row r="48933" spans="1:4" x14ac:dyDescent="0.2">
      <c r="B48933" t="s">
        <v>58</v>
      </c>
    </row>
    <row r="48934" spans="1:4" x14ac:dyDescent="0.2">
      <c r="B48934" t="s">
        <v>15583</v>
      </c>
    </row>
    <row r="48936" spans="1:4" x14ac:dyDescent="0.2">
      <c r="A48936" t="s">
        <v>15582</v>
      </c>
      <c r="B48936" t="str">
        <f>HYPERLINK("https://lindat.mff.cuni.cz/services/teitok/pdtc10/index.php?action=vallex&amp;frame=v-w6771f7_ZU", "táhnout (v-w6771f7_ZU) - substituted with v-w6771f12_ZU")</f>
        <v>táhnout (v-w6771f7_ZU) - substituted with v-w6771f12_ZU</v>
      </c>
    </row>
    <row r="48937" spans="1:4" x14ac:dyDescent="0.2">
      <c r="B48937" t="s">
        <v>1</v>
      </c>
      <c r="C48937" t="s">
        <v>80</v>
      </c>
      <c r="D48937" t="s">
        <v>23460</v>
      </c>
    </row>
    <row r="48938" spans="1:4" x14ac:dyDescent="0.2">
      <c r="B48938" t="s">
        <v>58</v>
      </c>
      <c r="C48938" t="s">
        <v>15584</v>
      </c>
      <c r="D48938" t="s">
        <v>23461</v>
      </c>
    </row>
    <row r="48939" spans="1:4" x14ac:dyDescent="0.2">
      <c r="B48939" t="s">
        <v>15583</v>
      </c>
      <c r="D48939" t="s">
        <v>23462</v>
      </c>
    </row>
    <row r="48941" spans="1:4" x14ac:dyDescent="0.2">
      <c r="A48941" t="s">
        <v>15585</v>
      </c>
      <c r="B48941" t="str">
        <f>HYPERLINK("https://lindat.mff.cuni.cz/services/teitok/pdtc10/index.php?action=vallex&amp;frame=v-w6771f2", "táhnout (v-w6771f2)")</f>
        <v>táhnout (v-w6771f2)</v>
      </c>
    </row>
    <row r="48942" spans="1:4" x14ac:dyDescent="0.2">
      <c r="B48942" t="s">
        <v>1</v>
      </c>
    </row>
    <row r="48943" spans="1:4" x14ac:dyDescent="0.2">
      <c r="B48943" t="s">
        <v>90</v>
      </c>
    </row>
    <row r="48945" spans="1:2" x14ac:dyDescent="0.2">
      <c r="A48945" t="s">
        <v>15586</v>
      </c>
      <c r="B48945" t="str">
        <f>HYPERLINK("https://lindat.mff.cuni.cz/services/teitok/pdtc10/index.php?action=vallex&amp;frame=v-w6771f3", "táhnout (v-w6771f3)")</f>
        <v>táhnout (v-w6771f3)</v>
      </c>
    </row>
    <row r="48946" spans="1:2" x14ac:dyDescent="0.2">
      <c r="B48946" t="s">
        <v>15587</v>
      </c>
    </row>
    <row r="48948" spans="1:2" x14ac:dyDescent="0.2">
      <c r="A48948" t="s">
        <v>15588</v>
      </c>
      <c r="B48948" t="str">
        <f>HYPERLINK("https://lindat.mff.cuni.cz/services/teitok/pdtc10/index.php?action=vallex&amp;frame=v-w6771f10_ZU", "táhnout (v-w6771f10_ZU)")</f>
        <v>táhnout (v-w6771f10_ZU)</v>
      </c>
    </row>
    <row r="48949" spans="1:2" x14ac:dyDescent="0.2">
      <c r="B48949" t="s">
        <v>1</v>
      </c>
    </row>
    <row r="48950" spans="1:2" x14ac:dyDescent="0.2">
      <c r="B48950" t="s">
        <v>15337</v>
      </c>
    </row>
    <row r="48952" spans="1:2" x14ac:dyDescent="0.2">
      <c r="A48952" t="s">
        <v>15588</v>
      </c>
      <c r="B48952" t="str">
        <f>HYPERLINK("https://lindat.mff.cuni.cz/services/teitok/pdtc10/index.php?action=vallex&amp;frame=v-w6771f8_ZU", "táhnout (v-w6771f8_ZU) - substituted with v-w6771f10_ZU")</f>
        <v>táhnout (v-w6771f8_ZU) - substituted with v-w6771f10_ZU</v>
      </c>
    </row>
    <row r="48953" spans="1:2" x14ac:dyDescent="0.2">
      <c r="B48953" t="s">
        <v>1</v>
      </c>
    </row>
    <row r="48954" spans="1:2" x14ac:dyDescent="0.2">
      <c r="B48954" t="s">
        <v>15337</v>
      </c>
    </row>
    <row r="48956" spans="1:2" x14ac:dyDescent="0.2">
      <c r="A48956" t="s">
        <v>15588</v>
      </c>
      <c r="B48956" t="str">
        <f>HYPERLINK("https://lindat.mff.cuni.cz/services/teitok/pdtc10/index.php?action=vallex&amp;frame=v-w6771f9_ZU", "táhnout (v-w6771f9_ZU) - substituted with v-w6771f10_ZU")</f>
        <v>táhnout (v-w6771f9_ZU) - substituted with v-w6771f10_ZU</v>
      </c>
    </row>
    <row r="48957" spans="1:2" x14ac:dyDescent="0.2">
      <c r="B48957" t="s">
        <v>1</v>
      </c>
    </row>
    <row r="48958" spans="1:2" x14ac:dyDescent="0.2">
      <c r="B48958" t="s">
        <v>15337</v>
      </c>
    </row>
    <row r="48960" spans="1:2" x14ac:dyDescent="0.2">
      <c r="A48960" t="s">
        <v>15588</v>
      </c>
      <c r="B48960" t="str">
        <f>HYPERLINK("https://lindat.mff.cuni.cz/services/teitok/pdtc10/index.php?action=vallex&amp;frame=v-w6771hsa_407", "táhnout (v-w6771hsa_407) - substituted with v-w6771f10_ZU")</f>
        <v>táhnout (v-w6771hsa_407) - substituted with v-w6771f10_ZU</v>
      </c>
    </row>
    <row r="48961" spans="1:3" x14ac:dyDescent="0.2">
      <c r="B48961" t="s">
        <v>1</v>
      </c>
    </row>
    <row r="48962" spans="1:3" x14ac:dyDescent="0.2">
      <c r="B48962" t="s">
        <v>15337</v>
      </c>
    </row>
    <row r="48964" spans="1:3" x14ac:dyDescent="0.2">
      <c r="A48964" t="s">
        <v>15589</v>
      </c>
      <c r="B48964" t="str">
        <f>HYPERLINK("https://lindat.mff.cuni.cz/services/teitok/pdtc10/index.php?action=vallex&amp;frame=v-w6771f11_ZU", "táhnout (v-w6771f11_ZU)")</f>
        <v>táhnout (v-w6771f11_ZU)</v>
      </c>
    </row>
    <row r="48965" spans="1:3" x14ac:dyDescent="0.2">
      <c r="B48965" t="s">
        <v>1</v>
      </c>
      <c r="C48965" t="s">
        <v>3303</v>
      </c>
    </row>
    <row r="48966" spans="1:3" x14ac:dyDescent="0.2">
      <c r="B48966" t="s">
        <v>3225</v>
      </c>
    </row>
    <row r="48968" spans="1:3" x14ac:dyDescent="0.2">
      <c r="A48968" t="s">
        <v>15589</v>
      </c>
      <c r="B48968" t="str">
        <f>HYPERLINK("https://lindat.mff.cuni.cz/services/teitok/pdtc10/index.php?action=vallex&amp;frame=v-w6771hsa_408", "táhnout (v-w6771hsa_408) - substituted with v-w6771f11_ZU")</f>
        <v>táhnout (v-w6771hsa_408) - substituted with v-w6771f11_ZU</v>
      </c>
    </row>
    <row r="48969" spans="1:3" x14ac:dyDescent="0.2">
      <c r="B48969" t="s">
        <v>1</v>
      </c>
    </row>
    <row r="48970" spans="1:3" x14ac:dyDescent="0.2">
      <c r="B48970" t="s">
        <v>3225</v>
      </c>
    </row>
    <row r="48972" spans="1:3" x14ac:dyDescent="0.2">
      <c r="A48972" t="s">
        <v>15590</v>
      </c>
      <c r="B48972" t="str">
        <f>HYPERLINK("https://lindat.mff.cuni.cz/services/teitok/pdtc10/index.php?action=vallex&amp;frame=v-w6771hsa_409", "táhnout (v-w6771hsa_409)")</f>
        <v>táhnout (v-w6771hsa_409)</v>
      </c>
    </row>
    <row r="48973" spans="1:3" x14ac:dyDescent="0.2">
      <c r="B48973" t="s">
        <v>1</v>
      </c>
      <c r="C48973" t="s">
        <v>133</v>
      </c>
    </row>
    <row r="48974" spans="1:3" x14ac:dyDescent="0.2">
      <c r="B48974" t="s">
        <v>8</v>
      </c>
      <c r="C48974" t="s">
        <v>335</v>
      </c>
    </row>
    <row r="48976" spans="1:3" x14ac:dyDescent="0.2">
      <c r="A48976" t="s">
        <v>15591</v>
      </c>
      <c r="B48976" t="str">
        <f>HYPERLINK("https://lindat.mff.cuni.cz/services/teitok/pdtc10/index.php?action=vallex&amp;frame=v-w6771f14_ZU", "táhnout (v-w6771f14_ZU)")</f>
        <v>táhnout (v-w6771f14_ZU)</v>
      </c>
    </row>
    <row r="48977" spans="1:4" x14ac:dyDescent="0.2">
      <c r="B48977" t="s">
        <v>1</v>
      </c>
    </row>
    <row r="48978" spans="1:4" x14ac:dyDescent="0.2">
      <c r="B48978" t="s">
        <v>3368</v>
      </c>
    </row>
    <row r="48980" spans="1:4" x14ac:dyDescent="0.2">
      <c r="A48980" t="s">
        <v>15592</v>
      </c>
      <c r="B48980" t="str">
        <f>HYPERLINK("https://lindat.mff.cuni.cz/services/teitok/pdtc10/index.php?action=vallex&amp;frame=v-w6771hsa_406", "táhnout (v-w6771hsa_406)")</f>
        <v>táhnout (v-w6771hsa_406)</v>
      </c>
    </row>
    <row r="48981" spans="1:4" x14ac:dyDescent="0.2">
      <c r="B48981" t="s">
        <v>1</v>
      </c>
    </row>
    <row r="48983" spans="1:4" x14ac:dyDescent="0.2">
      <c r="A48983" t="s">
        <v>15593</v>
      </c>
      <c r="B48983" t="str">
        <f>HYPERLINK("https://lindat.mff.cuni.cz/services/teitok/pdtc10/index.php?action=vallex&amp;frame=v-w6771hsa_1412", "táhnout (v-w6771hsa_1412)")</f>
        <v>táhnout (v-w6771hsa_1412)</v>
      </c>
    </row>
    <row r="48984" spans="1:4" x14ac:dyDescent="0.2">
      <c r="B48984" t="s">
        <v>1</v>
      </c>
    </row>
    <row r="48985" spans="1:4" x14ac:dyDescent="0.2">
      <c r="B48985" t="s">
        <v>8</v>
      </c>
    </row>
    <row r="48987" spans="1:4" x14ac:dyDescent="0.2">
      <c r="A48987" t="s">
        <v>15594</v>
      </c>
      <c r="B48987" t="str">
        <f>HYPERLINK("https://lindat.mff.cuni.cz/services/teitok/pdtc10/index.php?action=vallex&amp;frame=v-w6772f2", "táhnout se (v-w6772f2)")</f>
        <v>táhnout se (v-w6772f2)</v>
      </c>
    </row>
    <row r="48988" spans="1:4" x14ac:dyDescent="0.2">
      <c r="B48988" t="s">
        <v>1</v>
      </c>
    </row>
    <row r="48989" spans="1:4" x14ac:dyDescent="0.2">
      <c r="B48989" t="s">
        <v>411</v>
      </c>
    </row>
    <row r="48991" spans="1:4" x14ac:dyDescent="0.2">
      <c r="A48991" t="s">
        <v>15595</v>
      </c>
      <c r="B48991" t="str">
        <f>HYPERLINK("https://lindat.mff.cuni.cz/services/teitok/pdtc10/index.php?action=vallex&amp;frame=v-w6772f5_ZU", "táhnout se (v-w6772f5_ZU)")</f>
        <v>táhnout se (v-w6772f5_ZU)</v>
      </c>
    </row>
    <row r="48992" spans="1:4" x14ac:dyDescent="0.2">
      <c r="B48992" t="s">
        <v>1</v>
      </c>
      <c r="C48992" t="s">
        <v>33</v>
      </c>
      <c r="D48992" t="s">
        <v>7838</v>
      </c>
    </row>
    <row r="48993" spans="1:3" x14ac:dyDescent="0.2">
      <c r="B48993" t="s">
        <v>889</v>
      </c>
    </row>
    <row r="48995" spans="1:3" x14ac:dyDescent="0.2">
      <c r="A48995" t="s">
        <v>15596</v>
      </c>
      <c r="B48995" t="str">
        <f>HYPERLINK("https://lindat.mff.cuni.cz/services/teitok/pdtc10/index.php?action=vallex&amp;frame=v-w6772f4_ZU", "táhnout se (v-w6772f4_ZU)")</f>
        <v>táhnout se (v-w6772f4_ZU)</v>
      </c>
    </row>
    <row r="48996" spans="1:3" x14ac:dyDescent="0.2">
      <c r="B48996" t="s">
        <v>1</v>
      </c>
      <c r="C48996" t="s">
        <v>6204</v>
      </c>
    </row>
    <row r="48997" spans="1:3" x14ac:dyDescent="0.2">
      <c r="B48997" t="s">
        <v>4622</v>
      </c>
    </row>
    <row r="48998" spans="1:3" x14ac:dyDescent="0.2">
      <c r="B48998" t="s">
        <v>252</v>
      </c>
    </row>
    <row r="49000" spans="1:3" x14ac:dyDescent="0.2">
      <c r="A49000" t="s">
        <v>15597</v>
      </c>
      <c r="B49000" t="str">
        <f>HYPERLINK("https://lindat.mff.cuni.cz/services/teitok/pdtc10/index.php?action=vallex&amp;frame=v-w6772f6_ZU", "táhnout se (v-w6772f6_ZU)")</f>
        <v>táhnout se (v-w6772f6_ZU)</v>
      </c>
    </row>
    <row r="49001" spans="1:3" x14ac:dyDescent="0.2">
      <c r="B49001" t="s">
        <v>1</v>
      </c>
    </row>
    <row r="49002" spans="1:3" x14ac:dyDescent="0.2">
      <c r="B49002" t="s">
        <v>90</v>
      </c>
    </row>
    <row r="49004" spans="1:3" x14ac:dyDescent="0.2">
      <c r="A49004" t="s">
        <v>15597</v>
      </c>
      <c r="B49004" t="str">
        <f>HYPERLINK("https://lindat.mff.cuni.cz/services/teitok/pdtc10/index.php?action=vallex&amp;frame=v-w6772f3", "táhnout se (v-w6772f3) - substituted with v-w6772f6_ZU")</f>
        <v>táhnout se (v-w6772f3) - substituted with v-w6772f6_ZU</v>
      </c>
    </row>
    <row r="49005" spans="1:3" x14ac:dyDescent="0.2">
      <c r="B49005" t="s">
        <v>1</v>
      </c>
    </row>
    <row r="49006" spans="1:3" x14ac:dyDescent="0.2">
      <c r="B49006" t="s">
        <v>90</v>
      </c>
    </row>
    <row r="49008" spans="1:3" x14ac:dyDescent="0.2">
      <c r="A49008" t="s">
        <v>15598</v>
      </c>
      <c r="B49008" t="str">
        <f>HYPERLINK("https://lindat.mff.cuni.cz/services/teitok/pdtc10/index.php?action=vallex&amp;frame=v-w6772f1", "táhnout se (v-w6772f1)")</f>
        <v>táhnout se (v-w6772f1)</v>
      </c>
    </row>
    <row r="49009" spans="1:4" x14ac:dyDescent="0.2">
      <c r="B49009" t="s">
        <v>1</v>
      </c>
      <c r="C49009" t="s">
        <v>2172</v>
      </c>
      <c r="D49009" t="s">
        <v>23970</v>
      </c>
    </row>
    <row r="49011" spans="1:4" x14ac:dyDescent="0.2">
      <c r="A49011" t="s">
        <v>15599</v>
      </c>
      <c r="B49011" t="str">
        <f>HYPERLINK("https://lindat.mff.cuni.cz/services/teitok/pdtc10/index.php?action=vallex&amp;frame=v-w6772hsa_706", "táhnout se (v-w6772hsa_706)")</f>
        <v>táhnout se (v-w6772hsa_706)</v>
      </c>
    </row>
    <row r="49012" spans="1:4" x14ac:dyDescent="0.2">
      <c r="B49012" t="s">
        <v>1</v>
      </c>
      <c r="D49012" t="s">
        <v>7838</v>
      </c>
    </row>
    <row r="49013" spans="1:4" x14ac:dyDescent="0.2">
      <c r="B49013" t="s">
        <v>192</v>
      </c>
    </row>
    <row r="49015" spans="1:4" x14ac:dyDescent="0.2">
      <c r="A49015" t="s">
        <v>15600</v>
      </c>
      <c r="B49015" t="str">
        <f>HYPERLINK("https://lindat.mff.cuni.cz/services/teitok/pdtc10/index.php?action=vallex&amp;frame=v-w6783f1", "tápat (v-w6783f1)")</f>
        <v>tápat (v-w6783f1)</v>
      </c>
    </row>
    <row r="49016" spans="1:4" x14ac:dyDescent="0.2">
      <c r="B49016" t="s">
        <v>1</v>
      </c>
    </row>
    <row r="49018" spans="1:4" x14ac:dyDescent="0.2">
      <c r="A49018" t="s">
        <v>15601</v>
      </c>
      <c r="B49018" t="str">
        <f>HYPERLINK("https://lindat.mff.cuni.cz/services/teitok/pdtc10/index.php?action=vallex&amp;frame=v-w6788f2", "tát (v-w6788f2)")</f>
        <v>tát (v-w6788f2)</v>
      </c>
    </row>
    <row r="49019" spans="1:4" x14ac:dyDescent="0.2">
      <c r="B49019" t="s">
        <v>1</v>
      </c>
    </row>
    <row r="49021" spans="1:4" x14ac:dyDescent="0.2">
      <c r="A49021" t="s">
        <v>15602</v>
      </c>
      <c r="B49021" t="str">
        <f>HYPERLINK("https://lindat.mff.cuni.cz/services/teitok/pdtc10/index.php?action=vallex&amp;frame=v-w6788f1", "tát (v-w6788f1)")</f>
        <v>tát (v-w6788f1)</v>
      </c>
    </row>
    <row r="49023" spans="1:4" x14ac:dyDescent="0.2">
      <c r="A49023" t="s">
        <v>15603</v>
      </c>
      <c r="B49023" t="str">
        <f>HYPERLINK("https://lindat.mff.cuni.cz/services/teitok/pdtc10/index.php?action=vallex&amp;frame=v-w6788f3_ZU", "tát (v-w6788f3_ZU)")</f>
        <v>tát (v-w6788f3_ZU)</v>
      </c>
    </row>
    <row r="49024" spans="1:4" x14ac:dyDescent="0.2">
      <c r="B49024" t="s">
        <v>1</v>
      </c>
    </row>
    <row r="49026" spans="1:4" x14ac:dyDescent="0.2">
      <c r="A49026" t="s">
        <v>15604</v>
      </c>
      <c r="B49026" t="str">
        <f>HYPERLINK("https://lindat.mff.cuni.cz/services/teitok/pdtc10/index.php?action=vallex&amp;frame=v-w6792hsa_441", "tázat se (v-w6792hsa_441)")</f>
        <v>tázat se (v-w6792hsa_441)</v>
      </c>
    </row>
    <row r="49027" spans="1:4" x14ac:dyDescent="0.2">
      <c r="B49027" t="s">
        <v>1</v>
      </c>
      <c r="C49027" t="s">
        <v>2168</v>
      </c>
      <c r="D49027" t="s">
        <v>23213</v>
      </c>
    </row>
    <row r="49028" spans="1:4" x14ac:dyDescent="0.2">
      <c r="B49028" t="s">
        <v>15605</v>
      </c>
      <c r="C49028" t="s">
        <v>2169</v>
      </c>
      <c r="D49028" t="s">
        <v>23214</v>
      </c>
    </row>
    <row r="49029" spans="1:4" x14ac:dyDescent="0.2">
      <c r="B49029" t="s">
        <v>2131</v>
      </c>
      <c r="C49029" t="s">
        <v>2170</v>
      </c>
      <c r="D49029" t="s">
        <v>23215</v>
      </c>
    </row>
    <row r="49031" spans="1:4" x14ac:dyDescent="0.2">
      <c r="A49031" t="s">
        <v>15604</v>
      </c>
      <c r="B49031" t="str">
        <f>HYPERLINK("https://lindat.mff.cuni.cz/services/teitok/pdtc10/index.php?action=vallex&amp;frame=v-w6792f1", "tázat se (v-w6792f1) - substituted with v-w6792hsa_441")</f>
        <v>tázat se (v-w6792f1) - substituted with v-w6792hsa_441</v>
      </c>
    </row>
    <row r="49032" spans="1:4" x14ac:dyDescent="0.2">
      <c r="B49032" t="s">
        <v>1</v>
      </c>
      <c r="C49032" t="s">
        <v>66</v>
      </c>
    </row>
    <row r="49033" spans="1:4" x14ac:dyDescent="0.2">
      <c r="B49033" t="s">
        <v>15605</v>
      </c>
      <c r="C49033" t="s">
        <v>232</v>
      </c>
    </row>
    <row r="49034" spans="1:4" x14ac:dyDescent="0.2">
      <c r="B49034" t="s">
        <v>2131</v>
      </c>
    </row>
    <row r="49036" spans="1:4" x14ac:dyDescent="0.2">
      <c r="A49036" t="s">
        <v>15606</v>
      </c>
      <c r="B49036" t="str">
        <f>HYPERLINK("https://lindat.mff.cuni.cz/services/teitok/pdtc10/index.php?action=vallex&amp;frame=v-w6794f4_ZU", "téci (v-w6794f4_ZU)")</f>
        <v>téci (v-w6794f4_ZU)</v>
      </c>
    </row>
    <row r="49037" spans="1:4" x14ac:dyDescent="0.2">
      <c r="B49037" t="s">
        <v>1</v>
      </c>
    </row>
    <row r="49039" spans="1:4" x14ac:dyDescent="0.2">
      <c r="A49039" t="s">
        <v>15606</v>
      </c>
      <c r="B49039" t="str">
        <f>HYPERLINK("https://lindat.mff.cuni.cz/services/teitok/pdtc10/index.php?action=vallex&amp;frame=v-w6794f1", "téci (v-w6794f1) - substituted with v-w6794f4_ZU")</f>
        <v>téci (v-w6794f1) - substituted with v-w6794f4_ZU</v>
      </c>
    </row>
    <row r="49040" spans="1:4" x14ac:dyDescent="0.2">
      <c r="B49040" t="s">
        <v>1</v>
      </c>
      <c r="C49040" t="s">
        <v>15607</v>
      </c>
      <c r="D49040" t="s">
        <v>14625</v>
      </c>
    </row>
    <row r="49042" spans="1:4" x14ac:dyDescent="0.2">
      <c r="A49042" t="s">
        <v>15608</v>
      </c>
      <c r="B49042" t="str">
        <f>HYPERLINK("https://lindat.mff.cuni.cz/services/teitok/pdtc10/index.php?action=vallex&amp;frame=v-w6794f2", "téci (v-w6794f2)")</f>
        <v>téci (v-w6794f2)</v>
      </c>
    </row>
    <row r="49044" spans="1:4" x14ac:dyDescent="0.2">
      <c r="A49044" t="s">
        <v>15609</v>
      </c>
      <c r="B49044" t="str">
        <f>HYPERLINK("https://lindat.mff.cuni.cz/services/teitok/pdtc10/index.php?action=vallex&amp;frame=v-w6794f3_ZU", "téci (v-w6794f3_ZU)")</f>
        <v>téci (v-w6794f3_ZU)</v>
      </c>
    </row>
    <row r="49045" spans="1:4" x14ac:dyDescent="0.2">
      <c r="B49045" t="s">
        <v>1</v>
      </c>
    </row>
    <row r="49047" spans="1:4" x14ac:dyDescent="0.2">
      <c r="A49047" t="s">
        <v>15610</v>
      </c>
      <c r="B49047" t="str">
        <f>HYPERLINK("https://lindat.mff.cuni.cz/services/teitok/pdtc10/index.php?action=vallex&amp;frame=v-w6794hsa_629", "téci (v-w6794hsa_629)")</f>
        <v>téci (v-w6794hsa_629)</v>
      </c>
    </row>
    <row r="49048" spans="1:4" x14ac:dyDescent="0.2">
      <c r="B49048" t="s">
        <v>1</v>
      </c>
    </row>
    <row r="49050" spans="1:4" x14ac:dyDescent="0.2">
      <c r="A49050" t="s">
        <v>15611</v>
      </c>
      <c r="B49050" t="str">
        <f>HYPERLINK("https://lindat.mff.cuni.cz/services/teitok/pdtc10/index.php?action=vallex&amp;frame=v-w6829f2_ZU", "tíhnout (v-w6829f2_ZU)")</f>
        <v>tíhnout (v-w6829f2_ZU)</v>
      </c>
    </row>
    <row r="49051" spans="1:4" x14ac:dyDescent="0.2">
      <c r="B49051" t="s">
        <v>1</v>
      </c>
    </row>
    <row r="49052" spans="1:4" x14ac:dyDescent="0.2">
      <c r="B49052" t="s">
        <v>3344</v>
      </c>
    </row>
    <row r="49054" spans="1:4" x14ac:dyDescent="0.2">
      <c r="A49054" t="s">
        <v>15611</v>
      </c>
      <c r="B49054" t="str">
        <f>HYPERLINK("https://lindat.mff.cuni.cz/services/teitok/pdtc10/index.php?action=vallex&amp;frame=v-w6829f1", "tíhnout (v-w6829f1) - substituted with v-w6829f2_ZU")</f>
        <v>tíhnout (v-w6829f1) - substituted with v-w6829f2_ZU</v>
      </c>
    </row>
    <row r="49055" spans="1:4" x14ac:dyDescent="0.2">
      <c r="B49055" t="s">
        <v>1</v>
      </c>
      <c r="C49055" t="s">
        <v>140</v>
      </c>
      <c r="D49055" t="s">
        <v>23360</v>
      </c>
    </row>
    <row r="49056" spans="1:4" x14ac:dyDescent="0.2">
      <c r="B49056" t="s">
        <v>3344</v>
      </c>
      <c r="C49056" t="s">
        <v>84</v>
      </c>
      <c r="D49056" t="s">
        <v>23361</v>
      </c>
    </row>
    <row r="49058" spans="1:4" x14ac:dyDescent="0.2">
      <c r="A49058" t="s">
        <v>15612</v>
      </c>
      <c r="B49058" t="str">
        <f>HYPERLINK("https://lindat.mff.cuni.cz/services/teitok/pdtc10/index.php?action=vallex&amp;frame=v-w6832f1", "típnout (v-w6832f1)")</f>
        <v>típnout (v-w6832f1)</v>
      </c>
    </row>
    <row r="49059" spans="1:4" x14ac:dyDescent="0.2">
      <c r="B49059" t="s">
        <v>1</v>
      </c>
    </row>
    <row r="49060" spans="1:4" x14ac:dyDescent="0.2">
      <c r="B49060" t="s">
        <v>8</v>
      </c>
    </row>
    <row r="49062" spans="1:4" x14ac:dyDescent="0.2">
      <c r="A49062" t="s">
        <v>15613</v>
      </c>
      <c r="B49062" t="str">
        <f>HYPERLINK("https://lindat.mff.cuni.cz/services/teitok/pdtc10/index.php?action=vallex&amp;frame=v-whsa_147f1_ZU", "tísnit se (v-whsa_147f1_ZU)")</f>
        <v>tísnit se (v-whsa_147f1_ZU)</v>
      </c>
    </row>
    <row r="49063" spans="1:4" x14ac:dyDescent="0.2">
      <c r="B49063" t="s">
        <v>1</v>
      </c>
      <c r="C49063" t="s">
        <v>15614</v>
      </c>
      <c r="D49063" t="s">
        <v>23472</v>
      </c>
    </row>
    <row r="49064" spans="1:4" x14ac:dyDescent="0.2">
      <c r="B49064" t="s">
        <v>5</v>
      </c>
      <c r="C49064" t="s">
        <v>15615</v>
      </c>
      <c r="D49064" t="s">
        <v>23473</v>
      </c>
    </row>
    <row r="49066" spans="1:4" x14ac:dyDescent="0.2">
      <c r="A49066" t="s">
        <v>15613</v>
      </c>
      <c r="B49066" t="str">
        <f>HYPERLINK("https://lindat.mff.cuni.cz/services/teitok/pdtc10/index.php?action=vallex&amp;frame=v-whsa_147hsa_148", "tísnit se (v-whsa_147hsa_148) - substituted with v-whsa_147f1_ZU")</f>
        <v>tísnit se (v-whsa_147hsa_148) - substituted with v-whsa_147f1_ZU</v>
      </c>
    </row>
    <row r="49067" spans="1:4" x14ac:dyDescent="0.2">
      <c r="B49067" t="s">
        <v>1</v>
      </c>
    </row>
    <row r="49068" spans="1:4" x14ac:dyDescent="0.2">
      <c r="B49068" t="s">
        <v>5</v>
      </c>
    </row>
    <row r="49070" spans="1:4" x14ac:dyDescent="0.2">
      <c r="A49070" t="s">
        <v>15616</v>
      </c>
      <c r="B49070" t="str">
        <f>HYPERLINK("https://lindat.mff.cuni.cz/services/teitok/pdtc10/index.php?action=vallex&amp;frame=v-w6958f1", "týkat se (v-w6958f1)")</f>
        <v>týkat se (v-w6958f1)</v>
      </c>
    </row>
    <row r="49071" spans="1:4" x14ac:dyDescent="0.2">
      <c r="B49071" t="s">
        <v>488</v>
      </c>
      <c r="C49071" t="s">
        <v>15617</v>
      </c>
      <c r="D49071" t="s">
        <v>23220</v>
      </c>
    </row>
    <row r="49072" spans="1:4" x14ac:dyDescent="0.2">
      <c r="B49072" t="s">
        <v>917</v>
      </c>
      <c r="C49072" t="s">
        <v>15618</v>
      </c>
      <c r="D49072" t="s">
        <v>23221</v>
      </c>
    </row>
    <row r="49074" spans="1:4" x14ac:dyDescent="0.2">
      <c r="A49074" t="s">
        <v>15619</v>
      </c>
      <c r="B49074" t="str">
        <f>HYPERLINK("https://lindat.mff.cuni.cz/services/teitok/pdtc10/index.php?action=vallex&amp;frame=v-w11087f2", "týrat (v-w11087f2)")</f>
        <v>týrat (v-w11087f2)</v>
      </c>
    </row>
    <row r="49075" spans="1:4" x14ac:dyDescent="0.2">
      <c r="B49075" t="s">
        <v>1</v>
      </c>
      <c r="C49075" t="s">
        <v>33</v>
      </c>
      <c r="D49075" t="s">
        <v>373</v>
      </c>
    </row>
    <row r="49076" spans="1:4" x14ac:dyDescent="0.2">
      <c r="B49076" t="s">
        <v>8</v>
      </c>
      <c r="C49076" t="s">
        <v>113</v>
      </c>
      <c r="D49076" t="s">
        <v>23486</v>
      </c>
    </row>
    <row r="49078" spans="1:4" x14ac:dyDescent="0.2">
      <c r="A49078" t="s">
        <v>15620</v>
      </c>
      <c r="B49078" t="str">
        <f>HYPERLINK("https://lindat.mff.cuni.cz/services/teitok/pdtc10/index.php?action=vallex&amp;frame=v-whsb_51hsa_52", "těsnit (v-whsb_51hsa_52)")</f>
        <v>těsnit (v-whsb_51hsa_52)</v>
      </c>
    </row>
    <row r="49079" spans="1:4" x14ac:dyDescent="0.2">
      <c r="B49079" t="s">
        <v>1</v>
      </c>
    </row>
    <row r="49081" spans="1:4" x14ac:dyDescent="0.2">
      <c r="A49081" t="s">
        <v>15621</v>
      </c>
      <c r="B49081" t="str">
        <f>HYPERLINK("https://lindat.mff.cuni.cz/services/teitok/pdtc10/index.php?action=vallex&amp;frame=v-w6818f2", "těšit (v-w6818f2)")</f>
        <v>těšit (v-w6818f2)</v>
      </c>
    </row>
    <row r="49082" spans="1:4" x14ac:dyDescent="0.2">
      <c r="B49082" t="s">
        <v>1</v>
      </c>
    </row>
    <row r="49083" spans="1:4" x14ac:dyDescent="0.2">
      <c r="B49083" t="s">
        <v>8</v>
      </c>
    </row>
    <row r="49085" spans="1:4" x14ac:dyDescent="0.2">
      <c r="A49085" t="s">
        <v>15622</v>
      </c>
      <c r="B49085" t="str">
        <f>HYPERLINK("https://lindat.mff.cuni.cz/services/teitok/pdtc10/index.php?action=vallex&amp;frame=v-w6818f1", "těšit (v-w6818f1)")</f>
        <v>těšit (v-w6818f1)</v>
      </c>
    </row>
    <row r="49086" spans="1:4" x14ac:dyDescent="0.2">
      <c r="B49086" t="s">
        <v>146</v>
      </c>
    </row>
    <row r="49087" spans="1:4" x14ac:dyDescent="0.2">
      <c r="B49087" t="s">
        <v>4374</v>
      </c>
    </row>
    <row r="49089" spans="1:4" x14ac:dyDescent="0.2">
      <c r="A49089" t="s">
        <v>15623</v>
      </c>
      <c r="B49089" t="str">
        <f>HYPERLINK("https://lindat.mff.cuni.cz/services/teitok/pdtc10/index.php?action=vallex&amp;frame=v-w6819f2", "těšit se (v-w6819f2)")</f>
        <v>těšit se (v-w6819f2)</v>
      </c>
    </row>
    <row r="49090" spans="1:4" x14ac:dyDescent="0.2">
      <c r="B49090" t="s">
        <v>1</v>
      </c>
      <c r="C49090" t="s">
        <v>15624</v>
      </c>
    </row>
    <row r="49091" spans="1:4" x14ac:dyDescent="0.2">
      <c r="B49091" t="s">
        <v>103</v>
      </c>
      <c r="C49091" t="s">
        <v>6116</v>
      </c>
    </row>
    <row r="49093" spans="1:4" x14ac:dyDescent="0.2">
      <c r="A49093" t="s">
        <v>15625</v>
      </c>
      <c r="B49093" t="str">
        <f>HYPERLINK("https://lindat.mff.cuni.cz/services/teitok/pdtc10/index.php?action=vallex&amp;frame=v-w6819hsa_1787", "těšit se (v-w6819hsa_1787)")</f>
        <v>těšit se (v-w6819hsa_1787)</v>
      </c>
    </row>
    <row r="49094" spans="1:4" x14ac:dyDescent="0.2">
      <c r="B49094" t="s">
        <v>1</v>
      </c>
    </row>
    <row r="49095" spans="1:4" x14ac:dyDescent="0.2">
      <c r="B49095" t="s">
        <v>15626</v>
      </c>
    </row>
    <row r="49097" spans="1:4" x14ac:dyDescent="0.2">
      <c r="A49097" t="s">
        <v>15625</v>
      </c>
      <c r="B49097" t="str">
        <f>HYPERLINK("https://lindat.mff.cuni.cz/services/teitok/pdtc10/index.php?action=vallex&amp;frame=v-w6819f1", "těšit se (v-w6819f1) - substituted with v-w6819hsa_1787")</f>
        <v>těšit se (v-w6819f1) - substituted with v-w6819hsa_1787</v>
      </c>
    </row>
    <row r="49098" spans="1:4" x14ac:dyDescent="0.2">
      <c r="B49098" t="s">
        <v>1</v>
      </c>
      <c r="C49098" t="s">
        <v>4807</v>
      </c>
      <c r="D49098" t="s">
        <v>23764</v>
      </c>
    </row>
    <row r="49099" spans="1:4" x14ac:dyDescent="0.2">
      <c r="B49099" t="s">
        <v>15626</v>
      </c>
      <c r="C49099" t="s">
        <v>15627</v>
      </c>
      <c r="D49099" t="s">
        <v>23765</v>
      </c>
    </row>
    <row r="49101" spans="1:4" x14ac:dyDescent="0.2">
      <c r="A49101" t="s">
        <v>15625</v>
      </c>
      <c r="B49101" t="str">
        <f>HYPERLINK("https://lindat.mff.cuni.cz/services/teitok/pdtc10/index.php?action=vallex&amp;frame=v-w6819hsa_1786", "těšit se (v-w6819hsa_1786) - substituted with v-w6819hsa_1787")</f>
        <v>těšit se (v-w6819hsa_1786) - substituted with v-w6819hsa_1787</v>
      </c>
    </row>
    <row r="49102" spans="1:4" x14ac:dyDescent="0.2">
      <c r="B49102" t="s">
        <v>1</v>
      </c>
    </row>
    <row r="49103" spans="1:4" x14ac:dyDescent="0.2">
      <c r="B49103" t="s">
        <v>15626</v>
      </c>
    </row>
    <row r="49105" spans="1:4" x14ac:dyDescent="0.2">
      <c r="A49105" t="s">
        <v>15628</v>
      </c>
      <c r="B49105" t="str">
        <f>HYPERLINK("https://lindat.mff.cuni.cz/services/teitok/pdtc10/index.php?action=vallex&amp;frame=v-w6819f3", "těšit se (v-w6819f3)")</f>
        <v>těšit se (v-w6819f3)</v>
      </c>
    </row>
    <row r="49106" spans="1:4" x14ac:dyDescent="0.2">
      <c r="B49106" t="s">
        <v>1</v>
      </c>
      <c r="C49106" t="s">
        <v>1077</v>
      </c>
      <c r="D49106" t="s">
        <v>2400</v>
      </c>
    </row>
    <row r="49107" spans="1:4" x14ac:dyDescent="0.2">
      <c r="B49107" t="s">
        <v>15629</v>
      </c>
      <c r="C49107" t="s">
        <v>3308</v>
      </c>
      <c r="D49107" t="s">
        <v>23178</v>
      </c>
    </row>
    <row r="49109" spans="1:4" x14ac:dyDescent="0.2">
      <c r="A49109" t="s">
        <v>15630</v>
      </c>
      <c r="B49109" t="str">
        <f>HYPERLINK("https://lindat.mff.cuni.cz/services/teitok/pdtc10/index.php?action=vallex&amp;frame=v-w6819f4", "těšit se (v-w6819f4)")</f>
        <v>těšit se (v-w6819f4)</v>
      </c>
    </row>
    <row r="49110" spans="1:4" x14ac:dyDescent="0.2">
      <c r="B49110" t="s">
        <v>1</v>
      </c>
    </row>
    <row r="49111" spans="1:4" x14ac:dyDescent="0.2">
      <c r="B49111" t="s">
        <v>90</v>
      </c>
    </row>
    <row r="49113" spans="1:4" x14ac:dyDescent="0.2">
      <c r="A49113" t="s">
        <v>15631</v>
      </c>
      <c r="B49113" t="str">
        <f>HYPERLINK("https://lindat.mff.cuni.cz/services/teitok/pdtc10/index.php?action=vallex&amp;frame=v-whsa_1751hsa_1752", "těšívat se (v-whsa_1751hsa_1752)")</f>
        <v>těšívat se (v-whsa_1751hsa_1752)</v>
      </c>
    </row>
    <row r="49114" spans="1:4" x14ac:dyDescent="0.2">
      <c r="B49114" t="s">
        <v>1</v>
      </c>
    </row>
    <row r="49115" spans="1:4" x14ac:dyDescent="0.2">
      <c r="B49115" t="s">
        <v>28</v>
      </c>
    </row>
    <row r="49117" spans="1:4" x14ac:dyDescent="0.2">
      <c r="A49117" t="s">
        <v>15632</v>
      </c>
      <c r="B49117" t="str">
        <f>HYPERLINK("https://lindat.mff.cuni.cz/services/teitok/pdtc10/index.php?action=vallex&amp;frame=v-w6826f2", "těžit (v-w6826f2)")</f>
        <v>těžit (v-w6826f2)</v>
      </c>
    </row>
    <row r="49118" spans="1:4" x14ac:dyDescent="0.2">
      <c r="B49118" t="s">
        <v>1</v>
      </c>
      <c r="C49118" t="s">
        <v>12550</v>
      </c>
      <c r="D49118" t="s">
        <v>33</v>
      </c>
    </row>
    <row r="49119" spans="1:4" x14ac:dyDescent="0.2">
      <c r="B49119" t="s">
        <v>8</v>
      </c>
      <c r="C49119" t="s">
        <v>15633</v>
      </c>
      <c r="D49119" t="s">
        <v>6439</v>
      </c>
    </row>
    <row r="49121" spans="1:4" x14ac:dyDescent="0.2">
      <c r="A49121" t="s">
        <v>15634</v>
      </c>
      <c r="B49121" t="str">
        <f>HYPERLINK("https://lindat.mff.cuni.cz/services/teitok/pdtc10/index.php?action=vallex&amp;frame=v-w6826f1", "těžit (v-w6826f1)")</f>
        <v>těžit (v-w6826f1)</v>
      </c>
    </row>
    <row r="49122" spans="1:4" x14ac:dyDescent="0.2">
      <c r="B49122" t="s">
        <v>1</v>
      </c>
      <c r="C49122" t="s">
        <v>15635</v>
      </c>
      <c r="D49122" t="s">
        <v>23931</v>
      </c>
    </row>
    <row r="49123" spans="1:4" x14ac:dyDescent="0.2">
      <c r="B49123" t="s">
        <v>168</v>
      </c>
      <c r="C49123" t="s">
        <v>15636</v>
      </c>
      <c r="D49123" t="s">
        <v>23932</v>
      </c>
    </row>
    <row r="49125" spans="1:4" x14ac:dyDescent="0.2">
      <c r="A49125" t="s">
        <v>15637</v>
      </c>
      <c r="B49125" t="str">
        <f>HYPERLINK("https://lindat.mff.cuni.cz/services/teitok/pdtc10/index.php?action=vallex&amp;frame=v-whsa_250hsa_251", "třepat (v-whsa_250hsa_251)")</f>
        <v>třepat (v-whsa_250hsa_251)</v>
      </c>
    </row>
    <row r="49126" spans="1:4" x14ac:dyDescent="0.2">
      <c r="B49126" t="s">
        <v>1</v>
      </c>
    </row>
    <row r="49127" spans="1:4" x14ac:dyDescent="0.2">
      <c r="B49127" t="s">
        <v>15638</v>
      </c>
    </row>
    <row r="49129" spans="1:4" x14ac:dyDescent="0.2">
      <c r="A49129" t="s">
        <v>15639</v>
      </c>
      <c r="B49129" t="str">
        <f>HYPERLINK("https://lindat.mff.cuni.cz/services/teitok/pdtc10/index.php?action=vallex&amp;frame=v-w6928f1", "třepetat se (v-w6928f1)")</f>
        <v>třepetat se (v-w6928f1)</v>
      </c>
    </row>
    <row r="49130" spans="1:4" x14ac:dyDescent="0.2">
      <c r="B49130" t="s">
        <v>1</v>
      </c>
    </row>
    <row r="49132" spans="1:4" x14ac:dyDescent="0.2">
      <c r="A49132" t="s">
        <v>15640</v>
      </c>
      <c r="B49132" t="str">
        <f>HYPERLINK("https://lindat.mff.cuni.cz/services/teitok/pdtc10/index.php?action=vallex&amp;frame=v-w11603_ZUf1_ZU", "třepit se (v-w11603_ZUf1_ZU)")</f>
        <v>třepit se (v-w11603_ZUf1_ZU)</v>
      </c>
    </row>
    <row r="49133" spans="1:4" x14ac:dyDescent="0.2">
      <c r="B49133" t="s">
        <v>1</v>
      </c>
    </row>
    <row r="49134" spans="1:4" x14ac:dyDescent="0.2">
      <c r="B49134" t="s">
        <v>3044</v>
      </c>
    </row>
    <row r="49136" spans="1:4" x14ac:dyDescent="0.2">
      <c r="A49136" t="s">
        <v>15641</v>
      </c>
      <c r="B49136" t="str">
        <f>HYPERLINK("https://lindat.mff.cuni.cz/services/teitok/pdtc10/index.php?action=vallex&amp;frame=v-whsa_1692hsa_1693", "třpytit se (v-whsa_1692hsa_1693)")</f>
        <v>třpytit se (v-whsa_1692hsa_1693)</v>
      </c>
    </row>
    <row r="49137" spans="1:4" x14ac:dyDescent="0.2">
      <c r="B49137" t="s">
        <v>1</v>
      </c>
    </row>
    <row r="49139" spans="1:4" x14ac:dyDescent="0.2">
      <c r="A49139" t="s">
        <v>15642</v>
      </c>
      <c r="B49139" t="str">
        <f>HYPERLINK("https://lindat.mff.cuni.cz/services/teitok/pdtc10/index.php?action=vallex&amp;frame=v-w6926f2", "třást se (v-w6926f2)")</f>
        <v>třást se (v-w6926f2)</v>
      </c>
    </row>
    <row r="49140" spans="1:4" x14ac:dyDescent="0.2">
      <c r="B49140" t="s">
        <v>1</v>
      </c>
    </row>
    <row r="49141" spans="1:4" x14ac:dyDescent="0.2">
      <c r="B49141" t="s">
        <v>28</v>
      </c>
    </row>
    <row r="49143" spans="1:4" x14ac:dyDescent="0.2">
      <c r="A49143" t="s">
        <v>15643</v>
      </c>
      <c r="B49143" t="str">
        <f>HYPERLINK("https://lindat.mff.cuni.cz/services/teitok/pdtc10/index.php?action=vallex&amp;frame=v-w6926f1", "třást se (v-w6926f1)")</f>
        <v>třást se (v-w6926f1)</v>
      </c>
    </row>
    <row r="49144" spans="1:4" x14ac:dyDescent="0.2">
      <c r="B49144" t="s">
        <v>1</v>
      </c>
      <c r="C49144" t="s">
        <v>12452</v>
      </c>
      <c r="D49144" t="s">
        <v>23755</v>
      </c>
    </row>
    <row r="49146" spans="1:4" x14ac:dyDescent="0.2">
      <c r="A49146" t="s">
        <v>15644</v>
      </c>
      <c r="B49146" t="str">
        <f>HYPERLINK("https://lindat.mff.cuni.cz/services/teitok/pdtc10/index.php?action=vallex&amp;frame=v-whsa_1280hsa_1281", "třást si (v-whsa_1280hsa_1281)")</f>
        <v>třást si (v-whsa_1280hsa_1281)</v>
      </c>
    </row>
    <row r="49147" spans="1:4" x14ac:dyDescent="0.2">
      <c r="B49147" t="s">
        <v>1</v>
      </c>
    </row>
    <row r="49148" spans="1:4" x14ac:dyDescent="0.2">
      <c r="B49148" t="s">
        <v>158</v>
      </c>
    </row>
    <row r="49149" spans="1:4" x14ac:dyDescent="0.2">
      <c r="B49149" t="s">
        <v>153</v>
      </c>
    </row>
    <row r="49151" spans="1:4" x14ac:dyDescent="0.2">
      <c r="A49151" t="s">
        <v>15645</v>
      </c>
      <c r="B49151" t="str">
        <f>HYPERLINK("https://lindat.mff.cuni.cz/services/teitok/pdtc10/index.php?action=vallex&amp;frame=v-w6931f1", "tříbit (v-w6931f1)")</f>
        <v>tříbit (v-w6931f1)</v>
      </c>
    </row>
    <row r="49152" spans="1:4" x14ac:dyDescent="0.2">
      <c r="B49152" t="s">
        <v>1</v>
      </c>
    </row>
    <row r="49153" spans="1:4" x14ac:dyDescent="0.2">
      <c r="B49153" t="s">
        <v>8</v>
      </c>
    </row>
    <row r="49155" spans="1:4" x14ac:dyDescent="0.2">
      <c r="A49155" t="s">
        <v>15646</v>
      </c>
      <c r="B49155" t="str">
        <f>HYPERLINK("https://lindat.mff.cuni.cz/services/teitok/pdtc10/index.php?action=vallex&amp;frame=v-w6933f1", "třídit (v-w6933f1)")</f>
        <v>třídit (v-w6933f1)</v>
      </c>
    </row>
    <row r="49156" spans="1:4" x14ac:dyDescent="0.2">
      <c r="B49156" t="s">
        <v>1</v>
      </c>
      <c r="C49156" t="s">
        <v>964</v>
      </c>
    </row>
    <row r="49157" spans="1:4" x14ac:dyDescent="0.2">
      <c r="B49157" t="s">
        <v>8</v>
      </c>
      <c r="C49157" t="s">
        <v>5674</v>
      </c>
    </row>
    <row r="49158" spans="1:4" x14ac:dyDescent="0.2">
      <c r="B49158" t="s">
        <v>2334</v>
      </c>
    </row>
    <row r="49160" spans="1:4" x14ac:dyDescent="0.2">
      <c r="A49160" t="s">
        <v>15647</v>
      </c>
      <c r="B49160" t="str">
        <f>HYPERLINK("https://lindat.mff.cuni.cz/services/teitok/pdtc10/index.php?action=vallex&amp;frame=v-w6933f3_ZU", "třídit (v-w6933f3_ZU)")</f>
        <v>třídit (v-w6933f3_ZU)</v>
      </c>
    </row>
    <row r="49161" spans="1:4" x14ac:dyDescent="0.2">
      <c r="B49161" t="s">
        <v>1</v>
      </c>
      <c r="D49161" t="s">
        <v>140</v>
      </c>
    </row>
    <row r="49162" spans="1:4" x14ac:dyDescent="0.2">
      <c r="B49162" t="s">
        <v>172</v>
      </c>
      <c r="C49162" t="s">
        <v>23</v>
      </c>
      <c r="D49162" t="s">
        <v>23</v>
      </c>
    </row>
    <row r="49164" spans="1:4" x14ac:dyDescent="0.2">
      <c r="A49164" t="s">
        <v>15647</v>
      </c>
      <c r="B49164" t="str">
        <f>HYPERLINK("https://lindat.mff.cuni.cz/services/teitok/pdtc10/index.php?action=vallex&amp;frame=v-w6933f2", "třídit (v-w6933f2) - substituted with v-w6933f3_ZU")</f>
        <v>třídit (v-w6933f2) - substituted with v-w6933f3_ZU</v>
      </c>
    </row>
    <row r="49165" spans="1:4" x14ac:dyDescent="0.2">
      <c r="B49165" t="s">
        <v>1</v>
      </c>
    </row>
    <row r="49166" spans="1:4" x14ac:dyDescent="0.2">
      <c r="B49166" t="s">
        <v>172</v>
      </c>
      <c r="C49166" t="s">
        <v>991</v>
      </c>
    </row>
    <row r="49168" spans="1:4" x14ac:dyDescent="0.2">
      <c r="A49168" t="s">
        <v>15648</v>
      </c>
      <c r="B49168" t="str">
        <f>HYPERLINK("https://lindat.mff.cuni.cz/services/teitok/pdtc10/index.php?action=vallex&amp;frame=v-w6934f1", "třímat (v-w6934f1)")</f>
        <v>třímat (v-w6934f1)</v>
      </c>
    </row>
    <row r="49169" spans="1:4" x14ac:dyDescent="0.2">
      <c r="B49169" t="s">
        <v>1</v>
      </c>
      <c r="C49169" t="s">
        <v>430</v>
      </c>
      <c r="D49169" t="s">
        <v>23238</v>
      </c>
    </row>
    <row r="49170" spans="1:4" x14ac:dyDescent="0.2">
      <c r="B49170" t="s">
        <v>8</v>
      </c>
      <c r="C49170" t="s">
        <v>1044</v>
      </c>
      <c r="D49170" t="s">
        <v>23239</v>
      </c>
    </row>
    <row r="49172" spans="1:4" x14ac:dyDescent="0.2">
      <c r="A49172" t="s">
        <v>15649</v>
      </c>
      <c r="B49172" t="str">
        <f>HYPERLINK("https://lindat.mff.cuni.cz/services/teitok/pdtc10/index.php?action=vallex&amp;frame=v-w6935f1", "třísknout (v-w6935f1)")</f>
        <v>třísknout (v-w6935f1)</v>
      </c>
    </row>
    <row r="49173" spans="1:4" x14ac:dyDescent="0.2">
      <c r="B49173" t="s">
        <v>1</v>
      </c>
      <c r="D49173" t="s">
        <v>140</v>
      </c>
    </row>
    <row r="49174" spans="1:4" x14ac:dyDescent="0.2">
      <c r="B49174" t="s">
        <v>158</v>
      </c>
      <c r="D49174" t="s">
        <v>113</v>
      </c>
    </row>
    <row r="49176" spans="1:4" x14ac:dyDescent="0.2">
      <c r="A49176" t="s">
        <v>15650</v>
      </c>
      <c r="B49176" t="str">
        <f>HYPERLINK("https://lindat.mff.cuni.cz/services/teitok/pdtc10/index.php?action=vallex&amp;frame=v-w12125_ZUf1_ZU", "třít (v-w12125_ZUf1_ZU)")</f>
        <v>třít (v-w12125_ZUf1_ZU)</v>
      </c>
    </row>
    <row r="49177" spans="1:4" x14ac:dyDescent="0.2">
      <c r="B49177" t="s">
        <v>1</v>
      </c>
    </row>
    <row r="49178" spans="1:4" x14ac:dyDescent="0.2">
      <c r="B49178" t="s">
        <v>8</v>
      </c>
    </row>
    <row r="49180" spans="1:4" x14ac:dyDescent="0.2">
      <c r="A49180" t="s">
        <v>15651</v>
      </c>
      <c r="B49180" t="str">
        <f>HYPERLINK("https://lindat.mff.cuni.cz/services/teitok/pdtc10/index.php?action=vallex&amp;frame=v-w6962f1", "ubezpečit (v-w6962f1)")</f>
        <v>ubezpečit (v-w6962f1)</v>
      </c>
    </row>
    <row r="49181" spans="1:4" x14ac:dyDescent="0.2">
      <c r="B49181" t="s">
        <v>1</v>
      </c>
      <c r="C49181" t="s">
        <v>2239</v>
      </c>
      <c r="D49181" t="s">
        <v>230</v>
      </c>
    </row>
    <row r="49182" spans="1:4" x14ac:dyDescent="0.2">
      <c r="B49182" t="s">
        <v>15652</v>
      </c>
      <c r="C49182" t="s">
        <v>6681</v>
      </c>
      <c r="D49182" t="s">
        <v>24087</v>
      </c>
    </row>
    <row r="49183" spans="1:4" x14ac:dyDescent="0.2">
      <c r="B49183" t="s">
        <v>58</v>
      </c>
      <c r="C49183" t="s">
        <v>7520</v>
      </c>
      <c r="D49183" t="s">
        <v>15939</v>
      </c>
    </row>
    <row r="49185" spans="1:4" x14ac:dyDescent="0.2">
      <c r="A49185" t="s">
        <v>15653</v>
      </c>
      <c r="B49185" t="str">
        <f>HYPERLINK("https://lindat.mff.cuni.cz/services/teitok/pdtc10/index.php?action=vallex&amp;frame=v-w6963f1", "ubezpečovat (v-w6963f1)")</f>
        <v>ubezpečovat (v-w6963f1)</v>
      </c>
    </row>
    <row r="49186" spans="1:4" x14ac:dyDescent="0.2">
      <c r="B49186" t="s">
        <v>1</v>
      </c>
      <c r="D49186" t="s">
        <v>230</v>
      </c>
    </row>
    <row r="49187" spans="1:4" x14ac:dyDescent="0.2">
      <c r="B49187" t="s">
        <v>15652</v>
      </c>
      <c r="D49187" t="s">
        <v>24087</v>
      </c>
    </row>
    <row r="49188" spans="1:4" x14ac:dyDescent="0.2">
      <c r="B49188" t="s">
        <v>58</v>
      </c>
      <c r="D49188" t="s">
        <v>15939</v>
      </c>
    </row>
    <row r="49190" spans="1:4" x14ac:dyDescent="0.2">
      <c r="A49190" t="s">
        <v>15654</v>
      </c>
      <c r="B49190" t="str">
        <f>HYPERLINK("https://lindat.mff.cuni.cz/services/teitok/pdtc10/index.php?action=vallex&amp;frame=v-w6972f1", "ubližovat (v-w6972f1)")</f>
        <v>ubližovat (v-w6972f1)</v>
      </c>
    </row>
    <row r="49191" spans="1:4" x14ac:dyDescent="0.2">
      <c r="B49191" t="s">
        <v>15655</v>
      </c>
      <c r="D49191" t="s">
        <v>23156</v>
      </c>
    </row>
    <row r="49192" spans="1:4" x14ac:dyDescent="0.2">
      <c r="B49192" t="s">
        <v>103</v>
      </c>
      <c r="D49192" t="s">
        <v>23157</v>
      </c>
    </row>
    <row r="49194" spans="1:4" x14ac:dyDescent="0.2">
      <c r="A49194" t="s">
        <v>15656</v>
      </c>
      <c r="B49194" t="str">
        <f>HYPERLINK("https://lindat.mff.cuni.cz/services/teitok/pdtc10/index.php?action=vallex&amp;frame=v-w6971f1", "ublížit (v-w6971f1)")</f>
        <v>ublížit (v-w6971f1)</v>
      </c>
    </row>
    <row r="49195" spans="1:4" x14ac:dyDescent="0.2">
      <c r="B49195" t="s">
        <v>15655</v>
      </c>
      <c r="C49195" t="s">
        <v>15657</v>
      </c>
      <c r="D49195" t="s">
        <v>23156</v>
      </c>
    </row>
    <row r="49196" spans="1:4" x14ac:dyDescent="0.2">
      <c r="B49196" t="s">
        <v>103</v>
      </c>
      <c r="C49196" t="s">
        <v>5971</v>
      </c>
      <c r="D49196" t="s">
        <v>23157</v>
      </c>
    </row>
    <row r="49198" spans="1:4" x14ac:dyDescent="0.2">
      <c r="A49198" t="s">
        <v>15658</v>
      </c>
      <c r="B49198" t="str">
        <f>HYPERLINK("https://lindat.mff.cuni.cz/services/teitok/pdtc10/index.php?action=vallex&amp;frame=v-w6973f1", "ubodat (v-w6973f1)")</f>
        <v>ubodat (v-w6973f1)</v>
      </c>
    </row>
    <row r="49199" spans="1:4" x14ac:dyDescent="0.2">
      <c r="B49199" t="s">
        <v>1</v>
      </c>
      <c r="C49199" t="s">
        <v>133</v>
      </c>
      <c r="D49199" t="s">
        <v>11295</v>
      </c>
    </row>
    <row r="49200" spans="1:4" x14ac:dyDescent="0.2">
      <c r="B49200" t="s">
        <v>8</v>
      </c>
      <c r="C49200" t="s">
        <v>84</v>
      </c>
      <c r="D49200" t="s">
        <v>13639</v>
      </c>
    </row>
    <row r="49202" spans="1:3" x14ac:dyDescent="0.2">
      <c r="A49202" t="s">
        <v>15659</v>
      </c>
      <c r="B49202" t="str">
        <f>HYPERLINK("https://lindat.mff.cuni.cz/services/teitok/pdtc10/index.php?action=vallex&amp;frame=v-w11819_ZUf1_ZU", "ubourat (v-w11819_ZUf1_ZU)")</f>
        <v>ubourat (v-w11819_ZUf1_ZU)</v>
      </c>
    </row>
    <row r="49203" spans="1:3" x14ac:dyDescent="0.2">
      <c r="B49203" t="s">
        <v>1</v>
      </c>
    </row>
    <row r="49204" spans="1:3" x14ac:dyDescent="0.2">
      <c r="B49204" t="s">
        <v>8</v>
      </c>
    </row>
    <row r="49206" spans="1:3" x14ac:dyDescent="0.2">
      <c r="A49206" t="s">
        <v>15660</v>
      </c>
      <c r="B49206" t="str">
        <f>HYPERLINK("https://lindat.mff.cuni.cz/services/teitok/pdtc10/index.php?action=vallex&amp;frame=v-w6976f2", "ubrat (v-w6976f2)")</f>
        <v>ubrat (v-w6976f2)</v>
      </c>
    </row>
    <row r="49207" spans="1:3" x14ac:dyDescent="0.2">
      <c r="B49207" t="s">
        <v>1</v>
      </c>
      <c r="C49207" t="s">
        <v>15031</v>
      </c>
    </row>
    <row r="49208" spans="1:3" x14ac:dyDescent="0.2">
      <c r="B49208" t="s">
        <v>8</v>
      </c>
      <c r="C49208" t="s">
        <v>15661</v>
      </c>
    </row>
    <row r="49209" spans="1:3" x14ac:dyDescent="0.2">
      <c r="B49209" t="s">
        <v>35</v>
      </c>
      <c r="C49209" t="s">
        <v>12216</v>
      </c>
    </row>
    <row r="49211" spans="1:3" x14ac:dyDescent="0.2">
      <c r="A49211" t="s">
        <v>15662</v>
      </c>
      <c r="B49211" t="str">
        <f>HYPERLINK("https://lindat.mff.cuni.cz/services/teitok/pdtc10/index.php?action=vallex&amp;frame=v-w6976f1", "ubrat (v-w6976f1)")</f>
        <v>ubrat (v-w6976f1)</v>
      </c>
    </row>
    <row r="49212" spans="1:3" x14ac:dyDescent="0.2">
      <c r="B49212" t="s">
        <v>1</v>
      </c>
      <c r="C49212" t="s">
        <v>3307</v>
      </c>
    </row>
    <row r="49213" spans="1:3" x14ac:dyDescent="0.2">
      <c r="B49213" t="s">
        <v>8</v>
      </c>
      <c r="C49213" t="s">
        <v>3040</v>
      </c>
    </row>
    <row r="49214" spans="1:3" x14ac:dyDescent="0.2">
      <c r="B49214" t="s">
        <v>24</v>
      </c>
      <c r="C49214" t="s">
        <v>11191</v>
      </c>
    </row>
    <row r="49215" spans="1:3" x14ac:dyDescent="0.2">
      <c r="B49215" t="s">
        <v>61</v>
      </c>
    </row>
    <row r="49217" spans="1:4" x14ac:dyDescent="0.2">
      <c r="A49217" t="s">
        <v>15663</v>
      </c>
      <c r="B49217" t="str">
        <f>HYPERLINK("https://lindat.mff.cuni.cz/services/teitok/pdtc10/index.php?action=vallex&amp;frame=v-w6976f3", "ubrat (v-w6976f3)")</f>
        <v>ubrat (v-w6976f3)</v>
      </c>
    </row>
    <row r="49218" spans="1:4" x14ac:dyDescent="0.2">
      <c r="B49218" t="s">
        <v>1</v>
      </c>
      <c r="C49218" t="s">
        <v>322</v>
      </c>
      <c r="D49218" t="s">
        <v>109</v>
      </c>
    </row>
    <row r="49219" spans="1:4" x14ac:dyDescent="0.2">
      <c r="B49219" t="s">
        <v>8</v>
      </c>
      <c r="D49219" t="s">
        <v>2755</v>
      </c>
    </row>
    <row r="49220" spans="1:4" x14ac:dyDescent="0.2">
      <c r="B49220" t="s">
        <v>333</v>
      </c>
      <c r="C49220" t="s">
        <v>15664</v>
      </c>
      <c r="D49220" t="s">
        <v>23642</v>
      </c>
    </row>
    <row r="49222" spans="1:4" x14ac:dyDescent="0.2">
      <c r="A49222" t="s">
        <v>15665</v>
      </c>
      <c r="B49222" t="str">
        <f>HYPERLINK("https://lindat.mff.cuni.cz/services/teitok/pdtc10/index.php?action=vallex&amp;frame=v-w6976f4", "ubrat (v-w6976f4)")</f>
        <v>ubrat (v-w6976f4)</v>
      </c>
    </row>
    <row r="49223" spans="1:4" x14ac:dyDescent="0.2">
      <c r="B49223" t="s">
        <v>1</v>
      </c>
    </row>
    <row r="49224" spans="1:4" x14ac:dyDescent="0.2">
      <c r="B49224" t="s">
        <v>8</v>
      </c>
    </row>
    <row r="49226" spans="1:4" x14ac:dyDescent="0.2">
      <c r="A49226" t="s">
        <v>15666</v>
      </c>
      <c r="B49226" t="str">
        <f>HYPERLINK("https://lindat.mff.cuni.cz/services/teitok/pdtc10/index.php?action=vallex&amp;frame=v-w6976hsa_566", "ubrat (v-w6976hsa_566)")</f>
        <v>ubrat (v-w6976hsa_566)</v>
      </c>
    </row>
    <row r="49227" spans="1:4" x14ac:dyDescent="0.2">
      <c r="B49227" t="s">
        <v>1</v>
      </c>
    </row>
    <row r="49228" spans="1:4" x14ac:dyDescent="0.2">
      <c r="B49228" t="s">
        <v>161</v>
      </c>
    </row>
    <row r="49229" spans="1:4" x14ac:dyDescent="0.2">
      <c r="B49229" t="s">
        <v>35</v>
      </c>
    </row>
    <row r="49231" spans="1:4" x14ac:dyDescent="0.2">
      <c r="A49231" t="s">
        <v>15667</v>
      </c>
      <c r="B49231" t="str">
        <f>HYPERLINK("https://lindat.mff.cuni.cz/services/teitok/pdtc10/index.php?action=vallex&amp;frame=v-w6974f2_ZU", "ubránit (v-w6974f2_ZU)")</f>
        <v>ubránit (v-w6974f2_ZU)</v>
      </c>
    </row>
    <row r="49232" spans="1:4" x14ac:dyDescent="0.2">
      <c r="B49232" t="s">
        <v>1</v>
      </c>
      <c r="C49232" t="s">
        <v>33</v>
      </c>
      <c r="D49232" t="s">
        <v>23370</v>
      </c>
    </row>
    <row r="49233" spans="1:4" x14ac:dyDescent="0.2">
      <c r="B49233" t="s">
        <v>8</v>
      </c>
      <c r="D49233" t="s">
        <v>23371</v>
      </c>
    </row>
    <row r="49234" spans="1:4" x14ac:dyDescent="0.2">
      <c r="B49234" t="s">
        <v>15668</v>
      </c>
      <c r="C49234" t="s">
        <v>8620</v>
      </c>
      <c r="D49234" t="s">
        <v>24182</v>
      </c>
    </row>
    <row r="49236" spans="1:4" x14ac:dyDescent="0.2">
      <c r="A49236" t="s">
        <v>15667</v>
      </c>
      <c r="B49236" t="str">
        <f>HYPERLINK("https://lindat.mff.cuni.cz/services/teitok/pdtc10/index.php?action=vallex&amp;frame=v-w6974f1", "ubránit (v-w6974f1) - substituted with v-w6974f2_ZU")</f>
        <v>ubránit (v-w6974f1) - substituted with v-w6974f2_ZU</v>
      </c>
    </row>
    <row r="49237" spans="1:4" x14ac:dyDescent="0.2">
      <c r="B49237" t="s">
        <v>1</v>
      </c>
    </row>
    <row r="49238" spans="1:4" x14ac:dyDescent="0.2">
      <c r="B49238" t="s">
        <v>8</v>
      </c>
    </row>
    <row r="49239" spans="1:4" x14ac:dyDescent="0.2">
      <c r="B49239" t="s">
        <v>15668</v>
      </c>
    </row>
    <row r="49241" spans="1:4" x14ac:dyDescent="0.2">
      <c r="A49241" t="s">
        <v>15669</v>
      </c>
      <c r="B49241" t="str">
        <f>HYPERLINK("https://lindat.mff.cuni.cz/services/teitok/pdtc10/index.php?action=vallex&amp;frame=v-w6975hsa_414", "ubránit se (v-w6975hsa_414)")</f>
        <v>ubránit se (v-w6975hsa_414)</v>
      </c>
    </row>
    <row r="49242" spans="1:4" x14ac:dyDescent="0.2">
      <c r="B49242" t="s">
        <v>1</v>
      </c>
      <c r="D49242" t="s">
        <v>23002</v>
      </c>
    </row>
    <row r="49243" spans="1:4" x14ac:dyDescent="0.2">
      <c r="B49243" t="s">
        <v>7312</v>
      </c>
      <c r="D49243" t="s">
        <v>23003</v>
      </c>
    </row>
    <row r="49245" spans="1:4" x14ac:dyDescent="0.2">
      <c r="A49245" t="s">
        <v>15669</v>
      </c>
      <c r="B49245" t="str">
        <f>HYPERLINK("https://lindat.mff.cuni.cz/services/teitok/pdtc10/index.php?action=vallex&amp;frame=v-w6975f1", "ubránit se (v-w6975f1) - substituted with v-w6975hsa_414")</f>
        <v>ubránit se (v-w6975f1) - substituted with v-w6975hsa_414</v>
      </c>
    </row>
    <row r="49246" spans="1:4" x14ac:dyDescent="0.2">
      <c r="B49246" t="s">
        <v>1</v>
      </c>
      <c r="C49246" t="s">
        <v>1065</v>
      </c>
    </row>
    <row r="49247" spans="1:4" x14ac:dyDescent="0.2">
      <c r="B49247" t="s">
        <v>7312</v>
      </c>
      <c r="C49247" t="s">
        <v>2886</v>
      </c>
    </row>
    <row r="49249" spans="1:3" x14ac:dyDescent="0.2">
      <c r="A49249" t="s">
        <v>15670</v>
      </c>
      <c r="B49249" t="str">
        <f>HYPERLINK("https://lindat.mff.cuni.cz/services/teitok/pdtc10/index.php?action=vallex&amp;frame=v-w6975hsa_415", "ubránit se (v-w6975hsa_415)")</f>
        <v>ubránit se (v-w6975hsa_415)</v>
      </c>
    </row>
    <row r="49250" spans="1:3" x14ac:dyDescent="0.2">
      <c r="B49250" t="s">
        <v>1</v>
      </c>
    </row>
    <row r="49251" spans="1:3" x14ac:dyDescent="0.2">
      <c r="B49251" t="s">
        <v>15671</v>
      </c>
    </row>
    <row r="49253" spans="1:3" x14ac:dyDescent="0.2">
      <c r="A49253" t="s">
        <v>15672</v>
      </c>
      <c r="B49253" t="str">
        <f>HYPERLINK("https://lindat.mff.cuni.cz/services/teitok/pdtc10/index.php?action=vallex&amp;frame=v-w6980f1", "ubytovat (v-w6980f1)")</f>
        <v>ubytovat (v-w6980f1)</v>
      </c>
    </row>
    <row r="49254" spans="1:3" x14ac:dyDescent="0.2">
      <c r="B49254" t="s">
        <v>1</v>
      </c>
    </row>
    <row r="49255" spans="1:3" x14ac:dyDescent="0.2">
      <c r="B49255" t="s">
        <v>8</v>
      </c>
    </row>
    <row r="49257" spans="1:3" x14ac:dyDescent="0.2">
      <c r="A49257" t="s">
        <v>15673</v>
      </c>
      <c r="B49257" t="str">
        <f>HYPERLINK("https://lindat.mff.cuni.cz/services/teitok/pdtc10/index.php?action=vallex&amp;frame=v-w6981f1", "ubytovat se (v-w6981f1)")</f>
        <v>ubytovat se (v-w6981f1)</v>
      </c>
    </row>
    <row r="49258" spans="1:3" x14ac:dyDescent="0.2">
      <c r="B49258" t="s">
        <v>1</v>
      </c>
    </row>
    <row r="49260" spans="1:3" x14ac:dyDescent="0.2">
      <c r="A49260" t="s">
        <v>15674</v>
      </c>
      <c r="B49260" t="str">
        <f>HYPERLINK("https://lindat.mff.cuni.cz/services/teitok/pdtc10/index.php?action=vallex&amp;frame=v-w10199f2", "ubytovávat (v-w10199f2)")</f>
        <v>ubytovávat (v-w10199f2)</v>
      </c>
    </row>
    <row r="49261" spans="1:3" x14ac:dyDescent="0.2">
      <c r="B49261" t="s">
        <v>1</v>
      </c>
      <c r="C49261" t="s">
        <v>83</v>
      </c>
    </row>
    <row r="49262" spans="1:3" x14ac:dyDescent="0.2">
      <c r="B49262" t="s">
        <v>8</v>
      </c>
      <c r="C49262" t="s">
        <v>202</v>
      </c>
    </row>
    <row r="49264" spans="1:3" x14ac:dyDescent="0.2">
      <c r="A49264" t="s">
        <v>15675</v>
      </c>
      <c r="B49264" t="str">
        <f>HYPERLINK("https://lindat.mff.cuni.cz/services/teitok/pdtc10/index.php?action=vallex&amp;frame=v-w10199f3_ZU", "ubytovávat (v-w10199f3_ZU)")</f>
        <v>ubytovávat (v-w10199f3_ZU)</v>
      </c>
    </row>
    <row r="49265" spans="1:3" x14ac:dyDescent="0.2">
      <c r="B49265" t="s">
        <v>1</v>
      </c>
    </row>
    <row r="49267" spans="1:3" x14ac:dyDescent="0.2">
      <c r="A49267" t="s">
        <v>15676</v>
      </c>
      <c r="B49267" t="str">
        <f>HYPERLINK("https://lindat.mff.cuni.cz/services/teitok/pdtc10/index.php?action=vallex&amp;frame=v-whsa_1011f1_ZU", "ubytovávat se (v-whsa_1011f1_ZU)")</f>
        <v>ubytovávat se (v-whsa_1011f1_ZU)</v>
      </c>
    </row>
    <row r="49268" spans="1:3" x14ac:dyDescent="0.2">
      <c r="B49268" t="s">
        <v>1</v>
      </c>
    </row>
    <row r="49270" spans="1:3" x14ac:dyDescent="0.2">
      <c r="A49270" t="s">
        <v>15677</v>
      </c>
      <c r="B49270" t="str">
        <f>HYPERLINK("https://lindat.mff.cuni.cz/services/teitok/pdtc10/index.php?action=vallex&amp;frame=v-whsb_1011hsa_1012", "ubytovávat se (v-whsb_1011hsa_1012)")</f>
        <v>ubytovávat se (v-whsb_1011hsa_1012)</v>
      </c>
    </row>
    <row r="49271" spans="1:3" x14ac:dyDescent="0.2">
      <c r="B49271" t="s">
        <v>1</v>
      </c>
    </row>
    <row r="49273" spans="1:3" x14ac:dyDescent="0.2">
      <c r="A49273" t="s">
        <v>15678</v>
      </c>
      <c r="B49273" t="str">
        <f>HYPERLINK("https://lindat.mff.cuni.cz/services/teitok/pdtc10/index.php?action=vallex&amp;frame=v-w10064f2", "ubíhat (v-w10064f2)")</f>
        <v>ubíhat (v-w10064f2)</v>
      </c>
    </row>
    <row r="49274" spans="1:3" x14ac:dyDescent="0.2">
      <c r="B49274" t="s">
        <v>1</v>
      </c>
    </row>
    <row r="49276" spans="1:3" x14ac:dyDescent="0.2">
      <c r="A49276" t="s">
        <v>15679</v>
      </c>
      <c r="B49276" t="str">
        <f>HYPERLINK("https://lindat.mff.cuni.cz/services/teitok/pdtc10/index.php?action=vallex&amp;frame=v-w6965f1", "ubíjet (v-w6965f1)")</f>
        <v>ubíjet (v-w6965f1)</v>
      </c>
    </row>
    <row r="49277" spans="1:3" x14ac:dyDescent="0.2">
      <c r="B49277" t="s">
        <v>1</v>
      </c>
      <c r="C49277" t="s">
        <v>115</v>
      </c>
    </row>
    <row r="49278" spans="1:3" x14ac:dyDescent="0.2">
      <c r="B49278" t="s">
        <v>8</v>
      </c>
      <c r="C49278" t="s">
        <v>110</v>
      </c>
    </row>
    <row r="49280" spans="1:3" x14ac:dyDescent="0.2">
      <c r="A49280" t="s">
        <v>15680</v>
      </c>
      <c r="B49280" t="str">
        <f>HYPERLINK("https://lindat.mff.cuni.cz/services/teitok/pdtc10/index.php?action=vallex&amp;frame=v-w6966f1", "ubírat (v-w6966f1)")</f>
        <v>ubírat (v-w6966f1)</v>
      </c>
    </row>
    <row r="49281" spans="1:4" x14ac:dyDescent="0.2">
      <c r="B49281" t="s">
        <v>1</v>
      </c>
      <c r="C49281" t="s">
        <v>140</v>
      </c>
    </row>
    <row r="49282" spans="1:4" x14ac:dyDescent="0.2">
      <c r="B49282" t="s">
        <v>8</v>
      </c>
      <c r="C49282" t="s">
        <v>34</v>
      </c>
    </row>
    <row r="49283" spans="1:4" x14ac:dyDescent="0.2">
      <c r="B49283" t="s">
        <v>35</v>
      </c>
    </row>
    <row r="49285" spans="1:4" x14ac:dyDescent="0.2">
      <c r="A49285" t="s">
        <v>15681</v>
      </c>
      <c r="B49285" t="str">
        <f>HYPERLINK("https://lindat.mff.cuni.cz/services/teitok/pdtc10/index.php?action=vallex&amp;frame=v-w6967f1", "ubírat se (v-w6967f1)")</f>
        <v>ubírat se (v-w6967f1)</v>
      </c>
    </row>
    <row r="49286" spans="1:4" x14ac:dyDescent="0.2">
      <c r="B49286" t="s">
        <v>1</v>
      </c>
      <c r="C49286" t="s">
        <v>15682</v>
      </c>
      <c r="D49286" t="s">
        <v>23336</v>
      </c>
    </row>
    <row r="49287" spans="1:4" x14ac:dyDescent="0.2">
      <c r="B49287" t="s">
        <v>192</v>
      </c>
      <c r="C49287" t="s">
        <v>15683</v>
      </c>
    </row>
    <row r="49289" spans="1:4" x14ac:dyDescent="0.2">
      <c r="A49289" t="s">
        <v>15684</v>
      </c>
      <c r="B49289" t="str">
        <f>HYPERLINK("https://lindat.mff.cuni.cz/services/teitok/pdtc10/index.php?action=vallex&amp;frame=v-w6967f2_ZU", "ubírat se (v-w6967f2_ZU)")</f>
        <v>ubírat se (v-w6967f2_ZU)</v>
      </c>
    </row>
    <row r="49290" spans="1:4" x14ac:dyDescent="0.2">
      <c r="B49290" t="s">
        <v>1</v>
      </c>
      <c r="C49290" t="s">
        <v>964</v>
      </c>
      <c r="D49290" t="s">
        <v>24243</v>
      </c>
    </row>
    <row r="49291" spans="1:4" x14ac:dyDescent="0.2">
      <c r="B49291" t="s">
        <v>252</v>
      </c>
      <c r="D49291" t="s">
        <v>24244</v>
      </c>
    </row>
    <row r="49293" spans="1:4" x14ac:dyDescent="0.2">
      <c r="A49293" t="s">
        <v>15685</v>
      </c>
      <c r="B49293" t="str">
        <f>HYPERLINK("https://lindat.mff.cuni.cz/services/teitok/pdtc10/index.php?action=vallex&amp;frame=v-w6968f1", "ubít (v-w6968f1)")</f>
        <v>ubít (v-w6968f1)</v>
      </c>
    </row>
    <row r="49294" spans="1:4" x14ac:dyDescent="0.2">
      <c r="B49294" t="s">
        <v>1</v>
      </c>
      <c r="C49294" t="s">
        <v>1077</v>
      </c>
      <c r="D49294" t="s">
        <v>11295</v>
      </c>
    </row>
    <row r="49295" spans="1:4" x14ac:dyDescent="0.2">
      <c r="B49295" t="s">
        <v>8</v>
      </c>
      <c r="C49295" t="s">
        <v>5571</v>
      </c>
      <c r="D49295" t="s">
        <v>13639</v>
      </c>
    </row>
    <row r="49297" spans="1:3" x14ac:dyDescent="0.2">
      <c r="A49297" t="s">
        <v>15686</v>
      </c>
      <c r="B49297" t="str">
        <f>HYPERLINK("https://lindat.mff.cuni.cz/services/teitok/pdtc10/index.php?action=vallex&amp;frame=v-w6977f1", "ubýt (v-w6977f1)")</f>
        <v>ubýt (v-w6977f1)</v>
      </c>
    </row>
    <row r="49298" spans="1:3" x14ac:dyDescent="0.2">
      <c r="B49298" t="s">
        <v>15687</v>
      </c>
      <c r="C49298" t="s">
        <v>15688</v>
      </c>
    </row>
    <row r="49300" spans="1:3" x14ac:dyDescent="0.2">
      <c r="A49300" t="s">
        <v>15689</v>
      </c>
      <c r="B49300" t="str">
        <f>HYPERLINK("https://lindat.mff.cuni.cz/services/teitok/pdtc10/index.php?action=vallex&amp;frame=v-w6982f1", "ubývat (v-w6982f1)")</f>
        <v>ubývat (v-w6982f1)</v>
      </c>
    </row>
    <row r="49301" spans="1:3" x14ac:dyDescent="0.2">
      <c r="B49301" t="s">
        <v>15687</v>
      </c>
      <c r="C49301" t="s">
        <v>3138</v>
      </c>
    </row>
    <row r="49303" spans="1:3" x14ac:dyDescent="0.2">
      <c r="A49303" t="s">
        <v>15690</v>
      </c>
      <c r="B49303" t="str">
        <f>HYPERLINK("https://lindat.mff.cuni.cz/services/teitok/pdtc10/index.php?action=vallex&amp;frame=v-w6961f2", "uběhnout (v-w6961f2)")</f>
        <v>uběhnout (v-w6961f2)</v>
      </c>
    </row>
    <row r="49304" spans="1:3" x14ac:dyDescent="0.2">
      <c r="B49304" t="s">
        <v>1</v>
      </c>
    </row>
    <row r="49305" spans="1:3" x14ac:dyDescent="0.2">
      <c r="B49305" t="s">
        <v>8</v>
      </c>
    </row>
    <row r="49307" spans="1:3" x14ac:dyDescent="0.2">
      <c r="A49307" t="s">
        <v>15691</v>
      </c>
      <c r="B49307" t="str">
        <f>HYPERLINK("https://lindat.mff.cuni.cz/services/teitok/pdtc10/index.php?action=vallex&amp;frame=v-w6961f1", "uběhnout (v-w6961f1)")</f>
        <v>uběhnout (v-w6961f1)</v>
      </c>
    </row>
    <row r="49308" spans="1:3" x14ac:dyDescent="0.2">
      <c r="B49308" t="s">
        <v>1</v>
      </c>
      <c r="C49308" t="s">
        <v>6793</v>
      </c>
    </row>
    <row r="49310" spans="1:3" x14ac:dyDescent="0.2">
      <c r="A49310" t="s">
        <v>15692</v>
      </c>
      <c r="B49310" t="str">
        <f>HYPERLINK("https://lindat.mff.cuni.cz/services/teitok/pdtc10/index.php?action=vallex&amp;frame=v-whsb_747f1_ZU", "ucelit se (v-whsb_747f1_ZU)")</f>
        <v>ucelit se (v-whsb_747f1_ZU)</v>
      </c>
    </row>
    <row r="49311" spans="1:3" x14ac:dyDescent="0.2">
      <c r="B49311" t="s">
        <v>1</v>
      </c>
    </row>
    <row r="49312" spans="1:3" x14ac:dyDescent="0.2">
      <c r="B49312" t="s">
        <v>411</v>
      </c>
    </row>
    <row r="49313" spans="1:4" x14ac:dyDescent="0.2">
      <c r="B49313" t="s">
        <v>130</v>
      </c>
    </row>
    <row r="49315" spans="1:4" x14ac:dyDescent="0.2">
      <c r="A49315" t="s">
        <v>15692</v>
      </c>
      <c r="B49315" t="str">
        <f>HYPERLINK("https://lindat.mff.cuni.cz/services/teitok/pdtc10/index.php?action=vallex&amp;frame=v-whsb_747hsa_748", "ucelit se (v-whsb_747hsa_748) - substituted with v-whsb_747f1_ZU")</f>
        <v>ucelit se (v-whsb_747hsa_748) - substituted with v-whsb_747f1_ZU</v>
      </c>
    </row>
    <row r="49316" spans="1:4" x14ac:dyDescent="0.2">
      <c r="B49316" t="s">
        <v>1</v>
      </c>
    </row>
    <row r="49317" spans="1:4" x14ac:dyDescent="0.2">
      <c r="B49317" t="s">
        <v>411</v>
      </c>
    </row>
    <row r="49318" spans="1:4" x14ac:dyDescent="0.2">
      <c r="B49318" t="s">
        <v>130</v>
      </c>
    </row>
    <row r="49320" spans="1:4" x14ac:dyDescent="0.2">
      <c r="A49320" t="s">
        <v>15693</v>
      </c>
      <c r="B49320" t="str">
        <f>HYPERLINK("https://lindat.mff.cuni.cz/services/teitok/pdtc10/index.php?action=vallex&amp;frame=v-whsb_827hsa_828", "uchechtávat se (v-whsb_827hsa_828)")</f>
        <v>uchechtávat se (v-whsb_827hsa_828)</v>
      </c>
    </row>
    <row r="49321" spans="1:4" x14ac:dyDescent="0.2">
      <c r="B49321" t="s">
        <v>1</v>
      </c>
    </row>
    <row r="49322" spans="1:4" x14ac:dyDescent="0.2">
      <c r="B49322" t="s">
        <v>86</v>
      </c>
    </row>
    <row r="49324" spans="1:4" x14ac:dyDescent="0.2">
      <c r="A49324" t="s">
        <v>15694</v>
      </c>
      <c r="B49324" t="str">
        <f>HYPERLINK("https://lindat.mff.cuni.cz/services/teitok/pdtc10/index.php?action=vallex&amp;frame=v-whsa_218f1_ZU", "uchlácholit (v-whsa_218f1_ZU)")</f>
        <v>uchlácholit (v-whsa_218f1_ZU)</v>
      </c>
    </row>
    <row r="49325" spans="1:4" x14ac:dyDescent="0.2">
      <c r="B49325" t="s">
        <v>1</v>
      </c>
      <c r="C49325" t="s">
        <v>33</v>
      </c>
      <c r="D49325" t="s">
        <v>23047</v>
      </c>
    </row>
    <row r="49326" spans="1:4" x14ac:dyDescent="0.2">
      <c r="B49326" t="s">
        <v>8</v>
      </c>
      <c r="C49326" t="s">
        <v>991</v>
      </c>
      <c r="D49326" t="s">
        <v>2747</v>
      </c>
    </row>
    <row r="49328" spans="1:4" x14ac:dyDescent="0.2">
      <c r="A49328" t="s">
        <v>15694</v>
      </c>
      <c r="B49328" t="str">
        <f>HYPERLINK("https://lindat.mff.cuni.cz/services/teitok/pdtc10/index.php?action=vallex&amp;frame=v-whsa_218hsa_219", "uchlácholit (v-whsa_218hsa_219) - substituted with v-whsa_218f1_ZU")</f>
        <v>uchlácholit (v-whsa_218hsa_219) - substituted with v-whsa_218f1_ZU</v>
      </c>
    </row>
    <row r="49329" spans="1:2" x14ac:dyDescent="0.2">
      <c r="B49329" t="s">
        <v>1</v>
      </c>
    </row>
    <row r="49330" spans="1:2" x14ac:dyDescent="0.2">
      <c r="B49330" t="s">
        <v>8</v>
      </c>
    </row>
    <row r="49332" spans="1:2" x14ac:dyDescent="0.2">
      <c r="A49332" t="s">
        <v>15695</v>
      </c>
      <c r="B49332" t="str">
        <f>HYPERLINK("https://lindat.mff.cuni.cz/services/teitok/pdtc10/index.php?action=vallex&amp;frame=v-w7060f1", "uchopit (v-w7060f1)")</f>
        <v>uchopit (v-w7060f1)</v>
      </c>
    </row>
    <row r="49333" spans="1:2" x14ac:dyDescent="0.2">
      <c r="B49333" t="s">
        <v>1</v>
      </c>
    </row>
    <row r="49334" spans="1:2" x14ac:dyDescent="0.2">
      <c r="B49334" t="s">
        <v>8</v>
      </c>
    </row>
    <row r="49336" spans="1:2" x14ac:dyDescent="0.2">
      <c r="A49336" t="s">
        <v>15696</v>
      </c>
      <c r="B49336" t="str">
        <f>HYPERLINK("https://lindat.mff.cuni.cz/services/teitok/pdtc10/index.php?action=vallex&amp;frame=v-w7062f1", "uchovat (v-w7062f1)")</f>
        <v>uchovat (v-w7062f1)</v>
      </c>
    </row>
    <row r="49337" spans="1:2" x14ac:dyDescent="0.2">
      <c r="B49337" t="s">
        <v>1</v>
      </c>
    </row>
    <row r="49338" spans="1:2" x14ac:dyDescent="0.2">
      <c r="B49338" t="s">
        <v>8</v>
      </c>
    </row>
    <row r="49339" spans="1:2" x14ac:dyDescent="0.2">
      <c r="B49339" t="s">
        <v>15697</v>
      </c>
    </row>
    <row r="49341" spans="1:2" x14ac:dyDescent="0.2">
      <c r="A49341" t="s">
        <v>15698</v>
      </c>
      <c r="B49341" t="str">
        <f>HYPERLINK("https://lindat.mff.cuni.cz/services/teitok/pdtc10/index.php?action=vallex&amp;frame=v-w7063f1", "uchovat se (v-w7063f1)")</f>
        <v>uchovat se (v-w7063f1)</v>
      </c>
    </row>
    <row r="49342" spans="1:2" x14ac:dyDescent="0.2">
      <c r="B49342" t="s">
        <v>1</v>
      </c>
    </row>
    <row r="49344" spans="1:2" x14ac:dyDescent="0.2">
      <c r="A49344" t="s">
        <v>15699</v>
      </c>
      <c r="B49344" t="str">
        <f>HYPERLINK("https://lindat.mff.cuni.cz/services/teitok/pdtc10/index.php?action=vallex&amp;frame=v-w7064f1", "uchovávat (v-w7064f1)")</f>
        <v>uchovávat (v-w7064f1)</v>
      </c>
    </row>
    <row r="49345" spans="1:4" x14ac:dyDescent="0.2">
      <c r="B49345" t="s">
        <v>1</v>
      </c>
      <c r="C49345" t="s">
        <v>15700</v>
      </c>
      <c r="D49345" t="s">
        <v>23813</v>
      </c>
    </row>
    <row r="49346" spans="1:4" x14ac:dyDescent="0.2">
      <c r="B49346" t="s">
        <v>8</v>
      </c>
      <c r="C49346" t="s">
        <v>1815</v>
      </c>
      <c r="D49346" t="s">
        <v>23814</v>
      </c>
    </row>
    <row r="49347" spans="1:4" x14ac:dyDescent="0.2">
      <c r="B49347" t="s">
        <v>15697</v>
      </c>
    </row>
    <row r="49349" spans="1:4" x14ac:dyDescent="0.2">
      <c r="A49349" t="s">
        <v>15701</v>
      </c>
      <c r="B49349" t="str">
        <f>HYPERLINK("https://lindat.mff.cuni.cz/services/teitok/pdtc10/index.php?action=vallex&amp;frame=v-w7065f2_ZU", "uchránit (v-w7065f2_ZU)")</f>
        <v>uchránit (v-w7065f2_ZU)</v>
      </c>
    </row>
    <row r="49350" spans="1:4" x14ac:dyDescent="0.2">
      <c r="B49350" t="s">
        <v>1</v>
      </c>
      <c r="C49350" t="s">
        <v>15702</v>
      </c>
      <c r="D49350" t="s">
        <v>23370</v>
      </c>
    </row>
    <row r="49351" spans="1:4" x14ac:dyDescent="0.2">
      <c r="B49351" t="s">
        <v>8</v>
      </c>
      <c r="C49351" t="s">
        <v>15703</v>
      </c>
      <c r="D49351" t="s">
        <v>23371</v>
      </c>
    </row>
    <row r="49352" spans="1:4" x14ac:dyDescent="0.2">
      <c r="B49352" t="s">
        <v>1040</v>
      </c>
      <c r="C49352" t="s">
        <v>15704</v>
      </c>
      <c r="D49352" t="s">
        <v>24182</v>
      </c>
    </row>
    <row r="49354" spans="1:4" x14ac:dyDescent="0.2">
      <c r="A49354" t="s">
        <v>15701</v>
      </c>
      <c r="B49354" t="str">
        <f>HYPERLINK("https://lindat.mff.cuni.cz/services/teitok/pdtc10/index.php?action=vallex&amp;frame=v-w7065f1", "uchránit (v-w7065f1) - substituted with v-w7065f2_ZU")</f>
        <v>uchránit (v-w7065f1) - substituted with v-w7065f2_ZU</v>
      </c>
    </row>
    <row r="49355" spans="1:4" x14ac:dyDescent="0.2">
      <c r="B49355" t="s">
        <v>1</v>
      </c>
    </row>
    <row r="49356" spans="1:4" x14ac:dyDescent="0.2">
      <c r="B49356" t="s">
        <v>8</v>
      </c>
      <c r="C49356" t="s">
        <v>54</v>
      </c>
    </row>
    <row r="49357" spans="1:4" x14ac:dyDescent="0.2">
      <c r="B49357" t="s">
        <v>1040</v>
      </c>
    </row>
    <row r="49359" spans="1:4" x14ac:dyDescent="0.2">
      <c r="A49359" t="s">
        <v>15705</v>
      </c>
      <c r="B49359" t="str">
        <f>HYPERLINK("https://lindat.mff.cuni.cz/services/teitok/pdtc10/index.php?action=vallex&amp;frame=v-w7067f1", "uchvacovat (v-w7067f1)")</f>
        <v>uchvacovat (v-w7067f1)</v>
      </c>
    </row>
    <row r="49360" spans="1:4" x14ac:dyDescent="0.2">
      <c r="B49360" t="s">
        <v>1</v>
      </c>
    </row>
    <row r="49361" spans="1:4" x14ac:dyDescent="0.2">
      <c r="B49361" t="s">
        <v>8</v>
      </c>
    </row>
    <row r="49363" spans="1:4" x14ac:dyDescent="0.2">
      <c r="A49363" t="s">
        <v>15706</v>
      </c>
      <c r="B49363" t="str">
        <f>HYPERLINK("https://lindat.mff.cuni.cz/services/teitok/pdtc10/index.php?action=vallex&amp;frame=v-w7068f2", "uchvátit (v-w7068f2)")</f>
        <v>uchvátit (v-w7068f2)</v>
      </c>
    </row>
    <row r="49364" spans="1:4" x14ac:dyDescent="0.2">
      <c r="B49364" t="s">
        <v>604</v>
      </c>
    </row>
    <row r="49365" spans="1:4" x14ac:dyDescent="0.2">
      <c r="B49365" t="s">
        <v>8</v>
      </c>
    </row>
    <row r="49367" spans="1:4" x14ac:dyDescent="0.2">
      <c r="A49367" t="s">
        <v>15707</v>
      </c>
      <c r="B49367" t="str">
        <f>HYPERLINK("https://lindat.mff.cuni.cz/services/teitok/pdtc10/index.php?action=vallex&amp;frame=v-w7068f1", "uchvátit (v-w7068f1)")</f>
        <v>uchvátit (v-w7068f1)</v>
      </c>
    </row>
    <row r="49368" spans="1:4" x14ac:dyDescent="0.2">
      <c r="B49368" t="s">
        <v>1</v>
      </c>
      <c r="C49368" t="s">
        <v>2303</v>
      </c>
      <c r="D49368" t="s">
        <v>92</v>
      </c>
    </row>
    <row r="49369" spans="1:4" x14ac:dyDescent="0.2">
      <c r="B49369" t="s">
        <v>8</v>
      </c>
      <c r="C49369" t="s">
        <v>359</v>
      </c>
      <c r="D49369" t="s">
        <v>3433</v>
      </c>
    </row>
    <row r="49371" spans="1:4" x14ac:dyDescent="0.2">
      <c r="A49371" t="s">
        <v>15708</v>
      </c>
      <c r="B49371" t="str">
        <f>HYPERLINK("https://lindat.mff.cuni.cz/services/teitok/pdtc10/index.php?action=vallex&amp;frame=v-w7070f1", "uchylovat se (v-w7070f1)")</f>
        <v>uchylovat se (v-w7070f1)</v>
      </c>
    </row>
    <row r="49372" spans="1:4" x14ac:dyDescent="0.2">
      <c r="B49372" t="s">
        <v>1</v>
      </c>
      <c r="C49372" t="s">
        <v>133</v>
      </c>
      <c r="D49372" t="s">
        <v>133</v>
      </c>
    </row>
    <row r="49373" spans="1:4" x14ac:dyDescent="0.2">
      <c r="B49373" t="s">
        <v>176</v>
      </c>
      <c r="C49373" t="s">
        <v>84</v>
      </c>
      <c r="D49373" t="s">
        <v>84</v>
      </c>
    </row>
    <row r="49375" spans="1:4" x14ac:dyDescent="0.2">
      <c r="A49375" t="s">
        <v>15709</v>
      </c>
      <c r="B49375" t="str">
        <f>HYPERLINK("https://lindat.mff.cuni.cz/services/teitok/pdtc10/index.php?action=vallex&amp;frame=v-w7070f2", "uchylovat se (v-w7070f2)")</f>
        <v>uchylovat se (v-w7070f2)</v>
      </c>
    </row>
    <row r="49376" spans="1:4" x14ac:dyDescent="0.2">
      <c r="B49376" t="s">
        <v>1</v>
      </c>
      <c r="C49376" t="s">
        <v>2702</v>
      </c>
      <c r="D49376" t="s">
        <v>2702</v>
      </c>
    </row>
    <row r="49377" spans="1:4" x14ac:dyDescent="0.2">
      <c r="B49377" t="s">
        <v>90</v>
      </c>
    </row>
    <row r="49379" spans="1:4" x14ac:dyDescent="0.2">
      <c r="A49379" t="s">
        <v>15710</v>
      </c>
      <c r="B49379" t="str">
        <f>HYPERLINK("https://lindat.mff.cuni.cz/services/teitok/pdtc10/index.php?action=vallex&amp;frame=v-w7071f1", "uchytit se (v-w7071f1)")</f>
        <v>uchytit se (v-w7071f1)</v>
      </c>
    </row>
    <row r="49380" spans="1:4" x14ac:dyDescent="0.2">
      <c r="B49380" t="s">
        <v>1</v>
      </c>
    </row>
    <row r="49381" spans="1:4" x14ac:dyDescent="0.2">
      <c r="B49381" t="s">
        <v>5</v>
      </c>
    </row>
    <row r="49383" spans="1:4" x14ac:dyDescent="0.2">
      <c r="A49383" t="s">
        <v>15711</v>
      </c>
      <c r="B49383" t="str">
        <f>HYPERLINK("https://lindat.mff.cuni.cz/services/teitok/pdtc10/index.php?action=vallex&amp;frame=v-w7071f2", "uchytit se (v-w7071f2)")</f>
        <v>uchytit se (v-w7071f2)</v>
      </c>
    </row>
    <row r="49384" spans="1:4" x14ac:dyDescent="0.2">
      <c r="B49384" t="s">
        <v>1</v>
      </c>
      <c r="C49384" t="s">
        <v>2717</v>
      </c>
    </row>
    <row r="49386" spans="1:4" x14ac:dyDescent="0.2">
      <c r="A49386" t="s">
        <v>15712</v>
      </c>
      <c r="B49386" t="str">
        <f>HYPERLINK("https://lindat.mff.cuni.cz/services/teitok/pdtc10/index.php?action=vallex&amp;frame=v-w7071f3_ZU", "uchytit se (v-w7071f3_ZU)")</f>
        <v>uchytit se (v-w7071f3_ZU)</v>
      </c>
    </row>
    <row r="49387" spans="1:4" x14ac:dyDescent="0.2">
      <c r="B49387" t="s">
        <v>1</v>
      </c>
      <c r="C49387" t="s">
        <v>2172</v>
      </c>
      <c r="D49387" t="s">
        <v>6204</v>
      </c>
    </row>
    <row r="49389" spans="1:4" x14ac:dyDescent="0.2">
      <c r="A49389" t="s">
        <v>15713</v>
      </c>
      <c r="B49389" t="str">
        <f>HYPERLINK("https://lindat.mff.cuni.cz/services/teitok/pdtc10/index.php?action=vallex&amp;frame=v-w12038_ZUf1_ZU", "uchytnout se (v-w12038_ZUf1_ZU)")</f>
        <v>uchytnout se (v-w12038_ZUf1_ZU)</v>
      </c>
    </row>
    <row r="49390" spans="1:4" x14ac:dyDescent="0.2">
      <c r="B49390" t="s">
        <v>1</v>
      </c>
    </row>
    <row r="49392" spans="1:4" x14ac:dyDescent="0.2">
      <c r="A49392" t="s">
        <v>15714</v>
      </c>
      <c r="B49392" t="str">
        <f>HYPERLINK("https://lindat.mff.cuni.cz/services/teitok/pdtc10/index.php?action=vallex&amp;frame=v-w7058f1", "ucházet se (v-w7058f1)")</f>
        <v>ucházet se (v-w7058f1)</v>
      </c>
    </row>
    <row r="49393" spans="1:4" x14ac:dyDescent="0.2">
      <c r="B49393" t="s">
        <v>1</v>
      </c>
      <c r="C49393" t="s">
        <v>340</v>
      </c>
      <c r="D49393" t="s">
        <v>9760</v>
      </c>
    </row>
    <row r="49394" spans="1:4" x14ac:dyDescent="0.2">
      <c r="B49394" t="s">
        <v>467</v>
      </c>
      <c r="C49394" t="s">
        <v>3789</v>
      </c>
      <c r="D49394" t="s">
        <v>8988</v>
      </c>
    </row>
    <row r="49396" spans="1:4" x14ac:dyDescent="0.2">
      <c r="A49396" t="s">
        <v>15715</v>
      </c>
      <c r="B49396" t="str">
        <f>HYPERLINK("https://lindat.mff.cuni.cz/services/teitok/pdtc10/index.php?action=vallex&amp;frame=v-w7069f2", "uchýlit se (v-w7069f2)")</f>
        <v>uchýlit se (v-w7069f2)</v>
      </c>
    </row>
    <row r="49397" spans="1:4" x14ac:dyDescent="0.2">
      <c r="B49397" t="s">
        <v>1</v>
      </c>
      <c r="C49397" t="s">
        <v>4110</v>
      </c>
      <c r="D49397" t="s">
        <v>133</v>
      </c>
    </row>
    <row r="49398" spans="1:4" x14ac:dyDescent="0.2">
      <c r="B49398" t="s">
        <v>176</v>
      </c>
      <c r="C49398" t="s">
        <v>84</v>
      </c>
      <c r="D49398" t="s">
        <v>84</v>
      </c>
    </row>
    <row r="49400" spans="1:4" x14ac:dyDescent="0.2">
      <c r="A49400" t="s">
        <v>15716</v>
      </c>
      <c r="B49400" t="str">
        <f>HYPERLINK("https://lindat.mff.cuni.cz/services/teitok/pdtc10/index.php?action=vallex&amp;frame=v-w7069f1", "uchýlit se (v-w7069f1)")</f>
        <v>uchýlit se (v-w7069f1)</v>
      </c>
    </row>
    <row r="49401" spans="1:4" x14ac:dyDescent="0.2">
      <c r="B49401" t="s">
        <v>1</v>
      </c>
      <c r="C49401" t="s">
        <v>10614</v>
      </c>
      <c r="D49401" t="s">
        <v>2702</v>
      </c>
    </row>
    <row r="49402" spans="1:4" x14ac:dyDescent="0.2">
      <c r="B49402" t="s">
        <v>90</v>
      </c>
    </row>
    <row r="49404" spans="1:4" x14ac:dyDescent="0.2">
      <c r="A49404" t="s">
        <v>15717</v>
      </c>
      <c r="B49404" t="str">
        <f>HYPERLINK("https://lindat.mff.cuni.cz/services/teitok/pdtc10/index.php?action=vallex&amp;frame=v-w6985f1", "ucpat (v-w6985f1)")</f>
        <v>ucpat (v-w6985f1)</v>
      </c>
    </row>
    <row r="49405" spans="1:4" x14ac:dyDescent="0.2">
      <c r="B49405" t="s">
        <v>1</v>
      </c>
    </row>
    <row r="49406" spans="1:4" x14ac:dyDescent="0.2">
      <c r="B49406" t="s">
        <v>8</v>
      </c>
    </row>
    <row r="49408" spans="1:4" x14ac:dyDescent="0.2">
      <c r="A49408" t="s">
        <v>15718</v>
      </c>
      <c r="B49408" t="str">
        <f>HYPERLINK("https://lindat.mff.cuni.cz/services/teitok/pdtc10/index.php?action=vallex&amp;frame=v-w6986f1", "ucpat se (v-w6986f1)")</f>
        <v>ucpat se (v-w6986f1)</v>
      </c>
    </row>
    <row r="49409" spans="1:3" x14ac:dyDescent="0.2">
      <c r="B49409" t="s">
        <v>1</v>
      </c>
    </row>
    <row r="49411" spans="1:3" x14ac:dyDescent="0.2">
      <c r="A49411" t="s">
        <v>15719</v>
      </c>
      <c r="B49411" t="str">
        <f>HYPERLINK("https://lindat.mff.cuni.cz/services/teitok/pdtc10/index.php?action=vallex&amp;frame=v-w6989f1", "uctít (v-w6989f1)")</f>
        <v>uctít (v-w6989f1)</v>
      </c>
    </row>
    <row r="49412" spans="1:3" x14ac:dyDescent="0.2">
      <c r="B49412" t="s">
        <v>1</v>
      </c>
    </row>
    <row r="49413" spans="1:3" x14ac:dyDescent="0.2">
      <c r="B49413" t="s">
        <v>124</v>
      </c>
    </row>
    <row r="49415" spans="1:3" x14ac:dyDescent="0.2">
      <c r="A49415" t="s">
        <v>15720</v>
      </c>
      <c r="B49415" t="str">
        <f>HYPERLINK("https://lindat.mff.cuni.cz/services/teitok/pdtc10/index.php?action=vallex&amp;frame=v-w6989f2", "uctít (v-w6989f2)")</f>
        <v>uctít (v-w6989f2)</v>
      </c>
    </row>
    <row r="49416" spans="1:3" x14ac:dyDescent="0.2">
      <c r="B49416" t="s">
        <v>1</v>
      </c>
    </row>
    <row r="49417" spans="1:3" x14ac:dyDescent="0.2">
      <c r="B49417" t="s">
        <v>8</v>
      </c>
    </row>
    <row r="49419" spans="1:3" x14ac:dyDescent="0.2">
      <c r="A49419" t="s">
        <v>15721</v>
      </c>
      <c r="B49419" t="str">
        <f>HYPERLINK("https://lindat.mff.cuni.cz/services/teitok/pdtc10/index.php?action=vallex&amp;frame=v-w6990f1", "uctívat (v-w6990f1)")</f>
        <v>uctívat (v-w6990f1)</v>
      </c>
    </row>
    <row r="49420" spans="1:3" x14ac:dyDescent="0.2">
      <c r="B49420" t="s">
        <v>1</v>
      </c>
      <c r="C49420" t="s">
        <v>33</v>
      </c>
    </row>
    <row r="49421" spans="1:3" x14ac:dyDescent="0.2">
      <c r="B49421" t="s">
        <v>124</v>
      </c>
      <c r="C49421" t="s">
        <v>1109</v>
      </c>
    </row>
    <row r="49423" spans="1:3" x14ac:dyDescent="0.2">
      <c r="A49423" t="s">
        <v>15722</v>
      </c>
      <c r="B49423" t="str">
        <f>HYPERLINK("https://lindat.mff.cuni.cz/services/teitok/pdtc10/index.php?action=vallex&amp;frame=v-w12194_ZUf1_ZU", "ucuknout (v-w12194_ZUf1_ZU)")</f>
        <v>ucuknout (v-w12194_ZUf1_ZU)</v>
      </c>
    </row>
    <row r="49424" spans="1:3" x14ac:dyDescent="0.2">
      <c r="B49424" t="s">
        <v>1</v>
      </c>
    </row>
    <row r="49426" spans="1:4" x14ac:dyDescent="0.2">
      <c r="A49426" t="s">
        <v>15723</v>
      </c>
      <c r="B49426" t="str">
        <f>HYPERLINK("https://lindat.mff.cuni.cz/services/teitok/pdtc10/index.php?action=vallex&amp;frame=v-w11733_ZUf1_ZU", "ucvaknout (v-w11733_ZUf1_ZU)")</f>
        <v>ucvaknout (v-w11733_ZUf1_ZU)</v>
      </c>
    </row>
    <row r="49427" spans="1:4" x14ac:dyDescent="0.2">
      <c r="B49427" t="s">
        <v>1</v>
      </c>
    </row>
    <row r="49428" spans="1:4" x14ac:dyDescent="0.2">
      <c r="B49428" t="s">
        <v>8</v>
      </c>
    </row>
    <row r="49430" spans="1:4" x14ac:dyDescent="0.2">
      <c r="A49430" t="s">
        <v>15724</v>
      </c>
      <c r="B49430" t="str">
        <f>HYPERLINK("https://lindat.mff.cuni.cz/services/teitok/pdtc10/index.php?action=vallex&amp;frame=v-w11733_ZUf3_ZU", "ucvaknout (v-w11733_ZUf3_ZU)")</f>
        <v>ucvaknout (v-w11733_ZUf3_ZU)</v>
      </c>
    </row>
    <row r="49431" spans="1:4" x14ac:dyDescent="0.2">
      <c r="B49431" t="s">
        <v>1</v>
      </c>
    </row>
    <row r="49432" spans="1:4" x14ac:dyDescent="0.2">
      <c r="B49432" t="s">
        <v>8</v>
      </c>
    </row>
    <row r="49434" spans="1:4" x14ac:dyDescent="0.2">
      <c r="A49434" t="s">
        <v>15724</v>
      </c>
      <c r="B49434" t="str">
        <f>HYPERLINK("https://lindat.mff.cuni.cz/services/teitok/pdtc10/index.php?action=vallex&amp;frame=v-w11733_ZUf2_ZU", "ucvaknout (v-w11733_ZUf2_ZU) - substituted with v-w11733_ZUf3_ZU")</f>
        <v>ucvaknout (v-w11733_ZUf2_ZU) - substituted with v-w11733_ZUf3_ZU</v>
      </c>
    </row>
    <row r="49435" spans="1:4" x14ac:dyDescent="0.2">
      <c r="B49435" t="s">
        <v>1</v>
      </c>
    </row>
    <row r="49436" spans="1:4" x14ac:dyDescent="0.2">
      <c r="B49436" t="s">
        <v>8</v>
      </c>
    </row>
    <row r="49438" spans="1:4" x14ac:dyDescent="0.2">
      <c r="A49438" t="s">
        <v>15725</v>
      </c>
      <c r="B49438" t="str">
        <f>HYPERLINK("https://lindat.mff.cuni.cz/services/teitok/pdtc10/index.php?action=vallex&amp;frame=v-w6983f1", "ucítit (v-w6983f1)")</f>
        <v>ucítit (v-w6983f1)</v>
      </c>
    </row>
    <row r="49439" spans="1:4" x14ac:dyDescent="0.2">
      <c r="B49439" t="s">
        <v>1</v>
      </c>
      <c r="D49439" t="s">
        <v>3542</v>
      </c>
    </row>
    <row r="49440" spans="1:4" x14ac:dyDescent="0.2">
      <c r="B49440" t="s">
        <v>124</v>
      </c>
      <c r="D49440" t="s">
        <v>1078</v>
      </c>
    </row>
    <row r="49442" spans="1:4" x14ac:dyDescent="0.2">
      <c r="A49442" t="s">
        <v>15726</v>
      </c>
      <c r="B49442" t="str">
        <f>HYPERLINK("https://lindat.mff.cuni.cz/services/teitok/pdtc10/index.php?action=vallex&amp;frame=v-w6983f3", "ucítit (v-w6983f3)")</f>
        <v>ucítit (v-w6983f3)</v>
      </c>
    </row>
    <row r="49443" spans="1:4" x14ac:dyDescent="0.2">
      <c r="B49443" t="s">
        <v>1</v>
      </c>
      <c r="C49443" t="s">
        <v>249</v>
      </c>
      <c r="D49443" t="s">
        <v>249</v>
      </c>
    </row>
    <row r="49444" spans="1:4" x14ac:dyDescent="0.2">
      <c r="B49444" t="s">
        <v>41</v>
      </c>
      <c r="C49444" t="s">
        <v>991</v>
      </c>
      <c r="D49444" t="s">
        <v>991</v>
      </c>
    </row>
    <row r="49446" spans="1:4" x14ac:dyDescent="0.2">
      <c r="A49446" t="s">
        <v>15727</v>
      </c>
      <c r="B49446" t="str">
        <f>HYPERLINK("https://lindat.mff.cuni.cz/services/teitok/pdtc10/index.php?action=vallex&amp;frame=v-w6983f2", "ucítit (v-w6983f2)")</f>
        <v>ucítit (v-w6983f2)</v>
      </c>
    </row>
    <row r="49447" spans="1:4" x14ac:dyDescent="0.2">
      <c r="B49447" t="s">
        <v>1</v>
      </c>
    </row>
    <row r="49448" spans="1:4" x14ac:dyDescent="0.2">
      <c r="B49448" t="s">
        <v>15728</v>
      </c>
    </row>
    <row r="49450" spans="1:4" x14ac:dyDescent="0.2">
      <c r="A49450" t="s">
        <v>15729</v>
      </c>
      <c r="B49450" t="str">
        <f>HYPERLINK("https://lindat.mff.cuni.cz/services/teitok/pdtc10/index.php?action=vallex&amp;frame=v-w7013f2_ZU", "udat (v-w7013f2_ZU)")</f>
        <v>udat (v-w7013f2_ZU)</v>
      </c>
    </row>
    <row r="49451" spans="1:4" x14ac:dyDescent="0.2">
      <c r="B49451" t="s">
        <v>1</v>
      </c>
      <c r="C49451" t="s">
        <v>3560</v>
      </c>
    </row>
    <row r="49452" spans="1:4" x14ac:dyDescent="0.2">
      <c r="B49452" t="s">
        <v>8</v>
      </c>
      <c r="C49452" t="s">
        <v>341</v>
      </c>
    </row>
    <row r="49453" spans="1:4" x14ac:dyDescent="0.2">
      <c r="B49453" t="s">
        <v>35</v>
      </c>
    </row>
    <row r="49455" spans="1:4" x14ac:dyDescent="0.2">
      <c r="A49455" t="s">
        <v>15730</v>
      </c>
      <c r="B49455" t="str">
        <f>HYPERLINK("https://lindat.mff.cuni.cz/services/teitok/pdtc10/index.php?action=vallex&amp;frame=v-w7013f1", "udat (v-w7013f1)")</f>
        <v>udat (v-w7013f1)</v>
      </c>
    </row>
    <row r="49456" spans="1:4" x14ac:dyDescent="0.2">
      <c r="B49456" t="s">
        <v>1</v>
      </c>
      <c r="C49456" t="s">
        <v>15731</v>
      </c>
      <c r="D49456" t="s">
        <v>22967</v>
      </c>
    </row>
    <row r="49457" spans="1:4" x14ac:dyDescent="0.2">
      <c r="B49457" t="s">
        <v>2158</v>
      </c>
      <c r="C49457" t="s">
        <v>15732</v>
      </c>
      <c r="D49457" t="s">
        <v>22968</v>
      </c>
    </row>
    <row r="49458" spans="1:4" x14ac:dyDescent="0.2">
      <c r="B49458" t="s">
        <v>78</v>
      </c>
      <c r="C49458" t="s">
        <v>3280</v>
      </c>
      <c r="D49458" t="s">
        <v>22969</v>
      </c>
    </row>
    <row r="49460" spans="1:4" x14ac:dyDescent="0.2">
      <c r="A49460" t="s">
        <v>15733</v>
      </c>
      <c r="B49460" t="str">
        <f>HYPERLINK("https://lindat.mff.cuni.cz/services/teitok/pdtc10/index.php?action=vallex&amp;frame=v-w7013f4_ZU", "udat (v-w7013f4_ZU)")</f>
        <v>udat (v-w7013f4_ZU)</v>
      </c>
    </row>
    <row r="49461" spans="1:4" x14ac:dyDescent="0.2">
      <c r="B49461" t="s">
        <v>1</v>
      </c>
    </row>
    <row r="49462" spans="1:4" x14ac:dyDescent="0.2">
      <c r="B49462" t="s">
        <v>8</v>
      </c>
    </row>
    <row r="49463" spans="1:4" x14ac:dyDescent="0.2">
      <c r="B49463" t="s">
        <v>35</v>
      </c>
    </row>
    <row r="49465" spans="1:4" x14ac:dyDescent="0.2">
      <c r="A49465" t="s">
        <v>15733</v>
      </c>
      <c r="B49465" t="str">
        <f>HYPERLINK("https://lindat.mff.cuni.cz/services/teitok/pdtc10/index.php?action=vallex&amp;frame=v-w7013hsa_641", "udat (v-w7013hsa_641) - substituted with v-w7013f4_ZU")</f>
        <v>udat (v-w7013hsa_641) - substituted with v-w7013f4_ZU</v>
      </c>
    </row>
    <row r="49466" spans="1:4" x14ac:dyDescent="0.2">
      <c r="B49466" t="s">
        <v>1</v>
      </c>
      <c r="C49466" t="s">
        <v>140</v>
      </c>
    </row>
    <row r="49467" spans="1:4" x14ac:dyDescent="0.2">
      <c r="B49467" t="s">
        <v>8</v>
      </c>
      <c r="C49467" t="s">
        <v>113</v>
      </c>
    </row>
    <row r="49468" spans="1:4" x14ac:dyDescent="0.2">
      <c r="B49468" t="s">
        <v>35</v>
      </c>
    </row>
    <row r="49470" spans="1:4" x14ac:dyDescent="0.2">
      <c r="A49470" t="s">
        <v>15734</v>
      </c>
      <c r="B49470" t="str">
        <f>HYPERLINK("https://lindat.mff.cuni.cz/services/teitok/pdtc10/index.php?action=vallex&amp;frame=v-w7013hsa_642", "udat (v-w7013hsa_642)")</f>
        <v>udat (v-w7013hsa_642)</v>
      </c>
    </row>
    <row r="49471" spans="1:4" x14ac:dyDescent="0.2">
      <c r="B49471" t="s">
        <v>1</v>
      </c>
      <c r="C49471" t="s">
        <v>133</v>
      </c>
    </row>
    <row r="49472" spans="1:4" x14ac:dyDescent="0.2">
      <c r="B49472" t="s">
        <v>8</v>
      </c>
    </row>
    <row r="49473" spans="1:4" x14ac:dyDescent="0.2">
      <c r="B49473" t="s">
        <v>5</v>
      </c>
      <c r="C49473" t="s">
        <v>15735</v>
      </c>
    </row>
    <row r="49475" spans="1:4" x14ac:dyDescent="0.2">
      <c r="A49475" t="s">
        <v>15736</v>
      </c>
      <c r="B49475" t="str">
        <f>HYPERLINK("https://lindat.mff.cuni.cz/services/teitok/pdtc10/index.php?action=vallex&amp;frame=v-w7013f3_ZU", "udat (v-w7013f3_ZU)")</f>
        <v>udat (v-w7013f3_ZU)</v>
      </c>
    </row>
    <row r="49476" spans="1:4" x14ac:dyDescent="0.2">
      <c r="B49476" t="s">
        <v>1</v>
      </c>
    </row>
    <row r="49477" spans="1:4" x14ac:dyDescent="0.2">
      <c r="B49477" t="s">
        <v>15737</v>
      </c>
    </row>
    <row r="49478" spans="1:4" x14ac:dyDescent="0.2">
      <c r="B49478" t="s">
        <v>86</v>
      </c>
    </row>
    <row r="49480" spans="1:4" x14ac:dyDescent="0.2">
      <c r="A49480" t="s">
        <v>15736</v>
      </c>
      <c r="B49480" t="str">
        <f>HYPERLINK("https://lindat.mff.cuni.cz/services/teitok/pdtc10/index.php?action=vallex&amp;frame=v-w7013hsa_643", "udat (v-w7013hsa_643) - substituted with v-w7013f3_ZU")</f>
        <v>udat (v-w7013hsa_643) - substituted with v-w7013f3_ZU</v>
      </c>
    </row>
    <row r="49481" spans="1:4" x14ac:dyDescent="0.2">
      <c r="B49481" t="s">
        <v>1</v>
      </c>
    </row>
    <row r="49482" spans="1:4" x14ac:dyDescent="0.2">
      <c r="B49482" t="s">
        <v>15737</v>
      </c>
    </row>
    <row r="49483" spans="1:4" x14ac:dyDescent="0.2">
      <c r="B49483" t="s">
        <v>86</v>
      </c>
    </row>
    <row r="49485" spans="1:4" x14ac:dyDescent="0.2">
      <c r="A49485" t="s">
        <v>15738</v>
      </c>
      <c r="B49485" t="str">
        <f>HYPERLINK("https://lindat.mff.cuni.cz/services/teitok/pdtc10/index.php?action=vallex&amp;frame=v-w7026f1", "udeřit (v-w7026f1)")</f>
        <v>udeřit (v-w7026f1)</v>
      </c>
    </row>
    <row r="49486" spans="1:4" x14ac:dyDescent="0.2">
      <c r="B49486" t="s">
        <v>1</v>
      </c>
      <c r="C49486" t="s">
        <v>14010</v>
      </c>
      <c r="D49486" t="s">
        <v>22964</v>
      </c>
    </row>
    <row r="49487" spans="1:4" x14ac:dyDescent="0.2">
      <c r="B49487" t="s">
        <v>8</v>
      </c>
      <c r="C49487" t="s">
        <v>54</v>
      </c>
      <c r="D49487" t="s">
        <v>1798</v>
      </c>
    </row>
    <row r="49489" spans="1:3" x14ac:dyDescent="0.2">
      <c r="A49489" t="s">
        <v>15739</v>
      </c>
      <c r="B49489" t="str">
        <f>HYPERLINK("https://lindat.mff.cuni.cz/services/teitok/pdtc10/index.php?action=vallex&amp;frame=v-w7026f3", "udeřit (v-w7026f3)")</f>
        <v>udeřit (v-w7026f3)</v>
      </c>
    </row>
    <row r="49490" spans="1:3" x14ac:dyDescent="0.2">
      <c r="B49490" t="s">
        <v>1</v>
      </c>
    </row>
    <row r="49491" spans="1:3" x14ac:dyDescent="0.2">
      <c r="B49491" t="s">
        <v>12902</v>
      </c>
    </row>
    <row r="49493" spans="1:3" x14ac:dyDescent="0.2">
      <c r="A49493" t="s">
        <v>15740</v>
      </c>
      <c r="B49493" t="str">
        <f>HYPERLINK("https://lindat.mff.cuni.cz/services/teitok/pdtc10/index.php?action=vallex&amp;frame=v-w7026f2", "udeřit (v-w7026f2)")</f>
        <v>udeřit (v-w7026f2)</v>
      </c>
    </row>
    <row r="49494" spans="1:3" x14ac:dyDescent="0.2">
      <c r="B49494" t="s">
        <v>1</v>
      </c>
    </row>
    <row r="49495" spans="1:3" x14ac:dyDescent="0.2">
      <c r="B49495" t="s">
        <v>90</v>
      </c>
    </row>
    <row r="49497" spans="1:3" x14ac:dyDescent="0.2">
      <c r="A49497" t="s">
        <v>15741</v>
      </c>
      <c r="B49497" t="str">
        <f>HYPERLINK("https://lindat.mff.cuni.cz/services/teitok/pdtc10/index.php?action=vallex&amp;frame=v-w7026f7_ZU", "udeřit (v-w7026f7_ZU)")</f>
        <v>udeřit (v-w7026f7_ZU)</v>
      </c>
    </row>
    <row r="49498" spans="1:3" x14ac:dyDescent="0.2">
      <c r="B49498" t="s">
        <v>1</v>
      </c>
      <c r="C49498" t="s">
        <v>15742</v>
      </c>
    </row>
    <row r="49500" spans="1:3" x14ac:dyDescent="0.2">
      <c r="A49500" t="s">
        <v>15741</v>
      </c>
      <c r="B49500" t="str">
        <f>HYPERLINK("https://lindat.mff.cuni.cz/services/teitok/pdtc10/index.php?action=vallex&amp;frame=v-w7026f5_ZU", "udeřit (v-w7026f5_ZU) - substituted with v-w7026f7_ZU")</f>
        <v>udeřit (v-w7026f5_ZU) - substituted with v-w7026f7_ZU</v>
      </c>
    </row>
    <row r="49501" spans="1:3" x14ac:dyDescent="0.2">
      <c r="B49501" t="s">
        <v>1</v>
      </c>
      <c r="C49501" t="s">
        <v>15743</v>
      </c>
    </row>
    <row r="49503" spans="1:3" x14ac:dyDescent="0.2">
      <c r="A49503" t="s">
        <v>15741</v>
      </c>
      <c r="B49503" t="str">
        <f>HYPERLINK("https://lindat.mff.cuni.cz/services/teitok/pdtc10/index.php?action=vallex&amp;frame=v-w7026f6_ZU", "udeřit (v-w7026f6_ZU) - substituted with v-w7026f7_ZU")</f>
        <v>udeřit (v-w7026f6_ZU) - substituted with v-w7026f7_ZU</v>
      </c>
    </row>
    <row r="49504" spans="1:3" x14ac:dyDescent="0.2">
      <c r="B49504" t="s">
        <v>1</v>
      </c>
      <c r="C49504" t="s">
        <v>15744</v>
      </c>
    </row>
    <row r="49506" spans="1:4" x14ac:dyDescent="0.2">
      <c r="A49506" t="s">
        <v>15745</v>
      </c>
      <c r="B49506" t="str">
        <f>HYPERLINK("https://lindat.mff.cuni.cz/services/teitok/pdtc10/index.php?action=vallex&amp;frame=v-w7026f4_ZU", "udeřit (v-w7026f4_ZU)")</f>
        <v>udeřit (v-w7026f4_ZU)</v>
      </c>
    </row>
    <row r="49507" spans="1:4" x14ac:dyDescent="0.2">
      <c r="B49507" t="s">
        <v>1</v>
      </c>
      <c r="C49507" t="s">
        <v>15746</v>
      </c>
    </row>
    <row r="49509" spans="1:4" x14ac:dyDescent="0.2">
      <c r="A49509" t="s">
        <v>15747</v>
      </c>
      <c r="B49509" t="str">
        <f>HYPERLINK("https://lindat.mff.cuni.cz/services/teitok/pdtc10/index.php?action=vallex&amp;frame=v-w7027f1", "udeřit se (v-w7027f1)")</f>
        <v>udeřit se (v-w7027f1)</v>
      </c>
    </row>
    <row r="49510" spans="1:4" x14ac:dyDescent="0.2">
      <c r="B49510" t="s">
        <v>1</v>
      </c>
    </row>
    <row r="49512" spans="1:4" x14ac:dyDescent="0.2">
      <c r="A49512" t="s">
        <v>15748</v>
      </c>
      <c r="B49512" t="str">
        <f>HYPERLINK("https://lindat.mff.cuni.cz/services/teitok/pdtc10/index.php?action=vallex&amp;frame=v-w11021f2", "udit (v-w11021f2)")</f>
        <v>udit (v-w11021f2)</v>
      </c>
    </row>
    <row r="49513" spans="1:4" x14ac:dyDescent="0.2">
      <c r="B49513" t="s">
        <v>1</v>
      </c>
    </row>
    <row r="49514" spans="1:4" x14ac:dyDescent="0.2">
      <c r="B49514" t="s">
        <v>8</v>
      </c>
      <c r="C49514" t="s">
        <v>113</v>
      </c>
    </row>
    <row r="49516" spans="1:4" x14ac:dyDescent="0.2">
      <c r="A49516" t="s">
        <v>15749</v>
      </c>
      <c r="B49516" t="str">
        <f>HYPERLINK("https://lindat.mff.cuni.cz/services/teitok/pdtc10/index.php?action=vallex&amp;frame=v-w7030f1", "udivit (v-w7030f1)")</f>
        <v>udivit (v-w7030f1)</v>
      </c>
    </row>
    <row r="49517" spans="1:4" x14ac:dyDescent="0.2">
      <c r="B49517" t="s">
        <v>604</v>
      </c>
      <c r="D49517" t="s">
        <v>23416</v>
      </c>
    </row>
    <row r="49518" spans="1:4" x14ac:dyDescent="0.2">
      <c r="B49518" t="s">
        <v>8</v>
      </c>
      <c r="D49518" t="s">
        <v>23417</v>
      </c>
    </row>
    <row r="49520" spans="1:4" x14ac:dyDescent="0.2">
      <c r="A49520" t="s">
        <v>15750</v>
      </c>
      <c r="B49520" t="str">
        <f>HYPERLINK("https://lindat.mff.cuni.cz/services/teitok/pdtc10/index.php?action=vallex&amp;frame=v-w7031f1", "udivovat (v-w7031f1)")</f>
        <v>udivovat (v-w7031f1)</v>
      </c>
    </row>
    <row r="49521" spans="1:4" x14ac:dyDescent="0.2">
      <c r="B49521" t="s">
        <v>604</v>
      </c>
    </row>
    <row r="49522" spans="1:4" x14ac:dyDescent="0.2">
      <c r="B49522" t="s">
        <v>8</v>
      </c>
    </row>
    <row r="49524" spans="1:4" x14ac:dyDescent="0.2">
      <c r="A49524" t="s">
        <v>15751</v>
      </c>
      <c r="B49524" t="str">
        <f>HYPERLINK("https://lindat.mff.cuni.cz/services/teitok/pdtc10/index.php?action=vallex&amp;frame=v-w12207_ZUf1_ZU", "udobřit se (v-w12207_ZUf1_ZU)")</f>
        <v>udobřit se (v-w12207_ZUf1_ZU)</v>
      </c>
    </row>
    <row r="49525" spans="1:4" x14ac:dyDescent="0.2">
      <c r="B49525" t="s">
        <v>1</v>
      </c>
    </row>
    <row r="49526" spans="1:4" x14ac:dyDescent="0.2">
      <c r="B49526" t="s">
        <v>411</v>
      </c>
    </row>
    <row r="49528" spans="1:4" x14ac:dyDescent="0.2">
      <c r="A49528" t="s">
        <v>15752</v>
      </c>
      <c r="B49528" t="str">
        <f>HYPERLINK("https://lindat.mff.cuni.cz/services/teitok/pdtc10/index.php?action=vallex&amp;frame=v-whsa_661hsa_662", "udolat (v-whsa_661hsa_662)")</f>
        <v>udolat (v-whsa_661hsa_662)</v>
      </c>
    </row>
    <row r="49529" spans="1:4" x14ac:dyDescent="0.2">
      <c r="B49529" t="s">
        <v>1</v>
      </c>
      <c r="D49529" t="s">
        <v>24245</v>
      </c>
    </row>
    <row r="49530" spans="1:4" x14ac:dyDescent="0.2">
      <c r="B49530" t="s">
        <v>8</v>
      </c>
      <c r="C49530" t="s">
        <v>113</v>
      </c>
      <c r="D49530" t="s">
        <v>24246</v>
      </c>
    </row>
    <row r="49532" spans="1:4" x14ac:dyDescent="0.2">
      <c r="A49532" t="s">
        <v>15753</v>
      </c>
      <c r="B49532" t="str">
        <f>HYPERLINK("https://lindat.mff.cuni.cz/services/teitok/pdtc10/index.php?action=vallex&amp;frame=v-w7034f9_ZU", "udržet (v-w7034f9_ZU)")</f>
        <v>udržet (v-w7034f9_ZU)</v>
      </c>
    </row>
    <row r="49533" spans="1:4" x14ac:dyDescent="0.2">
      <c r="B49533" t="s">
        <v>1</v>
      </c>
      <c r="D49533" t="s">
        <v>2353</v>
      </c>
    </row>
    <row r="49534" spans="1:4" x14ac:dyDescent="0.2">
      <c r="B49534" t="s">
        <v>8</v>
      </c>
      <c r="D49534" t="s">
        <v>2354</v>
      </c>
    </row>
    <row r="49535" spans="1:4" x14ac:dyDescent="0.2">
      <c r="B49535" t="s">
        <v>5370</v>
      </c>
      <c r="D49535" t="s">
        <v>2356</v>
      </c>
    </row>
    <row r="49537" spans="1:4" x14ac:dyDescent="0.2">
      <c r="A49537" t="s">
        <v>15753</v>
      </c>
      <c r="B49537" t="str">
        <f>HYPERLINK("https://lindat.mff.cuni.cz/services/teitok/pdtc10/index.php?action=vallex&amp;frame=v-w7034f5", "udržet (v-w7034f5) - substituted with v-w7034f9_ZU")</f>
        <v>udržet (v-w7034f5) - substituted with v-w7034f9_ZU</v>
      </c>
    </row>
    <row r="49538" spans="1:4" x14ac:dyDescent="0.2">
      <c r="B49538" t="s">
        <v>1</v>
      </c>
      <c r="C49538" t="s">
        <v>2353</v>
      </c>
    </row>
    <row r="49539" spans="1:4" x14ac:dyDescent="0.2">
      <c r="B49539" t="s">
        <v>8</v>
      </c>
      <c r="C49539" t="s">
        <v>2354</v>
      </c>
    </row>
    <row r="49540" spans="1:4" x14ac:dyDescent="0.2">
      <c r="B49540" t="s">
        <v>5370</v>
      </c>
      <c r="C49540" t="s">
        <v>2356</v>
      </c>
    </row>
    <row r="49542" spans="1:4" x14ac:dyDescent="0.2">
      <c r="A49542" t="s">
        <v>15754</v>
      </c>
      <c r="B49542" t="str">
        <f>HYPERLINK("https://lindat.mff.cuni.cz/services/teitok/pdtc10/index.php?action=vallex&amp;frame=v-w7034f3", "udržet (v-w7034f3)")</f>
        <v>udržet (v-w7034f3)</v>
      </c>
    </row>
    <row r="49543" spans="1:4" x14ac:dyDescent="0.2">
      <c r="B49543" t="s">
        <v>1</v>
      </c>
      <c r="C49543" t="s">
        <v>15755</v>
      </c>
    </row>
    <row r="49544" spans="1:4" x14ac:dyDescent="0.2">
      <c r="B49544" t="s">
        <v>8</v>
      </c>
      <c r="C49544" t="s">
        <v>15756</v>
      </c>
    </row>
    <row r="49545" spans="1:4" x14ac:dyDescent="0.2">
      <c r="B49545" t="s">
        <v>5</v>
      </c>
      <c r="C49545" t="s">
        <v>15757</v>
      </c>
    </row>
    <row r="49547" spans="1:4" x14ac:dyDescent="0.2">
      <c r="A49547" t="s">
        <v>15758</v>
      </c>
      <c r="B49547" t="str">
        <f>HYPERLINK("https://lindat.mff.cuni.cz/services/teitok/pdtc10/index.php?action=vallex&amp;frame=v-w7034f1", "udržet (v-w7034f1)")</f>
        <v>udržet (v-w7034f1)</v>
      </c>
    </row>
    <row r="49548" spans="1:4" x14ac:dyDescent="0.2">
      <c r="B49548" t="s">
        <v>1</v>
      </c>
      <c r="C49548" t="s">
        <v>15759</v>
      </c>
      <c r="D49548" t="s">
        <v>23813</v>
      </c>
    </row>
    <row r="49549" spans="1:4" x14ac:dyDescent="0.2">
      <c r="B49549" t="s">
        <v>8</v>
      </c>
      <c r="C49549" t="s">
        <v>15760</v>
      </c>
      <c r="D49549" t="s">
        <v>23814</v>
      </c>
    </row>
    <row r="49551" spans="1:4" x14ac:dyDescent="0.2">
      <c r="A49551" t="s">
        <v>15761</v>
      </c>
      <c r="B49551" t="str">
        <f>HYPERLINK("https://lindat.mff.cuni.cz/services/teitok/pdtc10/index.php?action=vallex&amp;frame=v-w7034f2", "udržet (v-w7034f2)")</f>
        <v>udržet (v-w7034f2)</v>
      </c>
    </row>
    <row r="49552" spans="1:4" x14ac:dyDescent="0.2">
      <c r="B49552" t="s">
        <v>1</v>
      </c>
      <c r="D49552" t="s">
        <v>23238</v>
      </c>
    </row>
    <row r="49553" spans="1:4" x14ac:dyDescent="0.2">
      <c r="B49553" t="s">
        <v>8</v>
      </c>
      <c r="D49553" t="s">
        <v>23239</v>
      </c>
    </row>
    <row r="49555" spans="1:4" x14ac:dyDescent="0.2">
      <c r="A49555" t="s">
        <v>15762</v>
      </c>
      <c r="B49555" t="str">
        <f>HYPERLINK("https://lindat.mff.cuni.cz/services/teitok/pdtc10/index.php?action=vallex&amp;frame=v-w7034f4", "udržet (v-w7034f4)")</f>
        <v>udržet (v-w7034f4)</v>
      </c>
    </row>
    <row r="49556" spans="1:4" x14ac:dyDescent="0.2">
      <c r="B49556" t="s">
        <v>1</v>
      </c>
      <c r="C49556" t="s">
        <v>4985</v>
      </c>
      <c r="D49556" t="s">
        <v>2353</v>
      </c>
    </row>
    <row r="49557" spans="1:4" x14ac:dyDescent="0.2">
      <c r="B49557" t="s">
        <v>8</v>
      </c>
      <c r="C49557" t="s">
        <v>15763</v>
      </c>
      <c r="D49557" t="s">
        <v>2354</v>
      </c>
    </row>
    <row r="49558" spans="1:4" x14ac:dyDescent="0.2">
      <c r="B49558" t="s">
        <v>4836</v>
      </c>
      <c r="C49558" t="s">
        <v>15764</v>
      </c>
      <c r="D49558" t="s">
        <v>23237</v>
      </c>
    </row>
    <row r="49559" spans="1:4" x14ac:dyDescent="0.2">
      <c r="B49559" t="s">
        <v>6479</v>
      </c>
      <c r="C49559" t="s">
        <v>15765</v>
      </c>
      <c r="D49559" t="s">
        <v>24247</v>
      </c>
    </row>
    <row r="49561" spans="1:4" x14ac:dyDescent="0.2">
      <c r="A49561" t="s">
        <v>15766</v>
      </c>
      <c r="B49561" t="str">
        <f>HYPERLINK("https://lindat.mff.cuni.cz/services/teitok/pdtc10/index.php?action=vallex&amp;frame=v-w7034f6_ZU", "udržet (v-w7034f6_ZU)")</f>
        <v>udržet (v-w7034f6_ZU)</v>
      </c>
    </row>
    <row r="49562" spans="1:4" x14ac:dyDescent="0.2">
      <c r="B49562" t="s">
        <v>1</v>
      </c>
      <c r="C49562" t="s">
        <v>2303</v>
      </c>
      <c r="D49562" t="s">
        <v>2303</v>
      </c>
    </row>
    <row r="49563" spans="1:4" x14ac:dyDescent="0.2">
      <c r="B49563" t="s">
        <v>2388</v>
      </c>
      <c r="C49563" t="s">
        <v>15767</v>
      </c>
    </row>
    <row r="49564" spans="1:4" x14ac:dyDescent="0.2">
      <c r="B49564" t="s">
        <v>411</v>
      </c>
      <c r="C49564" t="s">
        <v>1025</v>
      </c>
      <c r="D49564" t="s">
        <v>2390</v>
      </c>
    </row>
    <row r="49566" spans="1:4" x14ac:dyDescent="0.2">
      <c r="A49566" t="s">
        <v>15766</v>
      </c>
      <c r="B49566" t="str">
        <f>HYPERLINK("https://lindat.mff.cuni.cz/services/teitok/pdtc10/index.php?action=vallex&amp;frame=v-w7034hsa_207", "udržet (v-w7034hsa_207) - substituted with v-w7034f6_ZU")</f>
        <v>udržet (v-w7034hsa_207) - substituted with v-w7034f6_ZU</v>
      </c>
    </row>
    <row r="49567" spans="1:4" x14ac:dyDescent="0.2">
      <c r="B49567" t="s">
        <v>1</v>
      </c>
    </row>
    <row r="49568" spans="1:4" x14ac:dyDescent="0.2">
      <c r="B49568" t="s">
        <v>2388</v>
      </c>
    </row>
    <row r="49569" spans="1:4" x14ac:dyDescent="0.2">
      <c r="B49569" t="s">
        <v>411</v>
      </c>
    </row>
    <row r="49571" spans="1:4" x14ac:dyDescent="0.2">
      <c r="A49571" t="s">
        <v>15768</v>
      </c>
      <c r="B49571" t="str">
        <f>HYPERLINK("https://lindat.mff.cuni.cz/services/teitok/pdtc10/index.php?action=vallex&amp;frame=v-w7034f7_ZU", "udržet (v-w7034f7_ZU)")</f>
        <v>udržet (v-w7034f7_ZU)</v>
      </c>
    </row>
    <row r="49572" spans="1:4" x14ac:dyDescent="0.2">
      <c r="B49572" t="s">
        <v>1</v>
      </c>
      <c r="C49572" t="s">
        <v>2409</v>
      </c>
    </row>
    <row r="49573" spans="1:4" x14ac:dyDescent="0.2">
      <c r="B49573" t="s">
        <v>2394</v>
      </c>
      <c r="C49573" t="s">
        <v>2411</v>
      </c>
    </row>
    <row r="49574" spans="1:4" x14ac:dyDescent="0.2">
      <c r="B49574" t="s">
        <v>8</v>
      </c>
      <c r="C49574" t="s">
        <v>2412</v>
      </c>
    </row>
    <row r="49576" spans="1:4" x14ac:dyDescent="0.2">
      <c r="A49576" t="s">
        <v>15768</v>
      </c>
      <c r="B49576" t="str">
        <f>HYPERLINK("https://lindat.mff.cuni.cz/services/teitok/pdtc10/index.php?action=vallex&amp;frame=v-w7034hsa_208", "udržet (v-w7034hsa_208) - substituted with v-w7034f7_ZU")</f>
        <v>udržet (v-w7034hsa_208) - substituted with v-w7034f7_ZU</v>
      </c>
    </row>
    <row r="49577" spans="1:4" x14ac:dyDescent="0.2">
      <c r="B49577" t="s">
        <v>1</v>
      </c>
    </row>
    <row r="49578" spans="1:4" x14ac:dyDescent="0.2">
      <c r="B49578" t="s">
        <v>2394</v>
      </c>
    </row>
    <row r="49579" spans="1:4" x14ac:dyDescent="0.2">
      <c r="B49579" t="s">
        <v>8</v>
      </c>
    </row>
    <row r="49581" spans="1:4" x14ac:dyDescent="0.2">
      <c r="A49581" t="s">
        <v>15769</v>
      </c>
      <c r="B49581" t="str">
        <f>HYPERLINK("https://lindat.mff.cuni.cz/services/teitok/pdtc10/index.php?action=vallex&amp;frame=v-w7034f8_ZU", "udržet (v-w7034f8_ZU)")</f>
        <v>udržet (v-w7034f8_ZU)</v>
      </c>
    </row>
    <row r="49582" spans="1:4" x14ac:dyDescent="0.2">
      <c r="B49582" t="s">
        <v>1</v>
      </c>
      <c r="C49582" t="s">
        <v>2239</v>
      </c>
      <c r="D49582" t="s">
        <v>2303</v>
      </c>
    </row>
    <row r="49583" spans="1:4" x14ac:dyDescent="0.2">
      <c r="B49583" t="s">
        <v>15770</v>
      </c>
      <c r="C49583" t="s">
        <v>15767</v>
      </c>
    </row>
    <row r="49584" spans="1:4" x14ac:dyDescent="0.2">
      <c r="B49584" t="s">
        <v>411</v>
      </c>
      <c r="C49584" t="s">
        <v>15771</v>
      </c>
      <c r="D49584" t="s">
        <v>2390</v>
      </c>
    </row>
    <row r="49586" spans="1:4" x14ac:dyDescent="0.2">
      <c r="A49586" t="s">
        <v>15769</v>
      </c>
      <c r="B49586" t="str">
        <f>HYPERLINK("https://lindat.mff.cuni.cz/services/teitok/pdtc10/index.php?action=vallex&amp;frame=v-w7034hsa_209", "udržet (v-w7034hsa_209) - substituted with v-w7034f8_ZU")</f>
        <v>udržet (v-w7034hsa_209) - substituted with v-w7034f8_ZU</v>
      </c>
    </row>
    <row r="49587" spans="1:4" x14ac:dyDescent="0.2">
      <c r="B49587" t="s">
        <v>1</v>
      </c>
    </row>
    <row r="49588" spans="1:4" x14ac:dyDescent="0.2">
      <c r="B49588" t="s">
        <v>15770</v>
      </c>
    </row>
    <row r="49589" spans="1:4" x14ac:dyDescent="0.2">
      <c r="B49589" t="s">
        <v>411</v>
      </c>
    </row>
    <row r="49591" spans="1:4" x14ac:dyDescent="0.2">
      <c r="A49591" t="s">
        <v>15772</v>
      </c>
      <c r="B49591" t="str">
        <f>HYPERLINK("https://lindat.mff.cuni.cz/services/teitok/pdtc10/index.php?action=vallex&amp;frame=v-w7035f1", "udržet se (v-w7035f1)")</f>
        <v>udržet se (v-w7035f1)</v>
      </c>
    </row>
    <row r="49592" spans="1:4" x14ac:dyDescent="0.2">
      <c r="B49592" t="s">
        <v>1</v>
      </c>
      <c r="C49592" t="s">
        <v>9112</v>
      </c>
      <c r="D49592" t="s">
        <v>23245</v>
      </c>
    </row>
    <row r="49593" spans="1:4" x14ac:dyDescent="0.2">
      <c r="B49593" t="s">
        <v>5</v>
      </c>
      <c r="C49593" t="s">
        <v>15773</v>
      </c>
      <c r="D49593" t="s">
        <v>23246</v>
      </c>
    </row>
    <row r="49595" spans="1:4" x14ac:dyDescent="0.2">
      <c r="A49595" t="s">
        <v>15774</v>
      </c>
      <c r="B49595" t="str">
        <f>HYPERLINK("https://lindat.mff.cuni.cz/services/teitok/pdtc10/index.php?action=vallex&amp;frame=v-w7035f2", "udržet se (v-w7035f2)")</f>
        <v>udržet se (v-w7035f2)</v>
      </c>
    </row>
    <row r="49596" spans="1:4" x14ac:dyDescent="0.2">
      <c r="B49596" t="s">
        <v>1</v>
      </c>
      <c r="C49596" t="s">
        <v>9542</v>
      </c>
      <c r="D49596" t="s">
        <v>23245</v>
      </c>
    </row>
    <row r="49598" spans="1:4" x14ac:dyDescent="0.2">
      <c r="A49598" t="s">
        <v>15775</v>
      </c>
      <c r="B49598" t="str">
        <f>HYPERLINK("https://lindat.mff.cuni.cz/services/teitok/pdtc10/index.php?action=vallex&amp;frame=v-w7035f3_ZU", "udržet se (v-w7035f3_ZU)")</f>
        <v>udržet se (v-w7035f3_ZU)</v>
      </c>
    </row>
    <row r="49599" spans="1:4" x14ac:dyDescent="0.2">
      <c r="B49599" t="s">
        <v>1</v>
      </c>
      <c r="C49599" t="s">
        <v>2458</v>
      </c>
      <c r="D49599" t="s">
        <v>23039</v>
      </c>
    </row>
    <row r="49600" spans="1:4" x14ac:dyDescent="0.2">
      <c r="B49600" t="s">
        <v>2454</v>
      </c>
      <c r="C49600" t="s">
        <v>2459</v>
      </c>
      <c r="D49600" t="s">
        <v>24248</v>
      </c>
    </row>
    <row r="49602" spans="1:4" x14ac:dyDescent="0.2">
      <c r="A49602" t="s">
        <v>15775</v>
      </c>
      <c r="B49602" t="str">
        <f>HYPERLINK("https://lindat.mff.cuni.cz/services/teitok/pdtc10/index.php?action=vallex&amp;frame=v-w7035hsa_1277", "udržet se (v-w7035hsa_1277) - substituted with v-w7035f3_ZU")</f>
        <v>udržet se (v-w7035hsa_1277) - substituted with v-w7035f3_ZU</v>
      </c>
    </row>
    <row r="49603" spans="1:4" x14ac:dyDescent="0.2">
      <c r="B49603" t="s">
        <v>1</v>
      </c>
    </row>
    <row r="49604" spans="1:4" x14ac:dyDescent="0.2">
      <c r="B49604" t="s">
        <v>2454</v>
      </c>
    </row>
    <row r="49606" spans="1:4" x14ac:dyDescent="0.2">
      <c r="A49606" t="s">
        <v>15776</v>
      </c>
      <c r="B49606" t="str">
        <f>HYPERLINK("https://lindat.mff.cuni.cz/services/teitok/pdtc10/index.php?action=vallex&amp;frame=v-w7036f1", "udržet si (v-w7036f1)")</f>
        <v>udržet si (v-w7036f1)</v>
      </c>
    </row>
    <row r="49607" spans="1:4" x14ac:dyDescent="0.2">
      <c r="B49607" t="s">
        <v>1</v>
      </c>
      <c r="C49607" t="s">
        <v>15777</v>
      </c>
      <c r="D49607" t="s">
        <v>23241</v>
      </c>
    </row>
    <row r="49608" spans="1:4" x14ac:dyDescent="0.2">
      <c r="B49608" t="s">
        <v>8</v>
      </c>
      <c r="C49608" t="s">
        <v>15778</v>
      </c>
      <c r="D49608" t="s">
        <v>23242</v>
      </c>
    </row>
    <row r="49610" spans="1:4" x14ac:dyDescent="0.2">
      <c r="A49610" t="s">
        <v>15779</v>
      </c>
      <c r="B49610" t="str">
        <f>HYPERLINK("https://lindat.mff.cuni.cz/services/teitok/pdtc10/index.php?action=vallex&amp;frame=v-w7039f2", "udržovat (v-w7039f2)")</f>
        <v>udržovat (v-w7039f2)</v>
      </c>
    </row>
    <row r="49611" spans="1:4" x14ac:dyDescent="0.2">
      <c r="B49611" t="s">
        <v>1</v>
      </c>
      <c r="C49611" t="s">
        <v>7592</v>
      </c>
      <c r="D49611" t="s">
        <v>2353</v>
      </c>
    </row>
    <row r="49612" spans="1:4" x14ac:dyDescent="0.2">
      <c r="B49612" t="s">
        <v>8</v>
      </c>
      <c r="C49612" t="s">
        <v>9397</v>
      </c>
      <c r="D49612" t="s">
        <v>2354</v>
      </c>
    </row>
    <row r="49613" spans="1:4" x14ac:dyDescent="0.2">
      <c r="B49613" t="s">
        <v>15780</v>
      </c>
      <c r="D49613" t="s">
        <v>2356</v>
      </c>
    </row>
    <row r="49615" spans="1:4" x14ac:dyDescent="0.2">
      <c r="A49615" t="s">
        <v>15781</v>
      </c>
      <c r="B49615" t="str">
        <f>HYPERLINK("https://lindat.mff.cuni.cz/services/teitok/pdtc10/index.php?action=vallex&amp;frame=v-w7039f3", "udržovat (v-w7039f3)")</f>
        <v>udržovat (v-w7039f3)</v>
      </c>
    </row>
    <row r="49616" spans="1:4" x14ac:dyDescent="0.2">
      <c r="B49616" t="s">
        <v>1</v>
      </c>
      <c r="C49616" t="s">
        <v>8991</v>
      </c>
      <c r="D49616" t="s">
        <v>2353</v>
      </c>
    </row>
    <row r="49617" spans="1:4" x14ac:dyDescent="0.2">
      <c r="B49617" t="s">
        <v>8</v>
      </c>
      <c r="C49617" t="s">
        <v>15782</v>
      </c>
      <c r="D49617" t="s">
        <v>2354</v>
      </c>
    </row>
    <row r="49618" spans="1:4" x14ac:dyDescent="0.2">
      <c r="B49618" t="s">
        <v>2360</v>
      </c>
      <c r="C49618" t="s">
        <v>15783</v>
      </c>
      <c r="D49618" t="s">
        <v>23237</v>
      </c>
    </row>
    <row r="49620" spans="1:4" x14ac:dyDescent="0.2">
      <c r="A49620" t="s">
        <v>15784</v>
      </c>
      <c r="B49620" t="str">
        <f>HYPERLINK("https://lindat.mff.cuni.cz/services/teitok/pdtc10/index.php?action=vallex&amp;frame=v-w7039f1", "udržovat (v-w7039f1)")</f>
        <v>udržovat (v-w7039f1)</v>
      </c>
    </row>
    <row r="49621" spans="1:4" x14ac:dyDescent="0.2">
      <c r="B49621" t="s">
        <v>1</v>
      </c>
      <c r="C49621" t="s">
        <v>15785</v>
      </c>
      <c r="D49621" t="s">
        <v>23813</v>
      </c>
    </row>
    <row r="49622" spans="1:4" x14ac:dyDescent="0.2">
      <c r="B49622" t="s">
        <v>8</v>
      </c>
      <c r="C49622" t="s">
        <v>15786</v>
      </c>
      <c r="D49622" t="s">
        <v>23814</v>
      </c>
    </row>
    <row r="49624" spans="1:4" x14ac:dyDescent="0.2">
      <c r="A49624" t="s">
        <v>15787</v>
      </c>
      <c r="B49624" t="str">
        <f>HYPERLINK("https://lindat.mff.cuni.cz/services/teitok/pdtc10/index.php?action=vallex&amp;frame=v-w7039f4_ZU", "udržovat (v-w7039f4_ZU)")</f>
        <v>udržovat (v-w7039f4_ZU)</v>
      </c>
    </row>
    <row r="49625" spans="1:4" x14ac:dyDescent="0.2">
      <c r="B49625" t="s">
        <v>1</v>
      </c>
      <c r="C49625" t="s">
        <v>2353</v>
      </c>
      <c r="D49625" t="s">
        <v>2353</v>
      </c>
    </row>
    <row r="49626" spans="1:4" x14ac:dyDescent="0.2">
      <c r="B49626" t="s">
        <v>2385</v>
      </c>
      <c r="C49626" t="s">
        <v>2455</v>
      </c>
      <c r="D49626" t="s">
        <v>2455</v>
      </c>
    </row>
    <row r="49627" spans="1:4" x14ac:dyDescent="0.2">
      <c r="B49627" t="s">
        <v>8</v>
      </c>
      <c r="C49627" t="s">
        <v>2354</v>
      </c>
      <c r="D49627" t="s">
        <v>2354</v>
      </c>
    </row>
    <row r="49629" spans="1:4" x14ac:dyDescent="0.2">
      <c r="A49629" t="s">
        <v>15788</v>
      </c>
      <c r="B49629" t="str">
        <f>HYPERLINK("https://lindat.mff.cuni.cz/services/teitok/pdtc10/index.php?action=vallex&amp;frame=v-w7039hsa_1048", "udržovat (v-w7039hsa_1048)")</f>
        <v>udržovat (v-w7039hsa_1048)</v>
      </c>
    </row>
    <row r="49630" spans="1:4" x14ac:dyDescent="0.2">
      <c r="B49630" t="s">
        <v>1</v>
      </c>
      <c r="C49630" t="s">
        <v>33</v>
      </c>
      <c r="D49630" t="s">
        <v>133</v>
      </c>
    </row>
    <row r="49631" spans="1:4" x14ac:dyDescent="0.2">
      <c r="B49631" t="s">
        <v>8</v>
      </c>
      <c r="C49631" t="s">
        <v>1128</v>
      </c>
      <c r="D49631" t="s">
        <v>1044</v>
      </c>
    </row>
    <row r="49632" spans="1:4" x14ac:dyDescent="0.2">
      <c r="B49632" t="s">
        <v>5</v>
      </c>
    </row>
    <row r="49634" spans="1:4" x14ac:dyDescent="0.2">
      <c r="A49634" t="s">
        <v>15789</v>
      </c>
      <c r="B49634" t="str">
        <f>HYPERLINK("https://lindat.mff.cuni.cz/services/teitok/pdtc10/index.php?action=vallex&amp;frame=v-w7039f5_ZU", "udržovat (v-w7039f5_ZU)")</f>
        <v>udržovat (v-w7039f5_ZU)</v>
      </c>
    </row>
    <row r="49635" spans="1:4" x14ac:dyDescent="0.2">
      <c r="B49635" t="s">
        <v>1</v>
      </c>
    </row>
    <row r="49636" spans="1:4" x14ac:dyDescent="0.2">
      <c r="B49636" t="s">
        <v>15790</v>
      </c>
    </row>
    <row r="49638" spans="1:4" x14ac:dyDescent="0.2">
      <c r="A49638" t="s">
        <v>15791</v>
      </c>
      <c r="B49638" t="str">
        <f>HYPERLINK("https://lindat.mff.cuni.cz/services/teitok/pdtc10/index.php?action=vallex&amp;frame=v-w7039hsa_1901", "udržovat (v-w7039hsa_1901)")</f>
        <v>udržovat (v-w7039hsa_1901)</v>
      </c>
    </row>
    <row r="49639" spans="1:4" x14ac:dyDescent="0.2">
      <c r="B49639" t="s">
        <v>1</v>
      </c>
    </row>
    <row r="49640" spans="1:4" x14ac:dyDescent="0.2">
      <c r="B49640" t="s">
        <v>8</v>
      </c>
    </row>
    <row r="49641" spans="1:4" x14ac:dyDescent="0.2">
      <c r="B49641" t="s">
        <v>5</v>
      </c>
    </row>
    <row r="49643" spans="1:4" x14ac:dyDescent="0.2">
      <c r="A49643" t="s">
        <v>15792</v>
      </c>
      <c r="B49643" t="str">
        <f>HYPERLINK("https://lindat.mff.cuni.cz/services/teitok/pdtc10/index.php?action=vallex&amp;frame=v-w11607_ZUf1_ZU", "udržovat se (v-w11607_ZUf1_ZU)")</f>
        <v>udržovat se (v-w11607_ZUf1_ZU)</v>
      </c>
    </row>
    <row r="49644" spans="1:4" x14ac:dyDescent="0.2">
      <c r="B49644" t="s">
        <v>1</v>
      </c>
      <c r="C49644" t="s">
        <v>15793</v>
      </c>
      <c r="D49644" t="s">
        <v>23243</v>
      </c>
    </row>
    <row r="49645" spans="1:4" x14ac:dyDescent="0.2">
      <c r="B49645" t="s">
        <v>889</v>
      </c>
      <c r="C49645" t="s">
        <v>15794</v>
      </c>
      <c r="D49645" t="s">
        <v>23244</v>
      </c>
    </row>
    <row r="49647" spans="1:4" x14ac:dyDescent="0.2">
      <c r="A49647" t="s">
        <v>15795</v>
      </c>
      <c r="B49647" t="str">
        <f>HYPERLINK("https://lindat.mff.cuni.cz/services/teitok/pdtc10/index.php?action=vallex&amp;frame=v-w11430f1", "udusit (v-w11430f1)")</f>
        <v>udusit (v-w11430f1)</v>
      </c>
    </row>
    <row r="49648" spans="1:4" x14ac:dyDescent="0.2">
      <c r="B49648" t="s">
        <v>1</v>
      </c>
    </row>
    <row r="49649" spans="1:4" x14ac:dyDescent="0.2">
      <c r="B49649" t="s">
        <v>8</v>
      </c>
    </row>
    <row r="49651" spans="1:4" x14ac:dyDescent="0.2">
      <c r="A49651" t="s">
        <v>15796</v>
      </c>
      <c r="B49651" t="str">
        <f>HYPERLINK("https://lindat.mff.cuni.cz/services/teitok/pdtc10/index.php?action=vallex&amp;frame=v-w11430f2_ZU", "udusit (v-w11430f2_ZU)")</f>
        <v>udusit (v-w11430f2_ZU)</v>
      </c>
    </row>
    <row r="49652" spans="1:4" x14ac:dyDescent="0.2">
      <c r="B49652" t="s">
        <v>1</v>
      </c>
    </row>
    <row r="49653" spans="1:4" x14ac:dyDescent="0.2">
      <c r="B49653" t="s">
        <v>8</v>
      </c>
    </row>
    <row r="49655" spans="1:4" x14ac:dyDescent="0.2">
      <c r="A49655" t="s">
        <v>15797</v>
      </c>
      <c r="B49655" t="str">
        <f>HYPERLINK("https://lindat.mff.cuni.cz/services/teitok/pdtc10/index.php?action=vallex&amp;frame=v-w7040f1", "udusit se (v-w7040f1)")</f>
        <v>udusit se (v-w7040f1)</v>
      </c>
    </row>
    <row r="49656" spans="1:4" x14ac:dyDescent="0.2">
      <c r="B49656" t="s">
        <v>1</v>
      </c>
    </row>
    <row r="49658" spans="1:4" x14ac:dyDescent="0.2">
      <c r="A49658" t="s">
        <v>15798</v>
      </c>
      <c r="B49658" t="str">
        <f>HYPERLINK("https://lindat.mff.cuni.cz/services/teitok/pdtc10/index.php?action=vallex&amp;frame=v-w7014f1", "udát se (v-w7014f1)")</f>
        <v>udát se (v-w7014f1)</v>
      </c>
    </row>
    <row r="49659" spans="1:4" x14ac:dyDescent="0.2">
      <c r="B49659" t="s">
        <v>15799</v>
      </c>
      <c r="C49659" t="s">
        <v>15800</v>
      </c>
    </row>
    <row r="49660" spans="1:4" x14ac:dyDescent="0.2">
      <c r="B49660" t="s">
        <v>86</v>
      </c>
    </row>
    <row r="49662" spans="1:4" x14ac:dyDescent="0.2">
      <c r="A49662" t="s">
        <v>15801</v>
      </c>
      <c r="B49662" t="str">
        <f>HYPERLINK("https://lindat.mff.cuni.cz/services/teitok/pdtc10/index.php?action=vallex&amp;frame=v-w7014f2", "udát se (v-w7014f2)")</f>
        <v>udát se (v-w7014f2)</v>
      </c>
    </row>
    <row r="49663" spans="1:4" x14ac:dyDescent="0.2">
      <c r="B49663" t="s">
        <v>2871</v>
      </c>
      <c r="C49663" t="s">
        <v>12275</v>
      </c>
      <c r="D49663" t="s">
        <v>22988</v>
      </c>
    </row>
    <row r="49665" spans="1:4" x14ac:dyDescent="0.2">
      <c r="A49665" t="s">
        <v>15802</v>
      </c>
      <c r="B49665" t="str">
        <f>HYPERLINK("https://lindat.mff.cuni.cz/services/teitok/pdtc10/index.php?action=vallex&amp;frame=v-w7016f7_ZU", "udávat (v-w7016f7_ZU)")</f>
        <v>udávat (v-w7016f7_ZU)</v>
      </c>
    </row>
    <row r="49666" spans="1:4" x14ac:dyDescent="0.2">
      <c r="B49666" t="s">
        <v>1</v>
      </c>
      <c r="D49666" t="s">
        <v>294</v>
      </c>
    </row>
    <row r="49667" spans="1:4" x14ac:dyDescent="0.2">
      <c r="B49667" t="s">
        <v>2158</v>
      </c>
      <c r="D49667" t="s">
        <v>5666</v>
      </c>
    </row>
    <row r="49668" spans="1:4" x14ac:dyDescent="0.2">
      <c r="B49668" t="s">
        <v>78</v>
      </c>
    </row>
    <row r="49670" spans="1:4" x14ac:dyDescent="0.2">
      <c r="A49670" t="s">
        <v>15802</v>
      </c>
      <c r="B49670" t="str">
        <f>HYPERLINK("https://lindat.mff.cuni.cz/services/teitok/pdtc10/index.php?action=vallex&amp;frame=v-w7016f1", "udávat (v-w7016f1) - substituted with v-w7016f7_ZU")</f>
        <v>udávat (v-w7016f1) - substituted with v-w7016f7_ZU</v>
      </c>
    </row>
    <row r="49671" spans="1:4" x14ac:dyDescent="0.2">
      <c r="B49671" t="s">
        <v>1</v>
      </c>
      <c r="C49671" t="s">
        <v>15803</v>
      </c>
    </row>
    <row r="49672" spans="1:4" x14ac:dyDescent="0.2">
      <c r="B49672" t="s">
        <v>2158</v>
      </c>
      <c r="C49672" t="s">
        <v>15804</v>
      </c>
    </row>
    <row r="49673" spans="1:4" x14ac:dyDescent="0.2">
      <c r="B49673" t="s">
        <v>78</v>
      </c>
      <c r="C49673" t="s">
        <v>15805</v>
      </c>
    </row>
    <row r="49675" spans="1:4" x14ac:dyDescent="0.2">
      <c r="A49675" t="s">
        <v>15806</v>
      </c>
      <c r="B49675" t="str">
        <f>HYPERLINK("https://lindat.mff.cuni.cz/services/teitok/pdtc10/index.php?action=vallex&amp;frame=v-w7016f8_ZU", "udávat (v-w7016f8_ZU)")</f>
        <v>udávat (v-w7016f8_ZU)</v>
      </c>
    </row>
    <row r="49676" spans="1:4" x14ac:dyDescent="0.2">
      <c r="B49676" t="s">
        <v>1</v>
      </c>
    </row>
    <row r="49677" spans="1:4" x14ac:dyDescent="0.2">
      <c r="B49677" t="s">
        <v>8</v>
      </c>
    </row>
    <row r="49678" spans="1:4" x14ac:dyDescent="0.2">
      <c r="B49678" t="s">
        <v>78</v>
      </c>
    </row>
    <row r="49680" spans="1:4" x14ac:dyDescent="0.2">
      <c r="A49680" t="s">
        <v>15806</v>
      </c>
      <c r="B49680" t="str">
        <f>HYPERLINK("https://lindat.mff.cuni.cz/services/teitok/pdtc10/index.php?action=vallex&amp;frame=v-w7016f3_ZU", "udávat (v-w7016f3_ZU) - substituted with v-w7016f8_ZU")</f>
        <v>udávat (v-w7016f3_ZU) - substituted with v-w7016f8_ZU</v>
      </c>
    </row>
    <row r="49681" spans="1:3" x14ac:dyDescent="0.2">
      <c r="B49681" t="s">
        <v>1</v>
      </c>
    </row>
    <row r="49682" spans="1:3" x14ac:dyDescent="0.2">
      <c r="B49682" t="s">
        <v>8</v>
      </c>
    </row>
    <row r="49683" spans="1:3" x14ac:dyDescent="0.2">
      <c r="B49683" t="s">
        <v>78</v>
      </c>
    </row>
    <row r="49685" spans="1:3" x14ac:dyDescent="0.2">
      <c r="A49685" t="s">
        <v>15806</v>
      </c>
      <c r="B49685" t="str">
        <f>HYPERLINK("https://lindat.mff.cuni.cz/services/teitok/pdtc10/index.php?action=vallex&amp;frame=v-w7016f5_ZU", "udávat (v-w7016f5_ZU) - substituted with v-w7016f8_ZU")</f>
        <v>udávat (v-w7016f5_ZU) - substituted with v-w7016f8_ZU</v>
      </c>
    </row>
    <row r="49686" spans="1:3" x14ac:dyDescent="0.2">
      <c r="B49686" t="s">
        <v>1</v>
      </c>
      <c r="C49686" t="s">
        <v>15807</v>
      </c>
    </row>
    <row r="49687" spans="1:3" x14ac:dyDescent="0.2">
      <c r="B49687" t="s">
        <v>8</v>
      </c>
      <c r="C49687" t="s">
        <v>15808</v>
      </c>
    </row>
    <row r="49688" spans="1:3" x14ac:dyDescent="0.2">
      <c r="B49688" t="s">
        <v>78</v>
      </c>
      <c r="C49688" t="s">
        <v>9549</v>
      </c>
    </row>
    <row r="49690" spans="1:3" x14ac:dyDescent="0.2">
      <c r="A49690" t="s">
        <v>15809</v>
      </c>
      <c r="B49690" t="str">
        <f>HYPERLINK("https://lindat.mff.cuni.cz/services/teitok/pdtc10/index.php?action=vallex&amp;frame=v-w7016f4_ZU", "udávat (v-w7016f4_ZU)")</f>
        <v>udávat (v-w7016f4_ZU)</v>
      </c>
    </row>
    <row r="49691" spans="1:3" x14ac:dyDescent="0.2">
      <c r="B49691" t="s">
        <v>1</v>
      </c>
    </row>
    <row r="49692" spans="1:3" x14ac:dyDescent="0.2">
      <c r="B49692" t="s">
        <v>15737</v>
      </c>
    </row>
    <row r="49693" spans="1:3" x14ac:dyDescent="0.2">
      <c r="B49693" t="s">
        <v>86</v>
      </c>
    </row>
    <row r="49695" spans="1:3" x14ac:dyDescent="0.2">
      <c r="A49695" t="s">
        <v>15809</v>
      </c>
      <c r="B49695" t="str">
        <f>HYPERLINK("https://lindat.mff.cuni.cz/services/teitok/pdtc10/index.php?action=vallex&amp;frame=v-w7016f2_ZU", "udávat (v-w7016f2_ZU) - substituted with v-w7016f4_ZU")</f>
        <v>udávat (v-w7016f2_ZU) - substituted with v-w7016f4_ZU</v>
      </c>
    </row>
    <row r="49696" spans="1:3" x14ac:dyDescent="0.2">
      <c r="B49696" t="s">
        <v>1</v>
      </c>
      <c r="C49696" t="s">
        <v>249</v>
      </c>
    </row>
    <row r="49697" spans="1:3" x14ac:dyDescent="0.2">
      <c r="B49697" t="s">
        <v>15737</v>
      </c>
      <c r="C49697" t="s">
        <v>3334</v>
      </c>
    </row>
    <row r="49698" spans="1:3" x14ac:dyDescent="0.2">
      <c r="B49698" t="s">
        <v>86</v>
      </c>
    </row>
    <row r="49700" spans="1:3" x14ac:dyDescent="0.2">
      <c r="A49700" t="s">
        <v>15810</v>
      </c>
      <c r="B49700" t="str">
        <f>HYPERLINK("https://lindat.mff.cuni.cz/services/teitok/pdtc10/index.php?action=vallex&amp;frame=v-w7016f6_ZU", "udávat (v-w7016f6_ZU)")</f>
        <v>udávat (v-w7016f6_ZU)</v>
      </c>
    </row>
    <row r="49701" spans="1:3" x14ac:dyDescent="0.2">
      <c r="B49701" t="s">
        <v>1</v>
      </c>
    </row>
    <row r="49702" spans="1:3" x14ac:dyDescent="0.2">
      <c r="B49702" t="s">
        <v>8</v>
      </c>
    </row>
    <row r="49703" spans="1:3" x14ac:dyDescent="0.2">
      <c r="B49703" t="s">
        <v>35</v>
      </c>
    </row>
    <row r="49705" spans="1:3" x14ac:dyDescent="0.2">
      <c r="A49705" t="s">
        <v>15810</v>
      </c>
      <c r="B49705" t="str">
        <f>HYPERLINK("https://lindat.mff.cuni.cz/services/teitok/pdtc10/index.php?action=vallex&amp;frame=v-w7016hsa_794", "udávat (v-w7016hsa_794) - substituted with v-w7016f6_ZU")</f>
        <v>udávat (v-w7016hsa_794) - substituted with v-w7016f6_ZU</v>
      </c>
    </row>
    <row r="49706" spans="1:3" x14ac:dyDescent="0.2">
      <c r="B49706" t="s">
        <v>1</v>
      </c>
    </row>
    <row r="49707" spans="1:3" x14ac:dyDescent="0.2">
      <c r="B49707" t="s">
        <v>8</v>
      </c>
    </row>
    <row r="49708" spans="1:3" x14ac:dyDescent="0.2">
      <c r="B49708" t="s">
        <v>35</v>
      </c>
    </row>
    <row r="49710" spans="1:3" x14ac:dyDescent="0.2">
      <c r="A49710" t="s">
        <v>15811</v>
      </c>
      <c r="B49710" t="str">
        <f>HYPERLINK("https://lindat.mff.cuni.cz/services/teitok/pdtc10/index.php?action=vallex&amp;frame=v-w7016f9_ZU", "udávat (v-w7016f9_ZU)")</f>
        <v>udávat (v-w7016f9_ZU)</v>
      </c>
    </row>
    <row r="49711" spans="1:3" x14ac:dyDescent="0.2">
      <c r="B49711" t="s">
        <v>1</v>
      </c>
    </row>
    <row r="49712" spans="1:3" x14ac:dyDescent="0.2">
      <c r="B49712" t="s">
        <v>8</v>
      </c>
    </row>
    <row r="49713" spans="1:2" x14ac:dyDescent="0.2">
      <c r="B49713" t="s">
        <v>5</v>
      </c>
    </row>
    <row r="49715" spans="1:2" x14ac:dyDescent="0.2">
      <c r="A49715" t="s">
        <v>15811</v>
      </c>
      <c r="B49715" t="str">
        <f>HYPERLINK("https://lindat.mff.cuni.cz/services/teitok/pdtc10/index.php?action=vallex&amp;frame=v-w7016hsa_795", "udávat (v-w7016hsa_795) - substituted with v-w7016f9_ZU")</f>
        <v>udávat (v-w7016hsa_795) - substituted with v-w7016f9_ZU</v>
      </c>
    </row>
    <row r="49716" spans="1:2" x14ac:dyDescent="0.2">
      <c r="B49716" t="s">
        <v>1</v>
      </c>
    </row>
    <row r="49717" spans="1:2" x14ac:dyDescent="0.2">
      <c r="B49717" t="s">
        <v>8</v>
      </c>
    </row>
    <row r="49718" spans="1:2" x14ac:dyDescent="0.2">
      <c r="B49718" t="s">
        <v>5</v>
      </c>
    </row>
    <row r="49720" spans="1:2" x14ac:dyDescent="0.2">
      <c r="A49720" t="s">
        <v>15812</v>
      </c>
      <c r="B49720" t="str">
        <f>HYPERLINK("https://lindat.mff.cuni.cz/services/teitok/pdtc10/index.php?action=vallex&amp;frame=v-w7016f10_ZU", "udávat (v-w7016f10_ZU)")</f>
        <v>udávat (v-w7016f10_ZU)</v>
      </c>
    </row>
    <row r="49721" spans="1:2" x14ac:dyDescent="0.2">
      <c r="B49721" t="s">
        <v>1</v>
      </c>
    </row>
    <row r="49722" spans="1:2" x14ac:dyDescent="0.2">
      <c r="B49722" t="s">
        <v>8</v>
      </c>
    </row>
    <row r="49723" spans="1:2" x14ac:dyDescent="0.2">
      <c r="B49723" t="s">
        <v>90</v>
      </c>
    </row>
    <row r="49725" spans="1:2" x14ac:dyDescent="0.2">
      <c r="A49725" t="s">
        <v>15812</v>
      </c>
      <c r="B49725" t="str">
        <f>HYPERLINK("https://lindat.mff.cuni.cz/services/teitok/pdtc10/index.php?action=vallex&amp;frame=v-w7016hsa_796", "udávat (v-w7016hsa_796) - substituted with v-w7016f10_ZU")</f>
        <v>udávat (v-w7016hsa_796) - substituted with v-w7016f10_ZU</v>
      </c>
    </row>
    <row r="49726" spans="1:2" x14ac:dyDescent="0.2">
      <c r="B49726" t="s">
        <v>1</v>
      </c>
    </row>
    <row r="49727" spans="1:2" x14ac:dyDescent="0.2">
      <c r="B49727" t="s">
        <v>8</v>
      </c>
    </row>
    <row r="49728" spans="1:2" x14ac:dyDescent="0.2">
      <c r="B49728" t="s">
        <v>90</v>
      </c>
    </row>
    <row r="49730" spans="1:4" x14ac:dyDescent="0.2">
      <c r="A49730" t="s">
        <v>15813</v>
      </c>
      <c r="B49730" t="str">
        <f>HYPERLINK("https://lindat.mff.cuni.cz/services/teitok/pdtc10/index.php?action=vallex&amp;frame=v-w10068f3", "udílet (v-w10068f3)")</f>
        <v>udílet (v-w10068f3)</v>
      </c>
    </row>
    <row r="49731" spans="1:4" x14ac:dyDescent="0.2">
      <c r="B49731" t="s">
        <v>1</v>
      </c>
      <c r="D49731" t="s">
        <v>9612</v>
      </c>
    </row>
    <row r="49732" spans="1:4" x14ac:dyDescent="0.2">
      <c r="B49732" t="s">
        <v>8</v>
      </c>
      <c r="D49732" t="s">
        <v>23646</v>
      </c>
    </row>
    <row r="49733" spans="1:4" x14ac:dyDescent="0.2">
      <c r="B49733" t="s">
        <v>35</v>
      </c>
      <c r="D49733" t="s">
        <v>23862</v>
      </c>
    </row>
    <row r="49735" spans="1:4" x14ac:dyDescent="0.2">
      <c r="A49735" t="s">
        <v>15814</v>
      </c>
      <c r="B49735" t="str">
        <f>HYPERLINK("https://lindat.mff.cuni.cz/services/teitok/pdtc10/index.php?action=vallex&amp;frame=v-w10068f2", "udílet (v-w10068f2)")</f>
        <v>udílet (v-w10068f2)</v>
      </c>
    </row>
    <row r="49736" spans="1:4" x14ac:dyDescent="0.2">
      <c r="B49736" t="s">
        <v>1</v>
      </c>
    </row>
    <row r="49737" spans="1:4" x14ac:dyDescent="0.2">
      <c r="B49737" t="s">
        <v>8</v>
      </c>
    </row>
    <row r="49739" spans="1:4" x14ac:dyDescent="0.2">
      <c r="A49739" t="s">
        <v>15815</v>
      </c>
      <c r="B49739" t="str">
        <f>HYPERLINK("https://lindat.mff.cuni.cz/services/teitok/pdtc10/index.php?action=vallex&amp;frame=v-whsa_161hsa_162", "udýchat se (v-whsa_161hsa_162)")</f>
        <v>udýchat se (v-whsa_161hsa_162)</v>
      </c>
    </row>
    <row r="49740" spans="1:4" x14ac:dyDescent="0.2">
      <c r="B49740" t="s">
        <v>1</v>
      </c>
    </row>
    <row r="49742" spans="1:4" x14ac:dyDescent="0.2">
      <c r="A49742" t="s">
        <v>15816</v>
      </c>
      <c r="B49742" t="str">
        <f>HYPERLINK("https://lindat.mff.cuni.cz/services/teitok/pdtc10/index.php?action=vallex&amp;frame=v-w7017f5", "udělat (v-w7017f5)")</f>
        <v>udělat (v-w7017f5)</v>
      </c>
    </row>
    <row r="49743" spans="1:4" x14ac:dyDescent="0.2">
      <c r="B49743" t="s">
        <v>1</v>
      </c>
      <c r="C49743" t="s">
        <v>7505</v>
      </c>
      <c r="D49743" t="s">
        <v>23017</v>
      </c>
    </row>
    <row r="49744" spans="1:4" x14ac:dyDescent="0.2">
      <c r="B49744" t="s">
        <v>8</v>
      </c>
      <c r="C49744" t="s">
        <v>15817</v>
      </c>
      <c r="D49744" t="s">
        <v>23498</v>
      </c>
    </row>
    <row r="49745" spans="1:4" x14ac:dyDescent="0.2">
      <c r="B49745" t="s">
        <v>35</v>
      </c>
      <c r="C49745" t="s">
        <v>15818</v>
      </c>
      <c r="D49745" t="s">
        <v>23522</v>
      </c>
    </row>
    <row r="49747" spans="1:4" x14ac:dyDescent="0.2">
      <c r="A49747" t="s">
        <v>15819</v>
      </c>
      <c r="B49747" t="str">
        <f>HYPERLINK("https://lindat.mff.cuni.cz/services/teitok/pdtc10/index.php?action=vallex&amp;frame=v-w7017f7", "udělat (v-w7017f7)")</f>
        <v>udělat (v-w7017f7)</v>
      </c>
    </row>
    <row r="49748" spans="1:4" x14ac:dyDescent="0.2">
      <c r="B49748" t="s">
        <v>1</v>
      </c>
      <c r="C49748" t="s">
        <v>15820</v>
      </c>
      <c r="D49748" t="s">
        <v>1504</v>
      </c>
    </row>
    <row r="49749" spans="1:4" x14ac:dyDescent="0.2">
      <c r="B49749" t="s">
        <v>8</v>
      </c>
      <c r="C49749" t="s">
        <v>15821</v>
      </c>
      <c r="D49749" t="s">
        <v>232</v>
      </c>
    </row>
    <row r="49750" spans="1:4" x14ac:dyDescent="0.2">
      <c r="B49750" t="s">
        <v>2328</v>
      </c>
      <c r="C49750" t="s">
        <v>2911</v>
      </c>
      <c r="D49750" t="s">
        <v>2911</v>
      </c>
    </row>
    <row r="49752" spans="1:4" x14ac:dyDescent="0.2">
      <c r="A49752" t="s">
        <v>15822</v>
      </c>
      <c r="B49752" t="str">
        <f>HYPERLINK("https://lindat.mff.cuni.cz/services/teitok/pdtc10/index.php?action=vallex&amp;frame=v-w7017f37_ZU", "udělat (v-w7017f37_ZU)")</f>
        <v>udělat (v-w7017f37_ZU)</v>
      </c>
    </row>
    <row r="49753" spans="1:4" x14ac:dyDescent="0.2">
      <c r="B49753" t="s">
        <v>1</v>
      </c>
    </row>
    <row r="49754" spans="1:4" x14ac:dyDescent="0.2">
      <c r="B49754" t="s">
        <v>8</v>
      </c>
    </row>
    <row r="49755" spans="1:4" x14ac:dyDescent="0.2">
      <c r="B49755" t="s">
        <v>24</v>
      </c>
    </row>
    <row r="49757" spans="1:4" x14ac:dyDescent="0.2">
      <c r="A49757" t="s">
        <v>15822</v>
      </c>
      <c r="B49757" t="str">
        <f>HYPERLINK("https://lindat.mff.cuni.cz/services/teitok/pdtc10/index.php?action=vallex&amp;frame=v-w7017f2", "udělat (v-w7017f2) - substituted with v-w7017f37_ZU")</f>
        <v>udělat (v-w7017f2) - substituted with v-w7017f37_ZU</v>
      </c>
    </row>
    <row r="49758" spans="1:4" x14ac:dyDescent="0.2">
      <c r="B49758" t="s">
        <v>1</v>
      </c>
      <c r="C49758" t="s">
        <v>15823</v>
      </c>
      <c r="D49758" t="s">
        <v>24249</v>
      </c>
    </row>
    <row r="49759" spans="1:4" x14ac:dyDescent="0.2">
      <c r="B49759" t="s">
        <v>8</v>
      </c>
      <c r="C49759" t="s">
        <v>15824</v>
      </c>
      <c r="D49759" t="s">
        <v>24250</v>
      </c>
    </row>
    <row r="49760" spans="1:4" x14ac:dyDescent="0.2">
      <c r="B49760" t="s">
        <v>24</v>
      </c>
      <c r="C49760" t="s">
        <v>15825</v>
      </c>
      <c r="D49760" t="s">
        <v>24251</v>
      </c>
    </row>
    <row r="49762" spans="1:3" x14ac:dyDescent="0.2">
      <c r="A49762" t="s">
        <v>15826</v>
      </c>
      <c r="B49762" t="str">
        <f>HYPERLINK("https://lindat.mff.cuni.cz/services/teitok/pdtc10/index.php?action=vallex&amp;frame=v-w7017f38_ZU", "udělat (v-w7017f38_ZU)")</f>
        <v>udělat (v-w7017f38_ZU)</v>
      </c>
    </row>
    <row r="49763" spans="1:3" x14ac:dyDescent="0.2">
      <c r="B49763" t="s">
        <v>1</v>
      </c>
    </row>
    <row r="49764" spans="1:3" x14ac:dyDescent="0.2">
      <c r="B49764" t="s">
        <v>8</v>
      </c>
    </row>
    <row r="49765" spans="1:3" x14ac:dyDescent="0.2">
      <c r="B49765" t="s">
        <v>15827</v>
      </c>
    </row>
    <row r="49767" spans="1:3" x14ac:dyDescent="0.2">
      <c r="A49767" t="s">
        <v>15826</v>
      </c>
      <c r="B49767" t="str">
        <f>HYPERLINK("https://lindat.mff.cuni.cz/services/teitok/pdtc10/index.php?action=vallex&amp;frame=v-w7017f12", "udělat (v-w7017f12) - substituted with v-w7017f38_ZU")</f>
        <v>udělat (v-w7017f12) - substituted with v-w7017f38_ZU</v>
      </c>
    </row>
    <row r="49768" spans="1:3" x14ac:dyDescent="0.2">
      <c r="B49768" t="s">
        <v>1</v>
      </c>
      <c r="C49768" t="s">
        <v>2787</v>
      </c>
    </row>
    <row r="49769" spans="1:3" x14ac:dyDescent="0.2">
      <c r="B49769" t="s">
        <v>8</v>
      </c>
      <c r="C49769" t="s">
        <v>2788</v>
      </c>
    </row>
    <row r="49770" spans="1:3" x14ac:dyDescent="0.2">
      <c r="B49770" t="s">
        <v>15827</v>
      </c>
      <c r="C49770" t="s">
        <v>2924</v>
      </c>
    </row>
    <row r="49772" spans="1:3" x14ac:dyDescent="0.2">
      <c r="A49772" t="s">
        <v>15828</v>
      </c>
      <c r="B49772" t="str">
        <f>HYPERLINK("https://lindat.mff.cuni.cz/services/teitok/pdtc10/index.php?action=vallex&amp;frame=v-w7017f10", "udělat (v-w7017f10)")</f>
        <v>udělat (v-w7017f10)</v>
      </c>
    </row>
    <row r="49773" spans="1:3" x14ac:dyDescent="0.2">
      <c r="B49773" t="s">
        <v>1</v>
      </c>
    </row>
    <row r="49774" spans="1:3" x14ac:dyDescent="0.2">
      <c r="B49774" t="s">
        <v>103</v>
      </c>
    </row>
    <row r="49775" spans="1:3" x14ac:dyDescent="0.2">
      <c r="B49775" t="s">
        <v>507</v>
      </c>
    </row>
    <row r="49777" spans="1:4" x14ac:dyDescent="0.2">
      <c r="A49777" t="s">
        <v>15829</v>
      </c>
      <c r="B49777" t="str">
        <f>HYPERLINK("https://lindat.mff.cuni.cz/services/teitok/pdtc10/index.php?action=vallex&amp;frame=v-w7017f32_ZU", "udělat (v-w7017f32_ZU)")</f>
        <v>udělat (v-w7017f32_ZU)</v>
      </c>
    </row>
    <row r="49778" spans="1:4" x14ac:dyDescent="0.2">
      <c r="B49778" t="s">
        <v>1</v>
      </c>
    </row>
    <row r="49779" spans="1:4" x14ac:dyDescent="0.2">
      <c r="B49779" t="s">
        <v>15830</v>
      </c>
    </row>
    <row r="49781" spans="1:4" x14ac:dyDescent="0.2">
      <c r="A49781" t="s">
        <v>15829</v>
      </c>
      <c r="B49781" t="str">
        <f>HYPERLINK("https://lindat.mff.cuni.cz/services/teitok/pdtc10/index.php?action=vallex&amp;frame=v-w7017f1", "udělat (v-w7017f1) - substituted with v-w7017f32_ZU")</f>
        <v>udělat (v-w7017f1) - substituted with v-w7017f32_ZU</v>
      </c>
    </row>
    <row r="49782" spans="1:4" x14ac:dyDescent="0.2">
      <c r="B49782" t="s">
        <v>1</v>
      </c>
      <c r="C49782" t="s">
        <v>15831</v>
      </c>
      <c r="D49782" t="s">
        <v>24252</v>
      </c>
    </row>
    <row r="49783" spans="1:4" x14ac:dyDescent="0.2">
      <c r="B49783" t="s">
        <v>15830</v>
      </c>
      <c r="C49783" t="s">
        <v>15832</v>
      </c>
      <c r="D49783" t="s">
        <v>24253</v>
      </c>
    </row>
    <row r="49785" spans="1:4" x14ac:dyDescent="0.2">
      <c r="A49785" t="s">
        <v>15829</v>
      </c>
      <c r="B49785" t="str">
        <f>HYPERLINK("https://lindat.mff.cuni.cz/services/teitok/pdtc10/index.php?action=vallex&amp;frame=v-w7017f24_ZU", "udělat (v-w7017f24_ZU) - substituted with v-w7017f32_ZU")</f>
        <v>udělat (v-w7017f24_ZU) - substituted with v-w7017f32_ZU</v>
      </c>
    </row>
    <row r="49786" spans="1:4" x14ac:dyDescent="0.2">
      <c r="B49786" t="s">
        <v>1</v>
      </c>
    </row>
    <row r="49787" spans="1:4" x14ac:dyDescent="0.2">
      <c r="B49787" t="s">
        <v>15830</v>
      </c>
    </row>
    <row r="49789" spans="1:4" x14ac:dyDescent="0.2">
      <c r="A49789" t="s">
        <v>15829</v>
      </c>
      <c r="B49789" t="str">
        <f>HYPERLINK("https://lindat.mff.cuni.cz/services/teitok/pdtc10/index.php?action=vallex&amp;frame=v-w7017f29_ZU", "udělat (v-w7017f29_ZU) - substituted with v-w7017f32_ZU")</f>
        <v>udělat (v-w7017f29_ZU) - substituted with v-w7017f32_ZU</v>
      </c>
    </row>
    <row r="49790" spans="1:4" x14ac:dyDescent="0.2">
      <c r="B49790" t="s">
        <v>1</v>
      </c>
    </row>
    <row r="49791" spans="1:4" x14ac:dyDescent="0.2">
      <c r="B49791" t="s">
        <v>15830</v>
      </c>
    </row>
    <row r="49793" spans="1:4" x14ac:dyDescent="0.2">
      <c r="A49793" t="s">
        <v>15829</v>
      </c>
      <c r="B49793" t="str">
        <f>HYPERLINK("https://lindat.mff.cuni.cz/services/teitok/pdtc10/index.php?action=vallex&amp;frame=v-w7017f30_ZU", "udělat (v-w7017f30_ZU) - substituted with v-w7017f32_ZU")</f>
        <v>udělat (v-w7017f30_ZU) - substituted with v-w7017f32_ZU</v>
      </c>
    </row>
    <row r="49794" spans="1:4" x14ac:dyDescent="0.2">
      <c r="B49794" t="s">
        <v>1</v>
      </c>
    </row>
    <row r="49795" spans="1:4" x14ac:dyDescent="0.2">
      <c r="B49795" t="s">
        <v>15830</v>
      </c>
    </row>
    <row r="49797" spans="1:4" x14ac:dyDescent="0.2">
      <c r="A49797" t="s">
        <v>15829</v>
      </c>
      <c r="B49797" t="str">
        <f>HYPERLINK("https://lindat.mff.cuni.cz/services/teitok/pdtc10/index.php?action=vallex&amp;frame=v-w7017hsa_2047", "udělat (v-w7017hsa_2047) - substituted with v-w7017f32_ZU")</f>
        <v>udělat (v-w7017hsa_2047) - substituted with v-w7017f32_ZU</v>
      </c>
    </row>
    <row r="49798" spans="1:4" x14ac:dyDescent="0.2">
      <c r="B49798" t="s">
        <v>1</v>
      </c>
    </row>
    <row r="49799" spans="1:4" x14ac:dyDescent="0.2">
      <c r="B49799" t="s">
        <v>15830</v>
      </c>
    </row>
    <row r="49801" spans="1:4" x14ac:dyDescent="0.2">
      <c r="A49801" t="s">
        <v>15833</v>
      </c>
      <c r="B49801" t="str">
        <f>HYPERLINK("https://lindat.mff.cuni.cz/services/teitok/pdtc10/index.php?action=vallex&amp;frame=v-w7017f4", "udělat (v-w7017f4)")</f>
        <v>udělat (v-w7017f4)</v>
      </c>
    </row>
    <row r="49802" spans="1:4" x14ac:dyDescent="0.2">
      <c r="B49802" t="s">
        <v>1</v>
      </c>
      <c r="C49802" t="s">
        <v>249</v>
      </c>
      <c r="D49802" t="s">
        <v>23111</v>
      </c>
    </row>
    <row r="49803" spans="1:4" x14ac:dyDescent="0.2">
      <c r="B49803" t="s">
        <v>8</v>
      </c>
      <c r="C49803" t="s">
        <v>1044</v>
      </c>
      <c r="D49803" t="s">
        <v>23112</v>
      </c>
    </row>
    <row r="49805" spans="1:4" x14ac:dyDescent="0.2">
      <c r="A49805" t="s">
        <v>15834</v>
      </c>
      <c r="B49805" t="str">
        <f>HYPERLINK("https://lindat.mff.cuni.cz/services/teitok/pdtc10/index.php?action=vallex&amp;frame=v-w7017f9", "udělat (v-w7017f9)")</f>
        <v>udělat (v-w7017f9)</v>
      </c>
    </row>
    <row r="49806" spans="1:4" x14ac:dyDescent="0.2">
      <c r="B49806" t="s">
        <v>1</v>
      </c>
    </row>
    <row r="49807" spans="1:4" x14ac:dyDescent="0.2">
      <c r="B49807" t="s">
        <v>8</v>
      </c>
    </row>
    <row r="49809" spans="1:4" x14ac:dyDescent="0.2">
      <c r="A49809" t="s">
        <v>15835</v>
      </c>
      <c r="B49809" t="str">
        <f>HYPERLINK("https://lindat.mff.cuni.cz/services/teitok/pdtc10/index.php?action=vallex&amp;frame=v-w7017f13", "udělat (v-w7017f13)")</f>
        <v>udělat (v-w7017f13)</v>
      </c>
    </row>
    <row r="49810" spans="1:4" x14ac:dyDescent="0.2">
      <c r="B49810" t="s">
        <v>1</v>
      </c>
    </row>
    <row r="49811" spans="1:4" x14ac:dyDescent="0.2">
      <c r="B49811" t="s">
        <v>2949</v>
      </c>
      <c r="C49811" t="s">
        <v>366</v>
      </c>
    </row>
    <row r="49812" spans="1:4" x14ac:dyDescent="0.2">
      <c r="B49812" t="s">
        <v>88</v>
      </c>
      <c r="C49812" t="s">
        <v>537</v>
      </c>
    </row>
    <row r="49814" spans="1:4" x14ac:dyDescent="0.2">
      <c r="A49814" t="s">
        <v>15836</v>
      </c>
      <c r="B49814" t="str">
        <f>HYPERLINK("https://lindat.mff.cuni.cz/services/teitok/pdtc10/index.php?action=vallex&amp;frame=v-w7017f18_ZU", "udělat (v-w7017f18_ZU)")</f>
        <v>udělat (v-w7017f18_ZU)</v>
      </c>
    </row>
    <row r="49815" spans="1:4" x14ac:dyDescent="0.2">
      <c r="B49815" t="s">
        <v>1</v>
      </c>
      <c r="C49815" t="s">
        <v>2566</v>
      </c>
      <c r="D49815" t="s">
        <v>23262</v>
      </c>
    </row>
    <row r="49816" spans="1:4" x14ac:dyDescent="0.2">
      <c r="B49816" t="s">
        <v>15837</v>
      </c>
      <c r="C49816" t="s">
        <v>2567</v>
      </c>
      <c r="D49816" t="s">
        <v>23263</v>
      </c>
    </row>
    <row r="49817" spans="1:4" x14ac:dyDescent="0.2">
      <c r="B49817" t="s">
        <v>35</v>
      </c>
      <c r="D49817" t="s">
        <v>23251</v>
      </c>
    </row>
    <row r="49819" spans="1:4" x14ac:dyDescent="0.2">
      <c r="A49819" t="s">
        <v>15836</v>
      </c>
      <c r="B49819" t="str">
        <f>HYPERLINK("https://lindat.mff.cuni.cz/services/teitok/pdtc10/index.php?action=vallex&amp;frame=v-w7017f11", "udělat (v-w7017f11) - substituted with v-w7017f18_ZU")</f>
        <v>udělat (v-w7017f11) - substituted with v-w7017f18_ZU</v>
      </c>
    </row>
    <row r="49820" spans="1:4" x14ac:dyDescent="0.2">
      <c r="B49820" t="s">
        <v>1</v>
      </c>
    </row>
    <row r="49821" spans="1:4" x14ac:dyDescent="0.2">
      <c r="B49821" t="s">
        <v>15837</v>
      </c>
    </row>
    <row r="49822" spans="1:4" x14ac:dyDescent="0.2">
      <c r="B49822" t="s">
        <v>35</v>
      </c>
    </row>
    <row r="49824" spans="1:4" x14ac:dyDescent="0.2">
      <c r="A49824" t="s">
        <v>15838</v>
      </c>
      <c r="B49824" t="str">
        <f>HYPERLINK("https://lindat.mff.cuni.cz/services/teitok/pdtc10/index.php?action=vallex&amp;frame=v-w7017f28_ZU", "udělat (v-w7017f28_ZU)")</f>
        <v>udělat (v-w7017f28_ZU)</v>
      </c>
    </row>
    <row r="49825" spans="1:2" x14ac:dyDescent="0.2">
      <c r="B49825" t="s">
        <v>1</v>
      </c>
    </row>
    <row r="49826" spans="1:2" x14ac:dyDescent="0.2">
      <c r="B49826" t="s">
        <v>15839</v>
      </c>
    </row>
    <row r="49827" spans="1:2" x14ac:dyDescent="0.2">
      <c r="B49827" t="s">
        <v>2918</v>
      </c>
    </row>
    <row r="49829" spans="1:2" x14ac:dyDescent="0.2">
      <c r="A49829" t="s">
        <v>15838</v>
      </c>
      <c r="B49829" t="str">
        <f>HYPERLINK("https://lindat.mff.cuni.cz/services/teitok/pdtc10/index.php?action=vallex&amp;frame=v-w7017f14", "udělat (v-w7017f14) - substituted with v-w7017f28_ZU")</f>
        <v>udělat (v-w7017f14) - substituted with v-w7017f28_ZU</v>
      </c>
    </row>
    <row r="49830" spans="1:2" x14ac:dyDescent="0.2">
      <c r="B49830" t="s">
        <v>1</v>
      </c>
    </row>
    <row r="49831" spans="1:2" x14ac:dyDescent="0.2">
      <c r="B49831" t="s">
        <v>15839</v>
      </c>
    </row>
    <row r="49832" spans="1:2" x14ac:dyDescent="0.2">
      <c r="B49832" t="s">
        <v>2918</v>
      </c>
    </row>
    <row r="49834" spans="1:2" x14ac:dyDescent="0.2">
      <c r="A49834" t="s">
        <v>15840</v>
      </c>
      <c r="B49834" t="str">
        <f>HYPERLINK("https://lindat.mff.cuni.cz/services/teitok/pdtc10/index.php?action=vallex&amp;frame=v-w7017f40_MM", "udělat (v-w7017f40_MM)")</f>
        <v>udělat (v-w7017f40_MM)</v>
      </c>
    </row>
    <row r="49835" spans="1:2" x14ac:dyDescent="0.2">
      <c r="B49835" t="s">
        <v>1</v>
      </c>
    </row>
    <row r="49836" spans="1:2" x14ac:dyDescent="0.2">
      <c r="B49836" t="s">
        <v>15841</v>
      </c>
    </row>
    <row r="49838" spans="1:2" x14ac:dyDescent="0.2">
      <c r="A49838" t="s">
        <v>15840</v>
      </c>
      <c r="B49838" t="str">
        <f>HYPERLINK("https://lindat.mff.cuni.cz/services/teitok/pdtc10/index.php?action=vallex&amp;frame=v-w7017f16", "udělat (v-w7017f16) - substituted with v-w7017f40_MM")</f>
        <v>udělat (v-w7017f16) - substituted with v-w7017f40_MM</v>
      </c>
    </row>
    <row r="49839" spans="1:2" x14ac:dyDescent="0.2">
      <c r="B49839" t="s">
        <v>1</v>
      </c>
    </row>
    <row r="49840" spans="1:2" x14ac:dyDescent="0.2">
      <c r="B49840" t="s">
        <v>15841</v>
      </c>
    </row>
    <row r="49842" spans="1:2" x14ac:dyDescent="0.2">
      <c r="A49842" t="s">
        <v>15840</v>
      </c>
      <c r="B49842" t="str">
        <f>HYPERLINK("https://lindat.mff.cuni.cz/services/teitok/pdtc10/index.php?action=vallex&amp;frame=v-w7017f34_ZU", "udělat (v-w7017f34_ZU) - substituted with v-w7017f40_MM")</f>
        <v>udělat (v-w7017f34_ZU) - substituted with v-w7017f40_MM</v>
      </c>
    </row>
    <row r="49843" spans="1:2" x14ac:dyDescent="0.2">
      <c r="B49843" t="s">
        <v>1</v>
      </c>
    </row>
    <row r="49844" spans="1:2" x14ac:dyDescent="0.2">
      <c r="B49844" t="s">
        <v>15841</v>
      </c>
    </row>
    <row r="49846" spans="1:2" x14ac:dyDescent="0.2">
      <c r="A49846" t="s">
        <v>15840</v>
      </c>
      <c r="B49846" t="str">
        <f>HYPERLINK("https://lindat.mff.cuni.cz/services/teitok/pdtc10/index.php?action=vallex&amp;frame=v-w7017f39_MM", "udělat (v-w7017f39_MM) - substituted with v-w7017f40_MM")</f>
        <v>udělat (v-w7017f39_MM) - substituted with v-w7017f40_MM</v>
      </c>
    </row>
    <row r="49847" spans="1:2" x14ac:dyDescent="0.2">
      <c r="B49847" t="s">
        <v>1</v>
      </c>
    </row>
    <row r="49848" spans="1:2" x14ac:dyDescent="0.2">
      <c r="B49848" t="s">
        <v>15841</v>
      </c>
    </row>
    <row r="49850" spans="1:2" x14ac:dyDescent="0.2">
      <c r="A49850" t="s">
        <v>15840</v>
      </c>
      <c r="B49850" t="str">
        <f>HYPERLINK("https://lindat.mff.cuni.cz/services/teitok/pdtc10/index.php?action=vallex&amp;frame=v-w7017hsa_2051", "udělat (v-w7017hsa_2051) - substituted with v-w7017f40_MM")</f>
        <v>udělat (v-w7017hsa_2051) - substituted with v-w7017f40_MM</v>
      </c>
    </row>
    <row r="49851" spans="1:2" x14ac:dyDescent="0.2">
      <c r="B49851" t="s">
        <v>1</v>
      </c>
    </row>
    <row r="49852" spans="1:2" x14ac:dyDescent="0.2">
      <c r="B49852" t="s">
        <v>15841</v>
      </c>
    </row>
    <row r="49854" spans="1:2" x14ac:dyDescent="0.2">
      <c r="A49854" t="s">
        <v>15842</v>
      </c>
      <c r="B49854" t="str">
        <f>HYPERLINK("https://lindat.mff.cuni.cz/services/teitok/pdtc10/index.php?action=vallex&amp;frame=v-w7017f42_MM", "udělat (v-w7017f42_MM)")</f>
        <v>udělat (v-w7017f42_MM)</v>
      </c>
    </row>
    <row r="49855" spans="1:2" x14ac:dyDescent="0.2">
      <c r="B49855" t="s">
        <v>1</v>
      </c>
    </row>
    <row r="49856" spans="1:2" x14ac:dyDescent="0.2">
      <c r="B49856" t="s">
        <v>15843</v>
      </c>
    </row>
    <row r="49858" spans="1:4" x14ac:dyDescent="0.2">
      <c r="A49858" t="s">
        <v>15842</v>
      </c>
      <c r="B49858" t="str">
        <f>HYPERLINK("https://lindat.mff.cuni.cz/services/teitok/pdtc10/index.php?action=vallex&amp;frame=v-w7017f17_ZU", "udělat (v-w7017f17_ZU) - substituted with v-w7017f42_MM")</f>
        <v>udělat (v-w7017f17_ZU) - substituted with v-w7017f42_MM</v>
      </c>
    </row>
    <row r="49859" spans="1:4" x14ac:dyDescent="0.2">
      <c r="B49859" t="s">
        <v>1</v>
      </c>
      <c r="C49859" t="s">
        <v>15844</v>
      </c>
    </row>
    <row r="49860" spans="1:4" x14ac:dyDescent="0.2">
      <c r="B49860" t="s">
        <v>15843</v>
      </c>
      <c r="C49860" t="s">
        <v>15845</v>
      </c>
    </row>
    <row r="49862" spans="1:4" x14ac:dyDescent="0.2">
      <c r="A49862" t="s">
        <v>15842</v>
      </c>
      <c r="B49862" t="str">
        <f>HYPERLINK("https://lindat.mff.cuni.cz/services/teitok/pdtc10/index.php?action=vallex&amp;frame=v-w7017f21_ZU", "udělat (v-w7017f21_ZU) - substituted with v-w7017f42_MM")</f>
        <v>udělat (v-w7017f21_ZU) - substituted with v-w7017f42_MM</v>
      </c>
    </row>
    <row r="49863" spans="1:4" x14ac:dyDescent="0.2">
      <c r="B49863" t="s">
        <v>1</v>
      </c>
      <c r="C49863" t="s">
        <v>2031</v>
      </c>
    </row>
    <row r="49864" spans="1:4" x14ac:dyDescent="0.2">
      <c r="B49864" t="s">
        <v>15843</v>
      </c>
      <c r="C49864" t="s">
        <v>2952</v>
      </c>
    </row>
    <row r="49866" spans="1:4" x14ac:dyDescent="0.2">
      <c r="A49866" t="s">
        <v>15842</v>
      </c>
      <c r="B49866" t="str">
        <f>HYPERLINK("https://lindat.mff.cuni.cz/services/teitok/pdtc10/index.php?action=vallex&amp;frame=v-w7017f22_ZU", "udělat (v-w7017f22_ZU) - substituted with v-w7017f42_MM")</f>
        <v>udělat (v-w7017f22_ZU) - substituted with v-w7017f42_MM</v>
      </c>
    </row>
    <row r="49867" spans="1:4" x14ac:dyDescent="0.2">
      <c r="B49867" t="s">
        <v>1</v>
      </c>
      <c r="C49867" t="s">
        <v>2946</v>
      </c>
    </row>
    <row r="49868" spans="1:4" x14ac:dyDescent="0.2">
      <c r="B49868" t="s">
        <v>15843</v>
      </c>
      <c r="C49868" t="s">
        <v>10950</v>
      </c>
    </row>
    <row r="49870" spans="1:4" x14ac:dyDescent="0.2">
      <c r="A49870" t="s">
        <v>15842</v>
      </c>
      <c r="B49870" t="str">
        <f>HYPERLINK("https://lindat.mff.cuni.cz/services/teitok/pdtc10/index.php?action=vallex&amp;frame=v-w7017f23_ZU", "udělat (v-w7017f23_ZU) - substituted with v-w7017f42_MM")</f>
        <v>udělat (v-w7017f23_ZU) - substituted with v-w7017f42_MM</v>
      </c>
    </row>
    <row r="49871" spans="1:4" x14ac:dyDescent="0.2">
      <c r="B49871" t="s">
        <v>1</v>
      </c>
      <c r="C49871" t="s">
        <v>10633</v>
      </c>
      <c r="D49871" t="s">
        <v>1792</v>
      </c>
    </row>
    <row r="49872" spans="1:4" x14ac:dyDescent="0.2">
      <c r="B49872" t="s">
        <v>15843</v>
      </c>
      <c r="C49872" t="s">
        <v>10979</v>
      </c>
      <c r="D49872" t="s">
        <v>23804</v>
      </c>
    </row>
    <row r="49874" spans="1:3" x14ac:dyDescent="0.2">
      <c r="A49874" t="s">
        <v>15842</v>
      </c>
      <c r="B49874" t="str">
        <f>HYPERLINK("https://lindat.mff.cuni.cz/services/teitok/pdtc10/index.php?action=vallex&amp;frame=v-w7017f27_ZU", "udělat (v-w7017f27_ZU) - substituted with v-w7017f42_MM")</f>
        <v>udělat (v-w7017f27_ZU) - substituted with v-w7017f42_MM</v>
      </c>
    </row>
    <row r="49875" spans="1:3" x14ac:dyDescent="0.2">
      <c r="B49875" t="s">
        <v>1</v>
      </c>
    </row>
    <row r="49876" spans="1:3" x14ac:dyDescent="0.2">
      <c r="B49876" t="s">
        <v>15843</v>
      </c>
    </row>
    <row r="49878" spans="1:3" x14ac:dyDescent="0.2">
      <c r="A49878" t="s">
        <v>15842</v>
      </c>
      <c r="B49878" t="str">
        <f>HYPERLINK("https://lindat.mff.cuni.cz/services/teitok/pdtc10/index.php?action=vallex&amp;frame=v-w7017f3", "udělat (v-w7017f3) - substituted with v-w7017f42_MM")</f>
        <v>udělat (v-w7017f3) - substituted with v-w7017f42_MM</v>
      </c>
    </row>
    <row r="49879" spans="1:3" x14ac:dyDescent="0.2">
      <c r="B49879" t="s">
        <v>1</v>
      </c>
      <c r="C49879" t="s">
        <v>15846</v>
      </c>
    </row>
    <row r="49880" spans="1:3" x14ac:dyDescent="0.2">
      <c r="B49880" t="s">
        <v>15843</v>
      </c>
      <c r="C49880" t="s">
        <v>15847</v>
      </c>
    </row>
    <row r="49882" spans="1:3" x14ac:dyDescent="0.2">
      <c r="A49882" t="s">
        <v>15842</v>
      </c>
      <c r="B49882" t="str">
        <f>HYPERLINK("https://lindat.mff.cuni.cz/services/teitok/pdtc10/index.php?action=vallex&amp;frame=v-w7017f31_ZU", "udělat (v-w7017f31_ZU) - substituted with v-w7017f42_MM")</f>
        <v>udělat (v-w7017f31_ZU) - substituted with v-w7017f42_MM</v>
      </c>
    </row>
    <row r="49883" spans="1:3" x14ac:dyDescent="0.2">
      <c r="B49883" t="s">
        <v>1</v>
      </c>
    </row>
    <row r="49884" spans="1:3" x14ac:dyDescent="0.2">
      <c r="B49884" t="s">
        <v>15843</v>
      </c>
    </row>
    <row r="49886" spans="1:3" x14ac:dyDescent="0.2">
      <c r="A49886" t="s">
        <v>15842</v>
      </c>
      <c r="B49886" t="str">
        <f>HYPERLINK("https://lindat.mff.cuni.cz/services/teitok/pdtc10/index.php?action=vallex&amp;frame=v-w7017f33_ZU", "udělat (v-w7017f33_ZU) - substituted with v-w7017f42_MM")</f>
        <v>udělat (v-w7017f33_ZU) - substituted with v-w7017f42_MM</v>
      </c>
    </row>
    <row r="49887" spans="1:3" x14ac:dyDescent="0.2">
      <c r="B49887" t="s">
        <v>1</v>
      </c>
    </row>
    <row r="49888" spans="1:3" x14ac:dyDescent="0.2">
      <c r="B49888" t="s">
        <v>15843</v>
      </c>
    </row>
    <row r="49890" spans="1:2" x14ac:dyDescent="0.2">
      <c r="A49890" t="s">
        <v>15842</v>
      </c>
      <c r="B49890" t="str">
        <f>HYPERLINK("https://lindat.mff.cuni.cz/services/teitok/pdtc10/index.php?action=vallex&amp;frame=v-w7017f41_MM", "udělat (v-w7017f41_MM) - substituted with v-w7017f42_MM")</f>
        <v>udělat (v-w7017f41_MM) - substituted with v-w7017f42_MM</v>
      </c>
    </row>
    <row r="49891" spans="1:2" x14ac:dyDescent="0.2">
      <c r="B49891" t="s">
        <v>1</v>
      </c>
    </row>
    <row r="49892" spans="1:2" x14ac:dyDescent="0.2">
      <c r="B49892" t="s">
        <v>15843</v>
      </c>
    </row>
    <row r="49894" spans="1:2" x14ac:dyDescent="0.2">
      <c r="A49894" t="s">
        <v>15842</v>
      </c>
      <c r="B49894" t="str">
        <f>HYPERLINK("https://lindat.mff.cuni.cz/services/teitok/pdtc10/index.php?action=vallex&amp;frame=v-w7017hsa_1303", "udělat (v-w7017hsa_1303) - substituted with v-w7017f42_MM")</f>
        <v>udělat (v-w7017hsa_1303) - substituted with v-w7017f42_MM</v>
      </c>
    </row>
    <row r="49895" spans="1:2" x14ac:dyDescent="0.2">
      <c r="B49895" t="s">
        <v>1</v>
      </c>
    </row>
    <row r="49896" spans="1:2" x14ac:dyDescent="0.2">
      <c r="B49896" t="s">
        <v>15843</v>
      </c>
    </row>
    <row r="49898" spans="1:2" x14ac:dyDescent="0.2">
      <c r="A49898" t="s">
        <v>15842</v>
      </c>
      <c r="B49898" t="str">
        <f>HYPERLINK("https://lindat.mff.cuni.cz/services/teitok/pdtc10/index.php?action=vallex&amp;frame=v-w7017hsa_2048", "udělat (v-w7017hsa_2048) - substituted with v-w7017f42_MM")</f>
        <v>udělat (v-w7017hsa_2048) - substituted with v-w7017f42_MM</v>
      </c>
    </row>
    <row r="49899" spans="1:2" x14ac:dyDescent="0.2">
      <c r="B49899" t="s">
        <v>1</v>
      </c>
    </row>
    <row r="49900" spans="1:2" x14ac:dyDescent="0.2">
      <c r="B49900" t="s">
        <v>15843</v>
      </c>
    </row>
    <row r="49902" spans="1:2" x14ac:dyDescent="0.2">
      <c r="A49902" t="s">
        <v>15848</v>
      </c>
      <c r="B49902" t="str">
        <f>HYPERLINK("https://lindat.mff.cuni.cz/services/teitok/pdtc10/index.php?action=vallex&amp;frame=v-w7017f15", "udělat (v-w7017f15)")</f>
        <v>udělat (v-w7017f15)</v>
      </c>
    </row>
    <row r="49903" spans="1:2" x14ac:dyDescent="0.2">
      <c r="B49903" t="s">
        <v>1</v>
      </c>
    </row>
    <row r="49904" spans="1:2" x14ac:dyDescent="0.2">
      <c r="B49904" t="s">
        <v>15849</v>
      </c>
    </row>
    <row r="49906" spans="1:4" x14ac:dyDescent="0.2">
      <c r="A49906" t="s">
        <v>15850</v>
      </c>
      <c r="B49906" t="str">
        <f>HYPERLINK("https://lindat.mff.cuni.cz/services/teitok/pdtc10/index.php?action=vallex&amp;frame=v-w7017f8", "udělat (v-w7017f8)")</f>
        <v>udělat (v-w7017f8)</v>
      </c>
    </row>
    <row r="49907" spans="1:4" x14ac:dyDescent="0.2">
      <c r="B49907" t="s">
        <v>1</v>
      </c>
      <c r="C49907" t="s">
        <v>3081</v>
      </c>
      <c r="D49907" t="s">
        <v>23372</v>
      </c>
    </row>
    <row r="49908" spans="1:4" x14ac:dyDescent="0.2">
      <c r="B49908" t="s">
        <v>15851</v>
      </c>
      <c r="C49908" t="s">
        <v>3062</v>
      </c>
    </row>
    <row r="49910" spans="1:4" x14ac:dyDescent="0.2">
      <c r="A49910" t="s">
        <v>15852</v>
      </c>
      <c r="B49910" t="str">
        <f>HYPERLINK("https://lindat.mff.cuni.cz/services/teitok/pdtc10/index.php?action=vallex&amp;frame=v-w7017f6", "udělat (v-w7017f6)")</f>
        <v>udělat (v-w7017f6)</v>
      </c>
    </row>
    <row r="49911" spans="1:4" x14ac:dyDescent="0.2">
      <c r="B49911" t="s">
        <v>1</v>
      </c>
    </row>
    <row r="49912" spans="1:4" x14ac:dyDescent="0.2">
      <c r="B49912" t="s">
        <v>15853</v>
      </c>
    </row>
    <row r="49914" spans="1:4" x14ac:dyDescent="0.2">
      <c r="A49914" t="s">
        <v>15854</v>
      </c>
      <c r="B49914" t="str">
        <f>HYPERLINK("https://lindat.mff.cuni.cz/services/teitok/pdtc10/index.php?action=vallex&amp;frame=v-w7017hsa_1302", "udělat (v-w7017hsa_1302)")</f>
        <v>udělat (v-w7017hsa_1302)</v>
      </c>
    </row>
    <row r="49915" spans="1:4" x14ac:dyDescent="0.2">
      <c r="B49915" t="s">
        <v>1</v>
      </c>
      <c r="C49915" t="s">
        <v>306</v>
      </c>
    </row>
    <row r="49916" spans="1:4" x14ac:dyDescent="0.2">
      <c r="B49916" t="s">
        <v>507</v>
      </c>
      <c r="C49916" t="s">
        <v>2929</v>
      </c>
    </row>
    <row r="49918" spans="1:4" x14ac:dyDescent="0.2">
      <c r="A49918" t="s">
        <v>15855</v>
      </c>
      <c r="B49918" t="str">
        <f>HYPERLINK("https://lindat.mff.cuni.cz/services/teitok/pdtc10/index.php?action=vallex&amp;frame=v-w7017f19_ZU", "udělat (v-w7017f19_ZU)")</f>
        <v>udělat (v-w7017f19_ZU)</v>
      </c>
    </row>
    <row r="49919" spans="1:4" x14ac:dyDescent="0.2">
      <c r="B49919" t="s">
        <v>1</v>
      </c>
      <c r="C49919" t="s">
        <v>8806</v>
      </c>
      <c r="D49919" t="s">
        <v>964</v>
      </c>
    </row>
    <row r="49920" spans="1:4" x14ac:dyDescent="0.2">
      <c r="B49920" t="s">
        <v>15856</v>
      </c>
      <c r="C49920" t="s">
        <v>15857</v>
      </c>
      <c r="D49920" t="s">
        <v>3489</v>
      </c>
    </row>
    <row r="49922" spans="1:2" x14ac:dyDescent="0.2">
      <c r="A49922" t="s">
        <v>15858</v>
      </c>
      <c r="B49922" t="str">
        <f>HYPERLINK("https://lindat.mff.cuni.cz/services/teitok/pdtc10/index.php?action=vallex&amp;frame=v-w7017f20_ZU", "udělat (v-w7017f20_ZU)")</f>
        <v>udělat (v-w7017f20_ZU)</v>
      </c>
    </row>
    <row r="49923" spans="1:2" x14ac:dyDescent="0.2">
      <c r="B49923" t="s">
        <v>1</v>
      </c>
    </row>
    <row r="49924" spans="1:2" x14ac:dyDescent="0.2">
      <c r="B49924" t="s">
        <v>15859</v>
      </c>
    </row>
    <row r="49926" spans="1:2" x14ac:dyDescent="0.2">
      <c r="A49926" t="s">
        <v>15860</v>
      </c>
      <c r="B49926" t="str">
        <f>HYPERLINK("https://lindat.mff.cuni.cz/services/teitok/pdtc10/index.php?action=vallex&amp;frame=v-w7017f25_ZU", "udělat (v-w7017f25_ZU)")</f>
        <v>udělat (v-w7017f25_ZU)</v>
      </c>
    </row>
    <row r="49927" spans="1:2" x14ac:dyDescent="0.2">
      <c r="B49927" t="s">
        <v>1</v>
      </c>
    </row>
    <row r="49928" spans="1:2" x14ac:dyDescent="0.2">
      <c r="B49928" t="s">
        <v>15861</v>
      </c>
    </row>
    <row r="49929" spans="1:2" x14ac:dyDescent="0.2">
      <c r="B49929" t="s">
        <v>438</v>
      </c>
    </row>
    <row r="49931" spans="1:2" x14ac:dyDescent="0.2">
      <c r="A49931" t="s">
        <v>15860</v>
      </c>
      <c r="B49931" t="str">
        <f>HYPERLINK("https://lindat.mff.cuni.cz/services/teitok/pdtc10/index.php?action=vallex&amp;frame=v-w7017hsa_2049", "udělat (v-w7017hsa_2049) - substituted with v-w7017f25_ZU")</f>
        <v>udělat (v-w7017hsa_2049) - substituted with v-w7017f25_ZU</v>
      </c>
    </row>
    <row r="49932" spans="1:2" x14ac:dyDescent="0.2">
      <c r="B49932" t="s">
        <v>1</v>
      </c>
    </row>
    <row r="49933" spans="1:2" x14ac:dyDescent="0.2">
      <c r="B49933" t="s">
        <v>15861</v>
      </c>
    </row>
    <row r="49934" spans="1:2" x14ac:dyDescent="0.2">
      <c r="B49934" t="s">
        <v>438</v>
      </c>
    </row>
    <row r="49936" spans="1:2" x14ac:dyDescent="0.2">
      <c r="A49936" t="s">
        <v>15862</v>
      </c>
      <c r="B49936" t="str">
        <f>HYPERLINK("https://lindat.mff.cuni.cz/services/teitok/pdtc10/index.php?action=vallex&amp;frame=v-w7017f26_ZU", "udělat (v-w7017f26_ZU)")</f>
        <v>udělat (v-w7017f26_ZU)</v>
      </c>
    </row>
    <row r="49937" spans="1:2" x14ac:dyDescent="0.2">
      <c r="B49937" t="s">
        <v>1</v>
      </c>
    </row>
    <row r="49938" spans="1:2" x14ac:dyDescent="0.2">
      <c r="B49938" t="s">
        <v>15863</v>
      </c>
    </row>
    <row r="49940" spans="1:2" x14ac:dyDescent="0.2">
      <c r="A49940" t="s">
        <v>15862</v>
      </c>
      <c r="B49940" t="str">
        <f>HYPERLINK("https://lindat.mff.cuni.cz/services/teitok/pdtc10/index.php?action=vallex&amp;frame=v-w7017hsa_2050", "udělat (v-w7017hsa_2050) - substituted with v-w7017f26_ZU")</f>
        <v>udělat (v-w7017hsa_2050) - substituted with v-w7017f26_ZU</v>
      </c>
    </row>
    <row r="49941" spans="1:2" x14ac:dyDescent="0.2">
      <c r="B49941" t="s">
        <v>1</v>
      </c>
    </row>
    <row r="49942" spans="1:2" x14ac:dyDescent="0.2">
      <c r="B49942" t="s">
        <v>15863</v>
      </c>
    </row>
    <row r="49944" spans="1:2" x14ac:dyDescent="0.2">
      <c r="A49944" t="s">
        <v>15864</v>
      </c>
      <c r="B49944" t="str">
        <f>HYPERLINK("https://lindat.mff.cuni.cz/services/teitok/pdtc10/index.php?action=vallex&amp;frame=v-w7017f35_ZU", "udělat (v-w7017f35_ZU)")</f>
        <v>udělat (v-w7017f35_ZU)</v>
      </c>
    </row>
    <row r="49945" spans="1:2" x14ac:dyDescent="0.2">
      <c r="B49945" t="s">
        <v>1</v>
      </c>
    </row>
    <row r="49946" spans="1:2" x14ac:dyDescent="0.2">
      <c r="B49946" t="s">
        <v>2967</v>
      </c>
    </row>
    <row r="49948" spans="1:2" x14ac:dyDescent="0.2">
      <c r="A49948" t="s">
        <v>15865</v>
      </c>
      <c r="B49948" t="str">
        <f>HYPERLINK("https://lindat.mff.cuni.cz/services/teitok/pdtc10/index.php?action=vallex&amp;frame=v-w7017f36_ZU", "udělat (v-w7017f36_ZU)")</f>
        <v>udělat (v-w7017f36_ZU)</v>
      </c>
    </row>
    <row r="49949" spans="1:2" x14ac:dyDescent="0.2">
      <c r="B49949" t="s">
        <v>1</v>
      </c>
    </row>
    <row r="49950" spans="1:2" x14ac:dyDescent="0.2">
      <c r="B49950" t="s">
        <v>8</v>
      </c>
    </row>
    <row r="49952" spans="1:2" x14ac:dyDescent="0.2">
      <c r="A49952" t="s">
        <v>15866</v>
      </c>
      <c r="B49952" t="str">
        <f>HYPERLINK("https://lindat.mff.cuni.cz/services/teitok/pdtc10/index.php?action=vallex&amp;frame=v-w7018f2", "udělat se (v-w7018f2)")</f>
        <v>udělat se (v-w7018f2)</v>
      </c>
    </row>
    <row r="49953" spans="1:2" x14ac:dyDescent="0.2">
      <c r="B49953" t="s">
        <v>1</v>
      </c>
    </row>
    <row r="49954" spans="1:2" x14ac:dyDescent="0.2">
      <c r="B49954" t="s">
        <v>438</v>
      </c>
    </row>
    <row r="49956" spans="1:2" x14ac:dyDescent="0.2">
      <c r="A49956" t="s">
        <v>15867</v>
      </c>
      <c r="B49956" t="str">
        <f>HYPERLINK("https://lindat.mff.cuni.cz/services/teitok/pdtc10/index.php?action=vallex&amp;frame=v-w7018f3", "udělat se (v-w7018f3)")</f>
        <v>udělat se (v-w7018f3)</v>
      </c>
    </row>
    <row r="49957" spans="1:2" x14ac:dyDescent="0.2">
      <c r="B49957" t="s">
        <v>1</v>
      </c>
    </row>
    <row r="49959" spans="1:2" x14ac:dyDescent="0.2">
      <c r="A49959" t="s">
        <v>15868</v>
      </c>
      <c r="B49959" t="str">
        <f>HYPERLINK("https://lindat.mff.cuni.cz/services/teitok/pdtc10/index.php?action=vallex&amp;frame=v-w7018f1", "udělat se (v-w7018f1)")</f>
        <v>udělat se (v-w7018f1)</v>
      </c>
    </row>
    <row r="49960" spans="1:2" x14ac:dyDescent="0.2">
      <c r="B49960" t="s">
        <v>415</v>
      </c>
    </row>
    <row r="49961" spans="1:2" x14ac:dyDescent="0.2">
      <c r="B49961" t="s">
        <v>346</v>
      </c>
    </row>
    <row r="49962" spans="1:2" x14ac:dyDescent="0.2">
      <c r="B49962" t="s">
        <v>348</v>
      </c>
    </row>
    <row r="49963" spans="1:2" x14ac:dyDescent="0.2">
      <c r="B49963" t="s">
        <v>349</v>
      </c>
    </row>
    <row r="49964" spans="1:2" x14ac:dyDescent="0.2">
      <c r="B49964" t="s">
        <v>350</v>
      </c>
    </row>
    <row r="49965" spans="1:2" x14ac:dyDescent="0.2">
      <c r="B49965" t="s">
        <v>351</v>
      </c>
    </row>
    <row r="49967" spans="1:2" x14ac:dyDescent="0.2">
      <c r="A49967" t="s">
        <v>15869</v>
      </c>
      <c r="B49967" t="str">
        <f>HYPERLINK("https://lindat.mff.cuni.cz/services/teitok/pdtc10/index.php?action=vallex&amp;frame=v-w7018f4_ZU", "udělat se (v-w7018f4_ZU)")</f>
        <v>udělat se (v-w7018f4_ZU)</v>
      </c>
    </row>
    <row r="49968" spans="1:2" x14ac:dyDescent="0.2">
      <c r="B49968" t="s">
        <v>1</v>
      </c>
    </row>
    <row r="49970" spans="1:3" x14ac:dyDescent="0.2">
      <c r="A49970" t="s">
        <v>15870</v>
      </c>
      <c r="B49970" t="str">
        <f>HYPERLINK("https://lindat.mff.cuni.cz/services/teitok/pdtc10/index.php?action=vallex&amp;frame=v-w7018hsa_583", "udělat se (v-w7018hsa_583)")</f>
        <v>udělat se (v-w7018hsa_583)</v>
      </c>
    </row>
    <row r="49971" spans="1:3" x14ac:dyDescent="0.2">
      <c r="B49971" t="s">
        <v>455</v>
      </c>
    </row>
    <row r="49972" spans="1:3" x14ac:dyDescent="0.2">
      <c r="B49972" t="s">
        <v>507</v>
      </c>
    </row>
    <row r="49974" spans="1:3" x14ac:dyDescent="0.2">
      <c r="A49974" t="s">
        <v>15871</v>
      </c>
      <c r="B49974" t="str">
        <f>HYPERLINK("https://lindat.mff.cuni.cz/services/teitok/pdtc10/index.php?action=vallex&amp;frame=v-w7019f3_ZU", "udělat si (v-w7019f3_ZU)")</f>
        <v>udělat si (v-w7019f3_ZU)</v>
      </c>
    </row>
    <row r="49975" spans="1:3" x14ac:dyDescent="0.2">
      <c r="B49975" t="s">
        <v>1</v>
      </c>
    </row>
    <row r="49976" spans="1:3" x14ac:dyDescent="0.2">
      <c r="B49976" t="s">
        <v>15872</v>
      </c>
    </row>
    <row r="49978" spans="1:3" x14ac:dyDescent="0.2">
      <c r="A49978" t="s">
        <v>15871</v>
      </c>
      <c r="B49978" t="str">
        <f>HYPERLINK("https://lindat.mff.cuni.cz/services/teitok/pdtc10/index.php?action=vallex&amp;frame=v-w7019f1", "udělat si (v-w7019f1) - substituted with v-w7019f3_ZU")</f>
        <v>udělat si (v-w7019f1) - substituted with v-w7019f3_ZU</v>
      </c>
    </row>
    <row r="49979" spans="1:3" x14ac:dyDescent="0.2">
      <c r="B49979" t="s">
        <v>1</v>
      </c>
      <c r="C49979" t="s">
        <v>15873</v>
      </c>
    </row>
    <row r="49980" spans="1:3" x14ac:dyDescent="0.2">
      <c r="B49980" t="s">
        <v>15872</v>
      </c>
      <c r="C49980" t="s">
        <v>15874</v>
      </c>
    </row>
    <row r="49982" spans="1:3" x14ac:dyDescent="0.2">
      <c r="A49982" t="s">
        <v>15871</v>
      </c>
      <c r="B49982" t="str">
        <f>HYPERLINK("https://lindat.mff.cuni.cz/services/teitok/pdtc10/index.php?action=vallex&amp;frame=v-w7019hsa_1311", "udělat si (v-w7019hsa_1311) - substituted with v-w7019f3_ZU")</f>
        <v>udělat si (v-w7019hsa_1311) - substituted with v-w7019f3_ZU</v>
      </c>
    </row>
    <row r="49983" spans="1:3" x14ac:dyDescent="0.2">
      <c r="B49983" t="s">
        <v>1</v>
      </c>
    </row>
    <row r="49984" spans="1:3" x14ac:dyDescent="0.2">
      <c r="B49984" t="s">
        <v>15872</v>
      </c>
    </row>
    <row r="49986" spans="1:4" x14ac:dyDescent="0.2">
      <c r="A49986" t="s">
        <v>15871</v>
      </c>
      <c r="B49986" t="str">
        <f>HYPERLINK("https://lindat.mff.cuni.cz/services/teitok/pdtc10/index.php?action=vallex&amp;frame=v-w7019hsa_257", "udělat si (v-w7019hsa_257) - substituted with v-w7019f3_ZU")</f>
        <v>udělat si (v-w7019hsa_257) - substituted with v-w7019f3_ZU</v>
      </c>
    </row>
    <row r="49987" spans="1:4" x14ac:dyDescent="0.2">
      <c r="B49987" t="s">
        <v>1</v>
      </c>
      <c r="D49987" t="s">
        <v>23008</v>
      </c>
    </row>
    <row r="49988" spans="1:4" x14ac:dyDescent="0.2">
      <c r="B49988" t="s">
        <v>15872</v>
      </c>
      <c r="D49988" t="s">
        <v>24254</v>
      </c>
    </row>
    <row r="49990" spans="1:4" x14ac:dyDescent="0.2">
      <c r="A49990" t="s">
        <v>15875</v>
      </c>
      <c r="B49990" t="str">
        <f>HYPERLINK("https://lindat.mff.cuni.cz/services/teitok/pdtc10/index.php?action=vallex&amp;frame=v-w7019f2_ZU", "udělat si (v-w7019f2_ZU)")</f>
        <v>udělat si (v-w7019f2_ZU)</v>
      </c>
    </row>
    <row r="49991" spans="1:4" x14ac:dyDescent="0.2">
      <c r="B49991" t="s">
        <v>1</v>
      </c>
      <c r="C49991" t="s">
        <v>1865</v>
      </c>
    </row>
    <row r="49992" spans="1:4" x14ac:dyDescent="0.2">
      <c r="B49992" t="s">
        <v>15876</v>
      </c>
      <c r="C49992" t="s">
        <v>1987</v>
      </c>
    </row>
    <row r="49993" spans="1:4" x14ac:dyDescent="0.2">
      <c r="B49993" t="s">
        <v>183</v>
      </c>
    </row>
    <row r="49995" spans="1:4" x14ac:dyDescent="0.2">
      <c r="A49995" t="s">
        <v>15877</v>
      </c>
      <c r="B49995" t="str">
        <f>HYPERLINK("https://lindat.mff.cuni.cz/services/teitok/pdtc10/index.php?action=vallex&amp;frame=v-w7019hsa_1310", "udělat si (v-w7019hsa_1310)")</f>
        <v>udělat si (v-w7019hsa_1310)</v>
      </c>
    </row>
    <row r="49996" spans="1:4" x14ac:dyDescent="0.2">
      <c r="B49996" t="s">
        <v>1</v>
      </c>
    </row>
    <row r="49997" spans="1:4" x14ac:dyDescent="0.2">
      <c r="B49997" t="s">
        <v>8</v>
      </c>
    </row>
    <row r="49999" spans="1:4" x14ac:dyDescent="0.2">
      <c r="A49999" t="s">
        <v>15878</v>
      </c>
      <c r="B49999" t="str">
        <f>HYPERLINK("https://lindat.mff.cuni.cz/services/teitok/pdtc10/index.php?action=vallex&amp;frame=v-w7022f1", "udělit (v-w7022f1)")</f>
        <v>udělit (v-w7022f1)</v>
      </c>
    </row>
    <row r="50000" spans="1:4" x14ac:dyDescent="0.2">
      <c r="B50000" t="s">
        <v>1</v>
      </c>
      <c r="C50000" t="s">
        <v>15879</v>
      </c>
      <c r="D50000" t="s">
        <v>23960</v>
      </c>
    </row>
    <row r="50001" spans="1:4" x14ac:dyDescent="0.2">
      <c r="B50001" t="s">
        <v>8</v>
      </c>
      <c r="C50001" t="s">
        <v>15880</v>
      </c>
      <c r="D50001" t="s">
        <v>23961</v>
      </c>
    </row>
    <row r="50002" spans="1:4" x14ac:dyDescent="0.2">
      <c r="B50002" t="s">
        <v>35</v>
      </c>
      <c r="C50002" t="s">
        <v>15881</v>
      </c>
      <c r="D50002" t="s">
        <v>23962</v>
      </c>
    </row>
    <row r="50004" spans="1:4" x14ac:dyDescent="0.2">
      <c r="A50004" t="s">
        <v>15882</v>
      </c>
      <c r="B50004" t="str">
        <f>HYPERLINK("https://lindat.mff.cuni.cz/services/teitok/pdtc10/index.php?action=vallex&amp;frame=v-w7022f5_ZU", "udělit (v-w7022f5_ZU)")</f>
        <v>udělit (v-w7022f5_ZU)</v>
      </c>
    </row>
    <row r="50005" spans="1:4" x14ac:dyDescent="0.2">
      <c r="B50005" t="s">
        <v>1</v>
      </c>
      <c r="C50005" t="s">
        <v>11013</v>
      </c>
      <c r="D50005" t="s">
        <v>24255</v>
      </c>
    </row>
    <row r="50006" spans="1:4" x14ac:dyDescent="0.2">
      <c r="B50006" t="s">
        <v>15883</v>
      </c>
      <c r="C50006" t="s">
        <v>15884</v>
      </c>
      <c r="D50006" t="s">
        <v>24256</v>
      </c>
    </row>
    <row r="50007" spans="1:4" x14ac:dyDescent="0.2">
      <c r="B50007" t="s">
        <v>35</v>
      </c>
      <c r="C50007" t="s">
        <v>15885</v>
      </c>
      <c r="D50007" t="s">
        <v>24257</v>
      </c>
    </row>
    <row r="50009" spans="1:4" x14ac:dyDescent="0.2">
      <c r="A50009" t="s">
        <v>15882</v>
      </c>
      <c r="B50009" t="str">
        <f>HYPERLINK("https://lindat.mff.cuni.cz/services/teitok/pdtc10/index.php?action=vallex&amp;frame=v-w7022f2", "udělit (v-w7022f2) - substituted with v-w7022f5_ZU")</f>
        <v>udělit (v-w7022f2) - substituted with v-w7022f5_ZU</v>
      </c>
    </row>
    <row r="50010" spans="1:4" x14ac:dyDescent="0.2">
      <c r="B50010" t="s">
        <v>1</v>
      </c>
      <c r="C50010" t="s">
        <v>2530</v>
      </c>
    </row>
    <row r="50011" spans="1:4" x14ac:dyDescent="0.2">
      <c r="B50011" t="s">
        <v>15883</v>
      </c>
      <c r="C50011" t="s">
        <v>2545</v>
      </c>
    </row>
    <row r="50012" spans="1:4" x14ac:dyDescent="0.2">
      <c r="B50012" t="s">
        <v>35</v>
      </c>
      <c r="C50012" t="s">
        <v>2546</v>
      </c>
    </row>
    <row r="50014" spans="1:4" x14ac:dyDescent="0.2">
      <c r="A50014" t="s">
        <v>15882</v>
      </c>
      <c r="B50014" t="str">
        <f>HYPERLINK("https://lindat.mff.cuni.cz/services/teitok/pdtc10/index.php?action=vallex&amp;frame=v-w7022f3_ZU", "udělit (v-w7022f3_ZU) - substituted with v-w7022f5_ZU")</f>
        <v>udělit (v-w7022f3_ZU) - substituted with v-w7022f5_ZU</v>
      </c>
    </row>
    <row r="50015" spans="1:4" x14ac:dyDescent="0.2">
      <c r="B50015" t="s">
        <v>1</v>
      </c>
      <c r="C50015" t="s">
        <v>2530</v>
      </c>
    </row>
    <row r="50016" spans="1:4" x14ac:dyDescent="0.2">
      <c r="B50016" t="s">
        <v>15883</v>
      </c>
      <c r="C50016" t="s">
        <v>2545</v>
      </c>
    </row>
    <row r="50017" spans="1:4" x14ac:dyDescent="0.2">
      <c r="B50017" t="s">
        <v>35</v>
      </c>
      <c r="C50017" t="s">
        <v>2546</v>
      </c>
    </row>
    <row r="50019" spans="1:4" x14ac:dyDescent="0.2">
      <c r="A50019" t="s">
        <v>15882</v>
      </c>
      <c r="B50019" t="str">
        <f>HYPERLINK("https://lindat.mff.cuni.cz/services/teitok/pdtc10/index.php?action=vallex&amp;frame=v-w7022f4_ZU", "udělit (v-w7022f4_ZU) - substituted with v-w7022f5_ZU")</f>
        <v>udělit (v-w7022f4_ZU) - substituted with v-w7022f5_ZU</v>
      </c>
    </row>
    <row r="50020" spans="1:4" x14ac:dyDescent="0.2">
      <c r="B50020" t="s">
        <v>1</v>
      </c>
      <c r="C50020" t="s">
        <v>990</v>
      </c>
    </row>
    <row r="50021" spans="1:4" x14ac:dyDescent="0.2">
      <c r="B50021" t="s">
        <v>15883</v>
      </c>
      <c r="C50021" t="s">
        <v>15886</v>
      </c>
    </row>
    <row r="50022" spans="1:4" x14ac:dyDescent="0.2">
      <c r="B50022" t="s">
        <v>35</v>
      </c>
      <c r="C50022" t="s">
        <v>15887</v>
      </c>
    </row>
    <row r="50024" spans="1:4" x14ac:dyDescent="0.2">
      <c r="A50024" t="s">
        <v>15882</v>
      </c>
      <c r="B50024" t="str">
        <f>HYPERLINK("https://lindat.mff.cuni.cz/services/teitok/pdtc10/index.php?action=vallex&amp;frame=v-w7022hsa_540", "udělit (v-w7022hsa_540) - substituted with v-w7022f5_ZU")</f>
        <v>udělit (v-w7022hsa_540) - substituted with v-w7022f5_ZU</v>
      </c>
    </row>
    <row r="50025" spans="1:4" x14ac:dyDescent="0.2">
      <c r="B50025" t="s">
        <v>1</v>
      </c>
    </row>
    <row r="50026" spans="1:4" x14ac:dyDescent="0.2">
      <c r="B50026" t="s">
        <v>15883</v>
      </c>
    </row>
    <row r="50027" spans="1:4" x14ac:dyDescent="0.2">
      <c r="B50027" t="s">
        <v>35</v>
      </c>
    </row>
    <row r="50029" spans="1:4" x14ac:dyDescent="0.2">
      <c r="A50029" t="s">
        <v>15888</v>
      </c>
      <c r="B50029" t="str">
        <f>HYPERLINK("https://lindat.mff.cuni.cz/services/teitok/pdtc10/index.php?action=vallex&amp;frame=v-w7024f1", "udělovat (v-w7024f1)")</f>
        <v>udělovat (v-w7024f1)</v>
      </c>
    </row>
    <row r="50030" spans="1:4" x14ac:dyDescent="0.2">
      <c r="B50030" t="s">
        <v>1</v>
      </c>
      <c r="C50030" t="s">
        <v>15889</v>
      </c>
      <c r="D50030" t="s">
        <v>9612</v>
      </c>
    </row>
    <row r="50031" spans="1:4" x14ac:dyDescent="0.2">
      <c r="B50031" t="s">
        <v>8</v>
      </c>
      <c r="C50031" t="s">
        <v>15890</v>
      </c>
      <c r="D50031" t="s">
        <v>23646</v>
      </c>
    </row>
    <row r="50032" spans="1:4" x14ac:dyDescent="0.2">
      <c r="B50032" t="s">
        <v>35</v>
      </c>
      <c r="C50032" t="s">
        <v>15891</v>
      </c>
      <c r="D50032" t="s">
        <v>23862</v>
      </c>
    </row>
    <row r="50034" spans="1:4" x14ac:dyDescent="0.2">
      <c r="A50034" t="s">
        <v>15892</v>
      </c>
      <c r="B50034" t="str">
        <f>HYPERLINK("https://lindat.mff.cuni.cz/services/teitok/pdtc10/index.php?action=vallex&amp;frame=v-w7024f6_ZU", "udělovat (v-w7024f6_ZU)")</f>
        <v>udělovat (v-w7024f6_ZU)</v>
      </c>
    </row>
    <row r="50035" spans="1:4" x14ac:dyDescent="0.2">
      <c r="B50035" t="s">
        <v>1</v>
      </c>
      <c r="C50035" t="s">
        <v>990</v>
      </c>
      <c r="D50035" t="s">
        <v>24258</v>
      </c>
    </row>
    <row r="50036" spans="1:4" x14ac:dyDescent="0.2">
      <c r="B50036" t="s">
        <v>15893</v>
      </c>
      <c r="C50036" t="s">
        <v>15886</v>
      </c>
      <c r="D50036" t="s">
        <v>24259</v>
      </c>
    </row>
    <row r="50037" spans="1:4" x14ac:dyDescent="0.2">
      <c r="B50037" t="s">
        <v>35</v>
      </c>
      <c r="C50037" t="s">
        <v>15887</v>
      </c>
      <c r="D50037" t="s">
        <v>24260</v>
      </c>
    </row>
    <row r="50039" spans="1:4" x14ac:dyDescent="0.2">
      <c r="A50039" t="s">
        <v>15892</v>
      </c>
      <c r="B50039" t="str">
        <f>HYPERLINK("https://lindat.mff.cuni.cz/services/teitok/pdtc10/index.php?action=vallex&amp;frame=v-w7024f2", "udělovat (v-w7024f2) - substituted with v-w7024f6_ZU")</f>
        <v>udělovat (v-w7024f2) - substituted with v-w7024f6_ZU</v>
      </c>
    </row>
    <row r="50040" spans="1:4" x14ac:dyDescent="0.2">
      <c r="B50040" t="s">
        <v>1</v>
      </c>
    </row>
    <row r="50041" spans="1:4" x14ac:dyDescent="0.2">
      <c r="B50041" t="s">
        <v>15893</v>
      </c>
    </row>
    <row r="50042" spans="1:4" x14ac:dyDescent="0.2">
      <c r="B50042" t="s">
        <v>35</v>
      </c>
    </row>
    <row r="50044" spans="1:4" x14ac:dyDescent="0.2">
      <c r="A50044" t="s">
        <v>15892</v>
      </c>
      <c r="B50044" t="str">
        <f>HYPERLINK("https://lindat.mff.cuni.cz/services/teitok/pdtc10/index.php?action=vallex&amp;frame=v-w7024f3_ZU", "udělovat (v-w7024f3_ZU) - substituted with v-w7024f6_ZU")</f>
        <v>udělovat (v-w7024f3_ZU) - substituted with v-w7024f6_ZU</v>
      </c>
    </row>
    <row r="50045" spans="1:4" x14ac:dyDescent="0.2">
      <c r="B50045" t="s">
        <v>1</v>
      </c>
    </row>
    <row r="50046" spans="1:4" x14ac:dyDescent="0.2">
      <c r="B50046" t="s">
        <v>15893</v>
      </c>
    </row>
    <row r="50047" spans="1:4" x14ac:dyDescent="0.2">
      <c r="B50047" t="s">
        <v>35</v>
      </c>
    </row>
    <row r="50049" spans="1:3" x14ac:dyDescent="0.2">
      <c r="A50049" t="s">
        <v>15892</v>
      </c>
      <c r="B50049" t="str">
        <f>HYPERLINK("https://lindat.mff.cuni.cz/services/teitok/pdtc10/index.php?action=vallex&amp;frame=v-w7024f4_ZU", "udělovat (v-w7024f4_ZU) - substituted with v-w7024f6_ZU")</f>
        <v>udělovat (v-w7024f4_ZU) - substituted with v-w7024f6_ZU</v>
      </c>
    </row>
    <row r="50050" spans="1:3" x14ac:dyDescent="0.2">
      <c r="B50050" t="s">
        <v>1</v>
      </c>
    </row>
    <row r="50051" spans="1:3" x14ac:dyDescent="0.2">
      <c r="B50051" t="s">
        <v>15893</v>
      </c>
    </row>
    <row r="50052" spans="1:3" x14ac:dyDescent="0.2">
      <c r="B50052" t="s">
        <v>35</v>
      </c>
    </row>
    <row r="50054" spans="1:3" x14ac:dyDescent="0.2">
      <c r="A50054" t="s">
        <v>15892</v>
      </c>
      <c r="B50054" t="str">
        <f>HYPERLINK("https://lindat.mff.cuni.cz/services/teitok/pdtc10/index.php?action=vallex&amp;frame=v-w7024f5_ZU", "udělovat (v-w7024f5_ZU) - substituted with v-w7024f6_ZU")</f>
        <v>udělovat (v-w7024f5_ZU) - substituted with v-w7024f6_ZU</v>
      </c>
    </row>
    <row r="50055" spans="1:3" x14ac:dyDescent="0.2">
      <c r="B50055" t="s">
        <v>1</v>
      </c>
      <c r="C50055" t="s">
        <v>2530</v>
      </c>
    </row>
    <row r="50056" spans="1:3" x14ac:dyDescent="0.2">
      <c r="B50056" t="s">
        <v>15893</v>
      </c>
      <c r="C50056" t="s">
        <v>2545</v>
      </c>
    </row>
    <row r="50057" spans="1:3" x14ac:dyDescent="0.2">
      <c r="B50057" t="s">
        <v>35</v>
      </c>
      <c r="C50057" t="s">
        <v>2546</v>
      </c>
    </row>
    <row r="50059" spans="1:3" x14ac:dyDescent="0.2">
      <c r="A50059" t="s">
        <v>15892</v>
      </c>
      <c r="B50059" t="str">
        <f>HYPERLINK("https://lindat.mff.cuni.cz/services/teitok/pdtc10/index.php?action=vallex&amp;frame=v-w7024hsa_1008", "udělovat (v-w7024hsa_1008) - substituted with v-w7024f6_ZU")</f>
        <v>udělovat (v-w7024hsa_1008) - substituted with v-w7024f6_ZU</v>
      </c>
    </row>
    <row r="50060" spans="1:3" x14ac:dyDescent="0.2">
      <c r="B50060" t="s">
        <v>1</v>
      </c>
    </row>
    <row r="50061" spans="1:3" x14ac:dyDescent="0.2">
      <c r="B50061" t="s">
        <v>15893</v>
      </c>
    </row>
    <row r="50062" spans="1:3" x14ac:dyDescent="0.2">
      <c r="B50062" t="s">
        <v>35</v>
      </c>
    </row>
    <row r="50064" spans="1:3" x14ac:dyDescent="0.2">
      <c r="A50064" t="s">
        <v>15894</v>
      </c>
      <c r="B50064" t="str">
        <f>HYPERLINK("https://lindat.mff.cuni.cz/services/teitok/pdtc10/index.php?action=vallex&amp;frame=v-w12252_ZUf1_ZU", "udřít se (v-w12252_ZUf1_ZU)")</f>
        <v>udřít se (v-w12252_ZUf1_ZU)</v>
      </c>
    </row>
    <row r="50065" spans="1:4" x14ac:dyDescent="0.2">
      <c r="B50065" t="s">
        <v>1</v>
      </c>
    </row>
    <row r="50067" spans="1:4" x14ac:dyDescent="0.2">
      <c r="A50067" t="s">
        <v>15895</v>
      </c>
      <c r="B50067" t="str">
        <f>HYPERLINK("https://lindat.mff.cuni.cz/services/teitok/pdtc10/index.php?action=vallex&amp;frame=v-w7042f1", "uhasit (v-w7042f1)")</f>
        <v>uhasit (v-w7042f1)</v>
      </c>
    </row>
    <row r="50068" spans="1:4" x14ac:dyDescent="0.2">
      <c r="B50068" t="s">
        <v>1</v>
      </c>
      <c r="D50068" t="s">
        <v>33</v>
      </c>
    </row>
    <row r="50069" spans="1:4" x14ac:dyDescent="0.2">
      <c r="B50069" t="s">
        <v>8</v>
      </c>
      <c r="C50069" t="s">
        <v>113</v>
      </c>
      <c r="D50069" t="s">
        <v>113</v>
      </c>
    </row>
    <row r="50071" spans="1:4" x14ac:dyDescent="0.2">
      <c r="A50071" t="s">
        <v>15896</v>
      </c>
      <c r="B50071" t="str">
        <f>HYPERLINK("https://lindat.mff.cuni.cz/services/teitok/pdtc10/index.php?action=vallex&amp;frame=v-w7043f1", "uhlídat (v-w7043f1)")</f>
        <v>uhlídat (v-w7043f1)</v>
      </c>
    </row>
    <row r="50072" spans="1:4" x14ac:dyDescent="0.2">
      <c r="B50072" t="s">
        <v>1</v>
      </c>
    </row>
    <row r="50073" spans="1:4" x14ac:dyDescent="0.2">
      <c r="B50073" t="s">
        <v>8</v>
      </c>
    </row>
    <row r="50075" spans="1:4" x14ac:dyDescent="0.2">
      <c r="A50075" t="s">
        <v>15897</v>
      </c>
      <c r="B50075" t="str">
        <f>HYPERLINK("https://lindat.mff.cuni.cz/services/teitok/pdtc10/index.php?action=vallex&amp;frame=v-w10176f4", "uhnout (v-w10176f4)")</f>
        <v>uhnout (v-w10176f4)</v>
      </c>
    </row>
    <row r="50076" spans="1:4" x14ac:dyDescent="0.2">
      <c r="B50076" t="s">
        <v>1</v>
      </c>
      <c r="D50076" t="s">
        <v>4807</v>
      </c>
    </row>
    <row r="50077" spans="1:4" x14ac:dyDescent="0.2">
      <c r="B50077" t="s">
        <v>15898</v>
      </c>
      <c r="D50077" t="s">
        <v>384</v>
      </c>
    </row>
    <row r="50079" spans="1:4" x14ac:dyDescent="0.2">
      <c r="A50079" t="s">
        <v>15899</v>
      </c>
      <c r="B50079" t="str">
        <f>HYPERLINK("https://lindat.mff.cuni.cz/services/teitok/pdtc10/index.php?action=vallex&amp;frame=v-w10176f2", "uhnout (v-w10176f2)")</f>
        <v>uhnout (v-w10176f2)</v>
      </c>
    </row>
    <row r="50080" spans="1:4" x14ac:dyDescent="0.2">
      <c r="B50080" t="s">
        <v>1</v>
      </c>
    </row>
    <row r="50081" spans="1:3" x14ac:dyDescent="0.2">
      <c r="B50081" t="s">
        <v>333</v>
      </c>
    </row>
    <row r="50083" spans="1:3" x14ac:dyDescent="0.2">
      <c r="A50083" t="s">
        <v>15900</v>
      </c>
      <c r="B50083" t="str">
        <f>HYPERLINK("https://lindat.mff.cuni.cz/services/teitok/pdtc10/index.php?action=vallex&amp;frame=v-w12085_ZUf1_ZU", "uhnít (v-w12085_ZUf1_ZU)")</f>
        <v>uhnít (v-w12085_ZUf1_ZU)</v>
      </c>
    </row>
    <row r="50084" spans="1:3" x14ac:dyDescent="0.2">
      <c r="B50084" t="s">
        <v>1</v>
      </c>
    </row>
    <row r="50086" spans="1:3" x14ac:dyDescent="0.2">
      <c r="A50086" t="s">
        <v>15901</v>
      </c>
      <c r="B50086" t="str">
        <f>HYPERLINK("https://lindat.mff.cuni.cz/services/teitok/pdtc10/index.php?action=vallex&amp;frame=v-w12086_ZUf1_ZU", "uhnívat (v-w12086_ZUf1_ZU)")</f>
        <v>uhnívat (v-w12086_ZUf1_ZU)</v>
      </c>
    </row>
    <row r="50087" spans="1:3" x14ac:dyDescent="0.2">
      <c r="B50087" t="s">
        <v>1</v>
      </c>
    </row>
    <row r="50089" spans="1:3" x14ac:dyDescent="0.2">
      <c r="A50089" t="s">
        <v>15902</v>
      </c>
      <c r="B50089" t="str">
        <f>HYPERLINK("https://lindat.mff.cuni.cz/services/teitok/pdtc10/index.php?action=vallex&amp;frame=v-w7044f1", "uhnízdit se (v-w7044f1)")</f>
        <v>uhnízdit se (v-w7044f1)</v>
      </c>
    </row>
    <row r="50090" spans="1:3" x14ac:dyDescent="0.2">
      <c r="B50090" t="s">
        <v>1</v>
      </c>
      <c r="C50090" t="s">
        <v>2172</v>
      </c>
    </row>
    <row r="50092" spans="1:3" x14ac:dyDescent="0.2">
      <c r="A50092" t="s">
        <v>15903</v>
      </c>
      <c r="B50092" t="str">
        <f>HYPERLINK("https://lindat.mff.cuni.cz/services/teitok/pdtc10/index.php?action=vallex&amp;frame=v-w7045f2", "uhodit (v-w7045f2)")</f>
        <v>uhodit (v-w7045f2)</v>
      </c>
    </row>
    <row r="50093" spans="1:3" x14ac:dyDescent="0.2">
      <c r="B50093" t="s">
        <v>1</v>
      </c>
    </row>
    <row r="50094" spans="1:3" x14ac:dyDescent="0.2">
      <c r="B50094" t="s">
        <v>8</v>
      </c>
    </row>
    <row r="50096" spans="1:3" x14ac:dyDescent="0.2">
      <c r="A50096" t="s">
        <v>15904</v>
      </c>
      <c r="B50096" t="str">
        <f>HYPERLINK("https://lindat.mff.cuni.cz/services/teitok/pdtc10/index.php?action=vallex&amp;frame=v-w7045f3", "uhodit (v-w7045f3)")</f>
        <v>uhodit (v-w7045f3)</v>
      </c>
    </row>
    <row r="50097" spans="1:4" x14ac:dyDescent="0.2">
      <c r="B50097" t="s">
        <v>1</v>
      </c>
      <c r="C50097" t="s">
        <v>15905</v>
      </c>
      <c r="D50097" t="s">
        <v>22988</v>
      </c>
    </row>
    <row r="50099" spans="1:4" x14ac:dyDescent="0.2">
      <c r="A50099" t="s">
        <v>15906</v>
      </c>
      <c r="B50099" t="str">
        <f>HYPERLINK("https://lindat.mff.cuni.cz/services/teitok/pdtc10/index.php?action=vallex&amp;frame=v-w7045f1", "uhodit (v-w7045f1)")</f>
        <v>uhodit (v-w7045f1)</v>
      </c>
    </row>
    <row r="50101" spans="1:4" x14ac:dyDescent="0.2">
      <c r="A50101" t="s">
        <v>15907</v>
      </c>
      <c r="B50101" t="str">
        <f>HYPERLINK("https://lindat.mff.cuni.cz/services/teitok/pdtc10/index.php?action=vallex&amp;frame=v-w7045f4_ZU", "uhodit (v-w7045f4_ZU)")</f>
        <v>uhodit (v-w7045f4_ZU)</v>
      </c>
    </row>
    <row r="50102" spans="1:4" x14ac:dyDescent="0.2">
      <c r="B50102" t="s">
        <v>1</v>
      </c>
    </row>
    <row r="50104" spans="1:4" x14ac:dyDescent="0.2">
      <c r="A50104" t="s">
        <v>15908</v>
      </c>
      <c r="B50104" t="str">
        <f>HYPERLINK("https://lindat.mff.cuni.cz/services/teitok/pdtc10/index.php?action=vallex&amp;frame=v-whsa_1499hsa_1500", "uhodit se (v-whsa_1499hsa_1500)")</f>
        <v>uhodit se (v-whsa_1499hsa_1500)</v>
      </c>
    </row>
    <row r="50105" spans="1:4" x14ac:dyDescent="0.2">
      <c r="B50105" t="s">
        <v>1</v>
      </c>
    </row>
    <row r="50107" spans="1:4" x14ac:dyDescent="0.2">
      <c r="A50107" t="s">
        <v>15909</v>
      </c>
      <c r="B50107" t="str">
        <f>HYPERLINK("https://lindat.mff.cuni.cz/services/teitok/pdtc10/index.php?action=vallex&amp;frame=v-w7046f1", "uhodnout (v-w7046f1)")</f>
        <v>uhodnout (v-w7046f1)</v>
      </c>
    </row>
    <row r="50108" spans="1:4" x14ac:dyDescent="0.2">
      <c r="B50108" t="s">
        <v>1</v>
      </c>
      <c r="C50108" t="s">
        <v>16</v>
      </c>
    </row>
    <row r="50109" spans="1:4" x14ac:dyDescent="0.2">
      <c r="B50109" t="s">
        <v>1284</v>
      </c>
      <c r="C50109" t="s">
        <v>1109</v>
      </c>
    </row>
    <row r="50111" spans="1:4" x14ac:dyDescent="0.2">
      <c r="A50111" t="s">
        <v>15910</v>
      </c>
      <c r="B50111" t="str">
        <f>HYPERLINK("https://lindat.mff.cuni.cz/services/teitok/pdtc10/index.php?action=vallex&amp;frame=v-whsa_1301hsa_1302", "uhořet (v-whsa_1301hsa_1302)")</f>
        <v>uhořet (v-whsa_1301hsa_1302)</v>
      </c>
    </row>
    <row r="50112" spans="1:4" x14ac:dyDescent="0.2">
      <c r="B50112" t="s">
        <v>1</v>
      </c>
    </row>
    <row r="50114" spans="1:4" x14ac:dyDescent="0.2">
      <c r="A50114" t="s">
        <v>15911</v>
      </c>
      <c r="B50114" t="str">
        <f>HYPERLINK("https://lindat.mff.cuni.cz/services/teitok/pdtc10/index.php?action=vallex&amp;frame=v-w11772_ZUf1_ZU", "uhrabat (v-w11772_ZUf1_ZU)")</f>
        <v>uhrabat (v-w11772_ZUf1_ZU)</v>
      </c>
    </row>
    <row r="50115" spans="1:4" x14ac:dyDescent="0.2">
      <c r="B50115" t="s">
        <v>1</v>
      </c>
    </row>
    <row r="50116" spans="1:4" x14ac:dyDescent="0.2">
      <c r="B50116" t="s">
        <v>8</v>
      </c>
    </row>
    <row r="50118" spans="1:4" x14ac:dyDescent="0.2">
      <c r="A50118" t="s">
        <v>15912</v>
      </c>
      <c r="B50118" t="str">
        <f>HYPERLINK("https://lindat.mff.cuni.cz/services/teitok/pdtc10/index.php?action=vallex&amp;frame=v-w7048f1", "uhradit (v-w7048f1)")</f>
        <v>uhradit (v-w7048f1)</v>
      </c>
    </row>
    <row r="50119" spans="1:4" x14ac:dyDescent="0.2">
      <c r="B50119" t="s">
        <v>1</v>
      </c>
      <c r="C50119" t="s">
        <v>15913</v>
      </c>
      <c r="D50119" t="s">
        <v>23350</v>
      </c>
    </row>
    <row r="50120" spans="1:4" x14ac:dyDescent="0.2">
      <c r="B50120" t="s">
        <v>8</v>
      </c>
      <c r="C50120" t="s">
        <v>15914</v>
      </c>
      <c r="D50120" t="s">
        <v>23351</v>
      </c>
    </row>
    <row r="50121" spans="1:4" x14ac:dyDescent="0.2">
      <c r="B50121" t="s">
        <v>78</v>
      </c>
      <c r="C50121" t="s">
        <v>15915</v>
      </c>
      <c r="D50121" t="s">
        <v>23352</v>
      </c>
    </row>
    <row r="50122" spans="1:4" x14ac:dyDescent="0.2">
      <c r="B50122" t="s">
        <v>413</v>
      </c>
      <c r="C50122" t="s">
        <v>15916</v>
      </c>
    </row>
    <row r="50124" spans="1:4" x14ac:dyDescent="0.2">
      <c r="A50124" t="s">
        <v>15917</v>
      </c>
      <c r="B50124" t="str">
        <f>HYPERLINK("https://lindat.mff.cuni.cz/services/teitok/pdtc10/index.php?action=vallex&amp;frame=v-w7048f2", "uhradit (v-w7048f2)")</f>
        <v>uhradit (v-w7048f2)</v>
      </c>
    </row>
    <row r="50125" spans="1:4" x14ac:dyDescent="0.2">
      <c r="B50125" t="s">
        <v>1</v>
      </c>
      <c r="D50125" t="s">
        <v>23164</v>
      </c>
    </row>
    <row r="50126" spans="1:4" x14ac:dyDescent="0.2">
      <c r="B50126" t="s">
        <v>524</v>
      </c>
      <c r="D50126" t="s">
        <v>23169</v>
      </c>
    </row>
    <row r="50127" spans="1:4" x14ac:dyDescent="0.2">
      <c r="B50127" t="s">
        <v>1382</v>
      </c>
    </row>
    <row r="50128" spans="1:4" x14ac:dyDescent="0.2">
      <c r="B50128" t="s">
        <v>78</v>
      </c>
      <c r="D50128" t="s">
        <v>23166</v>
      </c>
    </row>
    <row r="50130" spans="1:4" x14ac:dyDescent="0.2">
      <c r="A50130" t="s">
        <v>15918</v>
      </c>
      <c r="B50130" t="str">
        <f>HYPERLINK("https://lindat.mff.cuni.cz/services/teitok/pdtc10/index.php?action=vallex&amp;frame=v-w7051f1", "uhrazovat (v-w7051f1)")</f>
        <v>uhrazovat (v-w7051f1)</v>
      </c>
    </row>
    <row r="50131" spans="1:4" x14ac:dyDescent="0.2">
      <c r="B50131" t="s">
        <v>1</v>
      </c>
      <c r="D50131" t="s">
        <v>23164</v>
      </c>
    </row>
    <row r="50132" spans="1:4" x14ac:dyDescent="0.2">
      <c r="B50132" t="s">
        <v>8</v>
      </c>
      <c r="D50132" t="s">
        <v>23165</v>
      </c>
    </row>
    <row r="50133" spans="1:4" x14ac:dyDescent="0.2">
      <c r="B50133" t="s">
        <v>78</v>
      </c>
      <c r="D50133" t="s">
        <v>23166</v>
      </c>
    </row>
    <row r="50134" spans="1:4" x14ac:dyDescent="0.2">
      <c r="B50134" t="s">
        <v>413</v>
      </c>
    </row>
    <row r="50136" spans="1:4" x14ac:dyDescent="0.2">
      <c r="A50136" t="s">
        <v>15919</v>
      </c>
      <c r="B50136" t="str">
        <f>HYPERLINK("https://lindat.mff.cuni.cz/services/teitok/pdtc10/index.php?action=vallex&amp;frame=v-w7049f1", "uhrát (v-w7049f1)")</f>
        <v>uhrát (v-w7049f1)</v>
      </c>
    </row>
    <row r="50137" spans="1:4" x14ac:dyDescent="0.2">
      <c r="B50137" t="s">
        <v>1</v>
      </c>
    </row>
    <row r="50138" spans="1:4" x14ac:dyDescent="0.2">
      <c r="B50138" t="s">
        <v>8</v>
      </c>
    </row>
    <row r="50139" spans="1:4" x14ac:dyDescent="0.2">
      <c r="B50139" t="s">
        <v>2288</v>
      </c>
    </row>
    <row r="50141" spans="1:4" x14ac:dyDescent="0.2">
      <c r="A50141" t="s">
        <v>15920</v>
      </c>
      <c r="B50141" t="str">
        <f>HYPERLINK("https://lindat.mff.cuni.cz/services/teitok/pdtc10/index.php?action=vallex&amp;frame=v-w7053f1", "uhynout (v-w7053f1)")</f>
        <v>uhynout (v-w7053f1)</v>
      </c>
    </row>
    <row r="50142" spans="1:4" x14ac:dyDescent="0.2">
      <c r="B50142" t="s">
        <v>1</v>
      </c>
    </row>
    <row r="50144" spans="1:4" x14ac:dyDescent="0.2">
      <c r="A50144" t="s">
        <v>15921</v>
      </c>
      <c r="B50144" t="str">
        <f>HYPERLINK("https://lindat.mff.cuni.cz/services/teitok/pdtc10/index.php?action=vallex&amp;frame=v-w10402f3", "uhádnout (v-w10402f3)")</f>
        <v>uhádnout (v-w10402f3)</v>
      </c>
    </row>
    <row r="50145" spans="1:4" x14ac:dyDescent="0.2">
      <c r="B50145" t="s">
        <v>1</v>
      </c>
      <c r="C50145" t="s">
        <v>16</v>
      </c>
    </row>
    <row r="50146" spans="1:4" x14ac:dyDescent="0.2">
      <c r="B50146" t="s">
        <v>1693</v>
      </c>
      <c r="C50146" t="s">
        <v>34</v>
      </c>
    </row>
    <row r="50148" spans="1:4" x14ac:dyDescent="0.2">
      <c r="A50148" t="s">
        <v>15922</v>
      </c>
      <c r="B50148" t="str">
        <f>HYPERLINK("https://lindat.mff.cuni.cz/services/teitok/pdtc10/index.php?action=vallex&amp;frame=v-w7041f1", "uhájit (v-w7041f1)")</f>
        <v>uhájit (v-w7041f1)</v>
      </c>
    </row>
    <row r="50149" spans="1:4" x14ac:dyDescent="0.2">
      <c r="B50149" t="s">
        <v>1</v>
      </c>
    </row>
    <row r="50150" spans="1:4" x14ac:dyDescent="0.2">
      <c r="B50150" t="s">
        <v>41</v>
      </c>
    </row>
    <row r="50152" spans="1:4" x14ac:dyDescent="0.2">
      <c r="A50152" t="s">
        <v>15923</v>
      </c>
      <c r="B50152" t="str">
        <f>HYPERLINK("https://lindat.mff.cuni.cz/services/teitok/pdtc10/index.php?action=vallex&amp;frame=v-w10996f2", "uhánět (v-w10996f2)")</f>
        <v>uhánět (v-w10996f2)</v>
      </c>
    </row>
    <row r="50153" spans="1:4" x14ac:dyDescent="0.2">
      <c r="B50153" t="s">
        <v>1</v>
      </c>
      <c r="C50153" t="s">
        <v>249</v>
      </c>
      <c r="D50153" t="s">
        <v>109</v>
      </c>
    </row>
    <row r="50154" spans="1:4" x14ac:dyDescent="0.2">
      <c r="B50154" t="s">
        <v>8</v>
      </c>
      <c r="D50154" t="s">
        <v>1190</v>
      </c>
    </row>
    <row r="50156" spans="1:4" x14ac:dyDescent="0.2">
      <c r="A50156" t="s">
        <v>15924</v>
      </c>
      <c r="B50156" t="str">
        <f>HYPERLINK("https://lindat.mff.cuni.cz/services/teitok/pdtc10/index.php?action=vallex&amp;frame=v-w10996f3_ZU", "uhánět (v-w10996f3_ZU)")</f>
        <v>uhánět (v-w10996f3_ZU)</v>
      </c>
    </row>
    <row r="50157" spans="1:4" x14ac:dyDescent="0.2">
      <c r="B50157" t="s">
        <v>1</v>
      </c>
    </row>
    <row r="50159" spans="1:4" x14ac:dyDescent="0.2">
      <c r="A50159" t="s">
        <v>15925</v>
      </c>
      <c r="B50159" t="str">
        <f>HYPERLINK("https://lindat.mff.cuni.cz/services/teitok/pdtc10/index.php?action=vallex&amp;frame=v-w10996f4_ZU", "uhánět (v-w10996f4_ZU)")</f>
        <v>uhánět (v-w10996f4_ZU)</v>
      </c>
    </row>
    <row r="50160" spans="1:4" x14ac:dyDescent="0.2">
      <c r="B50160" t="s">
        <v>1</v>
      </c>
    </row>
    <row r="50162" spans="1:4" x14ac:dyDescent="0.2">
      <c r="A50162" t="s">
        <v>15926</v>
      </c>
      <c r="B50162" t="str">
        <f>HYPERLINK("https://lindat.mff.cuni.cz/services/teitok/pdtc10/index.php?action=vallex&amp;frame=v-w10996f5_ZU", "uhánět (v-w10996f5_ZU)")</f>
        <v>uhánět (v-w10996f5_ZU)</v>
      </c>
    </row>
    <row r="50163" spans="1:4" x14ac:dyDescent="0.2">
      <c r="B50163" t="s">
        <v>1</v>
      </c>
    </row>
    <row r="50164" spans="1:4" x14ac:dyDescent="0.2">
      <c r="B50164" t="s">
        <v>8</v>
      </c>
    </row>
    <row r="50166" spans="1:4" x14ac:dyDescent="0.2">
      <c r="A50166" t="s">
        <v>15927</v>
      </c>
      <c r="B50166" t="str">
        <f>HYPERLINK("https://lindat.mff.cuni.cz/services/teitok/pdtc10/index.php?action=vallex&amp;frame=v-w12074_ZUf1_ZU", "uháčkovat (v-w12074_ZUf1_ZU)")</f>
        <v>uháčkovat (v-w12074_ZUf1_ZU)</v>
      </c>
    </row>
    <row r="50167" spans="1:4" x14ac:dyDescent="0.2">
      <c r="B50167" t="s">
        <v>1</v>
      </c>
    </row>
    <row r="50168" spans="1:4" x14ac:dyDescent="0.2">
      <c r="B50168" t="s">
        <v>8</v>
      </c>
    </row>
    <row r="50169" spans="1:4" x14ac:dyDescent="0.2">
      <c r="B50169" t="s">
        <v>24</v>
      </c>
    </row>
    <row r="50171" spans="1:4" x14ac:dyDescent="0.2">
      <c r="A50171" t="s">
        <v>15928</v>
      </c>
      <c r="B50171" t="str">
        <f>HYPERLINK("https://lindat.mff.cuni.cz/services/teitok/pdtc10/index.php?action=vallex&amp;frame=v-w10681f2", "uhýbat (v-w10681f2)")</f>
        <v>uhýbat (v-w10681f2)</v>
      </c>
    </row>
    <row r="50172" spans="1:4" x14ac:dyDescent="0.2">
      <c r="B50172" t="s">
        <v>1</v>
      </c>
      <c r="C50172" t="s">
        <v>373</v>
      </c>
      <c r="D50172" t="s">
        <v>4807</v>
      </c>
    </row>
    <row r="50173" spans="1:4" x14ac:dyDescent="0.2">
      <c r="B50173" t="s">
        <v>15898</v>
      </c>
      <c r="C50173" t="s">
        <v>991</v>
      </c>
      <c r="D50173" t="s">
        <v>384</v>
      </c>
    </row>
    <row r="50175" spans="1:4" x14ac:dyDescent="0.2">
      <c r="A50175" t="s">
        <v>15929</v>
      </c>
      <c r="B50175" t="str">
        <f>HYPERLINK("https://lindat.mff.cuni.cz/services/teitok/pdtc10/index.php?action=vallex&amp;frame=v-w7072f1", "ujasnit (v-w7072f1)")</f>
        <v>ujasnit (v-w7072f1)</v>
      </c>
    </row>
    <row r="50176" spans="1:4" x14ac:dyDescent="0.2">
      <c r="B50176" t="s">
        <v>1</v>
      </c>
    </row>
    <row r="50177" spans="1:2" x14ac:dyDescent="0.2">
      <c r="B50177" t="s">
        <v>2158</v>
      </c>
    </row>
    <row r="50178" spans="1:2" x14ac:dyDescent="0.2">
      <c r="B50178" t="s">
        <v>35</v>
      </c>
    </row>
    <row r="50180" spans="1:2" x14ac:dyDescent="0.2">
      <c r="A50180" t="s">
        <v>15930</v>
      </c>
      <c r="B50180" t="str">
        <f>HYPERLINK("https://lindat.mff.cuni.cz/services/teitok/pdtc10/index.php?action=vallex&amp;frame=v-w7073f1", "ujasnit si (v-w7073f1)")</f>
        <v>ujasnit si (v-w7073f1)</v>
      </c>
    </row>
    <row r="50181" spans="1:2" x14ac:dyDescent="0.2">
      <c r="B50181" t="s">
        <v>1</v>
      </c>
    </row>
    <row r="50182" spans="1:2" x14ac:dyDescent="0.2">
      <c r="B50182" t="s">
        <v>7150</v>
      </c>
    </row>
    <row r="50184" spans="1:2" x14ac:dyDescent="0.2">
      <c r="A50184" t="s">
        <v>15931</v>
      </c>
      <c r="B50184" t="str">
        <f>HYPERLINK("https://lindat.mff.cuni.cz/services/teitok/pdtc10/index.php?action=vallex&amp;frame=v-w7075f1", "ujednat (v-w7075f1)")</f>
        <v>ujednat (v-w7075f1)</v>
      </c>
    </row>
    <row r="50185" spans="1:2" x14ac:dyDescent="0.2">
      <c r="B50185" t="s">
        <v>1</v>
      </c>
    </row>
    <row r="50186" spans="1:2" x14ac:dyDescent="0.2">
      <c r="B50186" t="s">
        <v>1557</v>
      </c>
    </row>
    <row r="50187" spans="1:2" x14ac:dyDescent="0.2">
      <c r="B50187" t="s">
        <v>153</v>
      </c>
    </row>
    <row r="50189" spans="1:2" x14ac:dyDescent="0.2">
      <c r="A50189" t="s">
        <v>15932</v>
      </c>
      <c r="B50189" t="str">
        <f>HYPERLINK("https://lindat.mff.cuni.cz/services/teitok/pdtc10/index.php?action=vallex&amp;frame=v-w10622f2", "ujednávat (v-w10622f2)")</f>
        <v>ujednávat (v-w10622f2)</v>
      </c>
    </row>
    <row r="50190" spans="1:2" x14ac:dyDescent="0.2">
      <c r="B50190" t="s">
        <v>1</v>
      </c>
    </row>
    <row r="50191" spans="1:2" x14ac:dyDescent="0.2">
      <c r="B50191" t="s">
        <v>1557</v>
      </c>
    </row>
    <row r="50192" spans="1:2" x14ac:dyDescent="0.2">
      <c r="B50192" t="s">
        <v>153</v>
      </c>
    </row>
    <row r="50194" spans="1:3" x14ac:dyDescent="0.2">
      <c r="A50194" t="s">
        <v>15933</v>
      </c>
      <c r="B50194" t="str">
        <f>HYPERLINK("https://lindat.mff.cuni.cz/services/teitok/pdtc10/index.php?action=vallex&amp;frame=v-w7076f2", "ujet (v-w7076f2)")</f>
        <v>ujet (v-w7076f2)</v>
      </c>
    </row>
    <row r="50195" spans="1:3" x14ac:dyDescent="0.2">
      <c r="B50195" t="s">
        <v>1</v>
      </c>
    </row>
    <row r="50196" spans="1:3" x14ac:dyDescent="0.2">
      <c r="B50196" t="s">
        <v>103</v>
      </c>
    </row>
    <row r="50198" spans="1:3" x14ac:dyDescent="0.2">
      <c r="A50198" t="s">
        <v>15934</v>
      </c>
      <c r="B50198" t="str">
        <f>HYPERLINK("https://lindat.mff.cuni.cz/services/teitok/pdtc10/index.php?action=vallex&amp;frame=v-w7076f3", "ujet (v-w7076f3)")</f>
        <v>ujet (v-w7076f3)</v>
      </c>
    </row>
    <row r="50199" spans="1:3" x14ac:dyDescent="0.2">
      <c r="B50199" t="s">
        <v>1</v>
      </c>
    </row>
    <row r="50200" spans="1:3" x14ac:dyDescent="0.2">
      <c r="B50200" t="s">
        <v>8</v>
      </c>
    </row>
    <row r="50202" spans="1:3" x14ac:dyDescent="0.2">
      <c r="A50202" t="s">
        <v>15935</v>
      </c>
      <c r="B50202" t="str">
        <f>HYPERLINK("https://lindat.mff.cuni.cz/services/teitok/pdtc10/index.php?action=vallex&amp;frame=v-w7076f1", "ujet (v-w7076f1)")</f>
        <v>ujet (v-w7076f1)</v>
      </c>
    </row>
    <row r="50203" spans="1:3" x14ac:dyDescent="0.2">
      <c r="B50203" t="s">
        <v>1</v>
      </c>
      <c r="C50203" t="s">
        <v>109</v>
      </c>
    </row>
    <row r="50204" spans="1:3" x14ac:dyDescent="0.2">
      <c r="B50204" t="s">
        <v>333</v>
      </c>
    </row>
    <row r="50206" spans="1:3" x14ac:dyDescent="0.2">
      <c r="A50206" t="s">
        <v>15936</v>
      </c>
      <c r="B50206" t="str">
        <f>HYPERLINK("https://lindat.mff.cuni.cz/services/teitok/pdtc10/index.php?action=vallex&amp;frame=v-w7076f4", "ujet (v-w7076f4)")</f>
        <v>ujet (v-w7076f4)</v>
      </c>
    </row>
    <row r="50207" spans="1:3" x14ac:dyDescent="0.2">
      <c r="B50207" t="s">
        <v>1</v>
      </c>
    </row>
    <row r="50209" spans="1:4" x14ac:dyDescent="0.2">
      <c r="A50209" t="s">
        <v>15937</v>
      </c>
      <c r="B50209" t="str">
        <f>HYPERLINK("https://lindat.mff.cuni.cz/services/teitok/pdtc10/index.php?action=vallex&amp;frame=v-w7081f1", "ujistit (v-w7081f1)")</f>
        <v>ujistit (v-w7081f1)</v>
      </c>
    </row>
    <row r="50210" spans="1:4" x14ac:dyDescent="0.2">
      <c r="B50210" t="s">
        <v>1</v>
      </c>
      <c r="C50210" t="s">
        <v>1065</v>
      </c>
      <c r="D50210" t="s">
        <v>230</v>
      </c>
    </row>
    <row r="50211" spans="1:4" x14ac:dyDescent="0.2">
      <c r="B50211" t="s">
        <v>15652</v>
      </c>
      <c r="C50211" t="s">
        <v>15938</v>
      </c>
      <c r="D50211" t="s">
        <v>24087</v>
      </c>
    </row>
    <row r="50212" spans="1:4" x14ac:dyDescent="0.2">
      <c r="B50212" t="s">
        <v>58</v>
      </c>
      <c r="C50212" t="s">
        <v>15939</v>
      </c>
      <c r="D50212" t="s">
        <v>15939</v>
      </c>
    </row>
    <row r="50214" spans="1:4" x14ac:dyDescent="0.2">
      <c r="A50214" t="s">
        <v>15940</v>
      </c>
      <c r="B50214" t="str">
        <f>HYPERLINK("https://lindat.mff.cuni.cz/services/teitok/pdtc10/index.php?action=vallex&amp;frame=v-w7082hsa_1754", "ujistit se (v-w7082hsa_1754)")</f>
        <v>ujistit se (v-w7082hsa_1754)</v>
      </c>
    </row>
    <row r="50215" spans="1:4" x14ac:dyDescent="0.2">
      <c r="B50215" t="s">
        <v>1</v>
      </c>
    </row>
    <row r="50216" spans="1:4" x14ac:dyDescent="0.2">
      <c r="B50216" t="s">
        <v>15941</v>
      </c>
    </row>
    <row r="50218" spans="1:4" x14ac:dyDescent="0.2">
      <c r="A50218" t="s">
        <v>15940</v>
      </c>
      <c r="B50218" t="str">
        <f>HYPERLINK("https://lindat.mff.cuni.cz/services/teitok/pdtc10/index.php?action=vallex&amp;frame=v-w7082f1", "ujistit se (v-w7082f1) - substituted with v-w7082hsa_1754")</f>
        <v>ujistit se (v-w7082f1) - substituted with v-w7082hsa_1754</v>
      </c>
    </row>
    <row r="50219" spans="1:4" x14ac:dyDescent="0.2">
      <c r="B50219" t="s">
        <v>1</v>
      </c>
      <c r="D50219" t="s">
        <v>23936</v>
      </c>
    </row>
    <row r="50220" spans="1:4" x14ac:dyDescent="0.2">
      <c r="B50220" t="s">
        <v>15941</v>
      </c>
      <c r="D50220" t="s">
        <v>9371</v>
      </c>
    </row>
    <row r="50222" spans="1:4" x14ac:dyDescent="0.2">
      <c r="A50222" t="s">
        <v>15942</v>
      </c>
      <c r="B50222" t="str">
        <f>HYPERLINK("https://lindat.mff.cuni.cz/services/teitok/pdtc10/index.php?action=vallex&amp;frame=v-w7084f1", "ujišťovat (v-w7084f1)")</f>
        <v>ujišťovat (v-w7084f1)</v>
      </c>
    </row>
    <row r="50223" spans="1:4" x14ac:dyDescent="0.2">
      <c r="B50223" t="s">
        <v>1</v>
      </c>
      <c r="C50223" t="s">
        <v>5685</v>
      </c>
      <c r="D50223" t="s">
        <v>230</v>
      </c>
    </row>
    <row r="50224" spans="1:4" x14ac:dyDescent="0.2">
      <c r="B50224" t="s">
        <v>15652</v>
      </c>
      <c r="C50224" t="s">
        <v>2169</v>
      </c>
      <c r="D50224" t="s">
        <v>24087</v>
      </c>
    </row>
    <row r="50225" spans="1:4" x14ac:dyDescent="0.2">
      <c r="B50225" t="s">
        <v>58</v>
      </c>
      <c r="D50225" t="s">
        <v>15939</v>
      </c>
    </row>
    <row r="50227" spans="1:4" x14ac:dyDescent="0.2">
      <c r="A50227" t="s">
        <v>15943</v>
      </c>
      <c r="B50227" t="str">
        <f>HYPERLINK("https://lindat.mff.cuni.cz/services/teitok/pdtc10/index.php?action=vallex&amp;frame=v-w7088f1", "ujmout se (v-w7088f1)")</f>
        <v>ujmout se (v-w7088f1)</v>
      </c>
    </row>
    <row r="50228" spans="1:4" x14ac:dyDescent="0.2">
      <c r="B50228" t="s">
        <v>1</v>
      </c>
      <c r="C50228" t="s">
        <v>15944</v>
      </c>
      <c r="D50228" t="s">
        <v>294</v>
      </c>
    </row>
    <row r="50229" spans="1:4" x14ac:dyDescent="0.2">
      <c r="B50229" t="s">
        <v>917</v>
      </c>
      <c r="C50229" t="s">
        <v>15945</v>
      </c>
      <c r="D50229" t="s">
        <v>6566</v>
      </c>
    </row>
    <row r="50231" spans="1:4" x14ac:dyDescent="0.2">
      <c r="A50231" t="s">
        <v>15946</v>
      </c>
      <c r="B50231" t="str">
        <f>HYPERLINK("https://lindat.mff.cuni.cz/services/teitok/pdtc10/index.php?action=vallex&amp;frame=v-w7088f2", "ujmout se (v-w7088f2)")</f>
        <v>ujmout se (v-w7088f2)</v>
      </c>
    </row>
    <row r="50232" spans="1:4" x14ac:dyDescent="0.2">
      <c r="B50232" t="s">
        <v>1</v>
      </c>
      <c r="C50232" t="s">
        <v>140</v>
      </c>
      <c r="D50232" t="s">
        <v>6204</v>
      </c>
    </row>
    <row r="50234" spans="1:4" x14ac:dyDescent="0.2">
      <c r="A50234" t="s">
        <v>15947</v>
      </c>
      <c r="B50234" t="str">
        <f>HYPERLINK("https://lindat.mff.cuni.cz/services/teitok/pdtc10/index.php?action=vallex&amp;frame=v-w7078f1", "ujídat (v-w7078f1)")</f>
        <v>ujídat (v-w7078f1)</v>
      </c>
    </row>
    <row r="50235" spans="1:4" x14ac:dyDescent="0.2">
      <c r="B50235" t="s">
        <v>1</v>
      </c>
      <c r="C50235" t="s">
        <v>15948</v>
      </c>
      <c r="D50235" t="s">
        <v>3742</v>
      </c>
    </row>
    <row r="50236" spans="1:4" x14ac:dyDescent="0.2">
      <c r="B50236" t="s">
        <v>8</v>
      </c>
      <c r="C50236" t="s">
        <v>1109</v>
      </c>
      <c r="D50236" t="s">
        <v>125</v>
      </c>
    </row>
    <row r="50238" spans="1:4" x14ac:dyDescent="0.2">
      <c r="A50238" t="s">
        <v>15949</v>
      </c>
      <c r="B50238" t="str">
        <f>HYPERLINK("https://lindat.mff.cuni.cz/services/teitok/pdtc10/index.php?action=vallex&amp;frame=v-w7079f1", "ujímat se (v-w7079f1)")</f>
        <v>ujímat se (v-w7079f1)</v>
      </c>
    </row>
    <row r="50239" spans="1:4" x14ac:dyDescent="0.2">
      <c r="B50239" t="s">
        <v>1</v>
      </c>
      <c r="D50239" t="s">
        <v>294</v>
      </c>
    </row>
    <row r="50240" spans="1:4" x14ac:dyDescent="0.2">
      <c r="B50240" t="s">
        <v>917</v>
      </c>
      <c r="D50240" t="s">
        <v>6566</v>
      </c>
    </row>
    <row r="50242" spans="1:4" x14ac:dyDescent="0.2">
      <c r="A50242" t="s">
        <v>15950</v>
      </c>
      <c r="B50242" t="str">
        <f>HYPERLINK("https://lindat.mff.cuni.cz/services/teitok/pdtc10/index.php?action=vallex&amp;frame=v-w7079hsa_708", "ujímat se (v-w7079hsa_708)")</f>
        <v>ujímat se (v-w7079hsa_708)</v>
      </c>
    </row>
    <row r="50243" spans="1:4" x14ac:dyDescent="0.2">
      <c r="B50243" t="s">
        <v>1</v>
      </c>
    </row>
    <row r="50245" spans="1:4" x14ac:dyDescent="0.2">
      <c r="A50245" t="s">
        <v>15951</v>
      </c>
      <c r="B50245" t="str">
        <f>HYPERLINK("https://lindat.mff.cuni.cz/services/teitok/pdtc10/index.php?action=vallex&amp;frame=v-w7080f1", "ujíst (v-w7080f1)")</f>
        <v>ujíst (v-w7080f1)</v>
      </c>
    </row>
    <row r="50246" spans="1:4" x14ac:dyDescent="0.2">
      <c r="B50246" t="s">
        <v>1</v>
      </c>
      <c r="D50246" t="s">
        <v>15948</v>
      </c>
    </row>
    <row r="50247" spans="1:4" x14ac:dyDescent="0.2">
      <c r="B50247" t="s">
        <v>8</v>
      </c>
      <c r="D50247" t="s">
        <v>110</v>
      </c>
    </row>
    <row r="50249" spans="1:4" x14ac:dyDescent="0.2">
      <c r="A50249" t="s">
        <v>15952</v>
      </c>
      <c r="B50249" t="str">
        <f>HYPERLINK("https://lindat.mff.cuni.cz/services/teitok/pdtc10/index.php?action=vallex&amp;frame=v-w7085f1", "ujít (v-w7085f1)")</f>
        <v>ujít (v-w7085f1)</v>
      </c>
    </row>
    <row r="50250" spans="1:4" x14ac:dyDescent="0.2">
      <c r="B50250" t="s">
        <v>1</v>
      </c>
    </row>
    <row r="50251" spans="1:4" x14ac:dyDescent="0.2">
      <c r="B50251" t="s">
        <v>103</v>
      </c>
    </row>
    <row r="50253" spans="1:4" x14ac:dyDescent="0.2">
      <c r="A50253" t="s">
        <v>15953</v>
      </c>
      <c r="B50253" t="str">
        <f>HYPERLINK("https://lindat.mff.cuni.cz/services/teitok/pdtc10/index.php?action=vallex&amp;frame=v-w7085f3", "ujít (v-w7085f3)")</f>
        <v>ujít (v-w7085f3)</v>
      </c>
    </row>
    <row r="50254" spans="1:4" x14ac:dyDescent="0.2">
      <c r="B50254" t="s">
        <v>1</v>
      </c>
    </row>
    <row r="50255" spans="1:4" x14ac:dyDescent="0.2">
      <c r="B50255" t="s">
        <v>8</v>
      </c>
    </row>
    <row r="50257" spans="1:4" x14ac:dyDescent="0.2">
      <c r="A50257" t="s">
        <v>15954</v>
      </c>
      <c r="B50257" t="str">
        <f>HYPERLINK("https://lindat.mff.cuni.cz/services/teitok/pdtc10/index.php?action=vallex&amp;frame=v-w7085f4", "ujít (v-w7085f4)")</f>
        <v>ujít (v-w7085f4)</v>
      </c>
    </row>
    <row r="50258" spans="1:4" x14ac:dyDescent="0.2">
      <c r="B50258" t="s">
        <v>455</v>
      </c>
      <c r="C50258" t="s">
        <v>1566</v>
      </c>
      <c r="D50258" t="s">
        <v>24261</v>
      </c>
    </row>
    <row r="50259" spans="1:4" x14ac:dyDescent="0.2">
      <c r="B50259" t="s">
        <v>15955</v>
      </c>
      <c r="C50259" t="s">
        <v>359</v>
      </c>
      <c r="D50259" t="s">
        <v>24262</v>
      </c>
    </row>
    <row r="50261" spans="1:4" x14ac:dyDescent="0.2">
      <c r="A50261" t="s">
        <v>15956</v>
      </c>
      <c r="B50261" t="str">
        <f>HYPERLINK("https://lindat.mff.cuni.cz/services/teitok/pdtc10/index.php?action=vallex&amp;frame=v-w7085f2", "ujít (v-w7085f2)")</f>
        <v>ujít (v-w7085f2)</v>
      </c>
    </row>
    <row r="50262" spans="1:4" x14ac:dyDescent="0.2">
      <c r="B50262" t="s">
        <v>1</v>
      </c>
    </row>
    <row r="50264" spans="1:4" x14ac:dyDescent="0.2">
      <c r="A50264" t="s">
        <v>15957</v>
      </c>
      <c r="B50264" t="str">
        <f>HYPERLINK("https://lindat.mff.cuni.cz/services/teitok/pdtc10/index.php?action=vallex&amp;frame=v-w7086f1", "ujíždět (v-w7086f1)")</f>
        <v>ujíždět (v-w7086f1)</v>
      </c>
    </row>
    <row r="50265" spans="1:4" x14ac:dyDescent="0.2">
      <c r="B50265" t="s">
        <v>1</v>
      </c>
    </row>
    <row r="50266" spans="1:4" x14ac:dyDescent="0.2">
      <c r="B50266" t="s">
        <v>103</v>
      </c>
    </row>
    <row r="50268" spans="1:4" x14ac:dyDescent="0.2">
      <c r="A50268" t="s">
        <v>15958</v>
      </c>
      <c r="B50268" t="str">
        <f>HYPERLINK("https://lindat.mff.cuni.cz/services/teitok/pdtc10/index.php?action=vallex&amp;frame=v-w7086f2", "ujíždět (v-w7086f2)")</f>
        <v>ujíždět (v-w7086f2)</v>
      </c>
    </row>
    <row r="50269" spans="1:4" x14ac:dyDescent="0.2">
      <c r="B50269" t="s">
        <v>1</v>
      </c>
      <c r="D50269" t="s">
        <v>5475</v>
      </c>
    </row>
    <row r="50270" spans="1:4" x14ac:dyDescent="0.2">
      <c r="B50270" t="s">
        <v>333</v>
      </c>
    </row>
    <row r="50272" spans="1:4" x14ac:dyDescent="0.2">
      <c r="A50272" t="s">
        <v>15959</v>
      </c>
      <c r="B50272" t="str">
        <f>HYPERLINK("https://lindat.mff.cuni.cz/services/teitok/pdtc10/index.php?action=vallex&amp;frame=v-w7089f1", "ukamenovat (v-w7089f1)")</f>
        <v>ukamenovat (v-w7089f1)</v>
      </c>
    </row>
    <row r="50273" spans="1:4" x14ac:dyDescent="0.2">
      <c r="B50273" t="s">
        <v>1</v>
      </c>
    </row>
    <row r="50274" spans="1:4" x14ac:dyDescent="0.2">
      <c r="B50274" t="s">
        <v>8</v>
      </c>
    </row>
    <row r="50276" spans="1:4" x14ac:dyDescent="0.2">
      <c r="A50276" t="s">
        <v>15960</v>
      </c>
      <c r="B50276" t="str">
        <f>HYPERLINK("https://lindat.mff.cuni.cz/services/teitok/pdtc10/index.php?action=vallex&amp;frame=v-w7090f1", "ukapávat (v-w7090f1)")</f>
        <v>ukapávat (v-w7090f1)</v>
      </c>
    </row>
    <row r="50277" spans="1:4" x14ac:dyDescent="0.2">
      <c r="B50277" t="s">
        <v>1</v>
      </c>
    </row>
    <row r="50278" spans="1:4" x14ac:dyDescent="0.2">
      <c r="B50278" t="s">
        <v>333</v>
      </c>
    </row>
    <row r="50280" spans="1:4" x14ac:dyDescent="0.2">
      <c r="A50280" t="s">
        <v>15961</v>
      </c>
      <c r="B50280" t="str">
        <f>HYPERLINK("https://lindat.mff.cuni.cz/services/teitok/pdtc10/index.php?action=vallex&amp;frame=v-w7098f9_ZU", "ukazovat (v-w7098f9_ZU)")</f>
        <v>ukazovat (v-w7098f9_ZU)</v>
      </c>
    </row>
    <row r="50281" spans="1:4" x14ac:dyDescent="0.2">
      <c r="B50281" t="s">
        <v>488</v>
      </c>
    </row>
    <row r="50282" spans="1:4" x14ac:dyDescent="0.2">
      <c r="B50282" t="s">
        <v>1307</v>
      </c>
    </row>
    <row r="50283" spans="1:4" x14ac:dyDescent="0.2">
      <c r="B50283" t="s">
        <v>35</v>
      </c>
    </row>
    <row r="50285" spans="1:4" x14ac:dyDescent="0.2">
      <c r="A50285" t="s">
        <v>15961</v>
      </c>
      <c r="B50285" t="str">
        <f>HYPERLINK("https://lindat.mff.cuni.cz/services/teitok/pdtc10/index.php?action=vallex&amp;frame=v-w7098f1", "ukazovat (v-w7098f1) - substituted with v-w7098f9_ZU")</f>
        <v>ukazovat (v-w7098f1) - substituted with v-w7098f9_ZU</v>
      </c>
    </row>
    <row r="50286" spans="1:4" x14ac:dyDescent="0.2">
      <c r="B50286" t="s">
        <v>488</v>
      </c>
      <c r="C50286" t="s">
        <v>15962</v>
      </c>
      <c r="D50286" t="s">
        <v>23089</v>
      </c>
    </row>
    <row r="50287" spans="1:4" x14ac:dyDescent="0.2">
      <c r="B50287" t="s">
        <v>1307</v>
      </c>
      <c r="C50287" t="s">
        <v>15963</v>
      </c>
      <c r="D50287" t="s">
        <v>8880</v>
      </c>
    </row>
    <row r="50288" spans="1:4" x14ac:dyDescent="0.2">
      <c r="B50288" t="s">
        <v>35</v>
      </c>
      <c r="C50288" t="s">
        <v>15964</v>
      </c>
      <c r="D50288" t="s">
        <v>11069</v>
      </c>
    </row>
    <row r="50290" spans="1:4" x14ac:dyDescent="0.2">
      <c r="A50290" t="s">
        <v>15965</v>
      </c>
      <c r="B50290" t="str">
        <f>HYPERLINK("https://lindat.mff.cuni.cz/services/teitok/pdtc10/index.php?action=vallex&amp;frame=v-w7098f2", "ukazovat (v-w7098f2)")</f>
        <v>ukazovat (v-w7098f2)</v>
      </c>
    </row>
    <row r="50291" spans="1:4" x14ac:dyDescent="0.2">
      <c r="B50291" t="s">
        <v>196</v>
      </c>
      <c r="C50291" t="s">
        <v>7505</v>
      </c>
      <c r="D50291" t="s">
        <v>1271</v>
      </c>
    </row>
    <row r="50292" spans="1:4" x14ac:dyDescent="0.2">
      <c r="B50292" t="s">
        <v>28</v>
      </c>
      <c r="C50292" t="s">
        <v>15966</v>
      </c>
      <c r="D50292" t="s">
        <v>23874</v>
      </c>
    </row>
    <row r="50293" spans="1:4" x14ac:dyDescent="0.2">
      <c r="B50293" t="s">
        <v>78</v>
      </c>
      <c r="C50293" t="s">
        <v>4440</v>
      </c>
      <c r="D50293" t="s">
        <v>24263</v>
      </c>
    </row>
    <row r="50295" spans="1:4" x14ac:dyDescent="0.2">
      <c r="A50295" t="s">
        <v>15967</v>
      </c>
      <c r="B50295" t="str">
        <f>HYPERLINK("https://lindat.mff.cuni.cz/services/teitok/pdtc10/index.php?action=vallex&amp;frame=v-w7098f3", "ukazovat (v-w7098f3)")</f>
        <v>ukazovat (v-w7098f3)</v>
      </c>
    </row>
    <row r="50296" spans="1:4" x14ac:dyDescent="0.2">
      <c r="B50296" t="s">
        <v>1</v>
      </c>
      <c r="D50296" t="s">
        <v>13243</v>
      </c>
    </row>
    <row r="50297" spans="1:4" x14ac:dyDescent="0.2">
      <c r="B50297" t="s">
        <v>8</v>
      </c>
      <c r="C50297" t="s">
        <v>10526</v>
      </c>
      <c r="D50297" t="s">
        <v>23359</v>
      </c>
    </row>
    <row r="50299" spans="1:4" x14ac:dyDescent="0.2">
      <c r="A50299" t="s">
        <v>15968</v>
      </c>
      <c r="B50299" t="str">
        <f>HYPERLINK("https://lindat.mff.cuni.cz/services/teitok/pdtc10/index.php?action=vallex&amp;frame=v-w7098f4", "ukazovat (v-w7098f4)")</f>
        <v>ukazovat (v-w7098f4)</v>
      </c>
    </row>
    <row r="50300" spans="1:4" x14ac:dyDescent="0.2">
      <c r="B50300" t="s">
        <v>1</v>
      </c>
      <c r="C50300" t="s">
        <v>3255</v>
      </c>
      <c r="D50300" t="s">
        <v>23136</v>
      </c>
    </row>
    <row r="50301" spans="1:4" x14ac:dyDescent="0.2">
      <c r="B50301" t="s">
        <v>4749</v>
      </c>
      <c r="C50301" t="s">
        <v>15969</v>
      </c>
      <c r="D50301" t="s">
        <v>15140</v>
      </c>
    </row>
    <row r="50302" spans="1:4" x14ac:dyDescent="0.2">
      <c r="B50302" t="s">
        <v>269</v>
      </c>
      <c r="D50302" t="s">
        <v>732</v>
      </c>
    </row>
    <row r="50303" spans="1:4" x14ac:dyDescent="0.2">
      <c r="B50303" t="s">
        <v>78</v>
      </c>
      <c r="D50303" t="s">
        <v>10545</v>
      </c>
    </row>
    <row r="50305" spans="1:4" x14ac:dyDescent="0.2">
      <c r="A50305" t="s">
        <v>15970</v>
      </c>
      <c r="B50305" t="str">
        <f>HYPERLINK("https://lindat.mff.cuni.cz/services/teitok/pdtc10/index.php?action=vallex&amp;frame=v-w7098f5", "ukazovat (v-w7098f5)")</f>
        <v>ukazovat (v-w7098f5)</v>
      </c>
    </row>
    <row r="50306" spans="1:4" x14ac:dyDescent="0.2">
      <c r="B50306" t="s">
        <v>1</v>
      </c>
    </row>
    <row r="50307" spans="1:4" x14ac:dyDescent="0.2">
      <c r="B50307" t="s">
        <v>90</v>
      </c>
    </row>
    <row r="50308" spans="1:4" x14ac:dyDescent="0.2">
      <c r="B50308" t="s">
        <v>86</v>
      </c>
    </row>
    <row r="50310" spans="1:4" x14ac:dyDescent="0.2">
      <c r="A50310" t="s">
        <v>15971</v>
      </c>
      <c r="B50310" t="str">
        <f>HYPERLINK("https://lindat.mff.cuni.cz/services/teitok/pdtc10/index.php?action=vallex&amp;frame=v-w7098f6_ZU", "ukazovat (v-w7098f6_ZU)")</f>
        <v>ukazovat (v-w7098f6_ZU)</v>
      </c>
    </row>
    <row r="50311" spans="1:4" x14ac:dyDescent="0.2">
      <c r="B50311" t="s">
        <v>1</v>
      </c>
    </row>
    <row r="50312" spans="1:4" x14ac:dyDescent="0.2">
      <c r="B50312" t="s">
        <v>15972</v>
      </c>
      <c r="C50312" t="s">
        <v>10469</v>
      </c>
    </row>
    <row r="50313" spans="1:4" x14ac:dyDescent="0.2">
      <c r="B50313" t="s">
        <v>78</v>
      </c>
    </row>
    <row r="50315" spans="1:4" x14ac:dyDescent="0.2">
      <c r="A50315" t="s">
        <v>15973</v>
      </c>
      <c r="B50315" t="str">
        <f>HYPERLINK("https://lindat.mff.cuni.cz/services/teitok/pdtc10/index.php?action=vallex&amp;frame=v-w7098f8_ZU", "ukazovat (v-w7098f8_ZU)")</f>
        <v>ukazovat (v-w7098f8_ZU)</v>
      </c>
    </row>
    <row r="50316" spans="1:4" x14ac:dyDescent="0.2">
      <c r="B50316" t="s">
        <v>1</v>
      </c>
      <c r="C50316" t="s">
        <v>3597</v>
      </c>
      <c r="D50316" t="s">
        <v>23089</v>
      </c>
    </row>
    <row r="50317" spans="1:4" x14ac:dyDescent="0.2">
      <c r="B50317" t="s">
        <v>41</v>
      </c>
      <c r="C50317" t="s">
        <v>15974</v>
      </c>
      <c r="D50317" t="s">
        <v>8880</v>
      </c>
    </row>
    <row r="50318" spans="1:4" x14ac:dyDescent="0.2">
      <c r="B50318" t="s">
        <v>78</v>
      </c>
      <c r="C50318" t="s">
        <v>4440</v>
      </c>
      <c r="D50318" t="s">
        <v>11069</v>
      </c>
    </row>
    <row r="50320" spans="1:4" x14ac:dyDescent="0.2">
      <c r="A50320" t="s">
        <v>15973</v>
      </c>
      <c r="B50320" t="str">
        <f>HYPERLINK("https://lindat.mff.cuni.cz/services/teitok/pdtc10/index.php?action=vallex&amp;frame=v-w7098f7_ZU", "ukazovat (v-w7098f7_ZU) - substituted with v-w7098f8_ZU")</f>
        <v>ukazovat (v-w7098f7_ZU) - substituted with v-w7098f8_ZU</v>
      </c>
    </row>
    <row r="50321" spans="1:4" x14ac:dyDescent="0.2">
      <c r="B50321" t="s">
        <v>1</v>
      </c>
    </row>
    <row r="50322" spans="1:4" x14ac:dyDescent="0.2">
      <c r="B50322" t="s">
        <v>41</v>
      </c>
      <c r="C50322" t="s">
        <v>15975</v>
      </c>
    </row>
    <row r="50323" spans="1:4" x14ac:dyDescent="0.2">
      <c r="B50323" t="s">
        <v>78</v>
      </c>
    </row>
    <row r="50325" spans="1:4" x14ac:dyDescent="0.2">
      <c r="A50325" t="s">
        <v>15973</v>
      </c>
      <c r="B50325" t="str">
        <f>HYPERLINK("https://lindat.mff.cuni.cz/services/teitok/pdtc10/index.php?action=vallex&amp;frame=v-w7098hsa_814", "ukazovat (v-w7098hsa_814) - substituted with v-w7098f8_ZU")</f>
        <v>ukazovat (v-w7098hsa_814) - substituted with v-w7098f8_ZU</v>
      </c>
    </row>
    <row r="50326" spans="1:4" x14ac:dyDescent="0.2">
      <c r="B50326" t="s">
        <v>1</v>
      </c>
    </row>
    <row r="50327" spans="1:4" x14ac:dyDescent="0.2">
      <c r="B50327" t="s">
        <v>41</v>
      </c>
    </row>
    <row r="50328" spans="1:4" x14ac:dyDescent="0.2">
      <c r="B50328" t="s">
        <v>78</v>
      </c>
    </row>
    <row r="50330" spans="1:4" x14ac:dyDescent="0.2">
      <c r="A50330" t="s">
        <v>15976</v>
      </c>
      <c r="B50330" t="str">
        <f>HYPERLINK("https://lindat.mff.cuni.cz/services/teitok/pdtc10/index.php?action=vallex&amp;frame=v-w7099f2", "ukazovat se (v-w7099f2)")</f>
        <v>ukazovat se (v-w7099f2)</v>
      </c>
    </row>
    <row r="50331" spans="1:4" x14ac:dyDescent="0.2">
      <c r="B50331" t="s">
        <v>488</v>
      </c>
      <c r="C50331" t="s">
        <v>15977</v>
      </c>
      <c r="D50331" t="s">
        <v>24264</v>
      </c>
    </row>
    <row r="50332" spans="1:4" x14ac:dyDescent="0.2">
      <c r="B50332" t="s">
        <v>15978</v>
      </c>
      <c r="C50332" t="s">
        <v>15979</v>
      </c>
      <c r="D50332" t="s">
        <v>2213</v>
      </c>
    </row>
    <row r="50334" spans="1:4" x14ac:dyDescent="0.2">
      <c r="A50334" t="s">
        <v>15980</v>
      </c>
      <c r="B50334" t="str">
        <f>HYPERLINK("https://lindat.mff.cuni.cz/services/teitok/pdtc10/index.php?action=vallex&amp;frame=v-w7099f5", "ukazovat se (v-w7099f5)")</f>
        <v>ukazovat se (v-w7099f5)</v>
      </c>
    </row>
    <row r="50335" spans="1:4" x14ac:dyDescent="0.2">
      <c r="B50335" t="s">
        <v>1</v>
      </c>
    </row>
    <row r="50336" spans="1:4" x14ac:dyDescent="0.2">
      <c r="B50336" t="s">
        <v>86</v>
      </c>
    </row>
    <row r="50338" spans="1:4" x14ac:dyDescent="0.2">
      <c r="A50338" t="s">
        <v>15981</v>
      </c>
      <c r="B50338" t="str">
        <f>HYPERLINK("https://lindat.mff.cuni.cz/services/teitok/pdtc10/index.php?action=vallex&amp;frame=v-w7099f4", "ukazovat se (v-w7099f4)")</f>
        <v>ukazovat se (v-w7099f4)</v>
      </c>
    </row>
    <row r="50339" spans="1:4" x14ac:dyDescent="0.2">
      <c r="B50339" t="s">
        <v>1</v>
      </c>
      <c r="C50339" t="s">
        <v>7870</v>
      </c>
      <c r="D50339" t="s">
        <v>23609</v>
      </c>
    </row>
    <row r="50340" spans="1:4" x14ac:dyDescent="0.2">
      <c r="B50340" t="s">
        <v>5</v>
      </c>
    </row>
    <row r="50342" spans="1:4" x14ac:dyDescent="0.2">
      <c r="A50342" t="s">
        <v>15982</v>
      </c>
      <c r="B50342" t="str">
        <f>HYPERLINK("https://lindat.mff.cuni.cz/services/teitok/pdtc10/index.php?action=vallex&amp;frame=v-w7099f3", "ukazovat se (v-w7099f3)")</f>
        <v>ukazovat se (v-w7099f3)</v>
      </c>
    </row>
    <row r="50343" spans="1:4" x14ac:dyDescent="0.2">
      <c r="B50343" t="s">
        <v>1</v>
      </c>
    </row>
    <row r="50344" spans="1:4" x14ac:dyDescent="0.2">
      <c r="B50344" t="s">
        <v>507</v>
      </c>
    </row>
    <row r="50346" spans="1:4" x14ac:dyDescent="0.2">
      <c r="A50346" t="s">
        <v>15983</v>
      </c>
      <c r="B50346" t="str">
        <f>HYPERLINK("https://lindat.mff.cuni.cz/services/teitok/pdtc10/index.php?action=vallex&amp;frame=v-w7099f1", "ukazovat se (v-w7099f1)")</f>
        <v>ukazovat se (v-w7099f1)</v>
      </c>
    </row>
    <row r="50347" spans="1:4" x14ac:dyDescent="0.2">
      <c r="B50347" t="s">
        <v>15984</v>
      </c>
      <c r="C50347" t="s">
        <v>15985</v>
      </c>
      <c r="D50347" t="s">
        <v>7870</v>
      </c>
    </row>
    <row r="50349" spans="1:4" x14ac:dyDescent="0.2">
      <c r="A50349" t="s">
        <v>15986</v>
      </c>
      <c r="B50349" t="str">
        <f>HYPERLINK("https://lindat.mff.cuni.cz/services/teitok/pdtc10/index.php?action=vallex&amp;frame=v-whsa_139hsa_140", "ukecávat (v-whsa_139hsa_140)")</f>
        <v>ukecávat (v-whsa_139hsa_140)</v>
      </c>
    </row>
    <row r="50350" spans="1:4" x14ac:dyDescent="0.2">
      <c r="B50350" t="s">
        <v>1</v>
      </c>
    </row>
    <row r="50351" spans="1:4" x14ac:dyDescent="0.2">
      <c r="B50351" t="s">
        <v>58</v>
      </c>
    </row>
    <row r="50352" spans="1:4" x14ac:dyDescent="0.2">
      <c r="B50352" t="s">
        <v>3261</v>
      </c>
    </row>
    <row r="50354" spans="1:4" x14ac:dyDescent="0.2">
      <c r="A50354" t="s">
        <v>15987</v>
      </c>
      <c r="B50354" t="str">
        <f>HYPERLINK("https://lindat.mff.cuni.cz/services/teitok/pdtc10/index.php?action=vallex&amp;frame=v-w7105f1", "uklidit (v-w7105f1)")</f>
        <v>uklidit (v-w7105f1)</v>
      </c>
    </row>
    <row r="50355" spans="1:4" x14ac:dyDescent="0.2">
      <c r="B50355" t="s">
        <v>1</v>
      </c>
      <c r="C50355" t="s">
        <v>2749</v>
      </c>
    </row>
    <row r="50356" spans="1:4" x14ac:dyDescent="0.2">
      <c r="B50356" t="s">
        <v>8</v>
      </c>
      <c r="C50356" t="s">
        <v>2750</v>
      </c>
    </row>
    <row r="50358" spans="1:4" x14ac:dyDescent="0.2">
      <c r="A50358" t="s">
        <v>15988</v>
      </c>
      <c r="B50358" t="str">
        <f>HYPERLINK("https://lindat.mff.cuni.cz/services/teitok/pdtc10/index.php?action=vallex&amp;frame=v-w7105f2_ZU", "uklidit (v-w7105f2_ZU)")</f>
        <v>uklidit (v-w7105f2_ZU)</v>
      </c>
    </row>
    <row r="50359" spans="1:4" x14ac:dyDescent="0.2">
      <c r="B50359" t="s">
        <v>1</v>
      </c>
    </row>
    <row r="50360" spans="1:4" x14ac:dyDescent="0.2">
      <c r="B50360" t="s">
        <v>15989</v>
      </c>
    </row>
    <row r="50361" spans="1:4" x14ac:dyDescent="0.2">
      <c r="B50361" t="s">
        <v>8</v>
      </c>
    </row>
    <row r="50363" spans="1:4" x14ac:dyDescent="0.2">
      <c r="A50363" t="s">
        <v>15990</v>
      </c>
      <c r="B50363" t="str">
        <f>HYPERLINK("https://lindat.mff.cuni.cz/services/teitok/pdtc10/index.php?action=vallex&amp;frame=v-w7107f1", "uklidnit (v-w7107f1)")</f>
        <v>uklidnit (v-w7107f1)</v>
      </c>
    </row>
    <row r="50364" spans="1:4" x14ac:dyDescent="0.2">
      <c r="B50364" t="s">
        <v>1</v>
      </c>
      <c r="C50364" t="s">
        <v>2303</v>
      </c>
      <c r="D50364" t="s">
        <v>23047</v>
      </c>
    </row>
    <row r="50365" spans="1:4" x14ac:dyDescent="0.2">
      <c r="B50365" t="s">
        <v>8</v>
      </c>
      <c r="C50365" t="s">
        <v>2213</v>
      </c>
      <c r="D50365" t="s">
        <v>2747</v>
      </c>
    </row>
    <row r="50367" spans="1:4" x14ac:dyDescent="0.2">
      <c r="A50367" t="s">
        <v>15991</v>
      </c>
      <c r="B50367" t="str">
        <f>HYPERLINK("https://lindat.mff.cuni.cz/services/teitok/pdtc10/index.php?action=vallex&amp;frame=v-w7108f1", "uklidnit se (v-w7108f1)")</f>
        <v>uklidnit se (v-w7108f1)</v>
      </c>
    </row>
    <row r="50368" spans="1:4" x14ac:dyDescent="0.2">
      <c r="B50368" t="s">
        <v>1</v>
      </c>
      <c r="C50368" t="s">
        <v>3138</v>
      </c>
      <c r="D50368" t="s">
        <v>6793</v>
      </c>
    </row>
    <row r="50370" spans="1:4" x14ac:dyDescent="0.2">
      <c r="A50370" t="s">
        <v>15992</v>
      </c>
      <c r="B50370" t="str">
        <f>HYPERLINK("https://lindat.mff.cuni.cz/services/teitok/pdtc10/index.php?action=vallex&amp;frame=v-w11442f1", "uklidňovat (v-w11442f1)")</f>
        <v>uklidňovat (v-w11442f1)</v>
      </c>
    </row>
    <row r="50371" spans="1:4" x14ac:dyDescent="0.2">
      <c r="B50371" t="s">
        <v>1</v>
      </c>
      <c r="D50371" t="s">
        <v>23047</v>
      </c>
    </row>
    <row r="50372" spans="1:4" x14ac:dyDescent="0.2">
      <c r="B50372" t="s">
        <v>8</v>
      </c>
      <c r="C50372" t="s">
        <v>56</v>
      </c>
      <c r="D50372" t="s">
        <v>2747</v>
      </c>
    </row>
    <row r="50374" spans="1:4" x14ac:dyDescent="0.2">
      <c r="A50374" t="s">
        <v>15993</v>
      </c>
      <c r="B50374" t="str">
        <f>HYPERLINK("https://lindat.mff.cuni.cz/services/teitok/pdtc10/index.php?action=vallex&amp;frame=v-w7110f2_ZU", "uklidňovat se (v-w7110f2_ZU)")</f>
        <v>uklidňovat se (v-w7110f2_ZU)</v>
      </c>
    </row>
    <row r="50375" spans="1:4" x14ac:dyDescent="0.2">
      <c r="B50375" t="s">
        <v>1</v>
      </c>
      <c r="C50375" t="s">
        <v>2172</v>
      </c>
      <c r="D50375" t="s">
        <v>6793</v>
      </c>
    </row>
    <row r="50377" spans="1:4" x14ac:dyDescent="0.2">
      <c r="A50377" t="s">
        <v>15993</v>
      </c>
      <c r="B50377" t="str">
        <f>HYPERLINK("https://lindat.mff.cuni.cz/services/teitok/pdtc10/index.php?action=vallex&amp;frame=v-w7110f1", "uklidňovat se (v-w7110f1) - substituted with v-w7110f2_ZU")</f>
        <v>uklidňovat se (v-w7110f1) - substituted with v-w7110f2_ZU</v>
      </c>
    </row>
    <row r="50378" spans="1:4" x14ac:dyDescent="0.2">
      <c r="B50378" t="s">
        <v>1</v>
      </c>
    </row>
    <row r="50380" spans="1:4" x14ac:dyDescent="0.2">
      <c r="A50380" t="s">
        <v>15994</v>
      </c>
      <c r="B50380" t="str">
        <f>HYPERLINK("https://lindat.mff.cuni.cz/services/teitok/pdtc10/index.php?action=vallex&amp;frame=v-w7110hsa_413", "uklidňovat se (v-w7110hsa_413)")</f>
        <v>uklidňovat se (v-w7110hsa_413)</v>
      </c>
    </row>
    <row r="50381" spans="1:4" x14ac:dyDescent="0.2">
      <c r="B50381" t="s">
        <v>1</v>
      </c>
    </row>
    <row r="50383" spans="1:4" x14ac:dyDescent="0.2">
      <c r="A50383" t="s">
        <v>15995</v>
      </c>
      <c r="B50383" t="str">
        <f>HYPERLINK("https://lindat.mff.cuni.cz/services/teitok/pdtc10/index.php?action=vallex&amp;frame=v-w7111f1", "uklouznout (v-w7111f1)")</f>
        <v>uklouznout (v-w7111f1)</v>
      </c>
    </row>
    <row r="50384" spans="1:4" x14ac:dyDescent="0.2">
      <c r="B50384" t="s">
        <v>1</v>
      </c>
      <c r="C50384" t="s">
        <v>1168</v>
      </c>
      <c r="D50384" t="s">
        <v>147</v>
      </c>
    </row>
    <row r="50386" spans="1:4" x14ac:dyDescent="0.2">
      <c r="A50386" t="s">
        <v>15996</v>
      </c>
      <c r="B50386" t="str">
        <f>HYPERLINK("https://lindat.mff.cuni.cz/services/teitok/pdtc10/index.php?action=vallex&amp;frame=v-w7102f1", "ukládat (v-w7102f1)")</f>
        <v>ukládat (v-w7102f1)</v>
      </c>
    </row>
    <row r="50387" spans="1:4" x14ac:dyDescent="0.2">
      <c r="B50387" t="s">
        <v>1</v>
      </c>
      <c r="C50387" t="s">
        <v>15997</v>
      </c>
      <c r="D50387" t="s">
        <v>23815</v>
      </c>
    </row>
    <row r="50388" spans="1:4" x14ac:dyDescent="0.2">
      <c r="B50388" t="s">
        <v>1921</v>
      </c>
      <c r="C50388" t="s">
        <v>15998</v>
      </c>
      <c r="D50388" t="s">
        <v>23816</v>
      </c>
    </row>
    <row r="50389" spans="1:4" x14ac:dyDescent="0.2">
      <c r="B50389" t="s">
        <v>35</v>
      </c>
      <c r="C50389" t="s">
        <v>12313</v>
      </c>
      <c r="D50389" t="s">
        <v>23817</v>
      </c>
    </row>
    <row r="50390" spans="1:4" x14ac:dyDescent="0.2">
      <c r="B50390" t="s">
        <v>2489</v>
      </c>
    </row>
    <row r="50392" spans="1:4" x14ac:dyDescent="0.2">
      <c r="A50392" t="s">
        <v>15999</v>
      </c>
      <c r="B50392" t="str">
        <f>HYPERLINK("https://lindat.mff.cuni.cz/services/teitok/pdtc10/index.php?action=vallex&amp;frame=v-w7102f4", "ukládat (v-w7102f4)")</f>
        <v>ukládat (v-w7102f4)</v>
      </c>
    </row>
    <row r="50393" spans="1:4" x14ac:dyDescent="0.2">
      <c r="B50393" t="s">
        <v>1</v>
      </c>
      <c r="C50393" t="s">
        <v>16000</v>
      </c>
    </row>
    <row r="50394" spans="1:4" x14ac:dyDescent="0.2">
      <c r="B50394" t="s">
        <v>557</v>
      </c>
      <c r="C50394" t="s">
        <v>16001</v>
      </c>
    </row>
    <row r="50395" spans="1:4" x14ac:dyDescent="0.2">
      <c r="B50395" t="s">
        <v>35</v>
      </c>
      <c r="C50395" t="s">
        <v>16002</v>
      </c>
    </row>
    <row r="50397" spans="1:4" x14ac:dyDescent="0.2">
      <c r="A50397" t="s">
        <v>16003</v>
      </c>
      <c r="B50397" t="str">
        <f>HYPERLINK("https://lindat.mff.cuni.cz/services/teitok/pdtc10/index.php?action=vallex&amp;frame=v-w7102f5", "ukládat (v-w7102f5)")</f>
        <v>ukládat (v-w7102f5)</v>
      </c>
    </row>
    <row r="50398" spans="1:4" x14ac:dyDescent="0.2">
      <c r="B50398" t="s">
        <v>1</v>
      </c>
      <c r="C50398" t="s">
        <v>2239</v>
      </c>
      <c r="D50398" t="s">
        <v>14079</v>
      </c>
    </row>
    <row r="50399" spans="1:4" x14ac:dyDescent="0.2">
      <c r="B50399" t="s">
        <v>8</v>
      </c>
      <c r="C50399" t="s">
        <v>335</v>
      </c>
      <c r="D50399" t="s">
        <v>2240</v>
      </c>
    </row>
    <row r="50400" spans="1:4" x14ac:dyDescent="0.2">
      <c r="B50400" t="s">
        <v>5</v>
      </c>
    </row>
    <row r="50402" spans="1:4" x14ac:dyDescent="0.2">
      <c r="A50402" t="s">
        <v>16004</v>
      </c>
      <c r="B50402" t="str">
        <f>HYPERLINK("https://lindat.mff.cuni.cz/services/teitok/pdtc10/index.php?action=vallex&amp;frame=v-w7102f3", "ukládat (v-w7102f3)")</f>
        <v>ukládat (v-w7102f3)</v>
      </c>
    </row>
    <row r="50403" spans="1:4" x14ac:dyDescent="0.2">
      <c r="B50403" t="s">
        <v>1</v>
      </c>
      <c r="C50403" t="s">
        <v>9239</v>
      </c>
      <c r="D50403" t="s">
        <v>14079</v>
      </c>
    </row>
    <row r="50404" spans="1:4" x14ac:dyDescent="0.2">
      <c r="B50404" t="s">
        <v>8</v>
      </c>
      <c r="C50404" t="s">
        <v>16005</v>
      </c>
      <c r="D50404" t="s">
        <v>2240</v>
      </c>
    </row>
    <row r="50405" spans="1:4" x14ac:dyDescent="0.2">
      <c r="B50405" t="s">
        <v>90</v>
      </c>
    </row>
    <row r="50407" spans="1:4" x14ac:dyDescent="0.2">
      <c r="A50407" t="s">
        <v>16006</v>
      </c>
      <c r="B50407" t="str">
        <f>HYPERLINK("https://lindat.mff.cuni.cz/services/teitok/pdtc10/index.php?action=vallex&amp;frame=v-w7102f6_ZU", "ukládat (v-w7102f6_ZU)")</f>
        <v>ukládat (v-w7102f6_ZU)</v>
      </c>
    </row>
    <row r="50408" spans="1:4" x14ac:dyDescent="0.2">
      <c r="B50408" t="s">
        <v>1</v>
      </c>
      <c r="C50408" t="s">
        <v>2571</v>
      </c>
    </row>
    <row r="50409" spans="1:4" x14ac:dyDescent="0.2">
      <c r="B50409" t="s">
        <v>16007</v>
      </c>
      <c r="C50409" t="s">
        <v>2572</v>
      </c>
    </row>
    <row r="50410" spans="1:4" x14ac:dyDescent="0.2">
      <c r="B50410" t="s">
        <v>35</v>
      </c>
      <c r="C50410" t="s">
        <v>2573</v>
      </c>
    </row>
    <row r="50412" spans="1:4" x14ac:dyDescent="0.2">
      <c r="A50412" t="s">
        <v>16006</v>
      </c>
      <c r="B50412" t="str">
        <f>HYPERLINK("https://lindat.mff.cuni.cz/services/teitok/pdtc10/index.php?action=vallex&amp;frame=v-w7102f2", "ukládat (v-w7102f2) - substituted with v-w7102f6_ZU")</f>
        <v>ukládat (v-w7102f2) - substituted with v-w7102f6_ZU</v>
      </c>
    </row>
    <row r="50413" spans="1:4" x14ac:dyDescent="0.2">
      <c r="B50413" t="s">
        <v>1</v>
      </c>
      <c r="C50413" t="s">
        <v>3292</v>
      </c>
    </row>
    <row r="50414" spans="1:4" x14ac:dyDescent="0.2">
      <c r="B50414" t="s">
        <v>16007</v>
      </c>
      <c r="C50414" t="s">
        <v>4987</v>
      </c>
    </row>
    <row r="50415" spans="1:4" x14ac:dyDescent="0.2">
      <c r="B50415" t="s">
        <v>35</v>
      </c>
      <c r="C50415" t="s">
        <v>2573</v>
      </c>
    </row>
    <row r="50417" spans="1:4" x14ac:dyDescent="0.2">
      <c r="A50417" t="s">
        <v>16006</v>
      </c>
      <c r="B50417" t="str">
        <f>HYPERLINK("https://lindat.mff.cuni.cz/services/teitok/pdtc10/index.php?action=vallex&amp;frame=v-w7102hsa_1250", "ukládat (v-w7102hsa_1250) - substituted with v-w7102f6_ZU")</f>
        <v>ukládat (v-w7102hsa_1250) - substituted with v-w7102f6_ZU</v>
      </c>
    </row>
    <row r="50418" spans="1:4" x14ac:dyDescent="0.2">
      <c r="B50418" t="s">
        <v>1</v>
      </c>
    </row>
    <row r="50419" spans="1:4" x14ac:dyDescent="0.2">
      <c r="B50419" t="s">
        <v>16007</v>
      </c>
    </row>
    <row r="50420" spans="1:4" x14ac:dyDescent="0.2">
      <c r="B50420" t="s">
        <v>35</v>
      </c>
    </row>
    <row r="50422" spans="1:4" x14ac:dyDescent="0.2">
      <c r="A50422" t="s">
        <v>16008</v>
      </c>
      <c r="B50422" t="str">
        <f>HYPERLINK("https://lindat.mff.cuni.cz/services/teitok/pdtc10/index.php?action=vallex&amp;frame=v-w7103f1", "ukládat se (v-w7103f1)")</f>
        <v>ukládat se (v-w7103f1)</v>
      </c>
    </row>
    <row r="50423" spans="1:4" x14ac:dyDescent="0.2">
      <c r="B50423" t="s">
        <v>1</v>
      </c>
    </row>
    <row r="50424" spans="1:4" x14ac:dyDescent="0.2">
      <c r="B50424" t="s">
        <v>5</v>
      </c>
    </row>
    <row r="50426" spans="1:4" x14ac:dyDescent="0.2">
      <c r="A50426" t="s">
        <v>16009</v>
      </c>
      <c r="B50426" t="str">
        <f>HYPERLINK("https://lindat.mff.cuni.cz/services/teitok/pdtc10/index.php?action=vallex&amp;frame=v-w10258f2", "uklízet (v-w10258f2)")</f>
        <v>uklízet (v-w10258f2)</v>
      </c>
    </row>
    <row r="50427" spans="1:4" x14ac:dyDescent="0.2">
      <c r="B50427" t="s">
        <v>1</v>
      </c>
      <c r="C50427" t="s">
        <v>33</v>
      </c>
      <c r="D50427" t="s">
        <v>249</v>
      </c>
    </row>
    <row r="50428" spans="1:4" x14ac:dyDescent="0.2">
      <c r="B50428" t="s">
        <v>8</v>
      </c>
      <c r="C50428" t="s">
        <v>1044</v>
      </c>
      <c r="D50428" t="s">
        <v>335</v>
      </c>
    </row>
    <row r="50430" spans="1:4" x14ac:dyDescent="0.2">
      <c r="A50430" t="s">
        <v>16010</v>
      </c>
      <c r="B50430" t="str">
        <f>HYPERLINK("https://lindat.mff.cuni.cz/services/teitok/pdtc10/index.php?action=vallex&amp;frame=v-w10398f2", "ukojit (v-w10398f2)")</f>
        <v>ukojit (v-w10398f2)</v>
      </c>
    </row>
    <row r="50431" spans="1:4" x14ac:dyDescent="0.2">
      <c r="B50431" t="s">
        <v>1</v>
      </c>
    </row>
    <row r="50432" spans="1:4" x14ac:dyDescent="0.2">
      <c r="B50432" t="s">
        <v>8</v>
      </c>
    </row>
    <row r="50434" spans="1:4" x14ac:dyDescent="0.2">
      <c r="A50434" t="s">
        <v>16011</v>
      </c>
      <c r="B50434" t="str">
        <f>HYPERLINK("https://lindat.mff.cuni.cz/services/teitok/pdtc10/index.php?action=vallex&amp;frame=v-w10671f2", "ukolébat (v-w10671f2)")</f>
        <v>ukolébat (v-w10671f2)</v>
      </c>
    </row>
    <row r="50435" spans="1:4" x14ac:dyDescent="0.2">
      <c r="B50435" t="s">
        <v>1</v>
      </c>
      <c r="C50435" t="s">
        <v>1425</v>
      </c>
    </row>
    <row r="50436" spans="1:4" x14ac:dyDescent="0.2">
      <c r="B50436" t="s">
        <v>8</v>
      </c>
    </row>
    <row r="50438" spans="1:4" x14ac:dyDescent="0.2">
      <c r="A50438" t="s">
        <v>16012</v>
      </c>
      <c r="B50438" t="str">
        <f>HYPERLINK("https://lindat.mff.cuni.cz/services/teitok/pdtc10/index.php?action=vallex&amp;frame=v-w10779f2", "ukonejšit (v-w10779f2)")</f>
        <v>ukonejšit (v-w10779f2)</v>
      </c>
    </row>
    <row r="50439" spans="1:4" x14ac:dyDescent="0.2">
      <c r="B50439" t="s">
        <v>1</v>
      </c>
    </row>
    <row r="50440" spans="1:4" x14ac:dyDescent="0.2">
      <c r="B50440" t="s">
        <v>8</v>
      </c>
    </row>
    <row r="50442" spans="1:4" x14ac:dyDescent="0.2">
      <c r="A50442" t="s">
        <v>16013</v>
      </c>
      <c r="B50442" t="str">
        <f>HYPERLINK("https://lindat.mff.cuni.cz/services/teitok/pdtc10/index.php?action=vallex&amp;frame=v-w7116f1", "ukončit (v-w7116f1)")</f>
        <v>ukončit (v-w7116f1)</v>
      </c>
    </row>
    <row r="50443" spans="1:4" x14ac:dyDescent="0.2">
      <c r="B50443" t="s">
        <v>1</v>
      </c>
      <c r="C50443" t="s">
        <v>16014</v>
      </c>
      <c r="D50443" t="s">
        <v>23140</v>
      </c>
    </row>
    <row r="50444" spans="1:4" x14ac:dyDescent="0.2">
      <c r="B50444" t="s">
        <v>8</v>
      </c>
      <c r="C50444" t="s">
        <v>16015</v>
      </c>
      <c r="D50444" t="s">
        <v>23141</v>
      </c>
    </row>
    <row r="50446" spans="1:4" x14ac:dyDescent="0.2">
      <c r="A50446" t="s">
        <v>16016</v>
      </c>
      <c r="B50446" t="str">
        <f>HYPERLINK("https://lindat.mff.cuni.cz/services/teitok/pdtc10/index.php?action=vallex&amp;frame=v-w7116f3_ZU", "ukončit (v-w7116f3_ZU)")</f>
        <v>ukončit (v-w7116f3_ZU)</v>
      </c>
    </row>
    <row r="50447" spans="1:4" x14ac:dyDescent="0.2">
      <c r="B50447" t="s">
        <v>1</v>
      </c>
      <c r="C50447" t="s">
        <v>16017</v>
      </c>
      <c r="D50447" t="s">
        <v>23424</v>
      </c>
    </row>
    <row r="50448" spans="1:4" x14ac:dyDescent="0.2">
      <c r="B50448" t="s">
        <v>220</v>
      </c>
    </row>
    <row r="50449" spans="1:4" x14ac:dyDescent="0.2">
      <c r="B50449" t="s">
        <v>1245</v>
      </c>
      <c r="C50449" t="s">
        <v>16018</v>
      </c>
      <c r="D50449" t="s">
        <v>23425</v>
      </c>
    </row>
    <row r="50450" spans="1:4" x14ac:dyDescent="0.2">
      <c r="B50450" t="s">
        <v>346</v>
      </c>
      <c r="D50450" t="s">
        <v>23426</v>
      </c>
    </row>
    <row r="50451" spans="1:4" x14ac:dyDescent="0.2">
      <c r="B50451" t="s">
        <v>349</v>
      </c>
      <c r="D50451" t="s">
        <v>23427</v>
      </c>
    </row>
    <row r="50453" spans="1:4" x14ac:dyDescent="0.2">
      <c r="A50453" t="s">
        <v>16016</v>
      </c>
      <c r="B50453" t="str">
        <f>HYPERLINK("https://lindat.mff.cuni.cz/services/teitok/pdtc10/index.php?action=vallex&amp;frame=v-w7116hsa_380", "ukončit (v-w7116hsa_380) - substituted with v-w7116f3_ZU")</f>
        <v>ukončit (v-w7116hsa_380) - substituted with v-w7116f3_ZU</v>
      </c>
    </row>
    <row r="50454" spans="1:4" x14ac:dyDescent="0.2">
      <c r="B50454" t="s">
        <v>1</v>
      </c>
      <c r="C50454" t="s">
        <v>16019</v>
      </c>
    </row>
    <row r="50455" spans="1:4" x14ac:dyDescent="0.2">
      <c r="B50455" t="s">
        <v>220</v>
      </c>
    </row>
    <row r="50456" spans="1:4" x14ac:dyDescent="0.2">
      <c r="B50456" t="s">
        <v>1245</v>
      </c>
      <c r="C50456" t="s">
        <v>16020</v>
      </c>
    </row>
    <row r="50457" spans="1:4" x14ac:dyDescent="0.2">
      <c r="B50457" t="s">
        <v>346</v>
      </c>
      <c r="C50457" t="s">
        <v>16021</v>
      </c>
    </row>
    <row r="50458" spans="1:4" x14ac:dyDescent="0.2">
      <c r="B50458" t="s">
        <v>349</v>
      </c>
      <c r="C50458" t="s">
        <v>16022</v>
      </c>
    </row>
    <row r="50460" spans="1:4" x14ac:dyDescent="0.2">
      <c r="A50460" t="s">
        <v>16023</v>
      </c>
      <c r="B50460" t="str">
        <f>HYPERLINK("https://lindat.mff.cuni.cz/services/teitok/pdtc10/index.php?action=vallex&amp;frame=v-w7116f2_ZU", "ukončit (v-w7116f2_ZU)")</f>
        <v>ukončit (v-w7116f2_ZU)</v>
      </c>
    </row>
    <row r="50461" spans="1:4" x14ac:dyDescent="0.2">
      <c r="B50461" t="s">
        <v>1</v>
      </c>
    </row>
    <row r="50462" spans="1:4" x14ac:dyDescent="0.2">
      <c r="B50462" t="s">
        <v>8</v>
      </c>
    </row>
    <row r="50463" spans="1:4" x14ac:dyDescent="0.2">
      <c r="B50463" t="s">
        <v>889</v>
      </c>
    </row>
    <row r="50465" spans="1:4" x14ac:dyDescent="0.2">
      <c r="A50465" t="s">
        <v>16024</v>
      </c>
      <c r="B50465" t="str">
        <f>HYPERLINK("https://lindat.mff.cuni.cz/services/teitok/pdtc10/index.php?action=vallex&amp;frame=v-w7117f1", "ukončovat (v-w7117f1)")</f>
        <v>ukončovat (v-w7117f1)</v>
      </c>
    </row>
    <row r="50466" spans="1:4" x14ac:dyDescent="0.2">
      <c r="B50466" t="s">
        <v>1</v>
      </c>
      <c r="C50466" t="s">
        <v>1524</v>
      </c>
      <c r="D50466" t="s">
        <v>23140</v>
      </c>
    </row>
    <row r="50467" spans="1:4" x14ac:dyDescent="0.2">
      <c r="B50467" t="s">
        <v>8</v>
      </c>
      <c r="C50467" t="s">
        <v>2402</v>
      </c>
      <c r="D50467" t="s">
        <v>23141</v>
      </c>
    </row>
    <row r="50469" spans="1:4" x14ac:dyDescent="0.2">
      <c r="A50469" t="s">
        <v>16025</v>
      </c>
      <c r="B50469" t="str">
        <f>HYPERLINK("https://lindat.mff.cuni.cz/services/teitok/pdtc10/index.php?action=vallex&amp;frame=v-whsa_1491hsa_1492", "ukopnout (v-whsa_1491hsa_1492)")</f>
        <v>ukopnout (v-whsa_1491hsa_1492)</v>
      </c>
    </row>
    <row r="50470" spans="1:4" x14ac:dyDescent="0.2">
      <c r="B50470" t="s">
        <v>1</v>
      </c>
    </row>
    <row r="50471" spans="1:4" x14ac:dyDescent="0.2">
      <c r="B50471" t="s">
        <v>8</v>
      </c>
    </row>
    <row r="50473" spans="1:4" x14ac:dyDescent="0.2">
      <c r="A50473" t="s">
        <v>16026</v>
      </c>
      <c r="B50473" t="str">
        <f>HYPERLINK("https://lindat.mff.cuni.cz/services/teitok/pdtc10/index.php?action=vallex&amp;frame=v-whsa_194hsa_195", "ukotvit (v-whsa_194hsa_195)")</f>
        <v>ukotvit (v-whsa_194hsa_195)</v>
      </c>
    </row>
    <row r="50474" spans="1:4" x14ac:dyDescent="0.2">
      <c r="B50474" t="s">
        <v>1</v>
      </c>
      <c r="C50474" t="s">
        <v>33</v>
      </c>
      <c r="D50474" t="s">
        <v>33</v>
      </c>
    </row>
    <row r="50475" spans="1:4" x14ac:dyDescent="0.2">
      <c r="B50475" t="s">
        <v>8</v>
      </c>
      <c r="C50475" t="s">
        <v>991</v>
      </c>
      <c r="D50475" t="s">
        <v>84</v>
      </c>
    </row>
    <row r="50476" spans="1:4" x14ac:dyDescent="0.2">
      <c r="B50476" t="s">
        <v>5</v>
      </c>
      <c r="D50476" t="s">
        <v>15735</v>
      </c>
    </row>
    <row r="50478" spans="1:4" x14ac:dyDescent="0.2">
      <c r="A50478" t="s">
        <v>16027</v>
      </c>
      <c r="B50478" t="str">
        <f>HYPERLINK("https://lindat.mff.cuni.cz/services/teitok/pdtc10/index.php?action=vallex&amp;frame=v-w10214f2", "ukousnout (v-w10214f2)")</f>
        <v>ukousnout (v-w10214f2)</v>
      </c>
    </row>
    <row r="50479" spans="1:4" x14ac:dyDescent="0.2">
      <c r="B50479" t="s">
        <v>1</v>
      </c>
      <c r="C50479" t="s">
        <v>109</v>
      </c>
      <c r="D50479" t="s">
        <v>92</v>
      </c>
    </row>
    <row r="50480" spans="1:4" x14ac:dyDescent="0.2">
      <c r="B50480" t="s">
        <v>8</v>
      </c>
      <c r="C50480" t="s">
        <v>116</v>
      </c>
      <c r="D50480" t="s">
        <v>3433</v>
      </c>
    </row>
    <row r="50481" spans="1:4" x14ac:dyDescent="0.2">
      <c r="B50481" t="s">
        <v>333</v>
      </c>
      <c r="D50481" t="s">
        <v>24265</v>
      </c>
    </row>
    <row r="50483" spans="1:4" x14ac:dyDescent="0.2">
      <c r="A50483" t="s">
        <v>16028</v>
      </c>
      <c r="B50483" t="str">
        <f>HYPERLINK("https://lindat.mff.cuni.cz/services/teitok/pdtc10/index.php?action=vallex&amp;frame=v-w10214f3_MM", "ukousnout (v-w10214f3_MM)")</f>
        <v>ukousnout (v-w10214f3_MM)</v>
      </c>
    </row>
    <row r="50484" spans="1:4" x14ac:dyDescent="0.2">
      <c r="B50484" t="s">
        <v>1</v>
      </c>
    </row>
    <row r="50485" spans="1:4" x14ac:dyDescent="0.2">
      <c r="B50485" t="s">
        <v>8</v>
      </c>
    </row>
    <row r="50487" spans="1:4" x14ac:dyDescent="0.2">
      <c r="A50487" t="s">
        <v>16029</v>
      </c>
      <c r="B50487" t="str">
        <f>HYPERLINK("https://lindat.mff.cuni.cz/services/teitok/pdtc10/index.php?action=vallex&amp;frame=v-w10695f2", "ukout (v-w10695f2)")</f>
        <v>ukout (v-w10695f2)</v>
      </c>
    </row>
    <row r="50488" spans="1:4" x14ac:dyDescent="0.2">
      <c r="B50488" t="s">
        <v>1</v>
      </c>
      <c r="C50488" t="s">
        <v>140</v>
      </c>
    </row>
    <row r="50489" spans="1:4" x14ac:dyDescent="0.2">
      <c r="B50489" t="s">
        <v>8</v>
      </c>
      <c r="C50489" t="s">
        <v>34</v>
      </c>
    </row>
    <row r="50491" spans="1:4" x14ac:dyDescent="0.2">
      <c r="A50491" t="s">
        <v>16030</v>
      </c>
      <c r="B50491" t="str">
        <f>HYPERLINK("https://lindat.mff.cuni.cz/services/teitok/pdtc10/index.php?action=vallex&amp;frame=v-w10490f2", "ukovat (v-w10490f2)")</f>
        <v>ukovat (v-w10490f2)</v>
      </c>
    </row>
    <row r="50492" spans="1:4" x14ac:dyDescent="0.2">
      <c r="B50492" t="s">
        <v>1</v>
      </c>
      <c r="C50492" t="s">
        <v>140</v>
      </c>
      <c r="D50492" t="s">
        <v>14984</v>
      </c>
    </row>
    <row r="50493" spans="1:4" x14ac:dyDescent="0.2">
      <c r="B50493" t="s">
        <v>8</v>
      </c>
      <c r="C50493" t="s">
        <v>34</v>
      </c>
      <c r="D50493" t="s">
        <v>2750</v>
      </c>
    </row>
    <row r="50495" spans="1:4" x14ac:dyDescent="0.2">
      <c r="A50495" t="s">
        <v>16031</v>
      </c>
      <c r="B50495" t="str">
        <f>HYPERLINK("https://lindat.mff.cuni.cz/services/teitok/pdtc10/index.php?action=vallex&amp;frame=v-w7113f1", "ukočírovat (v-w7113f1)")</f>
        <v>ukočírovat (v-w7113f1)</v>
      </c>
    </row>
    <row r="50496" spans="1:4" x14ac:dyDescent="0.2">
      <c r="B50496" t="s">
        <v>1</v>
      </c>
    </row>
    <row r="50497" spans="1:4" x14ac:dyDescent="0.2">
      <c r="B50497" t="s">
        <v>8</v>
      </c>
    </row>
    <row r="50499" spans="1:4" x14ac:dyDescent="0.2">
      <c r="A50499" t="s">
        <v>16032</v>
      </c>
      <c r="B50499" t="str">
        <f>HYPERLINK("https://lindat.mff.cuni.cz/services/teitok/pdtc10/index.php?action=vallex&amp;frame=v-w11167f2", "ukořistit (v-w11167f2)")</f>
        <v>ukořistit (v-w11167f2)</v>
      </c>
    </row>
    <row r="50500" spans="1:4" x14ac:dyDescent="0.2">
      <c r="B50500" t="s">
        <v>1</v>
      </c>
      <c r="D50500" t="s">
        <v>5659</v>
      </c>
    </row>
    <row r="50501" spans="1:4" x14ac:dyDescent="0.2">
      <c r="B50501" t="s">
        <v>8</v>
      </c>
      <c r="C50501" t="s">
        <v>113</v>
      </c>
      <c r="D50501" t="s">
        <v>986</v>
      </c>
    </row>
    <row r="50503" spans="1:4" x14ac:dyDescent="0.2">
      <c r="A50503" t="s">
        <v>16033</v>
      </c>
      <c r="B50503" t="str">
        <f>HYPERLINK("https://lindat.mff.cuni.cz/services/teitok/pdtc10/index.php?action=vallex&amp;frame=v-w7120f1", "ukradnout (v-w7120f1)")</f>
        <v>ukradnout (v-w7120f1)</v>
      </c>
    </row>
    <row r="50504" spans="1:4" x14ac:dyDescent="0.2">
      <c r="B50504" t="s">
        <v>1</v>
      </c>
      <c r="C50504" t="s">
        <v>334</v>
      </c>
      <c r="D50504" t="s">
        <v>6383</v>
      </c>
    </row>
    <row r="50505" spans="1:4" x14ac:dyDescent="0.2">
      <c r="B50505" t="s">
        <v>8</v>
      </c>
      <c r="C50505" t="s">
        <v>3433</v>
      </c>
      <c r="D50505" t="s">
        <v>14757</v>
      </c>
    </row>
    <row r="50506" spans="1:4" x14ac:dyDescent="0.2">
      <c r="B50506" t="s">
        <v>35</v>
      </c>
      <c r="C50506" t="s">
        <v>3728</v>
      </c>
      <c r="D50506" t="s">
        <v>23004</v>
      </c>
    </row>
    <row r="50508" spans="1:4" x14ac:dyDescent="0.2">
      <c r="A50508" t="s">
        <v>16034</v>
      </c>
      <c r="B50508" t="str">
        <f>HYPERLINK("https://lindat.mff.cuni.cz/services/teitok/pdtc10/index.php?action=vallex&amp;frame=v-w11101f2", "ukrajovat (v-w11101f2)")</f>
        <v>ukrajovat (v-w11101f2)</v>
      </c>
    </row>
    <row r="50509" spans="1:4" x14ac:dyDescent="0.2">
      <c r="B50509" t="s">
        <v>1</v>
      </c>
      <c r="C50509" t="s">
        <v>22</v>
      </c>
      <c r="D50509" t="s">
        <v>133</v>
      </c>
    </row>
    <row r="50510" spans="1:4" x14ac:dyDescent="0.2">
      <c r="B50510" t="s">
        <v>8</v>
      </c>
      <c r="C50510" t="s">
        <v>23</v>
      </c>
      <c r="D50510" t="s">
        <v>991</v>
      </c>
    </row>
    <row r="50512" spans="1:4" x14ac:dyDescent="0.2">
      <c r="A50512" t="s">
        <v>16035</v>
      </c>
      <c r="B50512" t="str">
        <f>HYPERLINK("https://lindat.mff.cuni.cz/services/teitok/pdtc10/index.php?action=vallex&amp;frame=v-w11101hsa_665", "ukrajovat (v-w11101hsa_665)")</f>
        <v>ukrajovat (v-w11101hsa_665)</v>
      </c>
    </row>
    <row r="50513" spans="1:4" x14ac:dyDescent="0.2">
      <c r="B50513" t="s">
        <v>1</v>
      </c>
      <c r="D50513" t="s">
        <v>133</v>
      </c>
    </row>
    <row r="50514" spans="1:4" x14ac:dyDescent="0.2">
      <c r="B50514" t="s">
        <v>8</v>
      </c>
      <c r="D50514" t="s">
        <v>991</v>
      </c>
    </row>
    <row r="50516" spans="1:4" x14ac:dyDescent="0.2">
      <c r="A50516" t="s">
        <v>16036</v>
      </c>
      <c r="B50516" t="str">
        <f>HYPERLINK("https://lindat.mff.cuni.cz/services/teitok/pdtc10/index.php?action=vallex&amp;frame=v-w11608_ZUf1_ZU", "ukrojit (v-w11608_ZUf1_ZU)")</f>
        <v>ukrojit (v-w11608_ZUf1_ZU)</v>
      </c>
    </row>
    <row r="50517" spans="1:4" x14ac:dyDescent="0.2">
      <c r="B50517" t="s">
        <v>1</v>
      </c>
      <c r="C50517" t="s">
        <v>249</v>
      </c>
      <c r="D50517" t="s">
        <v>133</v>
      </c>
    </row>
    <row r="50518" spans="1:4" x14ac:dyDescent="0.2">
      <c r="B50518" t="s">
        <v>8</v>
      </c>
      <c r="C50518" t="s">
        <v>1044</v>
      </c>
      <c r="D50518" t="s">
        <v>991</v>
      </c>
    </row>
    <row r="50520" spans="1:4" x14ac:dyDescent="0.2">
      <c r="A50520" t="s">
        <v>16037</v>
      </c>
      <c r="B50520" t="str">
        <f>HYPERLINK("https://lindat.mff.cuni.cz/services/teitok/pdtc10/index.php?action=vallex&amp;frame=v-whsa_0hsa_1", "ukrádat (v-whsa_0hsa_1)")</f>
        <v>ukrádat (v-whsa_0hsa_1)</v>
      </c>
    </row>
    <row r="50521" spans="1:4" x14ac:dyDescent="0.2">
      <c r="B50521" t="s">
        <v>1</v>
      </c>
      <c r="C50521" t="s">
        <v>334</v>
      </c>
      <c r="D50521" t="s">
        <v>6383</v>
      </c>
    </row>
    <row r="50522" spans="1:4" x14ac:dyDescent="0.2">
      <c r="B50522" t="s">
        <v>8</v>
      </c>
      <c r="C50522" t="s">
        <v>2755</v>
      </c>
      <c r="D50522" t="s">
        <v>14757</v>
      </c>
    </row>
    <row r="50523" spans="1:4" x14ac:dyDescent="0.2">
      <c r="B50523" t="s">
        <v>35</v>
      </c>
      <c r="C50523" t="s">
        <v>3728</v>
      </c>
      <c r="D50523" t="s">
        <v>23004</v>
      </c>
    </row>
    <row r="50525" spans="1:4" x14ac:dyDescent="0.2">
      <c r="A50525" t="s">
        <v>16038</v>
      </c>
      <c r="B50525" t="str">
        <f>HYPERLINK("https://lindat.mff.cuni.cz/services/teitok/pdtc10/index.php?action=vallex&amp;frame=v-w7121f1", "ukrást (v-w7121f1)")</f>
        <v>ukrást (v-w7121f1)</v>
      </c>
    </row>
    <row r="50526" spans="1:4" x14ac:dyDescent="0.2">
      <c r="B50526" t="s">
        <v>1</v>
      </c>
      <c r="C50526" t="s">
        <v>334</v>
      </c>
      <c r="D50526" t="s">
        <v>6383</v>
      </c>
    </row>
    <row r="50527" spans="1:4" x14ac:dyDescent="0.2">
      <c r="B50527" t="s">
        <v>8</v>
      </c>
      <c r="C50527" t="s">
        <v>2755</v>
      </c>
      <c r="D50527" t="s">
        <v>14757</v>
      </c>
    </row>
    <row r="50528" spans="1:4" x14ac:dyDescent="0.2">
      <c r="B50528" t="s">
        <v>35</v>
      </c>
      <c r="C50528" t="s">
        <v>3728</v>
      </c>
      <c r="D50528" t="s">
        <v>23004</v>
      </c>
    </row>
    <row r="50530" spans="1:4" x14ac:dyDescent="0.2">
      <c r="A50530" t="s">
        <v>16039</v>
      </c>
      <c r="B50530" t="str">
        <f>HYPERLINK("https://lindat.mff.cuni.cz/services/teitok/pdtc10/index.php?action=vallex&amp;frame=v-w7122f1", "ukrýt (v-w7122f1)")</f>
        <v>ukrýt (v-w7122f1)</v>
      </c>
    </row>
    <row r="50531" spans="1:4" x14ac:dyDescent="0.2">
      <c r="B50531" t="s">
        <v>1</v>
      </c>
      <c r="C50531" t="s">
        <v>33</v>
      </c>
    </row>
    <row r="50532" spans="1:4" x14ac:dyDescent="0.2">
      <c r="B50532" t="s">
        <v>3199</v>
      </c>
      <c r="C50532" t="s">
        <v>1044</v>
      </c>
    </row>
    <row r="50533" spans="1:4" x14ac:dyDescent="0.2">
      <c r="B50533" t="s">
        <v>3200</v>
      </c>
    </row>
    <row r="50535" spans="1:4" x14ac:dyDescent="0.2">
      <c r="A50535" t="s">
        <v>16040</v>
      </c>
      <c r="B50535" t="str">
        <f>HYPERLINK("https://lindat.mff.cuni.cz/services/teitok/pdtc10/index.php?action=vallex&amp;frame=v-w7124f1", "ukrývat (v-w7124f1)")</f>
        <v>ukrývat (v-w7124f1)</v>
      </c>
    </row>
    <row r="50536" spans="1:4" x14ac:dyDescent="0.2">
      <c r="B50536" t="s">
        <v>1</v>
      </c>
    </row>
    <row r="50537" spans="1:4" x14ac:dyDescent="0.2">
      <c r="B50537" t="s">
        <v>3199</v>
      </c>
    </row>
    <row r="50538" spans="1:4" x14ac:dyDescent="0.2">
      <c r="B50538" t="s">
        <v>3200</v>
      </c>
    </row>
    <row r="50540" spans="1:4" x14ac:dyDescent="0.2">
      <c r="A50540" t="s">
        <v>16041</v>
      </c>
      <c r="B50540" t="str">
        <f>HYPERLINK("https://lindat.mff.cuni.cz/services/teitok/pdtc10/index.php?action=vallex&amp;frame=v-whsa_582hsa_583", "ukrývat se (v-whsa_582hsa_583)")</f>
        <v>ukrývat se (v-whsa_582hsa_583)</v>
      </c>
    </row>
    <row r="50541" spans="1:4" x14ac:dyDescent="0.2">
      <c r="B50541" t="s">
        <v>1</v>
      </c>
      <c r="C50541" t="s">
        <v>4421</v>
      </c>
      <c r="D50541" t="s">
        <v>2172</v>
      </c>
    </row>
    <row r="50542" spans="1:4" x14ac:dyDescent="0.2">
      <c r="B50542" t="s">
        <v>5</v>
      </c>
      <c r="C50542" t="s">
        <v>9232</v>
      </c>
    </row>
    <row r="50544" spans="1:4" x14ac:dyDescent="0.2">
      <c r="A50544" t="s">
        <v>16042</v>
      </c>
      <c r="B50544" t="str">
        <f>HYPERLINK("https://lindat.mff.cuni.cz/services/teitok/pdtc10/index.php?action=vallex&amp;frame=v-whsa_364hsa_365", "ukuchtit (v-whsa_364hsa_365)")</f>
        <v>ukuchtit (v-whsa_364hsa_365)</v>
      </c>
    </row>
    <row r="50545" spans="1:4" x14ac:dyDescent="0.2">
      <c r="B50545" t="s">
        <v>1</v>
      </c>
    </row>
    <row r="50546" spans="1:4" x14ac:dyDescent="0.2">
      <c r="B50546" t="s">
        <v>8</v>
      </c>
    </row>
    <row r="50547" spans="1:4" x14ac:dyDescent="0.2">
      <c r="B50547" t="s">
        <v>24</v>
      </c>
    </row>
    <row r="50549" spans="1:4" x14ac:dyDescent="0.2">
      <c r="A50549" t="s">
        <v>16043</v>
      </c>
      <c r="B50549" t="str">
        <f>HYPERLINK("https://lindat.mff.cuni.cz/services/teitok/pdtc10/index.php?action=vallex&amp;frame=v-w7125f1", "ukvapit se (v-w7125f1)")</f>
        <v>ukvapit se (v-w7125f1)</v>
      </c>
    </row>
    <row r="50550" spans="1:4" x14ac:dyDescent="0.2">
      <c r="B50550" t="s">
        <v>1</v>
      </c>
    </row>
    <row r="50552" spans="1:4" x14ac:dyDescent="0.2">
      <c r="A50552" t="s">
        <v>16044</v>
      </c>
      <c r="B50552" t="str">
        <f>HYPERLINK("https://lindat.mff.cuni.cz/services/teitok/pdtc10/index.php?action=vallex&amp;frame=v-w10355f2", "ukájet (v-w10355f2)")</f>
        <v>ukájet (v-w10355f2)</v>
      </c>
    </row>
    <row r="50553" spans="1:4" x14ac:dyDescent="0.2">
      <c r="B50553" t="s">
        <v>1</v>
      </c>
    </row>
    <row r="50554" spans="1:4" x14ac:dyDescent="0.2">
      <c r="B50554" t="s">
        <v>8</v>
      </c>
    </row>
    <row r="50556" spans="1:4" x14ac:dyDescent="0.2">
      <c r="A50556" t="s">
        <v>16045</v>
      </c>
      <c r="B50556" t="str">
        <f>HYPERLINK("https://lindat.mff.cuni.cz/services/teitok/pdtc10/index.php?action=vallex&amp;frame=v-w7092f1", "ukázat (v-w7092f1)")</f>
        <v>ukázat (v-w7092f1)</v>
      </c>
    </row>
    <row r="50557" spans="1:4" x14ac:dyDescent="0.2">
      <c r="B50557" t="s">
        <v>1</v>
      </c>
      <c r="C50557" t="s">
        <v>16046</v>
      </c>
      <c r="D50557" t="s">
        <v>23089</v>
      </c>
    </row>
    <row r="50558" spans="1:4" x14ac:dyDescent="0.2">
      <c r="B50558" t="s">
        <v>1307</v>
      </c>
      <c r="C50558" t="s">
        <v>16047</v>
      </c>
      <c r="D50558" t="s">
        <v>8880</v>
      </c>
    </row>
    <row r="50559" spans="1:4" x14ac:dyDescent="0.2">
      <c r="B50559" t="s">
        <v>35</v>
      </c>
      <c r="C50559" t="s">
        <v>16048</v>
      </c>
      <c r="D50559" t="s">
        <v>11069</v>
      </c>
    </row>
    <row r="50561" spans="1:4" x14ac:dyDescent="0.2">
      <c r="A50561" t="s">
        <v>16049</v>
      </c>
      <c r="B50561" t="str">
        <f>HYPERLINK("https://lindat.mff.cuni.cz/services/teitok/pdtc10/index.php?action=vallex&amp;frame=v-w7092f4", "ukázat (v-w7092f4)")</f>
        <v>ukázat (v-w7092f4)</v>
      </c>
    </row>
    <row r="50562" spans="1:4" x14ac:dyDescent="0.2">
      <c r="B50562" t="s">
        <v>196</v>
      </c>
      <c r="C50562" t="s">
        <v>2787</v>
      </c>
      <c r="D50562" t="s">
        <v>1271</v>
      </c>
    </row>
    <row r="50563" spans="1:4" x14ac:dyDescent="0.2">
      <c r="B50563" t="s">
        <v>28</v>
      </c>
      <c r="C50563" t="s">
        <v>16050</v>
      </c>
      <c r="D50563" t="s">
        <v>23874</v>
      </c>
    </row>
    <row r="50564" spans="1:4" x14ac:dyDescent="0.2">
      <c r="B50564" t="s">
        <v>78</v>
      </c>
      <c r="C50564" t="s">
        <v>5846</v>
      </c>
      <c r="D50564" t="s">
        <v>24263</v>
      </c>
    </row>
    <row r="50566" spans="1:4" x14ac:dyDescent="0.2">
      <c r="A50566" t="s">
        <v>16051</v>
      </c>
      <c r="B50566" t="str">
        <f>HYPERLINK("https://lindat.mff.cuni.cz/services/teitok/pdtc10/index.php?action=vallex&amp;frame=v-w7092f2", "ukázat (v-w7092f2)")</f>
        <v>ukázat (v-w7092f2)</v>
      </c>
    </row>
    <row r="50567" spans="1:4" x14ac:dyDescent="0.2">
      <c r="B50567" t="s">
        <v>1</v>
      </c>
      <c r="D50567" t="s">
        <v>23136</v>
      </c>
    </row>
    <row r="50568" spans="1:4" x14ac:dyDescent="0.2">
      <c r="B50568" t="s">
        <v>4749</v>
      </c>
      <c r="C50568" t="s">
        <v>16052</v>
      </c>
      <c r="D50568" t="s">
        <v>15140</v>
      </c>
    </row>
    <row r="50569" spans="1:4" x14ac:dyDescent="0.2">
      <c r="B50569" t="s">
        <v>269</v>
      </c>
      <c r="D50569" t="s">
        <v>732</v>
      </c>
    </row>
    <row r="50570" spans="1:4" x14ac:dyDescent="0.2">
      <c r="B50570" t="s">
        <v>78</v>
      </c>
      <c r="D50570" t="s">
        <v>10545</v>
      </c>
    </row>
    <row r="50572" spans="1:4" x14ac:dyDescent="0.2">
      <c r="A50572" t="s">
        <v>16053</v>
      </c>
      <c r="B50572" t="str">
        <f>HYPERLINK("https://lindat.mff.cuni.cz/services/teitok/pdtc10/index.php?action=vallex&amp;frame=v-w7092f3", "ukázat (v-w7092f3)")</f>
        <v>ukázat (v-w7092f3)</v>
      </c>
    </row>
    <row r="50573" spans="1:4" x14ac:dyDescent="0.2">
      <c r="B50573" t="s">
        <v>1</v>
      </c>
      <c r="C50573" t="s">
        <v>3583</v>
      </c>
    </row>
    <row r="50574" spans="1:4" x14ac:dyDescent="0.2">
      <c r="B50574" t="s">
        <v>90</v>
      </c>
    </row>
    <row r="50575" spans="1:4" x14ac:dyDescent="0.2">
      <c r="B50575" t="s">
        <v>86</v>
      </c>
    </row>
    <row r="50577" spans="1:4" x14ac:dyDescent="0.2">
      <c r="A50577" t="s">
        <v>16054</v>
      </c>
      <c r="B50577" t="str">
        <f>HYPERLINK("https://lindat.mff.cuni.cz/services/teitok/pdtc10/index.php?action=vallex&amp;frame=v-w7092f5_ZU", "ukázat (v-w7092f5_ZU)")</f>
        <v>ukázat (v-w7092f5_ZU)</v>
      </c>
    </row>
    <row r="50578" spans="1:4" x14ac:dyDescent="0.2">
      <c r="B50578" t="s">
        <v>1</v>
      </c>
    </row>
    <row r="50579" spans="1:4" x14ac:dyDescent="0.2">
      <c r="B50579" t="s">
        <v>16055</v>
      </c>
      <c r="C50579" t="s">
        <v>16056</v>
      </c>
    </row>
    <row r="50580" spans="1:4" x14ac:dyDescent="0.2">
      <c r="B50580" t="s">
        <v>103</v>
      </c>
    </row>
    <row r="50582" spans="1:4" x14ac:dyDescent="0.2">
      <c r="A50582" t="s">
        <v>16057</v>
      </c>
      <c r="B50582" t="str">
        <f>HYPERLINK("https://lindat.mff.cuni.cz/services/teitok/pdtc10/index.php?action=vallex&amp;frame=v-w7092f7_ZU", "ukázat (v-w7092f7_ZU)")</f>
        <v>ukázat (v-w7092f7_ZU)</v>
      </c>
    </row>
    <row r="50583" spans="1:4" x14ac:dyDescent="0.2">
      <c r="B50583" t="s">
        <v>1</v>
      </c>
      <c r="D50583" t="s">
        <v>13243</v>
      </c>
    </row>
    <row r="50584" spans="1:4" x14ac:dyDescent="0.2">
      <c r="B50584" t="s">
        <v>8</v>
      </c>
      <c r="C50584" t="s">
        <v>10526</v>
      </c>
      <c r="D50584" t="s">
        <v>23359</v>
      </c>
    </row>
    <row r="50585" spans="1:4" x14ac:dyDescent="0.2">
      <c r="B50585" t="s">
        <v>78</v>
      </c>
    </row>
    <row r="50587" spans="1:4" x14ac:dyDescent="0.2">
      <c r="A50587" t="s">
        <v>16057</v>
      </c>
      <c r="B50587" t="str">
        <f>HYPERLINK("https://lindat.mff.cuni.cz/services/teitok/pdtc10/index.php?action=vallex&amp;frame=v-w7092f6_ZU", "ukázat (v-w7092f6_ZU) - substituted with v-w7092f7_ZU")</f>
        <v>ukázat (v-w7092f6_ZU) - substituted with v-w7092f7_ZU</v>
      </c>
    </row>
    <row r="50588" spans="1:4" x14ac:dyDescent="0.2">
      <c r="B50588" t="s">
        <v>1</v>
      </c>
      <c r="C50588" t="s">
        <v>3597</v>
      </c>
    </row>
    <row r="50589" spans="1:4" x14ac:dyDescent="0.2">
      <c r="B50589" t="s">
        <v>8</v>
      </c>
      <c r="C50589" t="s">
        <v>3598</v>
      </c>
    </row>
    <row r="50590" spans="1:4" x14ac:dyDescent="0.2">
      <c r="B50590" t="s">
        <v>78</v>
      </c>
      <c r="C50590" t="s">
        <v>4440</v>
      </c>
    </row>
    <row r="50592" spans="1:4" x14ac:dyDescent="0.2">
      <c r="A50592" t="s">
        <v>16057</v>
      </c>
      <c r="B50592" t="str">
        <f>HYPERLINK("https://lindat.mff.cuni.cz/services/teitok/pdtc10/index.php?action=vallex&amp;frame=v-w7092hsa_1080", "ukázat (v-w7092hsa_1080) - substituted with v-w7092f7_ZU")</f>
        <v>ukázat (v-w7092hsa_1080) - substituted with v-w7092f7_ZU</v>
      </c>
    </row>
    <row r="50593" spans="1:4" x14ac:dyDescent="0.2">
      <c r="B50593" t="s">
        <v>1</v>
      </c>
    </row>
    <row r="50594" spans="1:4" x14ac:dyDescent="0.2">
      <c r="B50594" t="s">
        <v>8</v>
      </c>
    </row>
    <row r="50595" spans="1:4" x14ac:dyDescent="0.2">
      <c r="B50595" t="s">
        <v>78</v>
      </c>
    </row>
    <row r="50597" spans="1:4" x14ac:dyDescent="0.2">
      <c r="A50597" t="s">
        <v>16058</v>
      </c>
      <c r="B50597" t="str">
        <f>HYPERLINK("https://lindat.mff.cuni.cz/services/teitok/pdtc10/index.php?action=vallex&amp;frame=v-w7094f2", "ukázat se (v-w7094f2)")</f>
        <v>ukázat se (v-w7094f2)</v>
      </c>
    </row>
    <row r="50598" spans="1:4" x14ac:dyDescent="0.2">
      <c r="B50598" t="s">
        <v>488</v>
      </c>
      <c r="C50598" t="s">
        <v>10555</v>
      </c>
      <c r="D50598" t="s">
        <v>24264</v>
      </c>
    </row>
    <row r="50599" spans="1:4" x14ac:dyDescent="0.2">
      <c r="B50599" t="s">
        <v>16059</v>
      </c>
      <c r="C50599" t="s">
        <v>16060</v>
      </c>
      <c r="D50599" t="s">
        <v>2213</v>
      </c>
    </row>
    <row r="50601" spans="1:4" x14ac:dyDescent="0.2">
      <c r="A50601" t="s">
        <v>16061</v>
      </c>
      <c r="B50601" t="str">
        <f>HYPERLINK("https://lindat.mff.cuni.cz/services/teitok/pdtc10/index.php?action=vallex&amp;frame=v-w7094f4", "ukázat se (v-w7094f4)")</f>
        <v>ukázat se (v-w7094f4)</v>
      </c>
    </row>
    <row r="50602" spans="1:4" x14ac:dyDescent="0.2">
      <c r="B50602" t="s">
        <v>1</v>
      </c>
    </row>
    <row r="50603" spans="1:4" x14ac:dyDescent="0.2">
      <c r="B50603" t="s">
        <v>86</v>
      </c>
    </row>
    <row r="50605" spans="1:4" x14ac:dyDescent="0.2">
      <c r="A50605" t="s">
        <v>16062</v>
      </c>
      <c r="B50605" t="str">
        <f>HYPERLINK("https://lindat.mff.cuni.cz/services/teitok/pdtc10/index.php?action=vallex&amp;frame=v-w7094f3", "ukázat se (v-w7094f3)")</f>
        <v>ukázat se (v-w7094f3)</v>
      </c>
    </row>
    <row r="50606" spans="1:4" x14ac:dyDescent="0.2">
      <c r="B50606" t="s">
        <v>1</v>
      </c>
      <c r="C50606" t="s">
        <v>7870</v>
      </c>
      <c r="D50606" t="s">
        <v>23609</v>
      </c>
    </row>
    <row r="50607" spans="1:4" x14ac:dyDescent="0.2">
      <c r="B50607" t="s">
        <v>5</v>
      </c>
    </row>
    <row r="50609" spans="1:4" x14ac:dyDescent="0.2">
      <c r="A50609" t="s">
        <v>16063</v>
      </c>
      <c r="B50609" t="str">
        <f>HYPERLINK("https://lindat.mff.cuni.cz/services/teitok/pdtc10/index.php?action=vallex&amp;frame=v-w7094f1", "ukázat se (v-w7094f1)")</f>
        <v>ukázat se (v-w7094f1)</v>
      </c>
    </row>
    <row r="50610" spans="1:4" x14ac:dyDescent="0.2">
      <c r="B50610" t="s">
        <v>16064</v>
      </c>
      <c r="C50610" t="s">
        <v>16065</v>
      </c>
      <c r="D50610" t="s">
        <v>23136</v>
      </c>
    </row>
    <row r="50612" spans="1:4" x14ac:dyDescent="0.2">
      <c r="A50612" t="s">
        <v>16066</v>
      </c>
      <c r="B50612" t="str">
        <f>HYPERLINK("https://lindat.mff.cuni.cz/services/teitok/pdtc10/index.php?action=vallex&amp;frame=v-w7094hsa_719", "ukázat se (v-w7094hsa_719)")</f>
        <v>ukázat se (v-w7094hsa_719)</v>
      </c>
    </row>
    <row r="50613" spans="1:4" x14ac:dyDescent="0.2">
      <c r="B50613" t="s">
        <v>1</v>
      </c>
      <c r="C50613" t="s">
        <v>1606</v>
      </c>
    </row>
    <row r="50614" spans="1:4" x14ac:dyDescent="0.2">
      <c r="B50614" t="s">
        <v>1186</v>
      </c>
      <c r="C50614" t="s">
        <v>1360</v>
      </c>
    </row>
    <row r="50616" spans="1:4" x14ac:dyDescent="0.2">
      <c r="A50616" t="s">
        <v>16067</v>
      </c>
      <c r="B50616" t="str">
        <f>HYPERLINK("https://lindat.mff.cuni.cz/services/teitok/pdtc10/index.php?action=vallex&amp;frame=v-w7096f1", "ukáznit (v-w7096f1)")</f>
        <v>ukáznit (v-w7096f1)</v>
      </c>
    </row>
    <row r="50617" spans="1:4" x14ac:dyDescent="0.2">
      <c r="B50617" t="s">
        <v>1</v>
      </c>
    </row>
    <row r="50618" spans="1:4" x14ac:dyDescent="0.2">
      <c r="B50618" t="s">
        <v>8</v>
      </c>
    </row>
    <row r="50620" spans="1:4" x14ac:dyDescent="0.2">
      <c r="A50620" t="s">
        <v>16068</v>
      </c>
      <c r="B50620" t="str">
        <f>HYPERLINK("https://lindat.mff.cuni.cz/services/teitok/pdtc10/index.php?action=vallex&amp;frame=v-w7097f1", "ukáznit se (v-w7097f1)")</f>
        <v>ukáznit se (v-w7097f1)</v>
      </c>
    </row>
    <row r="50621" spans="1:4" x14ac:dyDescent="0.2">
      <c r="B50621" t="s">
        <v>1</v>
      </c>
    </row>
    <row r="50623" spans="1:4" x14ac:dyDescent="0.2">
      <c r="A50623" t="s">
        <v>16069</v>
      </c>
      <c r="B50623" t="str">
        <f>HYPERLINK("https://lindat.mff.cuni.cz/services/teitok/pdtc10/index.php?action=vallex&amp;frame=v-whsa_641f1_ZU", "ukřižovat (v-whsa_641f1_ZU)")</f>
        <v>ukřižovat (v-whsa_641f1_ZU)</v>
      </c>
    </row>
    <row r="50624" spans="1:4" x14ac:dyDescent="0.2">
      <c r="B50624" t="s">
        <v>1</v>
      </c>
    </row>
    <row r="50625" spans="1:3" x14ac:dyDescent="0.2">
      <c r="B50625" t="s">
        <v>8</v>
      </c>
    </row>
    <row r="50627" spans="1:3" x14ac:dyDescent="0.2">
      <c r="A50627" t="s">
        <v>16069</v>
      </c>
      <c r="B50627" t="str">
        <f>HYPERLINK("https://lindat.mff.cuni.cz/services/teitok/pdtc10/index.php?action=vallex&amp;frame=v-whsa_641hsa_642", "ukřižovat (v-whsa_641hsa_642) - substituted with v-whsa_641f1_ZU")</f>
        <v>ukřižovat (v-whsa_641hsa_642) - substituted with v-whsa_641f1_ZU</v>
      </c>
    </row>
    <row r="50628" spans="1:3" x14ac:dyDescent="0.2">
      <c r="B50628" t="s">
        <v>1</v>
      </c>
    </row>
    <row r="50629" spans="1:3" x14ac:dyDescent="0.2">
      <c r="B50629" t="s">
        <v>8</v>
      </c>
    </row>
    <row r="50631" spans="1:3" x14ac:dyDescent="0.2">
      <c r="A50631" t="s">
        <v>16070</v>
      </c>
      <c r="B50631" t="str">
        <f>HYPERLINK("https://lindat.mff.cuni.cz/services/teitok/pdtc10/index.php?action=vallex&amp;frame=v-w7129f1", "ulehnout (v-w7129f1)")</f>
        <v>ulehnout (v-w7129f1)</v>
      </c>
    </row>
    <row r="50632" spans="1:3" x14ac:dyDescent="0.2">
      <c r="B50632" t="s">
        <v>1</v>
      </c>
    </row>
    <row r="50634" spans="1:3" x14ac:dyDescent="0.2">
      <c r="A50634" t="s">
        <v>16071</v>
      </c>
      <c r="B50634" t="str">
        <f>HYPERLINK("https://lindat.mff.cuni.cz/services/teitok/pdtc10/index.php?action=vallex&amp;frame=v-w7129hsa_282", "ulehnout (v-w7129hsa_282)")</f>
        <v>ulehnout (v-w7129hsa_282)</v>
      </c>
    </row>
    <row r="50635" spans="1:3" x14ac:dyDescent="0.2">
      <c r="B50635" t="s">
        <v>1</v>
      </c>
    </row>
    <row r="50637" spans="1:3" x14ac:dyDescent="0.2">
      <c r="A50637" t="s">
        <v>16072</v>
      </c>
      <c r="B50637" t="str">
        <f>HYPERLINK("https://lindat.mff.cuni.cz/services/teitok/pdtc10/index.php?action=vallex&amp;frame=v-w7127f1", "ulehčit (v-w7127f1)")</f>
        <v>ulehčit (v-w7127f1)</v>
      </c>
    </row>
    <row r="50638" spans="1:3" x14ac:dyDescent="0.2">
      <c r="B50638" t="s">
        <v>1</v>
      </c>
      <c r="C50638" t="s">
        <v>3742</v>
      </c>
    </row>
    <row r="50639" spans="1:3" x14ac:dyDescent="0.2">
      <c r="B50639" t="s">
        <v>8</v>
      </c>
      <c r="C50639" t="s">
        <v>3184</v>
      </c>
    </row>
    <row r="50640" spans="1:3" x14ac:dyDescent="0.2">
      <c r="B50640" t="s">
        <v>35</v>
      </c>
    </row>
    <row r="50642" spans="1:3" x14ac:dyDescent="0.2">
      <c r="A50642" t="s">
        <v>16073</v>
      </c>
      <c r="B50642" t="str">
        <f>HYPERLINK("https://lindat.mff.cuni.cz/services/teitok/pdtc10/index.php?action=vallex&amp;frame=v-w7128f1", "ulehčovat (v-w7128f1)")</f>
        <v>ulehčovat (v-w7128f1)</v>
      </c>
    </row>
    <row r="50643" spans="1:3" x14ac:dyDescent="0.2">
      <c r="B50643" t="s">
        <v>1</v>
      </c>
    </row>
    <row r="50644" spans="1:3" x14ac:dyDescent="0.2">
      <c r="B50644" t="s">
        <v>8</v>
      </c>
    </row>
    <row r="50645" spans="1:3" x14ac:dyDescent="0.2">
      <c r="B50645" t="s">
        <v>78</v>
      </c>
    </row>
    <row r="50647" spans="1:3" x14ac:dyDescent="0.2">
      <c r="A50647" t="s">
        <v>16074</v>
      </c>
      <c r="B50647" t="str">
        <f>HYPERLINK("https://lindat.mff.cuni.cz/services/teitok/pdtc10/index.php?action=vallex&amp;frame=v-w11775_ZUf1_ZU", "ulejvat se (v-w11775_ZUf1_ZU)")</f>
        <v>ulejvat se (v-w11775_ZUf1_ZU)</v>
      </c>
    </row>
    <row r="50648" spans="1:3" x14ac:dyDescent="0.2">
      <c r="B50648" t="s">
        <v>1</v>
      </c>
    </row>
    <row r="50650" spans="1:3" x14ac:dyDescent="0.2">
      <c r="A50650" t="s">
        <v>16075</v>
      </c>
      <c r="B50650" t="str">
        <f>HYPERLINK("https://lindat.mff.cuni.cz/services/teitok/pdtc10/index.php?action=vallex&amp;frame=v-whsa_683hsa_684", "uletět (v-whsa_683hsa_684)")</f>
        <v>uletět (v-whsa_683hsa_684)</v>
      </c>
    </row>
    <row r="50651" spans="1:3" x14ac:dyDescent="0.2">
      <c r="B50651" t="s">
        <v>1</v>
      </c>
      <c r="C50651" t="s">
        <v>4529</v>
      </c>
    </row>
    <row r="50652" spans="1:3" x14ac:dyDescent="0.2">
      <c r="B50652" t="s">
        <v>8</v>
      </c>
    </row>
    <row r="50654" spans="1:3" x14ac:dyDescent="0.2">
      <c r="A50654" t="s">
        <v>16076</v>
      </c>
      <c r="B50654" t="str">
        <f>HYPERLINK("https://lindat.mff.cuni.cz/services/teitok/pdtc10/index.php?action=vallex&amp;frame=v-whsa_683f3_ZU", "uletět (v-whsa_683f3_ZU)")</f>
        <v>uletět (v-whsa_683f3_ZU)</v>
      </c>
    </row>
    <row r="50655" spans="1:3" x14ac:dyDescent="0.2">
      <c r="B50655" t="s">
        <v>1</v>
      </c>
    </row>
    <row r="50656" spans="1:3" x14ac:dyDescent="0.2">
      <c r="B50656" t="s">
        <v>4622</v>
      </c>
    </row>
    <row r="50658" spans="1:4" x14ac:dyDescent="0.2">
      <c r="A50658" t="s">
        <v>16076</v>
      </c>
      <c r="B50658" t="str">
        <f>HYPERLINK("https://lindat.mff.cuni.cz/services/teitok/pdtc10/index.php?action=vallex&amp;frame=v-whsa_683f1_ZU", "uletět (v-whsa_683f1_ZU) - substituted with v-whsa_683f3_ZU")</f>
        <v>uletět (v-whsa_683f1_ZU) - substituted with v-whsa_683f3_ZU</v>
      </c>
    </row>
    <row r="50659" spans="1:4" x14ac:dyDescent="0.2">
      <c r="B50659" t="s">
        <v>1</v>
      </c>
    </row>
    <row r="50660" spans="1:4" x14ac:dyDescent="0.2">
      <c r="B50660" t="s">
        <v>4622</v>
      </c>
    </row>
    <row r="50662" spans="1:4" x14ac:dyDescent="0.2">
      <c r="A50662" t="s">
        <v>16076</v>
      </c>
      <c r="B50662" t="str">
        <f>HYPERLINK("https://lindat.mff.cuni.cz/services/teitok/pdtc10/index.php?action=vallex&amp;frame=v-whsa_683f2_ZU", "uletět (v-whsa_683f2_ZU) - substituted with v-whsa_683f3_ZU")</f>
        <v>uletět (v-whsa_683f2_ZU) - substituted with v-whsa_683f3_ZU</v>
      </c>
    </row>
    <row r="50663" spans="1:4" x14ac:dyDescent="0.2">
      <c r="B50663" t="s">
        <v>1</v>
      </c>
    </row>
    <row r="50664" spans="1:4" x14ac:dyDescent="0.2">
      <c r="B50664" t="s">
        <v>4622</v>
      </c>
    </row>
    <row r="50666" spans="1:4" x14ac:dyDescent="0.2">
      <c r="A50666" t="s">
        <v>16077</v>
      </c>
      <c r="B50666" t="str">
        <f>HYPERLINK("https://lindat.mff.cuni.cz/services/teitok/pdtc10/index.php?action=vallex&amp;frame=v-w7131f1", "ulevit (v-w7131f1)")</f>
        <v>ulevit (v-w7131f1)</v>
      </c>
    </row>
    <row r="50667" spans="1:4" x14ac:dyDescent="0.2">
      <c r="B50667" t="s">
        <v>1</v>
      </c>
      <c r="C50667" t="s">
        <v>3742</v>
      </c>
      <c r="D50667" t="s">
        <v>23101</v>
      </c>
    </row>
    <row r="50668" spans="1:4" x14ac:dyDescent="0.2">
      <c r="B50668" t="s">
        <v>103</v>
      </c>
      <c r="C50668" t="s">
        <v>4575</v>
      </c>
      <c r="D50668" t="s">
        <v>13624</v>
      </c>
    </row>
    <row r="50670" spans="1:4" x14ac:dyDescent="0.2">
      <c r="A50670" t="s">
        <v>16078</v>
      </c>
      <c r="B50670" t="str">
        <f>HYPERLINK("https://lindat.mff.cuni.cz/services/teitok/pdtc10/index.php?action=vallex&amp;frame=v-w7132f2_ZU", "ulevit se (v-w7132f2_ZU)")</f>
        <v>ulevit se (v-w7132f2_ZU)</v>
      </c>
    </row>
    <row r="50671" spans="1:4" x14ac:dyDescent="0.2">
      <c r="B50671" t="s">
        <v>455</v>
      </c>
    </row>
    <row r="50673" spans="1:3" x14ac:dyDescent="0.2">
      <c r="A50673" t="s">
        <v>16078</v>
      </c>
      <c r="B50673" t="str">
        <f>HYPERLINK("https://lindat.mff.cuni.cz/services/teitok/pdtc10/index.php?action=vallex&amp;frame=v-w7132f1", "ulevit se (v-w7132f1) - substituted with v-w7132f2_ZU")</f>
        <v>ulevit se (v-w7132f1) - substituted with v-w7132f2_ZU</v>
      </c>
    </row>
    <row r="50674" spans="1:3" x14ac:dyDescent="0.2">
      <c r="B50674" t="s">
        <v>455</v>
      </c>
      <c r="C50674" t="s">
        <v>186</v>
      </c>
    </row>
    <row r="50676" spans="1:3" x14ac:dyDescent="0.2">
      <c r="A50676" t="s">
        <v>16079</v>
      </c>
      <c r="B50676" t="str">
        <f>HYPERLINK("https://lindat.mff.cuni.cz/services/teitok/pdtc10/index.php?action=vallex&amp;frame=v-w7132hsa_171", "ulevit se (v-w7132hsa_171)")</f>
        <v>ulevit se (v-w7132hsa_171)</v>
      </c>
    </row>
    <row r="50677" spans="1:3" x14ac:dyDescent="0.2">
      <c r="B50677" t="s">
        <v>1</v>
      </c>
    </row>
    <row r="50678" spans="1:3" x14ac:dyDescent="0.2">
      <c r="B50678" t="s">
        <v>2480</v>
      </c>
    </row>
    <row r="50680" spans="1:3" x14ac:dyDescent="0.2">
      <c r="A50680" t="s">
        <v>16080</v>
      </c>
      <c r="B50680" t="str">
        <f>HYPERLINK("https://lindat.mff.cuni.cz/services/teitok/pdtc10/index.php?action=vallex&amp;frame=v-w11609_ZUf1_ZU", "ulevit si (v-w11609_ZUf1_ZU)")</f>
        <v>ulevit si (v-w11609_ZUf1_ZU)</v>
      </c>
    </row>
    <row r="50681" spans="1:3" x14ac:dyDescent="0.2">
      <c r="B50681" t="s">
        <v>1</v>
      </c>
    </row>
    <row r="50683" spans="1:3" x14ac:dyDescent="0.2">
      <c r="A50683" t="s">
        <v>16081</v>
      </c>
      <c r="B50683" t="str">
        <f>HYPERLINK("https://lindat.mff.cuni.cz/services/teitok/pdtc10/index.php?action=vallex&amp;frame=v-w11842_ZUf1_ZU", "ulomit (v-w11842_ZUf1_ZU)")</f>
        <v>ulomit (v-w11842_ZUf1_ZU)</v>
      </c>
    </row>
    <row r="50684" spans="1:3" x14ac:dyDescent="0.2">
      <c r="B50684" t="s">
        <v>1</v>
      </c>
    </row>
    <row r="50685" spans="1:3" x14ac:dyDescent="0.2">
      <c r="B50685" t="s">
        <v>8</v>
      </c>
    </row>
    <row r="50687" spans="1:3" x14ac:dyDescent="0.2">
      <c r="A50687" t="s">
        <v>16082</v>
      </c>
      <c r="B50687" t="str">
        <f>HYPERLINK("https://lindat.mff.cuni.cz/services/teitok/pdtc10/index.php?action=vallex&amp;frame=v-w12380_MMf1_MM", "ulomit se (v-w12380_MMf1_MM)")</f>
        <v>ulomit se (v-w12380_MMf1_MM)</v>
      </c>
    </row>
    <row r="50688" spans="1:3" x14ac:dyDescent="0.2">
      <c r="B50688" t="s">
        <v>1</v>
      </c>
    </row>
    <row r="50690" spans="1:4" x14ac:dyDescent="0.2">
      <c r="A50690" t="s">
        <v>16083</v>
      </c>
      <c r="B50690" t="str">
        <f>HYPERLINK("https://lindat.mff.cuni.cz/services/teitok/pdtc10/index.php?action=vallex&amp;frame=v-w10127f2", "uloupit (v-w10127f2)")</f>
        <v>uloupit (v-w10127f2)</v>
      </c>
    </row>
    <row r="50691" spans="1:4" x14ac:dyDescent="0.2">
      <c r="B50691" t="s">
        <v>1</v>
      </c>
      <c r="C50691" t="s">
        <v>334</v>
      </c>
      <c r="D50691" t="s">
        <v>6383</v>
      </c>
    </row>
    <row r="50692" spans="1:4" x14ac:dyDescent="0.2">
      <c r="B50692" t="s">
        <v>8</v>
      </c>
      <c r="C50692" t="s">
        <v>2755</v>
      </c>
      <c r="D50692" t="s">
        <v>14757</v>
      </c>
    </row>
    <row r="50693" spans="1:4" x14ac:dyDescent="0.2">
      <c r="B50693" t="s">
        <v>35</v>
      </c>
      <c r="C50693" t="s">
        <v>3728</v>
      </c>
      <c r="D50693" t="s">
        <v>23004</v>
      </c>
    </row>
    <row r="50695" spans="1:4" x14ac:dyDescent="0.2">
      <c r="A50695" t="s">
        <v>16084</v>
      </c>
      <c r="B50695" t="str">
        <f>HYPERLINK("https://lindat.mff.cuni.cz/services/teitok/pdtc10/index.php?action=vallex&amp;frame=v-w7135f1", "uloupnout (v-w7135f1)")</f>
        <v>uloupnout (v-w7135f1)</v>
      </c>
    </row>
    <row r="50696" spans="1:4" x14ac:dyDescent="0.2">
      <c r="B50696" t="s">
        <v>1</v>
      </c>
    </row>
    <row r="50697" spans="1:4" x14ac:dyDescent="0.2">
      <c r="B50697" t="s">
        <v>8</v>
      </c>
    </row>
    <row r="50699" spans="1:4" x14ac:dyDescent="0.2">
      <c r="A50699" t="s">
        <v>16085</v>
      </c>
      <c r="B50699" t="str">
        <f>HYPERLINK("https://lindat.mff.cuni.cz/services/teitok/pdtc10/index.php?action=vallex&amp;frame=v-w7137f1", "ulovit (v-w7137f1)")</f>
        <v>ulovit (v-w7137f1)</v>
      </c>
    </row>
    <row r="50700" spans="1:4" x14ac:dyDescent="0.2">
      <c r="B50700" t="s">
        <v>1</v>
      </c>
    </row>
    <row r="50701" spans="1:4" x14ac:dyDescent="0.2">
      <c r="B50701" t="s">
        <v>8</v>
      </c>
    </row>
    <row r="50703" spans="1:4" x14ac:dyDescent="0.2">
      <c r="A50703" t="s">
        <v>16086</v>
      </c>
      <c r="B50703" t="str">
        <f>HYPERLINK("https://lindat.mff.cuni.cz/services/teitok/pdtc10/index.php?action=vallex&amp;frame=v-w7137f2", "ulovit (v-w7137f2)")</f>
        <v>ulovit (v-w7137f2)</v>
      </c>
    </row>
    <row r="50704" spans="1:4" x14ac:dyDescent="0.2">
      <c r="B50704" t="s">
        <v>1</v>
      </c>
      <c r="C50704" t="s">
        <v>140</v>
      </c>
    </row>
    <row r="50705" spans="1:4" x14ac:dyDescent="0.2">
      <c r="B50705" t="s">
        <v>8</v>
      </c>
      <c r="C50705" t="s">
        <v>56</v>
      </c>
    </row>
    <row r="50707" spans="1:4" x14ac:dyDescent="0.2">
      <c r="A50707" t="s">
        <v>16087</v>
      </c>
      <c r="B50707" t="str">
        <f>HYPERLINK("https://lindat.mff.cuni.cz/services/teitok/pdtc10/index.php?action=vallex&amp;frame=v-w7140f1", "uložit (v-w7140f1)")</f>
        <v>uložit (v-w7140f1)</v>
      </c>
    </row>
    <row r="50708" spans="1:4" x14ac:dyDescent="0.2">
      <c r="B50708" t="s">
        <v>1</v>
      </c>
      <c r="C50708" t="s">
        <v>1524</v>
      </c>
      <c r="D50708" t="s">
        <v>2486</v>
      </c>
    </row>
    <row r="50709" spans="1:4" x14ac:dyDescent="0.2">
      <c r="B50709" t="s">
        <v>1921</v>
      </c>
      <c r="C50709" t="s">
        <v>6123</v>
      </c>
      <c r="D50709" t="s">
        <v>2487</v>
      </c>
    </row>
    <row r="50710" spans="1:4" x14ac:dyDescent="0.2">
      <c r="B50710" t="s">
        <v>35</v>
      </c>
      <c r="C50710" t="s">
        <v>15280</v>
      </c>
      <c r="D50710" t="s">
        <v>2488</v>
      </c>
    </row>
    <row r="50711" spans="1:4" x14ac:dyDescent="0.2">
      <c r="B50711" t="s">
        <v>2489</v>
      </c>
      <c r="D50711" t="s">
        <v>23248</v>
      </c>
    </row>
    <row r="50713" spans="1:4" x14ac:dyDescent="0.2">
      <c r="A50713" t="s">
        <v>16088</v>
      </c>
      <c r="B50713" t="str">
        <f>HYPERLINK("https://lindat.mff.cuni.cz/services/teitok/pdtc10/index.php?action=vallex&amp;frame=v-w7140f3", "uložit (v-w7140f3)")</f>
        <v>uložit (v-w7140f3)</v>
      </c>
    </row>
    <row r="50714" spans="1:4" x14ac:dyDescent="0.2">
      <c r="B50714" t="s">
        <v>1</v>
      </c>
      <c r="C50714" t="s">
        <v>16089</v>
      </c>
    </row>
    <row r="50715" spans="1:4" x14ac:dyDescent="0.2">
      <c r="B50715" t="s">
        <v>8</v>
      </c>
      <c r="C50715" t="s">
        <v>16090</v>
      </c>
    </row>
    <row r="50716" spans="1:4" x14ac:dyDescent="0.2">
      <c r="B50716" t="s">
        <v>5</v>
      </c>
      <c r="C50716" t="s">
        <v>16091</v>
      </c>
    </row>
    <row r="50718" spans="1:4" x14ac:dyDescent="0.2">
      <c r="A50718" t="s">
        <v>16092</v>
      </c>
      <c r="B50718" t="str">
        <f>HYPERLINK("https://lindat.mff.cuni.cz/services/teitok/pdtc10/index.php?action=vallex&amp;frame=v-w7140f2", "uložit (v-w7140f2)")</f>
        <v>uložit (v-w7140f2)</v>
      </c>
    </row>
    <row r="50719" spans="1:4" x14ac:dyDescent="0.2">
      <c r="B50719" t="s">
        <v>1</v>
      </c>
      <c r="C50719" t="s">
        <v>8249</v>
      </c>
      <c r="D50719" t="s">
        <v>14079</v>
      </c>
    </row>
    <row r="50720" spans="1:4" x14ac:dyDescent="0.2">
      <c r="B50720" t="s">
        <v>8</v>
      </c>
      <c r="C50720" t="s">
        <v>384</v>
      </c>
      <c r="D50720" t="s">
        <v>2240</v>
      </c>
    </row>
    <row r="50721" spans="1:3" x14ac:dyDescent="0.2">
      <c r="B50721" t="s">
        <v>90</v>
      </c>
      <c r="C50721" t="s">
        <v>11579</v>
      </c>
    </row>
    <row r="50723" spans="1:3" x14ac:dyDescent="0.2">
      <c r="A50723" t="s">
        <v>16093</v>
      </c>
      <c r="B50723" t="str">
        <f>HYPERLINK("https://lindat.mff.cuni.cz/services/teitok/pdtc10/index.php?action=vallex&amp;frame=v-w7140f4", "uložit (v-w7140f4)")</f>
        <v>uložit (v-w7140f4)</v>
      </c>
    </row>
    <row r="50724" spans="1:3" x14ac:dyDescent="0.2">
      <c r="B50724" t="s">
        <v>1</v>
      </c>
      <c r="C50724" t="s">
        <v>990</v>
      </c>
    </row>
    <row r="50725" spans="1:3" x14ac:dyDescent="0.2">
      <c r="B50725" t="s">
        <v>16094</v>
      </c>
      <c r="C50725" t="s">
        <v>16095</v>
      </c>
    </row>
    <row r="50726" spans="1:3" x14ac:dyDescent="0.2">
      <c r="B50726" t="s">
        <v>35</v>
      </c>
      <c r="C50726" t="s">
        <v>16096</v>
      </c>
    </row>
    <row r="50728" spans="1:3" x14ac:dyDescent="0.2">
      <c r="A50728" t="s">
        <v>16097</v>
      </c>
      <c r="B50728" t="str">
        <f>HYPERLINK("https://lindat.mff.cuni.cz/services/teitok/pdtc10/index.php?action=vallex&amp;frame=v-w7141f1", "ulpívat (v-w7141f1)")</f>
        <v>ulpívat (v-w7141f1)</v>
      </c>
    </row>
    <row r="50729" spans="1:3" x14ac:dyDescent="0.2">
      <c r="B50729" t="s">
        <v>1</v>
      </c>
    </row>
    <row r="50730" spans="1:3" x14ac:dyDescent="0.2">
      <c r="B50730" t="s">
        <v>161</v>
      </c>
    </row>
    <row r="50732" spans="1:3" x14ac:dyDescent="0.2">
      <c r="A50732" t="s">
        <v>16098</v>
      </c>
      <c r="B50732" t="str">
        <f>HYPERLINK("https://lindat.mff.cuni.cz/services/teitok/pdtc10/index.php?action=vallex&amp;frame=v-w7141f2", "ulpívat (v-w7141f2)")</f>
        <v>ulpívat (v-w7141f2)</v>
      </c>
    </row>
    <row r="50733" spans="1:3" x14ac:dyDescent="0.2">
      <c r="B50733" t="s">
        <v>1</v>
      </c>
    </row>
    <row r="50734" spans="1:3" x14ac:dyDescent="0.2">
      <c r="B50734" t="s">
        <v>5</v>
      </c>
    </row>
    <row r="50736" spans="1:3" x14ac:dyDescent="0.2">
      <c r="A50736" t="s">
        <v>16099</v>
      </c>
      <c r="B50736" t="str">
        <f>HYPERLINK("https://lindat.mff.cuni.cz/services/teitok/pdtc10/index.php?action=vallex&amp;frame=v-w11186f2", "ulpět (v-w11186f2)")</f>
        <v>ulpět (v-w11186f2)</v>
      </c>
    </row>
    <row r="50737" spans="1:4" x14ac:dyDescent="0.2">
      <c r="B50737" t="s">
        <v>1</v>
      </c>
      <c r="D50737" t="s">
        <v>2530</v>
      </c>
    </row>
    <row r="50738" spans="1:4" x14ac:dyDescent="0.2">
      <c r="B50738" t="s">
        <v>161</v>
      </c>
      <c r="D50738" t="s">
        <v>1815</v>
      </c>
    </row>
    <row r="50740" spans="1:4" x14ac:dyDescent="0.2">
      <c r="A50740" t="s">
        <v>16100</v>
      </c>
      <c r="B50740" t="str">
        <f>HYPERLINK("https://lindat.mff.cuni.cz/services/teitok/pdtc10/index.php?action=vallex&amp;frame=v-w11753_ZUf1_ZU", "ulámat se (v-w11753_ZUf1_ZU)")</f>
        <v>ulámat se (v-w11753_ZUf1_ZU)</v>
      </c>
    </row>
    <row r="50741" spans="1:4" x14ac:dyDescent="0.2">
      <c r="B50741" t="s">
        <v>1</v>
      </c>
    </row>
    <row r="50743" spans="1:4" x14ac:dyDescent="0.2">
      <c r="A50743" t="s">
        <v>16101</v>
      </c>
      <c r="B50743" t="str">
        <f>HYPERLINK("https://lindat.mff.cuni.cz/services/teitok/pdtc10/index.php?action=vallex&amp;frame=v-w10536f2", "ulít (v-w10536f2)")</f>
        <v>ulít (v-w10536f2)</v>
      </c>
    </row>
    <row r="50744" spans="1:4" x14ac:dyDescent="0.2">
      <c r="B50744" t="s">
        <v>1</v>
      </c>
    </row>
    <row r="50745" spans="1:4" x14ac:dyDescent="0.2">
      <c r="B50745" t="s">
        <v>8</v>
      </c>
    </row>
    <row r="50747" spans="1:4" x14ac:dyDescent="0.2">
      <c r="A50747" t="s">
        <v>16102</v>
      </c>
      <c r="B50747" t="str">
        <f>HYPERLINK("https://lindat.mff.cuni.cz/services/teitok/pdtc10/index.php?action=vallex&amp;frame=v-w7143f1", "umanout si (v-w7143f1)")</f>
        <v>umanout si (v-w7143f1)</v>
      </c>
    </row>
    <row r="50748" spans="1:4" x14ac:dyDescent="0.2">
      <c r="B50748" t="s">
        <v>1</v>
      </c>
    </row>
    <row r="50749" spans="1:4" x14ac:dyDescent="0.2">
      <c r="B50749" t="s">
        <v>273</v>
      </c>
    </row>
    <row r="50751" spans="1:4" x14ac:dyDescent="0.2">
      <c r="A50751" t="s">
        <v>16103</v>
      </c>
      <c r="B50751" t="str">
        <f>HYPERLINK("https://lindat.mff.cuni.cz/services/teitok/pdtc10/index.php?action=vallex&amp;frame=v-w7154f1", "umisťovat (v-w7154f1)")</f>
        <v>umisťovat (v-w7154f1)</v>
      </c>
    </row>
    <row r="50752" spans="1:4" x14ac:dyDescent="0.2">
      <c r="B50752" t="s">
        <v>1</v>
      </c>
      <c r="D50752" t="s">
        <v>22478</v>
      </c>
    </row>
    <row r="50753" spans="1:4" x14ac:dyDescent="0.2">
      <c r="B50753" t="s">
        <v>8</v>
      </c>
      <c r="D50753" t="s">
        <v>24266</v>
      </c>
    </row>
    <row r="50754" spans="1:4" x14ac:dyDescent="0.2">
      <c r="B50754" t="s">
        <v>5</v>
      </c>
      <c r="D50754" t="s">
        <v>15735</v>
      </c>
    </row>
    <row r="50756" spans="1:4" x14ac:dyDescent="0.2">
      <c r="A50756" t="s">
        <v>16104</v>
      </c>
      <c r="B50756" t="str">
        <f>HYPERLINK("https://lindat.mff.cuni.cz/services/teitok/pdtc10/index.php?action=vallex&amp;frame=v-w7154f2", "umisťovat (v-w7154f2)")</f>
        <v>umisťovat (v-w7154f2)</v>
      </c>
    </row>
    <row r="50757" spans="1:4" x14ac:dyDescent="0.2">
      <c r="B50757" t="s">
        <v>1</v>
      </c>
      <c r="C50757" t="s">
        <v>249</v>
      </c>
      <c r="D50757" t="s">
        <v>22478</v>
      </c>
    </row>
    <row r="50758" spans="1:4" x14ac:dyDescent="0.2">
      <c r="B50758" t="s">
        <v>8</v>
      </c>
      <c r="C50758" t="s">
        <v>1044</v>
      </c>
      <c r="D50758" t="s">
        <v>24266</v>
      </c>
    </row>
    <row r="50759" spans="1:4" x14ac:dyDescent="0.2">
      <c r="B50759" t="s">
        <v>90</v>
      </c>
      <c r="D50759" t="s">
        <v>11579</v>
      </c>
    </row>
    <row r="50761" spans="1:4" x14ac:dyDescent="0.2">
      <c r="A50761" t="s">
        <v>16105</v>
      </c>
      <c r="B50761" t="str">
        <f>HYPERLINK("https://lindat.mff.cuni.cz/services/teitok/pdtc10/index.php?action=vallex&amp;frame=v-w11985_ZUf1_ZU", "umisťovat se (v-w11985_ZUf1_ZU)")</f>
        <v>umisťovat se (v-w11985_ZUf1_ZU)</v>
      </c>
    </row>
    <row r="50762" spans="1:4" x14ac:dyDescent="0.2">
      <c r="B50762" t="s">
        <v>1</v>
      </c>
    </row>
    <row r="50763" spans="1:4" x14ac:dyDescent="0.2">
      <c r="B50763" t="s">
        <v>889</v>
      </c>
    </row>
    <row r="50765" spans="1:4" x14ac:dyDescent="0.2">
      <c r="A50765" t="s">
        <v>16106</v>
      </c>
      <c r="B50765" t="str">
        <f>HYPERLINK("https://lindat.mff.cuni.cz/services/teitok/pdtc10/index.php?action=vallex&amp;frame=v-w11077f2", "umlknout (v-w11077f2)")</f>
        <v>umlknout (v-w11077f2)</v>
      </c>
    </row>
    <row r="50766" spans="1:4" x14ac:dyDescent="0.2">
      <c r="B50766" t="s">
        <v>1</v>
      </c>
    </row>
    <row r="50768" spans="1:4" x14ac:dyDescent="0.2">
      <c r="A50768" t="s">
        <v>16107</v>
      </c>
      <c r="B50768" t="str">
        <f>HYPERLINK("https://lindat.mff.cuni.cz/services/teitok/pdtc10/index.php?action=vallex&amp;frame=v-w11077f3_ZU", "umlknout (v-w11077f3_ZU)")</f>
        <v>umlknout (v-w11077f3_ZU)</v>
      </c>
    </row>
    <row r="50769" spans="1:4" x14ac:dyDescent="0.2">
      <c r="B50769" t="s">
        <v>1</v>
      </c>
    </row>
    <row r="50771" spans="1:4" x14ac:dyDescent="0.2">
      <c r="A50771" t="s">
        <v>16108</v>
      </c>
      <c r="B50771" t="str">
        <f>HYPERLINK("https://lindat.mff.cuni.cz/services/teitok/pdtc10/index.php?action=vallex&amp;frame=v-w11833_ZUf2_ZU", "umluvit (v-w11833_ZUf2_ZU)")</f>
        <v>umluvit (v-w11833_ZUf2_ZU)</v>
      </c>
    </row>
    <row r="50772" spans="1:4" x14ac:dyDescent="0.2">
      <c r="B50772" t="s">
        <v>1</v>
      </c>
    </row>
    <row r="50773" spans="1:4" x14ac:dyDescent="0.2">
      <c r="B50773" t="s">
        <v>58</v>
      </c>
    </row>
    <row r="50774" spans="1:4" x14ac:dyDescent="0.2">
      <c r="B50774" t="s">
        <v>16109</v>
      </c>
    </row>
    <row r="50776" spans="1:4" x14ac:dyDescent="0.2">
      <c r="A50776" t="s">
        <v>16108</v>
      </c>
      <c r="B50776" t="str">
        <f>HYPERLINK("https://lindat.mff.cuni.cz/services/teitok/pdtc10/index.php?action=vallex&amp;frame=v-w11833_ZUf1_ZU", "umluvit (v-w11833_ZUf1_ZU) - substituted with v-w11833_ZUf2_ZU")</f>
        <v>umluvit (v-w11833_ZUf1_ZU) - substituted with v-w11833_ZUf2_ZU</v>
      </c>
    </row>
    <row r="50777" spans="1:4" x14ac:dyDescent="0.2">
      <c r="B50777" t="s">
        <v>1</v>
      </c>
    </row>
    <row r="50778" spans="1:4" x14ac:dyDescent="0.2">
      <c r="B50778" t="s">
        <v>58</v>
      </c>
    </row>
    <row r="50779" spans="1:4" x14ac:dyDescent="0.2">
      <c r="B50779" t="s">
        <v>16109</v>
      </c>
    </row>
    <row r="50781" spans="1:4" x14ac:dyDescent="0.2">
      <c r="A50781" t="s">
        <v>16110</v>
      </c>
      <c r="B50781" t="str">
        <f>HYPERLINK("https://lindat.mff.cuni.cz/services/teitok/pdtc10/index.php?action=vallex&amp;frame=v-w7157f1", "umlčet (v-w7157f1)")</f>
        <v>umlčet (v-w7157f1)</v>
      </c>
    </row>
    <row r="50782" spans="1:4" x14ac:dyDescent="0.2">
      <c r="B50782" t="s">
        <v>1</v>
      </c>
      <c r="C50782" t="s">
        <v>16111</v>
      </c>
      <c r="D50782" t="s">
        <v>83</v>
      </c>
    </row>
    <row r="50783" spans="1:4" x14ac:dyDescent="0.2">
      <c r="B50783" t="s">
        <v>8</v>
      </c>
      <c r="C50783" t="s">
        <v>16112</v>
      </c>
      <c r="D50783" t="s">
        <v>354</v>
      </c>
    </row>
    <row r="50785" spans="1:4" x14ac:dyDescent="0.2">
      <c r="A50785" t="s">
        <v>16113</v>
      </c>
      <c r="B50785" t="str">
        <f>HYPERLINK("https://lindat.mff.cuni.cz/services/teitok/pdtc10/index.php?action=vallex&amp;frame=v-w7158f1", "umlčovat (v-w7158f1)")</f>
        <v>umlčovat (v-w7158f1)</v>
      </c>
    </row>
    <row r="50786" spans="1:4" x14ac:dyDescent="0.2">
      <c r="B50786" t="s">
        <v>1</v>
      </c>
      <c r="C50786" t="s">
        <v>140</v>
      </c>
      <c r="D50786" t="s">
        <v>83</v>
      </c>
    </row>
    <row r="50787" spans="1:4" x14ac:dyDescent="0.2">
      <c r="B50787" t="s">
        <v>8</v>
      </c>
      <c r="C50787" t="s">
        <v>113</v>
      </c>
      <c r="D50787" t="s">
        <v>354</v>
      </c>
    </row>
    <row r="50789" spans="1:4" x14ac:dyDescent="0.2">
      <c r="A50789" t="s">
        <v>16114</v>
      </c>
      <c r="B50789" t="str">
        <f>HYPERLINK("https://lindat.mff.cuni.cz/services/teitok/pdtc10/index.php?action=vallex&amp;frame=v-w7161f1", "umocnit (v-w7161f1)")</f>
        <v>umocnit (v-w7161f1)</v>
      </c>
    </row>
    <row r="50790" spans="1:4" x14ac:dyDescent="0.2">
      <c r="B50790" t="s">
        <v>1</v>
      </c>
      <c r="C50790" t="s">
        <v>22</v>
      </c>
      <c r="D50790" t="s">
        <v>1680</v>
      </c>
    </row>
    <row r="50791" spans="1:4" x14ac:dyDescent="0.2">
      <c r="B50791" t="s">
        <v>8</v>
      </c>
      <c r="C50791" t="s">
        <v>23</v>
      </c>
      <c r="D50791" t="s">
        <v>17650</v>
      </c>
    </row>
    <row r="50793" spans="1:4" x14ac:dyDescent="0.2">
      <c r="A50793" t="s">
        <v>16115</v>
      </c>
      <c r="B50793" t="str">
        <f>HYPERLINK("https://lindat.mff.cuni.cz/services/teitok/pdtc10/index.php?action=vallex&amp;frame=v-w7161f2", "umocnit (v-w7161f2)")</f>
        <v>umocnit (v-w7161f2)</v>
      </c>
    </row>
    <row r="50794" spans="1:4" x14ac:dyDescent="0.2">
      <c r="B50794" t="s">
        <v>1</v>
      </c>
    </row>
    <row r="50795" spans="1:4" x14ac:dyDescent="0.2">
      <c r="B50795" t="s">
        <v>8</v>
      </c>
    </row>
    <row r="50797" spans="1:4" x14ac:dyDescent="0.2">
      <c r="A50797" t="s">
        <v>16116</v>
      </c>
      <c r="B50797" t="str">
        <f>HYPERLINK("https://lindat.mff.cuni.cz/services/teitok/pdtc10/index.php?action=vallex&amp;frame=v-w7162f1", "umocňovat (v-w7162f1)")</f>
        <v>umocňovat (v-w7162f1)</v>
      </c>
    </row>
    <row r="50798" spans="1:4" x14ac:dyDescent="0.2">
      <c r="B50798" t="s">
        <v>1</v>
      </c>
    </row>
    <row r="50799" spans="1:4" x14ac:dyDescent="0.2">
      <c r="B50799" t="s">
        <v>8</v>
      </c>
    </row>
    <row r="50801" spans="1:4" x14ac:dyDescent="0.2">
      <c r="A50801" t="s">
        <v>16117</v>
      </c>
      <c r="B50801" t="str">
        <f>HYPERLINK("https://lindat.mff.cuni.cz/services/teitok/pdtc10/index.php?action=vallex&amp;frame=v-w7162f2", "umocňovat (v-w7162f2)")</f>
        <v>umocňovat (v-w7162f2)</v>
      </c>
    </row>
    <row r="50802" spans="1:4" x14ac:dyDescent="0.2">
      <c r="B50802" t="s">
        <v>1</v>
      </c>
    </row>
    <row r="50803" spans="1:4" x14ac:dyDescent="0.2">
      <c r="B50803" t="s">
        <v>8</v>
      </c>
    </row>
    <row r="50805" spans="1:4" x14ac:dyDescent="0.2">
      <c r="A50805" t="s">
        <v>16118</v>
      </c>
      <c r="B50805" t="str">
        <f>HYPERLINK("https://lindat.mff.cuni.cz/services/teitok/pdtc10/index.php?action=vallex&amp;frame=v-w7165f1", "umoudřit se (v-w7165f1)")</f>
        <v>umoudřit se (v-w7165f1)</v>
      </c>
    </row>
    <row r="50806" spans="1:4" x14ac:dyDescent="0.2">
      <c r="B50806" t="s">
        <v>1</v>
      </c>
    </row>
    <row r="50808" spans="1:4" x14ac:dyDescent="0.2">
      <c r="A50808" t="s">
        <v>16119</v>
      </c>
      <c r="B50808" t="str">
        <f>HYPERLINK("https://lindat.mff.cuni.cz/services/teitok/pdtc10/index.php?action=vallex&amp;frame=v-w7165f2", "umoudřit se (v-w7165f2)")</f>
        <v>umoudřit se (v-w7165f2)</v>
      </c>
    </row>
    <row r="50809" spans="1:4" x14ac:dyDescent="0.2">
      <c r="B50809" t="s">
        <v>1</v>
      </c>
    </row>
    <row r="50811" spans="1:4" x14ac:dyDescent="0.2">
      <c r="A50811" t="s">
        <v>16120</v>
      </c>
      <c r="B50811" t="str">
        <f>HYPERLINK("https://lindat.mff.cuni.cz/services/teitok/pdtc10/index.php?action=vallex&amp;frame=v-w10952f2", "umořit (v-w10952f2)")</f>
        <v>umořit (v-w10952f2)</v>
      </c>
    </row>
    <row r="50812" spans="1:4" x14ac:dyDescent="0.2">
      <c r="B50812" t="s">
        <v>1</v>
      </c>
      <c r="C50812" t="s">
        <v>80</v>
      </c>
      <c r="D50812" t="s">
        <v>23164</v>
      </c>
    </row>
    <row r="50813" spans="1:4" x14ac:dyDescent="0.2">
      <c r="B50813" t="s">
        <v>8</v>
      </c>
      <c r="C50813" t="s">
        <v>969</v>
      </c>
      <c r="D50813" t="s">
        <v>23165</v>
      </c>
    </row>
    <row r="50815" spans="1:4" x14ac:dyDescent="0.2">
      <c r="A50815" t="s">
        <v>16121</v>
      </c>
      <c r="B50815" t="str">
        <f>HYPERLINK("https://lindat.mff.cuni.cz/services/teitok/pdtc10/index.php?action=vallex&amp;frame=v-w7164f1", "umořovat (v-w7164f1)")</f>
        <v>umořovat (v-w7164f1)</v>
      </c>
    </row>
    <row r="50816" spans="1:4" x14ac:dyDescent="0.2">
      <c r="B50816" t="s">
        <v>1</v>
      </c>
      <c r="D50816" t="s">
        <v>23164</v>
      </c>
    </row>
    <row r="50817" spans="1:4" x14ac:dyDescent="0.2">
      <c r="B50817" t="s">
        <v>8</v>
      </c>
      <c r="D50817" t="s">
        <v>23165</v>
      </c>
    </row>
    <row r="50819" spans="1:4" x14ac:dyDescent="0.2">
      <c r="A50819" t="s">
        <v>16122</v>
      </c>
      <c r="B50819" t="str">
        <f>HYPERLINK("https://lindat.mff.cuni.cz/services/teitok/pdtc10/index.php?action=vallex&amp;frame=v-w7167f3_ZU", "umožnit (v-w7167f3_ZU)")</f>
        <v>umožnit (v-w7167f3_ZU)</v>
      </c>
    </row>
    <row r="50820" spans="1:4" x14ac:dyDescent="0.2">
      <c r="B50820" t="s">
        <v>1</v>
      </c>
      <c r="C50820" t="s">
        <v>3103</v>
      </c>
      <c r="D50820" t="s">
        <v>23264</v>
      </c>
    </row>
    <row r="50821" spans="1:4" x14ac:dyDescent="0.2">
      <c r="B50821" t="s">
        <v>16123</v>
      </c>
      <c r="C50821" t="s">
        <v>3104</v>
      </c>
      <c r="D50821" t="s">
        <v>24267</v>
      </c>
    </row>
    <row r="50822" spans="1:4" x14ac:dyDescent="0.2">
      <c r="B50822" t="s">
        <v>35</v>
      </c>
      <c r="D50822" t="s">
        <v>23266</v>
      </c>
    </row>
    <row r="50824" spans="1:4" x14ac:dyDescent="0.2">
      <c r="A50824" t="s">
        <v>16122</v>
      </c>
      <c r="B50824" t="str">
        <f>HYPERLINK("https://lindat.mff.cuni.cz/services/teitok/pdtc10/index.php?action=vallex&amp;frame=v-w7167f1", "umožnit (v-w7167f1) - substituted with v-w7167f3_ZU")</f>
        <v>umožnit (v-w7167f1) - substituted with v-w7167f3_ZU</v>
      </c>
    </row>
    <row r="50825" spans="1:4" x14ac:dyDescent="0.2">
      <c r="B50825" t="s">
        <v>1</v>
      </c>
      <c r="C50825" t="s">
        <v>16124</v>
      </c>
    </row>
    <row r="50826" spans="1:4" x14ac:dyDescent="0.2">
      <c r="B50826" t="s">
        <v>16123</v>
      </c>
      <c r="C50826" t="s">
        <v>16125</v>
      </c>
    </row>
    <row r="50827" spans="1:4" x14ac:dyDescent="0.2">
      <c r="B50827" t="s">
        <v>35</v>
      </c>
      <c r="C50827" t="s">
        <v>16126</v>
      </c>
    </row>
    <row r="50829" spans="1:4" x14ac:dyDescent="0.2">
      <c r="A50829" t="s">
        <v>16122</v>
      </c>
      <c r="B50829" t="str">
        <f>HYPERLINK("https://lindat.mff.cuni.cz/services/teitok/pdtc10/index.php?action=vallex&amp;frame=v-w7167hsa_182", "umožnit (v-w7167hsa_182) - substituted with v-w7167f3_ZU")</f>
        <v>umožnit (v-w7167hsa_182) - substituted with v-w7167f3_ZU</v>
      </c>
    </row>
    <row r="50830" spans="1:4" x14ac:dyDescent="0.2">
      <c r="B50830" t="s">
        <v>1</v>
      </c>
    </row>
    <row r="50831" spans="1:4" x14ac:dyDescent="0.2">
      <c r="B50831" t="s">
        <v>16123</v>
      </c>
    </row>
    <row r="50832" spans="1:4" x14ac:dyDescent="0.2">
      <c r="B50832" t="s">
        <v>35</v>
      </c>
    </row>
    <row r="50834" spans="1:4" x14ac:dyDescent="0.2">
      <c r="A50834" t="s">
        <v>16127</v>
      </c>
      <c r="B50834" t="str">
        <f>HYPERLINK("https://lindat.mff.cuni.cz/services/teitok/pdtc10/index.php?action=vallex&amp;frame=v-w7167f2", "umožnit (v-w7167f2)")</f>
        <v>umožnit (v-w7167f2)</v>
      </c>
    </row>
    <row r="50835" spans="1:4" x14ac:dyDescent="0.2">
      <c r="B50835" t="s">
        <v>1</v>
      </c>
      <c r="C50835" t="s">
        <v>14042</v>
      </c>
      <c r="D50835" t="s">
        <v>23225</v>
      </c>
    </row>
    <row r="50836" spans="1:4" x14ac:dyDescent="0.2">
      <c r="B50836" t="s">
        <v>8</v>
      </c>
      <c r="C50836" t="s">
        <v>16128</v>
      </c>
      <c r="D50836" t="s">
        <v>24268</v>
      </c>
    </row>
    <row r="50838" spans="1:4" x14ac:dyDescent="0.2">
      <c r="A50838" t="s">
        <v>16129</v>
      </c>
      <c r="B50838" t="str">
        <f>HYPERLINK("https://lindat.mff.cuni.cz/services/teitok/pdtc10/index.php?action=vallex&amp;frame=v-w7168f1", "umožňovat (v-w7168f1)")</f>
        <v>umožňovat (v-w7168f1)</v>
      </c>
    </row>
    <row r="50839" spans="1:4" x14ac:dyDescent="0.2">
      <c r="B50839" t="s">
        <v>1</v>
      </c>
      <c r="C50839" t="s">
        <v>16130</v>
      </c>
      <c r="D50839" t="s">
        <v>23264</v>
      </c>
    </row>
    <row r="50840" spans="1:4" x14ac:dyDescent="0.2">
      <c r="B50840" t="s">
        <v>5074</v>
      </c>
      <c r="C50840" t="s">
        <v>16131</v>
      </c>
      <c r="D50840" t="s">
        <v>24267</v>
      </c>
    </row>
    <row r="50841" spans="1:4" x14ac:dyDescent="0.2">
      <c r="B50841" t="s">
        <v>35</v>
      </c>
      <c r="C50841" t="s">
        <v>16132</v>
      </c>
      <c r="D50841" t="s">
        <v>23266</v>
      </c>
    </row>
    <row r="50843" spans="1:4" x14ac:dyDescent="0.2">
      <c r="A50843" t="s">
        <v>16133</v>
      </c>
      <c r="B50843" t="str">
        <f>HYPERLINK("https://lindat.mff.cuni.cz/services/teitok/pdtc10/index.php?action=vallex&amp;frame=v-w7168f2", "umožňovat (v-w7168f2)")</f>
        <v>umožňovat (v-w7168f2)</v>
      </c>
    </row>
    <row r="50844" spans="1:4" x14ac:dyDescent="0.2">
      <c r="B50844" t="s">
        <v>1</v>
      </c>
      <c r="C50844" t="s">
        <v>16134</v>
      </c>
      <c r="D50844" t="s">
        <v>23225</v>
      </c>
    </row>
    <row r="50845" spans="1:4" x14ac:dyDescent="0.2">
      <c r="B50845" t="s">
        <v>3526</v>
      </c>
      <c r="C50845" t="s">
        <v>16135</v>
      </c>
      <c r="D50845" t="s">
        <v>24268</v>
      </c>
    </row>
    <row r="50847" spans="1:4" x14ac:dyDescent="0.2">
      <c r="A50847" t="s">
        <v>16136</v>
      </c>
      <c r="B50847" t="str">
        <f>HYPERLINK("https://lindat.mff.cuni.cz/services/teitok/pdtc10/index.php?action=vallex&amp;frame=v-w11765_ZUf1_ZU", "umíchat (v-w11765_ZUf1_ZU)")</f>
        <v>umíchat (v-w11765_ZUf1_ZU)</v>
      </c>
    </row>
    <row r="50848" spans="1:4" x14ac:dyDescent="0.2">
      <c r="B50848" t="s">
        <v>1</v>
      </c>
    </row>
    <row r="50849" spans="1:4" x14ac:dyDescent="0.2">
      <c r="B50849" t="s">
        <v>8</v>
      </c>
    </row>
    <row r="50851" spans="1:4" x14ac:dyDescent="0.2">
      <c r="A50851" t="s">
        <v>16137</v>
      </c>
      <c r="B50851" t="str">
        <f>HYPERLINK("https://lindat.mff.cuni.cz/services/teitok/pdtc10/index.php?action=vallex&amp;frame=v-w7147f1", "umínit si (v-w7147f1)")</f>
        <v>umínit si (v-w7147f1)</v>
      </c>
    </row>
    <row r="50852" spans="1:4" x14ac:dyDescent="0.2">
      <c r="B50852" t="s">
        <v>1</v>
      </c>
    </row>
    <row r="50853" spans="1:4" x14ac:dyDescent="0.2">
      <c r="B50853" t="s">
        <v>16138</v>
      </c>
    </row>
    <row r="50855" spans="1:4" x14ac:dyDescent="0.2">
      <c r="A50855" t="s">
        <v>16139</v>
      </c>
      <c r="B50855" t="str">
        <f>HYPERLINK("https://lindat.mff.cuni.cz/services/teitok/pdtc10/index.php?action=vallex&amp;frame=v-w7148f1", "umírat (v-w7148f1)")</f>
        <v>umírat (v-w7148f1)</v>
      </c>
    </row>
    <row r="50856" spans="1:4" x14ac:dyDescent="0.2">
      <c r="B50856" t="s">
        <v>1</v>
      </c>
      <c r="C50856" t="s">
        <v>7571</v>
      </c>
      <c r="D50856" t="s">
        <v>7571</v>
      </c>
    </row>
    <row r="50858" spans="1:4" x14ac:dyDescent="0.2">
      <c r="A50858" t="s">
        <v>16140</v>
      </c>
      <c r="B50858" t="str">
        <f>HYPERLINK("https://lindat.mff.cuni.cz/services/teitok/pdtc10/index.php?action=vallex&amp;frame=v-whsa_687hsa_688", "umírnit (v-whsa_687hsa_688)")</f>
        <v>umírnit (v-whsa_687hsa_688)</v>
      </c>
    </row>
    <row r="50859" spans="1:4" x14ac:dyDescent="0.2">
      <c r="B50859" t="s">
        <v>1</v>
      </c>
      <c r="D50859" t="s">
        <v>23047</v>
      </c>
    </row>
    <row r="50860" spans="1:4" x14ac:dyDescent="0.2">
      <c r="B50860" t="s">
        <v>8</v>
      </c>
      <c r="D50860" t="s">
        <v>2747</v>
      </c>
    </row>
    <row r="50862" spans="1:4" x14ac:dyDescent="0.2">
      <c r="A50862" t="s">
        <v>16141</v>
      </c>
      <c r="B50862" t="str">
        <f>HYPERLINK("https://lindat.mff.cuni.cz/services/teitok/pdtc10/index.php?action=vallex&amp;frame=v-w7150f1", "umístit (v-w7150f1)")</f>
        <v>umístit (v-w7150f1)</v>
      </c>
    </row>
    <row r="50863" spans="1:4" x14ac:dyDescent="0.2">
      <c r="B50863" t="s">
        <v>1</v>
      </c>
      <c r="C50863" t="s">
        <v>7988</v>
      </c>
      <c r="D50863" t="s">
        <v>22478</v>
      </c>
    </row>
    <row r="50864" spans="1:4" x14ac:dyDescent="0.2">
      <c r="B50864" t="s">
        <v>8</v>
      </c>
      <c r="C50864" t="s">
        <v>16142</v>
      </c>
      <c r="D50864" t="s">
        <v>24266</v>
      </c>
    </row>
    <row r="50865" spans="1:4" x14ac:dyDescent="0.2">
      <c r="B50865" t="s">
        <v>5</v>
      </c>
      <c r="C50865" t="s">
        <v>4479</v>
      </c>
      <c r="D50865" t="s">
        <v>15735</v>
      </c>
    </row>
    <row r="50867" spans="1:4" x14ac:dyDescent="0.2">
      <c r="A50867" t="s">
        <v>16143</v>
      </c>
      <c r="B50867" t="str">
        <f>HYPERLINK("https://lindat.mff.cuni.cz/services/teitok/pdtc10/index.php?action=vallex&amp;frame=v-w7150f2", "umístit (v-w7150f2)")</f>
        <v>umístit (v-w7150f2)</v>
      </c>
    </row>
    <row r="50868" spans="1:4" x14ac:dyDescent="0.2">
      <c r="B50868" t="s">
        <v>1</v>
      </c>
      <c r="C50868" t="s">
        <v>10454</v>
      </c>
      <c r="D50868" t="s">
        <v>22478</v>
      </c>
    </row>
    <row r="50869" spans="1:4" x14ac:dyDescent="0.2">
      <c r="B50869" t="s">
        <v>8</v>
      </c>
      <c r="C50869" t="s">
        <v>10414</v>
      </c>
      <c r="D50869" t="s">
        <v>24266</v>
      </c>
    </row>
    <row r="50870" spans="1:4" x14ac:dyDescent="0.2">
      <c r="B50870" t="s">
        <v>90</v>
      </c>
      <c r="D50870" t="s">
        <v>11579</v>
      </c>
    </row>
    <row r="50872" spans="1:4" x14ac:dyDescent="0.2">
      <c r="A50872" t="s">
        <v>16144</v>
      </c>
      <c r="B50872" t="str">
        <f>HYPERLINK("https://lindat.mff.cuni.cz/services/teitok/pdtc10/index.php?action=vallex&amp;frame=v-w7151f1", "umístit se (v-w7151f1)")</f>
        <v>umístit se (v-w7151f1)</v>
      </c>
    </row>
    <row r="50873" spans="1:4" x14ac:dyDescent="0.2">
      <c r="B50873" t="s">
        <v>1</v>
      </c>
      <c r="C50873" t="s">
        <v>16145</v>
      </c>
    </row>
    <row r="50874" spans="1:4" x14ac:dyDescent="0.2">
      <c r="B50874" t="s">
        <v>5</v>
      </c>
      <c r="C50874" t="s">
        <v>16146</v>
      </c>
    </row>
    <row r="50876" spans="1:4" x14ac:dyDescent="0.2">
      <c r="A50876" t="s">
        <v>16147</v>
      </c>
      <c r="B50876" t="str">
        <f>HYPERLINK("https://lindat.mff.cuni.cz/services/teitok/pdtc10/index.php?action=vallex&amp;frame=v-w7155f1", "umísťovat (v-w7155f1)")</f>
        <v>umísťovat (v-w7155f1)</v>
      </c>
    </row>
    <row r="50877" spans="1:4" x14ac:dyDescent="0.2">
      <c r="B50877" t="s">
        <v>1</v>
      </c>
      <c r="C50877" t="s">
        <v>2571</v>
      </c>
      <c r="D50877" t="s">
        <v>7915</v>
      </c>
    </row>
    <row r="50878" spans="1:4" x14ac:dyDescent="0.2">
      <c r="B50878" t="s">
        <v>8</v>
      </c>
      <c r="C50878" t="s">
        <v>977</v>
      </c>
      <c r="D50878" t="s">
        <v>11300</v>
      </c>
    </row>
    <row r="50879" spans="1:4" x14ac:dyDescent="0.2">
      <c r="B50879" t="s">
        <v>5</v>
      </c>
      <c r="D50879" t="s">
        <v>19394</v>
      </c>
    </row>
    <row r="50881" spans="1:4" x14ac:dyDescent="0.2">
      <c r="A50881" t="s">
        <v>16148</v>
      </c>
      <c r="B50881" t="str">
        <f>HYPERLINK("https://lindat.mff.cuni.cz/services/teitok/pdtc10/index.php?action=vallex&amp;frame=v-w7155f2", "umísťovat (v-w7155f2)")</f>
        <v>umísťovat (v-w7155f2)</v>
      </c>
    </row>
    <row r="50882" spans="1:4" x14ac:dyDescent="0.2">
      <c r="B50882" t="s">
        <v>1</v>
      </c>
    </row>
    <row r="50883" spans="1:4" x14ac:dyDescent="0.2">
      <c r="B50883" t="s">
        <v>8</v>
      </c>
    </row>
    <row r="50884" spans="1:4" x14ac:dyDescent="0.2">
      <c r="B50884" t="s">
        <v>90</v>
      </c>
    </row>
    <row r="50886" spans="1:4" x14ac:dyDescent="0.2">
      <c r="A50886" t="s">
        <v>16149</v>
      </c>
      <c r="B50886" t="str">
        <f>HYPERLINK("https://lindat.mff.cuni.cz/services/teitok/pdtc10/index.php?action=vallex&amp;frame=v-w7156f1", "umísťovat se (v-w7156f1)")</f>
        <v>umísťovat se (v-w7156f1)</v>
      </c>
    </row>
    <row r="50887" spans="1:4" x14ac:dyDescent="0.2">
      <c r="B50887" t="s">
        <v>1</v>
      </c>
    </row>
    <row r="50888" spans="1:4" x14ac:dyDescent="0.2">
      <c r="B50888" t="s">
        <v>5</v>
      </c>
    </row>
    <row r="50890" spans="1:4" x14ac:dyDescent="0.2">
      <c r="A50890" t="s">
        <v>16150</v>
      </c>
      <c r="B50890" t="str">
        <f>HYPERLINK("https://lindat.mff.cuni.cz/services/teitok/pdtc10/index.php?action=vallex&amp;frame=v-w7174f1", "umýt (v-w7174f1)")</f>
        <v>umýt (v-w7174f1)</v>
      </c>
    </row>
    <row r="50891" spans="1:4" x14ac:dyDescent="0.2">
      <c r="B50891" t="s">
        <v>1</v>
      </c>
      <c r="D50891" t="s">
        <v>115</v>
      </c>
    </row>
    <row r="50892" spans="1:4" x14ac:dyDescent="0.2">
      <c r="B50892" t="s">
        <v>8</v>
      </c>
      <c r="D50892" t="s">
        <v>24269</v>
      </c>
    </row>
    <row r="50894" spans="1:4" x14ac:dyDescent="0.2">
      <c r="A50894" t="s">
        <v>16151</v>
      </c>
      <c r="B50894" t="str">
        <f>HYPERLINK("https://lindat.mff.cuni.cz/services/teitok/pdtc10/index.php?action=vallex&amp;frame=v-w11282f2", "umýt si (v-w11282f2)")</f>
        <v>umýt si (v-w11282f2)</v>
      </c>
    </row>
    <row r="50895" spans="1:4" x14ac:dyDescent="0.2">
      <c r="B50895" t="s">
        <v>1</v>
      </c>
      <c r="C50895" t="s">
        <v>33</v>
      </c>
      <c r="D50895" t="s">
        <v>33</v>
      </c>
    </row>
    <row r="50896" spans="1:4" x14ac:dyDescent="0.2">
      <c r="B50896" t="s">
        <v>16152</v>
      </c>
      <c r="C50896" t="s">
        <v>16153</v>
      </c>
    </row>
    <row r="50897" spans="1:4" x14ac:dyDescent="0.2">
      <c r="B50897" t="s">
        <v>3091</v>
      </c>
      <c r="C50897" t="s">
        <v>34</v>
      </c>
      <c r="D50897" t="s">
        <v>34</v>
      </c>
    </row>
    <row r="50899" spans="1:4" x14ac:dyDescent="0.2">
      <c r="A50899" t="s">
        <v>16154</v>
      </c>
      <c r="B50899" t="str">
        <f>HYPERLINK("https://lindat.mff.cuni.cz/services/teitok/pdtc10/index.php?action=vallex&amp;frame=v-w11226f2", "umývat (v-w11226f2)")</f>
        <v>umývat (v-w11226f2)</v>
      </c>
    </row>
    <row r="50900" spans="1:4" x14ac:dyDescent="0.2">
      <c r="B50900" t="s">
        <v>1</v>
      </c>
      <c r="D50900" t="s">
        <v>22</v>
      </c>
    </row>
    <row r="50901" spans="1:4" x14ac:dyDescent="0.2">
      <c r="B50901" t="s">
        <v>8</v>
      </c>
      <c r="D50901" t="s">
        <v>23428</v>
      </c>
    </row>
    <row r="50903" spans="1:4" x14ac:dyDescent="0.2">
      <c r="A50903" t="s">
        <v>16155</v>
      </c>
      <c r="B50903" t="str">
        <f>HYPERLINK("https://lindat.mff.cuni.cz/services/teitok/pdtc10/index.php?action=vallex&amp;frame=v-w7146f1", "umět (v-w7146f1)")</f>
        <v>umět (v-w7146f1)</v>
      </c>
    </row>
    <row r="50904" spans="1:4" x14ac:dyDescent="0.2">
      <c r="B50904" t="s">
        <v>1</v>
      </c>
      <c r="C50904" t="s">
        <v>16156</v>
      </c>
      <c r="D50904" t="s">
        <v>23026</v>
      </c>
    </row>
    <row r="50905" spans="1:4" x14ac:dyDescent="0.2">
      <c r="B50905" t="s">
        <v>228</v>
      </c>
      <c r="C50905" t="s">
        <v>16157</v>
      </c>
      <c r="D50905" t="s">
        <v>7280</v>
      </c>
    </row>
    <row r="50907" spans="1:4" x14ac:dyDescent="0.2">
      <c r="A50907" t="s">
        <v>16158</v>
      </c>
      <c r="B50907" t="str">
        <f>HYPERLINK("https://lindat.mff.cuni.cz/services/teitok/pdtc10/index.php?action=vallex&amp;frame=v-w7172f1", "umřít (v-w7172f1)")</f>
        <v>umřít (v-w7172f1)</v>
      </c>
    </row>
    <row r="50908" spans="1:4" x14ac:dyDescent="0.2">
      <c r="B50908" t="s">
        <v>1</v>
      </c>
      <c r="D50908" t="s">
        <v>7571</v>
      </c>
    </row>
    <row r="50910" spans="1:4" x14ac:dyDescent="0.2">
      <c r="A50910" t="s">
        <v>16159</v>
      </c>
      <c r="B50910" t="str">
        <f>HYPERLINK("https://lindat.mff.cuni.cz/services/teitok/pdtc10/index.php?action=vallex&amp;frame=v-w7178f1", "unavit (v-w7178f1)")</f>
        <v>unavit (v-w7178f1)</v>
      </c>
    </row>
    <row r="50911" spans="1:4" x14ac:dyDescent="0.2">
      <c r="B50911" t="s">
        <v>607</v>
      </c>
    </row>
    <row r="50912" spans="1:4" x14ac:dyDescent="0.2">
      <c r="B50912" t="s">
        <v>8</v>
      </c>
    </row>
    <row r="50914" spans="1:4" x14ac:dyDescent="0.2">
      <c r="A50914" t="s">
        <v>16160</v>
      </c>
      <c r="B50914" t="str">
        <f>HYPERLINK("https://lindat.mff.cuni.cz/services/teitok/pdtc10/index.php?action=vallex&amp;frame=v-w7179f1", "unavit se (v-w7179f1)")</f>
        <v>unavit se (v-w7179f1)</v>
      </c>
    </row>
    <row r="50915" spans="1:4" x14ac:dyDescent="0.2">
      <c r="B50915" t="s">
        <v>1</v>
      </c>
      <c r="D50915" t="s">
        <v>24270</v>
      </c>
    </row>
    <row r="50917" spans="1:4" x14ac:dyDescent="0.2">
      <c r="A50917" t="s">
        <v>16161</v>
      </c>
      <c r="B50917" t="str">
        <f>HYPERLINK("https://lindat.mff.cuni.cz/services/teitok/pdtc10/index.php?action=vallex&amp;frame=v-w7180f1", "unavovat (v-w7180f1)")</f>
        <v>unavovat (v-w7180f1)</v>
      </c>
    </row>
    <row r="50918" spans="1:4" x14ac:dyDescent="0.2">
      <c r="B50918" t="s">
        <v>607</v>
      </c>
    </row>
    <row r="50919" spans="1:4" x14ac:dyDescent="0.2">
      <c r="B50919" t="s">
        <v>8</v>
      </c>
    </row>
    <row r="50921" spans="1:4" x14ac:dyDescent="0.2">
      <c r="A50921" t="s">
        <v>16162</v>
      </c>
      <c r="B50921" t="str">
        <f>HYPERLINK("https://lindat.mff.cuni.cz/services/teitok/pdtc10/index.php?action=vallex&amp;frame=v-w7185f2", "unikat (v-w7185f2)")</f>
        <v>unikat (v-w7185f2)</v>
      </c>
    </row>
    <row r="50922" spans="1:4" x14ac:dyDescent="0.2">
      <c r="B50922" t="s">
        <v>1</v>
      </c>
    </row>
    <row r="50923" spans="1:4" x14ac:dyDescent="0.2">
      <c r="B50923" t="s">
        <v>103</v>
      </c>
    </row>
    <row r="50925" spans="1:4" x14ac:dyDescent="0.2">
      <c r="A50925" t="s">
        <v>16163</v>
      </c>
      <c r="B50925" t="str">
        <f>HYPERLINK("https://lindat.mff.cuni.cz/services/teitok/pdtc10/index.php?action=vallex&amp;frame=v-w7185f4", "unikat (v-w7185f4)")</f>
        <v>unikat (v-w7185f4)</v>
      </c>
    </row>
    <row r="50926" spans="1:4" x14ac:dyDescent="0.2">
      <c r="B50926" t="s">
        <v>455</v>
      </c>
    </row>
    <row r="50927" spans="1:4" x14ac:dyDescent="0.2">
      <c r="B50927" t="s">
        <v>15955</v>
      </c>
    </row>
    <row r="50929" spans="1:3" x14ac:dyDescent="0.2">
      <c r="A50929" t="s">
        <v>16164</v>
      </c>
      <c r="B50929" t="str">
        <f>HYPERLINK("https://lindat.mff.cuni.cz/services/teitok/pdtc10/index.php?action=vallex&amp;frame=v-w7185f1", "unikat (v-w7185f1)")</f>
        <v>unikat (v-w7185f1)</v>
      </c>
    </row>
    <row r="50930" spans="1:3" x14ac:dyDescent="0.2">
      <c r="B50930" t="s">
        <v>1</v>
      </c>
    </row>
    <row r="50931" spans="1:3" x14ac:dyDescent="0.2">
      <c r="B50931" t="s">
        <v>10232</v>
      </c>
    </row>
    <row r="50933" spans="1:3" x14ac:dyDescent="0.2">
      <c r="A50933" t="s">
        <v>16165</v>
      </c>
      <c r="B50933" t="str">
        <f>HYPERLINK("https://lindat.mff.cuni.cz/services/teitok/pdtc10/index.php?action=vallex&amp;frame=v-w7185f3", "unikat (v-w7185f3)")</f>
        <v>unikat (v-w7185f3)</v>
      </c>
    </row>
    <row r="50934" spans="1:3" x14ac:dyDescent="0.2">
      <c r="B50934" t="s">
        <v>1</v>
      </c>
    </row>
    <row r="50935" spans="1:3" x14ac:dyDescent="0.2">
      <c r="B50935" t="s">
        <v>333</v>
      </c>
    </row>
    <row r="50937" spans="1:3" x14ac:dyDescent="0.2">
      <c r="A50937" t="s">
        <v>16166</v>
      </c>
      <c r="B50937" t="str">
        <f>HYPERLINK("https://lindat.mff.cuni.cz/services/teitok/pdtc10/index.php?action=vallex&amp;frame=v-w7186f2", "uniknout (v-w7186f2)")</f>
        <v>uniknout (v-w7186f2)</v>
      </c>
    </row>
    <row r="50938" spans="1:3" x14ac:dyDescent="0.2">
      <c r="B50938" t="s">
        <v>1</v>
      </c>
      <c r="C50938" t="s">
        <v>3637</v>
      </c>
    </row>
    <row r="50939" spans="1:3" x14ac:dyDescent="0.2">
      <c r="B50939" t="s">
        <v>8167</v>
      </c>
      <c r="C50939" t="s">
        <v>6169</v>
      </c>
    </row>
    <row r="50941" spans="1:3" x14ac:dyDescent="0.2">
      <c r="A50941" t="s">
        <v>16167</v>
      </c>
      <c r="B50941" t="str">
        <f>HYPERLINK("https://lindat.mff.cuni.cz/services/teitok/pdtc10/index.php?action=vallex&amp;frame=v-w7186f3", "uniknout (v-w7186f3)")</f>
        <v>uniknout (v-w7186f3)</v>
      </c>
    </row>
    <row r="50942" spans="1:3" x14ac:dyDescent="0.2">
      <c r="B50942" t="s">
        <v>455</v>
      </c>
    </row>
    <row r="50943" spans="1:3" x14ac:dyDescent="0.2">
      <c r="B50943" t="s">
        <v>15955</v>
      </c>
    </row>
    <row r="50945" spans="1:4" x14ac:dyDescent="0.2">
      <c r="A50945" t="s">
        <v>16168</v>
      </c>
      <c r="B50945" t="str">
        <f>HYPERLINK("https://lindat.mff.cuni.cz/services/teitok/pdtc10/index.php?action=vallex&amp;frame=v-w7186f1", "uniknout (v-w7186f1)")</f>
        <v>uniknout (v-w7186f1)</v>
      </c>
    </row>
    <row r="50946" spans="1:4" x14ac:dyDescent="0.2">
      <c r="B50946" t="s">
        <v>1</v>
      </c>
      <c r="C50946" t="s">
        <v>990</v>
      </c>
      <c r="D50946" t="s">
        <v>23091</v>
      </c>
    </row>
    <row r="50947" spans="1:4" x14ac:dyDescent="0.2">
      <c r="B50947" t="s">
        <v>333</v>
      </c>
      <c r="D50947" t="s">
        <v>7666</v>
      </c>
    </row>
    <row r="50949" spans="1:4" x14ac:dyDescent="0.2">
      <c r="A50949" t="s">
        <v>16169</v>
      </c>
      <c r="B50949" t="str">
        <f>HYPERLINK("https://lindat.mff.cuni.cz/services/teitok/pdtc10/index.php?action=vallex&amp;frame=v-w7186hsa_520", "uniknout (v-w7186hsa_520)")</f>
        <v>uniknout (v-w7186hsa_520)</v>
      </c>
    </row>
    <row r="50950" spans="1:4" x14ac:dyDescent="0.2">
      <c r="B50950" t="s">
        <v>1</v>
      </c>
      <c r="C50950" t="s">
        <v>109</v>
      </c>
    </row>
    <row r="50951" spans="1:4" x14ac:dyDescent="0.2">
      <c r="B50951" t="s">
        <v>90</v>
      </c>
    </row>
    <row r="50953" spans="1:4" x14ac:dyDescent="0.2">
      <c r="A50953" t="s">
        <v>16170</v>
      </c>
      <c r="B50953" t="str">
        <f>HYPERLINK("https://lindat.mff.cuni.cz/services/teitok/pdtc10/index.php?action=vallex&amp;frame=v-w7186f4_ZU", "uniknout (v-w7186f4_ZU)")</f>
        <v>uniknout (v-w7186f4_ZU)</v>
      </c>
    </row>
    <row r="50954" spans="1:4" x14ac:dyDescent="0.2">
      <c r="B50954" t="s">
        <v>1</v>
      </c>
      <c r="C50954" t="s">
        <v>990</v>
      </c>
      <c r="D50954" t="s">
        <v>6115</v>
      </c>
    </row>
    <row r="50955" spans="1:4" x14ac:dyDescent="0.2">
      <c r="B50955" t="s">
        <v>333</v>
      </c>
      <c r="C50955" t="s">
        <v>16171</v>
      </c>
      <c r="D50955" t="s">
        <v>23205</v>
      </c>
    </row>
    <row r="50957" spans="1:4" x14ac:dyDescent="0.2">
      <c r="A50957" t="s">
        <v>16170</v>
      </c>
      <c r="B50957" t="str">
        <f>HYPERLINK("https://lindat.mff.cuni.cz/services/teitok/pdtc10/index.php?action=vallex&amp;frame=v-w7186hsa_521", "uniknout (v-w7186hsa_521) - substituted with v-w7186f4_ZU")</f>
        <v>uniknout (v-w7186hsa_521) - substituted with v-w7186f4_ZU</v>
      </c>
    </row>
    <row r="50958" spans="1:4" x14ac:dyDescent="0.2">
      <c r="B50958" t="s">
        <v>1</v>
      </c>
    </row>
    <row r="50959" spans="1:4" x14ac:dyDescent="0.2">
      <c r="B50959" t="s">
        <v>333</v>
      </c>
    </row>
    <row r="50961" spans="1:4" x14ac:dyDescent="0.2">
      <c r="A50961" t="s">
        <v>16172</v>
      </c>
      <c r="B50961" t="str">
        <f>HYPERLINK("https://lindat.mff.cuni.cz/services/teitok/pdtc10/index.php?action=vallex&amp;frame=v-w7176f2", "unášet (v-w7176f2)")</f>
        <v>unášet (v-w7176f2)</v>
      </c>
    </row>
    <row r="50962" spans="1:4" x14ac:dyDescent="0.2">
      <c r="B50962" t="s">
        <v>604</v>
      </c>
      <c r="C50962" t="s">
        <v>33</v>
      </c>
    </row>
    <row r="50963" spans="1:4" x14ac:dyDescent="0.2">
      <c r="B50963" t="s">
        <v>8</v>
      </c>
      <c r="C50963" t="s">
        <v>991</v>
      </c>
    </row>
    <row r="50965" spans="1:4" x14ac:dyDescent="0.2">
      <c r="A50965" t="s">
        <v>16173</v>
      </c>
      <c r="B50965" t="str">
        <f>HYPERLINK("https://lindat.mff.cuni.cz/services/teitok/pdtc10/index.php?action=vallex&amp;frame=v-w7176f1", "unášet (v-w7176f1)")</f>
        <v>unášet (v-w7176f1)</v>
      </c>
    </row>
    <row r="50966" spans="1:4" x14ac:dyDescent="0.2">
      <c r="B50966" t="s">
        <v>1</v>
      </c>
    </row>
    <row r="50967" spans="1:4" x14ac:dyDescent="0.2">
      <c r="B50967" t="s">
        <v>41</v>
      </c>
    </row>
    <row r="50969" spans="1:4" x14ac:dyDescent="0.2">
      <c r="A50969" t="s">
        <v>16174</v>
      </c>
      <c r="B50969" t="str">
        <f>HYPERLINK("https://lindat.mff.cuni.cz/services/teitok/pdtc10/index.php?action=vallex&amp;frame=v-w7176f3_ZU", "unášet (v-w7176f3_ZU)")</f>
        <v>unášet (v-w7176f3_ZU)</v>
      </c>
    </row>
    <row r="50970" spans="1:4" x14ac:dyDescent="0.2">
      <c r="B50970" t="s">
        <v>1</v>
      </c>
    </row>
    <row r="50971" spans="1:4" x14ac:dyDescent="0.2">
      <c r="B50971" t="s">
        <v>8</v>
      </c>
    </row>
    <row r="50973" spans="1:4" x14ac:dyDescent="0.2">
      <c r="A50973" t="s">
        <v>16175</v>
      </c>
      <c r="B50973" t="str">
        <f>HYPERLINK("https://lindat.mff.cuni.cz/services/teitok/pdtc10/index.php?action=vallex&amp;frame=v-w7181f2", "unést (v-w7181f2)")</f>
        <v>unést (v-w7181f2)</v>
      </c>
    </row>
    <row r="50974" spans="1:4" x14ac:dyDescent="0.2">
      <c r="B50974" t="s">
        <v>1</v>
      </c>
      <c r="C50974" t="s">
        <v>33</v>
      </c>
      <c r="D50974" t="s">
        <v>33</v>
      </c>
    </row>
    <row r="50975" spans="1:4" x14ac:dyDescent="0.2">
      <c r="B50975" t="s">
        <v>8</v>
      </c>
      <c r="C50975" t="s">
        <v>991</v>
      </c>
      <c r="D50975" t="s">
        <v>991</v>
      </c>
    </row>
    <row r="50976" spans="1:4" x14ac:dyDescent="0.2">
      <c r="B50976" t="s">
        <v>78</v>
      </c>
    </row>
    <row r="50978" spans="1:4" x14ac:dyDescent="0.2">
      <c r="A50978" t="s">
        <v>16176</v>
      </c>
      <c r="B50978" t="str">
        <f>HYPERLINK("https://lindat.mff.cuni.cz/services/teitok/pdtc10/index.php?action=vallex&amp;frame=v-w7181f3", "unést (v-w7181f3)")</f>
        <v>unést (v-w7181f3)</v>
      </c>
    </row>
    <row r="50979" spans="1:4" x14ac:dyDescent="0.2">
      <c r="B50979" t="s">
        <v>1</v>
      </c>
      <c r="C50979" t="s">
        <v>33</v>
      </c>
      <c r="D50979" t="s">
        <v>33</v>
      </c>
    </row>
    <row r="50980" spans="1:4" x14ac:dyDescent="0.2">
      <c r="B50980" t="s">
        <v>8</v>
      </c>
      <c r="C50980" t="s">
        <v>991</v>
      </c>
      <c r="D50980" t="s">
        <v>991</v>
      </c>
    </row>
    <row r="50981" spans="1:4" x14ac:dyDescent="0.2">
      <c r="B50981" t="s">
        <v>333</v>
      </c>
    </row>
    <row r="50983" spans="1:4" x14ac:dyDescent="0.2">
      <c r="A50983" t="s">
        <v>16177</v>
      </c>
      <c r="B50983" t="str">
        <f>HYPERLINK("https://lindat.mff.cuni.cz/services/teitok/pdtc10/index.php?action=vallex&amp;frame=v-w7181f5", "unést (v-w7181f5)")</f>
        <v>unést (v-w7181f5)</v>
      </c>
    </row>
    <row r="50984" spans="1:4" x14ac:dyDescent="0.2">
      <c r="B50984" t="s">
        <v>604</v>
      </c>
    </row>
    <row r="50985" spans="1:4" x14ac:dyDescent="0.2">
      <c r="B50985" t="s">
        <v>8</v>
      </c>
    </row>
    <row r="50987" spans="1:4" x14ac:dyDescent="0.2">
      <c r="A50987" t="s">
        <v>16178</v>
      </c>
      <c r="B50987" t="str">
        <f>HYPERLINK("https://lindat.mff.cuni.cz/services/teitok/pdtc10/index.php?action=vallex&amp;frame=v-w7181f1", "unést (v-w7181f1)")</f>
        <v>unést (v-w7181f1)</v>
      </c>
    </row>
    <row r="50988" spans="1:4" x14ac:dyDescent="0.2">
      <c r="B50988" t="s">
        <v>1</v>
      </c>
      <c r="C50988" t="s">
        <v>80</v>
      </c>
    </row>
    <row r="50989" spans="1:4" x14ac:dyDescent="0.2">
      <c r="B50989" t="s">
        <v>41</v>
      </c>
      <c r="C50989" t="s">
        <v>1340</v>
      </c>
    </row>
    <row r="50991" spans="1:4" x14ac:dyDescent="0.2">
      <c r="A50991" t="s">
        <v>16179</v>
      </c>
      <c r="B50991" t="str">
        <f>HYPERLINK("https://lindat.mff.cuni.cz/services/teitok/pdtc10/index.php?action=vallex&amp;frame=v-w7181f4", "unést (v-w7181f4)")</f>
        <v>unést (v-w7181f4)</v>
      </c>
    </row>
    <row r="50992" spans="1:4" x14ac:dyDescent="0.2">
      <c r="B50992" t="s">
        <v>1</v>
      </c>
      <c r="C50992" t="s">
        <v>2373</v>
      </c>
    </row>
    <row r="50993" spans="1:4" x14ac:dyDescent="0.2">
      <c r="B50993" t="s">
        <v>8</v>
      </c>
      <c r="C50993" t="s">
        <v>2374</v>
      </c>
    </row>
    <row r="50995" spans="1:4" x14ac:dyDescent="0.2">
      <c r="A50995" t="s">
        <v>16180</v>
      </c>
      <c r="B50995" t="str">
        <f>HYPERLINK("https://lindat.mff.cuni.cz/services/teitok/pdtc10/index.php?action=vallex&amp;frame=v-w7188f1", "upadat (v-w7188f1)")</f>
        <v>upadat (v-w7188f1)</v>
      </c>
    </row>
    <row r="50996" spans="1:4" x14ac:dyDescent="0.2">
      <c r="B50996" t="s">
        <v>1</v>
      </c>
      <c r="C50996" t="s">
        <v>16181</v>
      </c>
      <c r="D50996" t="s">
        <v>23825</v>
      </c>
    </row>
    <row r="50998" spans="1:4" x14ac:dyDescent="0.2">
      <c r="A50998" t="s">
        <v>16182</v>
      </c>
      <c r="B50998" t="str">
        <f>HYPERLINK("https://lindat.mff.cuni.cz/services/teitok/pdtc10/index.php?action=vallex&amp;frame=v-w7190f3_ZU", "upadnout (v-w7190f3_ZU)")</f>
        <v>upadnout (v-w7190f3_ZU)</v>
      </c>
    </row>
    <row r="50999" spans="1:4" x14ac:dyDescent="0.2">
      <c r="B50999" t="s">
        <v>1</v>
      </c>
      <c r="C50999" t="s">
        <v>9112</v>
      </c>
    </row>
    <row r="51000" spans="1:4" x14ac:dyDescent="0.2">
      <c r="B51000" t="s">
        <v>46</v>
      </c>
    </row>
    <row r="51001" spans="1:4" x14ac:dyDescent="0.2">
      <c r="B51001" t="s">
        <v>24</v>
      </c>
    </row>
    <row r="51003" spans="1:4" x14ac:dyDescent="0.2">
      <c r="A51003" t="s">
        <v>16183</v>
      </c>
      <c r="B51003" t="str">
        <f>HYPERLINK("https://lindat.mff.cuni.cz/services/teitok/pdtc10/index.php?action=vallex&amp;frame=v-w7190f2", "upadnout (v-w7190f2)")</f>
        <v>upadnout (v-w7190f2)</v>
      </c>
    </row>
    <row r="51004" spans="1:4" x14ac:dyDescent="0.2">
      <c r="B51004" t="s">
        <v>1</v>
      </c>
      <c r="C51004" t="s">
        <v>566</v>
      </c>
      <c r="D51004" t="s">
        <v>201</v>
      </c>
    </row>
    <row r="51005" spans="1:4" x14ac:dyDescent="0.2">
      <c r="B51005" t="s">
        <v>205</v>
      </c>
      <c r="D51005" t="s">
        <v>6117</v>
      </c>
    </row>
    <row r="51007" spans="1:4" x14ac:dyDescent="0.2">
      <c r="A51007" t="s">
        <v>16184</v>
      </c>
      <c r="B51007" t="str">
        <f>HYPERLINK("https://lindat.mff.cuni.cz/services/teitok/pdtc10/index.php?action=vallex&amp;frame=v-w7190f1", "upadnout (v-w7190f1)")</f>
        <v>upadnout (v-w7190f1)</v>
      </c>
    </row>
    <row r="51008" spans="1:4" x14ac:dyDescent="0.2">
      <c r="B51008" t="s">
        <v>1</v>
      </c>
    </row>
    <row r="51010" spans="1:4" x14ac:dyDescent="0.2">
      <c r="A51010" t="s">
        <v>16185</v>
      </c>
      <c r="B51010" t="str">
        <f>HYPERLINK("https://lindat.mff.cuni.cz/services/teitok/pdtc10/index.php?action=vallex&amp;frame=v-w7192f1", "upalovat (v-w7192f1)")</f>
        <v>upalovat (v-w7192f1)</v>
      </c>
    </row>
    <row r="51011" spans="1:4" x14ac:dyDescent="0.2">
      <c r="B51011" t="s">
        <v>1</v>
      </c>
    </row>
    <row r="51013" spans="1:4" x14ac:dyDescent="0.2">
      <c r="A51013" t="s">
        <v>16186</v>
      </c>
      <c r="B51013" t="str">
        <f>HYPERLINK("https://lindat.mff.cuni.cz/services/teitok/pdtc10/index.php?action=vallex&amp;frame=v-w12376_MMf1_MM", "upamatovat si (v-w12376_MMf1_MM)")</f>
        <v>upamatovat si (v-w12376_MMf1_MM)</v>
      </c>
    </row>
    <row r="51014" spans="1:4" x14ac:dyDescent="0.2">
      <c r="B51014" t="s">
        <v>1</v>
      </c>
    </row>
    <row r="51015" spans="1:4" x14ac:dyDescent="0.2">
      <c r="B51015" t="s">
        <v>16187</v>
      </c>
    </row>
    <row r="51017" spans="1:4" x14ac:dyDescent="0.2">
      <c r="A51017" t="s">
        <v>16188</v>
      </c>
      <c r="B51017" t="str">
        <f>HYPERLINK("https://lindat.mff.cuni.cz/services/teitok/pdtc10/index.php?action=vallex&amp;frame=v-w7195f1", "upevnit (v-w7195f1)")</f>
        <v>upevnit (v-w7195f1)</v>
      </c>
    </row>
    <row r="51018" spans="1:4" x14ac:dyDescent="0.2">
      <c r="B51018" t="s">
        <v>1</v>
      </c>
      <c r="C51018" t="s">
        <v>1520</v>
      </c>
      <c r="D51018" t="s">
        <v>23841</v>
      </c>
    </row>
    <row r="51019" spans="1:4" x14ac:dyDescent="0.2">
      <c r="B51019" t="s">
        <v>8</v>
      </c>
      <c r="C51019" t="s">
        <v>7543</v>
      </c>
      <c r="D51019" t="s">
        <v>16005</v>
      </c>
    </row>
    <row r="51021" spans="1:4" x14ac:dyDescent="0.2">
      <c r="A51021" t="s">
        <v>16189</v>
      </c>
      <c r="B51021" t="str">
        <f>HYPERLINK("https://lindat.mff.cuni.cz/services/teitok/pdtc10/index.php?action=vallex&amp;frame=v-w7195f2", "upevnit (v-w7195f2)")</f>
        <v>upevnit (v-w7195f2)</v>
      </c>
    </row>
    <row r="51022" spans="1:4" x14ac:dyDescent="0.2">
      <c r="B51022" t="s">
        <v>1</v>
      </c>
    </row>
    <row r="51023" spans="1:4" x14ac:dyDescent="0.2">
      <c r="B51023" t="s">
        <v>8</v>
      </c>
    </row>
    <row r="51025" spans="1:4" x14ac:dyDescent="0.2">
      <c r="A51025" t="s">
        <v>16190</v>
      </c>
      <c r="B51025" t="str">
        <f>HYPERLINK("https://lindat.mff.cuni.cz/services/teitok/pdtc10/index.php?action=vallex&amp;frame=v-w7195f3", "upevnit (v-w7195f3)")</f>
        <v>upevnit (v-w7195f3)</v>
      </c>
    </row>
    <row r="51026" spans="1:4" x14ac:dyDescent="0.2">
      <c r="B51026" t="s">
        <v>1</v>
      </c>
    </row>
    <row r="51027" spans="1:4" x14ac:dyDescent="0.2">
      <c r="B51027" t="s">
        <v>8</v>
      </c>
    </row>
    <row r="51029" spans="1:4" x14ac:dyDescent="0.2">
      <c r="A51029" t="s">
        <v>16191</v>
      </c>
      <c r="B51029" t="str">
        <f>HYPERLINK("https://lindat.mff.cuni.cz/services/teitok/pdtc10/index.php?action=vallex&amp;frame=v-w7195hsa_817", "upevnit (v-w7195hsa_817)")</f>
        <v>upevnit (v-w7195hsa_817)</v>
      </c>
    </row>
    <row r="51030" spans="1:4" x14ac:dyDescent="0.2">
      <c r="B51030" t="s">
        <v>1</v>
      </c>
      <c r="C51030" t="s">
        <v>1162</v>
      </c>
    </row>
    <row r="51031" spans="1:4" x14ac:dyDescent="0.2">
      <c r="B51031" t="s">
        <v>2712</v>
      </c>
      <c r="C51031" t="s">
        <v>9369</v>
      </c>
    </row>
    <row r="51032" spans="1:4" x14ac:dyDescent="0.2">
      <c r="B51032" t="s">
        <v>24</v>
      </c>
    </row>
    <row r="51034" spans="1:4" x14ac:dyDescent="0.2">
      <c r="A51034" t="s">
        <v>16192</v>
      </c>
      <c r="B51034" t="str">
        <f>HYPERLINK("https://lindat.mff.cuni.cz/services/teitok/pdtc10/index.php?action=vallex&amp;frame=v-w7196f1", "upevnit se (v-w7196f1)")</f>
        <v>upevnit se (v-w7196f1)</v>
      </c>
    </row>
    <row r="51035" spans="1:4" x14ac:dyDescent="0.2">
      <c r="B51035" t="s">
        <v>1</v>
      </c>
      <c r="D51035" t="s">
        <v>24271</v>
      </c>
    </row>
    <row r="51037" spans="1:4" x14ac:dyDescent="0.2">
      <c r="A51037" t="s">
        <v>16193</v>
      </c>
      <c r="B51037" t="str">
        <f>HYPERLINK("https://lindat.mff.cuni.cz/services/teitok/pdtc10/index.php?action=vallex&amp;frame=v-w7198f1", "upevňovat (v-w7198f1)")</f>
        <v>upevňovat (v-w7198f1)</v>
      </c>
    </row>
    <row r="51038" spans="1:4" x14ac:dyDescent="0.2">
      <c r="B51038" t="s">
        <v>1</v>
      </c>
      <c r="C51038" t="s">
        <v>1125</v>
      </c>
      <c r="D51038" t="s">
        <v>23841</v>
      </c>
    </row>
    <row r="51039" spans="1:4" x14ac:dyDescent="0.2">
      <c r="B51039" t="s">
        <v>8</v>
      </c>
      <c r="C51039" t="s">
        <v>3773</v>
      </c>
      <c r="D51039" t="s">
        <v>16005</v>
      </c>
    </row>
    <row r="51041" spans="1:4" x14ac:dyDescent="0.2">
      <c r="A51041" t="s">
        <v>16194</v>
      </c>
      <c r="B51041" t="str">
        <f>HYPERLINK("https://lindat.mff.cuni.cz/services/teitok/pdtc10/index.php?action=vallex&amp;frame=v-whsa_435f1_ZU", "upgradovat (v-whsa_435f1_ZU)")</f>
        <v>upgradovat (v-whsa_435f1_ZU)</v>
      </c>
    </row>
    <row r="51042" spans="1:4" x14ac:dyDescent="0.2">
      <c r="B51042" t="s">
        <v>1</v>
      </c>
      <c r="C51042" t="s">
        <v>249</v>
      </c>
      <c r="D51042" t="s">
        <v>23442</v>
      </c>
    </row>
    <row r="51043" spans="1:4" x14ac:dyDescent="0.2">
      <c r="B51043" t="s">
        <v>8</v>
      </c>
      <c r="C51043" t="s">
        <v>1190</v>
      </c>
      <c r="D51043" t="s">
        <v>23443</v>
      </c>
    </row>
    <row r="51044" spans="1:4" x14ac:dyDescent="0.2">
      <c r="B51044" t="s">
        <v>24</v>
      </c>
      <c r="D51044" t="s">
        <v>24272</v>
      </c>
    </row>
    <row r="51045" spans="1:4" x14ac:dyDescent="0.2">
      <c r="B51045" t="s">
        <v>61</v>
      </c>
      <c r="C51045" t="s">
        <v>5609</v>
      </c>
      <c r="D51045" t="s">
        <v>21650</v>
      </c>
    </row>
    <row r="51047" spans="1:4" x14ac:dyDescent="0.2">
      <c r="A51047" t="s">
        <v>16194</v>
      </c>
      <c r="B51047" t="str">
        <f>HYPERLINK("https://lindat.mff.cuni.cz/services/teitok/pdtc10/index.php?action=vallex&amp;frame=v-whsa_435hsa_436", "upgradovat (v-whsa_435hsa_436) - substituted with v-whsa_435f1_ZU")</f>
        <v>upgradovat (v-whsa_435hsa_436) - substituted with v-whsa_435f1_ZU</v>
      </c>
    </row>
    <row r="51048" spans="1:4" x14ac:dyDescent="0.2">
      <c r="B51048" t="s">
        <v>1</v>
      </c>
    </row>
    <row r="51049" spans="1:4" x14ac:dyDescent="0.2">
      <c r="B51049" t="s">
        <v>8</v>
      </c>
    </row>
    <row r="51050" spans="1:4" x14ac:dyDescent="0.2">
      <c r="B51050" t="s">
        <v>24</v>
      </c>
    </row>
    <row r="51051" spans="1:4" x14ac:dyDescent="0.2">
      <c r="B51051" t="s">
        <v>61</v>
      </c>
    </row>
    <row r="51053" spans="1:4" x14ac:dyDescent="0.2">
      <c r="A51053" t="s">
        <v>16195</v>
      </c>
      <c r="B51053" t="str">
        <f>HYPERLINK("https://lindat.mff.cuni.cz/services/teitok/pdtc10/index.php?action=vallex&amp;frame=v-w11456f1", "upisovat (v-w11456f1)")</f>
        <v>upisovat (v-w11456f1)</v>
      </c>
    </row>
    <row r="51054" spans="1:4" x14ac:dyDescent="0.2">
      <c r="B51054" t="s">
        <v>1</v>
      </c>
      <c r="C51054" t="s">
        <v>2303</v>
      </c>
      <c r="D51054" t="s">
        <v>127</v>
      </c>
    </row>
    <row r="51055" spans="1:4" x14ac:dyDescent="0.2">
      <c r="B51055" t="s">
        <v>8</v>
      </c>
      <c r="C51055" t="s">
        <v>1190</v>
      </c>
      <c r="D51055" t="s">
        <v>12134</v>
      </c>
    </row>
    <row r="51057" spans="1:4" x14ac:dyDescent="0.2">
      <c r="A51057" t="s">
        <v>16196</v>
      </c>
      <c r="B51057" t="str">
        <f>HYPERLINK("https://lindat.mff.cuni.cz/services/teitok/pdtc10/index.php?action=vallex&amp;frame=v-w7204f1", "upisovat se (v-w7204f1)")</f>
        <v>upisovat se (v-w7204f1)</v>
      </c>
    </row>
    <row r="51058" spans="1:4" x14ac:dyDescent="0.2">
      <c r="B51058" t="s">
        <v>1</v>
      </c>
    </row>
    <row r="51059" spans="1:4" x14ac:dyDescent="0.2">
      <c r="B51059" t="s">
        <v>16197</v>
      </c>
    </row>
    <row r="51060" spans="1:4" x14ac:dyDescent="0.2">
      <c r="B51060" t="s">
        <v>78</v>
      </c>
    </row>
    <row r="51062" spans="1:4" x14ac:dyDescent="0.2">
      <c r="A51062" t="s">
        <v>16198</v>
      </c>
      <c r="B51062" t="str">
        <f>HYPERLINK("https://lindat.mff.cuni.cz/services/teitok/pdtc10/index.php?action=vallex&amp;frame=v-w7210f1", "uplatit (v-w7210f1)")</f>
        <v>uplatit (v-w7210f1)</v>
      </c>
    </row>
    <row r="51063" spans="1:4" x14ac:dyDescent="0.2">
      <c r="B51063" t="s">
        <v>1</v>
      </c>
      <c r="C51063" t="s">
        <v>2239</v>
      </c>
      <c r="D51063" t="s">
        <v>2239</v>
      </c>
    </row>
    <row r="51064" spans="1:4" x14ac:dyDescent="0.2">
      <c r="B51064" t="s">
        <v>8</v>
      </c>
      <c r="C51064" t="s">
        <v>1025</v>
      </c>
      <c r="D51064" t="s">
        <v>1025</v>
      </c>
    </row>
    <row r="51066" spans="1:4" x14ac:dyDescent="0.2">
      <c r="A51066" t="s">
        <v>16199</v>
      </c>
      <c r="B51066" t="str">
        <f>HYPERLINK("https://lindat.mff.cuni.cz/services/teitok/pdtc10/index.php?action=vallex&amp;frame=v-w7213f2_ZU", "uplatnit (v-w7213f2_ZU)")</f>
        <v>uplatnit (v-w7213f2_ZU)</v>
      </c>
    </row>
    <row r="51067" spans="1:4" x14ac:dyDescent="0.2">
      <c r="B51067" t="s">
        <v>1</v>
      </c>
      <c r="C51067" t="s">
        <v>8876</v>
      </c>
      <c r="D51067" t="s">
        <v>24273</v>
      </c>
    </row>
    <row r="51068" spans="1:4" x14ac:dyDescent="0.2">
      <c r="B51068" t="s">
        <v>8</v>
      </c>
      <c r="C51068" t="s">
        <v>16200</v>
      </c>
    </row>
    <row r="51069" spans="1:4" x14ac:dyDescent="0.2">
      <c r="B51069" t="s">
        <v>61</v>
      </c>
      <c r="C51069" t="s">
        <v>16201</v>
      </c>
    </row>
    <row r="51071" spans="1:4" x14ac:dyDescent="0.2">
      <c r="A51071" t="s">
        <v>16199</v>
      </c>
      <c r="B51071" t="str">
        <f>HYPERLINK("https://lindat.mff.cuni.cz/services/teitok/pdtc10/index.php?action=vallex&amp;frame=v-w7213f1", "uplatnit (v-w7213f1) - substituted with v-w7213f2_ZU")</f>
        <v>uplatnit (v-w7213f1) - substituted with v-w7213f2_ZU</v>
      </c>
    </row>
    <row r="51072" spans="1:4" x14ac:dyDescent="0.2">
      <c r="B51072" t="s">
        <v>1</v>
      </c>
      <c r="C51072" t="s">
        <v>16202</v>
      </c>
    </row>
    <row r="51073" spans="1:4" x14ac:dyDescent="0.2">
      <c r="B51073" t="s">
        <v>8</v>
      </c>
      <c r="C51073" t="s">
        <v>16203</v>
      </c>
    </row>
    <row r="51074" spans="1:4" x14ac:dyDescent="0.2">
      <c r="B51074" t="s">
        <v>61</v>
      </c>
    </row>
    <row r="51076" spans="1:4" x14ac:dyDescent="0.2">
      <c r="A51076" t="s">
        <v>16204</v>
      </c>
      <c r="B51076" t="str">
        <f>HYPERLINK("https://lindat.mff.cuni.cz/services/teitok/pdtc10/index.php?action=vallex&amp;frame=v-w7214f1", "uplatnit se (v-w7214f1)")</f>
        <v>uplatnit se (v-w7214f1)</v>
      </c>
    </row>
    <row r="51077" spans="1:4" x14ac:dyDescent="0.2">
      <c r="B51077" t="s">
        <v>1</v>
      </c>
    </row>
    <row r="51079" spans="1:4" x14ac:dyDescent="0.2">
      <c r="A51079" t="s">
        <v>16205</v>
      </c>
      <c r="B51079" t="str">
        <f>HYPERLINK("https://lindat.mff.cuni.cz/services/teitok/pdtc10/index.php?action=vallex&amp;frame=v-w10043f3", "uplatňovat (v-w10043f3)")</f>
        <v>uplatňovat (v-w10043f3)</v>
      </c>
    </row>
    <row r="51080" spans="1:4" x14ac:dyDescent="0.2">
      <c r="B51080" t="s">
        <v>1</v>
      </c>
    </row>
    <row r="51081" spans="1:4" x14ac:dyDescent="0.2">
      <c r="B51081" t="s">
        <v>8</v>
      </c>
    </row>
    <row r="51083" spans="1:4" x14ac:dyDescent="0.2">
      <c r="A51083" t="s">
        <v>16206</v>
      </c>
      <c r="B51083" t="str">
        <f>HYPERLINK("https://lindat.mff.cuni.cz/services/teitok/pdtc10/index.php?action=vallex&amp;frame=v-w7216f1", "uplatňovat (v-w7216f1)")</f>
        <v>uplatňovat (v-w7216f1)</v>
      </c>
    </row>
    <row r="51084" spans="1:4" x14ac:dyDescent="0.2">
      <c r="B51084" t="s">
        <v>1</v>
      </c>
      <c r="C51084" t="s">
        <v>16207</v>
      </c>
      <c r="D51084" t="s">
        <v>24274</v>
      </c>
    </row>
    <row r="51085" spans="1:4" x14ac:dyDescent="0.2">
      <c r="B51085" t="s">
        <v>8</v>
      </c>
      <c r="C51085" t="s">
        <v>16208</v>
      </c>
      <c r="D51085" t="s">
        <v>24275</v>
      </c>
    </row>
    <row r="51087" spans="1:4" x14ac:dyDescent="0.2">
      <c r="A51087" t="s">
        <v>16209</v>
      </c>
      <c r="B51087" t="str">
        <f>HYPERLINK("https://lindat.mff.cuni.cz/services/teitok/pdtc10/index.php?action=vallex&amp;frame=v-w7217f1", "uplatňovat se (v-w7217f1)")</f>
        <v>uplatňovat se (v-w7217f1)</v>
      </c>
    </row>
    <row r="51088" spans="1:4" x14ac:dyDescent="0.2">
      <c r="B51088" t="s">
        <v>1</v>
      </c>
    </row>
    <row r="51090" spans="1:3" x14ac:dyDescent="0.2">
      <c r="A51090" t="s">
        <v>16210</v>
      </c>
      <c r="B51090" t="str">
        <f>HYPERLINK("https://lindat.mff.cuni.cz/services/teitok/pdtc10/index.php?action=vallex&amp;frame=v-whsa_875f1_ZU", "uplavat (v-whsa_875f1_ZU)")</f>
        <v>uplavat (v-whsa_875f1_ZU)</v>
      </c>
    </row>
    <row r="51091" spans="1:3" x14ac:dyDescent="0.2">
      <c r="B51091" t="s">
        <v>1</v>
      </c>
    </row>
    <row r="51092" spans="1:3" x14ac:dyDescent="0.2">
      <c r="B51092" t="s">
        <v>10232</v>
      </c>
    </row>
    <row r="51094" spans="1:3" x14ac:dyDescent="0.2">
      <c r="A51094" t="s">
        <v>16210</v>
      </c>
      <c r="B51094" t="str">
        <f>HYPERLINK("https://lindat.mff.cuni.cz/services/teitok/pdtc10/index.php?action=vallex&amp;frame=v-whsa_875hsa_876", "uplavat (v-whsa_875hsa_876) - substituted with v-whsa_875f1_ZU")</f>
        <v>uplavat (v-whsa_875hsa_876) - substituted with v-whsa_875f1_ZU</v>
      </c>
    </row>
    <row r="51095" spans="1:3" x14ac:dyDescent="0.2">
      <c r="B51095" t="s">
        <v>1</v>
      </c>
    </row>
    <row r="51096" spans="1:3" x14ac:dyDescent="0.2">
      <c r="B51096" t="s">
        <v>10232</v>
      </c>
    </row>
    <row r="51098" spans="1:3" x14ac:dyDescent="0.2">
      <c r="A51098" t="s">
        <v>16211</v>
      </c>
      <c r="B51098" t="str">
        <f>HYPERLINK("https://lindat.mff.cuni.cz/services/teitok/pdtc10/index.php?action=vallex&amp;frame=v-whsa_875f2_ZU", "uplavat (v-whsa_875f2_ZU)")</f>
        <v>uplavat (v-whsa_875f2_ZU)</v>
      </c>
    </row>
    <row r="51099" spans="1:3" x14ac:dyDescent="0.2">
      <c r="B51099" t="s">
        <v>1</v>
      </c>
    </row>
    <row r="51100" spans="1:3" x14ac:dyDescent="0.2">
      <c r="B51100" t="s">
        <v>86</v>
      </c>
    </row>
    <row r="51102" spans="1:3" x14ac:dyDescent="0.2">
      <c r="A51102" t="s">
        <v>16212</v>
      </c>
      <c r="B51102" t="str">
        <f>HYPERLINK("https://lindat.mff.cuni.cz/services/teitok/pdtc10/index.php?action=vallex&amp;frame=v-w7218f1", "uplynout (v-w7218f1)")</f>
        <v>uplynout (v-w7218f1)</v>
      </c>
    </row>
    <row r="51103" spans="1:3" x14ac:dyDescent="0.2">
      <c r="B51103" t="s">
        <v>1</v>
      </c>
      <c r="C51103" t="s">
        <v>2444</v>
      </c>
    </row>
    <row r="51105" spans="1:4" x14ac:dyDescent="0.2">
      <c r="A51105" t="s">
        <v>16213</v>
      </c>
      <c r="B51105" t="str">
        <f>HYPERLINK("https://lindat.mff.cuni.cz/services/teitok/pdtc10/index.php?action=vallex&amp;frame=v-w7207f1", "uplácet (v-w7207f1)")</f>
        <v>uplácet (v-w7207f1)</v>
      </c>
    </row>
    <row r="51106" spans="1:4" x14ac:dyDescent="0.2">
      <c r="B51106" t="s">
        <v>1</v>
      </c>
      <c r="C51106" t="s">
        <v>2239</v>
      </c>
      <c r="D51106" t="s">
        <v>2239</v>
      </c>
    </row>
    <row r="51107" spans="1:4" x14ac:dyDescent="0.2">
      <c r="B51107" t="s">
        <v>8</v>
      </c>
      <c r="C51107" t="s">
        <v>1025</v>
      </c>
      <c r="D51107" t="s">
        <v>1025</v>
      </c>
    </row>
    <row r="51109" spans="1:4" x14ac:dyDescent="0.2">
      <c r="A51109" t="s">
        <v>16214</v>
      </c>
      <c r="B51109" t="str">
        <f>HYPERLINK("https://lindat.mff.cuni.cz/services/teitok/pdtc10/index.php?action=vallex&amp;frame=v-w11817_ZUf2_ZU", "uplést (v-w11817_ZUf2_ZU)")</f>
        <v>uplést (v-w11817_ZUf2_ZU)</v>
      </c>
    </row>
    <row r="51110" spans="1:4" x14ac:dyDescent="0.2">
      <c r="B51110" t="s">
        <v>1</v>
      </c>
    </row>
    <row r="51111" spans="1:4" x14ac:dyDescent="0.2">
      <c r="B51111" t="s">
        <v>8</v>
      </c>
    </row>
    <row r="51112" spans="1:4" x14ac:dyDescent="0.2">
      <c r="B51112" t="s">
        <v>24</v>
      </c>
    </row>
    <row r="51114" spans="1:4" x14ac:dyDescent="0.2">
      <c r="A51114" t="s">
        <v>16214</v>
      </c>
      <c r="B51114" t="str">
        <f>HYPERLINK("https://lindat.mff.cuni.cz/services/teitok/pdtc10/index.php?action=vallex&amp;frame=v-w11817_ZUf1_ZU", "uplést (v-w11817_ZUf1_ZU) - substituted with v-w11817_ZUf2_ZU")</f>
        <v>uplést (v-w11817_ZUf1_ZU) - substituted with v-w11817_ZUf2_ZU</v>
      </c>
    </row>
    <row r="51115" spans="1:4" x14ac:dyDescent="0.2">
      <c r="B51115" t="s">
        <v>1</v>
      </c>
    </row>
    <row r="51116" spans="1:4" x14ac:dyDescent="0.2">
      <c r="B51116" t="s">
        <v>8</v>
      </c>
    </row>
    <row r="51117" spans="1:4" x14ac:dyDescent="0.2">
      <c r="B51117" t="s">
        <v>24</v>
      </c>
    </row>
    <row r="51119" spans="1:4" x14ac:dyDescent="0.2">
      <c r="A51119" t="s">
        <v>16215</v>
      </c>
      <c r="B51119" t="str">
        <f>HYPERLINK("https://lindat.mff.cuni.cz/services/teitok/pdtc10/index.php?action=vallex&amp;frame=v-w11494f2", "uplést si (v-w11494f2)")</f>
        <v>uplést si (v-w11494f2)</v>
      </c>
    </row>
    <row r="51120" spans="1:4" x14ac:dyDescent="0.2">
      <c r="B51120" t="s">
        <v>1</v>
      </c>
    </row>
    <row r="51121" spans="1:4" x14ac:dyDescent="0.2">
      <c r="B51121" t="s">
        <v>16216</v>
      </c>
    </row>
    <row r="51123" spans="1:4" x14ac:dyDescent="0.2">
      <c r="A51123" t="s">
        <v>16217</v>
      </c>
      <c r="B51123" t="str">
        <f>HYPERLINK("https://lindat.mff.cuni.cz/services/teitok/pdtc10/index.php?action=vallex&amp;frame=v-w7220f2", "upnout se (v-w7220f2)")</f>
        <v>upnout se (v-w7220f2)</v>
      </c>
    </row>
    <row r="51124" spans="1:4" x14ac:dyDescent="0.2">
      <c r="B51124" t="s">
        <v>1</v>
      </c>
      <c r="C51124" t="s">
        <v>22</v>
      </c>
    </row>
    <row r="51125" spans="1:4" x14ac:dyDescent="0.2">
      <c r="B51125" t="s">
        <v>4318</v>
      </c>
    </row>
    <row r="51127" spans="1:4" x14ac:dyDescent="0.2">
      <c r="A51127" t="s">
        <v>16218</v>
      </c>
      <c r="B51127" t="str">
        <f>HYPERLINK("https://lindat.mff.cuni.cz/services/teitok/pdtc10/index.php?action=vallex&amp;frame=v-w7222f1", "upomínat (v-w7222f1)")</f>
        <v>upomínat (v-w7222f1)</v>
      </c>
    </row>
    <row r="51128" spans="1:4" x14ac:dyDescent="0.2">
      <c r="B51128" t="s">
        <v>1</v>
      </c>
    </row>
    <row r="51129" spans="1:4" x14ac:dyDescent="0.2">
      <c r="B51129" t="s">
        <v>16219</v>
      </c>
    </row>
    <row r="51130" spans="1:4" x14ac:dyDescent="0.2">
      <c r="B51130" t="s">
        <v>58</v>
      </c>
    </row>
    <row r="51132" spans="1:4" x14ac:dyDescent="0.2">
      <c r="A51132" t="s">
        <v>16220</v>
      </c>
      <c r="B51132" t="str">
        <f>HYPERLINK("https://lindat.mff.cuni.cz/services/teitok/pdtc10/index.php?action=vallex&amp;frame=v-w7224f1", "uposlechnout (v-w7224f1)")</f>
        <v>uposlechnout (v-w7224f1)</v>
      </c>
    </row>
    <row r="51133" spans="1:4" x14ac:dyDescent="0.2">
      <c r="B51133" t="s">
        <v>1</v>
      </c>
      <c r="C51133" t="s">
        <v>430</v>
      </c>
      <c r="D51133" t="s">
        <v>24276</v>
      </c>
    </row>
    <row r="51134" spans="1:4" x14ac:dyDescent="0.2">
      <c r="B51134" t="s">
        <v>3766</v>
      </c>
      <c r="C51134" t="s">
        <v>1340</v>
      </c>
      <c r="D51134" t="s">
        <v>24277</v>
      </c>
    </row>
    <row r="51136" spans="1:4" x14ac:dyDescent="0.2">
      <c r="A51136" t="s">
        <v>16221</v>
      </c>
      <c r="B51136" t="str">
        <f>HYPERLINK("https://lindat.mff.cuni.cz/services/teitok/pdtc10/index.php?action=vallex&amp;frame=v-w10219f2", "upotřebit (v-w10219f2)")</f>
        <v>upotřebit (v-w10219f2)</v>
      </c>
    </row>
    <row r="51137" spans="1:4" x14ac:dyDescent="0.2">
      <c r="B51137" t="s">
        <v>1</v>
      </c>
    </row>
    <row r="51138" spans="1:4" x14ac:dyDescent="0.2">
      <c r="B51138" t="s">
        <v>968</v>
      </c>
    </row>
    <row r="51140" spans="1:4" x14ac:dyDescent="0.2">
      <c r="A51140" t="s">
        <v>16222</v>
      </c>
      <c r="B51140" t="str">
        <f>HYPERLINK("https://lindat.mff.cuni.cz/services/teitok/pdtc10/index.php?action=vallex&amp;frame=v-w11770_ZUf1_ZU", "upotřebovat (v-w11770_ZUf1_ZU)")</f>
        <v>upotřebovat (v-w11770_ZUf1_ZU)</v>
      </c>
    </row>
    <row r="51141" spans="1:4" x14ac:dyDescent="0.2">
      <c r="B51141" t="s">
        <v>1</v>
      </c>
    </row>
    <row r="51142" spans="1:4" x14ac:dyDescent="0.2">
      <c r="B51142" t="s">
        <v>8</v>
      </c>
    </row>
    <row r="51144" spans="1:4" x14ac:dyDescent="0.2">
      <c r="A51144" t="s">
        <v>16223</v>
      </c>
      <c r="B51144" t="str">
        <f>HYPERLINK("https://lindat.mff.cuni.cz/services/teitok/pdtc10/index.php?action=vallex&amp;frame=v-w7226f1", "upoutat (v-w7226f1)")</f>
        <v>upoutat (v-w7226f1)</v>
      </c>
    </row>
    <row r="51145" spans="1:4" x14ac:dyDescent="0.2">
      <c r="B51145" t="s">
        <v>1</v>
      </c>
      <c r="D51145" t="s">
        <v>23742</v>
      </c>
    </row>
    <row r="51146" spans="1:4" x14ac:dyDescent="0.2">
      <c r="B51146" t="s">
        <v>8</v>
      </c>
      <c r="D51146" t="s">
        <v>56</v>
      </c>
    </row>
    <row r="51148" spans="1:4" x14ac:dyDescent="0.2">
      <c r="A51148" t="s">
        <v>16224</v>
      </c>
      <c r="B51148" t="str">
        <f>HYPERLINK("https://lindat.mff.cuni.cz/services/teitok/pdtc10/index.php?action=vallex&amp;frame=v-w7226f2", "upoutat (v-w7226f2)")</f>
        <v>upoutat (v-w7226f2)</v>
      </c>
    </row>
    <row r="51149" spans="1:4" x14ac:dyDescent="0.2">
      <c r="B51149" t="s">
        <v>1</v>
      </c>
    </row>
    <row r="51150" spans="1:4" x14ac:dyDescent="0.2">
      <c r="B51150" t="s">
        <v>8</v>
      </c>
      <c r="C51150" t="s">
        <v>564</v>
      </c>
    </row>
    <row r="51152" spans="1:4" x14ac:dyDescent="0.2">
      <c r="A51152" t="s">
        <v>16225</v>
      </c>
      <c r="B51152" t="str">
        <f>HYPERLINK("https://lindat.mff.cuni.cz/services/teitok/pdtc10/index.php?action=vallex&amp;frame=v-w7226f4_ZU", "upoutat (v-w7226f4_ZU)")</f>
        <v>upoutat (v-w7226f4_ZU)</v>
      </c>
    </row>
    <row r="51153" spans="1:4" x14ac:dyDescent="0.2">
      <c r="B51153" t="s">
        <v>331</v>
      </c>
      <c r="C51153" t="s">
        <v>16226</v>
      </c>
      <c r="D51153" t="s">
        <v>23460</v>
      </c>
    </row>
    <row r="51154" spans="1:4" x14ac:dyDescent="0.2">
      <c r="B51154" t="s">
        <v>16227</v>
      </c>
    </row>
    <row r="51155" spans="1:4" x14ac:dyDescent="0.2">
      <c r="B51155" t="s">
        <v>11088</v>
      </c>
      <c r="C51155" t="s">
        <v>16228</v>
      </c>
      <c r="D51155" t="s">
        <v>23461</v>
      </c>
    </row>
    <row r="51156" spans="1:4" x14ac:dyDescent="0.2">
      <c r="B51156" t="s">
        <v>46</v>
      </c>
      <c r="D51156" t="s">
        <v>23462</v>
      </c>
    </row>
    <row r="51158" spans="1:4" x14ac:dyDescent="0.2">
      <c r="A51158" t="s">
        <v>16225</v>
      </c>
      <c r="B51158" t="str">
        <f>HYPERLINK("https://lindat.mff.cuni.cz/services/teitok/pdtc10/index.php?action=vallex&amp;frame=v-w7226f3", "upoutat (v-w7226f3) - substituted with v-w7226f4_ZU")</f>
        <v>upoutat (v-w7226f3) - substituted with v-w7226f4_ZU</v>
      </c>
    </row>
    <row r="51159" spans="1:4" x14ac:dyDescent="0.2">
      <c r="B51159" t="s">
        <v>331</v>
      </c>
      <c r="C51159" t="s">
        <v>16229</v>
      </c>
    </row>
    <row r="51160" spans="1:4" x14ac:dyDescent="0.2">
      <c r="B51160" t="s">
        <v>16227</v>
      </c>
      <c r="C51160" t="s">
        <v>16230</v>
      </c>
    </row>
    <row r="51161" spans="1:4" x14ac:dyDescent="0.2">
      <c r="B51161" t="s">
        <v>11088</v>
      </c>
    </row>
    <row r="51162" spans="1:4" x14ac:dyDescent="0.2">
      <c r="B51162" t="s">
        <v>46</v>
      </c>
    </row>
    <row r="51164" spans="1:4" x14ac:dyDescent="0.2">
      <c r="A51164" t="s">
        <v>16231</v>
      </c>
      <c r="B51164" t="str">
        <f>HYPERLINK("https://lindat.mff.cuni.cz/services/teitok/pdtc10/index.php?action=vallex&amp;frame=v-w7226hsa_385", "upoutat (v-w7226hsa_385)")</f>
        <v>upoutat (v-w7226hsa_385)</v>
      </c>
    </row>
    <row r="51165" spans="1:4" x14ac:dyDescent="0.2">
      <c r="B51165" t="s">
        <v>1</v>
      </c>
    </row>
    <row r="51166" spans="1:4" x14ac:dyDescent="0.2">
      <c r="B51166" t="s">
        <v>16232</v>
      </c>
    </row>
    <row r="51167" spans="1:4" x14ac:dyDescent="0.2">
      <c r="B51167" t="s">
        <v>2131</v>
      </c>
    </row>
    <row r="51168" spans="1:4" x14ac:dyDescent="0.2">
      <c r="B51168" t="s">
        <v>28</v>
      </c>
    </row>
    <row r="51170" spans="1:2" x14ac:dyDescent="0.2">
      <c r="A51170" t="s">
        <v>16233</v>
      </c>
      <c r="B51170" t="str">
        <f>HYPERLINK("https://lindat.mff.cuni.cz/services/teitok/pdtc10/index.php?action=vallex&amp;frame=v-whsa_1103f1_ZU", "upoutávat (v-whsa_1103f1_ZU)")</f>
        <v>upoutávat (v-whsa_1103f1_ZU)</v>
      </c>
    </row>
    <row r="51171" spans="1:2" x14ac:dyDescent="0.2">
      <c r="B51171" t="s">
        <v>1</v>
      </c>
    </row>
    <row r="51172" spans="1:2" x14ac:dyDescent="0.2">
      <c r="B51172" t="s">
        <v>16227</v>
      </c>
    </row>
    <row r="51173" spans="1:2" x14ac:dyDescent="0.2">
      <c r="B51173" t="s">
        <v>11088</v>
      </c>
    </row>
    <row r="51174" spans="1:2" x14ac:dyDescent="0.2">
      <c r="B51174" t="s">
        <v>46</v>
      </c>
    </row>
    <row r="51176" spans="1:2" x14ac:dyDescent="0.2">
      <c r="A51176" t="s">
        <v>16233</v>
      </c>
      <c r="B51176" t="str">
        <f>HYPERLINK("https://lindat.mff.cuni.cz/services/teitok/pdtc10/index.php?action=vallex&amp;frame=v-whsa_1103hsa_1104", "upoutávat (v-whsa_1103hsa_1104) - substituted with v-whsa_1103f1_ZU")</f>
        <v>upoutávat (v-whsa_1103hsa_1104) - substituted with v-whsa_1103f1_ZU</v>
      </c>
    </row>
    <row r="51177" spans="1:2" x14ac:dyDescent="0.2">
      <c r="B51177" t="s">
        <v>1</v>
      </c>
    </row>
    <row r="51178" spans="1:2" x14ac:dyDescent="0.2">
      <c r="B51178" t="s">
        <v>16227</v>
      </c>
    </row>
    <row r="51179" spans="1:2" x14ac:dyDescent="0.2">
      <c r="B51179" t="s">
        <v>11088</v>
      </c>
    </row>
    <row r="51180" spans="1:2" x14ac:dyDescent="0.2">
      <c r="B51180" t="s">
        <v>46</v>
      </c>
    </row>
    <row r="51182" spans="1:2" x14ac:dyDescent="0.2">
      <c r="A51182" t="s">
        <v>16234</v>
      </c>
      <c r="B51182" t="str">
        <f>HYPERLINK("https://lindat.mff.cuni.cz/services/teitok/pdtc10/index.php?action=vallex&amp;frame=v-w7225f2", "upouštět (v-w7225f2)")</f>
        <v>upouštět (v-w7225f2)</v>
      </c>
    </row>
    <row r="51183" spans="1:2" x14ac:dyDescent="0.2">
      <c r="B51183" t="s">
        <v>1</v>
      </c>
    </row>
    <row r="51184" spans="1:2" x14ac:dyDescent="0.2">
      <c r="B51184" t="s">
        <v>8</v>
      </c>
    </row>
    <row r="51186" spans="1:4" x14ac:dyDescent="0.2">
      <c r="A51186" t="s">
        <v>16235</v>
      </c>
      <c r="B51186" t="str">
        <f>HYPERLINK("https://lindat.mff.cuni.cz/services/teitok/pdtc10/index.php?action=vallex&amp;frame=v-w7225f1", "upouštět (v-w7225f1)")</f>
        <v>upouštět (v-w7225f1)</v>
      </c>
    </row>
    <row r="51187" spans="1:4" x14ac:dyDescent="0.2">
      <c r="B51187" t="s">
        <v>1</v>
      </c>
      <c r="C51187" t="s">
        <v>990</v>
      </c>
      <c r="D51187" t="s">
        <v>23064</v>
      </c>
    </row>
    <row r="51188" spans="1:4" x14ac:dyDescent="0.2">
      <c r="B51188" t="s">
        <v>19</v>
      </c>
      <c r="C51188" t="s">
        <v>4575</v>
      </c>
      <c r="D51188" t="s">
        <v>23065</v>
      </c>
    </row>
    <row r="51190" spans="1:4" x14ac:dyDescent="0.2">
      <c r="A51190" t="s">
        <v>16236</v>
      </c>
      <c r="B51190" t="str">
        <f>HYPERLINK("https://lindat.mff.cuni.cz/services/teitok/pdtc10/index.php?action=vallex&amp;frame=v-w12353_MMf1_MM", "upozadit (v-w12353_MMf1_MM)")</f>
        <v>upozadit (v-w12353_MMf1_MM)</v>
      </c>
    </row>
    <row r="51191" spans="1:4" x14ac:dyDescent="0.2">
      <c r="B51191" t="s">
        <v>1</v>
      </c>
    </row>
    <row r="51192" spans="1:4" x14ac:dyDescent="0.2">
      <c r="B51192" t="s">
        <v>8</v>
      </c>
    </row>
    <row r="51194" spans="1:4" x14ac:dyDescent="0.2">
      <c r="A51194" t="s">
        <v>16237</v>
      </c>
      <c r="B51194" t="str">
        <f>HYPERLINK("https://lindat.mff.cuni.cz/services/teitok/pdtc10/index.php?action=vallex&amp;frame=v-w7228f2_ZU", "upozornit (v-w7228f2_ZU)")</f>
        <v>upozornit (v-w7228f2_ZU)</v>
      </c>
    </row>
    <row r="51195" spans="1:4" x14ac:dyDescent="0.2">
      <c r="B51195" t="s">
        <v>1</v>
      </c>
    </row>
    <row r="51196" spans="1:4" x14ac:dyDescent="0.2">
      <c r="B51196" t="s">
        <v>16238</v>
      </c>
    </row>
    <row r="51197" spans="1:4" x14ac:dyDescent="0.2">
      <c r="B51197" t="s">
        <v>58</v>
      </c>
    </row>
    <row r="51199" spans="1:4" x14ac:dyDescent="0.2">
      <c r="A51199" t="s">
        <v>16237</v>
      </c>
      <c r="B51199" t="str">
        <f>HYPERLINK("https://lindat.mff.cuni.cz/services/teitok/pdtc10/index.php?action=vallex&amp;frame=v-w7228f1", "upozornit (v-w7228f1) - substituted with v-w7228f2_ZU")</f>
        <v>upozornit (v-w7228f1) - substituted with v-w7228f2_ZU</v>
      </c>
    </row>
    <row r="51200" spans="1:4" x14ac:dyDescent="0.2">
      <c r="B51200" t="s">
        <v>1</v>
      </c>
      <c r="C51200" t="s">
        <v>16239</v>
      </c>
      <c r="D51200" t="s">
        <v>1271</v>
      </c>
    </row>
    <row r="51201" spans="1:4" x14ac:dyDescent="0.2">
      <c r="B51201" t="s">
        <v>16238</v>
      </c>
      <c r="C51201" t="s">
        <v>16240</v>
      </c>
      <c r="D51201" t="s">
        <v>23874</v>
      </c>
    </row>
    <row r="51202" spans="1:4" x14ac:dyDescent="0.2">
      <c r="B51202" t="s">
        <v>58</v>
      </c>
      <c r="C51202" t="s">
        <v>16241</v>
      </c>
      <c r="D51202" t="s">
        <v>24263</v>
      </c>
    </row>
    <row r="51204" spans="1:4" x14ac:dyDescent="0.2">
      <c r="A51204" t="s">
        <v>16242</v>
      </c>
      <c r="B51204" t="str">
        <f>HYPERLINK("https://lindat.mff.cuni.cz/services/teitok/pdtc10/index.php?action=vallex&amp;frame=v-w7230f1", "upozorňovat (v-w7230f1)")</f>
        <v>upozorňovat (v-w7230f1)</v>
      </c>
    </row>
    <row r="51205" spans="1:4" x14ac:dyDescent="0.2">
      <c r="B51205" t="s">
        <v>1</v>
      </c>
      <c r="C51205" t="s">
        <v>16243</v>
      </c>
      <c r="D51205" t="s">
        <v>1271</v>
      </c>
    </row>
    <row r="51206" spans="1:4" x14ac:dyDescent="0.2">
      <c r="B51206" t="s">
        <v>16219</v>
      </c>
      <c r="C51206" t="s">
        <v>16244</v>
      </c>
      <c r="D51206" t="s">
        <v>23874</v>
      </c>
    </row>
    <row r="51207" spans="1:4" x14ac:dyDescent="0.2">
      <c r="B51207" t="s">
        <v>58</v>
      </c>
      <c r="C51207" t="s">
        <v>16245</v>
      </c>
      <c r="D51207" t="s">
        <v>24263</v>
      </c>
    </row>
    <row r="51209" spans="1:4" x14ac:dyDescent="0.2">
      <c r="A51209" t="s">
        <v>16246</v>
      </c>
      <c r="B51209" t="str">
        <f>HYPERLINK("https://lindat.mff.cuni.cz/services/teitok/pdtc10/index.php?action=vallex&amp;frame=v-w7234f1", "upravit (v-w7234f1)")</f>
        <v>upravit (v-w7234f1)</v>
      </c>
    </row>
    <row r="51210" spans="1:4" x14ac:dyDescent="0.2">
      <c r="B51210" t="s">
        <v>1</v>
      </c>
      <c r="C51210" t="s">
        <v>16247</v>
      </c>
      <c r="D51210" t="s">
        <v>22944</v>
      </c>
    </row>
    <row r="51211" spans="1:4" x14ac:dyDescent="0.2">
      <c r="B51211" t="s">
        <v>172</v>
      </c>
      <c r="C51211" t="s">
        <v>16248</v>
      </c>
      <c r="D51211" t="s">
        <v>22945</v>
      </c>
    </row>
    <row r="51212" spans="1:4" x14ac:dyDescent="0.2">
      <c r="B51212" t="s">
        <v>24</v>
      </c>
      <c r="C51212" t="s">
        <v>10396</v>
      </c>
      <c r="D51212" t="s">
        <v>22946</v>
      </c>
    </row>
    <row r="51213" spans="1:4" x14ac:dyDescent="0.2">
      <c r="B51213" t="s">
        <v>25</v>
      </c>
      <c r="C51213" t="s">
        <v>16249</v>
      </c>
      <c r="D51213" t="s">
        <v>22947</v>
      </c>
    </row>
    <row r="51215" spans="1:4" x14ac:dyDescent="0.2">
      <c r="A51215" t="s">
        <v>16250</v>
      </c>
      <c r="B51215" t="str">
        <f>HYPERLINK("https://lindat.mff.cuni.cz/services/teitok/pdtc10/index.php?action=vallex&amp;frame=v-w7234f2", "upravit (v-w7234f2)")</f>
        <v>upravit (v-w7234f2)</v>
      </c>
    </row>
    <row r="51216" spans="1:4" x14ac:dyDescent="0.2">
      <c r="B51216" t="s">
        <v>1</v>
      </c>
      <c r="C51216" t="s">
        <v>16251</v>
      </c>
      <c r="D51216" t="s">
        <v>22944</v>
      </c>
    </row>
    <row r="51217" spans="1:4" x14ac:dyDescent="0.2">
      <c r="B51217" t="s">
        <v>8</v>
      </c>
      <c r="C51217" t="s">
        <v>16252</v>
      </c>
      <c r="D51217" t="s">
        <v>22945</v>
      </c>
    </row>
    <row r="51219" spans="1:4" x14ac:dyDescent="0.2">
      <c r="A51219" t="s">
        <v>16253</v>
      </c>
      <c r="B51219" t="str">
        <f>HYPERLINK("https://lindat.mff.cuni.cz/services/teitok/pdtc10/index.php?action=vallex&amp;frame=v-w7234f3_MM", "upravit (v-w7234f3_MM)")</f>
        <v>upravit (v-w7234f3_MM)</v>
      </c>
    </row>
    <row r="51220" spans="1:4" x14ac:dyDescent="0.2">
      <c r="B51220" t="s">
        <v>1</v>
      </c>
    </row>
    <row r="51221" spans="1:4" x14ac:dyDescent="0.2">
      <c r="B51221" t="s">
        <v>8</v>
      </c>
    </row>
    <row r="51223" spans="1:4" x14ac:dyDescent="0.2">
      <c r="A51223" t="s">
        <v>16254</v>
      </c>
      <c r="B51223" t="str">
        <f>HYPERLINK("https://lindat.mff.cuni.cz/services/teitok/pdtc10/index.php?action=vallex&amp;frame=v-w7236f1", "upravovat (v-w7236f1)")</f>
        <v>upravovat (v-w7236f1)</v>
      </c>
    </row>
    <row r="51224" spans="1:4" x14ac:dyDescent="0.2">
      <c r="B51224" t="s">
        <v>1</v>
      </c>
      <c r="C51224" t="s">
        <v>16255</v>
      </c>
      <c r="D51224" t="s">
        <v>22944</v>
      </c>
    </row>
    <row r="51225" spans="1:4" x14ac:dyDescent="0.2">
      <c r="B51225" t="s">
        <v>172</v>
      </c>
      <c r="C51225" t="s">
        <v>6123</v>
      </c>
      <c r="D51225" t="s">
        <v>22945</v>
      </c>
    </row>
    <row r="51226" spans="1:4" x14ac:dyDescent="0.2">
      <c r="B51226" t="s">
        <v>24</v>
      </c>
      <c r="D51226" t="s">
        <v>22946</v>
      </c>
    </row>
    <row r="51227" spans="1:4" x14ac:dyDescent="0.2">
      <c r="B51227" t="s">
        <v>25</v>
      </c>
      <c r="C51227" t="s">
        <v>16256</v>
      </c>
      <c r="D51227" t="s">
        <v>22947</v>
      </c>
    </row>
    <row r="51229" spans="1:4" x14ac:dyDescent="0.2">
      <c r="A51229" t="s">
        <v>16257</v>
      </c>
      <c r="B51229" t="str">
        <f>HYPERLINK("https://lindat.mff.cuni.cz/services/teitok/pdtc10/index.php?action=vallex&amp;frame=v-w7236f2", "upravovat (v-w7236f2)")</f>
        <v>upravovat (v-w7236f2)</v>
      </c>
    </row>
    <row r="51230" spans="1:4" x14ac:dyDescent="0.2">
      <c r="B51230" t="s">
        <v>1</v>
      </c>
      <c r="C51230" t="s">
        <v>16255</v>
      </c>
      <c r="D51230" t="s">
        <v>23261</v>
      </c>
    </row>
    <row r="51231" spans="1:4" x14ac:dyDescent="0.2">
      <c r="B51231" t="s">
        <v>8</v>
      </c>
      <c r="C51231" t="s">
        <v>1343</v>
      </c>
      <c r="D51231" t="s">
        <v>9548</v>
      </c>
    </row>
    <row r="51233" spans="1:4" x14ac:dyDescent="0.2">
      <c r="A51233" t="s">
        <v>16258</v>
      </c>
      <c r="B51233" t="str">
        <f>HYPERLINK("https://lindat.mff.cuni.cz/services/teitok/pdtc10/index.php?action=vallex&amp;frame=v-w7239f1", "uprchnout (v-w7239f1)")</f>
        <v>uprchnout (v-w7239f1)</v>
      </c>
    </row>
    <row r="51234" spans="1:4" x14ac:dyDescent="0.2">
      <c r="B51234" t="s">
        <v>1</v>
      </c>
      <c r="C51234" t="s">
        <v>294</v>
      </c>
    </row>
    <row r="51235" spans="1:4" x14ac:dyDescent="0.2">
      <c r="B51235" t="s">
        <v>10232</v>
      </c>
    </row>
    <row r="51237" spans="1:4" x14ac:dyDescent="0.2">
      <c r="A51237" t="s">
        <v>16259</v>
      </c>
      <c r="B51237" t="str">
        <f>HYPERLINK("https://lindat.mff.cuni.cz/services/teitok/pdtc10/index.php?action=vallex&amp;frame=v-whsa_2011hsa_2012", "uprosit (v-whsa_2011hsa_2012)")</f>
        <v>uprosit (v-whsa_2011hsa_2012)</v>
      </c>
    </row>
    <row r="51238" spans="1:4" x14ac:dyDescent="0.2">
      <c r="B51238" t="s">
        <v>1</v>
      </c>
    </row>
    <row r="51239" spans="1:4" x14ac:dyDescent="0.2">
      <c r="B51239" t="s">
        <v>8</v>
      </c>
    </row>
    <row r="51241" spans="1:4" x14ac:dyDescent="0.2">
      <c r="A51241" t="s">
        <v>16260</v>
      </c>
      <c r="B51241" t="str">
        <f>HYPERLINK("https://lindat.mff.cuni.cz/services/teitok/pdtc10/index.php?action=vallex&amp;frame=v-w7238f1", "uprázdnit (v-w7238f1)")</f>
        <v>uprázdnit (v-w7238f1)</v>
      </c>
    </row>
    <row r="51242" spans="1:4" x14ac:dyDescent="0.2">
      <c r="B51242" t="s">
        <v>1</v>
      </c>
    </row>
    <row r="51243" spans="1:4" x14ac:dyDescent="0.2">
      <c r="B51243" t="s">
        <v>8</v>
      </c>
    </row>
    <row r="51245" spans="1:4" x14ac:dyDescent="0.2">
      <c r="A51245" t="s">
        <v>16261</v>
      </c>
      <c r="B51245" t="str">
        <f>HYPERLINK("https://lindat.mff.cuni.cz/services/teitok/pdtc10/index.php?action=vallex&amp;frame=v-w7246f1", "upsat (v-w7246f1)")</f>
        <v>upsat (v-w7246f1)</v>
      </c>
    </row>
    <row r="51246" spans="1:4" x14ac:dyDescent="0.2">
      <c r="B51246" t="s">
        <v>1</v>
      </c>
      <c r="C51246" t="s">
        <v>14400</v>
      </c>
      <c r="D51246" t="s">
        <v>127</v>
      </c>
    </row>
    <row r="51247" spans="1:4" x14ac:dyDescent="0.2">
      <c r="B51247" t="s">
        <v>8</v>
      </c>
      <c r="C51247" t="s">
        <v>16262</v>
      </c>
      <c r="D51247" t="s">
        <v>12134</v>
      </c>
    </row>
    <row r="51248" spans="1:4" x14ac:dyDescent="0.2">
      <c r="B51248" t="s">
        <v>78</v>
      </c>
    </row>
    <row r="51250" spans="1:4" x14ac:dyDescent="0.2">
      <c r="A51250" t="s">
        <v>16263</v>
      </c>
      <c r="B51250" t="str">
        <f>HYPERLINK("https://lindat.mff.cuni.cz/services/teitok/pdtc10/index.php?action=vallex&amp;frame=v-w7246hsa_1022", "upsat (v-w7246hsa_1022)")</f>
        <v>upsat (v-w7246hsa_1022)</v>
      </c>
    </row>
    <row r="51251" spans="1:4" x14ac:dyDescent="0.2">
      <c r="B51251" t="s">
        <v>1</v>
      </c>
      <c r="C51251" t="s">
        <v>1065</v>
      </c>
      <c r="D51251" t="s">
        <v>23042</v>
      </c>
    </row>
    <row r="51252" spans="1:4" x14ac:dyDescent="0.2">
      <c r="B51252" t="s">
        <v>8</v>
      </c>
      <c r="C51252" t="s">
        <v>2886</v>
      </c>
      <c r="D51252" t="s">
        <v>23043</v>
      </c>
    </row>
    <row r="51253" spans="1:4" x14ac:dyDescent="0.2">
      <c r="B51253" t="s">
        <v>61</v>
      </c>
      <c r="C51253" t="s">
        <v>15319</v>
      </c>
      <c r="D51253" t="s">
        <v>23044</v>
      </c>
    </row>
    <row r="51255" spans="1:4" x14ac:dyDescent="0.2">
      <c r="A51255" t="s">
        <v>16264</v>
      </c>
      <c r="B51255" t="str">
        <f>HYPERLINK("https://lindat.mff.cuni.cz/services/teitok/pdtc10/index.php?action=vallex&amp;frame=v-w7247f1", "upsat se (v-w7247f1)")</f>
        <v>upsat se (v-w7247f1)</v>
      </c>
    </row>
    <row r="51256" spans="1:4" x14ac:dyDescent="0.2">
      <c r="B51256" t="s">
        <v>1</v>
      </c>
    </row>
    <row r="51257" spans="1:4" x14ac:dyDescent="0.2">
      <c r="B51257" t="s">
        <v>16197</v>
      </c>
    </row>
    <row r="51258" spans="1:4" x14ac:dyDescent="0.2">
      <c r="B51258" t="s">
        <v>78</v>
      </c>
    </row>
    <row r="51260" spans="1:4" x14ac:dyDescent="0.2">
      <c r="A51260" t="s">
        <v>16265</v>
      </c>
      <c r="B51260" t="str">
        <f>HYPERLINK("https://lindat.mff.cuni.cz/services/teitok/pdtc10/index.php?action=vallex&amp;frame=v-w10600f2", "upustit (v-w10600f2)")</f>
        <v>upustit (v-w10600f2)</v>
      </c>
    </row>
    <row r="51261" spans="1:4" x14ac:dyDescent="0.2">
      <c r="B51261" t="s">
        <v>1</v>
      </c>
      <c r="C51261" t="s">
        <v>3580</v>
      </c>
      <c r="D51261" t="s">
        <v>23064</v>
      </c>
    </row>
    <row r="51262" spans="1:4" x14ac:dyDescent="0.2">
      <c r="B51262" t="s">
        <v>19</v>
      </c>
      <c r="C51262" t="s">
        <v>2750</v>
      </c>
      <c r="D51262" t="s">
        <v>23065</v>
      </c>
    </row>
    <row r="51264" spans="1:4" x14ac:dyDescent="0.2">
      <c r="A51264" t="s">
        <v>16266</v>
      </c>
      <c r="B51264" t="str">
        <f>HYPERLINK("https://lindat.mff.cuni.cz/services/teitok/pdtc10/index.php?action=vallex&amp;frame=v-w10600hsa_240", "upustit (v-w10600hsa_240)")</f>
        <v>upustit (v-w10600hsa_240)</v>
      </c>
    </row>
    <row r="51265" spans="1:2" x14ac:dyDescent="0.2">
      <c r="B51265" t="s">
        <v>1</v>
      </c>
    </row>
    <row r="51266" spans="1:2" x14ac:dyDescent="0.2">
      <c r="B51266" t="s">
        <v>8</v>
      </c>
    </row>
    <row r="51268" spans="1:2" x14ac:dyDescent="0.2">
      <c r="A51268" t="s">
        <v>16267</v>
      </c>
      <c r="B51268" t="str">
        <f>HYPERLINK("https://lindat.mff.cuni.cz/services/teitok/pdtc10/index.php?action=vallex&amp;frame=v-w7191f1", "upálit (v-w7191f1)")</f>
        <v>upálit (v-w7191f1)</v>
      </c>
    </row>
    <row r="51269" spans="1:2" x14ac:dyDescent="0.2">
      <c r="B51269" t="s">
        <v>1</v>
      </c>
    </row>
    <row r="51270" spans="1:2" x14ac:dyDescent="0.2">
      <c r="B51270" t="s">
        <v>8</v>
      </c>
    </row>
    <row r="51272" spans="1:2" x14ac:dyDescent="0.2">
      <c r="A51272" t="s">
        <v>16268</v>
      </c>
      <c r="B51272" t="str">
        <f>HYPERLINK("https://lindat.mff.cuni.cz/services/teitok/pdtc10/index.php?action=vallex&amp;frame=v-w7193f3_ZU", "upéci (v-w7193f3_ZU)")</f>
        <v>upéci (v-w7193f3_ZU)</v>
      </c>
    </row>
    <row r="51273" spans="1:2" x14ac:dyDescent="0.2">
      <c r="B51273" t="s">
        <v>1</v>
      </c>
    </row>
    <row r="51274" spans="1:2" x14ac:dyDescent="0.2">
      <c r="B51274" t="s">
        <v>8</v>
      </c>
    </row>
    <row r="51275" spans="1:2" x14ac:dyDescent="0.2">
      <c r="B51275" t="s">
        <v>24</v>
      </c>
    </row>
    <row r="51277" spans="1:2" x14ac:dyDescent="0.2">
      <c r="A51277" t="s">
        <v>16268</v>
      </c>
      <c r="B51277" t="str">
        <f>HYPERLINK("https://lindat.mff.cuni.cz/services/teitok/pdtc10/index.php?action=vallex&amp;frame=v-w7193f1", "upéci (v-w7193f1) - substituted with v-w7193f3_ZU")</f>
        <v>upéci (v-w7193f1) - substituted with v-w7193f3_ZU</v>
      </c>
    </row>
    <row r="51278" spans="1:2" x14ac:dyDescent="0.2">
      <c r="B51278" t="s">
        <v>1</v>
      </c>
    </row>
    <row r="51279" spans="1:2" x14ac:dyDescent="0.2">
      <c r="B51279" t="s">
        <v>8</v>
      </c>
    </row>
    <row r="51280" spans="1:2" x14ac:dyDescent="0.2">
      <c r="B51280" t="s">
        <v>24</v>
      </c>
    </row>
    <row r="51282" spans="1:4" x14ac:dyDescent="0.2">
      <c r="A51282" t="s">
        <v>16269</v>
      </c>
      <c r="B51282" t="str">
        <f>HYPERLINK("https://lindat.mff.cuni.cz/services/teitok/pdtc10/index.php?action=vallex&amp;frame=v-w7193f2", "upéci (v-w7193f2)")</f>
        <v>upéci (v-w7193f2)</v>
      </c>
    </row>
    <row r="51283" spans="1:4" x14ac:dyDescent="0.2">
      <c r="B51283" t="s">
        <v>1</v>
      </c>
    </row>
    <row r="51284" spans="1:4" x14ac:dyDescent="0.2">
      <c r="B51284" t="s">
        <v>8</v>
      </c>
    </row>
    <row r="51285" spans="1:4" x14ac:dyDescent="0.2">
      <c r="B51285" t="s">
        <v>24</v>
      </c>
    </row>
    <row r="51287" spans="1:4" x14ac:dyDescent="0.2">
      <c r="A51287" t="s">
        <v>16270</v>
      </c>
      <c r="B51287" t="str">
        <f>HYPERLINK("https://lindat.mff.cuni.cz/services/teitok/pdtc10/index.php?action=vallex&amp;frame=v-whsa_417hsa_418", "upíchnout se (v-whsa_417hsa_418)")</f>
        <v>upíchnout se (v-whsa_417hsa_418)</v>
      </c>
    </row>
    <row r="51288" spans="1:4" x14ac:dyDescent="0.2">
      <c r="B51288" t="s">
        <v>1</v>
      </c>
    </row>
    <row r="51289" spans="1:4" x14ac:dyDescent="0.2">
      <c r="B51289" t="s">
        <v>90</v>
      </c>
    </row>
    <row r="51291" spans="1:4" x14ac:dyDescent="0.2">
      <c r="A51291" t="s">
        <v>16271</v>
      </c>
      <c r="B51291" t="str">
        <f>HYPERLINK("https://lindat.mff.cuni.cz/services/teitok/pdtc10/index.php?action=vallex&amp;frame=v-w11060f2", "upíjet (v-w11060f2)")</f>
        <v>upíjet (v-w11060f2)</v>
      </c>
    </row>
    <row r="51292" spans="1:4" x14ac:dyDescent="0.2">
      <c r="B51292" t="s">
        <v>1</v>
      </c>
      <c r="C51292" t="s">
        <v>140</v>
      </c>
      <c r="D51292" t="s">
        <v>373</v>
      </c>
    </row>
    <row r="51293" spans="1:4" x14ac:dyDescent="0.2">
      <c r="B51293" t="s">
        <v>8</v>
      </c>
      <c r="C51293" t="s">
        <v>113</v>
      </c>
      <c r="D51293" t="s">
        <v>54</v>
      </c>
    </row>
    <row r="51295" spans="1:4" x14ac:dyDescent="0.2">
      <c r="A51295" t="s">
        <v>16272</v>
      </c>
      <c r="B51295" t="str">
        <f>HYPERLINK("https://lindat.mff.cuni.cz/services/teitok/pdtc10/index.php?action=vallex&amp;frame=v-w7200f1", "upínat se (v-w7200f1)")</f>
        <v>upínat se (v-w7200f1)</v>
      </c>
    </row>
    <row r="51296" spans="1:4" x14ac:dyDescent="0.2">
      <c r="B51296" t="s">
        <v>1</v>
      </c>
    </row>
    <row r="51297" spans="1:4" x14ac:dyDescent="0.2">
      <c r="B51297" t="s">
        <v>176</v>
      </c>
    </row>
    <row r="51299" spans="1:4" x14ac:dyDescent="0.2">
      <c r="A51299" t="s">
        <v>16273</v>
      </c>
      <c r="B51299" t="str">
        <f>HYPERLINK("https://lindat.mff.cuni.cz/services/teitok/pdtc10/index.php?action=vallex&amp;frame=v-w7201f1", "upírat (v-w7201f1)")</f>
        <v>upírat (v-w7201f1)</v>
      </c>
    </row>
    <row r="51300" spans="1:4" x14ac:dyDescent="0.2">
      <c r="B51300" t="s">
        <v>1</v>
      </c>
    </row>
    <row r="51301" spans="1:4" x14ac:dyDescent="0.2">
      <c r="B51301" t="s">
        <v>5074</v>
      </c>
      <c r="C51301" t="s">
        <v>3789</v>
      </c>
    </row>
    <row r="51302" spans="1:4" x14ac:dyDescent="0.2">
      <c r="B51302" t="s">
        <v>35</v>
      </c>
      <c r="C51302" t="s">
        <v>16274</v>
      </c>
    </row>
    <row r="51304" spans="1:4" x14ac:dyDescent="0.2">
      <c r="A51304" t="s">
        <v>16275</v>
      </c>
      <c r="B51304" t="str">
        <f>HYPERLINK("https://lindat.mff.cuni.cz/services/teitok/pdtc10/index.php?action=vallex&amp;frame=v-w7201f2_ZU", "upírat (v-w7201f2_ZU)")</f>
        <v>upírat (v-w7201f2_ZU)</v>
      </c>
    </row>
    <row r="51305" spans="1:4" x14ac:dyDescent="0.2">
      <c r="B51305" t="s">
        <v>1</v>
      </c>
      <c r="C51305" t="s">
        <v>133</v>
      </c>
      <c r="D51305" t="s">
        <v>23069</v>
      </c>
    </row>
    <row r="51306" spans="1:4" x14ac:dyDescent="0.2">
      <c r="B51306" t="s">
        <v>8</v>
      </c>
      <c r="C51306" t="s">
        <v>4676</v>
      </c>
      <c r="D51306" t="s">
        <v>23070</v>
      </c>
    </row>
    <row r="51307" spans="1:4" x14ac:dyDescent="0.2">
      <c r="B51307" t="s">
        <v>6008</v>
      </c>
      <c r="C51307" t="s">
        <v>16276</v>
      </c>
      <c r="D51307" t="s">
        <v>23071</v>
      </c>
    </row>
    <row r="51309" spans="1:4" x14ac:dyDescent="0.2">
      <c r="A51309" t="s">
        <v>16277</v>
      </c>
      <c r="B51309" t="str">
        <f>HYPERLINK("https://lindat.mff.cuni.cz/services/teitok/pdtc10/index.php?action=vallex&amp;frame=v-whsa_1213hsa_1214", "upít (v-whsa_1213hsa_1214)")</f>
        <v>upít (v-whsa_1213hsa_1214)</v>
      </c>
    </row>
    <row r="51310" spans="1:4" x14ac:dyDescent="0.2">
      <c r="B51310" t="s">
        <v>1</v>
      </c>
    </row>
    <row r="51311" spans="1:4" x14ac:dyDescent="0.2">
      <c r="B51311" t="s">
        <v>968</v>
      </c>
    </row>
    <row r="51313" spans="1:4" x14ac:dyDescent="0.2">
      <c r="A51313" t="s">
        <v>16278</v>
      </c>
      <c r="B51313" t="str">
        <f>HYPERLINK("https://lindat.mff.cuni.cz/services/teitok/pdtc10/index.php?action=vallex&amp;frame=v-w7205f1", "upít se (v-w7205f1)")</f>
        <v>upít se (v-w7205f1)</v>
      </c>
    </row>
    <row r="51314" spans="1:4" x14ac:dyDescent="0.2">
      <c r="B51314" t="s">
        <v>1</v>
      </c>
    </row>
    <row r="51315" spans="1:4" x14ac:dyDescent="0.2">
      <c r="B51315" t="s">
        <v>1471</v>
      </c>
    </row>
    <row r="51317" spans="1:4" x14ac:dyDescent="0.2">
      <c r="A51317" t="s">
        <v>16279</v>
      </c>
      <c r="B51317" t="str">
        <f>HYPERLINK("https://lindat.mff.cuni.cz/services/teitok/pdtc10/index.php?action=vallex&amp;frame=v-w11081f2", "upřednostnit (v-w11081f2)")</f>
        <v>upřednostnit (v-w11081f2)</v>
      </c>
    </row>
    <row r="51318" spans="1:4" x14ac:dyDescent="0.2">
      <c r="B51318" t="s">
        <v>1</v>
      </c>
      <c r="C51318" t="s">
        <v>2566</v>
      </c>
      <c r="D51318" t="s">
        <v>23274</v>
      </c>
    </row>
    <row r="51319" spans="1:4" x14ac:dyDescent="0.2">
      <c r="B51319" t="s">
        <v>228</v>
      </c>
      <c r="C51319" t="s">
        <v>3736</v>
      </c>
      <c r="D51319" t="s">
        <v>3736</v>
      </c>
    </row>
    <row r="51320" spans="1:4" x14ac:dyDescent="0.2">
      <c r="B51320" t="s">
        <v>7530</v>
      </c>
      <c r="C51320" t="s">
        <v>9620</v>
      </c>
      <c r="D51320" t="s">
        <v>9620</v>
      </c>
    </row>
    <row r="51322" spans="1:4" x14ac:dyDescent="0.2">
      <c r="A51322" t="s">
        <v>16280</v>
      </c>
      <c r="B51322" t="str">
        <f>HYPERLINK("https://lindat.mff.cuni.cz/services/teitok/pdtc10/index.php?action=vallex&amp;frame=v-w7241f1", "upřednostňovat (v-w7241f1)")</f>
        <v>upřednostňovat (v-w7241f1)</v>
      </c>
    </row>
    <row r="51323" spans="1:4" x14ac:dyDescent="0.2">
      <c r="B51323" t="s">
        <v>1</v>
      </c>
      <c r="C51323" t="s">
        <v>16281</v>
      </c>
      <c r="D51323" t="s">
        <v>23274</v>
      </c>
    </row>
    <row r="51324" spans="1:4" x14ac:dyDescent="0.2">
      <c r="B51324" t="s">
        <v>8</v>
      </c>
      <c r="C51324" t="s">
        <v>4079</v>
      </c>
      <c r="D51324" t="s">
        <v>3736</v>
      </c>
    </row>
    <row r="51325" spans="1:4" x14ac:dyDescent="0.2">
      <c r="B51325" t="s">
        <v>7530</v>
      </c>
      <c r="C51325" t="s">
        <v>9620</v>
      </c>
      <c r="D51325" t="s">
        <v>9620</v>
      </c>
    </row>
    <row r="51327" spans="1:4" x14ac:dyDescent="0.2">
      <c r="A51327" t="s">
        <v>16282</v>
      </c>
      <c r="B51327" t="str">
        <f>HYPERLINK("https://lindat.mff.cuni.cz/services/teitok/pdtc10/index.php?action=vallex&amp;frame=v-w7243f1", "upřesnit (v-w7243f1)")</f>
        <v>upřesnit (v-w7243f1)</v>
      </c>
    </row>
    <row r="51328" spans="1:4" x14ac:dyDescent="0.2">
      <c r="B51328" t="s">
        <v>1</v>
      </c>
      <c r="C51328" t="s">
        <v>3637</v>
      </c>
      <c r="D51328" t="s">
        <v>5475</v>
      </c>
    </row>
    <row r="51329" spans="1:4" x14ac:dyDescent="0.2">
      <c r="B51329" t="s">
        <v>2158</v>
      </c>
      <c r="C51329" t="s">
        <v>16283</v>
      </c>
      <c r="D51329" t="s">
        <v>1798</v>
      </c>
    </row>
    <row r="51331" spans="1:4" x14ac:dyDescent="0.2">
      <c r="A51331" t="s">
        <v>16284</v>
      </c>
      <c r="B51331" t="str">
        <f>HYPERLINK("https://lindat.mff.cuni.cz/services/teitok/pdtc10/index.php?action=vallex&amp;frame=v-w7244f1", "upřesňovat (v-w7244f1)")</f>
        <v>upřesňovat (v-w7244f1)</v>
      </c>
    </row>
    <row r="51332" spans="1:4" x14ac:dyDescent="0.2">
      <c r="B51332" t="s">
        <v>1</v>
      </c>
      <c r="C51332" t="s">
        <v>2303</v>
      </c>
      <c r="D51332" t="s">
        <v>5475</v>
      </c>
    </row>
    <row r="51333" spans="1:4" x14ac:dyDescent="0.2">
      <c r="B51333" t="s">
        <v>2158</v>
      </c>
      <c r="C51333" t="s">
        <v>110</v>
      </c>
      <c r="D51333" t="s">
        <v>1798</v>
      </c>
    </row>
    <row r="51335" spans="1:4" x14ac:dyDescent="0.2">
      <c r="A51335" t="s">
        <v>16285</v>
      </c>
      <c r="B51335" t="str">
        <f>HYPERLINK("https://lindat.mff.cuni.cz/services/teitok/pdtc10/index.php?action=vallex&amp;frame=v-w7245f1", "upřít (v-w7245f1)")</f>
        <v>upřít (v-w7245f1)</v>
      </c>
    </row>
    <row r="51336" spans="1:4" x14ac:dyDescent="0.2">
      <c r="B51336" t="s">
        <v>1</v>
      </c>
      <c r="C51336" t="s">
        <v>16286</v>
      </c>
    </row>
    <row r="51337" spans="1:4" x14ac:dyDescent="0.2">
      <c r="B51337" t="s">
        <v>41</v>
      </c>
      <c r="C51337" t="s">
        <v>16287</v>
      </c>
    </row>
    <row r="51338" spans="1:4" x14ac:dyDescent="0.2">
      <c r="B51338" t="s">
        <v>35</v>
      </c>
      <c r="C51338" t="s">
        <v>2488</v>
      </c>
    </row>
    <row r="51340" spans="1:4" x14ac:dyDescent="0.2">
      <c r="A51340" t="s">
        <v>16288</v>
      </c>
      <c r="B51340" t="str">
        <f>HYPERLINK("https://lindat.mff.cuni.cz/services/teitok/pdtc10/index.php?action=vallex&amp;frame=v-w7245f2", "upřít (v-w7245f2)")</f>
        <v>upřít (v-w7245f2)</v>
      </c>
    </row>
    <row r="51341" spans="1:4" x14ac:dyDescent="0.2">
      <c r="B51341" t="s">
        <v>1</v>
      </c>
    </row>
    <row r="51342" spans="1:4" x14ac:dyDescent="0.2">
      <c r="B51342" t="s">
        <v>16289</v>
      </c>
    </row>
    <row r="51343" spans="1:4" x14ac:dyDescent="0.2">
      <c r="B51343" t="s">
        <v>90</v>
      </c>
    </row>
    <row r="51345" spans="1:4" x14ac:dyDescent="0.2">
      <c r="A51345" t="s">
        <v>16290</v>
      </c>
      <c r="B51345" t="str">
        <f>HYPERLINK("https://lindat.mff.cuni.cz/services/teitok/pdtc10/index.php?action=vallex&amp;frame=v-w7249f1", "urazit (v-w7249f1)")</f>
        <v>urazit (v-w7249f1)</v>
      </c>
    </row>
    <row r="51346" spans="1:4" x14ac:dyDescent="0.2">
      <c r="B51346" t="s">
        <v>1</v>
      </c>
      <c r="C51346" t="s">
        <v>430</v>
      </c>
      <c r="D51346" t="s">
        <v>249</v>
      </c>
    </row>
    <row r="51347" spans="1:4" x14ac:dyDescent="0.2">
      <c r="B51347" t="s">
        <v>8</v>
      </c>
      <c r="C51347" t="s">
        <v>1190</v>
      </c>
      <c r="D51347" t="s">
        <v>54</v>
      </c>
    </row>
    <row r="51349" spans="1:4" x14ac:dyDescent="0.2">
      <c r="A51349" t="s">
        <v>16291</v>
      </c>
      <c r="B51349" t="str">
        <f>HYPERLINK("https://lindat.mff.cuni.cz/services/teitok/pdtc10/index.php?action=vallex&amp;frame=v-w7249f2", "urazit (v-w7249f2)")</f>
        <v>urazit (v-w7249f2)</v>
      </c>
    </row>
    <row r="51350" spans="1:4" x14ac:dyDescent="0.2">
      <c r="B51350" t="s">
        <v>1</v>
      </c>
    </row>
    <row r="51351" spans="1:4" x14ac:dyDescent="0.2">
      <c r="B51351" t="s">
        <v>8</v>
      </c>
    </row>
    <row r="51353" spans="1:4" x14ac:dyDescent="0.2">
      <c r="A51353" t="s">
        <v>16292</v>
      </c>
      <c r="B51353" t="str">
        <f>HYPERLINK("https://lindat.mff.cuni.cz/services/teitok/pdtc10/index.php?action=vallex&amp;frame=v-w7249f3", "urazit (v-w7249f3)")</f>
        <v>urazit (v-w7249f3)</v>
      </c>
    </row>
    <row r="51354" spans="1:4" x14ac:dyDescent="0.2">
      <c r="B51354" t="s">
        <v>1</v>
      </c>
    </row>
    <row r="51355" spans="1:4" x14ac:dyDescent="0.2">
      <c r="B51355" t="s">
        <v>8</v>
      </c>
    </row>
    <row r="51357" spans="1:4" x14ac:dyDescent="0.2">
      <c r="A51357" t="s">
        <v>16293</v>
      </c>
      <c r="B51357" t="str">
        <f>HYPERLINK("https://lindat.mff.cuni.cz/services/teitok/pdtc10/index.php?action=vallex&amp;frame=v-w7250f1", "urazit se (v-w7250f1)")</f>
        <v>urazit se (v-w7250f1)</v>
      </c>
    </row>
    <row r="51358" spans="1:4" x14ac:dyDescent="0.2">
      <c r="B51358" t="s">
        <v>1</v>
      </c>
    </row>
    <row r="51360" spans="1:4" x14ac:dyDescent="0.2">
      <c r="A51360" t="s">
        <v>16294</v>
      </c>
      <c r="B51360" t="str">
        <f>HYPERLINK("https://lindat.mff.cuni.cz/services/teitok/pdtc10/index.php?action=vallex&amp;frame=v-w7259f1", "urgovat (v-w7259f1)")</f>
        <v>urgovat (v-w7259f1)</v>
      </c>
    </row>
    <row r="51361" spans="1:4" x14ac:dyDescent="0.2">
      <c r="B51361" t="s">
        <v>1</v>
      </c>
      <c r="D51361" t="s">
        <v>24278</v>
      </c>
    </row>
    <row r="51362" spans="1:4" x14ac:dyDescent="0.2">
      <c r="B51362" t="s">
        <v>8</v>
      </c>
      <c r="D51362" t="s">
        <v>24279</v>
      </c>
    </row>
    <row r="51364" spans="1:4" x14ac:dyDescent="0.2">
      <c r="A51364" t="s">
        <v>16295</v>
      </c>
      <c r="B51364" t="str">
        <f>HYPERLINK("https://lindat.mff.cuni.cz/services/teitok/pdtc10/index.php?action=vallex&amp;frame=v-whsa_390hsa_391", "urodit se (v-whsa_390hsa_391)")</f>
        <v>urodit se (v-whsa_390hsa_391)</v>
      </c>
    </row>
    <row r="51365" spans="1:4" x14ac:dyDescent="0.2">
      <c r="B51365" t="s">
        <v>1</v>
      </c>
    </row>
    <row r="51367" spans="1:4" x14ac:dyDescent="0.2">
      <c r="A51367" t="s">
        <v>16296</v>
      </c>
      <c r="B51367" t="str">
        <f>HYPERLINK("https://lindat.mff.cuni.cz/services/teitok/pdtc10/index.php?action=vallex&amp;frame=v-whsa_1894f1_ZU", "uronit (v-whsa_1894f1_ZU)")</f>
        <v>uronit (v-whsa_1894f1_ZU)</v>
      </c>
    </row>
    <row r="51368" spans="1:4" x14ac:dyDescent="0.2">
      <c r="B51368" t="s">
        <v>1</v>
      </c>
    </row>
    <row r="51369" spans="1:4" x14ac:dyDescent="0.2">
      <c r="B51369" t="s">
        <v>16297</v>
      </c>
    </row>
    <row r="51371" spans="1:4" x14ac:dyDescent="0.2">
      <c r="A51371" t="s">
        <v>16296</v>
      </c>
      <c r="B51371" t="str">
        <f>HYPERLINK("https://lindat.mff.cuni.cz/services/teitok/pdtc10/index.php?action=vallex&amp;frame=v-whsa_1894hsa_1895", "uronit (v-whsa_1894hsa_1895) - substituted with v-whsa_1894f1_ZU")</f>
        <v>uronit (v-whsa_1894hsa_1895) - substituted with v-whsa_1894f1_ZU</v>
      </c>
    </row>
    <row r="51372" spans="1:4" x14ac:dyDescent="0.2">
      <c r="B51372" t="s">
        <v>1</v>
      </c>
    </row>
    <row r="51373" spans="1:4" x14ac:dyDescent="0.2">
      <c r="B51373" t="s">
        <v>16297</v>
      </c>
    </row>
    <row r="51375" spans="1:4" x14ac:dyDescent="0.2">
      <c r="A51375" t="s">
        <v>16298</v>
      </c>
      <c r="B51375" t="str">
        <f>HYPERLINK("https://lindat.mff.cuni.cz/services/teitok/pdtc10/index.php?action=vallex&amp;frame=v-w7265f2_ZU", "urovnat (v-w7265f2_ZU)")</f>
        <v>urovnat (v-w7265f2_ZU)</v>
      </c>
    </row>
    <row r="51376" spans="1:4" x14ac:dyDescent="0.2">
      <c r="B51376" t="s">
        <v>1</v>
      </c>
      <c r="D51376" t="s">
        <v>24280</v>
      </c>
    </row>
    <row r="51377" spans="1:4" x14ac:dyDescent="0.2">
      <c r="B51377" t="s">
        <v>8</v>
      </c>
      <c r="D51377" t="s">
        <v>24281</v>
      </c>
    </row>
    <row r="51379" spans="1:4" x14ac:dyDescent="0.2">
      <c r="A51379" t="s">
        <v>16298</v>
      </c>
      <c r="B51379" t="str">
        <f>HYPERLINK("https://lindat.mff.cuni.cz/services/teitok/pdtc10/index.php?action=vallex&amp;frame=v-w7265f1", "urovnat (v-w7265f1) - substituted with v-w7265f2_ZU")</f>
        <v>urovnat (v-w7265f1) - substituted with v-w7265f2_ZU</v>
      </c>
    </row>
    <row r="51380" spans="1:4" x14ac:dyDescent="0.2">
      <c r="B51380" t="s">
        <v>1</v>
      </c>
      <c r="C51380" t="s">
        <v>5475</v>
      </c>
    </row>
    <row r="51381" spans="1:4" x14ac:dyDescent="0.2">
      <c r="B51381" t="s">
        <v>8</v>
      </c>
      <c r="C51381" t="s">
        <v>16299</v>
      </c>
    </row>
    <row r="51383" spans="1:4" x14ac:dyDescent="0.2">
      <c r="A51383" t="s">
        <v>16300</v>
      </c>
      <c r="B51383" t="str">
        <f>HYPERLINK("https://lindat.mff.cuni.cz/services/teitok/pdtc10/index.php?action=vallex&amp;frame=v-whsa_20hsa_21", "urovnávat (v-whsa_20hsa_21)")</f>
        <v>urovnávat (v-whsa_20hsa_21)</v>
      </c>
    </row>
    <row r="51384" spans="1:4" x14ac:dyDescent="0.2">
      <c r="B51384" t="s">
        <v>1</v>
      </c>
      <c r="C51384" t="s">
        <v>1065</v>
      </c>
      <c r="D51384" t="s">
        <v>4082</v>
      </c>
    </row>
    <row r="51385" spans="1:4" x14ac:dyDescent="0.2">
      <c r="B51385" t="s">
        <v>8</v>
      </c>
      <c r="C51385" t="s">
        <v>11355</v>
      </c>
      <c r="D51385" t="s">
        <v>23406</v>
      </c>
    </row>
    <row r="51387" spans="1:4" x14ac:dyDescent="0.2">
      <c r="A51387" t="s">
        <v>16301</v>
      </c>
      <c r="B51387" t="str">
        <f>HYPERLINK("https://lindat.mff.cuni.cz/services/teitok/pdtc10/index.php?action=vallex&amp;frame=v-w10481f2", "urvat (v-w10481f2)")</f>
        <v>urvat (v-w10481f2)</v>
      </c>
    </row>
    <row r="51388" spans="1:4" x14ac:dyDescent="0.2">
      <c r="B51388" t="s">
        <v>1</v>
      </c>
    </row>
    <row r="51389" spans="1:4" x14ac:dyDescent="0.2">
      <c r="B51389" t="s">
        <v>8</v>
      </c>
    </row>
    <row r="51390" spans="1:4" x14ac:dyDescent="0.2">
      <c r="B51390" t="s">
        <v>24</v>
      </c>
    </row>
    <row r="51392" spans="1:4" x14ac:dyDescent="0.2">
      <c r="A51392" t="s">
        <v>16302</v>
      </c>
      <c r="B51392" t="str">
        <f>HYPERLINK("https://lindat.mff.cuni.cz/services/teitok/pdtc10/index.php?action=vallex&amp;frame=v-w7267f1", "urychlit (v-w7267f1)")</f>
        <v>urychlit (v-w7267f1)</v>
      </c>
    </row>
    <row r="51393" spans="1:4" x14ac:dyDescent="0.2">
      <c r="B51393" t="s">
        <v>1</v>
      </c>
      <c r="C51393" t="s">
        <v>16303</v>
      </c>
      <c r="D51393" t="s">
        <v>23837</v>
      </c>
    </row>
    <row r="51394" spans="1:4" x14ac:dyDescent="0.2">
      <c r="B51394" t="s">
        <v>8</v>
      </c>
      <c r="C51394" t="s">
        <v>16304</v>
      </c>
      <c r="D51394" t="s">
        <v>7118</v>
      </c>
    </row>
    <row r="51395" spans="1:4" x14ac:dyDescent="0.2">
      <c r="B51395" t="s">
        <v>24</v>
      </c>
    </row>
    <row r="51396" spans="1:4" x14ac:dyDescent="0.2">
      <c r="B51396" t="s">
        <v>61</v>
      </c>
    </row>
    <row r="51398" spans="1:4" x14ac:dyDescent="0.2">
      <c r="A51398" t="s">
        <v>16305</v>
      </c>
      <c r="B51398" t="str">
        <f>HYPERLINK("https://lindat.mff.cuni.cz/services/teitok/pdtc10/index.php?action=vallex&amp;frame=v-w7268f1", "urychlovat (v-w7268f1)")</f>
        <v>urychlovat (v-w7268f1)</v>
      </c>
    </row>
    <row r="51399" spans="1:4" x14ac:dyDescent="0.2">
      <c r="B51399" t="s">
        <v>1</v>
      </c>
      <c r="C51399" t="s">
        <v>1805</v>
      </c>
      <c r="D51399" t="s">
        <v>23837</v>
      </c>
    </row>
    <row r="51400" spans="1:4" x14ac:dyDescent="0.2">
      <c r="B51400" t="s">
        <v>8</v>
      </c>
      <c r="C51400" t="s">
        <v>10242</v>
      </c>
      <c r="D51400" t="s">
        <v>7118</v>
      </c>
    </row>
    <row r="51401" spans="1:4" x14ac:dyDescent="0.2">
      <c r="B51401" t="s">
        <v>24</v>
      </c>
    </row>
    <row r="51402" spans="1:4" x14ac:dyDescent="0.2">
      <c r="B51402" t="s">
        <v>61</v>
      </c>
    </row>
    <row r="51404" spans="1:4" x14ac:dyDescent="0.2">
      <c r="A51404" t="s">
        <v>16306</v>
      </c>
      <c r="B51404" t="str">
        <f>HYPERLINK("https://lindat.mff.cuni.cz/services/teitok/pdtc10/index.php?action=vallex&amp;frame=v-w7251f1", "urážet (v-w7251f1)")</f>
        <v>urážet (v-w7251f1)</v>
      </c>
    </row>
    <row r="51405" spans="1:4" x14ac:dyDescent="0.2">
      <c r="B51405" t="s">
        <v>1</v>
      </c>
      <c r="C51405" t="s">
        <v>249</v>
      </c>
      <c r="D51405" t="s">
        <v>249</v>
      </c>
    </row>
    <row r="51406" spans="1:4" x14ac:dyDescent="0.2">
      <c r="B51406" t="s">
        <v>8</v>
      </c>
      <c r="C51406" t="s">
        <v>23</v>
      </c>
      <c r="D51406" t="s">
        <v>54</v>
      </c>
    </row>
    <row r="51408" spans="1:4" x14ac:dyDescent="0.2">
      <c r="A51408" t="s">
        <v>16307</v>
      </c>
      <c r="B51408" t="str">
        <f>HYPERLINK("https://lindat.mff.cuni.cz/services/teitok/pdtc10/index.php?action=vallex&amp;frame=v-w7251f2", "urážet (v-w7251f2)")</f>
        <v>urážet (v-w7251f2)</v>
      </c>
    </row>
    <row r="51409" spans="1:3" x14ac:dyDescent="0.2">
      <c r="B51409" t="s">
        <v>1</v>
      </c>
    </row>
    <row r="51410" spans="1:3" x14ac:dyDescent="0.2">
      <c r="B51410" t="s">
        <v>8</v>
      </c>
    </row>
    <row r="51412" spans="1:3" x14ac:dyDescent="0.2">
      <c r="A51412" t="s">
        <v>16308</v>
      </c>
      <c r="B51412" t="str">
        <f>HYPERLINK("https://lindat.mff.cuni.cz/services/teitok/pdtc10/index.php?action=vallex&amp;frame=v-w7255f8_ZU", "určit (v-w7255f8_ZU)")</f>
        <v>určit (v-w7255f8_ZU)</v>
      </c>
    </row>
    <row r="51413" spans="1:3" x14ac:dyDescent="0.2">
      <c r="B51413" t="s">
        <v>1</v>
      </c>
    </row>
    <row r="51414" spans="1:3" x14ac:dyDescent="0.2">
      <c r="B51414" t="s">
        <v>41</v>
      </c>
    </row>
    <row r="51415" spans="1:3" x14ac:dyDescent="0.2">
      <c r="B51415" t="s">
        <v>78</v>
      </c>
    </row>
    <row r="51416" spans="1:3" x14ac:dyDescent="0.2">
      <c r="B51416" t="s">
        <v>2491</v>
      </c>
    </row>
    <row r="51418" spans="1:3" x14ac:dyDescent="0.2">
      <c r="A51418" t="s">
        <v>16308</v>
      </c>
      <c r="B51418" t="str">
        <f>HYPERLINK("https://lindat.mff.cuni.cz/services/teitok/pdtc10/index.php?action=vallex&amp;frame=v-w7255f5", "určit (v-w7255f5) - substituted with v-w7255f8_ZU")</f>
        <v>určit (v-w7255f5) - substituted with v-w7255f8_ZU</v>
      </c>
    </row>
    <row r="51419" spans="1:3" x14ac:dyDescent="0.2">
      <c r="B51419" t="s">
        <v>1</v>
      </c>
      <c r="C51419" t="s">
        <v>16309</v>
      </c>
    </row>
    <row r="51420" spans="1:3" x14ac:dyDescent="0.2">
      <c r="B51420" t="s">
        <v>41</v>
      </c>
      <c r="C51420" t="s">
        <v>16310</v>
      </c>
    </row>
    <row r="51421" spans="1:3" x14ac:dyDescent="0.2">
      <c r="B51421" t="s">
        <v>78</v>
      </c>
    </row>
    <row r="51422" spans="1:3" x14ac:dyDescent="0.2">
      <c r="B51422" t="s">
        <v>2491</v>
      </c>
    </row>
    <row r="51424" spans="1:3" x14ac:dyDescent="0.2">
      <c r="A51424" t="s">
        <v>16311</v>
      </c>
      <c r="B51424" t="str">
        <f>HYPERLINK("https://lindat.mff.cuni.cz/services/teitok/pdtc10/index.php?action=vallex&amp;frame=v-w7255f3", "určit (v-w7255f3)")</f>
        <v>určit (v-w7255f3)</v>
      </c>
    </row>
    <row r="51425" spans="1:4" x14ac:dyDescent="0.2">
      <c r="B51425" t="s">
        <v>1</v>
      </c>
      <c r="C51425" t="s">
        <v>5475</v>
      </c>
      <c r="D51425" t="s">
        <v>2125</v>
      </c>
    </row>
    <row r="51426" spans="1:4" x14ac:dyDescent="0.2">
      <c r="B51426" t="s">
        <v>1921</v>
      </c>
      <c r="C51426" t="s">
        <v>16312</v>
      </c>
      <c r="D51426" t="s">
        <v>7362</v>
      </c>
    </row>
    <row r="51427" spans="1:4" x14ac:dyDescent="0.2">
      <c r="B51427" t="s">
        <v>2542</v>
      </c>
      <c r="C51427" t="s">
        <v>16313</v>
      </c>
      <c r="D51427" t="s">
        <v>1255</v>
      </c>
    </row>
    <row r="51429" spans="1:4" x14ac:dyDescent="0.2">
      <c r="A51429" t="s">
        <v>16314</v>
      </c>
      <c r="B51429" t="str">
        <f>HYPERLINK("https://lindat.mff.cuni.cz/services/teitok/pdtc10/index.php?action=vallex&amp;frame=v-w7255f6", "určit (v-w7255f6)")</f>
        <v>určit (v-w7255f6)</v>
      </c>
    </row>
    <row r="51430" spans="1:4" x14ac:dyDescent="0.2">
      <c r="B51430" t="s">
        <v>1</v>
      </c>
      <c r="D51430" t="s">
        <v>23069</v>
      </c>
    </row>
    <row r="51431" spans="1:4" x14ac:dyDescent="0.2">
      <c r="B51431" t="s">
        <v>8</v>
      </c>
      <c r="D51431" t="s">
        <v>23070</v>
      </c>
    </row>
    <row r="51432" spans="1:4" x14ac:dyDescent="0.2">
      <c r="B51432" t="s">
        <v>88</v>
      </c>
      <c r="D51432" t="s">
        <v>23619</v>
      </c>
    </row>
    <row r="51434" spans="1:4" x14ac:dyDescent="0.2">
      <c r="A51434" t="s">
        <v>16315</v>
      </c>
      <c r="B51434" t="str">
        <f>HYPERLINK("https://lindat.mff.cuni.cz/services/teitok/pdtc10/index.php?action=vallex&amp;frame=v-w7255f4", "určit (v-w7255f4)")</f>
        <v>určit (v-w7255f4)</v>
      </c>
    </row>
    <row r="51435" spans="1:4" x14ac:dyDescent="0.2">
      <c r="B51435" t="s">
        <v>1</v>
      </c>
    </row>
    <row r="51436" spans="1:4" x14ac:dyDescent="0.2">
      <c r="B51436" t="s">
        <v>8</v>
      </c>
    </row>
    <row r="51437" spans="1:4" x14ac:dyDescent="0.2">
      <c r="B51437" t="s">
        <v>16316</v>
      </c>
    </row>
    <row r="51439" spans="1:4" x14ac:dyDescent="0.2">
      <c r="A51439" t="s">
        <v>16317</v>
      </c>
      <c r="B51439" t="str">
        <f>HYPERLINK("https://lindat.mff.cuni.cz/services/teitok/pdtc10/index.php?action=vallex&amp;frame=v-w7255f1", "určit (v-w7255f1)")</f>
        <v>určit (v-w7255f1)</v>
      </c>
    </row>
    <row r="51440" spans="1:4" x14ac:dyDescent="0.2">
      <c r="B51440" t="s">
        <v>1</v>
      </c>
      <c r="C51440" t="s">
        <v>16318</v>
      </c>
      <c r="D51440" t="s">
        <v>24282</v>
      </c>
    </row>
    <row r="51441" spans="1:4" x14ac:dyDescent="0.2">
      <c r="B51441" t="s">
        <v>8</v>
      </c>
      <c r="C51441" t="s">
        <v>16319</v>
      </c>
      <c r="D51441" t="s">
        <v>24283</v>
      </c>
    </row>
    <row r="51442" spans="1:4" x14ac:dyDescent="0.2">
      <c r="B51442" t="s">
        <v>61</v>
      </c>
      <c r="C51442" t="s">
        <v>16320</v>
      </c>
      <c r="D51442" t="s">
        <v>23044</v>
      </c>
    </row>
    <row r="51444" spans="1:4" x14ac:dyDescent="0.2">
      <c r="A51444" t="s">
        <v>16321</v>
      </c>
      <c r="B51444" t="str">
        <f>HYPERLINK("https://lindat.mff.cuni.cz/services/teitok/pdtc10/index.php?action=vallex&amp;frame=v-w7255f2", "určit (v-w7255f2)")</f>
        <v>určit (v-w7255f2)</v>
      </c>
    </row>
    <row r="51445" spans="1:4" x14ac:dyDescent="0.2">
      <c r="B51445" t="s">
        <v>1</v>
      </c>
      <c r="C51445" t="s">
        <v>6459</v>
      </c>
      <c r="D51445" t="s">
        <v>24284</v>
      </c>
    </row>
    <row r="51446" spans="1:4" x14ac:dyDescent="0.2">
      <c r="B51446" t="s">
        <v>7150</v>
      </c>
      <c r="C51446" t="s">
        <v>16322</v>
      </c>
      <c r="D51446" t="s">
        <v>24285</v>
      </c>
    </row>
    <row r="51448" spans="1:4" x14ac:dyDescent="0.2">
      <c r="A51448" t="s">
        <v>16323</v>
      </c>
      <c r="B51448" t="str">
        <f>HYPERLINK("https://lindat.mff.cuni.cz/services/teitok/pdtc10/index.php?action=vallex&amp;frame=v-w7255f7_ZU", "určit (v-w7255f7_ZU)")</f>
        <v>určit (v-w7255f7_ZU)</v>
      </c>
    </row>
    <row r="51449" spans="1:4" x14ac:dyDescent="0.2">
      <c r="B51449" t="s">
        <v>1</v>
      </c>
      <c r="C51449" t="s">
        <v>16324</v>
      </c>
      <c r="D51449" t="s">
        <v>23261</v>
      </c>
    </row>
    <row r="51450" spans="1:4" x14ac:dyDescent="0.2">
      <c r="B51450" t="s">
        <v>172</v>
      </c>
      <c r="C51450" t="s">
        <v>16325</v>
      </c>
      <c r="D51450" t="s">
        <v>9548</v>
      </c>
    </row>
    <row r="51452" spans="1:4" x14ac:dyDescent="0.2">
      <c r="A51452" t="s">
        <v>16326</v>
      </c>
      <c r="B51452" t="str">
        <f>HYPERLINK("https://lindat.mff.cuni.cz/services/teitok/pdtc10/index.php?action=vallex&amp;frame=v-w7257f5", "určovat (v-w7257f5)")</f>
        <v>určovat (v-w7257f5)</v>
      </c>
    </row>
    <row r="51453" spans="1:4" x14ac:dyDescent="0.2">
      <c r="B51453" t="s">
        <v>1</v>
      </c>
    </row>
    <row r="51454" spans="1:4" x14ac:dyDescent="0.2">
      <c r="B51454" t="s">
        <v>5069</v>
      </c>
    </row>
    <row r="51455" spans="1:4" x14ac:dyDescent="0.2">
      <c r="B51455" t="s">
        <v>78</v>
      </c>
    </row>
    <row r="51456" spans="1:4" x14ac:dyDescent="0.2">
      <c r="B51456" t="s">
        <v>2491</v>
      </c>
    </row>
    <row r="51458" spans="1:4" x14ac:dyDescent="0.2">
      <c r="A51458" t="s">
        <v>16327</v>
      </c>
      <c r="B51458" t="str">
        <f>HYPERLINK("https://lindat.mff.cuni.cz/services/teitok/pdtc10/index.php?action=vallex&amp;frame=v-w7257f2", "určovat (v-w7257f2)")</f>
        <v>určovat (v-w7257f2)</v>
      </c>
    </row>
    <row r="51459" spans="1:4" x14ac:dyDescent="0.2">
      <c r="B51459" t="s">
        <v>1</v>
      </c>
      <c r="D51459" t="s">
        <v>23069</v>
      </c>
    </row>
    <row r="51460" spans="1:4" x14ac:dyDescent="0.2">
      <c r="B51460" t="s">
        <v>1921</v>
      </c>
      <c r="D51460" t="s">
        <v>23070</v>
      </c>
    </row>
    <row r="51461" spans="1:4" x14ac:dyDescent="0.2">
      <c r="B51461" t="s">
        <v>2542</v>
      </c>
      <c r="D51461" t="s">
        <v>23619</v>
      </c>
    </row>
    <row r="51463" spans="1:4" x14ac:dyDescent="0.2">
      <c r="A51463" t="s">
        <v>16328</v>
      </c>
      <c r="B51463" t="str">
        <f>HYPERLINK("https://lindat.mff.cuni.cz/services/teitok/pdtc10/index.php?action=vallex&amp;frame=v-w7257f3", "určovat (v-w7257f3)")</f>
        <v>určovat (v-w7257f3)</v>
      </c>
    </row>
    <row r="51464" spans="1:4" x14ac:dyDescent="0.2">
      <c r="B51464" t="s">
        <v>1</v>
      </c>
    </row>
    <row r="51465" spans="1:4" x14ac:dyDescent="0.2">
      <c r="B51465" t="s">
        <v>8</v>
      </c>
    </row>
    <row r="51466" spans="1:4" x14ac:dyDescent="0.2">
      <c r="B51466" t="s">
        <v>16316</v>
      </c>
    </row>
    <row r="51468" spans="1:4" x14ac:dyDescent="0.2">
      <c r="A51468" t="s">
        <v>16329</v>
      </c>
      <c r="B51468" t="str">
        <f>HYPERLINK("https://lindat.mff.cuni.cz/services/teitok/pdtc10/index.php?action=vallex&amp;frame=v-w7257f4", "určovat (v-w7257f4)")</f>
        <v>určovat (v-w7257f4)</v>
      </c>
    </row>
    <row r="51469" spans="1:4" x14ac:dyDescent="0.2">
      <c r="B51469" t="s">
        <v>1</v>
      </c>
      <c r="C51469" t="s">
        <v>5974</v>
      </c>
      <c r="D51469" t="s">
        <v>24282</v>
      </c>
    </row>
    <row r="51470" spans="1:4" x14ac:dyDescent="0.2">
      <c r="B51470" t="s">
        <v>8</v>
      </c>
      <c r="C51470" t="s">
        <v>13624</v>
      </c>
      <c r="D51470" t="s">
        <v>24283</v>
      </c>
    </row>
    <row r="51471" spans="1:4" x14ac:dyDescent="0.2">
      <c r="B51471" t="s">
        <v>61</v>
      </c>
      <c r="D51471" t="s">
        <v>23044</v>
      </c>
    </row>
    <row r="51473" spans="1:4" x14ac:dyDescent="0.2">
      <c r="A51473" t="s">
        <v>16330</v>
      </c>
      <c r="B51473" t="str">
        <f>HYPERLINK("https://lindat.mff.cuni.cz/services/teitok/pdtc10/index.php?action=vallex&amp;frame=v-w7257f1", "určovat (v-w7257f1)")</f>
        <v>určovat (v-w7257f1)</v>
      </c>
    </row>
    <row r="51474" spans="1:4" x14ac:dyDescent="0.2">
      <c r="B51474" t="s">
        <v>1</v>
      </c>
      <c r="C51474" t="s">
        <v>11240</v>
      </c>
      <c r="D51474" t="s">
        <v>23261</v>
      </c>
    </row>
    <row r="51475" spans="1:4" x14ac:dyDescent="0.2">
      <c r="B51475" t="s">
        <v>1284</v>
      </c>
      <c r="C51475" t="s">
        <v>16331</v>
      </c>
      <c r="D51475" t="s">
        <v>9548</v>
      </c>
    </row>
    <row r="51477" spans="1:4" x14ac:dyDescent="0.2">
      <c r="A51477" t="s">
        <v>16332</v>
      </c>
      <c r="B51477" t="str">
        <f>HYPERLINK("https://lindat.mff.cuni.cz/services/teitok/pdtc10/index.php?action=vallex&amp;frame=v-w7272f1", "usadit (v-w7272f1)")</f>
        <v>usadit (v-w7272f1)</v>
      </c>
    </row>
    <row r="51478" spans="1:4" x14ac:dyDescent="0.2">
      <c r="B51478" t="s">
        <v>1</v>
      </c>
      <c r="C51478" t="s">
        <v>249</v>
      </c>
    </row>
    <row r="51479" spans="1:4" x14ac:dyDescent="0.2">
      <c r="B51479" t="s">
        <v>8</v>
      </c>
      <c r="C51479" t="s">
        <v>84</v>
      </c>
    </row>
    <row r="51481" spans="1:4" x14ac:dyDescent="0.2">
      <c r="A51481" t="s">
        <v>16333</v>
      </c>
      <c r="B51481" t="str">
        <f>HYPERLINK("https://lindat.mff.cuni.cz/services/teitok/pdtc10/index.php?action=vallex&amp;frame=v-w7272f2_ZU", "usadit (v-w7272f2_ZU)")</f>
        <v>usadit (v-w7272f2_ZU)</v>
      </c>
    </row>
    <row r="51482" spans="1:4" x14ac:dyDescent="0.2">
      <c r="B51482" t="s">
        <v>1</v>
      </c>
    </row>
    <row r="51483" spans="1:4" x14ac:dyDescent="0.2">
      <c r="B51483" t="s">
        <v>8</v>
      </c>
    </row>
    <row r="51484" spans="1:4" x14ac:dyDescent="0.2">
      <c r="B51484" t="s">
        <v>252</v>
      </c>
    </row>
    <row r="51486" spans="1:4" x14ac:dyDescent="0.2">
      <c r="A51486" t="s">
        <v>16334</v>
      </c>
      <c r="B51486" t="str">
        <f>HYPERLINK("https://lindat.mff.cuni.cz/services/teitok/pdtc10/index.php?action=vallex&amp;frame=v-w7273f1", "usadit se (v-w7273f1)")</f>
        <v>usadit se (v-w7273f1)</v>
      </c>
    </row>
    <row r="51487" spans="1:4" x14ac:dyDescent="0.2">
      <c r="B51487" t="s">
        <v>1</v>
      </c>
      <c r="C51487" t="s">
        <v>16335</v>
      </c>
      <c r="D51487" t="s">
        <v>23456</v>
      </c>
    </row>
    <row r="51488" spans="1:4" x14ac:dyDescent="0.2">
      <c r="B51488" t="s">
        <v>5</v>
      </c>
      <c r="C51488" t="s">
        <v>16336</v>
      </c>
      <c r="D51488" t="s">
        <v>23457</v>
      </c>
    </row>
    <row r="51490" spans="1:4" x14ac:dyDescent="0.2">
      <c r="A51490" t="s">
        <v>16337</v>
      </c>
      <c r="B51490" t="str">
        <f>HYPERLINK("https://lindat.mff.cuni.cz/services/teitok/pdtc10/index.php?action=vallex&amp;frame=v-w7273f3", "usadit se (v-w7273f3)")</f>
        <v>usadit se (v-w7273f3)</v>
      </c>
    </row>
    <row r="51491" spans="1:4" x14ac:dyDescent="0.2">
      <c r="B51491" t="s">
        <v>1</v>
      </c>
    </row>
    <row r="51492" spans="1:4" x14ac:dyDescent="0.2">
      <c r="B51492" t="s">
        <v>90</v>
      </c>
    </row>
    <row r="51494" spans="1:4" x14ac:dyDescent="0.2">
      <c r="A51494" t="s">
        <v>16338</v>
      </c>
      <c r="B51494" t="str">
        <f>HYPERLINK("https://lindat.mff.cuni.cz/services/teitok/pdtc10/index.php?action=vallex&amp;frame=v-w7273f2", "usadit se (v-w7273f2)")</f>
        <v>usadit se (v-w7273f2)</v>
      </c>
    </row>
    <row r="51495" spans="1:4" x14ac:dyDescent="0.2">
      <c r="B51495" t="s">
        <v>1</v>
      </c>
      <c r="C51495" t="s">
        <v>16339</v>
      </c>
      <c r="D51495" t="s">
        <v>24271</v>
      </c>
    </row>
    <row r="51497" spans="1:4" x14ac:dyDescent="0.2">
      <c r="A51497" t="s">
        <v>16340</v>
      </c>
      <c r="B51497" t="str">
        <f>HYPERLINK("https://lindat.mff.cuni.cz/services/teitok/pdtc10/index.php?action=vallex&amp;frame=v-w7273f4_ZU", "usadit se (v-w7273f4_ZU)")</f>
        <v>usadit se (v-w7273f4_ZU)</v>
      </c>
    </row>
    <row r="51498" spans="1:4" x14ac:dyDescent="0.2">
      <c r="B51498" t="s">
        <v>1</v>
      </c>
      <c r="C51498" t="s">
        <v>16341</v>
      </c>
      <c r="D51498" t="s">
        <v>24169</v>
      </c>
    </row>
    <row r="51499" spans="1:4" x14ac:dyDescent="0.2">
      <c r="B51499" t="s">
        <v>5</v>
      </c>
      <c r="C51499" t="s">
        <v>16342</v>
      </c>
      <c r="D51499" t="s">
        <v>24170</v>
      </c>
    </row>
    <row r="51501" spans="1:4" x14ac:dyDescent="0.2">
      <c r="A51501" t="s">
        <v>16340</v>
      </c>
      <c r="B51501" t="str">
        <f>HYPERLINK("https://lindat.mff.cuni.cz/services/teitok/pdtc10/index.php?action=vallex&amp;frame=v-w7273hsa_1315", "usadit se (v-w7273hsa_1315) - substituted with v-w7273f4_ZU")</f>
        <v>usadit se (v-w7273hsa_1315) - substituted with v-w7273f4_ZU</v>
      </c>
    </row>
    <row r="51502" spans="1:4" x14ac:dyDescent="0.2">
      <c r="B51502" t="s">
        <v>1</v>
      </c>
    </row>
    <row r="51503" spans="1:4" x14ac:dyDescent="0.2">
      <c r="B51503" t="s">
        <v>5</v>
      </c>
    </row>
    <row r="51505" spans="1:3" x14ac:dyDescent="0.2">
      <c r="A51505" t="s">
        <v>16343</v>
      </c>
      <c r="B51505" t="str">
        <f>HYPERLINK("https://lindat.mff.cuni.cz/services/teitok/pdtc10/index.php?action=vallex&amp;frame=v-w7273f5_ZU", "usadit se (v-w7273f5_ZU)")</f>
        <v>usadit se (v-w7273f5_ZU)</v>
      </c>
    </row>
    <row r="51506" spans="1:3" x14ac:dyDescent="0.2">
      <c r="B51506" t="s">
        <v>1</v>
      </c>
      <c r="C51506" t="s">
        <v>16344</v>
      </c>
    </row>
    <row r="51508" spans="1:3" x14ac:dyDescent="0.2">
      <c r="A51508" t="s">
        <v>16345</v>
      </c>
      <c r="B51508" t="str">
        <f>HYPERLINK("https://lindat.mff.cuni.cz/services/teitok/pdtc10/index.php?action=vallex&amp;frame=v-whsa_1257hsa_1258", "usazovat (v-whsa_1257hsa_1258)")</f>
        <v>usazovat (v-whsa_1257hsa_1258)</v>
      </c>
    </row>
    <row r="51509" spans="1:3" x14ac:dyDescent="0.2">
      <c r="B51509" t="s">
        <v>1</v>
      </c>
    </row>
    <row r="51510" spans="1:3" x14ac:dyDescent="0.2">
      <c r="B51510" t="s">
        <v>8</v>
      </c>
    </row>
    <row r="51511" spans="1:3" x14ac:dyDescent="0.2">
      <c r="B51511" t="s">
        <v>90</v>
      </c>
    </row>
    <row r="51513" spans="1:3" x14ac:dyDescent="0.2">
      <c r="A51513" t="s">
        <v>16346</v>
      </c>
      <c r="B51513" t="str">
        <f>HYPERLINK("https://lindat.mff.cuni.cz/services/teitok/pdtc10/index.php?action=vallex&amp;frame=v-w7274f1", "usazovat se (v-w7274f1)")</f>
        <v>usazovat se (v-w7274f1)</v>
      </c>
    </row>
    <row r="51514" spans="1:3" x14ac:dyDescent="0.2">
      <c r="B51514" t="s">
        <v>1</v>
      </c>
      <c r="C51514" t="s">
        <v>127</v>
      </c>
    </row>
    <row r="51515" spans="1:3" x14ac:dyDescent="0.2">
      <c r="B51515" t="s">
        <v>5</v>
      </c>
    </row>
    <row r="51517" spans="1:3" x14ac:dyDescent="0.2">
      <c r="A51517" t="s">
        <v>16347</v>
      </c>
      <c r="B51517" t="str">
        <f>HYPERLINK("https://lindat.mff.cuni.cz/services/teitok/pdtc10/index.php?action=vallex&amp;frame=v-w7274f3", "usazovat se (v-w7274f3)")</f>
        <v>usazovat se (v-w7274f3)</v>
      </c>
    </row>
    <row r="51518" spans="1:3" x14ac:dyDescent="0.2">
      <c r="B51518" t="s">
        <v>1</v>
      </c>
    </row>
    <row r="51519" spans="1:3" x14ac:dyDescent="0.2">
      <c r="B51519" t="s">
        <v>90</v>
      </c>
    </row>
    <row r="51521" spans="1:4" x14ac:dyDescent="0.2">
      <c r="A51521" t="s">
        <v>16348</v>
      </c>
      <c r="B51521" t="str">
        <f>HYPERLINK("https://lindat.mff.cuni.cz/services/teitok/pdtc10/index.php?action=vallex&amp;frame=v-w7274f2", "usazovat se (v-w7274f2)")</f>
        <v>usazovat se (v-w7274f2)</v>
      </c>
    </row>
    <row r="51522" spans="1:4" x14ac:dyDescent="0.2">
      <c r="B51522" t="s">
        <v>1</v>
      </c>
      <c r="D51522" t="s">
        <v>24271</v>
      </c>
    </row>
    <row r="51524" spans="1:4" x14ac:dyDescent="0.2">
      <c r="A51524" t="s">
        <v>16349</v>
      </c>
      <c r="B51524" t="str">
        <f>HYPERLINK("https://lindat.mff.cuni.cz/services/teitok/pdtc10/index.php?action=vallex&amp;frame=v-w12026_ZUf2_ZU", "uschnout (v-w12026_ZUf2_ZU)")</f>
        <v>uschnout (v-w12026_ZUf2_ZU)</v>
      </c>
    </row>
    <row r="51525" spans="1:4" x14ac:dyDescent="0.2">
      <c r="B51525" t="s">
        <v>1</v>
      </c>
    </row>
    <row r="51527" spans="1:4" x14ac:dyDescent="0.2">
      <c r="A51527" t="s">
        <v>16349</v>
      </c>
      <c r="B51527" t="str">
        <f>HYPERLINK("https://lindat.mff.cuni.cz/services/teitok/pdtc10/index.php?action=vallex&amp;frame=v-w12026_ZUf1_ZU", "uschnout (v-w12026_ZUf1_ZU) - substituted with v-w12026_ZUf2_ZU")</f>
        <v>uschnout (v-w12026_ZUf1_ZU) - substituted with v-w12026_ZUf2_ZU</v>
      </c>
    </row>
    <row r="51528" spans="1:4" x14ac:dyDescent="0.2">
      <c r="B51528" t="s">
        <v>1</v>
      </c>
    </row>
    <row r="51530" spans="1:4" x14ac:dyDescent="0.2">
      <c r="A51530" t="s">
        <v>16350</v>
      </c>
      <c r="B51530" t="str">
        <f>HYPERLINK("https://lindat.mff.cuni.cz/services/teitok/pdtc10/index.php?action=vallex&amp;frame=v-w7279f1", "uschovat (v-w7279f1)")</f>
        <v>uschovat (v-w7279f1)</v>
      </c>
    </row>
    <row r="51531" spans="1:4" x14ac:dyDescent="0.2">
      <c r="B51531" t="s">
        <v>1</v>
      </c>
      <c r="C51531" t="s">
        <v>1524</v>
      </c>
    </row>
    <row r="51532" spans="1:4" x14ac:dyDescent="0.2">
      <c r="B51532" t="s">
        <v>124</v>
      </c>
      <c r="C51532" t="s">
        <v>6776</v>
      </c>
    </row>
    <row r="51533" spans="1:4" x14ac:dyDescent="0.2">
      <c r="B51533" t="s">
        <v>3200</v>
      </c>
    </row>
    <row r="51535" spans="1:4" x14ac:dyDescent="0.2">
      <c r="A51535" t="s">
        <v>16351</v>
      </c>
      <c r="B51535" t="str">
        <f>HYPERLINK("https://lindat.mff.cuni.cz/services/teitok/pdtc10/index.php?action=vallex&amp;frame=v-w7280f1", "uschovávat (v-w7280f1)")</f>
        <v>uschovávat (v-w7280f1)</v>
      </c>
    </row>
    <row r="51536" spans="1:4" x14ac:dyDescent="0.2">
      <c r="B51536" t="s">
        <v>1</v>
      </c>
    </row>
    <row r="51537" spans="1:2" x14ac:dyDescent="0.2">
      <c r="B51537" t="s">
        <v>124</v>
      </c>
    </row>
    <row r="51538" spans="1:2" x14ac:dyDescent="0.2">
      <c r="B51538" t="s">
        <v>3200</v>
      </c>
    </row>
    <row r="51540" spans="1:2" x14ac:dyDescent="0.2">
      <c r="A51540" t="s">
        <v>16352</v>
      </c>
      <c r="B51540" t="str">
        <f>HYPERLINK("https://lindat.mff.cuni.cz/services/teitok/pdtc10/index.php?action=vallex&amp;frame=v-w7276f2", "usedat (v-w7276f2)")</f>
        <v>usedat (v-w7276f2)</v>
      </c>
    </row>
    <row r="51541" spans="1:2" x14ac:dyDescent="0.2">
      <c r="B51541" t="s">
        <v>1</v>
      </c>
    </row>
    <row r="51542" spans="1:2" x14ac:dyDescent="0.2">
      <c r="B51542" t="s">
        <v>5</v>
      </c>
    </row>
    <row r="51544" spans="1:2" x14ac:dyDescent="0.2">
      <c r="A51544" t="s">
        <v>16353</v>
      </c>
      <c r="B51544" t="str">
        <f>HYPERLINK("https://lindat.mff.cuni.cz/services/teitok/pdtc10/index.php?action=vallex&amp;frame=v-w7276f1", "usedat (v-w7276f1)")</f>
        <v>usedat (v-w7276f1)</v>
      </c>
    </row>
    <row r="51545" spans="1:2" x14ac:dyDescent="0.2">
      <c r="B51545" t="s">
        <v>1</v>
      </c>
    </row>
    <row r="51546" spans="1:2" x14ac:dyDescent="0.2">
      <c r="B51546" t="s">
        <v>90</v>
      </c>
    </row>
    <row r="51548" spans="1:2" x14ac:dyDescent="0.2">
      <c r="A51548" t="s">
        <v>16354</v>
      </c>
      <c r="B51548" t="str">
        <f>HYPERLINK("https://lindat.mff.cuni.cz/services/teitok/pdtc10/index.php?action=vallex&amp;frame=v-w7277f2", "usednout (v-w7277f2)")</f>
        <v>usednout (v-w7277f2)</v>
      </c>
    </row>
    <row r="51549" spans="1:2" x14ac:dyDescent="0.2">
      <c r="B51549" t="s">
        <v>1</v>
      </c>
    </row>
    <row r="51550" spans="1:2" x14ac:dyDescent="0.2">
      <c r="B51550" t="s">
        <v>5</v>
      </c>
    </row>
    <row r="51552" spans="1:2" x14ac:dyDescent="0.2">
      <c r="A51552" t="s">
        <v>16355</v>
      </c>
      <c r="B51552" t="str">
        <f>HYPERLINK("https://lindat.mff.cuni.cz/services/teitok/pdtc10/index.php?action=vallex&amp;frame=v-w7277f1", "usednout (v-w7277f1)")</f>
        <v>usednout (v-w7277f1)</v>
      </c>
    </row>
    <row r="51553" spans="1:4" x14ac:dyDescent="0.2">
      <c r="B51553" t="s">
        <v>1</v>
      </c>
    </row>
    <row r="51554" spans="1:4" x14ac:dyDescent="0.2">
      <c r="B51554" t="s">
        <v>90</v>
      </c>
    </row>
    <row r="51556" spans="1:4" x14ac:dyDescent="0.2">
      <c r="A51556" t="s">
        <v>16356</v>
      </c>
      <c r="B51556" t="str">
        <f>HYPERLINK("https://lindat.mff.cuni.cz/services/teitok/pdtc10/index.php?action=vallex&amp;frame=v-w11109f2", "useknout (v-w11109f2)")</f>
        <v>useknout (v-w11109f2)</v>
      </c>
    </row>
    <row r="51557" spans="1:4" x14ac:dyDescent="0.2">
      <c r="B51557" t="s">
        <v>1</v>
      </c>
    </row>
    <row r="51558" spans="1:4" x14ac:dyDescent="0.2">
      <c r="B51558" t="s">
        <v>8</v>
      </c>
    </row>
    <row r="51560" spans="1:4" x14ac:dyDescent="0.2">
      <c r="A51560" t="s">
        <v>16357</v>
      </c>
      <c r="B51560" t="str">
        <f>HYPERLINK("https://lindat.mff.cuni.cz/services/teitok/pdtc10/index.php?action=vallex&amp;frame=v-w11109hsa_660", "useknout (v-w11109hsa_660)")</f>
        <v>useknout (v-w11109hsa_660)</v>
      </c>
    </row>
    <row r="51561" spans="1:4" x14ac:dyDescent="0.2">
      <c r="B51561" t="s">
        <v>1</v>
      </c>
      <c r="D51561" t="s">
        <v>373</v>
      </c>
    </row>
    <row r="51562" spans="1:4" x14ac:dyDescent="0.2">
      <c r="B51562" t="s">
        <v>8</v>
      </c>
      <c r="C51562" t="s">
        <v>113</v>
      </c>
      <c r="D51562" t="s">
        <v>3773</v>
      </c>
    </row>
    <row r="51564" spans="1:4" x14ac:dyDescent="0.2">
      <c r="A51564" t="s">
        <v>16358</v>
      </c>
      <c r="B51564" t="str">
        <f>HYPERLINK("https://lindat.mff.cuni.cz/services/teitok/pdtc10/index.php?action=vallex&amp;frame=v-w7284hsa_1448", "usilovat (v-w7284hsa_1448)")</f>
        <v>usilovat (v-w7284hsa_1448)</v>
      </c>
    </row>
    <row r="51565" spans="1:4" x14ac:dyDescent="0.2">
      <c r="B51565" t="s">
        <v>1</v>
      </c>
    </row>
    <row r="51566" spans="1:4" x14ac:dyDescent="0.2">
      <c r="B51566" t="s">
        <v>16359</v>
      </c>
    </row>
    <row r="51568" spans="1:4" x14ac:dyDescent="0.2">
      <c r="A51568" t="s">
        <v>16358</v>
      </c>
      <c r="B51568" t="str">
        <f>HYPERLINK("https://lindat.mff.cuni.cz/services/teitok/pdtc10/index.php?action=vallex&amp;frame=v-w7284f1", "usilovat (v-w7284f1) - substituted with v-w7284hsa_1448")</f>
        <v>usilovat (v-w7284f1) - substituted with v-w7284hsa_1448</v>
      </c>
    </row>
    <row r="51569" spans="1:4" x14ac:dyDescent="0.2">
      <c r="B51569" t="s">
        <v>1</v>
      </c>
      <c r="C51569" t="s">
        <v>16360</v>
      </c>
      <c r="D51569" t="s">
        <v>24286</v>
      </c>
    </row>
    <row r="51570" spans="1:4" x14ac:dyDescent="0.2">
      <c r="B51570" t="s">
        <v>16359</v>
      </c>
      <c r="C51570" t="s">
        <v>16361</v>
      </c>
      <c r="D51570" t="s">
        <v>24287</v>
      </c>
    </row>
    <row r="51572" spans="1:4" x14ac:dyDescent="0.2">
      <c r="A51572" t="s">
        <v>16362</v>
      </c>
      <c r="B51572" t="str">
        <f>HYPERLINK("https://lindat.mff.cuni.cz/services/teitok/pdtc10/index.php?action=vallex&amp;frame=v-whsa_761hsa_762", "uskladnit (v-whsa_761hsa_762)")</f>
        <v>uskladnit (v-whsa_761hsa_762)</v>
      </c>
    </row>
    <row r="51573" spans="1:4" x14ac:dyDescent="0.2">
      <c r="B51573" t="s">
        <v>1</v>
      </c>
    </row>
    <row r="51574" spans="1:4" x14ac:dyDescent="0.2">
      <c r="B51574" t="s">
        <v>8</v>
      </c>
    </row>
    <row r="51576" spans="1:4" x14ac:dyDescent="0.2">
      <c r="A51576" t="s">
        <v>16363</v>
      </c>
      <c r="B51576" t="str">
        <f>HYPERLINK("https://lindat.mff.cuni.cz/services/teitok/pdtc10/index.php?action=vallex&amp;frame=v-w10117f2", "uskladňovat (v-w10117f2)")</f>
        <v>uskladňovat (v-w10117f2)</v>
      </c>
    </row>
    <row r="51577" spans="1:4" x14ac:dyDescent="0.2">
      <c r="B51577" t="s">
        <v>1</v>
      </c>
    </row>
    <row r="51578" spans="1:4" x14ac:dyDescent="0.2">
      <c r="B51578" t="s">
        <v>8</v>
      </c>
    </row>
    <row r="51580" spans="1:4" x14ac:dyDescent="0.2">
      <c r="A51580" t="s">
        <v>16364</v>
      </c>
      <c r="B51580" t="str">
        <f>HYPERLINK("https://lindat.mff.cuni.cz/services/teitok/pdtc10/index.php?action=vallex&amp;frame=v-w12272_ZUf1_ZU", "uskočit (v-w12272_ZUf1_ZU)")</f>
        <v>uskočit (v-w12272_ZUf1_ZU)</v>
      </c>
    </row>
    <row r="51581" spans="1:4" x14ac:dyDescent="0.2">
      <c r="B51581" t="s">
        <v>1</v>
      </c>
    </row>
    <row r="51582" spans="1:4" x14ac:dyDescent="0.2">
      <c r="B51582" t="s">
        <v>1186</v>
      </c>
    </row>
    <row r="51584" spans="1:4" x14ac:dyDescent="0.2">
      <c r="A51584" t="s">
        <v>16365</v>
      </c>
      <c r="B51584" t="str">
        <f>HYPERLINK("https://lindat.mff.cuni.cz/services/teitok/pdtc10/index.php?action=vallex&amp;frame=v-w7287f1", "uskromnit se (v-w7287f1)")</f>
        <v>uskromnit se (v-w7287f1)</v>
      </c>
    </row>
    <row r="51585" spans="1:4" x14ac:dyDescent="0.2">
      <c r="B51585" t="s">
        <v>1</v>
      </c>
    </row>
    <row r="51587" spans="1:4" x14ac:dyDescent="0.2">
      <c r="A51587" t="s">
        <v>16366</v>
      </c>
      <c r="B51587" t="str">
        <f>HYPERLINK("https://lindat.mff.cuni.cz/services/teitok/pdtc10/index.php?action=vallex&amp;frame=v-w7288f1", "uskrovnit se (v-w7288f1)")</f>
        <v>uskrovnit se (v-w7288f1)</v>
      </c>
    </row>
    <row r="51588" spans="1:4" x14ac:dyDescent="0.2">
      <c r="B51588" t="s">
        <v>1</v>
      </c>
    </row>
    <row r="51590" spans="1:4" x14ac:dyDescent="0.2">
      <c r="A51590" t="s">
        <v>16367</v>
      </c>
      <c r="B51590" t="str">
        <f>HYPERLINK("https://lindat.mff.cuni.cz/services/teitok/pdtc10/index.php?action=vallex&amp;frame=v-w12059_ZUf1_ZU", "uskrovňovat se (v-w12059_ZUf1_ZU)")</f>
        <v>uskrovňovat se (v-w12059_ZUf1_ZU)</v>
      </c>
    </row>
    <row r="51591" spans="1:4" x14ac:dyDescent="0.2">
      <c r="B51591" t="s">
        <v>1</v>
      </c>
    </row>
    <row r="51593" spans="1:4" x14ac:dyDescent="0.2">
      <c r="A51593" t="s">
        <v>16368</v>
      </c>
      <c r="B51593" t="str">
        <f>HYPERLINK("https://lindat.mff.cuni.cz/services/teitok/pdtc10/index.php?action=vallex&amp;frame=v-w7290f1", "uskutečnit (v-w7290f1)")</f>
        <v>uskutečnit (v-w7290f1)</v>
      </c>
    </row>
    <row r="51594" spans="1:4" x14ac:dyDescent="0.2">
      <c r="B51594" t="s">
        <v>1</v>
      </c>
      <c r="C51594" t="s">
        <v>16369</v>
      </c>
      <c r="D51594" t="s">
        <v>1792</v>
      </c>
    </row>
    <row r="51595" spans="1:4" x14ac:dyDescent="0.2">
      <c r="B51595" t="s">
        <v>8</v>
      </c>
      <c r="C51595" t="s">
        <v>16370</v>
      </c>
      <c r="D51595" t="s">
        <v>24113</v>
      </c>
    </row>
    <row r="51597" spans="1:4" x14ac:dyDescent="0.2">
      <c r="A51597" t="s">
        <v>16371</v>
      </c>
      <c r="B51597" t="str">
        <f>HYPERLINK("https://lindat.mff.cuni.cz/services/teitok/pdtc10/index.php?action=vallex&amp;frame=v-w7290f3_ZU", "uskutečnit (v-w7290f3_ZU)")</f>
        <v>uskutečnit (v-w7290f3_ZU)</v>
      </c>
    </row>
    <row r="51598" spans="1:4" x14ac:dyDescent="0.2">
      <c r="B51598" t="s">
        <v>1</v>
      </c>
      <c r="C51598" t="s">
        <v>5925</v>
      </c>
      <c r="D51598" t="s">
        <v>1792</v>
      </c>
    </row>
    <row r="51599" spans="1:4" x14ac:dyDescent="0.2">
      <c r="B51599" t="s">
        <v>16372</v>
      </c>
      <c r="C51599" t="s">
        <v>16373</v>
      </c>
      <c r="D51599" t="s">
        <v>23804</v>
      </c>
    </row>
    <row r="51601" spans="1:4" x14ac:dyDescent="0.2">
      <c r="A51601" t="s">
        <v>16371</v>
      </c>
      <c r="B51601" t="str">
        <f>HYPERLINK("https://lindat.mff.cuni.cz/services/teitok/pdtc10/index.php?action=vallex&amp;frame=v-w7290hsa_1029", "uskutečnit (v-w7290hsa_1029) - substituted with v-w7290f3_ZU")</f>
        <v>uskutečnit (v-w7290hsa_1029) - substituted with v-w7290f3_ZU</v>
      </c>
    </row>
    <row r="51602" spans="1:4" x14ac:dyDescent="0.2">
      <c r="B51602" t="s">
        <v>1</v>
      </c>
    </row>
    <row r="51603" spans="1:4" x14ac:dyDescent="0.2">
      <c r="B51603" t="s">
        <v>16372</v>
      </c>
    </row>
    <row r="51605" spans="1:4" x14ac:dyDescent="0.2">
      <c r="A51605" t="s">
        <v>16374</v>
      </c>
      <c r="B51605" t="str">
        <f>HYPERLINK("https://lindat.mff.cuni.cz/services/teitok/pdtc10/index.php?action=vallex&amp;frame=v-w7290hsa_1028", "uskutečnit (v-w7290hsa_1028)")</f>
        <v>uskutečnit (v-w7290hsa_1028)</v>
      </c>
    </row>
    <row r="51606" spans="1:4" x14ac:dyDescent="0.2">
      <c r="B51606" t="s">
        <v>1</v>
      </c>
    </row>
    <row r="51607" spans="1:4" x14ac:dyDescent="0.2">
      <c r="B51607" t="s">
        <v>16375</v>
      </c>
    </row>
    <row r="51609" spans="1:4" x14ac:dyDescent="0.2">
      <c r="A51609" t="s">
        <v>16374</v>
      </c>
      <c r="B51609" t="str">
        <f>HYPERLINK("https://lindat.mff.cuni.cz/services/teitok/pdtc10/index.php?action=vallex&amp;frame=v-w7290f2_ZU", "uskutečnit (v-w7290f2_ZU) - substituted with v-w7290hsa_1028")</f>
        <v>uskutečnit (v-w7290f2_ZU) - substituted with v-w7290hsa_1028</v>
      </c>
    </row>
    <row r="51610" spans="1:4" x14ac:dyDescent="0.2">
      <c r="B51610" t="s">
        <v>1</v>
      </c>
    </row>
    <row r="51611" spans="1:4" x14ac:dyDescent="0.2">
      <c r="B51611" t="s">
        <v>16375</v>
      </c>
    </row>
    <row r="51613" spans="1:4" x14ac:dyDescent="0.2">
      <c r="A51613" t="s">
        <v>16376</v>
      </c>
      <c r="B51613" t="str">
        <f>HYPERLINK("https://lindat.mff.cuni.cz/services/teitok/pdtc10/index.php?action=vallex&amp;frame=v-w7291f1", "uskutečnit se (v-w7291f1)")</f>
        <v>uskutečnit se (v-w7291f1)</v>
      </c>
    </row>
    <row r="51614" spans="1:4" x14ac:dyDescent="0.2">
      <c r="B51614" t="s">
        <v>1</v>
      </c>
      <c r="C51614" t="s">
        <v>16377</v>
      </c>
      <c r="D51614" t="s">
        <v>22988</v>
      </c>
    </row>
    <row r="51616" spans="1:4" x14ac:dyDescent="0.2">
      <c r="A51616" t="s">
        <v>16378</v>
      </c>
      <c r="B51616" t="str">
        <f>HYPERLINK("https://lindat.mff.cuni.cz/services/teitok/pdtc10/index.php?action=vallex&amp;frame=v-w7293f1", "uskutečňovat (v-w7293f1)")</f>
        <v>uskutečňovat (v-w7293f1)</v>
      </c>
    </row>
    <row r="51617" spans="1:4" x14ac:dyDescent="0.2">
      <c r="B51617" t="s">
        <v>1</v>
      </c>
      <c r="C51617" t="s">
        <v>16379</v>
      </c>
      <c r="D51617" t="s">
        <v>1792</v>
      </c>
    </row>
    <row r="51618" spans="1:4" x14ac:dyDescent="0.2">
      <c r="B51618" t="s">
        <v>8</v>
      </c>
      <c r="C51618" t="s">
        <v>16380</v>
      </c>
      <c r="D51618" t="s">
        <v>24113</v>
      </c>
    </row>
    <row r="51620" spans="1:4" x14ac:dyDescent="0.2">
      <c r="A51620" t="s">
        <v>16381</v>
      </c>
      <c r="B51620" t="str">
        <f>HYPERLINK("https://lindat.mff.cuni.cz/services/teitok/pdtc10/index.php?action=vallex&amp;frame=v-w7294f1", "uskutečňovat se (v-w7294f1)")</f>
        <v>uskutečňovat se (v-w7294f1)</v>
      </c>
    </row>
    <row r="51621" spans="1:4" x14ac:dyDescent="0.2">
      <c r="B51621" t="s">
        <v>1</v>
      </c>
      <c r="C51621" t="s">
        <v>2717</v>
      </c>
      <c r="D51621" t="s">
        <v>22988</v>
      </c>
    </row>
    <row r="51623" spans="1:4" x14ac:dyDescent="0.2">
      <c r="A51623" t="s">
        <v>16382</v>
      </c>
      <c r="B51623" t="str">
        <f>HYPERLINK("https://lindat.mff.cuni.cz/services/teitok/pdtc10/index.php?action=vallex&amp;frame=v-w7296f3", "uslyšet (v-w7296f3)")</f>
        <v>uslyšet (v-w7296f3)</v>
      </c>
    </row>
    <row r="51624" spans="1:4" x14ac:dyDescent="0.2">
      <c r="B51624" t="s">
        <v>1</v>
      </c>
      <c r="D51624" t="s">
        <v>9239</v>
      </c>
    </row>
    <row r="51625" spans="1:4" x14ac:dyDescent="0.2">
      <c r="B51625" t="s">
        <v>14292</v>
      </c>
      <c r="D51625" t="s">
        <v>4452</v>
      </c>
    </row>
    <row r="51626" spans="1:4" x14ac:dyDescent="0.2">
      <c r="B51626" t="s">
        <v>321</v>
      </c>
      <c r="D51626" t="s">
        <v>23855</v>
      </c>
    </row>
    <row r="51628" spans="1:4" x14ac:dyDescent="0.2">
      <c r="A51628" t="s">
        <v>16383</v>
      </c>
      <c r="B51628" t="str">
        <f>HYPERLINK("https://lindat.mff.cuni.cz/services/teitok/pdtc10/index.php?action=vallex&amp;frame=v-w7296f4", "uslyšet (v-w7296f4)")</f>
        <v>uslyšet (v-w7296f4)</v>
      </c>
    </row>
    <row r="51629" spans="1:4" x14ac:dyDescent="0.2">
      <c r="B51629" t="s">
        <v>1</v>
      </c>
      <c r="C51629" t="s">
        <v>1106</v>
      </c>
    </row>
    <row r="51630" spans="1:4" x14ac:dyDescent="0.2">
      <c r="B51630" t="s">
        <v>8</v>
      </c>
    </row>
    <row r="51631" spans="1:4" x14ac:dyDescent="0.2">
      <c r="B51631" t="s">
        <v>14537</v>
      </c>
      <c r="C51631" t="s">
        <v>16384</v>
      </c>
    </row>
    <row r="51633" spans="1:4" x14ac:dyDescent="0.2">
      <c r="A51633" t="s">
        <v>16385</v>
      </c>
      <c r="B51633" t="str">
        <f>HYPERLINK("https://lindat.mff.cuni.cz/services/teitok/pdtc10/index.php?action=vallex&amp;frame=v-w7296f1", "uslyšet (v-w7296f1)")</f>
        <v>uslyšet (v-w7296f1)</v>
      </c>
    </row>
    <row r="51634" spans="1:4" x14ac:dyDescent="0.2">
      <c r="B51634" t="s">
        <v>1</v>
      </c>
      <c r="C51634" t="s">
        <v>16386</v>
      </c>
      <c r="D51634" t="s">
        <v>1106</v>
      </c>
    </row>
    <row r="51635" spans="1:4" x14ac:dyDescent="0.2">
      <c r="B51635" t="s">
        <v>13410</v>
      </c>
      <c r="C51635" t="s">
        <v>16387</v>
      </c>
      <c r="D51635" t="s">
        <v>24172</v>
      </c>
    </row>
    <row r="51637" spans="1:4" x14ac:dyDescent="0.2">
      <c r="A51637" t="s">
        <v>16388</v>
      </c>
      <c r="B51637" t="str">
        <f>HYPERLINK("https://lindat.mff.cuni.cz/services/teitok/pdtc10/index.php?action=vallex&amp;frame=v-w7296f2", "uslyšet (v-w7296f2)")</f>
        <v>uslyšet (v-w7296f2)</v>
      </c>
    </row>
    <row r="51638" spans="1:4" x14ac:dyDescent="0.2">
      <c r="B51638" t="s">
        <v>1</v>
      </c>
      <c r="C51638" t="s">
        <v>1106</v>
      </c>
      <c r="D51638" t="s">
        <v>7388</v>
      </c>
    </row>
    <row r="51639" spans="1:4" x14ac:dyDescent="0.2">
      <c r="B51639" t="s">
        <v>1884</v>
      </c>
      <c r="C51639" t="s">
        <v>16384</v>
      </c>
      <c r="D51639" t="s">
        <v>23188</v>
      </c>
    </row>
    <row r="51640" spans="1:4" x14ac:dyDescent="0.2">
      <c r="B51640" t="s">
        <v>269</v>
      </c>
      <c r="D51640" t="s">
        <v>23189</v>
      </c>
    </row>
    <row r="51641" spans="1:4" x14ac:dyDescent="0.2">
      <c r="B51641" t="s">
        <v>321</v>
      </c>
      <c r="D51641" t="s">
        <v>23190</v>
      </c>
    </row>
    <row r="51643" spans="1:4" x14ac:dyDescent="0.2">
      <c r="A51643" t="s">
        <v>16389</v>
      </c>
      <c r="B51643" t="str">
        <f>HYPERLINK("https://lindat.mff.cuni.cz/services/teitok/pdtc10/index.php?action=vallex&amp;frame=v-w11610_ZUf1_ZU", "usmažit (v-w11610_ZUf1_ZU)")</f>
        <v>usmažit (v-w11610_ZUf1_ZU)</v>
      </c>
    </row>
    <row r="51644" spans="1:4" x14ac:dyDescent="0.2">
      <c r="B51644" t="s">
        <v>1</v>
      </c>
    </row>
    <row r="51645" spans="1:4" x14ac:dyDescent="0.2">
      <c r="B51645" t="s">
        <v>8</v>
      </c>
      <c r="C51645" t="s">
        <v>113</v>
      </c>
      <c r="D51645" t="s">
        <v>113</v>
      </c>
    </row>
    <row r="51647" spans="1:4" x14ac:dyDescent="0.2">
      <c r="A51647" t="s">
        <v>16390</v>
      </c>
      <c r="B51647" t="str">
        <f>HYPERLINK("https://lindat.mff.cuni.cz/services/teitok/pdtc10/index.php?action=vallex&amp;frame=v-w10900f2", "usmlouvat (v-w10900f2)")</f>
        <v>usmlouvat (v-w10900f2)</v>
      </c>
    </row>
    <row r="51648" spans="1:4" x14ac:dyDescent="0.2">
      <c r="B51648" t="s">
        <v>1</v>
      </c>
      <c r="C51648" t="s">
        <v>1504</v>
      </c>
    </row>
    <row r="51649" spans="1:4" x14ac:dyDescent="0.2">
      <c r="B51649" t="s">
        <v>1557</v>
      </c>
      <c r="C51649" t="s">
        <v>1506</v>
      </c>
    </row>
    <row r="51650" spans="1:4" x14ac:dyDescent="0.2">
      <c r="B51650" t="s">
        <v>153</v>
      </c>
      <c r="C51650" t="s">
        <v>1507</v>
      </c>
    </row>
    <row r="51652" spans="1:4" x14ac:dyDescent="0.2">
      <c r="A51652" t="s">
        <v>16391</v>
      </c>
      <c r="B51652" t="str">
        <f>HYPERLINK("https://lindat.mff.cuni.cz/services/teitok/pdtc10/index.php?action=vallex&amp;frame=v-w10679f2", "usmolit (v-w10679f2)")</f>
        <v>usmolit (v-w10679f2)</v>
      </c>
    </row>
    <row r="51653" spans="1:4" x14ac:dyDescent="0.2">
      <c r="B51653" t="s">
        <v>1</v>
      </c>
    </row>
    <row r="51654" spans="1:4" x14ac:dyDescent="0.2">
      <c r="B51654" t="s">
        <v>8</v>
      </c>
    </row>
    <row r="51655" spans="1:4" x14ac:dyDescent="0.2">
      <c r="B51655" t="s">
        <v>1629</v>
      </c>
    </row>
    <row r="51656" spans="1:4" x14ac:dyDescent="0.2">
      <c r="B51656" t="s">
        <v>24</v>
      </c>
    </row>
    <row r="51658" spans="1:4" x14ac:dyDescent="0.2">
      <c r="A51658" t="s">
        <v>16392</v>
      </c>
      <c r="B51658" t="str">
        <f>HYPERLINK("https://lindat.mff.cuni.cz/services/teitok/pdtc10/index.php?action=vallex&amp;frame=v-w11611_ZUf1_ZU", "usmrcovat (v-w11611_ZUf1_ZU)")</f>
        <v>usmrcovat (v-w11611_ZUf1_ZU)</v>
      </c>
    </row>
    <row r="51659" spans="1:4" x14ac:dyDescent="0.2">
      <c r="B51659" t="s">
        <v>1</v>
      </c>
      <c r="C51659" t="s">
        <v>1077</v>
      </c>
      <c r="D51659" t="s">
        <v>11295</v>
      </c>
    </row>
    <row r="51660" spans="1:4" x14ac:dyDescent="0.2">
      <c r="B51660" t="s">
        <v>8</v>
      </c>
      <c r="C51660" t="s">
        <v>5571</v>
      </c>
      <c r="D51660" t="s">
        <v>13639</v>
      </c>
    </row>
    <row r="51662" spans="1:4" x14ac:dyDescent="0.2">
      <c r="A51662" t="s">
        <v>16393</v>
      </c>
      <c r="B51662" t="str">
        <f>HYPERLINK("https://lindat.mff.cuni.cz/services/teitok/pdtc10/index.php?action=vallex&amp;frame=v-w7307f1", "usmrtit (v-w7307f1)")</f>
        <v>usmrtit (v-w7307f1)</v>
      </c>
    </row>
    <row r="51663" spans="1:4" x14ac:dyDescent="0.2">
      <c r="B51663" t="s">
        <v>1</v>
      </c>
      <c r="C51663" t="s">
        <v>1077</v>
      </c>
      <c r="D51663" t="s">
        <v>11295</v>
      </c>
    </row>
    <row r="51664" spans="1:4" x14ac:dyDescent="0.2">
      <c r="B51664" t="s">
        <v>8</v>
      </c>
      <c r="C51664" t="s">
        <v>5571</v>
      </c>
      <c r="D51664" t="s">
        <v>13639</v>
      </c>
    </row>
    <row r="51666" spans="1:4" x14ac:dyDescent="0.2">
      <c r="A51666" t="s">
        <v>16394</v>
      </c>
      <c r="B51666" t="str">
        <f>HYPERLINK("https://lindat.mff.cuni.cz/services/teitok/pdtc10/index.php?action=vallex&amp;frame=v-w11717_ZUf1_ZU", "usmyslet si (v-w11717_ZUf1_ZU)")</f>
        <v>usmyslet si (v-w11717_ZUf1_ZU)</v>
      </c>
    </row>
    <row r="51667" spans="1:4" x14ac:dyDescent="0.2">
      <c r="B51667" t="s">
        <v>1</v>
      </c>
    </row>
    <row r="51668" spans="1:4" x14ac:dyDescent="0.2">
      <c r="B51668" t="s">
        <v>2480</v>
      </c>
    </row>
    <row r="51670" spans="1:4" x14ac:dyDescent="0.2">
      <c r="A51670" t="s">
        <v>16395</v>
      </c>
      <c r="B51670" t="str">
        <f>HYPERLINK("https://lindat.mff.cuni.cz/services/teitok/pdtc10/index.php?action=vallex&amp;frame=v-w7297f1", "usmát se (v-w7297f1)")</f>
        <v>usmát se (v-w7297f1)</v>
      </c>
    </row>
    <row r="51671" spans="1:4" x14ac:dyDescent="0.2">
      <c r="B51671" t="s">
        <v>1</v>
      </c>
      <c r="C51671" t="s">
        <v>990</v>
      </c>
      <c r="D51671" t="s">
        <v>2239</v>
      </c>
    </row>
    <row r="51672" spans="1:4" x14ac:dyDescent="0.2">
      <c r="B51672" t="s">
        <v>46</v>
      </c>
    </row>
    <row r="51674" spans="1:4" x14ac:dyDescent="0.2">
      <c r="A51674" t="s">
        <v>16396</v>
      </c>
      <c r="B51674" t="str">
        <f>HYPERLINK("https://lindat.mff.cuni.cz/services/teitok/pdtc10/index.php?action=vallex&amp;frame=v-w7305f1", "usmívat se (v-w7305f1)")</f>
        <v>usmívat se (v-w7305f1)</v>
      </c>
    </row>
    <row r="51675" spans="1:4" x14ac:dyDescent="0.2">
      <c r="B51675" t="s">
        <v>1</v>
      </c>
      <c r="C51675" t="s">
        <v>2239</v>
      </c>
    </row>
    <row r="51676" spans="1:4" x14ac:dyDescent="0.2">
      <c r="B51676" t="s">
        <v>86</v>
      </c>
    </row>
    <row r="51678" spans="1:4" x14ac:dyDescent="0.2">
      <c r="A51678" t="s">
        <v>16397</v>
      </c>
      <c r="B51678" t="str">
        <f>HYPERLINK("https://lindat.mff.cuni.cz/services/teitok/pdtc10/index.php?action=vallex&amp;frame=v-w7305f2", "usmívat se (v-w7305f2)")</f>
        <v>usmívat se (v-w7305f2)</v>
      </c>
    </row>
    <row r="51679" spans="1:4" x14ac:dyDescent="0.2">
      <c r="B51679" t="s">
        <v>1</v>
      </c>
      <c r="C51679" t="s">
        <v>2239</v>
      </c>
      <c r="D51679" t="s">
        <v>2239</v>
      </c>
    </row>
    <row r="51680" spans="1:4" x14ac:dyDescent="0.2">
      <c r="B51680" t="s">
        <v>46</v>
      </c>
    </row>
    <row r="51682" spans="1:4" x14ac:dyDescent="0.2">
      <c r="A51682" t="s">
        <v>16398</v>
      </c>
      <c r="B51682" t="str">
        <f>HYPERLINK("https://lindat.mff.cuni.cz/services/teitok/pdtc10/index.php?action=vallex&amp;frame=v-w11360f2", "usmířit (v-w11360f2)")</f>
        <v>usmířit (v-w11360f2)</v>
      </c>
    </row>
    <row r="51683" spans="1:4" x14ac:dyDescent="0.2">
      <c r="B51683" t="s">
        <v>1</v>
      </c>
    </row>
    <row r="51684" spans="1:4" x14ac:dyDescent="0.2">
      <c r="B51684" t="s">
        <v>8</v>
      </c>
    </row>
    <row r="51685" spans="1:4" x14ac:dyDescent="0.2">
      <c r="B51685" t="s">
        <v>153</v>
      </c>
    </row>
    <row r="51687" spans="1:4" x14ac:dyDescent="0.2">
      <c r="A51687" t="s">
        <v>16399</v>
      </c>
      <c r="B51687" t="str">
        <f>HYPERLINK("https://lindat.mff.cuni.cz/services/teitok/pdtc10/index.php?action=vallex&amp;frame=v-w11360f1", "usmířit (v-w11360f1)")</f>
        <v>usmířit (v-w11360f1)</v>
      </c>
    </row>
    <row r="51688" spans="1:4" x14ac:dyDescent="0.2">
      <c r="B51688" t="s">
        <v>1</v>
      </c>
      <c r="C51688" t="s">
        <v>249</v>
      </c>
    </row>
    <row r="51689" spans="1:4" x14ac:dyDescent="0.2">
      <c r="B51689" t="s">
        <v>8</v>
      </c>
      <c r="C51689" t="s">
        <v>56</v>
      </c>
    </row>
    <row r="51691" spans="1:4" x14ac:dyDescent="0.2">
      <c r="A51691" t="s">
        <v>16400</v>
      </c>
      <c r="B51691" t="str">
        <f>HYPERLINK("https://lindat.mff.cuni.cz/services/teitok/pdtc10/index.php?action=vallex&amp;frame=v-w7303f1", "usmířit se (v-w7303f1)")</f>
        <v>usmířit se (v-w7303f1)</v>
      </c>
    </row>
    <row r="51692" spans="1:4" x14ac:dyDescent="0.2">
      <c r="B51692" t="s">
        <v>1</v>
      </c>
    </row>
    <row r="51693" spans="1:4" x14ac:dyDescent="0.2">
      <c r="B51693" t="s">
        <v>411</v>
      </c>
    </row>
    <row r="51695" spans="1:4" x14ac:dyDescent="0.2">
      <c r="A51695" t="s">
        <v>16401</v>
      </c>
      <c r="B51695" t="str">
        <f>HYPERLINK("https://lindat.mff.cuni.cz/services/teitok/pdtc10/index.php?action=vallex&amp;frame=v-w7298f1", "usměrnit (v-w7298f1)")</f>
        <v>usměrnit (v-w7298f1)</v>
      </c>
    </row>
    <row r="51696" spans="1:4" x14ac:dyDescent="0.2">
      <c r="B51696" t="s">
        <v>1</v>
      </c>
      <c r="D51696" t="s">
        <v>23098</v>
      </c>
    </row>
    <row r="51697" spans="1:4" x14ac:dyDescent="0.2">
      <c r="B51697" t="s">
        <v>8</v>
      </c>
      <c r="D51697" t="s">
        <v>16830</v>
      </c>
    </row>
    <row r="51699" spans="1:4" x14ac:dyDescent="0.2">
      <c r="A51699" t="s">
        <v>16402</v>
      </c>
      <c r="B51699" t="str">
        <f>HYPERLINK("https://lindat.mff.cuni.cz/services/teitok/pdtc10/index.php?action=vallex&amp;frame=v-w7301f1", "usměrňovat (v-w7301f1)")</f>
        <v>usměrňovat (v-w7301f1)</v>
      </c>
    </row>
    <row r="51700" spans="1:4" x14ac:dyDescent="0.2">
      <c r="B51700" t="s">
        <v>1</v>
      </c>
      <c r="C51700" t="s">
        <v>230</v>
      </c>
      <c r="D51700" t="s">
        <v>23098</v>
      </c>
    </row>
    <row r="51701" spans="1:4" x14ac:dyDescent="0.2">
      <c r="B51701" t="s">
        <v>8</v>
      </c>
      <c r="C51701" t="s">
        <v>6123</v>
      </c>
      <c r="D51701" t="s">
        <v>16830</v>
      </c>
    </row>
    <row r="51703" spans="1:4" x14ac:dyDescent="0.2">
      <c r="A51703" t="s">
        <v>16403</v>
      </c>
      <c r="B51703" t="str">
        <f>HYPERLINK("https://lindat.mff.cuni.cz/services/teitok/pdtc10/index.php?action=vallex&amp;frame=v-w7310f2_ZU", "usnadnit (v-w7310f2_ZU)")</f>
        <v>usnadnit (v-w7310f2_ZU)</v>
      </c>
    </row>
    <row r="51704" spans="1:4" x14ac:dyDescent="0.2">
      <c r="B51704" t="s">
        <v>1</v>
      </c>
    </row>
    <row r="51705" spans="1:4" x14ac:dyDescent="0.2">
      <c r="B51705" t="s">
        <v>228</v>
      </c>
    </row>
    <row r="51706" spans="1:4" x14ac:dyDescent="0.2">
      <c r="B51706" t="s">
        <v>78</v>
      </c>
    </row>
    <row r="51708" spans="1:4" x14ac:dyDescent="0.2">
      <c r="A51708" t="s">
        <v>16403</v>
      </c>
      <c r="B51708" t="str">
        <f>HYPERLINK("https://lindat.mff.cuni.cz/services/teitok/pdtc10/index.php?action=vallex&amp;frame=v-w7310f1", "usnadnit (v-w7310f1) - substituted with v-w7310f2_ZU")</f>
        <v>usnadnit (v-w7310f1) - substituted with v-w7310f2_ZU</v>
      </c>
    </row>
    <row r="51709" spans="1:4" x14ac:dyDescent="0.2">
      <c r="B51709" t="s">
        <v>1</v>
      </c>
      <c r="C51709" t="s">
        <v>16226</v>
      </c>
    </row>
    <row r="51710" spans="1:4" x14ac:dyDescent="0.2">
      <c r="B51710" t="s">
        <v>228</v>
      </c>
      <c r="C51710" t="s">
        <v>16404</v>
      </c>
    </row>
    <row r="51711" spans="1:4" x14ac:dyDescent="0.2">
      <c r="B51711" t="s">
        <v>78</v>
      </c>
    </row>
    <row r="51713" spans="1:3" x14ac:dyDescent="0.2">
      <c r="A51713" t="s">
        <v>16403</v>
      </c>
      <c r="B51713" t="str">
        <f>HYPERLINK("https://lindat.mff.cuni.cz/services/teitok/pdtc10/index.php?action=vallex&amp;frame=v-w7310hsa_721", "usnadnit (v-w7310hsa_721) - substituted with v-w7310f2_ZU")</f>
        <v>usnadnit (v-w7310hsa_721) - substituted with v-w7310f2_ZU</v>
      </c>
    </row>
    <row r="51714" spans="1:3" x14ac:dyDescent="0.2">
      <c r="B51714" t="s">
        <v>1</v>
      </c>
    </row>
    <row r="51715" spans="1:3" x14ac:dyDescent="0.2">
      <c r="B51715" t="s">
        <v>228</v>
      </c>
    </row>
    <row r="51716" spans="1:3" x14ac:dyDescent="0.2">
      <c r="B51716" t="s">
        <v>78</v>
      </c>
    </row>
    <row r="51718" spans="1:3" x14ac:dyDescent="0.2">
      <c r="A51718" t="s">
        <v>16405</v>
      </c>
      <c r="B51718" t="str">
        <f>HYPERLINK("https://lindat.mff.cuni.cz/services/teitok/pdtc10/index.php?action=vallex&amp;frame=v-w7311f1", "usnadňovat (v-w7311f1)")</f>
        <v>usnadňovat (v-w7311f1)</v>
      </c>
    </row>
    <row r="51719" spans="1:3" x14ac:dyDescent="0.2">
      <c r="B51719" t="s">
        <v>1</v>
      </c>
      <c r="C51719" t="s">
        <v>83</v>
      </c>
    </row>
    <row r="51720" spans="1:3" x14ac:dyDescent="0.2">
      <c r="B51720" t="s">
        <v>8</v>
      </c>
      <c r="C51720" t="s">
        <v>1128</v>
      </c>
    </row>
    <row r="51721" spans="1:3" x14ac:dyDescent="0.2">
      <c r="B51721" t="s">
        <v>78</v>
      </c>
    </row>
    <row r="51723" spans="1:3" x14ac:dyDescent="0.2">
      <c r="A51723" t="s">
        <v>16406</v>
      </c>
      <c r="B51723" t="str">
        <f>HYPERLINK("https://lindat.mff.cuni.cz/services/teitok/pdtc10/index.php?action=vallex&amp;frame=v-w10432f2", "usnout (v-w10432f2)")</f>
        <v>usnout (v-w10432f2)</v>
      </c>
    </row>
    <row r="51724" spans="1:3" x14ac:dyDescent="0.2">
      <c r="B51724" t="s">
        <v>1</v>
      </c>
    </row>
    <row r="51726" spans="1:3" x14ac:dyDescent="0.2">
      <c r="A51726" t="s">
        <v>16407</v>
      </c>
      <c r="B51726" t="str">
        <f>HYPERLINK("https://lindat.mff.cuni.cz/services/teitok/pdtc10/index.php?action=vallex&amp;frame=v-w10432hsa_1855", "usnout (v-w10432hsa_1855)")</f>
        <v>usnout (v-w10432hsa_1855)</v>
      </c>
    </row>
    <row r="51727" spans="1:3" x14ac:dyDescent="0.2">
      <c r="B51727" t="s">
        <v>1</v>
      </c>
    </row>
    <row r="51729" spans="1:4" x14ac:dyDescent="0.2">
      <c r="A51729" t="s">
        <v>16408</v>
      </c>
      <c r="B51729" t="str">
        <f>HYPERLINK("https://lindat.mff.cuni.cz/services/teitok/pdtc10/index.php?action=vallex&amp;frame=v-w7314f1", "usnést se (v-w7314f1)")</f>
        <v>usnést se (v-w7314f1)</v>
      </c>
    </row>
    <row r="51730" spans="1:4" x14ac:dyDescent="0.2">
      <c r="B51730" t="s">
        <v>1</v>
      </c>
    </row>
    <row r="51731" spans="1:4" x14ac:dyDescent="0.2">
      <c r="B51731" t="s">
        <v>16409</v>
      </c>
    </row>
    <row r="51733" spans="1:4" x14ac:dyDescent="0.2">
      <c r="A51733" t="s">
        <v>16410</v>
      </c>
      <c r="B51733" t="str">
        <f>HYPERLINK("https://lindat.mff.cuni.cz/services/teitok/pdtc10/index.php?action=vallex&amp;frame=v-w7315f3_ZU", "usoudit (v-w7315f3_ZU)")</f>
        <v>usoudit (v-w7315f3_ZU)</v>
      </c>
    </row>
    <row r="51734" spans="1:4" x14ac:dyDescent="0.2">
      <c r="B51734" t="s">
        <v>1</v>
      </c>
    </row>
    <row r="51735" spans="1:4" x14ac:dyDescent="0.2">
      <c r="B51735" t="s">
        <v>124</v>
      </c>
    </row>
    <row r="51737" spans="1:4" x14ac:dyDescent="0.2">
      <c r="A51737" t="s">
        <v>16410</v>
      </c>
      <c r="B51737" t="str">
        <f>HYPERLINK("https://lindat.mff.cuni.cz/services/teitok/pdtc10/index.php?action=vallex&amp;frame=v-w7315f2", "usoudit (v-w7315f2) - substituted with v-w7315f3_ZU")</f>
        <v>usoudit (v-w7315f2) - substituted with v-w7315f3_ZU</v>
      </c>
    </row>
    <row r="51738" spans="1:4" x14ac:dyDescent="0.2">
      <c r="B51738" t="s">
        <v>1</v>
      </c>
      <c r="C51738" t="s">
        <v>16411</v>
      </c>
      <c r="D51738" t="s">
        <v>24288</v>
      </c>
    </row>
    <row r="51739" spans="1:4" x14ac:dyDescent="0.2">
      <c r="B51739" t="s">
        <v>124</v>
      </c>
      <c r="C51739" t="s">
        <v>16412</v>
      </c>
      <c r="D51739" t="s">
        <v>24289</v>
      </c>
    </row>
    <row r="51741" spans="1:4" x14ac:dyDescent="0.2">
      <c r="A51741" t="s">
        <v>16413</v>
      </c>
      <c r="B51741" t="str">
        <f>HYPERLINK("https://lindat.mff.cuni.cz/services/teitok/pdtc10/index.php?action=vallex&amp;frame=v-w7315f1", "usoudit (v-w7315f1)")</f>
        <v>usoudit (v-w7315f1)</v>
      </c>
    </row>
    <row r="51742" spans="1:4" x14ac:dyDescent="0.2">
      <c r="B51742" t="s">
        <v>1</v>
      </c>
      <c r="C51742" t="s">
        <v>16414</v>
      </c>
      <c r="D51742" t="s">
        <v>24179</v>
      </c>
    </row>
    <row r="51743" spans="1:4" x14ac:dyDescent="0.2">
      <c r="B51743" t="s">
        <v>7587</v>
      </c>
      <c r="C51743" t="s">
        <v>16415</v>
      </c>
      <c r="D51743" t="s">
        <v>24180</v>
      </c>
    </row>
    <row r="51744" spans="1:4" x14ac:dyDescent="0.2">
      <c r="B51744" t="s">
        <v>269</v>
      </c>
      <c r="D51744" t="s">
        <v>24181</v>
      </c>
    </row>
    <row r="51746" spans="1:4" x14ac:dyDescent="0.2">
      <c r="A51746" t="s">
        <v>16416</v>
      </c>
      <c r="B51746" t="str">
        <f>HYPERLINK("https://lindat.mff.cuni.cz/services/teitok/pdtc10/index.php?action=vallex&amp;frame=v-w7316f1", "usoužit (v-w7316f1)")</f>
        <v>usoužit (v-w7316f1)</v>
      </c>
    </row>
    <row r="51747" spans="1:4" x14ac:dyDescent="0.2">
      <c r="B51747" t="s">
        <v>1</v>
      </c>
    </row>
    <row r="51748" spans="1:4" x14ac:dyDescent="0.2">
      <c r="B51748" t="s">
        <v>8</v>
      </c>
    </row>
    <row r="51750" spans="1:4" x14ac:dyDescent="0.2">
      <c r="A51750" t="s">
        <v>16417</v>
      </c>
      <c r="B51750" t="str">
        <f>HYPERLINK("https://lindat.mff.cuni.cz/services/teitok/pdtc10/index.php?action=vallex&amp;frame=v-w11995_ZUf1_ZU", "uspat (v-w11995_ZUf1_ZU)")</f>
        <v>uspat (v-w11995_ZUf1_ZU)</v>
      </c>
    </row>
    <row r="51751" spans="1:4" x14ac:dyDescent="0.2">
      <c r="B51751" t="s">
        <v>1</v>
      </c>
    </row>
    <row r="51752" spans="1:4" x14ac:dyDescent="0.2">
      <c r="B51752" t="s">
        <v>8</v>
      </c>
    </row>
    <row r="51754" spans="1:4" x14ac:dyDescent="0.2">
      <c r="A51754" t="s">
        <v>16418</v>
      </c>
      <c r="B51754" t="str">
        <f>HYPERLINK("https://lindat.mff.cuni.cz/services/teitok/pdtc10/index.php?action=vallex&amp;frame=v-w11996_ZUf1_ZU", "uspat se (v-w11996_ZUf1_ZU)")</f>
        <v>uspat se (v-w11996_ZUf1_ZU)</v>
      </c>
    </row>
    <row r="51755" spans="1:4" x14ac:dyDescent="0.2">
      <c r="B51755" t="s">
        <v>1</v>
      </c>
    </row>
    <row r="51757" spans="1:4" x14ac:dyDescent="0.2">
      <c r="A51757" t="s">
        <v>16419</v>
      </c>
      <c r="B51757" t="str">
        <f>HYPERLINK("https://lindat.mff.cuni.cz/services/teitok/pdtc10/index.php?action=vallex&amp;frame=v-w7324f1", "uspokojit (v-w7324f1)")</f>
        <v>uspokojit (v-w7324f1)</v>
      </c>
    </row>
    <row r="51758" spans="1:4" x14ac:dyDescent="0.2">
      <c r="B51758" t="s">
        <v>13581</v>
      </c>
      <c r="C51758" t="s">
        <v>16420</v>
      </c>
      <c r="D51758" t="s">
        <v>23549</v>
      </c>
    </row>
    <row r="51759" spans="1:4" x14ac:dyDescent="0.2">
      <c r="B51759" t="s">
        <v>8</v>
      </c>
      <c r="C51759" t="s">
        <v>16421</v>
      </c>
      <c r="D51759" t="s">
        <v>15577</v>
      </c>
    </row>
    <row r="51761" spans="1:4" x14ac:dyDescent="0.2">
      <c r="A51761" t="s">
        <v>16422</v>
      </c>
      <c r="B51761" t="str">
        <f>HYPERLINK("https://lindat.mff.cuni.cz/services/teitok/pdtc10/index.php?action=vallex&amp;frame=v-w7326f1", "uspokojovat (v-w7326f1)")</f>
        <v>uspokojovat (v-w7326f1)</v>
      </c>
    </row>
    <row r="51762" spans="1:4" x14ac:dyDescent="0.2">
      <c r="B51762" t="s">
        <v>1</v>
      </c>
      <c r="C51762" t="s">
        <v>16423</v>
      </c>
      <c r="D51762" t="s">
        <v>23549</v>
      </c>
    </row>
    <row r="51763" spans="1:4" x14ac:dyDescent="0.2">
      <c r="B51763" t="s">
        <v>8</v>
      </c>
      <c r="C51763" t="s">
        <v>56</v>
      </c>
      <c r="D51763" t="s">
        <v>15577</v>
      </c>
    </row>
    <row r="51765" spans="1:4" x14ac:dyDescent="0.2">
      <c r="A51765" t="s">
        <v>16424</v>
      </c>
      <c r="B51765" t="str">
        <f>HYPERLINK("https://lindat.mff.cuni.cz/services/teitok/pdtc10/index.php?action=vallex&amp;frame=v-w7331f1", "uspořit (v-w7331f1)")</f>
        <v>uspořit (v-w7331f1)</v>
      </c>
    </row>
    <row r="51766" spans="1:4" x14ac:dyDescent="0.2">
      <c r="B51766" t="s">
        <v>1</v>
      </c>
      <c r="C51766" t="s">
        <v>16425</v>
      </c>
      <c r="D51766" t="s">
        <v>24290</v>
      </c>
    </row>
    <row r="51767" spans="1:4" x14ac:dyDescent="0.2">
      <c r="B51767" t="s">
        <v>8</v>
      </c>
      <c r="C51767" t="s">
        <v>1798</v>
      </c>
      <c r="D51767" t="s">
        <v>7725</v>
      </c>
    </row>
    <row r="51769" spans="1:4" x14ac:dyDescent="0.2">
      <c r="A51769" t="s">
        <v>16426</v>
      </c>
      <c r="B51769" t="str">
        <f>HYPERLINK("https://lindat.mff.cuni.cz/services/teitok/pdtc10/index.php?action=vallex&amp;frame=v-w7330f1", "uspořádat (v-w7330f1)")</f>
        <v>uspořádat (v-w7330f1)</v>
      </c>
    </row>
    <row r="51770" spans="1:4" x14ac:dyDescent="0.2">
      <c r="B51770" t="s">
        <v>1</v>
      </c>
      <c r="C51770" t="s">
        <v>2400</v>
      </c>
    </row>
    <row r="51771" spans="1:4" x14ac:dyDescent="0.2">
      <c r="B51771" t="s">
        <v>8</v>
      </c>
      <c r="C51771" t="s">
        <v>2402</v>
      </c>
    </row>
    <row r="51772" spans="1:4" x14ac:dyDescent="0.2">
      <c r="B51772" t="s">
        <v>24</v>
      </c>
    </row>
    <row r="51774" spans="1:4" x14ac:dyDescent="0.2">
      <c r="A51774" t="s">
        <v>16427</v>
      </c>
      <c r="B51774" t="str">
        <f>HYPERLINK("https://lindat.mff.cuni.cz/services/teitok/pdtc10/index.php?action=vallex&amp;frame=v-w7330f3", "uspořádat (v-w7330f3)")</f>
        <v>uspořádat (v-w7330f3)</v>
      </c>
    </row>
    <row r="51775" spans="1:4" x14ac:dyDescent="0.2">
      <c r="B51775" t="s">
        <v>1</v>
      </c>
      <c r="D51775" t="s">
        <v>140</v>
      </c>
    </row>
    <row r="51776" spans="1:4" x14ac:dyDescent="0.2">
      <c r="B51776" t="s">
        <v>8</v>
      </c>
      <c r="D51776" t="s">
        <v>113</v>
      </c>
    </row>
    <row r="51777" spans="1:4" x14ac:dyDescent="0.2">
      <c r="B51777" t="s">
        <v>2156</v>
      </c>
    </row>
    <row r="51779" spans="1:4" x14ac:dyDescent="0.2">
      <c r="A51779" t="s">
        <v>16428</v>
      </c>
      <c r="B51779" t="str">
        <f>HYPERLINK("https://lindat.mff.cuni.cz/services/teitok/pdtc10/index.php?action=vallex&amp;frame=v-w7330f2", "uspořádat (v-w7330f2)")</f>
        <v>uspořádat (v-w7330f2)</v>
      </c>
    </row>
    <row r="51780" spans="1:4" x14ac:dyDescent="0.2">
      <c r="B51780" t="s">
        <v>1</v>
      </c>
      <c r="C51780" t="s">
        <v>13005</v>
      </c>
      <c r="D51780" t="s">
        <v>24291</v>
      </c>
    </row>
    <row r="51781" spans="1:4" x14ac:dyDescent="0.2">
      <c r="B51781" t="s">
        <v>8</v>
      </c>
      <c r="C51781" t="s">
        <v>9757</v>
      </c>
      <c r="D51781" t="s">
        <v>24292</v>
      </c>
    </row>
    <row r="51783" spans="1:4" x14ac:dyDescent="0.2">
      <c r="A51783" t="s">
        <v>16429</v>
      </c>
      <c r="B51783" t="str">
        <f>HYPERLINK("https://lindat.mff.cuni.cz/services/teitok/pdtc10/index.php?action=vallex&amp;frame=v-w7330hsa_188", "uspořádat (v-w7330hsa_188)")</f>
        <v>uspořádat (v-w7330hsa_188)</v>
      </c>
    </row>
    <row r="51784" spans="1:4" x14ac:dyDescent="0.2">
      <c r="B51784" t="s">
        <v>1</v>
      </c>
    </row>
    <row r="51785" spans="1:4" x14ac:dyDescent="0.2">
      <c r="B51785" t="s">
        <v>8</v>
      </c>
    </row>
    <row r="51787" spans="1:4" x14ac:dyDescent="0.2">
      <c r="A51787" t="s">
        <v>16430</v>
      </c>
      <c r="B51787" t="str">
        <f>HYPERLINK("https://lindat.mff.cuni.cz/services/teitok/pdtc10/index.php?action=vallex&amp;frame=v-w11184f2", "uspořádávat (v-w11184f2)")</f>
        <v>uspořádávat (v-w11184f2)</v>
      </c>
    </row>
    <row r="51788" spans="1:4" x14ac:dyDescent="0.2">
      <c r="B51788" t="s">
        <v>1</v>
      </c>
      <c r="D51788" t="s">
        <v>23061</v>
      </c>
    </row>
    <row r="51789" spans="1:4" x14ac:dyDescent="0.2">
      <c r="B51789" t="s">
        <v>8</v>
      </c>
      <c r="D51789" t="s">
        <v>2374</v>
      </c>
    </row>
    <row r="51791" spans="1:4" x14ac:dyDescent="0.2">
      <c r="A51791" t="s">
        <v>16431</v>
      </c>
      <c r="B51791" t="str">
        <f>HYPERLINK("https://lindat.mff.cuni.cz/services/teitok/pdtc10/index.php?action=vallex&amp;frame=v-w7322f1", "uspíšit (v-w7322f1)")</f>
        <v>uspíšit (v-w7322f1)</v>
      </c>
    </row>
    <row r="51792" spans="1:4" x14ac:dyDescent="0.2">
      <c r="B51792" t="s">
        <v>1</v>
      </c>
      <c r="C51792" t="s">
        <v>16432</v>
      </c>
      <c r="D51792" t="s">
        <v>23837</v>
      </c>
    </row>
    <row r="51793" spans="1:4" x14ac:dyDescent="0.2">
      <c r="B51793" t="s">
        <v>8</v>
      </c>
      <c r="C51793" t="s">
        <v>3789</v>
      </c>
      <c r="D51793" t="s">
        <v>7118</v>
      </c>
    </row>
    <row r="51795" spans="1:4" x14ac:dyDescent="0.2">
      <c r="A51795" t="s">
        <v>16433</v>
      </c>
      <c r="B51795" t="str">
        <f>HYPERLINK("https://lindat.mff.cuni.cz/services/teitok/pdtc10/index.php?action=vallex&amp;frame=v-w7318f1", "uspěchat (v-w7318f1)")</f>
        <v>uspěchat (v-w7318f1)</v>
      </c>
    </row>
    <row r="51796" spans="1:4" x14ac:dyDescent="0.2">
      <c r="B51796" t="s">
        <v>1</v>
      </c>
    </row>
    <row r="51797" spans="1:4" x14ac:dyDescent="0.2">
      <c r="B51797" t="s">
        <v>8</v>
      </c>
    </row>
    <row r="51799" spans="1:4" x14ac:dyDescent="0.2">
      <c r="A51799" t="s">
        <v>16434</v>
      </c>
      <c r="B51799" t="str">
        <f>HYPERLINK("https://lindat.mff.cuni.cz/services/teitok/pdtc10/index.php?action=vallex&amp;frame=v-w7321f2", "uspět (v-w7321f2)")</f>
        <v>uspět (v-w7321f2)</v>
      </c>
    </row>
    <row r="51800" spans="1:4" x14ac:dyDescent="0.2">
      <c r="B51800" t="s">
        <v>1</v>
      </c>
      <c r="C51800" t="s">
        <v>12571</v>
      </c>
      <c r="D51800" t="s">
        <v>24293</v>
      </c>
    </row>
    <row r="51801" spans="1:4" x14ac:dyDescent="0.2">
      <c r="B51801" t="s">
        <v>411</v>
      </c>
      <c r="C51801" t="s">
        <v>16435</v>
      </c>
      <c r="D51801" t="s">
        <v>1066</v>
      </c>
    </row>
    <row r="51803" spans="1:4" x14ac:dyDescent="0.2">
      <c r="A51803" t="s">
        <v>16436</v>
      </c>
      <c r="B51803" t="str">
        <f>HYPERLINK("https://lindat.mff.cuni.cz/services/teitok/pdtc10/index.php?action=vallex&amp;frame=v-w7321f1", "uspět (v-w7321f1)")</f>
        <v>uspět (v-w7321f1)</v>
      </c>
    </row>
    <row r="51804" spans="1:4" x14ac:dyDescent="0.2">
      <c r="B51804" t="s">
        <v>1</v>
      </c>
      <c r="C51804" t="s">
        <v>16437</v>
      </c>
      <c r="D51804" t="s">
        <v>24294</v>
      </c>
    </row>
    <row r="51806" spans="1:4" x14ac:dyDescent="0.2">
      <c r="A51806" t="s">
        <v>16438</v>
      </c>
      <c r="B51806" t="str">
        <f>HYPERLINK("https://lindat.mff.cuni.cz/services/teitok/pdtc10/index.php?action=vallex&amp;frame=v-w11158f2", "usrkávat (v-w11158f2)")</f>
        <v>usrkávat (v-w11158f2)</v>
      </c>
    </row>
    <row r="51807" spans="1:4" x14ac:dyDescent="0.2">
      <c r="B51807" t="s">
        <v>1</v>
      </c>
      <c r="C51807" t="s">
        <v>140</v>
      </c>
      <c r="D51807" t="s">
        <v>373</v>
      </c>
    </row>
    <row r="51808" spans="1:4" x14ac:dyDescent="0.2">
      <c r="B51808" t="s">
        <v>8</v>
      </c>
      <c r="C51808" t="s">
        <v>34</v>
      </c>
      <c r="D51808" t="s">
        <v>54</v>
      </c>
    </row>
    <row r="51810" spans="1:4" x14ac:dyDescent="0.2">
      <c r="A51810" t="s">
        <v>16439</v>
      </c>
      <c r="B51810" t="str">
        <f>HYPERLINK("https://lindat.mff.cuni.cz/services/teitok/pdtc10/index.php?action=vallex&amp;frame=v-w11989_ZUf1_ZU", "ustalovat (v-w11989_ZUf1_ZU)")</f>
        <v>ustalovat (v-w11989_ZUf1_ZU)</v>
      </c>
    </row>
    <row r="51811" spans="1:4" x14ac:dyDescent="0.2">
      <c r="B51811" t="s">
        <v>1</v>
      </c>
    </row>
    <row r="51812" spans="1:4" x14ac:dyDescent="0.2">
      <c r="B51812" t="s">
        <v>8</v>
      </c>
    </row>
    <row r="51814" spans="1:4" x14ac:dyDescent="0.2">
      <c r="A51814" t="s">
        <v>16440</v>
      </c>
      <c r="B51814" t="str">
        <f>HYPERLINK("https://lindat.mff.cuni.cz/services/teitok/pdtc10/index.php?action=vallex&amp;frame=v-w7333f1", "ustalovat se (v-w7333f1)")</f>
        <v>ustalovat se (v-w7333f1)</v>
      </c>
    </row>
    <row r="51815" spans="1:4" x14ac:dyDescent="0.2">
      <c r="B51815" t="s">
        <v>1</v>
      </c>
      <c r="C51815" t="s">
        <v>430</v>
      </c>
      <c r="D51815" t="s">
        <v>24271</v>
      </c>
    </row>
    <row r="51817" spans="1:4" x14ac:dyDescent="0.2">
      <c r="A51817" t="s">
        <v>16441</v>
      </c>
      <c r="B51817" t="str">
        <f>HYPERLINK("https://lindat.mff.cuni.cz/services/teitok/pdtc10/index.php?action=vallex&amp;frame=v-w7335f1", "ustanovit (v-w7335f1)")</f>
        <v>ustanovit (v-w7335f1)</v>
      </c>
    </row>
    <row r="51818" spans="1:4" x14ac:dyDescent="0.2">
      <c r="B51818" t="s">
        <v>1</v>
      </c>
      <c r="C51818" t="s">
        <v>6245</v>
      </c>
      <c r="D51818" t="s">
        <v>24111</v>
      </c>
    </row>
    <row r="51819" spans="1:4" x14ac:dyDescent="0.2">
      <c r="B51819" t="s">
        <v>41</v>
      </c>
      <c r="C51819" t="s">
        <v>16442</v>
      </c>
      <c r="D51819" t="s">
        <v>24112</v>
      </c>
    </row>
    <row r="51820" spans="1:4" x14ac:dyDescent="0.2">
      <c r="B51820" t="s">
        <v>24</v>
      </c>
      <c r="D51820" t="s">
        <v>7067</v>
      </c>
    </row>
    <row r="51822" spans="1:4" x14ac:dyDescent="0.2">
      <c r="A51822" t="s">
        <v>16443</v>
      </c>
      <c r="B51822" t="str">
        <f>HYPERLINK("https://lindat.mff.cuni.cz/services/teitok/pdtc10/index.php?action=vallex&amp;frame=v-w7335f2", "ustanovit (v-w7335f2)")</f>
        <v>ustanovit (v-w7335f2)</v>
      </c>
    </row>
    <row r="51823" spans="1:4" x14ac:dyDescent="0.2">
      <c r="B51823" t="s">
        <v>1</v>
      </c>
      <c r="C51823" t="s">
        <v>3081</v>
      </c>
    </row>
    <row r="51824" spans="1:4" x14ac:dyDescent="0.2">
      <c r="B51824" t="s">
        <v>8</v>
      </c>
      <c r="C51824" t="s">
        <v>1277</v>
      </c>
    </row>
    <row r="51825" spans="1:4" x14ac:dyDescent="0.2">
      <c r="B51825" t="s">
        <v>11364</v>
      </c>
      <c r="C51825" t="s">
        <v>16444</v>
      </c>
    </row>
    <row r="51827" spans="1:4" x14ac:dyDescent="0.2">
      <c r="A51827" t="s">
        <v>16445</v>
      </c>
      <c r="B51827" t="str">
        <f>HYPERLINK("https://lindat.mff.cuni.cz/services/teitok/pdtc10/index.php?action=vallex&amp;frame=v-w7335hsa_392", "ustanovit (v-w7335hsa_392)")</f>
        <v>ustanovit (v-w7335hsa_392)</v>
      </c>
    </row>
    <row r="51828" spans="1:4" x14ac:dyDescent="0.2">
      <c r="B51828" t="s">
        <v>1</v>
      </c>
      <c r="C51828" t="s">
        <v>9581</v>
      </c>
      <c r="D51828" t="s">
        <v>23261</v>
      </c>
    </row>
    <row r="51829" spans="1:4" x14ac:dyDescent="0.2">
      <c r="B51829" t="s">
        <v>124</v>
      </c>
      <c r="C51829" t="s">
        <v>14196</v>
      </c>
      <c r="D51829" t="s">
        <v>9548</v>
      </c>
    </row>
    <row r="51831" spans="1:4" x14ac:dyDescent="0.2">
      <c r="A51831" t="s">
        <v>16446</v>
      </c>
      <c r="B51831" t="str">
        <f>HYPERLINK("https://lindat.mff.cuni.cz/services/teitok/pdtc10/index.php?action=vallex&amp;frame=v-w10736f2", "ustanovovat (v-w10736f2)")</f>
        <v>ustanovovat (v-w10736f2)</v>
      </c>
    </row>
    <row r="51832" spans="1:4" x14ac:dyDescent="0.2">
      <c r="B51832" t="s">
        <v>1</v>
      </c>
      <c r="C51832" t="s">
        <v>1586</v>
      </c>
      <c r="D51832" t="s">
        <v>23042</v>
      </c>
    </row>
    <row r="51833" spans="1:4" x14ac:dyDescent="0.2">
      <c r="B51833" t="s">
        <v>124</v>
      </c>
      <c r="C51833" t="s">
        <v>16447</v>
      </c>
      <c r="D51833" t="s">
        <v>23043</v>
      </c>
    </row>
    <row r="51835" spans="1:4" x14ac:dyDescent="0.2">
      <c r="A51835" t="s">
        <v>16448</v>
      </c>
      <c r="B51835" t="str">
        <f>HYPERLINK("https://lindat.mff.cuni.cz/services/teitok/pdtc10/index.php?action=vallex&amp;frame=v-w7336f2", "ustat (v-w7336f2)")</f>
        <v>ustat (v-w7336f2)</v>
      </c>
    </row>
    <row r="51836" spans="1:4" x14ac:dyDescent="0.2">
      <c r="B51836" t="s">
        <v>1</v>
      </c>
    </row>
    <row r="51837" spans="1:4" x14ac:dyDescent="0.2">
      <c r="B51837" t="s">
        <v>9633</v>
      </c>
    </row>
    <row r="51839" spans="1:4" x14ac:dyDescent="0.2">
      <c r="A51839" t="s">
        <v>16449</v>
      </c>
      <c r="B51839" t="str">
        <f>HYPERLINK("https://lindat.mff.cuni.cz/services/teitok/pdtc10/index.php?action=vallex&amp;frame=v-w7336f1", "ustat (v-w7336f1)")</f>
        <v>ustat (v-w7336f1)</v>
      </c>
    </row>
    <row r="51840" spans="1:4" x14ac:dyDescent="0.2">
      <c r="B51840" t="s">
        <v>1</v>
      </c>
      <c r="C51840" t="s">
        <v>16450</v>
      </c>
      <c r="D51840" t="s">
        <v>23324</v>
      </c>
    </row>
    <row r="51842" spans="1:4" x14ac:dyDescent="0.2">
      <c r="A51842" t="s">
        <v>16451</v>
      </c>
      <c r="B51842" t="str">
        <f>HYPERLINK("https://lindat.mff.cuni.cz/services/teitok/pdtc10/index.php?action=vallex&amp;frame=v-w7340f1", "ustavit (v-w7340f1)")</f>
        <v>ustavit (v-w7340f1)</v>
      </c>
    </row>
    <row r="51843" spans="1:4" x14ac:dyDescent="0.2">
      <c r="B51843" t="s">
        <v>1</v>
      </c>
      <c r="C51843" t="s">
        <v>16452</v>
      </c>
      <c r="D51843" t="s">
        <v>23042</v>
      </c>
    </row>
    <row r="51844" spans="1:4" x14ac:dyDescent="0.2">
      <c r="B51844" t="s">
        <v>41</v>
      </c>
      <c r="C51844" t="s">
        <v>16453</v>
      </c>
      <c r="D51844" t="s">
        <v>23043</v>
      </c>
    </row>
    <row r="51846" spans="1:4" x14ac:dyDescent="0.2">
      <c r="A51846" t="s">
        <v>16454</v>
      </c>
      <c r="B51846" t="str">
        <f>HYPERLINK("https://lindat.mff.cuni.cz/services/teitok/pdtc10/index.php?action=vallex&amp;frame=v-w7340f2_ZU", "ustavit (v-w7340f2_ZU)")</f>
        <v>ustavit (v-w7340f2_ZU)</v>
      </c>
    </row>
    <row r="51847" spans="1:4" x14ac:dyDescent="0.2">
      <c r="B51847" t="s">
        <v>1</v>
      </c>
    </row>
    <row r="51848" spans="1:4" x14ac:dyDescent="0.2">
      <c r="B51848" t="s">
        <v>8</v>
      </c>
    </row>
    <row r="51849" spans="1:4" x14ac:dyDescent="0.2">
      <c r="B51849" t="s">
        <v>3744</v>
      </c>
    </row>
    <row r="51851" spans="1:4" x14ac:dyDescent="0.2">
      <c r="A51851" t="s">
        <v>16455</v>
      </c>
      <c r="B51851" t="str">
        <f>HYPERLINK("https://lindat.mff.cuni.cz/services/teitok/pdtc10/index.php?action=vallex&amp;frame=v-w7341f2", "ustavovat (v-w7341f2)")</f>
        <v>ustavovat (v-w7341f2)</v>
      </c>
    </row>
    <row r="51852" spans="1:4" x14ac:dyDescent="0.2">
      <c r="B51852" t="s">
        <v>1</v>
      </c>
    </row>
    <row r="51853" spans="1:4" x14ac:dyDescent="0.2">
      <c r="B51853" t="s">
        <v>8</v>
      </c>
    </row>
    <row r="51854" spans="1:4" x14ac:dyDescent="0.2">
      <c r="B51854" t="s">
        <v>16456</v>
      </c>
    </row>
    <row r="51856" spans="1:4" x14ac:dyDescent="0.2">
      <c r="A51856" t="s">
        <v>16457</v>
      </c>
      <c r="B51856" t="str">
        <f>HYPERLINK("https://lindat.mff.cuni.cz/services/teitok/pdtc10/index.php?action=vallex&amp;frame=v-w7341f1", "ustavovat (v-w7341f1)")</f>
        <v>ustavovat (v-w7341f1)</v>
      </c>
    </row>
    <row r="51857" spans="1:4" x14ac:dyDescent="0.2">
      <c r="B51857" t="s">
        <v>1</v>
      </c>
      <c r="D51857" t="s">
        <v>24111</v>
      </c>
    </row>
    <row r="51858" spans="1:4" x14ac:dyDescent="0.2">
      <c r="B51858" t="s">
        <v>41</v>
      </c>
      <c r="D51858" t="s">
        <v>24112</v>
      </c>
    </row>
    <row r="51860" spans="1:4" x14ac:dyDescent="0.2">
      <c r="A51860" t="s">
        <v>16458</v>
      </c>
      <c r="B51860" t="str">
        <f>HYPERLINK("https://lindat.mff.cuni.cz/services/teitok/pdtc10/index.php?action=vallex&amp;frame=v-w11612_ZUhsa_2059", "ustlat (v-w11612_ZUhsa_2059)")</f>
        <v>ustlat (v-w11612_ZUhsa_2059)</v>
      </c>
    </row>
    <row r="51861" spans="1:4" x14ac:dyDescent="0.2">
      <c r="B51861" t="s">
        <v>1</v>
      </c>
    </row>
    <row r="51862" spans="1:4" x14ac:dyDescent="0.2">
      <c r="B51862" t="s">
        <v>8</v>
      </c>
    </row>
    <row r="51864" spans="1:4" x14ac:dyDescent="0.2">
      <c r="A51864" t="s">
        <v>16459</v>
      </c>
      <c r="B51864" t="str">
        <f>HYPERLINK("https://lindat.mff.cuni.cz/services/teitok/pdtc10/index.php?action=vallex&amp;frame=v-w11613_ZUf1_ZU", "ustlat si (v-w11613_ZUf1_ZU)")</f>
        <v>ustlat si (v-w11613_ZUf1_ZU)</v>
      </c>
    </row>
    <row r="51865" spans="1:4" x14ac:dyDescent="0.2">
      <c r="B51865" t="s">
        <v>1</v>
      </c>
      <c r="C51865" t="s">
        <v>140</v>
      </c>
      <c r="D51865" t="s">
        <v>140</v>
      </c>
    </row>
    <row r="51866" spans="1:4" x14ac:dyDescent="0.2">
      <c r="B51866" t="s">
        <v>889</v>
      </c>
    </row>
    <row r="51868" spans="1:4" x14ac:dyDescent="0.2">
      <c r="A51868" t="s">
        <v>16460</v>
      </c>
      <c r="B51868" t="str">
        <f>HYPERLINK("https://lindat.mff.cuni.cz/services/teitok/pdtc10/index.php?action=vallex&amp;frame=v-w7344f1", "ustoupit (v-w7344f1)")</f>
        <v>ustoupit (v-w7344f1)</v>
      </c>
    </row>
    <row r="51869" spans="1:4" x14ac:dyDescent="0.2">
      <c r="B51869" t="s">
        <v>1</v>
      </c>
      <c r="C51869" t="s">
        <v>16461</v>
      </c>
      <c r="D51869" t="s">
        <v>9938</v>
      </c>
    </row>
    <row r="51870" spans="1:4" x14ac:dyDescent="0.2">
      <c r="B51870" t="s">
        <v>103</v>
      </c>
      <c r="C51870" t="s">
        <v>6752</v>
      </c>
      <c r="D51870" t="s">
        <v>4088</v>
      </c>
    </row>
    <row r="51872" spans="1:4" x14ac:dyDescent="0.2">
      <c r="A51872" t="s">
        <v>16462</v>
      </c>
      <c r="B51872" t="str">
        <f>HYPERLINK("https://lindat.mff.cuni.cz/services/teitok/pdtc10/index.php?action=vallex&amp;frame=v-w7344f2", "ustoupit (v-w7344f2)")</f>
        <v>ustoupit (v-w7344f2)</v>
      </c>
    </row>
    <row r="51873" spans="1:4" x14ac:dyDescent="0.2">
      <c r="B51873" t="s">
        <v>1</v>
      </c>
      <c r="C51873" t="s">
        <v>4811</v>
      </c>
      <c r="D51873" t="s">
        <v>23064</v>
      </c>
    </row>
    <row r="51874" spans="1:4" x14ac:dyDescent="0.2">
      <c r="B51874" t="s">
        <v>19</v>
      </c>
      <c r="C51874" t="s">
        <v>16463</v>
      </c>
      <c r="D51874" t="s">
        <v>23065</v>
      </c>
    </row>
    <row r="51876" spans="1:4" x14ac:dyDescent="0.2">
      <c r="A51876" t="s">
        <v>16464</v>
      </c>
      <c r="B51876" t="str">
        <f>HYPERLINK("https://lindat.mff.cuni.cz/services/teitok/pdtc10/index.php?action=vallex&amp;frame=v-w7344f3", "ustoupit (v-w7344f3)")</f>
        <v>ustoupit (v-w7344f3)</v>
      </c>
    </row>
    <row r="51877" spans="1:4" x14ac:dyDescent="0.2">
      <c r="B51877" t="s">
        <v>1</v>
      </c>
      <c r="C51877" t="s">
        <v>2444</v>
      </c>
      <c r="D51877" t="s">
        <v>24295</v>
      </c>
    </row>
    <row r="51878" spans="1:4" x14ac:dyDescent="0.2">
      <c r="B51878" t="s">
        <v>333</v>
      </c>
      <c r="D51878" t="s">
        <v>24296</v>
      </c>
    </row>
    <row r="51880" spans="1:4" x14ac:dyDescent="0.2">
      <c r="A51880" t="s">
        <v>16465</v>
      </c>
      <c r="B51880" t="str">
        <f>HYPERLINK("https://lindat.mff.cuni.cz/services/teitok/pdtc10/index.php?action=vallex&amp;frame=v-w7344f5", "ustoupit (v-w7344f5)")</f>
        <v>ustoupit (v-w7344f5)</v>
      </c>
    </row>
    <row r="51881" spans="1:4" x14ac:dyDescent="0.2">
      <c r="B51881" t="s">
        <v>1</v>
      </c>
      <c r="C51881" t="s">
        <v>1549</v>
      </c>
      <c r="D51881" t="s">
        <v>33</v>
      </c>
    </row>
    <row r="51882" spans="1:4" x14ac:dyDescent="0.2">
      <c r="B51882" t="s">
        <v>333</v>
      </c>
      <c r="C51882" t="s">
        <v>16466</v>
      </c>
      <c r="D51882" t="s">
        <v>16477</v>
      </c>
    </row>
    <row r="51884" spans="1:4" x14ac:dyDescent="0.2">
      <c r="A51884" t="s">
        <v>16467</v>
      </c>
      <c r="B51884" t="str">
        <f>HYPERLINK("https://lindat.mff.cuni.cz/services/teitok/pdtc10/index.php?action=vallex&amp;frame=v-w7344f4", "ustoupit (v-w7344f4)")</f>
        <v>ustoupit (v-w7344f4)</v>
      </c>
    </row>
    <row r="51885" spans="1:4" x14ac:dyDescent="0.2">
      <c r="B51885" t="s">
        <v>1</v>
      </c>
      <c r="C51885" t="s">
        <v>16468</v>
      </c>
      <c r="D51885" t="s">
        <v>23636</v>
      </c>
    </row>
    <row r="51887" spans="1:4" x14ac:dyDescent="0.2">
      <c r="A51887" t="s">
        <v>16469</v>
      </c>
      <c r="B51887" t="str">
        <f>HYPERLINK("https://lindat.mff.cuni.cz/services/teitok/pdtc10/index.php?action=vallex&amp;frame=v-w7344f6_ZU", "ustoupit (v-w7344f6_ZU)")</f>
        <v>ustoupit (v-w7344f6_ZU)</v>
      </c>
    </row>
    <row r="51888" spans="1:4" x14ac:dyDescent="0.2">
      <c r="B51888" t="s">
        <v>1</v>
      </c>
      <c r="C51888" t="s">
        <v>127</v>
      </c>
      <c r="D51888" t="s">
        <v>23736</v>
      </c>
    </row>
    <row r="51889" spans="1:4" x14ac:dyDescent="0.2">
      <c r="B51889" t="s">
        <v>46</v>
      </c>
      <c r="D51889" t="s">
        <v>23737</v>
      </c>
    </row>
    <row r="51890" spans="1:4" x14ac:dyDescent="0.2">
      <c r="B51890" t="s">
        <v>24</v>
      </c>
      <c r="D51890" t="s">
        <v>23738</v>
      </c>
    </row>
    <row r="51892" spans="1:4" x14ac:dyDescent="0.2">
      <c r="A51892" t="s">
        <v>16469</v>
      </c>
      <c r="B51892" t="str">
        <f>HYPERLINK("https://lindat.mff.cuni.cz/services/teitok/pdtc10/index.php?action=vallex&amp;frame=v-w7344hsa_518", "ustoupit (v-w7344hsa_518) - substituted with v-w7344f6_ZU")</f>
        <v>ustoupit (v-w7344hsa_518) - substituted with v-w7344f6_ZU</v>
      </c>
    </row>
    <row r="51893" spans="1:4" x14ac:dyDescent="0.2">
      <c r="B51893" t="s">
        <v>1</v>
      </c>
    </row>
    <row r="51894" spans="1:4" x14ac:dyDescent="0.2">
      <c r="B51894" t="s">
        <v>46</v>
      </c>
    </row>
    <row r="51895" spans="1:4" x14ac:dyDescent="0.2">
      <c r="B51895" t="s">
        <v>24</v>
      </c>
    </row>
    <row r="51897" spans="1:4" x14ac:dyDescent="0.2">
      <c r="A51897" t="s">
        <v>16470</v>
      </c>
      <c r="B51897" t="str">
        <f>HYPERLINK("https://lindat.mff.cuni.cz/services/teitok/pdtc10/index.php?action=vallex&amp;frame=v-w7346f1", "ustrnout (v-w7346f1)")</f>
        <v>ustrnout (v-w7346f1)</v>
      </c>
    </row>
    <row r="51898" spans="1:4" x14ac:dyDescent="0.2">
      <c r="B51898" t="s">
        <v>1</v>
      </c>
    </row>
    <row r="51900" spans="1:4" x14ac:dyDescent="0.2">
      <c r="A51900" t="s">
        <v>16471</v>
      </c>
      <c r="B51900" t="str">
        <f>HYPERLINK("https://lindat.mff.cuni.cz/services/teitok/pdtc10/index.php?action=vallex&amp;frame=v-w12152_ZUf1_ZU", "ustrojit (v-w12152_ZUf1_ZU)")</f>
        <v>ustrojit (v-w12152_ZUf1_ZU)</v>
      </c>
    </row>
    <row r="51901" spans="1:4" x14ac:dyDescent="0.2">
      <c r="B51901" t="s">
        <v>1</v>
      </c>
    </row>
    <row r="51902" spans="1:4" x14ac:dyDescent="0.2">
      <c r="B51902" t="s">
        <v>8</v>
      </c>
    </row>
    <row r="51904" spans="1:4" x14ac:dyDescent="0.2">
      <c r="A51904" t="s">
        <v>16472</v>
      </c>
      <c r="B51904" t="str">
        <f>HYPERLINK("https://lindat.mff.cuni.cz/services/teitok/pdtc10/index.php?action=vallex&amp;frame=v-w11708_ZUf1_ZU", "ustrojit se (v-w11708_ZUf1_ZU)")</f>
        <v>ustrojit se (v-w11708_ZUf1_ZU)</v>
      </c>
    </row>
    <row r="51905" spans="1:4" x14ac:dyDescent="0.2">
      <c r="B51905" t="s">
        <v>1</v>
      </c>
    </row>
    <row r="51906" spans="1:4" x14ac:dyDescent="0.2">
      <c r="B51906" t="s">
        <v>3202</v>
      </c>
    </row>
    <row r="51908" spans="1:4" x14ac:dyDescent="0.2">
      <c r="A51908" t="s">
        <v>16473</v>
      </c>
      <c r="B51908" t="str">
        <f>HYPERLINK("https://lindat.mff.cuni.cz/services/teitok/pdtc10/index.php?action=vallex&amp;frame=v-w7350f1", "ustupovat (v-w7350f1)")</f>
        <v>ustupovat (v-w7350f1)</v>
      </c>
    </row>
    <row r="51909" spans="1:4" x14ac:dyDescent="0.2">
      <c r="B51909" t="s">
        <v>1</v>
      </c>
      <c r="D51909" t="s">
        <v>9938</v>
      </c>
    </row>
    <row r="51910" spans="1:4" x14ac:dyDescent="0.2">
      <c r="B51910" t="s">
        <v>8167</v>
      </c>
      <c r="D51910" t="s">
        <v>4088</v>
      </c>
    </row>
    <row r="51912" spans="1:4" x14ac:dyDescent="0.2">
      <c r="A51912" t="s">
        <v>16474</v>
      </c>
      <c r="B51912" t="str">
        <f>HYPERLINK("https://lindat.mff.cuni.cz/services/teitok/pdtc10/index.php?action=vallex&amp;frame=v-w7350f3", "ustupovat (v-w7350f3)")</f>
        <v>ustupovat (v-w7350f3)</v>
      </c>
    </row>
    <row r="51913" spans="1:4" x14ac:dyDescent="0.2">
      <c r="B51913" t="s">
        <v>1</v>
      </c>
      <c r="C51913" t="s">
        <v>33</v>
      </c>
      <c r="D51913" t="s">
        <v>23064</v>
      </c>
    </row>
    <row r="51914" spans="1:4" x14ac:dyDescent="0.2">
      <c r="B51914" t="s">
        <v>19</v>
      </c>
      <c r="C51914" t="s">
        <v>34</v>
      </c>
      <c r="D51914" t="s">
        <v>23065</v>
      </c>
    </row>
    <row r="51916" spans="1:4" x14ac:dyDescent="0.2">
      <c r="A51916" t="s">
        <v>16475</v>
      </c>
      <c r="B51916" t="str">
        <f>HYPERLINK("https://lindat.mff.cuni.cz/services/teitok/pdtc10/index.php?action=vallex&amp;frame=v-w7350f2", "ustupovat (v-w7350f2)")</f>
        <v>ustupovat (v-w7350f2)</v>
      </c>
    </row>
    <row r="51917" spans="1:4" x14ac:dyDescent="0.2">
      <c r="B51917" t="s">
        <v>1</v>
      </c>
      <c r="C51917" t="s">
        <v>127</v>
      </c>
      <c r="D51917" t="s">
        <v>33</v>
      </c>
    </row>
    <row r="51918" spans="1:4" x14ac:dyDescent="0.2">
      <c r="B51918" t="s">
        <v>333</v>
      </c>
      <c r="D51918" t="s">
        <v>16477</v>
      </c>
    </row>
    <row r="51920" spans="1:4" x14ac:dyDescent="0.2">
      <c r="A51920" t="s">
        <v>16476</v>
      </c>
      <c r="B51920" t="str">
        <f>HYPERLINK("https://lindat.mff.cuni.cz/services/teitok/pdtc10/index.php?action=vallex&amp;frame=v-w7350f4", "ustupovat (v-w7350f4)")</f>
        <v>ustupovat (v-w7350f4)</v>
      </c>
    </row>
    <row r="51921" spans="1:4" x14ac:dyDescent="0.2">
      <c r="B51921" t="s">
        <v>1</v>
      </c>
      <c r="C51921" t="s">
        <v>33</v>
      </c>
      <c r="D51921" t="s">
        <v>33</v>
      </c>
    </row>
    <row r="51922" spans="1:4" x14ac:dyDescent="0.2">
      <c r="B51922" t="s">
        <v>333</v>
      </c>
      <c r="C51922" t="s">
        <v>16477</v>
      </c>
      <c r="D51922" t="s">
        <v>16477</v>
      </c>
    </row>
    <row r="51924" spans="1:4" x14ac:dyDescent="0.2">
      <c r="A51924" t="s">
        <v>16478</v>
      </c>
      <c r="B51924" t="str">
        <f>HYPERLINK("https://lindat.mff.cuni.cz/services/teitok/pdtc10/index.php?action=vallex&amp;frame=v-w7350f5", "ustupovat (v-w7350f5)")</f>
        <v>ustupovat (v-w7350f5)</v>
      </c>
    </row>
    <row r="51925" spans="1:4" x14ac:dyDescent="0.2">
      <c r="B51925" t="s">
        <v>1</v>
      </c>
      <c r="C51925" t="s">
        <v>13629</v>
      </c>
      <c r="D51925" t="s">
        <v>23636</v>
      </c>
    </row>
    <row r="51927" spans="1:4" x14ac:dyDescent="0.2">
      <c r="A51927" t="s">
        <v>16479</v>
      </c>
      <c r="B51927" t="str">
        <f>HYPERLINK("https://lindat.mff.cuni.cz/services/teitok/pdtc10/index.php?action=vallex&amp;frame=v-whsa_905f1_ZU", "ustálit (v-whsa_905f1_ZU)")</f>
        <v>ustálit (v-whsa_905f1_ZU)</v>
      </c>
    </row>
    <row r="51928" spans="1:4" x14ac:dyDescent="0.2">
      <c r="B51928" t="s">
        <v>1</v>
      </c>
      <c r="C51928" t="s">
        <v>133</v>
      </c>
      <c r="D51928" t="s">
        <v>83</v>
      </c>
    </row>
    <row r="51929" spans="1:4" x14ac:dyDescent="0.2">
      <c r="B51929" t="s">
        <v>8</v>
      </c>
      <c r="C51929" t="s">
        <v>110</v>
      </c>
      <c r="D51929" t="s">
        <v>2235</v>
      </c>
    </row>
    <row r="51931" spans="1:4" x14ac:dyDescent="0.2">
      <c r="A51931" t="s">
        <v>16479</v>
      </c>
      <c r="B51931" t="str">
        <f>HYPERLINK("https://lindat.mff.cuni.cz/services/teitok/pdtc10/index.php?action=vallex&amp;frame=v-whsa_905hsa_906", "ustálit (v-whsa_905hsa_906) - substituted with v-whsa_905f1_ZU")</f>
        <v>ustálit (v-whsa_905hsa_906) - substituted with v-whsa_905f1_ZU</v>
      </c>
    </row>
    <row r="51932" spans="1:4" x14ac:dyDescent="0.2">
      <c r="B51932" t="s">
        <v>1</v>
      </c>
    </row>
    <row r="51933" spans="1:4" x14ac:dyDescent="0.2">
      <c r="B51933" t="s">
        <v>8</v>
      </c>
    </row>
    <row r="51935" spans="1:4" x14ac:dyDescent="0.2">
      <c r="A51935" t="s">
        <v>16480</v>
      </c>
      <c r="B51935" t="str">
        <f>HYPERLINK("https://lindat.mff.cuni.cz/services/teitok/pdtc10/index.php?action=vallex&amp;frame=v-w7332f1", "ustálit se (v-w7332f1)")</f>
        <v>ustálit se (v-w7332f1)</v>
      </c>
    </row>
    <row r="51936" spans="1:4" x14ac:dyDescent="0.2">
      <c r="B51936" t="s">
        <v>1</v>
      </c>
      <c r="C51936" t="s">
        <v>16481</v>
      </c>
      <c r="D51936" t="s">
        <v>24198</v>
      </c>
    </row>
    <row r="51938" spans="1:4" x14ac:dyDescent="0.2">
      <c r="A51938" t="s">
        <v>16482</v>
      </c>
      <c r="B51938" t="str">
        <f>HYPERLINK("https://lindat.mff.cuni.cz/services/teitok/pdtc10/index.php?action=vallex&amp;frame=v-w7337f1", "ustát (v-w7337f1)")</f>
        <v>ustát (v-w7337f1)</v>
      </c>
    </row>
    <row r="51939" spans="1:4" x14ac:dyDescent="0.2">
      <c r="B51939" t="s">
        <v>1</v>
      </c>
      <c r="C51939" t="s">
        <v>66</v>
      </c>
      <c r="D51939" t="s">
        <v>430</v>
      </c>
    </row>
    <row r="51940" spans="1:4" x14ac:dyDescent="0.2">
      <c r="B51940" t="s">
        <v>8</v>
      </c>
      <c r="C51940" t="s">
        <v>6560</v>
      </c>
      <c r="D51940" t="s">
        <v>1128</v>
      </c>
    </row>
    <row r="51942" spans="1:4" x14ac:dyDescent="0.2">
      <c r="A51942" t="s">
        <v>16483</v>
      </c>
      <c r="B51942" t="str">
        <f>HYPERLINK("https://lindat.mff.cuni.cz/services/teitok/pdtc10/index.php?action=vallex&amp;frame=v-w7338f2", "ustávat (v-w7338f2)")</f>
        <v>ustávat (v-w7338f2)</v>
      </c>
    </row>
    <row r="51943" spans="1:4" x14ac:dyDescent="0.2">
      <c r="B51943" t="s">
        <v>1</v>
      </c>
    </row>
    <row r="51944" spans="1:4" x14ac:dyDescent="0.2">
      <c r="B51944" t="s">
        <v>9633</v>
      </c>
    </row>
    <row r="51946" spans="1:4" x14ac:dyDescent="0.2">
      <c r="A51946" t="s">
        <v>16484</v>
      </c>
      <c r="B51946" t="str">
        <f>HYPERLINK("https://lindat.mff.cuni.cz/services/teitok/pdtc10/index.php?action=vallex&amp;frame=v-w7338f1", "ustávat (v-w7338f1)")</f>
        <v>ustávat (v-w7338f1)</v>
      </c>
    </row>
    <row r="51947" spans="1:4" x14ac:dyDescent="0.2">
      <c r="B51947" t="s">
        <v>1</v>
      </c>
      <c r="C51947" t="s">
        <v>715</v>
      </c>
      <c r="D51947" t="s">
        <v>23735</v>
      </c>
    </row>
    <row r="51949" spans="1:4" x14ac:dyDescent="0.2">
      <c r="A51949" t="s">
        <v>16485</v>
      </c>
      <c r="B51949" t="str">
        <f>HYPERLINK("https://lindat.mff.cuni.cz/services/teitok/pdtc10/index.php?action=vallex&amp;frame=v-w7352f2", "usuzovat (v-w7352f2)")</f>
        <v>usuzovat (v-w7352f2)</v>
      </c>
    </row>
    <row r="51950" spans="1:4" x14ac:dyDescent="0.2">
      <c r="B51950" t="s">
        <v>1</v>
      </c>
      <c r="C51950" t="s">
        <v>16486</v>
      </c>
      <c r="D51950" t="s">
        <v>24297</v>
      </c>
    </row>
    <row r="51951" spans="1:4" x14ac:dyDescent="0.2">
      <c r="B51951" t="s">
        <v>124</v>
      </c>
      <c r="C51951" t="s">
        <v>7513</v>
      </c>
      <c r="D51951" t="s">
        <v>24298</v>
      </c>
    </row>
    <row r="51953" spans="1:4" x14ac:dyDescent="0.2">
      <c r="A51953" t="s">
        <v>16487</v>
      </c>
      <c r="B51953" t="str">
        <f>HYPERLINK("https://lindat.mff.cuni.cz/services/teitok/pdtc10/index.php?action=vallex&amp;frame=v-w7352f1", "usuzovat (v-w7352f1)")</f>
        <v>usuzovat (v-w7352f1)</v>
      </c>
    </row>
    <row r="51954" spans="1:4" x14ac:dyDescent="0.2">
      <c r="B51954" t="s">
        <v>1</v>
      </c>
      <c r="C51954" t="s">
        <v>16488</v>
      </c>
      <c r="D51954" t="s">
        <v>23149</v>
      </c>
    </row>
    <row r="51955" spans="1:4" x14ac:dyDescent="0.2">
      <c r="B51955" t="s">
        <v>7587</v>
      </c>
      <c r="C51955" t="s">
        <v>16489</v>
      </c>
      <c r="D51955" t="s">
        <v>23150</v>
      </c>
    </row>
    <row r="51956" spans="1:4" x14ac:dyDescent="0.2">
      <c r="B51956" t="s">
        <v>269</v>
      </c>
      <c r="D51956" t="s">
        <v>23151</v>
      </c>
    </row>
    <row r="51957" spans="1:4" x14ac:dyDescent="0.2">
      <c r="B51957" t="s">
        <v>24</v>
      </c>
    </row>
    <row r="51959" spans="1:4" x14ac:dyDescent="0.2">
      <c r="A51959" t="s">
        <v>16490</v>
      </c>
      <c r="B51959" t="str">
        <f>HYPERLINK("https://lindat.mff.cuni.cz/services/teitok/pdtc10/index.php?action=vallex&amp;frame=v-whsa_1478hsa_1479", "usušit (v-whsa_1478hsa_1479)")</f>
        <v>usušit (v-whsa_1478hsa_1479)</v>
      </c>
    </row>
    <row r="51960" spans="1:4" x14ac:dyDescent="0.2">
      <c r="B51960" t="s">
        <v>1</v>
      </c>
    </row>
    <row r="51961" spans="1:4" x14ac:dyDescent="0.2">
      <c r="B51961" t="s">
        <v>8</v>
      </c>
    </row>
    <row r="51963" spans="1:4" x14ac:dyDescent="0.2">
      <c r="A51963" t="s">
        <v>16491</v>
      </c>
      <c r="B51963" t="str">
        <f>HYPERLINK("https://lindat.mff.cuni.cz/services/teitok/pdtc10/index.php?action=vallex&amp;frame=v-w7354f1", "usvědčit (v-w7354f1)")</f>
        <v>usvědčit (v-w7354f1)</v>
      </c>
    </row>
    <row r="51964" spans="1:4" x14ac:dyDescent="0.2">
      <c r="B51964" t="s">
        <v>1</v>
      </c>
      <c r="C51964" t="s">
        <v>430</v>
      </c>
      <c r="D51964" t="s">
        <v>80</v>
      </c>
    </row>
    <row r="51965" spans="1:4" x14ac:dyDescent="0.2">
      <c r="B51965" t="s">
        <v>168</v>
      </c>
      <c r="C51965" t="s">
        <v>6727</v>
      </c>
      <c r="D51965" t="s">
        <v>6727</v>
      </c>
    </row>
    <row r="51966" spans="1:4" x14ac:dyDescent="0.2">
      <c r="B51966" t="s">
        <v>58</v>
      </c>
      <c r="C51966" t="s">
        <v>15584</v>
      </c>
      <c r="D51966" t="s">
        <v>10725</v>
      </c>
    </row>
    <row r="51968" spans="1:4" x14ac:dyDescent="0.2">
      <c r="A51968" t="s">
        <v>16492</v>
      </c>
      <c r="B51968" t="str">
        <f>HYPERLINK("https://lindat.mff.cuni.cz/services/teitok/pdtc10/index.php?action=vallex&amp;frame=v-w7354f2", "usvědčit (v-w7354f2)")</f>
        <v>usvědčit (v-w7354f2)</v>
      </c>
    </row>
    <row r="51969" spans="1:2" x14ac:dyDescent="0.2">
      <c r="B51969" t="s">
        <v>1</v>
      </c>
    </row>
    <row r="51970" spans="1:2" x14ac:dyDescent="0.2">
      <c r="B51970" t="s">
        <v>8</v>
      </c>
    </row>
    <row r="51971" spans="1:2" x14ac:dyDescent="0.2">
      <c r="B51971" t="s">
        <v>16493</v>
      </c>
    </row>
    <row r="51973" spans="1:2" x14ac:dyDescent="0.2">
      <c r="A51973" t="s">
        <v>16494</v>
      </c>
      <c r="B51973" t="str">
        <f>HYPERLINK("https://lindat.mff.cuni.cz/services/teitok/pdtc10/index.php?action=vallex&amp;frame=v-w12378_MMf1_MM", "usvědčovat (v-w12378_MMf1_MM)")</f>
        <v>usvědčovat (v-w12378_MMf1_MM)</v>
      </c>
    </row>
    <row r="51974" spans="1:2" x14ac:dyDescent="0.2">
      <c r="B51974" t="s">
        <v>1</v>
      </c>
    </row>
    <row r="51975" spans="1:2" x14ac:dyDescent="0.2">
      <c r="B51975" t="s">
        <v>58</v>
      </c>
    </row>
    <row r="51976" spans="1:2" x14ac:dyDescent="0.2">
      <c r="B51976" t="s">
        <v>16495</v>
      </c>
    </row>
    <row r="51978" spans="1:2" x14ac:dyDescent="0.2">
      <c r="A51978" t="s">
        <v>16496</v>
      </c>
      <c r="B51978" t="str">
        <f>HYPERLINK("https://lindat.mff.cuni.cz/services/teitok/pdtc10/index.php?action=vallex&amp;frame=v-w11740_ZUf1_ZU", "usíci (v-w11740_ZUf1_ZU)")</f>
        <v>usíci (v-w11740_ZUf1_ZU)</v>
      </c>
    </row>
    <row r="51979" spans="1:2" x14ac:dyDescent="0.2">
      <c r="B51979" t="s">
        <v>1</v>
      </c>
    </row>
    <row r="51980" spans="1:2" x14ac:dyDescent="0.2">
      <c r="B51980" t="s">
        <v>8</v>
      </c>
    </row>
    <row r="51982" spans="1:2" x14ac:dyDescent="0.2">
      <c r="A51982" t="s">
        <v>16497</v>
      </c>
      <c r="B51982" t="str">
        <f>HYPERLINK("https://lindat.mff.cuni.cz/services/teitok/pdtc10/index.php?action=vallex&amp;frame=v-w7282f1", "usídlit se (v-w7282f1)")</f>
        <v>usídlit se (v-w7282f1)</v>
      </c>
    </row>
    <row r="51983" spans="1:2" x14ac:dyDescent="0.2">
      <c r="B51983" t="s">
        <v>1</v>
      </c>
    </row>
    <row r="51984" spans="1:2" x14ac:dyDescent="0.2">
      <c r="B51984" t="s">
        <v>5</v>
      </c>
    </row>
    <row r="51986" spans="1:4" x14ac:dyDescent="0.2">
      <c r="A51986" t="s">
        <v>16498</v>
      </c>
      <c r="B51986" t="str">
        <f>HYPERLINK("https://lindat.mff.cuni.cz/services/teitok/pdtc10/index.php?action=vallex&amp;frame=v-w7282f2", "usídlit se (v-w7282f2)")</f>
        <v>usídlit se (v-w7282f2)</v>
      </c>
    </row>
    <row r="51987" spans="1:4" x14ac:dyDescent="0.2">
      <c r="B51987" t="s">
        <v>1</v>
      </c>
    </row>
    <row r="51988" spans="1:4" x14ac:dyDescent="0.2">
      <c r="B51988" t="s">
        <v>90</v>
      </c>
    </row>
    <row r="51990" spans="1:4" x14ac:dyDescent="0.2">
      <c r="A51990" t="s">
        <v>16499</v>
      </c>
      <c r="B51990" t="str">
        <f>HYPERLINK("https://lindat.mff.cuni.cz/services/teitok/pdtc10/index.php?action=vallex&amp;frame=v-w10593f2", "usínat (v-w10593f2)")</f>
        <v>usínat (v-w10593f2)</v>
      </c>
    </row>
    <row r="51991" spans="1:4" x14ac:dyDescent="0.2">
      <c r="B51991" t="s">
        <v>1</v>
      </c>
      <c r="C51991" t="s">
        <v>579</v>
      </c>
    </row>
    <row r="51993" spans="1:4" x14ac:dyDescent="0.2">
      <c r="A51993" t="s">
        <v>16500</v>
      </c>
      <c r="B51993" t="str">
        <f>HYPERLINK("https://lindat.mff.cuni.cz/services/teitok/pdtc10/index.php?action=vallex&amp;frame=v-w11751_ZUf1_ZU", "utahat (v-w11751_ZUf1_ZU)")</f>
        <v>utahat (v-w11751_ZUf1_ZU)</v>
      </c>
    </row>
    <row r="51994" spans="1:4" x14ac:dyDescent="0.2">
      <c r="B51994" t="s">
        <v>1</v>
      </c>
    </row>
    <row r="51995" spans="1:4" x14ac:dyDescent="0.2">
      <c r="B51995" t="s">
        <v>8</v>
      </c>
    </row>
    <row r="51997" spans="1:4" x14ac:dyDescent="0.2">
      <c r="A51997" t="s">
        <v>16501</v>
      </c>
      <c r="B51997" t="str">
        <f>HYPERLINK("https://lindat.mff.cuni.cz/services/teitok/pdtc10/index.php?action=vallex&amp;frame=v-w7365f3_ZU", "utahovat (v-w7365f3_ZU)")</f>
        <v>utahovat (v-w7365f3_ZU)</v>
      </c>
    </row>
    <row r="51998" spans="1:4" x14ac:dyDescent="0.2">
      <c r="B51998" t="s">
        <v>1</v>
      </c>
      <c r="D51998" t="s">
        <v>967</v>
      </c>
    </row>
    <row r="51999" spans="1:4" x14ac:dyDescent="0.2">
      <c r="B51999" t="s">
        <v>8</v>
      </c>
      <c r="D51999" t="s">
        <v>338</v>
      </c>
    </row>
    <row r="52001" spans="1:3" x14ac:dyDescent="0.2">
      <c r="A52001" t="s">
        <v>16501</v>
      </c>
      <c r="B52001" t="str">
        <f>HYPERLINK("https://lindat.mff.cuni.cz/services/teitok/pdtc10/index.php?action=vallex&amp;frame=v-w7365f1", "utahovat (v-w7365f1) - substituted with v-w7365f3_ZU")</f>
        <v>utahovat (v-w7365f1) - substituted with v-w7365f3_ZU</v>
      </c>
    </row>
    <row r="52002" spans="1:3" x14ac:dyDescent="0.2">
      <c r="B52002" t="s">
        <v>1</v>
      </c>
      <c r="C52002" t="s">
        <v>990</v>
      </c>
    </row>
    <row r="52003" spans="1:3" x14ac:dyDescent="0.2">
      <c r="B52003" t="s">
        <v>8</v>
      </c>
      <c r="C52003" t="s">
        <v>3773</v>
      </c>
    </row>
    <row r="52005" spans="1:3" x14ac:dyDescent="0.2">
      <c r="A52005" t="s">
        <v>16502</v>
      </c>
      <c r="B52005" t="str">
        <f>HYPERLINK("https://lindat.mff.cuni.cz/services/teitok/pdtc10/index.php?action=vallex&amp;frame=v-w7365f4_ZU", "utahovat (v-w7365f4_ZU)")</f>
        <v>utahovat (v-w7365f4_ZU)</v>
      </c>
    </row>
    <row r="52006" spans="1:3" x14ac:dyDescent="0.2">
      <c r="B52006" t="s">
        <v>1</v>
      </c>
    </row>
    <row r="52007" spans="1:3" x14ac:dyDescent="0.2">
      <c r="B52007" t="s">
        <v>16503</v>
      </c>
    </row>
    <row r="52008" spans="1:3" x14ac:dyDescent="0.2">
      <c r="B52008" t="s">
        <v>86</v>
      </c>
    </row>
    <row r="52010" spans="1:3" x14ac:dyDescent="0.2">
      <c r="A52010" t="s">
        <v>16502</v>
      </c>
      <c r="B52010" t="str">
        <f>HYPERLINK("https://lindat.mff.cuni.cz/services/teitok/pdtc10/index.php?action=vallex&amp;frame=v-w7365f2_ZU", "utahovat (v-w7365f2_ZU) - substituted with v-w7365f4_ZU")</f>
        <v>utahovat (v-w7365f2_ZU) - substituted with v-w7365f4_ZU</v>
      </c>
    </row>
    <row r="52011" spans="1:3" x14ac:dyDescent="0.2">
      <c r="B52011" t="s">
        <v>1</v>
      </c>
    </row>
    <row r="52012" spans="1:3" x14ac:dyDescent="0.2">
      <c r="B52012" t="s">
        <v>16503</v>
      </c>
    </row>
    <row r="52013" spans="1:3" x14ac:dyDescent="0.2">
      <c r="B52013" t="s">
        <v>86</v>
      </c>
    </row>
    <row r="52015" spans="1:3" x14ac:dyDescent="0.2">
      <c r="A52015" t="s">
        <v>16504</v>
      </c>
      <c r="B52015" t="str">
        <f>HYPERLINK("https://lindat.mff.cuni.cz/services/teitok/pdtc10/index.php?action=vallex&amp;frame=v-w7366f1", "utahovat si (v-w7366f1)")</f>
        <v>utahovat si (v-w7366f1)</v>
      </c>
    </row>
    <row r="52016" spans="1:3" x14ac:dyDescent="0.2">
      <c r="B52016" t="s">
        <v>1</v>
      </c>
    </row>
    <row r="52017" spans="1:3" x14ac:dyDescent="0.2">
      <c r="B52017" t="s">
        <v>168</v>
      </c>
    </row>
    <row r="52019" spans="1:3" x14ac:dyDescent="0.2">
      <c r="A52019" t="s">
        <v>16505</v>
      </c>
      <c r="B52019" t="str">
        <f>HYPERLINK("https://lindat.mff.cuni.cz/services/teitok/pdtc10/index.php?action=vallex&amp;frame=v-w7366f2_ZU", "utahovat si (v-w7366f2_ZU)")</f>
        <v>utahovat si (v-w7366f2_ZU)</v>
      </c>
    </row>
    <row r="52020" spans="1:3" x14ac:dyDescent="0.2">
      <c r="B52020" t="s">
        <v>1</v>
      </c>
      <c r="C52020" t="s">
        <v>140</v>
      </c>
    </row>
    <row r="52021" spans="1:3" x14ac:dyDescent="0.2">
      <c r="B52021" t="s">
        <v>16503</v>
      </c>
      <c r="C52021" t="s">
        <v>283</v>
      </c>
    </row>
    <row r="52023" spans="1:3" x14ac:dyDescent="0.2">
      <c r="A52023" t="s">
        <v>16506</v>
      </c>
      <c r="B52023" t="str">
        <f>HYPERLINK("https://lindat.mff.cuni.cz/services/teitok/pdtc10/index.php?action=vallex&amp;frame=v-w7368f1", "utajovat (v-w7368f1)")</f>
        <v>utajovat (v-w7368f1)</v>
      </c>
    </row>
    <row r="52024" spans="1:3" x14ac:dyDescent="0.2">
      <c r="B52024" t="s">
        <v>1</v>
      </c>
    </row>
    <row r="52025" spans="1:3" x14ac:dyDescent="0.2">
      <c r="B52025" t="s">
        <v>3199</v>
      </c>
    </row>
    <row r="52026" spans="1:3" x14ac:dyDescent="0.2">
      <c r="B52026" t="s">
        <v>3200</v>
      </c>
    </row>
    <row r="52028" spans="1:3" x14ac:dyDescent="0.2">
      <c r="A52028" t="s">
        <v>16507</v>
      </c>
      <c r="B52028" t="str">
        <f>HYPERLINK("https://lindat.mff.cuni.cz/services/teitok/pdtc10/index.php?action=vallex&amp;frame=v-w10724f2", "utichat (v-w10724f2)")</f>
        <v>utichat (v-w10724f2)</v>
      </c>
    </row>
    <row r="52029" spans="1:3" x14ac:dyDescent="0.2">
      <c r="B52029" t="s">
        <v>1</v>
      </c>
      <c r="C52029" t="s">
        <v>201</v>
      </c>
    </row>
    <row r="52031" spans="1:3" x14ac:dyDescent="0.2">
      <c r="A52031" t="s">
        <v>16508</v>
      </c>
      <c r="B52031" t="str">
        <f>HYPERLINK("https://lindat.mff.cuni.cz/services/teitok/pdtc10/index.php?action=vallex&amp;frame=v-w7375f1", "utichnout (v-w7375f1)")</f>
        <v>utichnout (v-w7375f1)</v>
      </c>
    </row>
    <row r="52032" spans="1:3" x14ac:dyDescent="0.2">
      <c r="B52032" t="s">
        <v>1</v>
      </c>
    </row>
    <row r="52034" spans="1:4" x14ac:dyDescent="0.2">
      <c r="A52034" t="s">
        <v>16509</v>
      </c>
      <c r="B52034" t="str">
        <f>HYPERLINK("https://lindat.mff.cuni.cz/services/teitok/pdtc10/index.php?action=vallex&amp;frame=v-w10496f2", "utišit (v-w10496f2)")</f>
        <v>utišit (v-w10496f2)</v>
      </c>
    </row>
    <row r="52035" spans="1:4" x14ac:dyDescent="0.2">
      <c r="B52035" t="s">
        <v>1</v>
      </c>
      <c r="C52035" t="s">
        <v>5817</v>
      </c>
      <c r="D52035" t="s">
        <v>23047</v>
      </c>
    </row>
    <row r="52036" spans="1:4" x14ac:dyDescent="0.2">
      <c r="B52036" t="s">
        <v>8</v>
      </c>
      <c r="C52036" t="s">
        <v>56</v>
      </c>
      <c r="D52036" t="s">
        <v>2747</v>
      </c>
    </row>
    <row r="52038" spans="1:4" x14ac:dyDescent="0.2">
      <c r="A52038" t="s">
        <v>16510</v>
      </c>
      <c r="B52038" t="str">
        <f>HYPERLINK("https://lindat.mff.cuni.cz/services/teitok/pdtc10/index.php?action=vallex&amp;frame=v-w10496hsa_217", "utišit (v-w10496hsa_217)")</f>
        <v>utišit (v-w10496hsa_217)</v>
      </c>
    </row>
    <row r="52039" spans="1:4" x14ac:dyDescent="0.2">
      <c r="B52039" t="s">
        <v>1</v>
      </c>
      <c r="D52039" t="s">
        <v>23047</v>
      </c>
    </row>
    <row r="52040" spans="1:4" x14ac:dyDescent="0.2">
      <c r="B52040" t="s">
        <v>8</v>
      </c>
      <c r="C52040" t="s">
        <v>991</v>
      </c>
      <c r="D52040" t="s">
        <v>2747</v>
      </c>
    </row>
    <row r="52042" spans="1:4" x14ac:dyDescent="0.2">
      <c r="A52042" t="s">
        <v>16511</v>
      </c>
      <c r="B52042" t="str">
        <f>HYPERLINK("https://lindat.mff.cuni.cz/services/teitok/pdtc10/index.php?action=vallex&amp;frame=v-whsa_210hsa_211", "utišit se (v-whsa_210hsa_211)")</f>
        <v>utišit se (v-whsa_210hsa_211)</v>
      </c>
    </row>
    <row r="52043" spans="1:4" x14ac:dyDescent="0.2">
      <c r="B52043" t="s">
        <v>1</v>
      </c>
    </row>
    <row r="52045" spans="1:4" x14ac:dyDescent="0.2">
      <c r="A52045" t="s">
        <v>16512</v>
      </c>
      <c r="B52045" t="str">
        <f>HYPERLINK("https://lindat.mff.cuni.cz/services/teitok/pdtc10/index.php?action=vallex&amp;frame=v-w7378f1", "utišovat (v-w7378f1)")</f>
        <v>utišovat (v-w7378f1)</v>
      </c>
    </row>
    <row r="52046" spans="1:4" x14ac:dyDescent="0.2">
      <c r="B52046" t="s">
        <v>1</v>
      </c>
      <c r="D52046" t="s">
        <v>23047</v>
      </c>
    </row>
    <row r="52047" spans="1:4" x14ac:dyDescent="0.2">
      <c r="B52047" t="s">
        <v>8</v>
      </c>
      <c r="D52047" t="s">
        <v>2747</v>
      </c>
    </row>
    <row r="52049" spans="1:4" x14ac:dyDescent="0.2">
      <c r="A52049" t="s">
        <v>16513</v>
      </c>
      <c r="B52049" t="str">
        <f>HYPERLINK("https://lindat.mff.cuni.cz/services/teitok/pdtc10/index.php?action=vallex&amp;frame=v-w7380f2", "utkat se (v-w7380f2)")</f>
        <v>utkat se (v-w7380f2)</v>
      </c>
    </row>
    <row r="52050" spans="1:4" x14ac:dyDescent="0.2">
      <c r="B52050" t="s">
        <v>1</v>
      </c>
    </row>
    <row r="52051" spans="1:4" x14ac:dyDescent="0.2">
      <c r="B52051" t="s">
        <v>411</v>
      </c>
    </row>
    <row r="52053" spans="1:4" x14ac:dyDescent="0.2">
      <c r="A52053" t="s">
        <v>16514</v>
      </c>
      <c r="B52053" t="str">
        <f>HYPERLINK("https://lindat.mff.cuni.cz/services/teitok/pdtc10/index.php?action=vallex&amp;frame=v-w7380f1", "utkat se (v-w7380f1)")</f>
        <v>utkat se (v-w7380f1)</v>
      </c>
    </row>
    <row r="52054" spans="1:4" x14ac:dyDescent="0.2">
      <c r="B52054" t="s">
        <v>1</v>
      </c>
    </row>
    <row r="52055" spans="1:4" x14ac:dyDescent="0.2">
      <c r="B52055" t="s">
        <v>153</v>
      </c>
    </row>
    <row r="52056" spans="1:4" x14ac:dyDescent="0.2">
      <c r="B52056" t="s">
        <v>2287</v>
      </c>
    </row>
    <row r="52058" spans="1:4" x14ac:dyDescent="0.2">
      <c r="A52058" t="s">
        <v>16515</v>
      </c>
      <c r="B52058" t="str">
        <f>HYPERLINK("https://lindat.mff.cuni.cz/services/teitok/pdtc10/index.php?action=vallex&amp;frame=v-w7383f1", "utkvít (v-w7383f1)")</f>
        <v>utkvít (v-w7383f1)</v>
      </c>
    </row>
    <row r="52059" spans="1:4" x14ac:dyDescent="0.2">
      <c r="B52059" t="s">
        <v>604</v>
      </c>
    </row>
    <row r="52060" spans="1:4" x14ac:dyDescent="0.2">
      <c r="B52060" t="s">
        <v>5</v>
      </c>
    </row>
    <row r="52062" spans="1:4" x14ac:dyDescent="0.2">
      <c r="A52062" t="s">
        <v>16516</v>
      </c>
      <c r="B52062" t="str">
        <f>HYPERLINK("https://lindat.mff.cuni.cz/services/teitok/pdtc10/index.php?action=vallex&amp;frame=v-w7383f2", "utkvít (v-w7383f2)")</f>
        <v>utkvít (v-w7383f2)</v>
      </c>
    </row>
    <row r="52063" spans="1:4" x14ac:dyDescent="0.2">
      <c r="B52063" t="s">
        <v>1</v>
      </c>
      <c r="C52063" t="s">
        <v>201</v>
      </c>
      <c r="D52063" t="s">
        <v>23245</v>
      </c>
    </row>
    <row r="52064" spans="1:4" x14ac:dyDescent="0.2">
      <c r="B52064" t="s">
        <v>5</v>
      </c>
      <c r="C52064" t="s">
        <v>16517</v>
      </c>
      <c r="D52064" t="s">
        <v>23246</v>
      </c>
    </row>
    <row r="52066" spans="1:4" x14ac:dyDescent="0.2">
      <c r="A52066" t="s">
        <v>16518</v>
      </c>
      <c r="B52066" t="str">
        <f>HYPERLINK("https://lindat.mff.cuni.cz/services/teitok/pdtc10/index.php?action=vallex&amp;frame=v-w7382f1", "utkvět (v-w7382f1)")</f>
        <v>utkvět (v-w7382f1)</v>
      </c>
    </row>
    <row r="52067" spans="1:4" x14ac:dyDescent="0.2">
      <c r="B52067" t="s">
        <v>16519</v>
      </c>
      <c r="D52067" t="s">
        <v>23245</v>
      </c>
    </row>
    <row r="52068" spans="1:4" x14ac:dyDescent="0.2">
      <c r="B52068" t="s">
        <v>5</v>
      </c>
      <c r="D52068" t="s">
        <v>23246</v>
      </c>
    </row>
    <row r="52070" spans="1:4" x14ac:dyDescent="0.2">
      <c r="A52070" t="s">
        <v>16520</v>
      </c>
      <c r="B52070" t="str">
        <f>HYPERLINK("https://lindat.mff.cuni.cz/services/teitok/pdtc10/index.php?action=vallex&amp;frame=v-w7382f2", "utkvět (v-w7382f2)")</f>
        <v>utkvět (v-w7382f2)</v>
      </c>
    </row>
    <row r="52071" spans="1:4" x14ac:dyDescent="0.2">
      <c r="B52071" t="s">
        <v>1</v>
      </c>
    </row>
    <row r="52072" spans="1:4" x14ac:dyDescent="0.2">
      <c r="B52072" t="s">
        <v>5</v>
      </c>
    </row>
    <row r="52074" spans="1:4" x14ac:dyDescent="0.2">
      <c r="A52074" t="s">
        <v>16521</v>
      </c>
      <c r="B52074" t="str">
        <f>HYPERLINK("https://lindat.mff.cuni.cz/services/teitok/pdtc10/index.php?action=vallex&amp;frame=v-w7381f2", "utkávat se (v-w7381f2)")</f>
        <v>utkávat se (v-w7381f2)</v>
      </c>
    </row>
    <row r="52075" spans="1:4" x14ac:dyDescent="0.2">
      <c r="B52075" t="s">
        <v>1</v>
      </c>
      <c r="D52075" t="s">
        <v>14818</v>
      </c>
    </row>
    <row r="52076" spans="1:4" x14ac:dyDescent="0.2">
      <c r="B52076" t="s">
        <v>411</v>
      </c>
      <c r="D52076" t="s">
        <v>6043</v>
      </c>
    </row>
    <row r="52078" spans="1:4" x14ac:dyDescent="0.2">
      <c r="A52078" t="s">
        <v>16522</v>
      </c>
      <c r="B52078" t="str">
        <f>HYPERLINK("https://lindat.mff.cuni.cz/services/teitok/pdtc10/index.php?action=vallex&amp;frame=v-w7381f1", "utkávat se (v-w7381f1)")</f>
        <v>utkávat se (v-w7381f1)</v>
      </c>
    </row>
    <row r="52079" spans="1:4" x14ac:dyDescent="0.2">
      <c r="B52079" t="s">
        <v>1</v>
      </c>
      <c r="D52079" t="s">
        <v>1992</v>
      </c>
    </row>
    <row r="52080" spans="1:4" x14ac:dyDescent="0.2">
      <c r="B52080" t="s">
        <v>153</v>
      </c>
      <c r="D52080" t="s">
        <v>22991</v>
      </c>
    </row>
    <row r="52081" spans="1:4" x14ac:dyDescent="0.2">
      <c r="B52081" t="s">
        <v>2287</v>
      </c>
      <c r="D52081" t="s">
        <v>22992</v>
      </c>
    </row>
    <row r="52083" spans="1:4" x14ac:dyDescent="0.2">
      <c r="A52083" t="s">
        <v>16523</v>
      </c>
      <c r="B52083" t="str">
        <f>HYPERLINK("https://lindat.mff.cuni.cz/services/teitok/pdtc10/index.php?action=vallex&amp;frame=v-w10823f2", "utlačovat (v-w10823f2)")</f>
        <v>utlačovat (v-w10823f2)</v>
      </c>
    </row>
    <row r="52084" spans="1:4" x14ac:dyDescent="0.2">
      <c r="B52084" t="s">
        <v>1</v>
      </c>
    </row>
    <row r="52085" spans="1:4" x14ac:dyDescent="0.2">
      <c r="B52085" t="s">
        <v>8</v>
      </c>
    </row>
    <row r="52087" spans="1:4" x14ac:dyDescent="0.2">
      <c r="A52087" t="s">
        <v>16524</v>
      </c>
      <c r="B52087" t="str">
        <f>HYPERLINK("https://lindat.mff.cuni.cz/services/teitok/pdtc10/index.php?action=vallex&amp;frame=v-w7385f1", "utlouci (v-w7385f1)")</f>
        <v>utlouci (v-w7385f1)</v>
      </c>
    </row>
    <row r="52088" spans="1:4" x14ac:dyDescent="0.2">
      <c r="B52088" t="s">
        <v>1</v>
      </c>
    </row>
    <row r="52089" spans="1:4" x14ac:dyDescent="0.2">
      <c r="B52089" t="s">
        <v>8</v>
      </c>
    </row>
    <row r="52091" spans="1:4" x14ac:dyDescent="0.2">
      <c r="A52091" t="s">
        <v>16525</v>
      </c>
      <c r="B52091" t="str">
        <f>HYPERLINK("https://lindat.mff.cuni.cz/services/teitok/pdtc10/index.php?action=vallex&amp;frame=v-w7386f1", "utloukat (v-w7386f1)")</f>
        <v>utloukat (v-w7386f1)</v>
      </c>
    </row>
    <row r="52092" spans="1:4" x14ac:dyDescent="0.2">
      <c r="B52092" t="s">
        <v>1</v>
      </c>
    </row>
    <row r="52093" spans="1:4" x14ac:dyDescent="0.2">
      <c r="B52093" t="s">
        <v>8</v>
      </c>
    </row>
    <row r="52095" spans="1:4" x14ac:dyDescent="0.2">
      <c r="A52095" t="s">
        <v>16526</v>
      </c>
      <c r="B52095" t="str">
        <f>HYPERLINK("https://lindat.mff.cuni.cz/services/teitok/pdtc10/index.php?action=vallex&amp;frame=v-w7389f1", "utlumit (v-w7389f1)")</f>
        <v>utlumit (v-w7389f1)</v>
      </c>
    </row>
    <row r="52096" spans="1:4" x14ac:dyDescent="0.2">
      <c r="B52096" t="s">
        <v>1</v>
      </c>
      <c r="C52096" t="s">
        <v>370</v>
      </c>
      <c r="D52096" t="s">
        <v>3580</v>
      </c>
    </row>
    <row r="52097" spans="1:4" x14ac:dyDescent="0.2">
      <c r="B52097" t="s">
        <v>8</v>
      </c>
      <c r="C52097" t="s">
        <v>3433</v>
      </c>
      <c r="D52097" t="s">
        <v>23751</v>
      </c>
    </row>
    <row r="52098" spans="1:4" x14ac:dyDescent="0.2">
      <c r="B52098" t="s">
        <v>24</v>
      </c>
    </row>
    <row r="52099" spans="1:4" x14ac:dyDescent="0.2">
      <c r="B52099" t="s">
        <v>61</v>
      </c>
    </row>
    <row r="52101" spans="1:4" x14ac:dyDescent="0.2">
      <c r="A52101" t="s">
        <v>16527</v>
      </c>
      <c r="B52101" t="str">
        <f>HYPERLINK("https://lindat.mff.cuni.cz/services/teitok/pdtc10/index.php?action=vallex&amp;frame=v-w7389f2", "utlumit (v-w7389f2)")</f>
        <v>utlumit (v-w7389f2)</v>
      </c>
    </row>
    <row r="52102" spans="1:4" x14ac:dyDescent="0.2">
      <c r="B52102" t="s">
        <v>1</v>
      </c>
      <c r="C52102" t="s">
        <v>990</v>
      </c>
    </row>
    <row r="52103" spans="1:4" x14ac:dyDescent="0.2">
      <c r="B52103" t="s">
        <v>8</v>
      </c>
      <c r="C52103" t="s">
        <v>3773</v>
      </c>
    </row>
    <row r="52104" spans="1:4" x14ac:dyDescent="0.2">
      <c r="B52104" t="s">
        <v>24</v>
      </c>
    </row>
    <row r="52105" spans="1:4" x14ac:dyDescent="0.2">
      <c r="B52105" t="s">
        <v>61</v>
      </c>
    </row>
    <row r="52107" spans="1:4" x14ac:dyDescent="0.2">
      <c r="A52107" t="s">
        <v>16528</v>
      </c>
      <c r="B52107" t="str">
        <f>HYPERLINK("https://lindat.mff.cuni.cz/services/teitok/pdtc10/index.php?action=vallex&amp;frame=v-whsa_736hsa_737", "utlumit se (v-whsa_736hsa_737)")</f>
        <v>utlumit se (v-whsa_736hsa_737)</v>
      </c>
    </row>
    <row r="52108" spans="1:4" x14ac:dyDescent="0.2">
      <c r="B52108" t="s">
        <v>1</v>
      </c>
    </row>
    <row r="52110" spans="1:4" x14ac:dyDescent="0.2">
      <c r="A52110" t="s">
        <v>16529</v>
      </c>
      <c r="B52110" t="str">
        <f>HYPERLINK("https://lindat.mff.cuni.cz/services/teitok/pdtc10/index.php?action=vallex&amp;frame=v-w11249f1", "utnout (v-w11249f1)")</f>
        <v>utnout (v-w11249f1)</v>
      </c>
    </row>
    <row r="52111" spans="1:4" x14ac:dyDescent="0.2">
      <c r="B52111" t="s">
        <v>1</v>
      </c>
      <c r="C52111" t="s">
        <v>115</v>
      </c>
      <c r="D52111" t="s">
        <v>24299</v>
      </c>
    </row>
    <row r="52112" spans="1:4" x14ac:dyDescent="0.2">
      <c r="B52112" t="s">
        <v>8</v>
      </c>
      <c r="C52112" t="s">
        <v>1798</v>
      </c>
      <c r="D52112" t="s">
        <v>11933</v>
      </c>
    </row>
    <row r="52114" spans="1:4" x14ac:dyDescent="0.2">
      <c r="A52114" t="s">
        <v>16530</v>
      </c>
      <c r="B52114" t="str">
        <f>HYPERLINK("https://lindat.mff.cuni.cz/services/teitok/pdtc10/index.php?action=vallex&amp;frame=v-w7391f1", "utnout se (v-w7391f1)")</f>
        <v>utnout se (v-w7391f1)</v>
      </c>
    </row>
    <row r="52115" spans="1:4" x14ac:dyDescent="0.2">
      <c r="B52115" t="s">
        <v>16531</v>
      </c>
    </row>
    <row r="52117" spans="1:4" x14ac:dyDescent="0.2">
      <c r="A52117" t="s">
        <v>16532</v>
      </c>
      <c r="B52117" t="str">
        <f>HYPERLINK("https://lindat.mff.cuni.cz/services/teitok/pdtc10/index.php?action=vallex&amp;frame=v-w7395f1", "utonout (v-w7395f1)")</f>
        <v>utonout (v-w7395f1)</v>
      </c>
    </row>
    <row r="52118" spans="1:4" x14ac:dyDescent="0.2">
      <c r="B52118" t="s">
        <v>1</v>
      </c>
    </row>
    <row r="52120" spans="1:4" x14ac:dyDescent="0.2">
      <c r="A52120" t="s">
        <v>16533</v>
      </c>
      <c r="B52120" t="str">
        <f>HYPERLINK("https://lindat.mff.cuni.cz/services/teitok/pdtc10/index.php?action=vallex&amp;frame=v-w7398f1", "utopit (v-w7398f1)")</f>
        <v>utopit (v-w7398f1)</v>
      </c>
    </row>
    <row r="52121" spans="1:4" x14ac:dyDescent="0.2">
      <c r="B52121" t="s">
        <v>1</v>
      </c>
    </row>
    <row r="52122" spans="1:4" x14ac:dyDescent="0.2">
      <c r="B52122" t="s">
        <v>8</v>
      </c>
    </row>
    <row r="52124" spans="1:4" x14ac:dyDescent="0.2">
      <c r="A52124" t="s">
        <v>16534</v>
      </c>
      <c r="B52124" t="str">
        <f>HYPERLINK("https://lindat.mff.cuni.cz/services/teitok/pdtc10/index.php?action=vallex&amp;frame=v-w7398f2_ZU", "utopit (v-w7398f2_ZU)")</f>
        <v>utopit (v-w7398f2_ZU)</v>
      </c>
    </row>
    <row r="52125" spans="1:4" x14ac:dyDescent="0.2">
      <c r="B52125" t="s">
        <v>1</v>
      </c>
      <c r="D52125" t="s">
        <v>23088</v>
      </c>
    </row>
    <row r="52126" spans="1:4" x14ac:dyDescent="0.2">
      <c r="B52126" t="s">
        <v>8</v>
      </c>
      <c r="C52126" t="s">
        <v>113</v>
      </c>
      <c r="D52126" t="s">
        <v>986</v>
      </c>
    </row>
    <row r="52128" spans="1:4" x14ac:dyDescent="0.2">
      <c r="A52128" t="s">
        <v>16534</v>
      </c>
      <c r="B52128" t="str">
        <f>HYPERLINK("https://lindat.mff.cuni.cz/services/teitok/pdtc10/index.php?action=vallex&amp;frame=v-w7398hsa_1213", "utopit (v-w7398hsa_1213) - substituted with v-w7398f2_ZU")</f>
        <v>utopit (v-w7398hsa_1213) - substituted with v-w7398f2_ZU</v>
      </c>
    </row>
    <row r="52129" spans="1:4" x14ac:dyDescent="0.2">
      <c r="B52129" t="s">
        <v>1</v>
      </c>
    </row>
    <row r="52130" spans="1:4" x14ac:dyDescent="0.2">
      <c r="B52130" t="s">
        <v>8</v>
      </c>
    </row>
    <row r="52132" spans="1:4" x14ac:dyDescent="0.2">
      <c r="A52132" t="s">
        <v>16535</v>
      </c>
      <c r="B52132" t="str">
        <f>HYPERLINK("https://lindat.mff.cuni.cz/services/teitok/pdtc10/index.php?action=vallex&amp;frame=v-w7399f1", "utopit se (v-w7399f1)")</f>
        <v>utopit se (v-w7399f1)</v>
      </c>
    </row>
    <row r="52133" spans="1:4" x14ac:dyDescent="0.2">
      <c r="B52133" t="s">
        <v>1</v>
      </c>
      <c r="C52133" t="s">
        <v>566</v>
      </c>
      <c r="D52133" t="s">
        <v>7571</v>
      </c>
    </row>
    <row r="52135" spans="1:4" x14ac:dyDescent="0.2">
      <c r="A52135" t="s">
        <v>16536</v>
      </c>
      <c r="B52135" t="str">
        <f>HYPERLINK("https://lindat.mff.cuni.cz/services/teitok/pdtc10/index.php?action=vallex&amp;frame=v-w7402f4_ZU", "utratit (v-w7402f4_ZU)")</f>
        <v>utratit (v-w7402f4_ZU)</v>
      </c>
    </row>
    <row r="52136" spans="1:4" x14ac:dyDescent="0.2">
      <c r="B52136" t="s">
        <v>1</v>
      </c>
      <c r="C52136" t="s">
        <v>16537</v>
      </c>
      <c r="D52136" t="s">
        <v>23066</v>
      </c>
    </row>
    <row r="52137" spans="1:4" x14ac:dyDescent="0.2">
      <c r="B52137" t="s">
        <v>8</v>
      </c>
      <c r="C52137" t="s">
        <v>16538</v>
      </c>
      <c r="D52137" t="s">
        <v>23067</v>
      </c>
    </row>
    <row r="52138" spans="1:4" x14ac:dyDescent="0.2">
      <c r="B52138" t="s">
        <v>16539</v>
      </c>
      <c r="C52138" t="s">
        <v>3651</v>
      </c>
      <c r="D52138" t="s">
        <v>23252</v>
      </c>
    </row>
    <row r="52140" spans="1:4" x14ac:dyDescent="0.2">
      <c r="A52140" t="s">
        <v>16536</v>
      </c>
      <c r="B52140" t="str">
        <f>HYPERLINK("https://lindat.mff.cuni.cz/services/teitok/pdtc10/index.php?action=vallex&amp;frame=v-w7402f1", "utratit (v-w7402f1) - substituted with v-w7402f4_ZU")</f>
        <v>utratit (v-w7402f1) - substituted with v-w7402f4_ZU</v>
      </c>
    </row>
    <row r="52141" spans="1:4" x14ac:dyDescent="0.2">
      <c r="B52141" t="s">
        <v>1</v>
      </c>
      <c r="C52141" t="s">
        <v>16537</v>
      </c>
    </row>
    <row r="52142" spans="1:4" x14ac:dyDescent="0.2">
      <c r="B52142" t="s">
        <v>8</v>
      </c>
      <c r="C52142" t="s">
        <v>16538</v>
      </c>
    </row>
    <row r="52143" spans="1:4" x14ac:dyDescent="0.2">
      <c r="B52143" t="s">
        <v>16539</v>
      </c>
      <c r="C52143" t="s">
        <v>3651</v>
      </c>
    </row>
    <row r="52145" spans="1:4" x14ac:dyDescent="0.2">
      <c r="A52145" t="s">
        <v>16540</v>
      </c>
      <c r="B52145" t="str">
        <f>HYPERLINK("https://lindat.mff.cuni.cz/services/teitok/pdtc10/index.php?action=vallex&amp;frame=v-w7402f2", "utratit (v-w7402f2)")</f>
        <v>utratit (v-w7402f2)</v>
      </c>
    </row>
    <row r="52146" spans="1:4" x14ac:dyDescent="0.2">
      <c r="B52146" t="s">
        <v>1</v>
      </c>
      <c r="C52146" t="s">
        <v>2303</v>
      </c>
      <c r="D52146" t="s">
        <v>11295</v>
      </c>
    </row>
    <row r="52147" spans="1:4" x14ac:dyDescent="0.2">
      <c r="B52147" t="s">
        <v>8</v>
      </c>
      <c r="C52147" t="s">
        <v>2344</v>
      </c>
      <c r="D52147" t="s">
        <v>13639</v>
      </c>
    </row>
    <row r="52149" spans="1:4" x14ac:dyDescent="0.2">
      <c r="A52149" t="s">
        <v>16541</v>
      </c>
      <c r="B52149" t="str">
        <f>HYPERLINK("https://lindat.mff.cuni.cz/services/teitok/pdtc10/index.php?action=vallex&amp;frame=v-w7402hsa_302", "utratit (v-w7402hsa_302)")</f>
        <v>utratit (v-w7402hsa_302)</v>
      </c>
    </row>
    <row r="52150" spans="1:4" x14ac:dyDescent="0.2">
      <c r="B52150" t="s">
        <v>1</v>
      </c>
      <c r="C52150" t="s">
        <v>16537</v>
      </c>
      <c r="D52150" t="s">
        <v>23066</v>
      </c>
    </row>
    <row r="52151" spans="1:4" x14ac:dyDescent="0.2">
      <c r="B52151" t="s">
        <v>524</v>
      </c>
      <c r="C52151" t="s">
        <v>16542</v>
      </c>
      <c r="D52151" t="s">
        <v>24300</v>
      </c>
    </row>
    <row r="52152" spans="1:4" x14ac:dyDescent="0.2">
      <c r="B52152" t="s">
        <v>16543</v>
      </c>
      <c r="C52152" t="s">
        <v>16544</v>
      </c>
    </row>
    <row r="52154" spans="1:4" x14ac:dyDescent="0.2">
      <c r="A52154" t="s">
        <v>16541</v>
      </c>
      <c r="B52154" t="str">
        <f>HYPERLINK("https://lindat.mff.cuni.cz/services/teitok/pdtc10/index.php?action=vallex&amp;frame=v-w7402f3", "utratit (v-w7402f3) - substituted with v-w7402hsa_302")</f>
        <v>utratit (v-w7402f3) - substituted with v-w7402hsa_302</v>
      </c>
    </row>
    <row r="52155" spans="1:4" x14ac:dyDescent="0.2">
      <c r="B52155" t="s">
        <v>1</v>
      </c>
      <c r="C52155" t="s">
        <v>16545</v>
      </c>
    </row>
    <row r="52156" spans="1:4" x14ac:dyDescent="0.2">
      <c r="B52156" t="s">
        <v>524</v>
      </c>
      <c r="C52156" t="s">
        <v>16546</v>
      </c>
    </row>
    <row r="52157" spans="1:4" x14ac:dyDescent="0.2">
      <c r="B52157" t="s">
        <v>16543</v>
      </c>
      <c r="C52157" t="s">
        <v>1301</v>
      </c>
    </row>
    <row r="52159" spans="1:4" x14ac:dyDescent="0.2">
      <c r="A52159" t="s">
        <v>16547</v>
      </c>
      <c r="B52159" t="str">
        <f>HYPERLINK("https://lindat.mff.cuni.cz/services/teitok/pdtc10/index.php?action=vallex&amp;frame=v-w7403f1", "utrhnout (v-w7403f1)")</f>
        <v>utrhnout (v-w7403f1)</v>
      </c>
    </row>
    <row r="52160" spans="1:4" x14ac:dyDescent="0.2">
      <c r="B52160" t="s">
        <v>1</v>
      </c>
      <c r="C52160" t="s">
        <v>33</v>
      </c>
    </row>
    <row r="52161" spans="1:3" x14ac:dyDescent="0.2">
      <c r="B52161" t="s">
        <v>8</v>
      </c>
      <c r="C52161" t="s">
        <v>8344</v>
      </c>
    </row>
    <row r="52163" spans="1:3" x14ac:dyDescent="0.2">
      <c r="A52163" t="s">
        <v>16548</v>
      </c>
      <c r="B52163" t="str">
        <f>HYPERLINK("https://lindat.mff.cuni.cz/services/teitok/pdtc10/index.php?action=vallex&amp;frame=v-w7404f2", "utrhnout se (v-w7404f2)")</f>
        <v>utrhnout se (v-w7404f2)</v>
      </c>
    </row>
    <row r="52164" spans="1:3" x14ac:dyDescent="0.2">
      <c r="B52164" t="s">
        <v>1</v>
      </c>
    </row>
    <row r="52165" spans="1:3" x14ac:dyDescent="0.2">
      <c r="B52165" t="s">
        <v>28</v>
      </c>
    </row>
    <row r="52167" spans="1:3" x14ac:dyDescent="0.2">
      <c r="A52167" t="s">
        <v>16549</v>
      </c>
      <c r="B52167" t="str">
        <f>HYPERLINK("https://lindat.mff.cuni.cz/services/teitok/pdtc10/index.php?action=vallex&amp;frame=v-w7404f1", "utrhnout se (v-w7404f1)")</f>
        <v>utrhnout se (v-w7404f1)</v>
      </c>
    </row>
    <row r="52168" spans="1:3" x14ac:dyDescent="0.2">
      <c r="B52168" t="s">
        <v>1</v>
      </c>
    </row>
    <row r="52170" spans="1:3" x14ac:dyDescent="0.2">
      <c r="A52170" t="s">
        <v>16550</v>
      </c>
      <c r="B52170" t="str">
        <f>HYPERLINK("https://lindat.mff.cuni.cz/services/teitok/pdtc10/index.php?action=vallex&amp;frame=v-w12280_ZUf1_ZU", "utrhávat (v-w12280_ZUf1_ZU)")</f>
        <v>utrhávat (v-w12280_ZUf1_ZU)</v>
      </c>
    </row>
    <row r="52171" spans="1:3" x14ac:dyDescent="0.2">
      <c r="B52171" t="s">
        <v>1</v>
      </c>
    </row>
    <row r="52172" spans="1:3" x14ac:dyDescent="0.2">
      <c r="B52172" t="s">
        <v>8</v>
      </c>
    </row>
    <row r="52174" spans="1:3" x14ac:dyDescent="0.2">
      <c r="A52174" t="s">
        <v>16551</v>
      </c>
      <c r="B52174" t="str">
        <f>HYPERLINK("https://lindat.mff.cuni.cz/services/teitok/pdtc10/index.php?action=vallex&amp;frame=v-w10206f2", "utrousit (v-w10206f2)")</f>
        <v>utrousit (v-w10206f2)</v>
      </c>
    </row>
    <row r="52175" spans="1:3" x14ac:dyDescent="0.2">
      <c r="B52175" t="s">
        <v>1</v>
      </c>
    </row>
    <row r="52176" spans="1:3" x14ac:dyDescent="0.2">
      <c r="B52176" t="s">
        <v>8</v>
      </c>
    </row>
    <row r="52177" spans="1:4" x14ac:dyDescent="0.2">
      <c r="B52177" t="s">
        <v>9035</v>
      </c>
    </row>
    <row r="52179" spans="1:4" x14ac:dyDescent="0.2">
      <c r="A52179" t="s">
        <v>16552</v>
      </c>
      <c r="B52179" t="str">
        <f>HYPERLINK("https://lindat.mff.cuni.cz/services/teitok/pdtc10/index.php?action=vallex&amp;frame=v-w7406f1", "utrpět (v-w7406f1)")</f>
        <v>utrpět (v-w7406f1)</v>
      </c>
    </row>
    <row r="52180" spans="1:4" x14ac:dyDescent="0.2">
      <c r="B52180" t="s">
        <v>1</v>
      </c>
      <c r="C52180" t="s">
        <v>16553</v>
      </c>
      <c r="D52180" t="s">
        <v>9612</v>
      </c>
    </row>
    <row r="52181" spans="1:4" x14ac:dyDescent="0.2">
      <c r="B52181" t="s">
        <v>8</v>
      </c>
      <c r="C52181" t="s">
        <v>16554</v>
      </c>
      <c r="D52181" t="s">
        <v>4812</v>
      </c>
    </row>
    <row r="52183" spans="1:4" x14ac:dyDescent="0.2">
      <c r="A52183" t="s">
        <v>16555</v>
      </c>
      <c r="B52183" t="str">
        <f>HYPERLINK("https://lindat.mff.cuni.cz/services/teitok/pdtc10/index.php?action=vallex&amp;frame=v-w7406f2", "utrpět (v-w7406f2)")</f>
        <v>utrpět (v-w7406f2)</v>
      </c>
    </row>
    <row r="52184" spans="1:4" x14ac:dyDescent="0.2">
      <c r="B52184" t="s">
        <v>1</v>
      </c>
      <c r="C52184" t="s">
        <v>16556</v>
      </c>
      <c r="D52184" t="s">
        <v>23167</v>
      </c>
    </row>
    <row r="52185" spans="1:4" x14ac:dyDescent="0.2">
      <c r="B52185" t="s">
        <v>158</v>
      </c>
      <c r="C52185" t="s">
        <v>16557</v>
      </c>
      <c r="D52185" t="s">
        <v>23168</v>
      </c>
    </row>
    <row r="52187" spans="1:4" x14ac:dyDescent="0.2">
      <c r="A52187" t="s">
        <v>16558</v>
      </c>
      <c r="B52187" t="str">
        <f>HYPERLINK("https://lindat.mff.cuni.cz/services/teitok/pdtc10/index.php?action=vallex&amp;frame=v-w7401f2_ZU", "utrácet (v-w7401f2_ZU)")</f>
        <v>utrácet (v-w7401f2_ZU)</v>
      </c>
    </row>
    <row r="52188" spans="1:4" x14ac:dyDescent="0.2">
      <c r="B52188" t="s">
        <v>1</v>
      </c>
      <c r="C52188" t="s">
        <v>16537</v>
      </c>
      <c r="D52188" t="s">
        <v>23066</v>
      </c>
    </row>
    <row r="52189" spans="1:4" x14ac:dyDescent="0.2">
      <c r="B52189" t="s">
        <v>8</v>
      </c>
      <c r="C52189" t="s">
        <v>16538</v>
      </c>
      <c r="D52189" t="s">
        <v>23067</v>
      </c>
    </row>
    <row r="52190" spans="1:4" x14ac:dyDescent="0.2">
      <c r="B52190" t="s">
        <v>10637</v>
      </c>
      <c r="C52190" t="s">
        <v>3651</v>
      </c>
      <c r="D52190" t="s">
        <v>23252</v>
      </c>
    </row>
    <row r="52192" spans="1:4" x14ac:dyDescent="0.2">
      <c r="A52192" t="s">
        <v>16558</v>
      </c>
      <c r="B52192" t="str">
        <f>HYPERLINK("https://lindat.mff.cuni.cz/services/teitok/pdtc10/index.php?action=vallex&amp;frame=v-w7401f1", "utrácet (v-w7401f1) - substituted with v-w7401f2_ZU")</f>
        <v>utrácet (v-w7401f1) - substituted with v-w7401f2_ZU</v>
      </c>
    </row>
    <row r="52193" spans="1:4" x14ac:dyDescent="0.2">
      <c r="B52193" t="s">
        <v>1</v>
      </c>
      <c r="C52193" t="s">
        <v>16559</v>
      </c>
    </row>
    <row r="52194" spans="1:4" x14ac:dyDescent="0.2">
      <c r="B52194" t="s">
        <v>8</v>
      </c>
      <c r="C52194" t="s">
        <v>16538</v>
      </c>
    </row>
    <row r="52195" spans="1:4" x14ac:dyDescent="0.2">
      <c r="B52195" t="s">
        <v>10637</v>
      </c>
      <c r="C52195" t="s">
        <v>3651</v>
      </c>
    </row>
    <row r="52197" spans="1:4" x14ac:dyDescent="0.2">
      <c r="A52197" t="s">
        <v>16560</v>
      </c>
      <c r="B52197" t="str">
        <f>HYPERLINK("https://lindat.mff.cuni.cz/services/teitok/pdtc10/index.php?action=vallex&amp;frame=v-w7401hsa_757", "utrácet (v-w7401hsa_757)")</f>
        <v>utrácet (v-w7401hsa_757)</v>
      </c>
    </row>
    <row r="52198" spans="1:4" x14ac:dyDescent="0.2">
      <c r="B52198" t="s">
        <v>1</v>
      </c>
      <c r="C52198" t="s">
        <v>16537</v>
      </c>
      <c r="D52198" t="s">
        <v>23066</v>
      </c>
    </row>
    <row r="52199" spans="1:4" x14ac:dyDescent="0.2">
      <c r="B52199" t="s">
        <v>524</v>
      </c>
      <c r="C52199" t="s">
        <v>16542</v>
      </c>
      <c r="D52199" t="s">
        <v>24300</v>
      </c>
    </row>
    <row r="52200" spans="1:4" x14ac:dyDescent="0.2">
      <c r="B52200" t="s">
        <v>1382</v>
      </c>
      <c r="C52200" t="s">
        <v>16544</v>
      </c>
    </row>
    <row r="52202" spans="1:4" x14ac:dyDescent="0.2">
      <c r="A52202" t="s">
        <v>16561</v>
      </c>
      <c r="B52202" t="str">
        <f>HYPERLINK("https://lindat.mff.cuni.cz/services/teitok/pdtc10/index.php?action=vallex&amp;frame=v-w7407hsa_1167", "utržit (v-w7407hsa_1167)")</f>
        <v>utržit (v-w7407hsa_1167)</v>
      </c>
    </row>
    <row r="52203" spans="1:4" x14ac:dyDescent="0.2">
      <c r="B52203" t="s">
        <v>1</v>
      </c>
      <c r="D52203" t="s">
        <v>23931</v>
      </c>
    </row>
    <row r="52204" spans="1:4" x14ac:dyDescent="0.2">
      <c r="B52204" t="s">
        <v>8</v>
      </c>
    </row>
    <row r="52205" spans="1:4" x14ac:dyDescent="0.2">
      <c r="B52205" t="s">
        <v>1142</v>
      </c>
      <c r="D52205" t="s">
        <v>24301</v>
      </c>
    </row>
    <row r="52207" spans="1:4" x14ac:dyDescent="0.2">
      <c r="A52207" t="s">
        <v>16561</v>
      </c>
      <c r="B52207" t="str">
        <f>HYPERLINK("https://lindat.mff.cuni.cz/services/teitok/pdtc10/index.php?action=vallex&amp;frame=v-w7407f1", "utržit (v-w7407f1) - substituted with v-w7407hsa_1167")</f>
        <v>utržit (v-w7407f1) - substituted with v-w7407hsa_1167</v>
      </c>
    </row>
    <row r="52208" spans="1:4" x14ac:dyDescent="0.2">
      <c r="B52208" t="s">
        <v>1</v>
      </c>
      <c r="C52208" t="s">
        <v>16562</v>
      </c>
    </row>
    <row r="52209" spans="1:3" x14ac:dyDescent="0.2">
      <c r="B52209" t="s">
        <v>8</v>
      </c>
      <c r="C52209" t="s">
        <v>16563</v>
      </c>
    </row>
    <row r="52210" spans="1:3" x14ac:dyDescent="0.2">
      <c r="B52210" t="s">
        <v>1142</v>
      </c>
    </row>
    <row r="52212" spans="1:3" x14ac:dyDescent="0.2">
      <c r="A52212" t="s">
        <v>16564</v>
      </c>
      <c r="B52212" t="str">
        <f>HYPERLINK("https://lindat.mff.cuni.cz/services/teitok/pdtc10/index.php?action=vallex&amp;frame=v-w7407f2_ZU", "utržit (v-w7407f2_ZU)")</f>
        <v>utržit (v-w7407f2_ZU)</v>
      </c>
    </row>
    <row r="52213" spans="1:3" x14ac:dyDescent="0.2">
      <c r="B52213" t="s">
        <v>1</v>
      </c>
      <c r="C52213" t="s">
        <v>1949</v>
      </c>
    </row>
    <row r="52214" spans="1:3" x14ac:dyDescent="0.2">
      <c r="B52214" t="s">
        <v>8</v>
      </c>
      <c r="C52214" t="s">
        <v>8630</v>
      </c>
    </row>
    <row r="52216" spans="1:3" x14ac:dyDescent="0.2">
      <c r="A52216" t="s">
        <v>16564</v>
      </c>
      <c r="B52216" t="str">
        <f>HYPERLINK("https://lindat.mff.cuni.cz/services/teitok/pdtc10/index.php?action=vallex&amp;frame=v-w7407hsa_1168", "utržit (v-w7407hsa_1168) - substituted with v-w7407f2_ZU")</f>
        <v>utržit (v-w7407hsa_1168) - substituted with v-w7407f2_ZU</v>
      </c>
    </row>
    <row r="52217" spans="1:3" x14ac:dyDescent="0.2">
      <c r="B52217" t="s">
        <v>1</v>
      </c>
    </row>
    <row r="52218" spans="1:3" x14ac:dyDescent="0.2">
      <c r="B52218" t="s">
        <v>8</v>
      </c>
    </row>
    <row r="52220" spans="1:3" x14ac:dyDescent="0.2">
      <c r="A52220" t="s">
        <v>16565</v>
      </c>
      <c r="B52220" t="str">
        <f>HYPERLINK("https://lindat.mff.cuni.cz/services/teitok/pdtc10/index.php?action=vallex&amp;frame=v-w7409f1", "utuchat (v-w7409f1)")</f>
        <v>utuchat (v-w7409f1)</v>
      </c>
    </row>
    <row r="52221" spans="1:3" x14ac:dyDescent="0.2">
      <c r="B52221" t="s">
        <v>1</v>
      </c>
    </row>
    <row r="52223" spans="1:3" x14ac:dyDescent="0.2">
      <c r="A52223" t="s">
        <v>16566</v>
      </c>
      <c r="B52223" t="str">
        <f>HYPERLINK("https://lindat.mff.cuni.cz/services/teitok/pdtc10/index.php?action=vallex&amp;frame=v-w7410f1", "ututlat (v-w7410f1)")</f>
        <v>ututlat (v-w7410f1)</v>
      </c>
    </row>
    <row r="52224" spans="1:3" x14ac:dyDescent="0.2">
      <c r="B52224" t="s">
        <v>1</v>
      </c>
    </row>
    <row r="52225" spans="1:4" x14ac:dyDescent="0.2">
      <c r="B52225" t="s">
        <v>3199</v>
      </c>
    </row>
    <row r="52226" spans="1:4" x14ac:dyDescent="0.2">
      <c r="B52226" t="s">
        <v>3200</v>
      </c>
    </row>
    <row r="52228" spans="1:4" x14ac:dyDescent="0.2">
      <c r="A52228" t="s">
        <v>16567</v>
      </c>
      <c r="B52228" t="str">
        <f>HYPERLINK("https://lindat.mff.cuni.cz/services/teitok/pdtc10/index.php?action=vallex&amp;frame=v-w10373f3", "utužit (v-w10373f3)")</f>
        <v>utužit (v-w10373f3)</v>
      </c>
    </row>
    <row r="52229" spans="1:4" x14ac:dyDescent="0.2">
      <c r="B52229" t="s">
        <v>1</v>
      </c>
      <c r="C52229" t="s">
        <v>80</v>
      </c>
      <c r="D52229" t="s">
        <v>23841</v>
      </c>
    </row>
    <row r="52230" spans="1:4" x14ac:dyDescent="0.2">
      <c r="B52230" t="s">
        <v>8</v>
      </c>
      <c r="C52230" t="s">
        <v>2240</v>
      </c>
      <c r="D52230" t="s">
        <v>16005</v>
      </c>
    </row>
    <row r="52232" spans="1:4" x14ac:dyDescent="0.2">
      <c r="A52232" t="s">
        <v>16568</v>
      </c>
      <c r="B52232" t="str">
        <f>HYPERLINK("https://lindat.mff.cuni.cz/services/teitok/pdtc10/index.php?action=vallex&amp;frame=v-w10374f3", "utužovat (v-w10374f3)")</f>
        <v>utužovat (v-w10374f3)</v>
      </c>
    </row>
    <row r="52233" spans="1:4" x14ac:dyDescent="0.2">
      <c r="B52233" t="s">
        <v>1</v>
      </c>
      <c r="C52233" t="s">
        <v>370</v>
      </c>
      <c r="D52233" t="s">
        <v>23841</v>
      </c>
    </row>
    <row r="52234" spans="1:4" x14ac:dyDescent="0.2">
      <c r="B52234" t="s">
        <v>8</v>
      </c>
      <c r="C52234" t="s">
        <v>1750</v>
      </c>
      <c r="D52234" t="s">
        <v>16005</v>
      </c>
    </row>
    <row r="52236" spans="1:4" x14ac:dyDescent="0.2">
      <c r="A52236" t="s">
        <v>16569</v>
      </c>
      <c r="B52236" t="str">
        <f>HYPERLINK("https://lindat.mff.cuni.cz/services/teitok/pdtc10/index.php?action=vallex&amp;frame=v-w7415f1", "utvořit (v-w7415f1)")</f>
        <v>utvořit (v-w7415f1)</v>
      </c>
    </row>
    <row r="52237" spans="1:4" x14ac:dyDescent="0.2">
      <c r="B52237" t="s">
        <v>1</v>
      </c>
      <c r="C52237" t="s">
        <v>15002</v>
      </c>
      <c r="D52237" t="s">
        <v>249</v>
      </c>
    </row>
    <row r="52238" spans="1:4" x14ac:dyDescent="0.2">
      <c r="B52238" t="s">
        <v>8</v>
      </c>
      <c r="C52238" t="s">
        <v>6252</v>
      </c>
      <c r="D52238" t="s">
        <v>7577</v>
      </c>
    </row>
    <row r="52239" spans="1:4" x14ac:dyDescent="0.2">
      <c r="B52239" t="s">
        <v>24</v>
      </c>
      <c r="C52239" t="s">
        <v>7067</v>
      </c>
      <c r="D52239" t="s">
        <v>24302</v>
      </c>
    </row>
    <row r="52241" spans="1:2" x14ac:dyDescent="0.2">
      <c r="A52241" t="s">
        <v>16570</v>
      </c>
      <c r="B52241" t="str">
        <f>HYPERLINK("https://lindat.mff.cuni.cz/services/teitok/pdtc10/index.php?action=vallex&amp;frame=v-w7415f2_ZU", "utvořit (v-w7415f2_ZU)")</f>
        <v>utvořit (v-w7415f2_ZU)</v>
      </c>
    </row>
    <row r="52242" spans="1:2" x14ac:dyDescent="0.2">
      <c r="B52242" t="s">
        <v>1</v>
      </c>
    </row>
    <row r="52243" spans="1:2" x14ac:dyDescent="0.2">
      <c r="B52243" t="s">
        <v>16571</v>
      </c>
    </row>
    <row r="52245" spans="1:2" x14ac:dyDescent="0.2">
      <c r="A52245" t="s">
        <v>16572</v>
      </c>
      <c r="B52245" t="str">
        <f>HYPERLINK("https://lindat.mff.cuni.cz/services/teitok/pdtc10/index.php?action=vallex&amp;frame=v-w11705_ZUf3_ZU", "utvořit se (v-w11705_ZUf3_ZU)")</f>
        <v>utvořit se (v-w11705_ZUf3_ZU)</v>
      </c>
    </row>
    <row r="52246" spans="1:2" x14ac:dyDescent="0.2">
      <c r="B52246" t="s">
        <v>1</v>
      </c>
    </row>
    <row r="52247" spans="1:2" x14ac:dyDescent="0.2">
      <c r="B52247" t="s">
        <v>438</v>
      </c>
    </row>
    <row r="52249" spans="1:2" x14ac:dyDescent="0.2">
      <c r="A52249" t="s">
        <v>16572</v>
      </c>
      <c r="B52249" t="str">
        <f>HYPERLINK("https://lindat.mff.cuni.cz/services/teitok/pdtc10/index.php?action=vallex&amp;frame=v-w11705_ZUf1_ZU", "utvořit se (v-w11705_ZUf1_ZU) - substituted with v-w11705_ZUf3_ZU")</f>
        <v>utvořit se (v-w11705_ZUf1_ZU) - substituted with v-w11705_ZUf3_ZU</v>
      </c>
    </row>
    <row r="52250" spans="1:2" x14ac:dyDescent="0.2">
      <c r="B52250" t="s">
        <v>1</v>
      </c>
    </row>
    <row r="52251" spans="1:2" x14ac:dyDescent="0.2">
      <c r="B52251" t="s">
        <v>438</v>
      </c>
    </row>
    <row r="52253" spans="1:2" x14ac:dyDescent="0.2">
      <c r="A52253" t="s">
        <v>16572</v>
      </c>
      <c r="B52253" t="str">
        <f>HYPERLINK("https://lindat.mff.cuni.cz/services/teitok/pdtc10/index.php?action=vallex&amp;frame=v-w11705_ZUf2_ZU", "utvořit se (v-w11705_ZUf2_ZU) - substituted with v-w11705_ZUf3_ZU")</f>
        <v>utvořit se (v-w11705_ZUf2_ZU) - substituted with v-w11705_ZUf3_ZU</v>
      </c>
    </row>
    <row r="52254" spans="1:2" x14ac:dyDescent="0.2">
      <c r="B52254" t="s">
        <v>1</v>
      </c>
    </row>
    <row r="52255" spans="1:2" x14ac:dyDescent="0.2">
      <c r="B52255" t="s">
        <v>438</v>
      </c>
    </row>
    <row r="52257" spans="1:4" x14ac:dyDescent="0.2">
      <c r="A52257" t="s">
        <v>16573</v>
      </c>
      <c r="B52257" t="str">
        <f>HYPERLINK("https://lindat.mff.cuni.cz/services/teitok/pdtc10/index.php?action=vallex&amp;frame=v-w7416f1", "utvrdit (v-w7416f1)")</f>
        <v>utvrdit (v-w7416f1)</v>
      </c>
    </row>
    <row r="52258" spans="1:4" x14ac:dyDescent="0.2">
      <c r="B52258" t="s">
        <v>1</v>
      </c>
      <c r="D52258" t="s">
        <v>230</v>
      </c>
    </row>
    <row r="52259" spans="1:4" x14ac:dyDescent="0.2">
      <c r="B52259" t="s">
        <v>16574</v>
      </c>
      <c r="C52259" t="s">
        <v>113</v>
      </c>
      <c r="D52259" t="s">
        <v>24087</v>
      </c>
    </row>
    <row r="52260" spans="1:4" x14ac:dyDescent="0.2">
      <c r="B52260" t="s">
        <v>58</v>
      </c>
      <c r="D52260" t="s">
        <v>15939</v>
      </c>
    </row>
    <row r="52262" spans="1:4" x14ac:dyDescent="0.2">
      <c r="A52262" t="s">
        <v>16575</v>
      </c>
      <c r="B52262" t="str">
        <f>HYPERLINK("https://lindat.mff.cuni.cz/services/teitok/pdtc10/index.php?action=vallex&amp;frame=v-w7416hsa_174", "utvrdit (v-w7416hsa_174)")</f>
        <v>utvrdit (v-w7416hsa_174)</v>
      </c>
    </row>
    <row r="52263" spans="1:4" x14ac:dyDescent="0.2">
      <c r="B52263" t="s">
        <v>1</v>
      </c>
      <c r="C52263" t="s">
        <v>133</v>
      </c>
    </row>
    <row r="52264" spans="1:4" x14ac:dyDescent="0.2">
      <c r="B52264" t="s">
        <v>8</v>
      </c>
      <c r="C52264" t="s">
        <v>1044</v>
      </c>
    </row>
    <row r="52266" spans="1:4" x14ac:dyDescent="0.2">
      <c r="A52266" t="s">
        <v>16576</v>
      </c>
      <c r="B52266" t="str">
        <f>HYPERLINK("https://lindat.mff.cuni.cz/services/teitok/pdtc10/index.php?action=vallex&amp;frame=v-w7417f2", "utvrzovat (v-w7417f2)")</f>
        <v>utvrzovat (v-w7417f2)</v>
      </c>
    </row>
    <row r="52267" spans="1:4" x14ac:dyDescent="0.2">
      <c r="B52267" t="s">
        <v>1</v>
      </c>
    </row>
    <row r="52268" spans="1:4" x14ac:dyDescent="0.2">
      <c r="B52268" t="s">
        <v>16577</v>
      </c>
    </row>
    <row r="52269" spans="1:4" x14ac:dyDescent="0.2">
      <c r="B52269" t="s">
        <v>58</v>
      </c>
    </row>
    <row r="52271" spans="1:4" x14ac:dyDescent="0.2">
      <c r="A52271" t="s">
        <v>16578</v>
      </c>
      <c r="B52271" t="str">
        <f>HYPERLINK("https://lindat.mff.cuni.cz/services/teitok/pdtc10/index.php?action=vallex&amp;frame=v-w7417f1", "utvrzovat (v-w7417f1)")</f>
        <v>utvrzovat (v-w7417f1)</v>
      </c>
    </row>
    <row r="52272" spans="1:4" x14ac:dyDescent="0.2">
      <c r="B52272" t="s">
        <v>1</v>
      </c>
    </row>
    <row r="52273" spans="1:4" x14ac:dyDescent="0.2">
      <c r="B52273" t="s">
        <v>2158</v>
      </c>
    </row>
    <row r="52274" spans="1:4" x14ac:dyDescent="0.2">
      <c r="B52274" t="s">
        <v>78</v>
      </c>
    </row>
    <row r="52276" spans="1:4" x14ac:dyDescent="0.2">
      <c r="A52276" t="s">
        <v>16579</v>
      </c>
      <c r="B52276" t="str">
        <f>HYPERLINK("https://lindat.mff.cuni.cz/services/teitok/pdtc10/index.php?action=vallex&amp;frame=v-w7412f1", "utvářet (v-w7412f1)")</f>
        <v>utvářet (v-w7412f1)</v>
      </c>
    </row>
    <row r="52277" spans="1:4" x14ac:dyDescent="0.2">
      <c r="B52277" t="s">
        <v>1</v>
      </c>
      <c r="C52277" t="s">
        <v>249</v>
      </c>
      <c r="D52277" t="s">
        <v>249</v>
      </c>
    </row>
    <row r="52278" spans="1:4" x14ac:dyDescent="0.2">
      <c r="B52278" t="s">
        <v>8</v>
      </c>
      <c r="C52278" t="s">
        <v>354</v>
      </c>
      <c r="D52278" t="s">
        <v>7577</v>
      </c>
    </row>
    <row r="52279" spans="1:4" x14ac:dyDescent="0.2">
      <c r="B52279" t="s">
        <v>24</v>
      </c>
      <c r="D52279" t="s">
        <v>24302</v>
      </c>
    </row>
    <row r="52281" spans="1:4" x14ac:dyDescent="0.2">
      <c r="A52281" t="s">
        <v>16580</v>
      </c>
      <c r="B52281" t="str">
        <f>HYPERLINK("https://lindat.mff.cuni.cz/services/teitok/pdtc10/index.php?action=vallex&amp;frame=v-w7413f1", "utvářet se (v-w7413f1)")</f>
        <v>utvářet se (v-w7413f1)</v>
      </c>
    </row>
    <row r="52282" spans="1:4" x14ac:dyDescent="0.2">
      <c r="B52282" t="s">
        <v>1</v>
      </c>
    </row>
    <row r="52283" spans="1:4" x14ac:dyDescent="0.2">
      <c r="B52283" t="s">
        <v>438</v>
      </c>
    </row>
    <row r="52285" spans="1:4" x14ac:dyDescent="0.2">
      <c r="A52285" t="s">
        <v>16581</v>
      </c>
      <c r="B52285" t="str">
        <f>HYPERLINK("https://lindat.mff.cuni.cz/services/teitok/pdtc10/index.php?action=vallex&amp;frame=v-w7362f1", "utábořit se (v-w7362f1)")</f>
        <v>utábořit se (v-w7362f1)</v>
      </c>
    </row>
    <row r="52286" spans="1:4" x14ac:dyDescent="0.2">
      <c r="B52286" t="s">
        <v>1</v>
      </c>
    </row>
    <row r="52287" spans="1:4" x14ac:dyDescent="0.2">
      <c r="B52287" t="s">
        <v>5</v>
      </c>
    </row>
    <row r="52289" spans="1:3" x14ac:dyDescent="0.2">
      <c r="A52289" t="s">
        <v>16582</v>
      </c>
      <c r="B52289" t="str">
        <f>HYPERLINK("https://lindat.mff.cuni.cz/services/teitok/pdtc10/index.php?action=vallex&amp;frame=v-w7363f2", "utáhnout (v-w7363f2)")</f>
        <v>utáhnout (v-w7363f2)</v>
      </c>
    </row>
    <row r="52290" spans="1:3" x14ac:dyDescent="0.2">
      <c r="B52290" t="s">
        <v>1</v>
      </c>
    </row>
    <row r="52291" spans="1:3" x14ac:dyDescent="0.2">
      <c r="B52291" t="s">
        <v>28</v>
      </c>
    </row>
    <row r="52292" spans="1:3" x14ac:dyDescent="0.2">
      <c r="B52292" t="s">
        <v>58</v>
      </c>
    </row>
    <row r="52294" spans="1:3" x14ac:dyDescent="0.2">
      <c r="A52294" t="s">
        <v>16583</v>
      </c>
      <c r="B52294" t="str">
        <f>HYPERLINK("https://lindat.mff.cuni.cz/services/teitok/pdtc10/index.php?action=vallex&amp;frame=v-w7363f4_ZU", "utáhnout (v-w7363f4_ZU)")</f>
        <v>utáhnout (v-w7363f4_ZU)</v>
      </c>
    </row>
    <row r="52295" spans="1:3" x14ac:dyDescent="0.2">
      <c r="B52295" t="s">
        <v>1</v>
      </c>
      <c r="C52295" t="s">
        <v>990</v>
      </c>
    </row>
    <row r="52296" spans="1:3" x14ac:dyDescent="0.2">
      <c r="B52296" t="s">
        <v>8</v>
      </c>
      <c r="C52296" t="s">
        <v>116</v>
      </c>
    </row>
    <row r="52297" spans="1:3" x14ac:dyDescent="0.2">
      <c r="B52297" t="s">
        <v>24</v>
      </c>
    </row>
    <row r="52299" spans="1:3" x14ac:dyDescent="0.2">
      <c r="A52299" t="s">
        <v>16583</v>
      </c>
      <c r="B52299" t="str">
        <f>HYPERLINK("https://lindat.mff.cuni.cz/services/teitok/pdtc10/index.php?action=vallex&amp;frame=v-w7363f3_ZU", "utáhnout (v-w7363f3_ZU) - substituted with v-w7363f4_ZU")</f>
        <v>utáhnout (v-w7363f3_ZU) - substituted with v-w7363f4_ZU</v>
      </c>
    </row>
    <row r="52300" spans="1:3" x14ac:dyDescent="0.2">
      <c r="B52300" t="s">
        <v>1</v>
      </c>
    </row>
    <row r="52301" spans="1:3" x14ac:dyDescent="0.2">
      <c r="B52301" t="s">
        <v>8</v>
      </c>
    </row>
    <row r="52302" spans="1:3" x14ac:dyDescent="0.2">
      <c r="B52302" t="s">
        <v>24</v>
      </c>
    </row>
    <row r="52304" spans="1:3" x14ac:dyDescent="0.2">
      <c r="A52304" t="s">
        <v>16584</v>
      </c>
      <c r="B52304" t="str">
        <f>HYPERLINK("https://lindat.mff.cuni.cz/services/teitok/pdtc10/index.php?action=vallex&amp;frame=v-w7363f1", "utáhnout (v-w7363f1)")</f>
        <v>utáhnout (v-w7363f1)</v>
      </c>
    </row>
    <row r="52305" spans="1:4" x14ac:dyDescent="0.2">
      <c r="B52305" t="s">
        <v>1</v>
      </c>
      <c r="C52305" t="s">
        <v>133</v>
      </c>
      <c r="D52305" t="s">
        <v>967</v>
      </c>
    </row>
    <row r="52306" spans="1:4" x14ac:dyDescent="0.2">
      <c r="B52306" t="s">
        <v>8</v>
      </c>
      <c r="C52306" t="s">
        <v>34</v>
      </c>
      <c r="D52306" t="s">
        <v>338</v>
      </c>
    </row>
    <row r="52308" spans="1:4" x14ac:dyDescent="0.2">
      <c r="A52308" t="s">
        <v>16585</v>
      </c>
      <c r="B52308" t="str">
        <f>HYPERLINK("https://lindat.mff.cuni.cz/services/teitok/pdtc10/index.php?action=vallex&amp;frame=v-w11250f1", "utápět se (v-w11250f1)")</f>
        <v>utápět se (v-w11250f1)</v>
      </c>
    </row>
    <row r="52309" spans="1:4" x14ac:dyDescent="0.2">
      <c r="B52309" t="s">
        <v>1</v>
      </c>
      <c r="C52309" t="s">
        <v>186</v>
      </c>
      <c r="D52309" t="s">
        <v>249</v>
      </c>
    </row>
    <row r="52311" spans="1:4" x14ac:dyDescent="0.2">
      <c r="A52311" t="s">
        <v>16586</v>
      </c>
      <c r="B52311" t="str">
        <f>HYPERLINK("https://lindat.mff.cuni.cz/services/teitok/pdtc10/index.php?action=vallex&amp;frame=v-w7370f2", "utéci (v-w7370f2)")</f>
        <v>utéci (v-w7370f2)</v>
      </c>
    </row>
    <row r="52312" spans="1:4" x14ac:dyDescent="0.2">
      <c r="B52312" t="s">
        <v>455</v>
      </c>
      <c r="C52312" t="s">
        <v>5699</v>
      </c>
      <c r="D52312" t="s">
        <v>24303</v>
      </c>
    </row>
    <row r="52313" spans="1:4" x14ac:dyDescent="0.2">
      <c r="B52313" t="s">
        <v>15955</v>
      </c>
      <c r="C52313" t="s">
        <v>5507</v>
      </c>
      <c r="D52313" t="s">
        <v>24304</v>
      </c>
    </row>
    <row r="52315" spans="1:4" x14ac:dyDescent="0.2">
      <c r="A52315" t="s">
        <v>16587</v>
      </c>
      <c r="B52315" t="str">
        <f>HYPERLINK("https://lindat.mff.cuni.cz/services/teitok/pdtc10/index.php?action=vallex&amp;frame=v-w7370f1", "utéci (v-w7370f1)")</f>
        <v>utéci (v-w7370f1)</v>
      </c>
    </row>
    <row r="52316" spans="1:4" x14ac:dyDescent="0.2">
      <c r="B52316" t="s">
        <v>1</v>
      </c>
      <c r="C52316" t="s">
        <v>7988</v>
      </c>
    </row>
    <row r="52317" spans="1:4" x14ac:dyDescent="0.2">
      <c r="B52317" t="s">
        <v>10232</v>
      </c>
    </row>
    <row r="52319" spans="1:4" x14ac:dyDescent="0.2">
      <c r="A52319" t="s">
        <v>16588</v>
      </c>
      <c r="B52319" t="str">
        <f>HYPERLINK("https://lindat.mff.cuni.cz/services/teitok/pdtc10/index.php?action=vallex&amp;frame=v-w7370f3", "utéci (v-w7370f3)")</f>
        <v>utéci (v-w7370f3)</v>
      </c>
    </row>
    <row r="52320" spans="1:4" x14ac:dyDescent="0.2">
      <c r="B52320" t="s">
        <v>1</v>
      </c>
    </row>
    <row r="52322" spans="1:3" x14ac:dyDescent="0.2">
      <c r="A52322" t="s">
        <v>16589</v>
      </c>
      <c r="B52322" t="str">
        <f>HYPERLINK("https://lindat.mff.cuni.cz/services/teitok/pdtc10/index.php?action=vallex&amp;frame=v-w7371f1", "utéci se (v-w7371f1)")</f>
        <v>utéci se (v-w7371f1)</v>
      </c>
    </row>
    <row r="52323" spans="1:3" x14ac:dyDescent="0.2">
      <c r="B52323" t="s">
        <v>1</v>
      </c>
    </row>
    <row r="52324" spans="1:3" x14ac:dyDescent="0.2">
      <c r="B52324" t="s">
        <v>90</v>
      </c>
    </row>
    <row r="52326" spans="1:3" x14ac:dyDescent="0.2">
      <c r="A52326" t="s">
        <v>16590</v>
      </c>
      <c r="B52326" t="str">
        <f>HYPERLINK("https://lindat.mff.cuni.cz/services/teitok/pdtc10/index.php?action=vallex&amp;frame=v-w7376f1", "utíkat (v-w7376f1)")</f>
        <v>utíkat (v-w7376f1)</v>
      </c>
    </row>
    <row r="52327" spans="1:3" x14ac:dyDescent="0.2">
      <c r="B52327" t="s">
        <v>1</v>
      </c>
      <c r="C52327" t="s">
        <v>16591</v>
      </c>
    </row>
    <row r="52328" spans="1:3" x14ac:dyDescent="0.2">
      <c r="B52328" t="s">
        <v>10232</v>
      </c>
    </row>
    <row r="52330" spans="1:3" x14ac:dyDescent="0.2">
      <c r="A52330" t="s">
        <v>16592</v>
      </c>
      <c r="B52330" t="str">
        <f>HYPERLINK("https://lindat.mff.cuni.cz/services/teitok/pdtc10/index.php?action=vallex&amp;frame=v-w7376f2", "utíkat (v-w7376f2)")</f>
        <v>utíkat (v-w7376f2)</v>
      </c>
    </row>
    <row r="52331" spans="1:3" x14ac:dyDescent="0.2">
      <c r="B52331" t="s">
        <v>1</v>
      </c>
    </row>
    <row r="52333" spans="1:3" x14ac:dyDescent="0.2">
      <c r="A52333" t="s">
        <v>16593</v>
      </c>
      <c r="B52333" t="str">
        <f>HYPERLINK("https://lindat.mff.cuni.cz/services/teitok/pdtc10/index.php?action=vallex&amp;frame=v-w7376f3_ZU", "utíkat (v-w7376f3_ZU)")</f>
        <v>utíkat (v-w7376f3_ZU)</v>
      </c>
    </row>
    <row r="52334" spans="1:3" x14ac:dyDescent="0.2">
      <c r="B52334" t="s">
        <v>1</v>
      </c>
    </row>
    <row r="52335" spans="1:3" x14ac:dyDescent="0.2">
      <c r="B52335" t="s">
        <v>90</v>
      </c>
    </row>
    <row r="52337" spans="1:4" x14ac:dyDescent="0.2">
      <c r="A52337" t="s">
        <v>16593</v>
      </c>
      <c r="B52337" t="str">
        <f>HYPERLINK("https://lindat.mff.cuni.cz/services/teitok/pdtc10/index.php?action=vallex&amp;frame=v-w7376hsa_1694", "utíkat (v-w7376hsa_1694) - substituted with v-w7376f3_ZU")</f>
        <v>utíkat (v-w7376hsa_1694) - substituted with v-w7376f3_ZU</v>
      </c>
    </row>
    <row r="52338" spans="1:4" x14ac:dyDescent="0.2">
      <c r="B52338" t="s">
        <v>1</v>
      </c>
    </row>
    <row r="52339" spans="1:4" x14ac:dyDescent="0.2">
      <c r="B52339" t="s">
        <v>90</v>
      </c>
    </row>
    <row r="52341" spans="1:4" x14ac:dyDescent="0.2">
      <c r="A52341" t="s">
        <v>16594</v>
      </c>
      <c r="B52341" t="str">
        <f>HYPERLINK("https://lindat.mff.cuni.cz/services/teitok/pdtc10/index.php?action=vallex&amp;frame=v-w7377f1", "utírat (v-w7377f1)")</f>
        <v>utírat (v-w7377f1)</v>
      </c>
    </row>
    <row r="52342" spans="1:4" x14ac:dyDescent="0.2">
      <c r="B52342" t="s">
        <v>1</v>
      </c>
    </row>
    <row r="52343" spans="1:4" x14ac:dyDescent="0.2">
      <c r="B52343" t="s">
        <v>8</v>
      </c>
    </row>
    <row r="52345" spans="1:4" x14ac:dyDescent="0.2">
      <c r="A52345" t="s">
        <v>16595</v>
      </c>
      <c r="B52345" t="str">
        <f>HYPERLINK("https://lindat.mff.cuni.cz/services/teitok/pdtc10/index.php?action=vallex&amp;frame=v-w10583f2", "utěšit (v-w10583f2)")</f>
        <v>utěšit (v-w10583f2)</v>
      </c>
    </row>
    <row r="52346" spans="1:4" x14ac:dyDescent="0.2">
      <c r="B52346" t="s">
        <v>1</v>
      </c>
      <c r="C52346" t="s">
        <v>33</v>
      </c>
      <c r="D52346" t="s">
        <v>23047</v>
      </c>
    </row>
    <row r="52347" spans="1:4" x14ac:dyDescent="0.2">
      <c r="B52347" t="s">
        <v>8</v>
      </c>
      <c r="C52347" t="s">
        <v>34</v>
      </c>
      <c r="D52347" t="s">
        <v>2747</v>
      </c>
    </row>
    <row r="52349" spans="1:4" x14ac:dyDescent="0.2">
      <c r="A52349" t="s">
        <v>16596</v>
      </c>
      <c r="B52349" t="str">
        <f>HYPERLINK("https://lindat.mff.cuni.cz/services/teitok/pdtc10/index.php?action=vallex&amp;frame=v-w7374f1", "utěšovat (v-w7374f1)")</f>
        <v>utěšovat (v-w7374f1)</v>
      </c>
    </row>
    <row r="52350" spans="1:4" x14ac:dyDescent="0.2">
      <c r="B52350" t="s">
        <v>1</v>
      </c>
      <c r="C52350" t="s">
        <v>33</v>
      </c>
    </row>
    <row r="52351" spans="1:4" x14ac:dyDescent="0.2">
      <c r="B52351" t="s">
        <v>8</v>
      </c>
    </row>
    <row r="52353" spans="1:2" x14ac:dyDescent="0.2">
      <c r="A52353" t="s">
        <v>16597</v>
      </c>
      <c r="B52353" t="str">
        <f>HYPERLINK("https://lindat.mff.cuni.cz/services/teitok/pdtc10/index.php?action=vallex&amp;frame=v-w7408f1", "utřídit (v-w7408f1)")</f>
        <v>utřídit (v-w7408f1)</v>
      </c>
    </row>
    <row r="52354" spans="1:2" x14ac:dyDescent="0.2">
      <c r="B52354" t="s">
        <v>1</v>
      </c>
    </row>
    <row r="52355" spans="1:2" x14ac:dyDescent="0.2">
      <c r="B52355" t="s">
        <v>8</v>
      </c>
    </row>
    <row r="52356" spans="1:2" x14ac:dyDescent="0.2">
      <c r="B52356" t="s">
        <v>25</v>
      </c>
    </row>
    <row r="52358" spans="1:2" x14ac:dyDescent="0.2">
      <c r="A52358" t="s">
        <v>16598</v>
      </c>
      <c r="B52358" t="str">
        <f>HYPERLINK("https://lindat.mff.cuni.cz/services/teitok/pdtc10/index.php?action=vallex&amp;frame=v-w12317_MMf1_MM", "utřít (v-w12317_MMf1_MM)")</f>
        <v>utřít (v-w12317_MMf1_MM)</v>
      </c>
    </row>
    <row r="52359" spans="1:2" x14ac:dyDescent="0.2">
      <c r="B52359" t="s">
        <v>1</v>
      </c>
    </row>
    <row r="52360" spans="1:2" x14ac:dyDescent="0.2">
      <c r="B52360" t="s">
        <v>8</v>
      </c>
    </row>
    <row r="52362" spans="1:2" x14ac:dyDescent="0.2">
      <c r="A52362" t="s">
        <v>16599</v>
      </c>
      <c r="B52362" t="str">
        <f>HYPERLINK("https://lindat.mff.cuni.cz/services/teitok/pdtc10/index.php?action=vallex&amp;frame=v-w10871f2", "uvadnout (v-w10871f2)")</f>
        <v>uvadnout (v-w10871f2)</v>
      </c>
    </row>
    <row r="52363" spans="1:2" x14ac:dyDescent="0.2">
      <c r="B52363" t="s">
        <v>1</v>
      </c>
    </row>
    <row r="52365" spans="1:2" x14ac:dyDescent="0.2">
      <c r="A52365" t="s">
        <v>16600</v>
      </c>
      <c r="B52365" t="str">
        <f>HYPERLINK("https://lindat.mff.cuni.cz/services/teitok/pdtc10/index.php?action=vallex&amp;frame=v-w10871f3_ZU", "uvadnout (v-w10871f3_ZU)")</f>
        <v>uvadnout (v-w10871f3_ZU)</v>
      </c>
    </row>
    <row r="52366" spans="1:2" x14ac:dyDescent="0.2">
      <c r="B52366" t="s">
        <v>1</v>
      </c>
    </row>
    <row r="52368" spans="1:2" x14ac:dyDescent="0.2">
      <c r="A52368" t="s">
        <v>16601</v>
      </c>
      <c r="B52368" t="str">
        <f>HYPERLINK("https://lindat.mff.cuni.cz/services/teitok/pdtc10/index.php?action=vallex&amp;frame=v-w7424f5_ZU", "uvalit (v-w7424f5_ZU)")</f>
        <v>uvalit (v-w7424f5_ZU)</v>
      </c>
    </row>
    <row r="52369" spans="1:3" x14ac:dyDescent="0.2">
      <c r="B52369" t="s">
        <v>488</v>
      </c>
      <c r="C52369" t="s">
        <v>2571</v>
      </c>
    </row>
    <row r="52370" spans="1:3" x14ac:dyDescent="0.2">
      <c r="B52370" t="s">
        <v>8</v>
      </c>
      <c r="C52370" t="s">
        <v>3324</v>
      </c>
    </row>
    <row r="52371" spans="1:3" x14ac:dyDescent="0.2">
      <c r="B52371" t="s">
        <v>88</v>
      </c>
      <c r="C52371" t="s">
        <v>2573</v>
      </c>
    </row>
    <row r="52373" spans="1:3" x14ac:dyDescent="0.2">
      <c r="A52373" t="s">
        <v>16601</v>
      </c>
      <c r="B52373" t="str">
        <f>HYPERLINK("https://lindat.mff.cuni.cz/services/teitok/pdtc10/index.php?action=vallex&amp;frame=v-w7424f2", "uvalit (v-w7424f2) - substituted with v-w7424f5_ZU")</f>
        <v>uvalit (v-w7424f2) - substituted with v-w7424f5_ZU</v>
      </c>
    </row>
    <row r="52374" spans="1:3" x14ac:dyDescent="0.2">
      <c r="B52374" t="s">
        <v>488</v>
      </c>
      <c r="C52374" t="s">
        <v>2237</v>
      </c>
    </row>
    <row r="52375" spans="1:3" x14ac:dyDescent="0.2">
      <c r="B52375" t="s">
        <v>8</v>
      </c>
      <c r="C52375" t="s">
        <v>16602</v>
      </c>
    </row>
    <row r="52376" spans="1:3" x14ac:dyDescent="0.2">
      <c r="B52376" t="s">
        <v>88</v>
      </c>
      <c r="C52376" t="s">
        <v>16603</v>
      </c>
    </row>
    <row r="52378" spans="1:3" x14ac:dyDescent="0.2">
      <c r="A52378" t="s">
        <v>16604</v>
      </c>
      <c r="B52378" t="str">
        <f>HYPERLINK("https://lindat.mff.cuni.cz/services/teitok/pdtc10/index.php?action=vallex&amp;frame=v-w7424f6_ZU", "uvalit (v-w7424f6_ZU)")</f>
        <v>uvalit (v-w7424f6_ZU)</v>
      </c>
    </row>
    <row r="52379" spans="1:3" x14ac:dyDescent="0.2">
      <c r="B52379" t="s">
        <v>1</v>
      </c>
      <c r="C52379" t="s">
        <v>43</v>
      </c>
    </row>
    <row r="52380" spans="1:3" x14ac:dyDescent="0.2">
      <c r="B52380" t="s">
        <v>16605</v>
      </c>
      <c r="C52380" t="s">
        <v>5796</v>
      </c>
    </row>
    <row r="52381" spans="1:3" x14ac:dyDescent="0.2">
      <c r="B52381" t="s">
        <v>16606</v>
      </c>
      <c r="C52381" t="s">
        <v>16607</v>
      </c>
    </row>
    <row r="52383" spans="1:3" x14ac:dyDescent="0.2">
      <c r="A52383" t="s">
        <v>16604</v>
      </c>
      <c r="B52383" t="str">
        <f>HYPERLINK("https://lindat.mff.cuni.cz/services/teitok/pdtc10/index.php?action=vallex&amp;frame=v-w7424f1", "uvalit (v-w7424f1) - substituted with v-w7424f6_ZU")</f>
        <v>uvalit (v-w7424f1) - substituted with v-w7424f6_ZU</v>
      </c>
    </row>
    <row r="52384" spans="1:3" x14ac:dyDescent="0.2">
      <c r="B52384" t="s">
        <v>1</v>
      </c>
      <c r="C52384" t="s">
        <v>2571</v>
      </c>
    </row>
    <row r="52385" spans="1:3" x14ac:dyDescent="0.2">
      <c r="B52385" t="s">
        <v>16605</v>
      </c>
      <c r="C52385" t="s">
        <v>2572</v>
      </c>
    </row>
    <row r="52386" spans="1:3" x14ac:dyDescent="0.2">
      <c r="B52386" t="s">
        <v>16606</v>
      </c>
      <c r="C52386" t="s">
        <v>2573</v>
      </c>
    </row>
    <row r="52388" spans="1:3" x14ac:dyDescent="0.2">
      <c r="A52388" t="s">
        <v>16604</v>
      </c>
      <c r="B52388" t="str">
        <f>HYPERLINK("https://lindat.mff.cuni.cz/services/teitok/pdtc10/index.php?action=vallex&amp;frame=v-w7424f3", "uvalit (v-w7424f3) - substituted with v-w7424f6_ZU")</f>
        <v>uvalit (v-w7424f3) - substituted with v-w7424f6_ZU</v>
      </c>
    </row>
    <row r="52389" spans="1:3" x14ac:dyDescent="0.2">
      <c r="B52389" t="s">
        <v>1</v>
      </c>
      <c r="C52389" t="s">
        <v>2571</v>
      </c>
    </row>
    <row r="52390" spans="1:3" x14ac:dyDescent="0.2">
      <c r="B52390" t="s">
        <v>16605</v>
      </c>
      <c r="C52390" t="s">
        <v>2572</v>
      </c>
    </row>
    <row r="52391" spans="1:3" x14ac:dyDescent="0.2">
      <c r="B52391" t="s">
        <v>16606</v>
      </c>
      <c r="C52391" t="s">
        <v>2573</v>
      </c>
    </row>
    <row r="52393" spans="1:3" x14ac:dyDescent="0.2">
      <c r="A52393" t="s">
        <v>16604</v>
      </c>
      <c r="B52393" t="str">
        <f>HYPERLINK("https://lindat.mff.cuni.cz/services/teitok/pdtc10/index.php?action=vallex&amp;frame=v-w7424f4_ZU", "uvalit (v-w7424f4_ZU) - substituted with v-w7424f6_ZU")</f>
        <v>uvalit (v-w7424f4_ZU) - substituted with v-w7424f6_ZU</v>
      </c>
    </row>
    <row r="52394" spans="1:3" x14ac:dyDescent="0.2">
      <c r="B52394" t="s">
        <v>1</v>
      </c>
      <c r="C52394" t="s">
        <v>1077</v>
      </c>
    </row>
    <row r="52395" spans="1:3" x14ac:dyDescent="0.2">
      <c r="B52395" t="s">
        <v>16605</v>
      </c>
      <c r="C52395" t="s">
        <v>8944</v>
      </c>
    </row>
    <row r="52396" spans="1:3" x14ac:dyDescent="0.2">
      <c r="B52396" t="s">
        <v>16606</v>
      </c>
      <c r="C52396" t="s">
        <v>2573</v>
      </c>
    </row>
    <row r="52398" spans="1:3" x14ac:dyDescent="0.2">
      <c r="A52398" t="s">
        <v>16604</v>
      </c>
      <c r="B52398" t="str">
        <f>HYPERLINK("https://lindat.mff.cuni.cz/services/teitok/pdtc10/index.php?action=vallex&amp;frame=v-w7424hsa_239", "uvalit (v-w7424hsa_239) - substituted with v-w7424f6_ZU")</f>
        <v>uvalit (v-w7424hsa_239) - substituted with v-w7424f6_ZU</v>
      </c>
    </row>
    <row r="52399" spans="1:3" x14ac:dyDescent="0.2">
      <c r="B52399" t="s">
        <v>1</v>
      </c>
      <c r="C52399" t="s">
        <v>1077</v>
      </c>
    </row>
    <row r="52400" spans="1:3" x14ac:dyDescent="0.2">
      <c r="B52400" t="s">
        <v>16605</v>
      </c>
      <c r="C52400" t="s">
        <v>16608</v>
      </c>
    </row>
    <row r="52401" spans="1:3" x14ac:dyDescent="0.2">
      <c r="B52401" t="s">
        <v>16606</v>
      </c>
      <c r="C52401" t="s">
        <v>2573</v>
      </c>
    </row>
    <row r="52403" spans="1:3" x14ac:dyDescent="0.2">
      <c r="A52403" t="s">
        <v>16609</v>
      </c>
      <c r="B52403" t="str">
        <f>HYPERLINK("https://lindat.mff.cuni.cz/services/teitok/pdtc10/index.php?action=vallex&amp;frame=v-w10192f4", "uvalovat (v-w10192f4)")</f>
        <v>uvalovat (v-w10192f4)</v>
      </c>
    </row>
    <row r="52404" spans="1:3" x14ac:dyDescent="0.2">
      <c r="B52404" t="s">
        <v>488</v>
      </c>
    </row>
    <row r="52405" spans="1:3" x14ac:dyDescent="0.2">
      <c r="B52405" t="s">
        <v>8</v>
      </c>
    </row>
    <row r="52406" spans="1:3" x14ac:dyDescent="0.2">
      <c r="B52406" t="s">
        <v>88</v>
      </c>
    </row>
    <row r="52408" spans="1:3" x14ac:dyDescent="0.2">
      <c r="A52408" t="s">
        <v>16610</v>
      </c>
      <c r="B52408" t="str">
        <f>HYPERLINK("https://lindat.mff.cuni.cz/services/teitok/pdtc10/index.php?action=vallex&amp;frame=v-w10192f5", "uvalovat (v-w10192f5)")</f>
        <v>uvalovat (v-w10192f5)</v>
      </c>
    </row>
    <row r="52409" spans="1:3" x14ac:dyDescent="0.2">
      <c r="B52409" t="s">
        <v>1</v>
      </c>
      <c r="C52409" t="s">
        <v>2571</v>
      </c>
    </row>
    <row r="52410" spans="1:3" x14ac:dyDescent="0.2">
      <c r="B52410" t="s">
        <v>16611</v>
      </c>
      <c r="C52410" t="s">
        <v>2572</v>
      </c>
    </row>
    <row r="52411" spans="1:3" x14ac:dyDescent="0.2">
      <c r="B52411" t="s">
        <v>16606</v>
      </c>
      <c r="C52411" t="s">
        <v>2573</v>
      </c>
    </row>
    <row r="52413" spans="1:3" x14ac:dyDescent="0.2">
      <c r="A52413" t="s">
        <v>16612</v>
      </c>
      <c r="B52413" t="str">
        <f>HYPERLINK("https://lindat.mff.cuni.cz/services/teitok/pdtc10/index.php?action=vallex&amp;frame=v-w7426f1", "uvařit (v-w7426f1)")</f>
        <v>uvařit (v-w7426f1)</v>
      </c>
    </row>
    <row r="52414" spans="1:3" x14ac:dyDescent="0.2">
      <c r="B52414" t="s">
        <v>1</v>
      </c>
    </row>
    <row r="52415" spans="1:3" x14ac:dyDescent="0.2">
      <c r="B52415" t="s">
        <v>8</v>
      </c>
    </row>
    <row r="52416" spans="1:3" x14ac:dyDescent="0.2">
      <c r="B52416" t="s">
        <v>24</v>
      </c>
    </row>
    <row r="52418" spans="1:4" x14ac:dyDescent="0.2">
      <c r="A52418" t="s">
        <v>16613</v>
      </c>
      <c r="B52418" t="str">
        <f>HYPERLINK("https://lindat.mff.cuni.cz/services/teitok/pdtc10/index.php?action=vallex&amp;frame=v-w7426f2_ZU", "uvařit (v-w7426f2_ZU)")</f>
        <v>uvařit (v-w7426f2_ZU)</v>
      </c>
    </row>
    <row r="52419" spans="1:4" x14ac:dyDescent="0.2">
      <c r="B52419" t="s">
        <v>1</v>
      </c>
    </row>
    <row r="52420" spans="1:4" x14ac:dyDescent="0.2">
      <c r="B52420" t="s">
        <v>8</v>
      </c>
    </row>
    <row r="52422" spans="1:4" x14ac:dyDescent="0.2">
      <c r="A52422" t="s">
        <v>16613</v>
      </c>
      <c r="B52422" t="str">
        <f>HYPERLINK("https://lindat.mff.cuni.cz/services/teitok/pdtc10/index.php?action=vallex&amp;frame=v-w7426hsa_1725", "uvařit (v-w7426hsa_1725) - substituted with v-w7426f2_ZU")</f>
        <v>uvařit (v-w7426hsa_1725) - substituted with v-w7426f2_ZU</v>
      </c>
    </row>
    <row r="52423" spans="1:4" x14ac:dyDescent="0.2">
      <c r="B52423" t="s">
        <v>1</v>
      </c>
    </row>
    <row r="52424" spans="1:4" x14ac:dyDescent="0.2">
      <c r="B52424" t="s">
        <v>8</v>
      </c>
    </row>
    <row r="52426" spans="1:4" x14ac:dyDescent="0.2">
      <c r="A52426" t="s">
        <v>16614</v>
      </c>
      <c r="B52426" t="str">
        <f>HYPERLINK("https://lindat.mff.cuni.cz/services/teitok/pdtc10/index.php?action=vallex&amp;frame=v-w7431f3", "uvažovat (v-w7431f3)")</f>
        <v>uvažovat (v-w7431f3)</v>
      </c>
    </row>
    <row r="52427" spans="1:4" x14ac:dyDescent="0.2">
      <c r="B52427" t="s">
        <v>1</v>
      </c>
      <c r="D52427" t="s">
        <v>23014</v>
      </c>
    </row>
    <row r="52428" spans="1:4" x14ac:dyDescent="0.2">
      <c r="B52428" t="s">
        <v>13345</v>
      </c>
      <c r="D52428" t="s">
        <v>23015</v>
      </c>
    </row>
    <row r="52430" spans="1:4" x14ac:dyDescent="0.2">
      <c r="A52430" t="s">
        <v>16615</v>
      </c>
      <c r="B52430" t="str">
        <f>HYPERLINK("https://lindat.mff.cuni.cz/services/teitok/pdtc10/index.php?action=vallex&amp;frame=v-w7431f1", "uvažovat (v-w7431f1)")</f>
        <v>uvažovat (v-w7431f1)</v>
      </c>
    </row>
    <row r="52431" spans="1:4" x14ac:dyDescent="0.2">
      <c r="B52431" t="s">
        <v>1</v>
      </c>
      <c r="C52431" t="s">
        <v>16616</v>
      </c>
      <c r="D52431" t="s">
        <v>23014</v>
      </c>
    </row>
    <row r="52432" spans="1:4" x14ac:dyDescent="0.2">
      <c r="B52432" t="s">
        <v>16617</v>
      </c>
      <c r="C52432" t="s">
        <v>16618</v>
      </c>
      <c r="D52432" t="s">
        <v>23015</v>
      </c>
    </row>
    <row r="52434" spans="1:4" x14ac:dyDescent="0.2">
      <c r="A52434" t="s">
        <v>16619</v>
      </c>
      <c r="B52434" t="str">
        <f>HYPERLINK("https://lindat.mff.cuni.cz/services/teitok/pdtc10/index.php?action=vallex&amp;frame=v-w7431f4", "uvažovat (v-w7431f4)")</f>
        <v>uvažovat (v-w7431f4)</v>
      </c>
    </row>
    <row r="52435" spans="1:4" x14ac:dyDescent="0.2">
      <c r="B52435" t="s">
        <v>1</v>
      </c>
    </row>
    <row r="52436" spans="1:4" x14ac:dyDescent="0.2">
      <c r="B52436" t="s">
        <v>411</v>
      </c>
    </row>
    <row r="52438" spans="1:4" x14ac:dyDescent="0.2">
      <c r="A52438" t="s">
        <v>16620</v>
      </c>
      <c r="B52438" t="str">
        <f>HYPERLINK("https://lindat.mff.cuni.cz/services/teitok/pdtc10/index.php?action=vallex&amp;frame=v-w7431f2", "uvažovat (v-w7431f2)")</f>
        <v>uvažovat (v-w7431f2)</v>
      </c>
    </row>
    <row r="52439" spans="1:4" x14ac:dyDescent="0.2">
      <c r="B52439" t="s">
        <v>1</v>
      </c>
      <c r="C52439" t="s">
        <v>2239</v>
      </c>
      <c r="D52439" t="s">
        <v>2239</v>
      </c>
    </row>
    <row r="52441" spans="1:4" x14ac:dyDescent="0.2">
      <c r="A52441" t="s">
        <v>16621</v>
      </c>
      <c r="B52441" t="str">
        <f>HYPERLINK("https://lindat.mff.cuni.cz/services/teitok/pdtc10/index.php?action=vallex&amp;frame=v-w7445f1", "uveřejnit (v-w7445f1)")</f>
        <v>uveřejnit (v-w7445f1)</v>
      </c>
    </row>
    <row r="52442" spans="1:4" x14ac:dyDescent="0.2">
      <c r="B52442" t="s">
        <v>1</v>
      </c>
      <c r="C52442" t="s">
        <v>16622</v>
      </c>
      <c r="D52442" t="s">
        <v>23982</v>
      </c>
    </row>
    <row r="52443" spans="1:4" x14ac:dyDescent="0.2">
      <c r="B52443" t="s">
        <v>8</v>
      </c>
      <c r="C52443" t="s">
        <v>16623</v>
      </c>
      <c r="D52443" t="s">
        <v>23983</v>
      </c>
    </row>
    <row r="52445" spans="1:4" x14ac:dyDescent="0.2">
      <c r="A52445" t="s">
        <v>16624</v>
      </c>
      <c r="B52445" t="str">
        <f>HYPERLINK("https://lindat.mff.cuni.cz/services/teitok/pdtc10/index.php?action=vallex&amp;frame=v-w7445f2", "uveřejnit (v-w7445f2)")</f>
        <v>uveřejnit (v-w7445f2)</v>
      </c>
    </row>
    <row r="52446" spans="1:4" x14ac:dyDescent="0.2">
      <c r="B52446" t="s">
        <v>1</v>
      </c>
    </row>
    <row r="52447" spans="1:4" x14ac:dyDescent="0.2">
      <c r="B52447" t="s">
        <v>4749</v>
      </c>
    </row>
    <row r="52448" spans="1:4" x14ac:dyDescent="0.2">
      <c r="B52448" t="s">
        <v>269</v>
      </c>
    </row>
    <row r="52450" spans="1:4" x14ac:dyDescent="0.2">
      <c r="A52450" t="s">
        <v>16625</v>
      </c>
      <c r="B52450" t="str">
        <f>HYPERLINK("https://lindat.mff.cuni.cz/services/teitok/pdtc10/index.php?action=vallex&amp;frame=v-w7447f1", "uveřejňovat (v-w7447f1)")</f>
        <v>uveřejňovat (v-w7447f1)</v>
      </c>
    </row>
    <row r="52451" spans="1:4" x14ac:dyDescent="0.2">
      <c r="B52451" t="s">
        <v>1</v>
      </c>
      <c r="C52451" t="s">
        <v>990</v>
      </c>
      <c r="D52451" t="s">
        <v>23982</v>
      </c>
    </row>
    <row r="52452" spans="1:4" x14ac:dyDescent="0.2">
      <c r="B52452" t="s">
        <v>8</v>
      </c>
      <c r="C52452" t="s">
        <v>110</v>
      </c>
      <c r="D52452" t="s">
        <v>23983</v>
      </c>
    </row>
    <row r="52454" spans="1:4" x14ac:dyDescent="0.2">
      <c r="A52454" t="s">
        <v>16626</v>
      </c>
      <c r="B52454" t="str">
        <f>HYPERLINK("https://lindat.mff.cuni.cz/services/teitok/pdtc10/index.php?action=vallex&amp;frame=v-w7447f2", "uveřejňovat (v-w7447f2)")</f>
        <v>uveřejňovat (v-w7447f2)</v>
      </c>
    </row>
    <row r="52455" spans="1:4" x14ac:dyDescent="0.2">
      <c r="B52455" t="s">
        <v>1</v>
      </c>
      <c r="C52455" t="s">
        <v>990</v>
      </c>
      <c r="D52455" t="s">
        <v>23982</v>
      </c>
    </row>
    <row r="52456" spans="1:4" x14ac:dyDescent="0.2">
      <c r="B52456" t="s">
        <v>4749</v>
      </c>
      <c r="C52456" t="s">
        <v>16627</v>
      </c>
      <c r="D52456" t="s">
        <v>24305</v>
      </c>
    </row>
    <row r="52457" spans="1:4" x14ac:dyDescent="0.2">
      <c r="B52457" t="s">
        <v>269</v>
      </c>
    </row>
    <row r="52459" spans="1:4" x14ac:dyDescent="0.2">
      <c r="A52459" t="s">
        <v>16628</v>
      </c>
      <c r="B52459" t="str">
        <f>HYPERLINK("https://lindat.mff.cuni.cz/services/teitok/pdtc10/index.php?action=vallex&amp;frame=v-w7452f2", "uvidět (v-w7452f2)")</f>
        <v>uvidět (v-w7452f2)</v>
      </c>
    </row>
    <row r="52460" spans="1:4" x14ac:dyDescent="0.2">
      <c r="B52460" t="s">
        <v>1</v>
      </c>
    </row>
    <row r="52461" spans="1:4" x14ac:dyDescent="0.2">
      <c r="B52461" t="s">
        <v>8</v>
      </c>
    </row>
    <row r="52462" spans="1:4" x14ac:dyDescent="0.2">
      <c r="B52462" t="s">
        <v>16629</v>
      </c>
    </row>
    <row r="52464" spans="1:4" x14ac:dyDescent="0.2">
      <c r="A52464" t="s">
        <v>16630</v>
      </c>
      <c r="B52464" t="str">
        <f>HYPERLINK("https://lindat.mff.cuni.cz/services/teitok/pdtc10/index.php?action=vallex&amp;frame=v-w7452f1", "uvidět (v-w7452f1)")</f>
        <v>uvidět (v-w7452f1)</v>
      </c>
    </row>
    <row r="52465" spans="1:4" x14ac:dyDescent="0.2">
      <c r="B52465" t="s">
        <v>1</v>
      </c>
      <c r="C52465" t="s">
        <v>16631</v>
      </c>
      <c r="D52465" t="s">
        <v>24183</v>
      </c>
    </row>
    <row r="52466" spans="1:4" x14ac:dyDescent="0.2">
      <c r="B52466" t="s">
        <v>2304</v>
      </c>
      <c r="C52466" t="s">
        <v>16632</v>
      </c>
      <c r="D52466" t="s">
        <v>24184</v>
      </c>
    </row>
    <row r="52468" spans="1:4" x14ac:dyDescent="0.2">
      <c r="A52468" t="s">
        <v>16633</v>
      </c>
      <c r="B52468" t="str">
        <f>HYPERLINK("https://lindat.mff.cuni.cz/services/teitok/pdtc10/index.php?action=vallex&amp;frame=v-w7452f3_ZU", "uvidět (v-w7452f3_ZU)")</f>
        <v>uvidět (v-w7452f3_ZU)</v>
      </c>
    </row>
    <row r="52469" spans="1:4" x14ac:dyDescent="0.2">
      <c r="B52469" t="s">
        <v>1</v>
      </c>
    </row>
    <row r="52470" spans="1:4" x14ac:dyDescent="0.2">
      <c r="B52470" t="s">
        <v>411</v>
      </c>
    </row>
    <row r="52471" spans="1:4" x14ac:dyDescent="0.2">
      <c r="B52471" t="s">
        <v>1056</v>
      </c>
    </row>
    <row r="52473" spans="1:4" x14ac:dyDescent="0.2">
      <c r="A52473" t="s">
        <v>16634</v>
      </c>
      <c r="B52473" t="str">
        <f>HYPERLINK("https://lindat.mff.cuni.cz/services/teitok/pdtc10/index.php?action=vallex&amp;frame=v-w7452hsa_1797", "uvidět (v-w7452hsa_1797)")</f>
        <v>uvidět (v-w7452hsa_1797)</v>
      </c>
    </row>
    <row r="52474" spans="1:4" x14ac:dyDescent="0.2">
      <c r="B52474" t="s">
        <v>1</v>
      </c>
    </row>
    <row r="52475" spans="1:4" x14ac:dyDescent="0.2">
      <c r="B52475" t="s">
        <v>8</v>
      </c>
    </row>
    <row r="52476" spans="1:4" x14ac:dyDescent="0.2">
      <c r="B52476" t="s">
        <v>507</v>
      </c>
    </row>
    <row r="52478" spans="1:4" x14ac:dyDescent="0.2">
      <c r="A52478" t="s">
        <v>16635</v>
      </c>
      <c r="B52478" t="str">
        <f>HYPERLINK("https://lindat.mff.cuni.cz/services/teitok/pdtc10/index.php?action=vallex&amp;frame=v-w7453f1", "uvidět se (v-w7453f1)")</f>
        <v>uvidět se (v-w7453f1)</v>
      </c>
    </row>
    <row r="52479" spans="1:4" x14ac:dyDescent="0.2">
      <c r="B52479" t="s">
        <v>10554</v>
      </c>
      <c r="C52479" t="s">
        <v>16636</v>
      </c>
    </row>
    <row r="52481" spans="1:3" x14ac:dyDescent="0.2">
      <c r="A52481" t="s">
        <v>16637</v>
      </c>
      <c r="B52481" t="str">
        <f>HYPERLINK("https://lindat.mff.cuni.cz/services/teitok/pdtc10/index.php?action=vallex&amp;frame=v-w7453hsa_183", "uvidět se (v-w7453hsa_183)")</f>
        <v>uvidět se (v-w7453hsa_183)</v>
      </c>
    </row>
    <row r="52482" spans="1:3" x14ac:dyDescent="0.2">
      <c r="B52482" t="s">
        <v>1</v>
      </c>
    </row>
    <row r="52483" spans="1:3" x14ac:dyDescent="0.2">
      <c r="B52483" t="s">
        <v>411</v>
      </c>
    </row>
    <row r="52485" spans="1:3" x14ac:dyDescent="0.2">
      <c r="A52485" t="s">
        <v>16638</v>
      </c>
      <c r="B52485" t="str">
        <f>HYPERLINK("https://lindat.mff.cuni.cz/services/teitok/pdtc10/index.php?action=vallex&amp;frame=v-w7458f2_ZU", "uvolit se (v-w7458f2_ZU)")</f>
        <v>uvolit se (v-w7458f2_ZU)</v>
      </c>
    </row>
    <row r="52486" spans="1:3" x14ac:dyDescent="0.2">
      <c r="B52486" t="s">
        <v>1</v>
      </c>
    </row>
    <row r="52487" spans="1:3" x14ac:dyDescent="0.2">
      <c r="B52487" t="s">
        <v>7175</v>
      </c>
    </row>
    <row r="52489" spans="1:3" x14ac:dyDescent="0.2">
      <c r="A52489" t="s">
        <v>16638</v>
      </c>
      <c r="B52489" t="str">
        <f>HYPERLINK("https://lindat.mff.cuni.cz/services/teitok/pdtc10/index.php?action=vallex&amp;frame=v-w7458f1", "uvolit se (v-w7458f1) - substituted with v-w7458f2_ZU")</f>
        <v>uvolit se (v-w7458f1) - substituted with v-w7458f2_ZU</v>
      </c>
    </row>
    <row r="52490" spans="1:3" x14ac:dyDescent="0.2">
      <c r="B52490" t="s">
        <v>1</v>
      </c>
    </row>
    <row r="52491" spans="1:3" x14ac:dyDescent="0.2">
      <c r="B52491" t="s">
        <v>7175</v>
      </c>
    </row>
    <row r="52493" spans="1:3" x14ac:dyDescent="0.2">
      <c r="A52493" t="s">
        <v>16639</v>
      </c>
      <c r="B52493" t="str">
        <f>HYPERLINK("https://lindat.mff.cuni.cz/services/teitok/pdtc10/index.php?action=vallex&amp;frame=v-w7460f3", "uvolnit (v-w7460f3)")</f>
        <v>uvolnit (v-w7460f3)</v>
      </c>
    </row>
    <row r="52494" spans="1:3" x14ac:dyDescent="0.2">
      <c r="B52494" t="s">
        <v>1</v>
      </c>
      <c r="C52494" t="s">
        <v>7126</v>
      </c>
    </row>
    <row r="52495" spans="1:3" x14ac:dyDescent="0.2">
      <c r="B52495" t="s">
        <v>8</v>
      </c>
      <c r="C52495" t="s">
        <v>7921</v>
      </c>
    </row>
    <row r="52496" spans="1:3" x14ac:dyDescent="0.2">
      <c r="B52496" t="s">
        <v>333</v>
      </c>
      <c r="C52496" t="s">
        <v>16640</v>
      </c>
    </row>
    <row r="52498" spans="1:4" x14ac:dyDescent="0.2">
      <c r="A52498" t="s">
        <v>16641</v>
      </c>
      <c r="B52498" t="str">
        <f>HYPERLINK("https://lindat.mff.cuni.cz/services/teitok/pdtc10/index.php?action=vallex&amp;frame=v-w7460f1", "uvolnit (v-w7460f1)")</f>
        <v>uvolnit (v-w7460f1)</v>
      </c>
    </row>
    <row r="52499" spans="1:4" x14ac:dyDescent="0.2">
      <c r="B52499" t="s">
        <v>1</v>
      </c>
      <c r="C52499" t="s">
        <v>16642</v>
      </c>
      <c r="D52499" t="s">
        <v>140</v>
      </c>
    </row>
    <row r="52500" spans="1:4" x14ac:dyDescent="0.2">
      <c r="B52500" t="s">
        <v>8</v>
      </c>
      <c r="C52500" t="s">
        <v>16643</v>
      </c>
      <c r="D52500" t="s">
        <v>34</v>
      </c>
    </row>
    <row r="52502" spans="1:4" x14ac:dyDescent="0.2">
      <c r="A52502" t="s">
        <v>16644</v>
      </c>
      <c r="B52502" t="str">
        <f>HYPERLINK("https://lindat.mff.cuni.cz/services/teitok/pdtc10/index.php?action=vallex&amp;frame=v-w7460f2", "uvolnit (v-w7460f2)")</f>
        <v>uvolnit (v-w7460f2)</v>
      </c>
    </row>
    <row r="52503" spans="1:4" x14ac:dyDescent="0.2">
      <c r="B52503" t="s">
        <v>1</v>
      </c>
      <c r="C52503" t="s">
        <v>16645</v>
      </c>
      <c r="D52503" t="s">
        <v>23101</v>
      </c>
    </row>
    <row r="52504" spans="1:4" x14ac:dyDescent="0.2">
      <c r="B52504" t="s">
        <v>8</v>
      </c>
      <c r="C52504" t="s">
        <v>10237</v>
      </c>
      <c r="D52504" t="s">
        <v>13624</v>
      </c>
    </row>
    <row r="52506" spans="1:4" x14ac:dyDescent="0.2">
      <c r="A52506" t="s">
        <v>16646</v>
      </c>
      <c r="B52506" t="str">
        <f>HYPERLINK("https://lindat.mff.cuni.cz/services/teitok/pdtc10/index.php?action=vallex&amp;frame=v-w7460f8_ZU", "uvolnit (v-w7460f8_ZU)")</f>
        <v>uvolnit (v-w7460f8_ZU)</v>
      </c>
    </row>
    <row r="52507" spans="1:4" x14ac:dyDescent="0.2">
      <c r="B52507" t="s">
        <v>1</v>
      </c>
      <c r="C52507" t="s">
        <v>990</v>
      </c>
      <c r="D52507" t="s">
        <v>2303</v>
      </c>
    </row>
    <row r="52508" spans="1:4" x14ac:dyDescent="0.2">
      <c r="B52508" t="s">
        <v>8</v>
      </c>
      <c r="C52508" t="s">
        <v>23</v>
      </c>
      <c r="D52508" t="s">
        <v>23</v>
      </c>
    </row>
    <row r="52510" spans="1:4" x14ac:dyDescent="0.2">
      <c r="A52510" t="s">
        <v>16646</v>
      </c>
      <c r="B52510" t="str">
        <f>HYPERLINK("https://lindat.mff.cuni.cz/services/teitok/pdtc10/index.php?action=vallex&amp;frame=v-w7460f4", "uvolnit (v-w7460f4) - substituted with v-w7460f8_ZU")</f>
        <v>uvolnit (v-w7460f4) - substituted with v-w7460f8_ZU</v>
      </c>
    </row>
    <row r="52511" spans="1:4" x14ac:dyDescent="0.2">
      <c r="B52511" t="s">
        <v>1</v>
      </c>
      <c r="C52511" t="s">
        <v>1065</v>
      </c>
    </row>
    <row r="52512" spans="1:4" x14ac:dyDescent="0.2">
      <c r="B52512" t="s">
        <v>8</v>
      </c>
      <c r="C52512" t="s">
        <v>2886</v>
      </c>
    </row>
    <row r="52514" spans="1:4" x14ac:dyDescent="0.2">
      <c r="A52514" t="s">
        <v>16647</v>
      </c>
      <c r="B52514" t="str">
        <f>HYPERLINK("https://lindat.mff.cuni.cz/services/teitok/pdtc10/index.php?action=vallex&amp;frame=v-w7460f5", "uvolnit (v-w7460f5)")</f>
        <v>uvolnit (v-w7460f5)</v>
      </c>
    </row>
    <row r="52515" spans="1:4" x14ac:dyDescent="0.2">
      <c r="B52515" t="s">
        <v>1</v>
      </c>
      <c r="D52515" t="s">
        <v>990</v>
      </c>
    </row>
    <row r="52516" spans="1:4" x14ac:dyDescent="0.2">
      <c r="B52516" t="s">
        <v>8</v>
      </c>
      <c r="C52516" t="s">
        <v>113</v>
      </c>
      <c r="D52516" t="s">
        <v>3773</v>
      </c>
    </row>
    <row r="52518" spans="1:4" x14ac:dyDescent="0.2">
      <c r="A52518" t="s">
        <v>16648</v>
      </c>
      <c r="B52518" t="str">
        <f>HYPERLINK("https://lindat.mff.cuni.cz/services/teitok/pdtc10/index.php?action=vallex&amp;frame=v-w7460f6", "uvolnit (v-w7460f6)")</f>
        <v>uvolnit (v-w7460f6)</v>
      </c>
    </row>
    <row r="52519" spans="1:4" x14ac:dyDescent="0.2">
      <c r="B52519" t="s">
        <v>1</v>
      </c>
      <c r="C52519" t="s">
        <v>3622</v>
      </c>
    </row>
    <row r="52520" spans="1:4" x14ac:dyDescent="0.2">
      <c r="B52520" t="s">
        <v>8</v>
      </c>
      <c r="C52520" t="s">
        <v>2253</v>
      </c>
    </row>
    <row r="52522" spans="1:4" x14ac:dyDescent="0.2">
      <c r="A52522" t="s">
        <v>16649</v>
      </c>
      <c r="B52522" t="str">
        <f>HYPERLINK("https://lindat.mff.cuni.cz/services/teitok/pdtc10/index.php?action=vallex&amp;frame=v-w7460hsa_514", "uvolnit (v-w7460hsa_514)")</f>
        <v>uvolnit (v-w7460hsa_514)</v>
      </c>
    </row>
    <row r="52523" spans="1:4" x14ac:dyDescent="0.2">
      <c r="B52523" t="s">
        <v>1</v>
      </c>
      <c r="C52523" t="s">
        <v>2571</v>
      </c>
    </row>
    <row r="52524" spans="1:4" x14ac:dyDescent="0.2">
      <c r="B52524" t="s">
        <v>8</v>
      </c>
      <c r="C52524" t="s">
        <v>8709</v>
      </c>
    </row>
    <row r="52526" spans="1:4" x14ac:dyDescent="0.2">
      <c r="A52526" t="s">
        <v>16650</v>
      </c>
      <c r="B52526" t="str">
        <f>HYPERLINK("https://lindat.mff.cuni.cz/services/teitok/pdtc10/index.php?action=vallex&amp;frame=v-w7460f7_ZU", "uvolnit (v-w7460f7_ZU)")</f>
        <v>uvolnit (v-w7460f7_ZU)</v>
      </c>
    </row>
    <row r="52527" spans="1:4" x14ac:dyDescent="0.2">
      <c r="B52527" t="s">
        <v>1</v>
      </c>
    </row>
    <row r="52528" spans="1:4" x14ac:dyDescent="0.2">
      <c r="B52528" t="s">
        <v>8</v>
      </c>
    </row>
    <row r="52530" spans="1:3" x14ac:dyDescent="0.2">
      <c r="A52530" t="s">
        <v>16650</v>
      </c>
      <c r="B52530" t="str">
        <f>HYPERLINK("https://lindat.mff.cuni.cz/services/teitok/pdtc10/index.php?action=vallex&amp;frame=v-w7460hsa_515", "uvolnit (v-w7460hsa_515) - substituted with v-w7460f7_ZU")</f>
        <v>uvolnit (v-w7460hsa_515) - substituted with v-w7460f7_ZU</v>
      </c>
    </row>
    <row r="52531" spans="1:3" x14ac:dyDescent="0.2">
      <c r="B52531" t="s">
        <v>1</v>
      </c>
    </row>
    <row r="52532" spans="1:3" x14ac:dyDescent="0.2">
      <c r="B52532" t="s">
        <v>8</v>
      </c>
    </row>
    <row r="52534" spans="1:3" x14ac:dyDescent="0.2">
      <c r="A52534" t="s">
        <v>16651</v>
      </c>
      <c r="B52534" t="str">
        <f>HYPERLINK("https://lindat.mff.cuni.cz/services/teitok/pdtc10/index.php?action=vallex&amp;frame=v-w7461f1", "uvolnit se (v-w7461f1)")</f>
        <v>uvolnit se (v-w7461f1)</v>
      </c>
    </row>
    <row r="52535" spans="1:3" x14ac:dyDescent="0.2">
      <c r="B52535" t="s">
        <v>1</v>
      </c>
      <c r="C52535" t="s">
        <v>16652</v>
      </c>
    </row>
    <row r="52537" spans="1:3" x14ac:dyDescent="0.2">
      <c r="A52537" t="s">
        <v>16653</v>
      </c>
      <c r="B52537" t="str">
        <f>HYPERLINK("https://lindat.mff.cuni.cz/services/teitok/pdtc10/index.php?action=vallex&amp;frame=v-w7461f4_ZU", "uvolnit se (v-w7461f4_ZU)")</f>
        <v>uvolnit se (v-w7461f4_ZU)</v>
      </c>
    </row>
    <row r="52538" spans="1:3" x14ac:dyDescent="0.2">
      <c r="B52538" t="s">
        <v>1</v>
      </c>
      <c r="C52538" t="s">
        <v>140</v>
      </c>
    </row>
    <row r="52539" spans="1:3" x14ac:dyDescent="0.2">
      <c r="B52539" t="s">
        <v>247</v>
      </c>
      <c r="C52539" t="s">
        <v>34</v>
      </c>
    </row>
    <row r="52541" spans="1:3" x14ac:dyDescent="0.2">
      <c r="A52541" t="s">
        <v>16653</v>
      </c>
      <c r="B52541" t="str">
        <f>HYPERLINK("https://lindat.mff.cuni.cz/services/teitok/pdtc10/index.php?action=vallex&amp;frame=v-w7461f2", "uvolnit se (v-w7461f2) - substituted with v-w7461f4_ZU")</f>
        <v>uvolnit se (v-w7461f2) - substituted with v-w7461f4_ZU</v>
      </c>
    </row>
    <row r="52542" spans="1:3" x14ac:dyDescent="0.2">
      <c r="B52542" t="s">
        <v>1</v>
      </c>
    </row>
    <row r="52543" spans="1:3" x14ac:dyDescent="0.2">
      <c r="B52543" t="s">
        <v>247</v>
      </c>
    </row>
    <row r="52545" spans="1:3" x14ac:dyDescent="0.2">
      <c r="A52545" t="s">
        <v>16654</v>
      </c>
      <c r="B52545" t="str">
        <f>HYPERLINK("https://lindat.mff.cuni.cz/services/teitok/pdtc10/index.php?action=vallex&amp;frame=v-w7461f3", "uvolnit se (v-w7461f3)")</f>
        <v>uvolnit se (v-w7461f3)</v>
      </c>
    </row>
    <row r="52546" spans="1:3" x14ac:dyDescent="0.2">
      <c r="B52546" t="s">
        <v>1</v>
      </c>
      <c r="C52546" t="s">
        <v>3797</v>
      </c>
    </row>
    <row r="52548" spans="1:3" x14ac:dyDescent="0.2">
      <c r="A52548" t="s">
        <v>16655</v>
      </c>
      <c r="B52548" t="str">
        <f>HYPERLINK("https://lindat.mff.cuni.cz/services/teitok/pdtc10/index.php?action=vallex&amp;frame=v-w7461f6_ZU", "uvolnit se (v-w7461f6_ZU)")</f>
        <v>uvolnit se (v-w7461f6_ZU)</v>
      </c>
    </row>
    <row r="52549" spans="1:3" x14ac:dyDescent="0.2">
      <c r="B52549" t="s">
        <v>1</v>
      </c>
    </row>
    <row r="52551" spans="1:3" x14ac:dyDescent="0.2">
      <c r="A52551" t="s">
        <v>16655</v>
      </c>
      <c r="B52551" t="str">
        <f>HYPERLINK("https://lindat.mff.cuni.cz/services/teitok/pdtc10/index.php?action=vallex&amp;frame=v-w7461f5_ZU", "uvolnit se (v-w7461f5_ZU) - substituted with v-w7461f6_ZU")</f>
        <v>uvolnit se (v-w7461f5_ZU) - substituted with v-w7461f6_ZU</v>
      </c>
    </row>
    <row r="52552" spans="1:3" x14ac:dyDescent="0.2">
      <c r="B52552" t="s">
        <v>1</v>
      </c>
    </row>
    <row r="52554" spans="1:3" x14ac:dyDescent="0.2">
      <c r="A52554" t="s">
        <v>16656</v>
      </c>
      <c r="B52554" t="str">
        <f>HYPERLINK("https://lindat.mff.cuni.cz/services/teitok/pdtc10/index.php?action=vallex&amp;frame=v-w7461hsa_1806", "uvolnit se (v-w7461hsa_1806)")</f>
        <v>uvolnit se (v-w7461hsa_1806)</v>
      </c>
    </row>
    <row r="52555" spans="1:3" x14ac:dyDescent="0.2">
      <c r="B52555" t="s">
        <v>1</v>
      </c>
    </row>
    <row r="52557" spans="1:3" x14ac:dyDescent="0.2">
      <c r="A52557" t="s">
        <v>16657</v>
      </c>
      <c r="B52557" t="str">
        <f>HYPERLINK("https://lindat.mff.cuni.cz/services/teitok/pdtc10/index.php?action=vallex&amp;frame=v-w7461hsa_1807", "uvolnit se (v-w7461hsa_1807)")</f>
        <v>uvolnit se (v-w7461hsa_1807)</v>
      </c>
    </row>
    <row r="52558" spans="1:3" x14ac:dyDescent="0.2">
      <c r="B52558" t="s">
        <v>1</v>
      </c>
    </row>
    <row r="52559" spans="1:3" x14ac:dyDescent="0.2">
      <c r="B52559" t="s">
        <v>333</v>
      </c>
    </row>
    <row r="52561" spans="1:4" x14ac:dyDescent="0.2">
      <c r="A52561" t="s">
        <v>16658</v>
      </c>
      <c r="B52561" t="str">
        <f>HYPERLINK("https://lindat.mff.cuni.cz/services/teitok/pdtc10/index.php?action=vallex&amp;frame=v-w7463f1", "uvolňovat (v-w7463f1)")</f>
        <v>uvolňovat (v-w7463f1)</v>
      </c>
    </row>
    <row r="52562" spans="1:4" x14ac:dyDescent="0.2">
      <c r="B52562" t="s">
        <v>1</v>
      </c>
      <c r="C52562" t="s">
        <v>2571</v>
      </c>
    </row>
    <row r="52563" spans="1:4" x14ac:dyDescent="0.2">
      <c r="B52563" t="s">
        <v>8</v>
      </c>
      <c r="C52563" t="s">
        <v>8709</v>
      </c>
    </row>
    <row r="52564" spans="1:4" x14ac:dyDescent="0.2">
      <c r="B52564" t="s">
        <v>333</v>
      </c>
    </row>
    <row r="52566" spans="1:4" x14ac:dyDescent="0.2">
      <c r="A52566" t="s">
        <v>16659</v>
      </c>
      <c r="B52566" t="str">
        <f>HYPERLINK("https://lindat.mff.cuni.cz/services/teitok/pdtc10/index.php?action=vallex&amp;frame=v-w7463f2", "uvolňovat (v-w7463f2)")</f>
        <v>uvolňovat (v-w7463f2)</v>
      </c>
    </row>
    <row r="52567" spans="1:4" x14ac:dyDescent="0.2">
      <c r="B52567" t="s">
        <v>1</v>
      </c>
      <c r="C52567" t="s">
        <v>16660</v>
      </c>
      <c r="D52567" t="s">
        <v>140</v>
      </c>
    </row>
    <row r="52568" spans="1:4" x14ac:dyDescent="0.2">
      <c r="B52568" t="s">
        <v>8</v>
      </c>
      <c r="C52568" t="s">
        <v>2439</v>
      </c>
      <c r="D52568" t="s">
        <v>34</v>
      </c>
    </row>
    <row r="52570" spans="1:4" x14ac:dyDescent="0.2">
      <c r="A52570" t="s">
        <v>16661</v>
      </c>
      <c r="B52570" t="str">
        <f>HYPERLINK("https://lindat.mff.cuni.cz/services/teitok/pdtc10/index.php?action=vallex&amp;frame=v-w7463f3_ZU", "uvolňovat (v-w7463f3_ZU)")</f>
        <v>uvolňovat (v-w7463f3_ZU)</v>
      </c>
    </row>
    <row r="52571" spans="1:4" x14ac:dyDescent="0.2">
      <c r="B52571" t="s">
        <v>1</v>
      </c>
      <c r="C52571" t="s">
        <v>7065</v>
      </c>
      <c r="D52571" t="s">
        <v>23101</v>
      </c>
    </row>
    <row r="52572" spans="1:4" x14ac:dyDescent="0.2">
      <c r="B52572" t="s">
        <v>8</v>
      </c>
      <c r="C52572" t="s">
        <v>4812</v>
      </c>
      <c r="D52572" t="s">
        <v>13624</v>
      </c>
    </row>
    <row r="52574" spans="1:4" x14ac:dyDescent="0.2">
      <c r="A52574" t="s">
        <v>16661</v>
      </c>
      <c r="B52574" t="str">
        <f>HYPERLINK("https://lindat.mff.cuni.cz/services/teitok/pdtc10/index.php?action=vallex&amp;frame=v-w7463hsa_151", "uvolňovat (v-w7463hsa_151) - substituted with v-w7463f3_ZU")</f>
        <v>uvolňovat (v-w7463hsa_151) - substituted with v-w7463f3_ZU</v>
      </c>
    </row>
    <row r="52575" spans="1:4" x14ac:dyDescent="0.2">
      <c r="B52575" t="s">
        <v>1</v>
      </c>
    </row>
    <row r="52576" spans="1:4" x14ac:dyDescent="0.2">
      <c r="B52576" t="s">
        <v>8</v>
      </c>
    </row>
    <row r="52578" spans="1:4" x14ac:dyDescent="0.2">
      <c r="A52578" t="s">
        <v>16662</v>
      </c>
      <c r="B52578" t="str">
        <f>HYPERLINK("https://lindat.mff.cuni.cz/services/teitok/pdtc10/index.php?action=vallex&amp;frame=v-w7463f4_ZU", "uvolňovat (v-w7463f4_ZU)")</f>
        <v>uvolňovat (v-w7463f4_ZU)</v>
      </c>
    </row>
    <row r="52579" spans="1:4" x14ac:dyDescent="0.2">
      <c r="B52579" t="s">
        <v>1</v>
      </c>
    </row>
    <row r="52580" spans="1:4" x14ac:dyDescent="0.2">
      <c r="B52580" t="s">
        <v>8</v>
      </c>
    </row>
    <row r="52582" spans="1:4" x14ac:dyDescent="0.2">
      <c r="A52582" t="s">
        <v>16663</v>
      </c>
      <c r="B52582" t="str">
        <f>HYPERLINK("https://lindat.mff.cuni.cz/services/teitok/pdtc10/index.php?action=vallex&amp;frame=v-w7464f1", "uvolňovat se (v-w7464f1)")</f>
        <v>uvolňovat se (v-w7464f1)</v>
      </c>
    </row>
    <row r="52583" spans="1:4" x14ac:dyDescent="0.2">
      <c r="B52583" t="s">
        <v>1</v>
      </c>
      <c r="C52583" t="s">
        <v>8579</v>
      </c>
    </row>
    <row r="52584" spans="1:4" x14ac:dyDescent="0.2">
      <c r="B52584" t="s">
        <v>438</v>
      </c>
    </row>
    <row r="52586" spans="1:4" x14ac:dyDescent="0.2">
      <c r="A52586" t="s">
        <v>16664</v>
      </c>
      <c r="B52586" t="str">
        <f>HYPERLINK("https://lindat.mff.cuni.cz/services/teitok/pdtc10/index.php?action=vallex&amp;frame=v-w7466f2", "uvrhnout (v-w7466f2)")</f>
        <v>uvrhnout (v-w7466f2)</v>
      </c>
    </row>
    <row r="52587" spans="1:4" x14ac:dyDescent="0.2">
      <c r="B52587" t="s">
        <v>1</v>
      </c>
      <c r="C52587" t="s">
        <v>11295</v>
      </c>
      <c r="D52587" t="s">
        <v>13976</v>
      </c>
    </row>
    <row r="52588" spans="1:4" x14ac:dyDescent="0.2">
      <c r="B52588" t="s">
        <v>8</v>
      </c>
      <c r="C52588" t="s">
        <v>6364</v>
      </c>
      <c r="D52588" t="s">
        <v>10414</v>
      </c>
    </row>
    <row r="52589" spans="1:4" x14ac:dyDescent="0.2">
      <c r="B52589" t="s">
        <v>205</v>
      </c>
      <c r="C52589" t="s">
        <v>933</v>
      </c>
      <c r="D52589" t="s">
        <v>23197</v>
      </c>
    </row>
    <row r="52591" spans="1:4" x14ac:dyDescent="0.2">
      <c r="A52591" t="s">
        <v>16665</v>
      </c>
      <c r="B52591" t="str">
        <f>HYPERLINK("https://lindat.mff.cuni.cz/services/teitok/pdtc10/index.php?action=vallex&amp;frame=v-w7466f1", "uvrhnout (v-w7466f1)")</f>
        <v>uvrhnout (v-w7466f1)</v>
      </c>
    </row>
    <row r="52592" spans="1:4" x14ac:dyDescent="0.2">
      <c r="B52592" t="s">
        <v>1</v>
      </c>
      <c r="C52592" t="s">
        <v>3583</v>
      </c>
    </row>
    <row r="52593" spans="1:4" x14ac:dyDescent="0.2">
      <c r="B52593" t="s">
        <v>8</v>
      </c>
      <c r="C52593" t="s">
        <v>10242</v>
      </c>
    </row>
    <row r="52594" spans="1:4" x14ac:dyDescent="0.2">
      <c r="B52594" t="s">
        <v>90</v>
      </c>
    </row>
    <row r="52596" spans="1:4" x14ac:dyDescent="0.2">
      <c r="A52596" t="s">
        <v>16666</v>
      </c>
      <c r="B52596" t="str">
        <f>HYPERLINK("https://lindat.mff.cuni.cz/services/teitok/pdtc10/index.php?action=vallex&amp;frame=v-w7420f2", "uvádět (v-w7420f2)")</f>
        <v>uvádět (v-w7420f2)</v>
      </c>
    </row>
    <row r="52597" spans="1:4" x14ac:dyDescent="0.2">
      <c r="B52597" t="s">
        <v>1</v>
      </c>
      <c r="C52597" t="s">
        <v>16667</v>
      </c>
      <c r="D52597" t="s">
        <v>22967</v>
      </c>
    </row>
    <row r="52598" spans="1:4" x14ac:dyDescent="0.2">
      <c r="B52598" t="s">
        <v>16668</v>
      </c>
      <c r="C52598" t="s">
        <v>16669</v>
      </c>
      <c r="D52598" t="s">
        <v>22968</v>
      </c>
    </row>
    <row r="52599" spans="1:4" x14ac:dyDescent="0.2">
      <c r="B52599" t="s">
        <v>9619</v>
      </c>
      <c r="C52599" t="s">
        <v>3964</v>
      </c>
    </row>
    <row r="52601" spans="1:4" x14ac:dyDescent="0.2">
      <c r="A52601" t="s">
        <v>16670</v>
      </c>
      <c r="B52601" t="str">
        <f>HYPERLINK("https://lindat.mff.cuni.cz/services/teitok/pdtc10/index.php?action=vallex&amp;frame=v-w7420f6", "uvádět (v-w7420f6)")</f>
        <v>uvádět (v-w7420f6)</v>
      </c>
    </row>
    <row r="52602" spans="1:4" x14ac:dyDescent="0.2">
      <c r="B52602" t="s">
        <v>488</v>
      </c>
      <c r="C52602" t="s">
        <v>334</v>
      </c>
      <c r="D52602" t="s">
        <v>13976</v>
      </c>
    </row>
    <row r="52603" spans="1:4" x14ac:dyDescent="0.2">
      <c r="B52603" t="s">
        <v>8</v>
      </c>
      <c r="C52603" t="s">
        <v>335</v>
      </c>
      <c r="D52603" t="s">
        <v>10414</v>
      </c>
    </row>
    <row r="52604" spans="1:4" x14ac:dyDescent="0.2">
      <c r="B52604" t="s">
        <v>205</v>
      </c>
      <c r="D52604" t="s">
        <v>23197</v>
      </c>
    </row>
    <row r="52606" spans="1:4" x14ac:dyDescent="0.2">
      <c r="A52606" t="s">
        <v>16671</v>
      </c>
      <c r="B52606" t="str">
        <f>HYPERLINK("https://lindat.mff.cuni.cz/services/teitok/pdtc10/index.php?action=vallex&amp;frame=v-w7420f4", "uvádět (v-w7420f4)")</f>
        <v>uvádět (v-w7420f4)</v>
      </c>
    </row>
    <row r="52607" spans="1:4" x14ac:dyDescent="0.2">
      <c r="B52607" t="s">
        <v>1</v>
      </c>
      <c r="C52607" t="s">
        <v>140</v>
      </c>
      <c r="D52607" t="s">
        <v>3292</v>
      </c>
    </row>
    <row r="52608" spans="1:4" x14ac:dyDescent="0.2">
      <c r="B52608" t="s">
        <v>8</v>
      </c>
      <c r="C52608" t="s">
        <v>113</v>
      </c>
      <c r="D52608" t="s">
        <v>232</v>
      </c>
    </row>
    <row r="52609" spans="1:4" x14ac:dyDescent="0.2">
      <c r="B52609" t="s">
        <v>90</v>
      </c>
    </row>
    <row r="52611" spans="1:4" x14ac:dyDescent="0.2">
      <c r="A52611" t="s">
        <v>16672</v>
      </c>
      <c r="B52611" t="str">
        <f>HYPERLINK("https://lindat.mff.cuni.cz/services/teitok/pdtc10/index.php?action=vallex&amp;frame=v-w7420f9", "uvádět (v-w7420f9)")</f>
        <v>uvádět (v-w7420f9)</v>
      </c>
    </row>
    <row r="52612" spans="1:4" x14ac:dyDescent="0.2">
      <c r="B52612" t="s">
        <v>1</v>
      </c>
      <c r="C52612" t="s">
        <v>83</v>
      </c>
      <c r="D52612" t="s">
        <v>3590</v>
      </c>
    </row>
    <row r="52613" spans="1:4" x14ac:dyDescent="0.2">
      <c r="B52613" t="s">
        <v>8</v>
      </c>
      <c r="C52613" t="s">
        <v>1044</v>
      </c>
      <c r="D52613" t="s">
        <v>14591</v>
      </c>
    </row>
    <row r="52614" spans="1:4" x14ac:dyDescent="0.2">
      <c r="B52614" t="s">
        <v>90</v>
      </c>
    </row>
    <row r="52616" spans="1:4" x14ac:dyDescent="0.2">
      <c r="A52616" t="s">
        <v>16673</v>
      </c>
      <c r="B52616" t="str">
        <f>HYPERLINK("https://lindat.mff.cuni.cz/services/teitok/pdtc10/index.php?action=vallex&amp;frame=v-w7420f3", "uvádět (v-w7420f3)")</f>
        <v>uvádět (v-w7420f3)</v>
      </c>
    </row>
    <row r="52617" spans="1:4" x14ac:dyDescent="0.2">
      <c r="B52617" t="s">
        <v>1</v>
      </c>
      <c r="C52617" t="s">
        <v>337</v>
      </c>
      <c r="D52617" t="s">
        <v>23083</v>
      </c>
    </row>
    <row r="52618" spans="1:4" x14ac:dyDescent="0.2">
      <c r="B52618" t="s">
        <v>8</v>
      </c>
      <c r="C52618" t="s">
        <v>3270</v>
      </c>
      <c r="D52618" t="s">
        <v>6116</v>
      </c>
    </row>
    <row r="52620" spans="1:4" x14ac:dyDescent="0.2">
      <c r="A52620" t="s">
        <v>16674</v>
      </c>
      <c r="B52620" t="str">
        <f>HYPERLINK("https://lindat.mff.cuni.cz/services/teitok/pdtc10/index.php?action=vallex&amp;frame=v-w7420f5", "uvádět (v-w7420f5)")</f>
        <v>uvádět (v-w7420f5)</v>
      </c>
    </row>
    <row r="52621" spans="1:4" x14ac:dyDescent="0.2">
      <c r="B52621" t="s">
        <v>1</v>
      </c>
      <c r="C52621" t="s">
        <v>7313</v>
      </c>
    </row>
    <row r="52622" spans="1:4" x14ac:dyDescent="0.2">
      <c r="B52622" t="s">
        <v>8</v>
      </c>
      <c r="C52622" t="s">
        <v>12897</v>
      </c>
    </row>
    <row r="52624" spans="1:4" x14ac:dyDescent="0.2">
      <c r="A52624" t="s">
        <v>16675</v>
      </c>
      <c r="B52624" t="str">
        <f>HYPERLINK("https://lindat.mff.cuni.cz/services/teitok/pdtc10/index.php?action=vallex&amp;frame=v-w7420f10_ZU", "uvádět (v-w7420f10_ZU)")</f>
        <v>uvádět (v-w7420f10_ZU)</v>
      </c>
    </row>
    <row r="52625" spans="1:4" x14ac:dyDescent="0.2">
      <c r="B52625" t="s">
        <v>1</v>
      </c>
      <c r="C52625" t="s">
        <v>16676</v>
      </c>
    </row>
    <row r="52626" spans="1:4" x14ac:dyDescent="0.2">
      <c r="B52626" t="s">
        <v>8</v>
      </c>
      <c r="C52626" t="s">
        <v>16677</v>
      </c>
    </row>
    <row r="52628" spans="1:4" x14ac:dyDescent="0.2">
      <c r="A52628" t="s">
        <v>16678</v>
      </c>
      <c r="B52628" t="str">
        <f>HYPERLINK("https://lindat.mff.cuni.cz/services/teitok/pdtc10/index.php?action=vallex&amp;frame=v-w7420f1", "uvádět (v-w7420f1)")</f>
        <v>uvádět (v-w7420f1)</v>
      </c>
    </row>
    <row r="52629" spans="1:4" x14ac:dyDescent="0.2">
      <c r="B52629" t="s">
        <v>1</v>
      </c>
      <c r="C52629" t="s">
        <v>16679</v>
      </c>
      <c r="D52629" t="s">
        <v>22967</v>
      </c>
    </row>
    <row r="52630" spans="1:4" x14ac:dyDescent="0.2">
      <c r="B52630" t="s">
        <v>11008</v>
      </c>
      <c r="C52630" t="s">
        <v>16680</v>
      </c>
      <c r="D52630" t="s">
        <v>23120</v>
      </c>
    </row>
    <row r="52631" spans="1:4" x14ac:dyDescent="0.2">
      <c r="B52631" t="s">
        <v>269</v>
      </c>
      <c r="C52631" t="s">
        <v>16681</v>
      </c>
      <c r="D52631" t="s">
        <v>22968</v>
      </c>
    </row>
    <row r="52633" spans="1:4" x14ac:dyDescent="0.2">
      <c r="A52633" t="s">
        <v>16682</v>
      </c>
      <c r="B52633" t="str">
        <f>HYPERLINK("https://lindat.mff.cuni.cz/services/teitok/pdtc10/index.php?action=vallex&amp;frame=v-w7420f8", "uvádět (v-w7420f8)")</f>
        <v>uvádět (v-w7420f8)</v>
      </c>
    </row>
    <row r="52634" spans="1:4" x14ac:dyDescent="0.2">
      <c r="B52634" t="s">
        <v>1</v>
      </c>
    </row>
    <row r="52635" spans="1:4" x14ac:dyDescent="0.2">
      <c r="B52635" t="s">
        <v>16683</v>
      </c>
    </row>
    <row r="52636" spans="1:4" x14ac:dyDescent="0.2">
      <c r="B52636" t="s">
        <v>8</v>
      </c>
    </row>
    <row r="52638" spans="1:4" x14ac:dyDescent="0.2">
      <c r="A52638" t="s">
        <v>16684</v>
      </c>
      <c r="B52638" t="str">
        <f>HYPERLINK("https://lindat.mff.cuni.cz/services/teitok/pdtc10/index.php?action=vallex&amp;frame=v-w7420f7", "uvádět (v-w7420f7)")</f>
        <v>uvádět (v-w7420f7)</v>
      </c>
    </row>
    <row r="52639" spans="1:4" x14ac:dyDescent="0.2">
      <c r="B52639" t="s">
        <v>1</v>
      </c>
    </row>
    <row r="52640" spans="1:4" x14ac:dyDescent="0.2">
      <c r="B52640" t="s">
        <v>16685</v>
      </c>
    </row>
    <row r="52641" spans="1:4" x14ac:dyDescent="0.2">
      <c r="B52641" t="s">
        <v>8</v>
      </c>
    </row>
    <row r="52643" spans="1:4" x14ac:dyDescent="0.2">
      <c r="A52643" t="s">
        <v>16686</v>
      </c>
      <c r="B52643" t="str">
        <f>HYPERLINK("https://lindat.mff.cuni.cz/services/teitok/pdtc10/index.php?action=vallex&amp;frame=v-w7420hsa_69", "uvádět (v-w7420hsa_69)")</f>
        <v>uvádět (v-w7420hsa_69)</v>
      </c>
    </row>
    <row r="52644" spans="1:4" x14ac:dyDescent="0.2">
      <c r="B52644" t="s">
        <v>1</v>
      </c>
      <c r="C52644" t="s">
        <v>16687</v>
      </c>
      <c r="D52644" t="s">
        <v>23042</v>
      </c>
    </row>
    <row r="52645" spans="1:4" x14ac:dyDescent="0.2">
      <c r="B52645" t="s">
        <v>8</v>
      </c>
      <c r="C52645" t="s">
        <v>16688</v>
      </c>
      <c r="D52645" t="s">
        <v>23043</v>
      </c>
    </row>
    <row r="52646" spans="1:4" x14ac:dyDescent="0.2">
      <c r="B52646" t="s">
        <v>507</v>
      </c>
      <c r="C52646" t="s">
        <v>16689</v>
      </c>
      <c r="D52646" t="s">
        <v>24306</v>
      </c>
    </row>
    <row r="52648" spans="1:4" x14ac:dyDescent="0.2">
      <c r="A52648" t="s">
        <v>16690</v>
      </c>
      <c r="B52648" t="str">
        <f>HYPERLINK("https://lindat.mff.cuni.cz/services/teitok/pdtc10/index.php?action=vallex&amp;frame=v-whsa_451f1_ZU", "uvázat (v-whsa_451f1_ZU)")</f>
        <v>uvázat (v-whsa_451f1_ZU)</v>
      </c>
    </row>
    <row r="52649" spans="1:4" x14ac:dyDescent="0.2">
      <c r="B52649" t="s">
        <v>1</v>
      </c>
    </row>
    <row r="52650" spans="1:4" x14ac:dyDescent="0.2">
      <c r="B52650" t="s">
        <v>8</v>
      </c>
    </row>
    <row r="52652" spans="1:4" x14ac:dyDescent="0.2">
      <c r="A52652" t="s">
        <v>16690</v>
      </c>
      <c r="B52652" t="str">
        <f>HYPERLINK("https://lindat.mff.cuni.cz/services/teitok/pdtc10/index.php?action=vallex&amp;frame=v-whsa_451hsa_452", "uvázat (v-whsa_451hsa_452) - substituted with v-whsa_451f1_ZU")</f>
        <v>uvázat (v-whsa_451hsa_452) - substituted with v-whsa_451f1_ZU</v>
      </c>
    </row>
    <row r="52653" spans="1:4" x14ac:dyDescent="0.2">
      <c r="B52653" t="s">
        <v>1</v>
      </c>
    </row>
    <row r="52654" spans="1:4" x14ac:dyDescent="0.2">
      <c r="B52654" t="s">
        <v>8</v>
      </c>
    </row>
    <row r="52656" spans="1:4" x14ac:dyDescent="0.2">
      <c r="A52656" t="s">
        <v>16691</v>
      </c>
      <c r="B52656" t="str">
        <f>HYPERLINK("https://lindat.mff.cuni.cz/services/teitok/pdtc10/index.php?action=vallex&amp;frame=v-whsa_451hsa_453", "uvázat (v-whsa_451hsa_453)")</f>
        <v>uvázat (v-whsa_451hsa_453)</v>
      </c>
    </row>
    <row r="52657" spans="1:4" x14ac:dyDescent="0.2">
      <c r="B52657" t="s">
        <v>1</v>
      </c>
    </row>
    <row r="52658" spans="1:4" x14ac:dyDescent="0.2">
      <c r="B52658" t="s">
        <v>8</v>
      </c>
    </row>
    <row r="52659" spans="1:4" x14ac:dyDescent="0.2">
      <c r="B52659" t="s">
        <v>24</v>
      </c>
    </row>
    <row r="52660" spans="1:4" x14ac:dyDescent="0.2">
      <c r="B52660" t="s">
        <v>130</v>
      </c>
    </row>
    <row r="52662" spans="1:4" x14ac:dyDescent="0.2">
      <c r="A52662" t="s">
        <v>16692</v>
      </c>
      <c r="B52662" t="str">
        <f>HYPERLINK("https://lindat.mff.cuni.cz/services/teitok/pdtc10/index.php?action=vallex&amp;frame=v-w11407f2", "uvázat se (v-w11407f2)")</f>
        <v>uvázat se (v-w11407f2)</v>
      </c>
    </row>
    <row r="52663" spans="1:4" x14ac:dyDescent="0.2">
      <c r="B52663" t="s">
        <v>1</v>
      </c>
    </row>
    <row r="52664" spans="1:4" x14ac:dyDescent="0.2">
      <c r="B52664" t="s">
        <v>16197</v>
      </c>
    </row>
    <row r="52665" spans="1:4" x14ac:dyDescent="0.2">
      <c r="B52665" t="s">
        <v>78</v>
      </c>
    </row>
    <row r="52667" spans="1:4" x14ac:dyDescent="0.2">
      <c r="A52667" t="s">
        <v>16693</v>
      </c>
      <c r="B52667" t="str">
        <f>HYPERLINK("https://lindat.mff.cuni.cz/services/teitok/pdtc10/index.php?action=vallex&amp;frame=v-w7428f1", "uváznout (v-w7428f1)")</f>
        <v>uváznout (v-w7428f1)</v>
      </c>
    </row>
    <row r="52668" spans="1:4" x14ac:dyDescent="0.2">
      <c r="B52668" t="s">
        <v>1</v>
      </c>
      <c r="C52668" t="s">
        <v>16694</v>
      </c>
      <c r="D52668" t="s">
        <v>24307</v>
      </c>
    </row>
    <row r="52669" spans="1:4" x14ac:dyDescent="0.2">
      <c r="B52669" t="s">
        <v>5</v>
      </c>
      <c r="D52669" t="s">
        <v>24308</v>
      </c>
    </row>
    <row r="52671" spans="1:4" x14ac:dyDescent="0.2">
      <c r="A52671" t="s">
        <v>16695</v>
      </c>
      <c r="B52671" t="str">
        <f>HYPERLINK("https://lindat.mff.cuni.cz/services/teitok/pdtc10/index.php?action=vallex&amp;frame=v-w7429f1", "uvážit (v-w7429f1)")</f>
        <v>uvážit (v-w7429f1)</v>
      </c>
    </row>
    <row r="52672" spans="1:4" x14ac:dyDescent="0.2">
      <c r="B52672" t="s">
        <v>1</v>
      </c>
      <c r="C52672" t="s">
        <v>1504</v>
      </c>
      <c r="D52672" t="s">
        <v>23014</v>
      </c>
    </row>
    <row r="52673" spans="1:4" x14ac:dyDescent="0.2">
      <c r="B52673" t="s">
        <v>9977</v>
      </c>
      <c r="C52673" t="s">
        <v>44</v>
      </c>
      <c r="D52673" t="s">
        <v>23015</v>
      </c>
    </row>
    <row r="52675" spans="1:4" x14ac:dyDescent="0.2">
      <c r="A52675" t="s">
        <v>16696</v>
      </c>
      <c r="B52675" t="str">
        <f>HYPERLINK("https://lindat.mff.cuni.cz/services/teitok/pdtc10/index.php?action=vallex&amp;frame=v-w7449f3", "uvést (v-w7449f3)")</f>
        <v>uvést (v-w7449f3)</v>
      </c>
    </row>
    <row r="52676" spans="1:4" x14ac:dyDescent="0.2">
      <c r="B52676" t="s">
        <v>1</v>
      </c>
      <c r="C52676" t="s">
        <v>16697</v>
      </c>
      <c r="D52676" t="s">
        <v>22967</v>
      </c>
    </row>
    <row r="52677" spans="1:4" x14ac:dyDescent="0.2">
      <c r="B52677" t="s">
        <v>1415</v>
      </c>
      <c r="C52677" t="s">
        <v>16698</v>
      </c>
      <c r="D52677" t="s">
        <v>22968</v>
      </c>
    </row>
    <row r="52678" spans="1:4" x14ac:dyDescent="0.2">
      <c r="B52678" t="s">
        <v>71</v>
      </c>
      <c r="C52678" t="s">
        <v>16699</v>
      </c>
    </row>
    <row r="52680" spans="1:4" x14ac:dyDescent="0.2">
      <c r="A52680" t="s">
        <v>16700</v>
      </c>
      <c r="B52680" t="str">
        <f>HYPERLINK("https://lindat.mff.cuni.cz/services/teitok/pdtc10/index.php?action=vallex&amp;frame=v-w7449f4", "uvést (v-w7449f4)")</f>
        <v>uvést (v-w7449f4)</v>
      </c>
    </row>
    <row r="52681" spans="1:4" x14ac:dyDescent="0.2">
      <c r="B52681" t="s">
        <v>488</v>
      </c>
      <c r="C52681" t="s">
        <v>16701</v>
      </c>
      <c r="D52681" t="s">
        <v>13976</v>
      </c>
    </row>
    <row r="52682" spans="1:4" x14ac:dyDescent="0.2">
      <c r="B52682" t="s">
        <v>8</v>
      </c>
      <c r="C52682" t="s">
        <v>16702</v>
      </c>
      <c r="D52682" t="s">
        <v>10414</v>
      </c>
    </row>
    <row r="52683" spans="1:4" x14ac:dyDescent="0.2">
      <c r="B52683" t="s">
        <v>205</v>
      </c>
      <c r="C52683" t="s">
        <v>16703</v>
      </c>
      <c r="D52683" t="s">
        <v>23197</v>
      </c>
    </row>
    <row r="52685" spans="1:4" x14ac:dyDescent="0.2">
      <c r="A52685" t="s">
        <v>16704</v>
      </c>
      <c r="B52685" t="str">
        <f>HYPERLINK("https://lindat.mff.cuni.cz/services/teitok/pdtc10/index.php?action=vallex&amp;frame=v-w7449f5", "uvést (v-w7449f5)")</f>
        <v>uvést (v-w7449f5)</v>
      </c>
    </row>
    <row r="52686" spans="1:4" x14ac:dyDescent="0.2">
      <c r="B52686" t="s">
        <v>1</v>
      </c>
      <c r="C52686" t="s">
        <v>16705</v>
      </c>
      <c r="D52686" t="s">
        <v>3590</v>
      </c>
    </row>
    <row r="52687" spans="1:4" x14ac:dyDescent="0.2">
      <c r="B52687" t="s">
        <v>8</v>
      </c>
      <c r="C52687" t="s">
        <v>16706</v>
      </c>
      <c r="D52687" t="s">
        <v>14591</v>
      </c>
    </row>
    <row r="52688" spans="1:4" x14ac:dyDescent="0.2">
      <c r="B52688" t="s">
        <v>90</v>
      </c>
      <c r="C52688" t="s">
        <v>1852</v>
      </c>
    </row>
    <row r="52690" spans="1:4" x14ac:dyDescent="0.2">
      <c r="A52690" t="s">
        <v>16707</v>
      </c>
      <c r="B52690" t="str">
        <f>HYPERLINK("https://lindat.mff.cuni.cz/services/teitok/pdtc10/index.php?action=vallex&amp;frame=v-w7449f6", "uvést (v-w7449f6)")</f>
        <v>uvést (v-w7449f6)</v>
      </c>
    </row>
    <row r="52691" spans="1:4" x14ac:dyDescent="0.2">
      <c r="B52691" t="s">
        <v>1</v>
      </c>
      <c r="C52691" t="s">
        <v>16708</v>
      </c>
      <c r="D52691" t="s">
        <v>13243</v>
      </c>
    </row>
    <row r="52692" spans="1:4" x14ac:dyDescent="0.2">
      <c r="B52692" t="s">
        <v>8</v>
      </c>
      <c r="C52692" t="s">
        <v>16709</v>
      </c>
      <c r="D52692" t="s">
        <v>24309</v>
      </c>
    </row>
    <row r="52693" spans="1:4" x14ac:dyDescent="0.2">
      <c r="B52693" t="s">
        <v>90</v>
      </c>
      <c r="D52693" t="s">
        <v>1466</v>
      </c>
    </row>
    <row r="52695" spans="1:4" x14ac:dyDescent="0.2">
      <c r="A52695" t="s">
        <v>16710</v>
      </c>
      <c r="B52695" t="str">
        <f>HYPERLINK("https://lindat.mff.cuni.cz/services/teitok/pdtc10/index.php?action=vallex&amp;frame=v-w7449f2", "uvést (v-w7449f2)")</f>
        <v>uvést (v-w7449f2)</v>
      </c>
    </row>
    <row r="52696" spans="1:4" x14ac:dyDescent="0.2">
      <c r="B52696" t="s">
        <v>1</v>
      </c>
      <c r="C52696" t="s">
        <v>16711</v>
      </c>
      <c r="D52696" t="s">
        <v>2571</v>
      </c>
    </row>
    <row r="52697" spans="1:4" x14ac:dyDescent="0.2">
      <c r="B52697" t="s">
        <v>8</v>
      </c>
      <c r="C52697" t="s">
        <v>16712</v>
      </c>
      <c r="D52697" t="s">
        <v>8709</v>
      </c>
    </row>
    <row r="52699" spans="1:4" x14ac:dyDescent="0.2">
      <c r="A52699" t="s">
        <v>16713</v>
      </c>
      <c r="B52699" t="str">
        <f>HYPERLINK("https://lindat.mff.cuni.cz/services/teitok/pdtc10/index.php?action=vallex&amp;frame=v-w7449f9", "uvést (v-w7449f9)")</f>
        <v>uvést (v-w7449f9)</v>
      </c>
    </row>
    <row r="52700" spans="1:4" x14ac:dyDescent="0.2">
      <c r="B52700" t="s">
        <v>1</v>
      </c>
      <c r="C52700" t="s">
        <v>1680</v>
      </c>
    </row>
    <row r="52701" spans="1:4" x14ac:dyDescent="0.2">
      <c r="B52701" t="s">
        <v>8</v>
      </c>
      <c r="C52701" t="s">
        <v>3305</v>
      </c>
    </row>
    <row r="52703" spans="1:4" x14ac:dyDescent="0.2">
      <c r="A52703" t="s">
        <v>16714</v>
      </c>
      <c r="B52703" t="str">
        <f>HYPERLINK("https://lindat.mff.cuni.cz/services/teitok/pdtc10/index.php?action=vallex&amp;frame=v-w7449f11_ZU", "uvést (v-w7449f11_ZU)")</f>
        <v>uvést (v-w7449f11_ZU)</v>
      </c>
    </row>
    <row r="52704" spans="1:4" x14ac:dyDescent="0.2">
      <c r="B52704" t="s">
        <v>1</v>
      </c>
      <c r="C52704" t="s">
        <v>16715</v>
      </c>
      <c r="D52704" t="s">
        <v>22967</v>
      </c>
    </row>
    <row r="52705" spans="1:4" x14ac:dyDescent="0.2">
      <c r="B52705" t="s">
        <v>13754</v>
      </c>
      <c r="C52705" t="s">
        <v>16716</v>
      </c>
      <c r="D52705" t="s">
        <v>23120</v>
      </c>
    </row>
    <row r="52706" spans="1:4" x14ac:dyDescent="0.2">
      <c r="B52706" t="s">
        <v>269</v>
      </c>
      <c r="C52706" t="s">
        <v>1472</v>
      </c>
      <c r="D52706" t="s">
        <v>22968</v>
      </c>
    </row>
    <row r="52707" spans="1:4" x14ac:dyDescent="0.2">
      <c r="B52707" t="s">
        <v>78</v>
      </c>
      <c r="C52707" t="s">
        <v>16717</v>
      </c>
      <c r="D52707" t="s">
        <v>22969</v>
      </c>
    </row>
    <row r="52709" spans="1:4" x14ac:dyDescent="0.2">
      <c r="A52709" t="s">
        <v>16714</v>
      </c>
      <c r="B52709" t="str">
        <f>HYPERLINK("https://lindat.mff.cuni.cz/services/teitok/pdtc10/index.php?action=vallex&amp;frame=v-w7449f1", "uvést (v-w7449f1) - substituted with v-w7449f11_ZU")</f>
        <v>uvést (v-w7449f1) - substituted with v-w7449f11_ZU</v>
      </c>
    </row>
    <row r="52710" spans="1:4" x14ac:dyDescent="0.2">
      <c r="B52710" t="s">
        <v>1</v>
      </c>
      <c r="C52710" t="s">
        <v>16718</v>
      </c>
    </row>
    <row r="52711" spans="1:4" x14ac:dyDescent="0.2">
      <c r="B52711" t="s">
        <v>13754</v>
      </c>
      <c r="C52711" t="s">
        <v>16719</v>
      </c>
    </row>
    <row r="52712" spans="1:4" x14ac:dyDescent="0.2">
      <c r="B52712" t="s">
        <v>269</v>
      </c>
      <c r="C52712" t="s">
        <v>16720</v>
      </c>
    </row>
    <row r="52713" spans="1:4" x14ac:dyDescent="0.2">
      <c r="B52713" t="s">
        <v>78</v>
      </c>
    </row>
    <row r="52715" spans="1:4" x14ac:dyDescent="0.2">
      <c r="A52715" t="s">
        <v>16721</v>
      </c>
      <c r="B52715" t="str">
        <f>HYPERLINK("https://lindat.mff.cuni.cz/services/teitok/pdtc10/index.php?action=vallex&amp;frame=v-w7449f15_ZU", "uvést (v-w7449f15_ZU)")</f>
        <v>uvést (v-w7449f15_ZU)</v>
      </c>
    </row>
    <row r="52716" spans="1:4" x14ac:dyDescent="0.2">
      <c r="B52716" t="s">
        <v>1</v>
      </c>
    </row>
    <row r="52717" spans="1:4" x14ac:dyDescent="0.2">
      <c r="B52717" t="s">
        <v>16722</v>
      </c>
    </row>
    <row r="52718" spans="1:4" x14ac:dyDescent="0.2">
      <c r="B52718" t="s">
        <v>78</v>
      </c>
    </row>
    <row r="52720" spans="1:4" x14ac:dyDescent="0.2">
      <c r="A52720" t="s">
        <v>16721</v>
      </c>
      <c r="B52720" t="str">
        <f>HYPERLINK("https://lindat.mff.cuni.cz/services/teitok/pdtc10/index.php?action=vallex&amp;frame=v-w7449f12_ZU", "uvést (v-w7449f12_ZU) - substituted with v-w7449f15_ZU")</f>
        <v>uvést (v-w7449f12_ZU) - substituted with v-w7449f15_ZU</v>
      </c>
    </row>
    <row r="52721" spans="1:3" x14ac:dyDescent="0.2">
      <c r="B52721" t="s">
        <v>1</v>
      </c>
      <c r="C52721" t="s">
        <v>16723</v>
      </c>
    </row>
    <row r="52722" spans="1:3" x14ac:dyDescent="0.2">
      <c r="B52722" t="s">
        <v>16722</v>
      </c>
      <c r="C52722" t="s">
        <v>16724</v>
      </c>
    </row>
    <row r="52723" spans="1:3" x14ac:dyDescent="0.2">
      <c r="B52723" t="s">
        <v>78</v>
      </c>
      <c r="C52723" t="s">
        <v>5469</v>
      </c>
    </row>
    <row r="52725" spans="1:3" x14ac:dyDescent="0.2">
      <c r="A52725" t="s">
        <v>16721</v>
      </c>
      <c r="B52725" t="str">
        <f>HYPERLINK("https://lindat.mff.cuni.cz/services/teitok/pdtc10/index.php?action=vallex&amp;frame=v-w7449hsa_686", "uvést (v-w7449hsa_686) - substituted with v-w7449f15_ZU")</f>
        <v>uvést (v-w7449hsa_686) - substituted with v-w7449f15_ZU</v>
      </c>
    </row>
    <row r="52726" spans="1:3" x14ac:dyDescent="0.2">
      <c r="B52726" t="s">
        <v>1</v>
      </c>
      <c r="C52726" t="s">
        <v>83</v>
      </c>
    </row>
    <row r="52727" spans="1:3" x14ac:dyDescent="0.2">
      <c r="B52727" t="s">
        <v>16722</v>
      </c>
      <c r="C52727" t="s">
        <v>16725</v>
      </c>
    </row>
    <row r="52728" spans="1:3" x14ac:dyDescent="0.2">
      <c r="B52728" t="s">
        <v>78</v>
      </c>
    </row>
    <row r="52730" spans="1:3" x14ac:dyDescent="0.2">
      <c r="A52730" t="s">
        <v>16726</v>
      </c>
      <c r="B52730" t="str">
        <f>HYPERLINK("https://lindat.mff.cuni.cz/services/teitok/pdtc10/index.php?action=vallex&amp;frame=v-w7449f14_ZU", "uvést (v-w7449f14_ZU)")</f>
        <v>uvést (v-w7449f14_ZU)</v>
      </c>
    </row>
    <row r="52731" spans="1:3" x14ac:dyDescent="0.2">
      <c r="B52731" t="s">
        <v>1</v>
      </c>
      <c r="C52731" t="s">
        <v>6039</v>
      </c>
    </row>
    <row r="52732" spans="1:3" x14ac:dyDescent="0.2">
      <c r="B52732" t="s">
        <v>16727</v>
      </c>
      <c r="C52732" t="s">
        <v>16728</v>
      </c>
    </row>
    <row r="52734" spans="1:3" x14ac:dyDescent="0.2">
      <c r="A52734" t="s">
        <v>16729</v>
      </c>
      <c r="B52734" t="str">
        <f>HYPERLINK("https://lindat.mff.cuni.cz/services/teitok/pdtc10/index.php?action=vallex&amp;frame=v-w7449f7", "uvést (v-w7449f7)")</f>
        <v>uvést (v-w7449f7)</v>
      </c>
    </row>
    <row r="52735" spans="1:3" x14ac:dyDescent="0.2">
      <c r="B52735" t="s">
        <v>1</v>
      </c>
      <c r="C52735" t="s">
        <v>2749</v>
      </c>
    </row>
    <row r="52736" spans="1:3" x14ac:dyDescent="0.2">
      <c r="B52736" t="s">
        <v>16730</v>
      </c>
    </row>
    <row r="52737" spans="1:3" x14ac:dyDescent="0.2">
      <c r="B52737" t="s">
        <v>8</v>
      </c>
      <c r="C52737" t="s">
        <v>2750</v>
      </c>
    </row>
    <row r="52739" spans="1:3" x14ac:dyDescent="0.2">
      <c r="A52739" t="s">
        <v>16731</v>
      </c>
      <c r="B52739" t="str">
        <f>HYPERLINK("https://lindat.mff.cuni.cz/services/teitok/pdtc10/index.php?action=vallex&amp;frame=v-w7449f8", "uvést (v-w7449f8)")</f>
        <v>uvést (v-w7449f8)</v>
      </c>
    </row>
    <row r="52740" spans="1:3" x14ac:dyDescent="0.2">
      <c r="B52740" t="s">
        <v>1</v>
      </c>
    </row>
    <row r="52741" spans="1:3" x14ac:dyDescent="0.2">
      <c r="B52741" t="s">
        <v>16685</v>
      </c>
    </row>
    <row r="52742" spans="1:3" x14ac:dyDescent="0.2">
      <c r="B52742" t="s">
        <v>8</v>
      </c>
    </row>
    <row r="52744" spans="1:3" x14ac:dyDescent="0.2">
      <c r="A52744" t="s">
        <v>16732</v>
      </c>
      <c r="B52744" t="str">
        <f>HYPERLINK("https://lindat.mff.cuni.cz/services/teitok/pdtc10/index.php?action=vallex&amp;frame=v-w7449f13_ZU", "uvést (v-w7449f13_ZU)")</f>
        <v>uvést (v-w7449f13_ZU)</v>
      </c>
    </row>
    <row r="52745" spans="1:3" x14ac:dyDescent="0.2">
      <c r="B52745" t="s">
        <v>1</v>
      </c>
    </row>
    <row r="52746" spans="1:3" x14ac:dyDescent="0.2">
      <c r="B52746" t="s">
        <v>16733</v>
      </c>
    </row>
    <row r="52747" spans="1:3" x14ac:dyDescent="0.2">
      <c r="B52747" t="s">
        <v>8</v>
      </c>
    </row>
    <row r="52749" spans="1:3" x14ac:dyDescent="0.2">
      <c r="A52749" t="s">
        <v>16734</v>
      </c>
      <c r="B52749" t="str">
        <f>HYPERLINK("https://lindat.mff.cuni.cz/services/teitok/pdtc10/index.php?action=vallex&amp;frame=v-w7449f10_ZU", "uvést (v-w7449f10_ZU)")</f>
        <v>uvést (v-w7449f10_ZU)</v>
      </c>
    </row>
    <row r="52750" spans="1:3" x14ac:dyDescent="0.2">
      <c r="B52750" t="s">
        <v>1</v>
      </c>
    </row>
    <row r="52751" spans="1:3" x14ac:dyDescent="0.2">
      <c r="B52751" t="s">
        <v>16735</v>
      </c>
    </row>
    <row r="52752" spans="1:3" x14ac:dyDescent="0.2">
      <c r="B52752" t="s">
        <v>8</v>
      </c>
    </row>
    <row r="52754" spans="1:4" x14ac:dyDescent="0.2">
      <c r="A52754" t="s">
        <v>16736</v>
      </c>
      <c r="B52754" t="str">
        <f>HYPERLINK("https://lindat.mff.cuni.cz/services/teitok/pdtc10/index.php?action=vallex&amp;frame=v-w7450f1", "uvést se (v-w7450f1)")</f>
        <v>uvést se (v-w7450f1)</v>
      </c>
    </row>
    <row r="52755" spans="1:4" x14ac:dyDescent="0.2">
      <c r="B52755" t="s">
        <v>1</v>
      </c>
    </row>
    <row r="52756" spans="1:4" x14ac:dyDescent="0.2">
      <c r="B52756" t="s">
        <v>346</v>
      </c>
    </row>
    <row r="52757" spans="1:4" x14ac:dyDescent="0.2">
      <c r="B52757" t="s">
        <v>348</v>
      </c>
    </row>
    <row r="52758" spans="1:4" x14ac:dyDescent="0.2">
      <c r="B52758" t="s">
        <v>349</v>
      </c>
    </row>
    <row r="52759" spans="1:4" x14ac:dyDescent="0.2">
      <c r="B52759" t="s">
        <v>350</v>
      </c>
    </row>
    <row r="52760" spans="1:4" x14ac:dyDescent="0.2">
      <c r="B52760" t="s">
        <v>351</v>
      </c>
    </row>
    <row r="52762" spans="1:4" x14ac:dyDescent="0.2">
      <c r="A52762" t="s">
        <v>16737</v>
      </c>
      <c r="B52762" t="str">
        <f>HYPERLINK("https://lindat.mff.cuni.cz/services/teitok/pdtc10/index.php?action=vallex&amp;frame=v-w7455f3", "uvítat (v-w7455f3)")</f>
        <v>uvítat (v-w7455f3)</v>
      </c>
    </row>
    <row r="52763" spans="1:4" x14ac:dyDescent="0.2">
      <c r="B52763" t="s">
        <v>1</v>
      </c>
    </row>
    <row r="52764" spans="1:4" x14ac:dyDescent="0.2">
      <c r="B52764" t="s">
        <v>411</v>
      </c>
    </row>
    <row r="52765" spans="1:4" x14ac:dyDescent="0.2">
      <c r="B52765" t="s">
        <v>1056</v>
      </c>
    </row>
    <row r="52767" spans="1:4" x14ac:dyDescent="0.2">
      <c r="A52767" t="s">
        <v>16738</v>
      </c>
      <c r="B52767" t="str">
        <f>HYPERLINK("https://lindat.mff.cuni.cz/services/teitok/pdtc10/index.php?action=vallex&amp;frame=v-w7455f2", "uvítat (v-w7455f2)")</f>
        <v>uvítat (v-w7455f2)</v>
      </c>
    </row>
    <row r="52768" spans="1:4" x14ac:dyDescent="0.2">
      <c r="B52768" t="s">
        <v>1</v>
      </c>
      <c r="C52768" t="s">
        <v>2533</v>
      </c>
      <c r="D52768" t="s">
        <v>990</v>
      </c>
    </row>
    <row r="52769" spans="1:4" x14ac:dyDescent="0.2">
      <c r="B52769" t="s">
        <v>16739</v>
      </c>
      <c r="C52769" t="s">
        <v>11918</v>
      </c>
      <c r="D52769" t="s">
        <v>1340</v>
      </c>
    </row>
    <row r="52771" spans="1:4" x14ac:dyDescent="0.2">
      <c r="A52771" t="s">
        <v>16740</v>
      </c>
      <c r="B52771" t="str">
        <f>HYPERLINK("https://lindat.mff.cuni.cz/services/teitok/pdtc10/index.php?action=vallex&amp;frame=v-w7455f1", "uvítat (v-w7455f1)")</f>
        <v>uvítat (v-w7455f1)</v>
      </c>
    </row>
    <row r="52772" spans="1:4" x14ac:dyDescent="0.2">
      <c r="B52772" t="s">
        <v>1</v>
      </c>
      <c r="C52772" t="s">
        <v>80</v>
      </c>
    </row>
    <row r="52773" spans="1:4" x14ac:dyDescent="0.2">
      <c r="B52773" t="s">
        <v>8</v>
      </c>
      <c r="C52773" t="s">
        <v>125</v>
      </c>
    </row>
    <row r="52775" spans="1:4" x14ac:dyDescent="0.2">
      <c r="A52775" t="s">
        <v>16741</v>
      </c>
      <c r="B52775" t="str">
        <f>HYPERLINK("https://lindat.mff.cuni.cz/services/teitok/pdtc10/index.php?action=vallex&amp;frame=v-w7456f1", "uvíznout (v-w7456f1)")</f>
        <v>uvíznout (v-w7456f1)</v>
      </c>
    </row>
    <row r="52776" spans="1:4" x14ac:dyDescent="0.2">
      <c r="B52776" t="s">
        <v>1</v>
      </c>
    </row>
    <row r="52777" spans="1:4" x14ac:dyDescent="0.2">
      <c r="B52777" t="s">
        <v>5</v>
      </c>
    </row>
    <row r="52779" spans="1:4" x14ac:dyDescent="0.2">
      <c r="A52779" t="s">
        <v>16742</v>
      </c>
      <c r="B52779" t="str">
        <f>HYPERLINK("https://lindat.mff.cuni.cz/services/teitok/pdtc10/index.php?action=vallex&amp;frame=v-w7456f2", "uvíznout (v-w7456f2)")</f>
        <v>uvíznout (v-w7456f2)</v>
      </c>
    </row>
    <row r="52780" spans="1:4" x14ac:dyDescent="0.2">
      <c r="B52780" t="s">
        <v>1</v>
      </c>
      <c r="C52780" t="s">
        <v>16743</v>
      </c>
      <c r="D52780" t="s">
        <v>24310</v>
      </c>
    </row>
    <row r="52781" spans="1:4" x14ac:dyDescent="0.2">
      <c r="B52781" t="s">
        <v>5</v>
      </c>
      <c r="D52781" t="s">
        <v>24311</v>
      </c>
    </row>
    <row r="52783" spans="1:4" x14ac:dyDescent="0.2">
      <c r="A52783" t="s">
        <v>16744</v>
      </c>
      <c r="B52783" t="str">
        <f>HYPERLINK("https://lindat.mff.cuni.cz/services/teitok/pdtc10/index.php?action=vallex&amp;frame=v-w7456f3_ZU", "uvíznout (v-w7456f3_ZU)")</f>
        <v>uvíznout (v-w7456f3_ZU)</v>
      </c>
    </row>
    <row r="52784" spans="1:4" x14ac:dyDescent="0.2">
      <c r="B52784" t="s">
        <v>1</v>
      </c>
      <c r="C52784" t="s">
        <v>33</v>
      </c>
    </row>
    <row r="52785" spans="1:4" x14ac:dyDescent="0.2">
      <c r="B52785" t="s">
        <v>729</v>
      </c>
    </row>
    <row r="52787" spans="1:4" x14ac:dyDescent="0.2">
      <c r="A52787" t="s">
        <v>16744</v>
      </c>
      <c r="B52787" t="str">
        <f>HYPERLINK("https://lindat.mff.cuni.cz/services/teitok/pdtc10/index.php?action=vallex&amp;frame=v-w7456hsa_856", "uvíznout (v-w7456hsa_856) - substituted with v-w7456f3_ZU")</f>
        <v>uvíznout (v-w7456hsa_856) - substituted with v-w7456f3_ZU</v>
      </c>
    </row>
    <row r="52788" spans="1:4" x14ac:dyDescent="0.2">
      <c r="B52788" t="s">
        <v>1</v>
      </c>
    </row>
    <row r="52789" spans="1:4" x14ac:dyDescent="0.2">
      <c r="B52789" t="s">
        <v>729</v>
      </c>
    </row>
    <row r="52791" spans="1:4" x14ac:dyDescent="0.2">
      <c r="A52791" t="s">
        <v>16745</v>
      </c>
      <c r="B52791" t="str">
        <f>HYPERLINK("https://lindat.mff.cuni.cz/services/teitok/pdtc10/index.php?action=vallex&amp;frame=v-w7435f1", "uvědomit (v-w7435f1)")</f>
        <v>uvědomit (v-w7435f1)</v>
      </c>
    </row>
    <row r="52792" spans="1:4" x14ac:dyDescent="0.2">
      <c r="B52792" t="s">
        <v>1</v>
      </c>
      <c r="C52792" t="s">
        <v>115</v>
      </c>
    </row>
    <row r="52793" spans="1:4" x14ac:dyDescent="0.2">
      <c r="B52793" t="s">
        <v>3604</v>
      </c>
      <c r="C52793" t="s">
        <v>16746</v>
      </c>
    </row>
    <row r="52794" spans="1:4" x14ac:dyDescent="0.2">
      <c r="B52794" t="s">
        <v>58</v>
      </c>
      <c r="C52794" t="s">
        <v>10725</v>
      </c>
    </row>
    <row r="52796" spans="1:4" x14ac:dyDescent="0.2">
      <c r="A52796" t="s">
        <v>16747</v>
      </c>
      <c r="B52796" t="str">
        <f>HYPERLINK("https://lindat.mff.cuni.cz/services/teitok/pdtc10/index.php?action=vallex&amp;frame=v-w7436f1", "uvědomit si (v-w7436f1)")</f>
        <v>uvědomit si (v-w7436f1)</v>
      </c>
    </row>
    <row r="52797" spans="1:4" x14ac:dyDescent="0.2">
      <c r="B52797" t="s">
        <v>1</v>
      </c>
      <c r="C52797" t="s">
        <v>16748</v>
      </c>
      <c r="D52797" t="s">
        <v>23543</v>
      </c>
    </row>
    <row r="52798" spans="1:4" x14ac:dyDescent="0.2">
      <c r="B52798" t="s">
        <v>7150</v>
      </c>
      <c r="C52798" t="s">
        <v>16749</v>
      </c>
      <c r="D52798" t="s">
        <v>23544</v>
      </c>
    </row>
    <row r="52800" spans="1:4" x14ac:dyDescent="0.2">
      <c r="A52800" t="s">
        <v>16750</v>
      </c>
      <c r="B52800" t="str">
        <f>HYPERLINK("https://lindat.mff.cuni.cz/services/teitok/pdtc10/index.php?action=vallex&amp;frame=v-w7439f1", "uvědomovat si (v-w7439f1)")</f>
        <v>uvědomovat si (v-w7439f1)</v>
      </c>
    </row>
    <row r="52801" spans="1:4" x14ac:dyDescent="0.2">
      <c r="B52801" t="s">
        <v>1</v>
      </c>
      <c r="C52801" t="s">
        <v>9332</v>
      </c>
      <c r="D52801" t="s">
        <v>23543</v>
      </c>
    </row>
    <row r="52802" spans="1:4" x14ac:dyDescent="0.2">
      <c r="B52802" t="s">
        <v>7150</v>
      </c>
      <c r="C52802" t="s">
        <v>1815</v>
      </c>
      <c r="D52802" t="s">
        <v>23544</v>
      </c>
    </row>
    <row r="52804" spans="1:4" x14ac:dyDescent="0.2">
      <c r="A52804" t="s">
        <v>16751</v>
      </c>
      <c r="B52804" t="str">
        <f>HYPERLINK("https://lindat.mff.cuni.cz/services/teitok/pdtc10/index.php?action=vallex&amp;frame=v-w7451f1", "uvěznit (v-w7451f1)")</f>
        <v>uvěznit (v-w7451f1)</v>
      </c>
    </row>
    <row r="52805" spans="1:4" x14ac:dyDescent="0.2">
      <c r="B52805" t="s">
        <v>1</v>
      </c>
      <c r="C52805" t="s">
        <v>430</v>
      </c>
      <c r="D52805" t="s">
        <v>2303</v>
      </c>
    </row>
    <row r="52806" spans="1:4" x14ac:dyDescent="0.2">
      <c r="B52806" t="s">
        <v>8</v>
      </c>
      <c r="C52806" t="s">
        <v>81</v>
      </c>
      <c r="D52806" t="s">
        <v>3433</v>
      </c>
    </row>
    <row r="52808" spans="1:4" x14ac:dyDescent="0.2">
      <c r="A52808" t="s">
        <v>16752</v>
      </c>
      <c r="B52808" t="str">
        <f>HYPERLINK("https://lindat.mff.cuni.cz/services/teitok/pdtc10/index.php?action=vallex&amp;frame=v-w10543f2", "uvězňovat (v-w10543f2)")</f>
        <v>uvězňovat (v-w10543f2)</v>
      </c>
    </row>
    <row r="52809" spans="1:4" x14ac:dyDescent="0.2">
      <c r="B52809" t="s">
        <v>1</v>
      </c>
      <c r="C52809" t="s">
        <v>33</v>
      </c>
      <c r="D52809" t="s">
        <v>2303</v>
      </c>
    </row>
    <row r="52810" spans="1:4" x14ac:dyDescent="0.2">
      <c r="B52810" t="s">
        <v>8</v>
      </c>
      <c r="C52810" t="s">
        <v>54</v>
      </c>
      <c r="D52810" t="s">
        <v>3433</v>
      </c>
    </row>
    <row r="52812" spans="1:4" x14ac:dyDescent="0.2">
      <c r="A52812" t="s">
        <v>16753</v>
      </c>
      <c r="B52812" t="str">
        <f>HYPERLINK("https://lindat.mff.cuni.cz/services/teitok/pdtc10/index.php?action=vallex&amp;frame=v-w7448f3_ZU", "uvěřit (v-w7448f3_ZU)")</f>
        <v>uvěřit (v-w7448f3_ZU)</v>
      </c>
    </row>
    <row r="52813" spans="1:4" x14ac:dyDescent="0.2">
      <c r="B52813" t="s">
        <v>1</v>
      </c>
    </row>
    <row r="52814" spans="1:4" x14ac:dyDescent="0.2">
      <c r="B52814" t="s">
        <v>6190</v>
      </c>
    </row>
    <row r="52816" spans="1:4" x14ac:dyDescent="0.2">
      <c r="A52816" t="s">
        <v>16753</v>
      </c>
      <c r="B52816" t="str">
        <f>HYPERLINK("https://lindat.mff.cuni.cz/services/teitok/pdtc10/index.php?action=vallex&amp;frame=v-w7448f1", "uvěřit (v-w7448f1) - substituted with v-w7448f3_ZU")</f>
        <v>uvěřit (v-w7448f1) - substituted with v-w7448f3_ZU</v>
      </c>
    </row>
    <row r="52817" spans="1:4" x14ac:dyDescent="0.2">
      <c r="B52817" t="s">
        <v>1</v>
      </c>
      <c r="C52817" t="s">
        <v>16711</v>
      </c>
      <c r="D52817" t="s">
        <v>7821</v>
      </c>
    </row>
    <row r="52818" spans="1:4" x14ac:dyDescent="0.2">
      <c r="B52818" t="s">
        <v>6190</v>
      </c>
      <c r="C52818" t="s">
        <v>8252</v>
      </c>
      <c r="D52818" t="s">
        <v>23148</v>
      </c>
    </row>
    <row r="52820" spans="1:4" x14ac:dyDescent="0.2">
      <c r="A52820" t="s">
        <v>16754</v>
      </c>
      <c r="B52820" t="str">
        <f>HYPERLINK("https://lindat.mff.cuni.cz/services/teitok/pdtc10/index.php?action=vallex&amp;frame=v-w7448f2", "uvěřit (v-w7448f2)")</f>
        <v>uvěřit (v-w7448f2)</v>
      </c>
    </row>
    <row r="52821" spans="1:4" x14ac:dyDescent="0.2">
      <c r="B52821" t="s">
        <v>1</v>
      </c>
      <c r="C52821" t="s">
        <v>140</v>
      </c>
      <c r="D52821" t="s">
        <v>1774</v>
      </c>
    </row>
    <row r="52822" spans="1:4" x14ac:dyDescent="0.2">
      <c r="B52822" t="s">
        <v>35</v>
      </c>
      <c r="C52822" t="s">
        <v>4440</v>
      </c>
      <c r="D52822" t="s">
        <v>4440</v>
      </c>
    </row>
    <row r="52823" spans="1:4" x14ac:dyDescent="0.2">
      <c r="B52823" t="s">
        <v>16755</v>
      </c>
      <c r="C52823" t="s">
        <v>113</v>
      </c>
      <c r="D52823" t="s">
        <v>113</v>
      </c>
    </row>
    <row r="52825" spans="1:4" x14ac:dyDescent="0.2">
      <c r="A52825" t="s">
        <v>16756</v>
      </c>
      <c r="B52825" t="str">
        <f>HYPERLINK("https://lindat.mff.cuni.cz/services/teitok/pdtc10/index.php?action=vallex&amp;frame=v-w7469f1", "uzamknout (v-w7469f1)")</f>
        <v>uzamknout (v-w7469f1)</v>
      </c>
    </row>
    <row r="52826" spans="1:4" x14ac:dyDescent="0.2">
      <c r="B52826" t="s">
        <v>1</v>
      </c>
      <c r="C52826" t="s">
        <v>140</v>
      </c>
      <c r="D52826" t="s">
        <v>24312</v>
      </c>
    </row>
    <row r="52827" spans="1:4" x14ac:dyDescent="0.2">
      <c r="B52827" t="s">
        <v>8</v>
      </c>
      <c r="C52827" t="s">
        <v>113</v>
      </c>
      <c r="D52827" t="s">
        <v>3789</v>
      </c>
    </row>
    <row r="52829" spans="1:4" x14ac:dyDescent="0.2">
      <c r="A52829" t="s">
        <v>16757</v>
      </c>
      <c r="B52829" t="str">
        <f>HYPERLINK("https://lindat.mff.cuni.cz/services/teitok/pdtc10/index.php?action=vallex&amp;frame=v-w7472f4", "uzavírat (v-w7472f4)")</f>
        <v>uzavírat (v-w7472f4)</v>
      </c>
    </row>
    <row r="52830" spans="1:4" x14ac:dyDescent="0.2">
      <c r="B52830" t="s">
        <v>1</v>
      </c>
      <c r="C52830" t="s">
        <v>3307</v>
      </c>
    </row>
    <row r="52831" spans="1:4" x14ac:dyDescent="0.2">
      <c r="B52831" t="s">
        <v>8</v>
      </c>
      <c r="C52831" t="s">
        <v>5666</v>
      </c>
    </row>
    <row r="52832" spans="1:4" x14ac:dyDescent="0.2">
      <c r="B52832" t="s">
        <v>2328</v>
      </c>
    </row>
    <row r="52834" spans="1:4" x14ac:dyDescent="0.2">
      <c r="A52834" t="s">
        <v>16758</v>
      </c>
      <c r="B52834" t="str">
        <f>HYPERLINK("https://lindat.mff.cuni.cz/services/teitok/pdtc10/index.php?action=vallex&amp;frame=v-w7472f3", "uzavírat (v-w7472f3)")</f>
        <v>uzavírat (v-w7472f3)</v>
      </c>
    </row>
    <row r="52835" spans="1:4" x14ac:dyDescent="0.2">
      <c r="B52835" t="s">
        <v>1</v>
      </c>
      <c r="C52835" t="s">
        <v>16759</v>
      </c>
      <c r="D52835" t="s">
        <v>24313</v>
      </c>
    </row>
    <row r="52836" spans="1:4" x14ac:dyDescent="0.2">
      <c r="B52836" t="s">
        <v>8</v>
      </c>
      <c r="C52836" t="s">
        <v>68</v>
      </c>
      <c r="D52836" t="s">
        <v>1721</v>
      </c>
    </row>
    <row r="52838" spans="1:4" x14ac:dyDescent="0.2">
      <c r="A52838" t="s">
        <v>16760</v>
      </c>
      <c r="B52838" t="str">
        <f>HYPERLINK("https://lindat.mff.cuni.cz/services/teitok/pdtc10/index.php?action=vallex&amp;frame=v-w7472f6_ZU", "uzavírat (v-w7472f6_ZU)")</f>
        <v>uzavírat (v-w7472f6_ZU)</v>
      </c>
    </row>
    <row r="52839" spans="1:4" x14ac:dyDescent="0.2">
      <c r="B52839" t="s">
        <v>1</v>
      </c>
      <c r="C52839" t="s">
        <v>7796</v>
      </c>
      <c r="D52839" t="s">
        <v>23140</v>
      </c>
    </row>
    <row r="52840" spans="1:4" x14ac:dyDescent="0.2">
      <c r="B52840" t="s">
        <v>8</v>
      </c>
      <c r="C52840" t="s">
        <v>1510</v>
      </c>
      <c r="D52840" t="s">
        <v>23141</v>
      </c>
    </row>
    <row r="52842" spans="1:4" x14ac:dyDescent="0.2">
      <c r="A52842" t="s">
        <v>16760</v>
      </c>
      <c r="B52842" t="str">
        <f>HYPERLINK("https://lindat.mff.cuni.cz/services/teitok/pdtc10/index.php?action=vallex&amp;frame=v-w7472f2", "uzavírat (v-w7472f2) - substituted with v-w7472f6_ZU")</f>
        <v>uzavírat (v-w7472f2) - substituted with v-w7472f6_ZU</v>
      </c>
    </row>
    <row r="52843" spans="1:4" x14ac:dyDescent="0.2">
      <c r="B52843" t="s">
        <v>1</v>
      </c>
      <c r="C52843" t="s">
        <v>16761</v>
      </c>
    </row>
    <row r="52844" spans="1:4" x14ac:dyDescent="0.2">
      <c r="B52844" t="s">
        <v>8</v>
      </c>
      <c r="C52844" t="s">
        <v>1721</v>
      </c>
    </row>
    <row r="52846" spans="1:4" x14ac:dyDescent="0.2">
      <c r="A52846" t="s">
        <v>16762</v>
      </c>
      <c r="B52846" t="str">
        <f>HYPERLINK("https://lindat.mff.cuni.cz/services/teitok/pdtc10/index.php?action=vallex&amp;frame=v-w7472f12_ZU", "uzavírat (v-w7472f12_ZU)")</f>
        <v>uzavírat (v-w7472f12_ZU)</v>
      </c>
    </row>
    <row r="52847" spans="1:4" x14ac:dyDescent="0.2">
      <c r="B52847" t="s">
        <v>1</v>
      </c>
      <c r="C52847" t="s">
        <v>16763</v>
      </c>
      <c r="D52847" t="s">
        <v>24169</v>
      </c>
    </row>
    <row r="52848" spans="1:4" x14ac:dyDescent="0.2">
      <c r="B52848" t="s">
        <v>220</v>
      </c>
    </row>
    <row r="52849" spans="1:4" x14ac:dyDescent="0.2">
      <c r="B52849" t="s">
        <v>1245</v>
      </c>
      <c r="C52849" t="s">
        <v>16764</v>
      </c>
      <c r="D52849" t="s">
        <v>24170</v>
      </c>
    </row>
    <row r="52850" spans="1:4" x14ac:dyDescent="0.2">
      <c r="B52850" t="s">
        <v>346</v>
      </c>
      <c r="D52850" t="s">
        <v>24314</v>
      </c>
    </row>
    <row r="52851" spans="1:4" x14ac:dyDescent="0.2">
      <c r="B52851" t="s">
        <v>349</v>
      </c>
      <c r="D52851" t="s">
        <v>24315</v>
      </c>
    </row>
    <row r="52853" spans="1:4" x14ac:dyDescent="0.2">
      <c r="A52853" t="s">
        <v>16762</v>
      </c>
      <c r="B52853" t="str">
        <f>HYPERLINK("https://lindat.mff.cuni.cz/services/teitok/pdtc10/index.php?action=vallex&amp;frame=v-w7472f5_ZU", "uzavírat (v-w7472f5_ZU) - substituted with v-w7472f12_ZU")</f>
        <v>uzavírat (v-w7472f5_ZU) - substituted with v-w7472f12_ZU</v>
      </c>
    </row>
    <row r="52854" spans="1:4" x14ac:dyDescent="0.2">
      <c r="B52854" t="s">
        <v>1</v>
      </c>
      <c r="C52854" t="s">
        <v>16017</v>
      </c>
    </row>
    <row r="52855" spans="1:4" x14ac:dyDescent="0.2">
      <c r="B52855" t="s">
        <v>220</v>
      </c>
    </row>
    <row r="52856" spans="1:4" x14ac:dyDescent="0.2">
      <c r="B52856" t="s">
        <v>1245</v>
      </c>
      <c r="C52856" t="s">
        <v>16018</v>
      </c>
    </row>
    <row r="52857" spans="1:4" x14ac:dyDescent="0.2">
      <c r="B52857" t="s">
        <v>346</v>
      </c>
    </row>
    <row r="52858" spans="1:4" x14ac:dyDescent="0.2">
      <c r="B52858" t="s">
        <v>349</v>
      </c>
    </row>
    <row r="52860" spans="1:4" x14ac:dyDescent="0.2">
      <c r="A52860" t="s">
        <v>16762</v>
      </c>
      <c r="B52860" t="str">
        <f>HYPERLINK("https://lindat.mff.cuni.cz/services/teitok/pdtc10/index.php?action=vallex&amp;frame=v-w7472f9_ZU", "uzavírat (v-w7472f9_ZU) - substituted with v-w7472f12_ZU")</f>
        <v>uzavírat (v-w7472f9_ZU) - substituted with v-w7472f12_ZU</v>
      </c>
    </row>
    <row r="52861" spans="1:4" x14ac:dyDescent="0.2">
      <c r="B52861" t="s">
        <v>1</v>
      </c>
      <c r="C52861" t="s">
        <v>4177</v>
      </c>
    </row>
    <row r="52862" spans="1:4" x14ac:dyDescent="0.2">
      <c r="B52862" t="s">
        <v>220</v>
      </c>
    </row>
    <row r="52863" spans="1:4" x14ac:dyDescent="0.2">
      <c r="B52863" t="s">
        <v>1245</v>
      </c>
      <c r="C52863" t="s">
        <v>16018</v>
      </c>
    </row>
    <row r="52864" spans="1:4" x14ac:dyDescent="0.2">
      <c r="B52864" t="s">
        <v>346</v>
      </c>
      <c r="C52864" t="s">
        <v>16765</v>
      </c>
    </row>
    <row r="52865" spans="1:3" x14ac:dyDescent="0.2">
      <c r="B52865" t="s">
        <v>349</v>
      </c>
      <c r="C52865" t="s">
        <v>16022</v>
      </c>
    </row>
    <row r="52867" spans="1:3" x14ac:dyDescent="0.2">
      <c r="A52867" t="s">
        <v>16766</v>
      </c>
      <c r="B52867" t="str">
        <f>HYPERLINK("https://lindat.mff.cuni.cz/services/teitok/pdtc10/index.php?action=vallex&amp;frame=v-w7472f13_ZU", "uzavírat (v-w7472f13_ZU)")</f>
        <v>uzavírat (v-w7472f13_ZU)</v>
      </c>
    </row>
    <row r="52868" spans="1:3" x14ac:dyDescent="0.2">
      <c r="B52868" t="s">
        <v>1</v>
      </c>
    </row>
    <row r="52869" spans="1:3" x14ac:dyDescent="0.2">
      <c r="B52869" t="s">
        <v>16767</v>
      </c>
    </row>
    <row r="52871" spans="1:3" x14ac:dyDescent="0.2">
      <c r="A52871" t="s">
        <v>16766</v>
      </c>
      <c r="B52871" t="str">
        <f>HYPERLINK("https://lindat.mff.cuni.cz/services/teitok/pdtc10/index.php?action=vallex&amp;frame=v-w7472f1", "uzavírat (v-w7472f1) - substituted with v-w7472f13_ZU")</f>
        <v>uzavírat (v-w7472f1) - substituted with v-w7472f13_ZU</v>
      </c>
    </row>
    <row r="52872" spans="1:3" x14ac:dyDescent="0.2">
      <c r="B52872" t="s">
        <v>1</v>
      </c>
      <c r="C52872" t="s">
        <v>2946</v>
      </c>
    </row>
    <row r="52873" spans="1:3" x14ac:dyDescent="0.2">
      <c r="B52873" t="s">
        <v>16767</v>
      </c>
      <c r="C52873" t="s">
        <v>16768</v>
      </c>
    </row>
    <row r="52875" spans="1:3" x14ac:dyDescent="0.2">
      <c r="A52875" t="s">
        <v>16766</v>
      </c>
      <c r="B52875" t="str">
        <f>HYPERLINK("https://lindat.mff.cuni.cz/services/teitok/pdtc10/index.php?action=vallex&amp;frame=v-w7472f11_ZU", "uzavírat (v-w7472f11_ZU) - substituted with v-w7472f13_ZU")</f>
        <v>uzavírat (v-w7472f11_ZU) - substituted with v-w7472f13_ZU</v>
      </c>
    </row>
    <row r="52876" spans="1:3" x14ac:dyDescent="0.2">
      <c r="B52876" t="s">
        <v>1</v>
      </c>
    </row>
    <row r="52877" spans="1:3" x14ac:dyDescent="0.2">
      <c r="B52877" t="s">
        <v>16767</v>
      </c>
      <c r="C52877" t="s">
        <v>4033</v>
      </c>
    </row>
    <row r="52879" spans="1:3" x14ac:dyDescent="0.2">
      <c r="A52879" t="s">
        <v>16766</v>
      </c>
      <c r="B52879" t="str">
        <f>HYPERLINK("https://lindat.mff.cuni.cz/services/teitok/pdtc10/index.php?action=vallex&amp;frame=v-w7472f7_ZU", "uzavírat (v-w7472f7_ZU) - substituted with v-w7472f13_ZU")</f>
        <v>uzavírat (v-w7472f7_ZU) - substituted with v-w7472f13_ZU</v>
      </c>
    </row>
    <row r="52880" spans="1:3" x14ac:dyDescent="0.2">
      <c r="B52880" t="s">
        <v>1</v>
      </c>
    </row>
    <row r="52881" spans="1:4" x14ac:dyDescent="0.2">
      <c r="B52881" t="s">
        <v>16767</v>
      </c>
    </row>
    <row r="52883" spans="1:4" x14ac:dyDescent="0.2">
      <c r="A52883" t="s">
        <v>16769</v>
      </c>
      <c r="B52883" t="str">
        <f>HYPERLINK("https://lindat.mff.cuni.cz/services/teitok/pdtc10/index.php?action=vallex&amp;frame=v-w7472f8_ZU", "uzavírat (v-w7472f8_ZU)")</f>
        <v>uzavírat (v-w7472f8_ZU)</v>
      </c>
    </row>
    <row r="52884" spans="1:4" x14ac:dyDescent="0.2">
      <c r="B52884" t="s">
        <v>1</v>
      </c>
    </row>
    <row r="52885" spans="1:4" x14ac:dyDescent="0.2">
      <c r="B52885" t="s">
        <v>3920</v>
      </c>
    </row>
    <row r="52887" spans="1:4" x14ac:dyDescent="0.2">
      <c r="A52887" t="s">
        <v>16770</v>
      </c>
      <c r="B52887" t="str">
        <f>HYPERLINK("https://lindat.mff.cuni.cz/services/teitok/pdtc10/index.php?action=vallex&amp;frame=v-w7472f10_ZU", "uzavírat (v-w7472f10_ZU)")</f>
        <v>uzavírat (v-w7472f10_ZU)</v>
      </c>
    </row>
    <row r="52888" spans="1:4" x14ac:dyDescent="0.2">
      <c r="B52888" t="s">
        <v>1</v>
      </c>
    </row>
    <row r="52889" spans="1:4" x14ac:dyDescent="0.2">
      <c r="B52889" t="s">
        <v>8</v>
      </c>
    </row>
    <row r="52890" spans="1:4" x14ac:dyDescent="0.2">
      <c r="B52890" t="s">
        <v>889</v>
      </c>
    </row>
    <row r="52892" spans="1:4" x14ac:dyDescent="0.2">
      <c r="A52892" t="s">
        <v>16771</v>
      </c>
      <c r="B52892" t="str">
        <f>HYPERLINK("https://lindat.mff.cuni.cz/services/teitok/pdtc10/index.php?action=vallex&amp;frame=v-w7473f1", "uzavírat se (v-w7473f1)")</f>
        <v>uzavírat se (v-w7473f1)</v>
      </c>
    </row>
    <row r="52893" spans="1:4" x14ac:dyDescent="0.2">
      <c r="B52893" t="s">
        <v>1</v>
      </c>
    </row>
    <row r="52894" spans="1:4" x14ac:dyDescent="0.2">
      <c r="B52894" t="s">
        <v>16772</v>
      </c>
      <c r="D52894" t="s">
        <v>1301</v>
      </c>
    </row>
    <row r="52896" spans="1:4" x14ac:dyDescent="0.2">
      <c r="A52896" t="s">
        <v>16773</v>
      </c>
      <c r="B52896" t="str">
        <f>HYPERLINK("https://lindat.mff.cuni.cz/services/teitok/pdtc10/index.php?action=vallex&amp;frame=v-w7476f4", "uzavřít (v-w7476f4)")</f>
        <v>uzavřít (v-w7476f4)</v>
      </c>
    </row>
    <row r="52897" spans="1:4" x14ac:dyDescent="0.2">
      <c r="B52897" t="s">
        <v>1</v>
      </c>
      <c r="C52897" t="s">
        <v>16774</v>
      </c>
    </row>
    <row r="52898" spans="1:4" x14ac:dyDescent="0.2">
      <c r="B52898" t="s">
        <v>8</v>
      </c>
      <c r="C52898" t="s">
        <v>6364</v>
      </c>
    </row>
    <row r="52899" spans="1:4" x14ac:dyDescent="0.2">
      <c r="B52899" t="s">
        <v>2328</v>
      </c>
    </row>
    <row r="52901" spans="1:4" x14ac:dyDescent="0.2">
      <c r="A52901" t="s">
        <v>16775</v>
      </c>
      <c r="B52901" t="str">
        <f>HYPERLINK("https://lindat.mff.cuni.cz/services/teitok/pdtc10/index.php?action=vallex&amp;frame=v-w7476f7", "uzavřít (v-w7476f7)")</f>
        <v>uzavřít (v-w7476f7)</v>
      </c>
    </row>
    <row r="52902" spans="1:4" x14ac:dyDescent="0.2">
      <c r="B52902" t="s">
        <v>1</v>
      </c>
    </row>
    <row r="52903" spans="1:4" x14ac:dyDescent="0.2">
      <c r="B52903" t="s">
        <v>8</v>
      </c>
    </row>
    <row r="52904" spans="1:4" x14ac:dyDescent="0.2">
      <c r="B52904" t="s">
        <v>5</v>
      </c>
    </row>
    <row r="52906" spans="1:4" x14ac:dyDescent="0.2">
      <c r="A52906" t="s">
        <v>16776</v>
      </c>
      <c r="B52906" t="str">
        <f>HYPERLINK("https://lindat.mff.cuni.cz/services/teitok/pdtc10/index.php?action=vallex&amp;frame=v-w7476f9", "uzavřít (v-w7476f9)")</f>
        <v>uzavřít (v-w7476f9)</v>
      </c>
    </row>
    <row r="52907" spans="1:4" x14ac:dyDescent="0.2">
      <c r="B52907" t="s">
        <v>1</v>
      </c>
    </row>
    <row r="52908" spans="1:4" x14ac:dyDescent="0.2">
      <c r="B52908" t="s">
        <v>8</v>
      </c>
    </row>
    <row r="52909" spans="1:4" x14ac:dyDescent="0.2">
      <c r="B52909" t="s">
        <v>90</v>
      </c>
    </row>
    <row r="52911" spans="1:4" x14ac:dyDescent="0.2">
      <c r="A52911" t="s">
        <v>16777</v>
      </c>
      <c r="B52911" t="str">
        <f>HYPERLINK("https://lindat.mff.cuni.cz/services/teitok/pdtc10/index.php?action=vallex&amp;frame=v-w7476f2", "uzavřít (v-w7476f2)")</f>
        <v>uzavřít (v-w7476f2)</v>
      </c>
    </row>
    <row r="52912" spans="1:4" x14ac:dyDescent="0.2">
      <c r="B52912" t="s">
        <v>1</v>
      </c>
      <c r="C52912" t="s">
        <v>16778</v>
      </c>
      <c r="D52912" t="s">
        <v>24313</v>
      </c>
    </row>
    <row r="52913" spans="1:4" x14ac:dyDescent="0.2">
      <c r="B52913" t="s">
        <v>8</v>
      </c>
      <c r="C52913" t="s">
        <v>16779</v>
      </c>
      <c r="D52913" t="s">
        <v>1721</v>
      </c>
    </row>
    <row r="52915" spans="1:4" x14ac:dyDescent="0.2">
      <c r="A52915" t="s">
        <v>16780</v>
      </c>
      <c r="B52915" t="str">
        <f>HYPERLINK("https://lindat.mff.cuni.cz/services/teitok/pdtc10/index.php?action=vallex&amp;frame=v-w7476f3", "uzavřít (v-w7476f3)")</f>
        <v>uzavřít (v-w7476f3)</v>
      </c>
    </row>
    <row r="52916" spans="1:4" x14ac:dyDescent="0.2">
      <c r="B52916" t="s">
        <v>1</v>
      </c>
      <c r="C52916" t="s">
        <v>16781</v>
      </c>
      <c r="D52916" t="s">
        <v>24313</v>
      </c>
    </row>
    <row r="52917" spans="1:4" x14ac:dyDescent="0.2">
      <c r="B52917" t="s">
        <v>8</v>
      </c>
      <c r="C52917" t="s">
        <v>13080</v>
      </c>
      <c r="D52917" t="s">
        <v>1721</v>
      </c>
    </row>
    <row r="52919" spans="1:4" x14ac:dyDescent="0.2">
      <c r="A52919" t="s">
        <v>16782</v>
      </c>
      <c r="B52919" t="str">
        <f>HYPERLINK("https://lindat.mff.cuni.cz/services/teitok/pdtc10/index.php?action=vallex&amp;frame=v-w7476f5", "uzavřít (v-w7476f5)")</f>
        <v>uzavřít (v-w7476f5)</v>
      </c>
    </row>
    <row r="52920" spans="1:4" x14ac:dyDescent="0.2">
      <c r="B52920" t="s">
        <v>1</v>
      </c>
      <c r="C52920" t="s">
        <v>16783</v>
      </c>
      <c r="D52920" t="s">
        <v>24169</v>
      </c>
    </row>
    <row r="52921" spans="1:4" x14ac:dyDescent="0.2">
      <c r="B52921" t="s">
        <v>8</v>
      </c>
      <c r="C52921" t="s">
        <v>16784</v>
      </c>
    </row>
    <row r="52923" spans="1:4" x14ac:dyDescent="0.2">
      <c r="A52923" t="s">
        <v>16785</v>
      </c>
      <c r="B52923" t="str">
        <f>HYPERLINK("https://lindat.mff.cuni.cz/services/teitok/pdtc10/index.php?action=vallex&amp;frame=v-w7476f6", "uzavřít (v-w7476f6)")</f>
        <v>uzavřít (v-w7476f6)</v>
      </c>
    </row>
    <row r="52924" spans="1:4" x14ac:dyDescent="0.2">
      <c r="B52924" t="s">
        <v>1</v>
      </c>
      <c r="C52924" t="s">
        <v>334</v>
      </c>
      <c r="D52924" t="s">
        <v>24312</v>
      </c>
    </row>
    <row r="52925" spans="1:4" x14ac:dyDescent="0.2">
      <c r="B52925" t="s">
        <v>8</v>
      </c>
      <c r="C52925" t="s">
        <v>2886</v>
      </c>
      <c r="D52925" t="s">
        <v>3789</v>
      </c>
    </row>
    <row r="52927" spans="1:4" x14ac:dyDescent="0.2">
      <c r="A52927" t="s">
        <v>16786</v>
      </c>
      <c r="B52927" t="str">
        <f>HYPERLINK("https://lindat.mff.cuni.cz/services/teitok/pdtc10/index.php?action=vallex&amp;frame=v-w7476f8", "uzavřít (v-w7476f8)")</f>
        <v>uzavřít (v-w7476f8)</v>
      </c>
    </row>
    <row r="52928" spans="1:4" x14ac:dyDescent="0.2">
      <c r="B52928" t="s">
        <v>1</v>
      </c>
      <c r="C52928" t="s">
        <v>16759</v>
      </c>
    </row>
    <row r="52929" spans="1:4" x14ac:dyDescent="0.2">
      <c r="B52929" t="s">
        <v>8</v>
      </c>
      <c r="C52929" t="s">
        <v>68</v>
      </c>
    </row>
    <row r="52931" spans="1:4" x14ac:dyDescent="0.2">
      <c r="A52931" t="s">
        <v>16787</v>
      </c>
      <c r="B52931" t="str">
        <f>HYPERLINK("https://lindat.mff.cuni.cz/services/teitok/pdtc10/index.php?action=vallex&amp;frame=v-w7476f18_ZU", "uzavřít (v-w7476f18_ZU)")</f>
        <v>uzavřít (v-w7476f18_ZU)</v>
      </c>
    </row>
    <row r="52932" spans="1:4" x14ac:dyDescent="0.2">
      <c r="B52932" t="s">
        <v>1</v>
      </c>
      <c r="C52932" t="s">
        <v>16788</v>
      </c>
      <c r="D52932" t="s">
        <v>24169</v>
      </c>
    </row>
    <row r="52933" spans="1:4" x14ac:dyDescent="0.2">
      <c r="B52933" t="s">
        <v>220</v>
      </c>
      <c r="C52933" t="s">
        <v>68</v>
      </c>
    </row>
    <row r="52934" spans="1:4" x14ac:dyDescent="0.2">
      <c r="B52934" t="s">
        <v>1245</v>
      </c>
      <c r="C52934" t="s">
        <v>4178</v>
      </c>
      <c r="D52934" t="s">
        <v>24170</v>
      </c>
    </row>
    <row r="52935" spans="1:4" x14ac:dyDescent="0.2">
      <c r="B52935" t="s">
        <v>346</v>
      </c>
      <c r="D52935" t="s">
        <v>24314</v>
      </c>
    </row>
    <row r="52936" spans="1:4" x14ac:dyDescent="0.2">
      <c r="B52936" t="s">
        <v>349</v>
      </c>
      <c r="D52936" t="s">
        <v>24315</v>
      </c>
    </row>
    <row r="52938" spans="1:4" x14ac:dyDescent="0.2">
      <c r="A52938" t="s">
        <v>16787</v>
      </c>
      <c r="B52938" t="str">
        <f>HYPERLINK("https://lindat.mff.cuni.cz/services/teitok/pdtc10/index.php?action=vallex&amp;frame=v-w7476f10_ZU", "uzavřít (v-w7476f10_ZU) - substituted with v-w7476f18_ZU")</f>
        <v>uzavřít (v-w7476f10_ZU) - substituted with v-w7476f18_ZU</v>
      </c>
    </row>
    <row r="52939" spans="1:4" x14ac:dyDescent="0.2">
      <c r="B52939" t="s">
        <v>1</v>
      </c>
      <c r="C52939" t="s">
        <v>16017</v>
      </c>
    </row>
    <row r="52940" spans="1:4" x14ac:dyDescent="0.2">
      <c r="B52940" t="s">
        <v>220</v>
      </c>
    </row>
    <row r="52941" spans="1:4" x14ac:dyDescent="0.2">
      <c r="B52941" t="s">
        <v>1245</v>
      </c>
      <c r="C52941" t="s">
        <v>16018</v>
      </c>
    </row>
    <row r="52942" spans="1:4" x14ac:dyDescent="0.2">
      <c r="B52942" t="s">
        <v>346</v>
      </c>
    </row>
    <row r="52943" spans="1:4" x14ac:dyDescent="0.2">
      <c r="B52943" t="s">
        <v>349</v>
      </c>
    </row>
    <row r="52945" spans="1:3" x14ac:dyDescent="0.2">
      <c r="A52945" t="s">
        <v>16787</v>
      </c>
      <c r="B52945" t="str">
        <f>HYPERLINK("https://lindat.mff.cuni.cz/services/teitok/pdtc10/index.php?action=vallex&amp;frame=v-w7476f14_ZU", "uzavřít (v-w7476f14_ZU) - substituted with v-w7476f18_ZU")</f>
        <v>uzavřít (v-w7476f14_ZU) - substituted with v-w7476f18_ZU</v>
      </c>
    </row>
    <row r="52946" spans="1:3" x14ac:dyDescent="0.2">
      <c r="B52946" t="s">
        <v>1</v>
      </c>
      <c r="C52946" t="s">
        <v>16017</v>
      </c>
    </row>
    <row r="52947" spans="1:3" x14ac:dyDescent="0.2">
      <c r="B52947" t="s">
        <v>220</v>
      </c>
    </row>
    <row r="52948" spans="1:3" x14ac:dyDescent="0.2">
      <c r="B52948" t="s">
        <v>1245</v>
      </c>
      <c r="C52948" t="s">
        <v>16018</v>
      </c>
    </row>
    <row r="52949" spans="1:3" x14ac:dyDescent="0.2">
      <c r="B52949" t="s">
        <v>346</v>
      </c>
    </row>
    <row r="52950" spans="1:3" x14ac:dyDescent="0.2">
      <c r="B52950" t="s">
        <v>349</v>
      </c>
    </row>
    <row r="52952" spans="1:3" x14ac:dyDescent="0.2">
      <c r="A52952" t="s">
        <v>16787</v>
      </c>
      <c r="B52952" t="str">
        <f>HYPERLINK("https://lindat.mff.cuni.cz/services/teitok/pdtc10/index.php?action=vallex&amp;frame=v-w7476f15_ZU", "uzavřít (v-w7476f15_ZU) - substituted with v-w7476f18_ZU")</f>
        <v>uzavřít (v-w7476f15_ZU) - substituted with v-w7476f18_ZU</v>
      </c>
    </row>
    <row r="52953" spans="1:3" x14ac:dyDescent="0.2">
      <c r="B52953" t="s">
        <v>1</v>
      </c>
      <c r="C52953" t="s">
        <v>16763</v>
      </c>
    </row>
    <row r="52954" spans="1:3" x14ac:dyDescent="0.2">
      <c r="B52954" t="s">
        <v>220</v>
      </c>
    </row>
    <row r="52955" spans="1:3" x14ac:dyDescent="0.2">
      <c r="B52955" t="s">
        <v>1245</v>
      </c>
      <c r="C52955" t="s">
        <v>16764</v>
      </c>
    </row>
    <row r="52956" spans="1:3" x14ac:dyDescent="0.2">
      <c r="B52956" t="s">
        <v>346</v>
      </c>
    </row>
    <row r="52957" spans="1:3" x14ac:dyDescent="0.2">
      <c r="B52957" t="s">
        <v>349</v>
      </c>
    </row>
    <row r="52959" spans="1:3" x14ac:dyDescent="0.2">
      <c r="A52959" t="s">
        <v>16787</v>
      </c>
      <c r="B52959" t="str">
        <f>HYPERLINK("https://lindat.mff.cuni.cz/services/teitok/pdtc10/index.php?action=vallex&amp;frame=v-w7476f16_ZU", "uzavřít (v-w7476f16_ZU) - substituted with v-w7476f18_ZU")</f>
        <v>uzavřít (v-w7476f16_ZU) - substituted with v-w7476f18_ZU</v>
      </c>
    </row>
    <row r="52960" spans="1:3" x14ac:dyDescent="0.2">
      <c r="B52960" t="s">
        <v>1</v>
      </c>
      <c r="C52960" t="s">
        <v>16763</v>
      </c>
    </row>
    <row r="52961" spans="1:3" x14ac:dyDescent="0.2">
      <c r="B52961" t="s">
        <v>220</v>
      </c>
    </row>
    <row r="52962" spans="1:3" x14ac:dyDescent="0.2">
      <c r="B52962" t="s">
        <v>1245</v>
      </c>
      <c r="C52962" t="s">
        <v>16764</v>
      </c>
    </row>
    <row r="52963" spans="1:3" x14ac:dyDescent="0.2">
      <c r="B52963" t="s">
        <v>346</v>
      </c>
    </row>
    <row r="52964" spans="1:3" x14ac:dyDescent="0.2">
      <c r="B52964" t="s">
        <v>349</v>
      </c>
    </row>
    <row r="52966" spans="1:3" x14ac:dyDescent="0.2">
      <c r="A52966" t="s">
        <v>16789</v>
      </c>
      <c r="B52966" t="str">
        <f>HYPERLINK("https://lindat.mff.cuni.cz/services/teitok/pdtc10/index.php?action=vallex&amp;frame=v-w7476hsa_794", "uzavřít (v-w7476hsa_794)")</f>
        <v>uzavřít (v-w7476hsa_794)</v>
      </c>
    </row>
    <row r="52967" spans="1:3" x14ac:dyDescent="0.2">
      <c r="B52967" t="s">
        <v>1</v>
      </c>
    </row>
    <row r="52968" spans="1:3" x14ac:dyDescent="0.2">
      <c r="B52968" t="s">
        <v>16790</v>
      </c>
    </row>
    <row r="52970" spans="1:3" x14ac:dyDescent="0.2">
      <c r="A52970" t="s">
        <v>16789</v>
      </c>
      <c r="B52970" t="str">
        <f>HYPERLINK("https://lindat.mff.cuni.cz/services/teitok/pdtc10/index.php?action=vallex&amp;frame=v-w7476f1", "uzavřít (v-w7476f1) - substituted with v-w7476hsa_794")</f>
        <v>uzavřít (v-w7476f1) - substituted with v-w7476hsa_794</v>
      </c>
    </row>
    <row r="52971" spans="1:3" x14ac:dyDescent="0.2">
      <c r="B52971" t="s">
        <v>1</v>
      </c>
      <c r="C52971" t="s">
        <v>16791</v>
      </c>
    </row>
    <row r="52972" spans="1:3" x14ac:dyDescent="0.2">
      <c r="B52972" t="s">
        <v>16790</v>
      </c>
      <c r="C52972" t="s">
        <v>16792</v>
      </c>
    </row>
    <row r="52974" spans="1:3" x14ac:dyDescent="0.2">
      <c r="A52974" t="s">
        <v>16789</v>
      </c>
      <c r="B52974" t="str">
        <f>HYPERLINK("https://lindat.mff.cuni.cz/services/teitok/pdtc10/index.php?action=vallex&amp;frame=v-w7476f12_ZU", "uzavřít (v-w7476f12_ZU) - substituted with v-w7476hsa_794")</f>
        <v>uzavřít (v-w7476f12_ZU) - substituted with v-w7476hsa_794</v>
      </c>
    </row>
    <row r="52975" spans="1:3" x14ac:dyDescent="0.2">
      <c r="B52975" t="s">
        <v>1</v>
      </c>
      <c r="C52975" t="s">
        <v>16793</v>
      </c>
    </row>
    <row r="52976" spans="1:3" x14ac:dyDescent="0.2">
      <c r="B52976" t="s">
        <v>16790</v>
      </c>
      <c r="C52976" t="s">
        <v>16794</v>
      </c>
    </row>
    <row r="52978" spans="1:4" x14ac:dyDescent="0.2">
      <c r="A52978" t="s">
        <v>16789</v>
      </c>
      <c r="B52978" t="str">
        <f>HYPERLINK("https://lindat.mff.cuni.cz/services/teitok/pdtc10/index.php?action=vallex&amp;frame=v-w7476hsa_924", "uzavřít (v-w7476hsa_924) - substituted with v-w7476hsa_794")</f>
        <v>uzavřít (v-w7476hsa_924) - substituted with v-w7476hsa_794</v>
      </c>
    </row>
    <row r="52979" spans="1:4" x14ac:dyDescent="0.2">
      <c r="B52979" t="s">
        <v>1</v>
      </c>
      <c r="C52979" t="s">
        <v>11122</v>
      </c>
      <c r="D52979" t="s">
        <v>24316</v>
      </c>
    </row>
    <row r="52980" spans="1:4" x14ac:dyDescent="0.2">
      <c r="B52980" t="s">
        <v>16790</v>
      </c>
      <c r="C52980" t="s">
        <v>16768</v>
      </c>
      <c r="D52980" t="s">
        <v>24317</v>
      </c>
    </row>
    <row r="52982" spans="1:4" x14ac:dyDescent="0.2">
      <c r="A52982" t="s">
        <v>16795</v>
      </c>
      <c r="B52982" t="str">
        <f>HYPERLINK("https://lindat.mff.cuni.cz/services/teitok/pdtc10/index.php?action=vallex&amp;frame=v-w7476f13_ZU", "uzavřít (v-w7476f13_ZU)")</f>
        <v>uzavřít (v-w7476f13_ZU)</v>
      </c>
    </row>
    <row r="52983" spans="1:4" x14ac:dyDescent="0.2">
      <c r="B52983" t="s">
        <v>1</v>
      </c>
    </row>
    <row r="52984" spans="1:4" x14ac:dyDescent="0.2">
      <c r="B52984" t="s">
        <v>3920</v>
      </c>
    </row>
    <row r="52986" spans="1:4" x14ac:dyDescent="0.2">
      <c r="A52986" t="s">
        <v>16795</v>
      </c>
      <c r="B52986" t="str">
        <f>HYPERLINK("https://lindat.mff.cuni.cz/services/teitok/pdtc10/index.php?action=vallex&amp;frame=v-w7476f11_ZU", "uzavřít (v-w7476f11_ZU) - substituted with v-w7476f13_ZU")</f>
        <v>uzavřít (v-w7476f11_ZU) - substituted with v-w7476f13_ZU</v>
      </c>
    </row>
    <row r="52987" spans="1:4" x14ac:dyDescent="0.2">
      <c r="B52987" t="s">
        <v>1</v>
      </c>
    </row>
    <row r="52988" spans="1:4" x14ac:dyDescent="0.2">
      <c r="B52988" t="s">
        <v>3920</v>
      </c>
    </row>
    <row r="52990" spans="1:4" x14ac:dyDescent="0.2">
      <c r="A52990" t="s">
        <v>16796</v>
      </c>
      <c r="B52990" t="str">
        <f>HYPERLINK("https://lindat.mff.cuni.cz/services/teitok/pdtc10/index.php?action=vallex&amp;frame=v-w7476f17_ZU", "uzavřít (v-w7476f17_ZU)")</f>
        <v>uzavřít (v-w7476f17_ZU)</v>
      </c>
    </row>
    <row r="52991" spans="1:4" x14ac:dyDescent="0.2">
      <c r="B52991" t="s">
        <v>1</v>
      </c>
    </row>
    <row r="52992" spans="1:4" x14ac:dyDescent="0.2">
      <c r="B52992" t="s">
        <v>8</v>
      </c>
    </row>
    <row r="52993" spans="1:4" x14ac:dyDescent="0.2">
      <c r="B52993" t="s">
        <v>889</v>
      </c>
    </row>
    <row r="52995" spans="1:4" x14ac:dyDescent="0.2">
      <c r="A52995" t="s">
        <v>16797</v>
      </c>
      <c r="B52995" t="str">
        <f>HYPERLINK("https://lindat.mff.cuni.cz/services/teitok/pdtc10/index.php?action=vallex&amp;frame=v-w7477f1", "uzavřít se (v-w7477f1)")</f>
        <v>uzavřít se (v-w7477f1)</v>
      </c>
    </row>
    <row r="52996" spans="1:4" x14ac:dyDescent="0.2">
      <c r="B52996" t="s">
        <v>1</v>
      </c>
      <c r="C52996" t="s">
        <v>579</v>
      </c>
    </row>
    <row r="52997" spans="1:4" x14ac:dyDescent="0.2">
      <c r="B52997" t="s">
        <v>16772</v>
      </c>
      <c r="C52997" t="s">
        <v>1301</v>
      </c>
      <c r="D52997" t="s">
        <v>1301</v>
      </c>
    </row>
    <row r="52999" spans="1:4" x14ac:dyDescent="0.2">
      <c r="A52999" t="s">
        <v>16798</v>
      </c>
      <c r="B52999" t="str">
        <f>HYPERLINK("https://lindat.mff.cuni.cz/services/teitok/pdtc10/index.php?action=vallex&amp;frame=v-w10553f2", "uzdravit (v-w10553f2)")</f>
        <v>uzdravit (v-w10553f2)</v>
      </c>
    </row>
    <row r="53000" spans="1:4" x14ac:dyDescent="0.2">
      <c r="B53000" t="s">
        <v>1</v>
      </c>
    </row>
    <row r="53001" spans="1:4" x14ac:dyDescent="0.2">
      <c r="B53001" t="s">
        <v>8</v>
      </c>
    </row>
    <row r="53003" spans="1:4" x14ac:dyDescent="0.2">
      <c r="A53003" t="s">
        <v>16799</v>
      </c>
      <c r="B53003" t="str">
        <f>HYPERLINK("https://lindat.mff.cuni.cz/services/teitok/pdtc10/index.php?action=vallex&amp;frame=v-w11341f1", "uzdravit se (v-w11341f1)")</f>
        <v>uzdravit se (v-w11341f1)</v>
      </c>
    </row>
    <row r="53004" spans="1:4" x14ac:dyDescent="0.2">
      <c r="B53004" t="s">
        <v>1</v>
      </c>
      <c r="C53004" t="s">
        <v>133</v>
      </c>
      <c r="D53004" t="s">
        <v>23062</v>
      </c>
    </row>
    <row r="53006" spans="1:4" x14ac:dyDescent="0.2">
      <c r="A53006" t="s">
        <v>16800</v>
      </c>
      <c r="B53006" t="str">
        <f>HYPERLINK("https://lindat.mff.cuni.cz/services/teitok/pdtc10/index.php?action=vallex&amp;frame=v-w7480f1", "uzdravovat (v-w7480f1)")</f>
        <v>uzdravovat (v-w7480f1)</v>
      </c>
    </row>
    <row r="53007" spans="1:4" x14ac:dyDescent="0.2">
      <c r="B53007" t="s">
        <v>1</v>
      </c>
    </row>
    <row r="53008" spans="1:4" x14ac:dyDescent="0.2">
      <c r="B53008" t="s">
        <v>8</v>
      </c>
    </row>
    <row r="53010" spans="1:2" x14ac:dyDescent="0.2">
      <c r="A53010" t="s">
        <v>16801</v>
      </c>
      <c r="B53010" t="str">
        <f>HYPERLINK("https://lindat.mff.cuni.cz/services/teitok/pdtc10/index.php?action=vallex&amp;frame=v-w7480f2", "uzdravovat (v-w7480f2)")</f>
        <v>uzdravovat (v-w7480f2)</v>
      </c>
    </row>
    <row r="53011" spans="1:2" x14ac:dyDescent="0.2">
      <c r="B53011" t="s">
        <v>1</v>
      </c>
    </row>
    <row r="53012" spans="1:2" x14ac:dyDescent="0.2">
      <c r="B53012" t="s">
        <v>58</v>
      </c>
    </row>
    <row r="53013" spans="1:2" x14ac:dyDescent="0.2">
      <c r="B53013" t="s">
        <v>438</v>
      </c>
    </row>
    <row r="53015" spans="1:2" x14ac:dyDescent="0.2">
      <c r="A53015" t="s">
        <v>16802</v>
      </c>
      <c r="B53015" t="str">
        <f>HYPERLINK("https://lindat.mff.cuni.cz/services/teitok/pdtc10/index.php?action=vallex&amp;frame=v-whsa_108hsa_109", "uzdravovat se (v-whsa_108hsa_109)")</f>
        <v>uzdravovat se (v-whsa_108hsa_109)</v>
      </c>
    </row>
    <row r="53016" spans="1:2" x14ac:dyDescent="0.2">
      <c r="B53016" t="s">
        <v>1</v>
      </c>
    </row>
    <row r="53017" spans="1:2" x14ac:dyDescent="0.2">
      <c r="B53017" t="s">
        <v>438</v>
      </c>
    </row>
    <row r="53019" spans="1:2" x14ac:dyDescent="0.2">
      <c r="A53019" t="s">
        <v>16803</v>
      </c>
      <c r="B53019" t="str">
        <f>HYPERLINK("https://lindat.mff.cuni.cz/services/teitok/pdtc10/index.php?action=vallex&amp;frame=v-w7481f1", "uzemnit (v-w7481f1)")</f>
        <v>uzemnit (v-w7481f1)</v>
      </c>
    </row>
    <row r="53020" spans="1:2" x14ac:dyDescent="0.2">
      <c r="B53020" t="s">
        <v>1</v>
      </c>
    </row>
    <row r="53021" spans="1:2" x14ac:dyDescent="0.2">
      <c r="B53021" t="s">
        <v>8</v>
      </c>
    </row>
    <row r="53023" spans="1:2" x14ac:dyDescent="0.2">
      <c r="A53023" t="s">
        <v>16804</v>
      </c>
      <c r="B53023" t="str">
        <f>HYPERLINK("https://lindat.mff.cuni.cz/services/teitok/pdtc10/index.php?action=vallex&amp;frame=v-w7483f1", "uzlit se (v-w7483f1)")</f>
        <v>uzlit se (v-w7483f1)</v>
      </c>
    </row>
    <row r="53024" spans="1:2" x14ac:dyDescent="0.2">
      <c r="B53024" t="s">
        <v>1</v>
      </c>
    </row>
    <row r="53026" spans="1:4" x14ac:dyDescent="0.2">
      <c r="A53026" t="s">
        <v>16805</v>
      </c>
      <c r="B53026" t="str">
        <f>HYPERLINK("https://lindat.mff.cuni.cz/services/teitok/pdtc10/index.php?action=vallex&amp;frame=v-w7486f4_MM", "uznat (v-w7486f4_MM)")</f>
        <v>uznat (v-w7486f4_MM)</v>
      </c>
    </row>
    <row r="53027" spans="1:4" x14ac:dyDescent="0.2">
      <c r="B53027" t="s">
        <v>1</v>
      </c>
    </row>
    <row r="53028" spans="1:4" x14ac:dyDescent="0.2">
      <c r="B53028" t="s">
        <v>228</v>
      </c>
    </row>
    <row r="53029" spans="1:4" x14ac:dyDescent="0.2">
      <c r="B53029" t="s">
        <v>16806</v>
      </c>
    </row>
    <row r="53031" spans="1:4" x14ac:dyDescent="0.2">
      <c r="A53031" t="s">
        <v>16805</v>
      </c>
      <c r="B53031" t="str">
        <f>HYPERLINK("https://lindat.mff.cuni.cz/services/teitok/pdtc10/index.php?action=vallex&amp;frame=v-w7486f2", "uznat (v-w7486f2) - substituted with v-w7486f4_MM")</f>
        <v>uznat (v-w7486f2) - substituted with v-w7486f4_MM</v>
      </c>
    </row>
    <row r="53032" spans="1:4" x14ac:dyDescent="0.2">
      <c r="B53032" t="s">
        <v>1</v>
      </c>
      <c r="C53032" t="s">
        <v>3637</v>
      </c>
    </row>
    <row r="53033" spans="1:4" x14ac:dyDescent="0.2">
      <c r="B53033" t="s">
        <v>228</v>
      </c>
      <c r="C53033" t="s">
        <v>16807</v>
      </c>
    </row>
    <row r="53034" spans="1:4" x14ac:dyDescent="0.2">
      <c r="B53034" t="s">
        <v>16806</v>
      </c>
      <c r="C53034" t="s">
        <v>16808</v>
      </c>
    </row>
    <row r="53036" spans="1:4" x14ac:dyDescent="0.2">
      <c r="A53036" t="s">
        <v>16809</v>
      </c>
      <c r="B53036" t="str">
        <f>HYPERLINK("https://lindat.mff.cuni.cz/services/teitok/pdtc10/index.php?action=vallex&amp;frame=v-w7486f3_ZU", "uznat (v-w7486f3_ZU)")</f>
        <v>uznat (v-w7486f3_ZU)</v>
      </c>
    </row>
    <row r="53037" spans="1:4" x14ac:dyDescent="0.2">
      <c r="B53037" t="s">
        <v>1</v>
      </c>
      <c r="C53037" t="s">
        <v>22</v>
      </c>
      <c r="D53037" t="s">
        <v>23213</v>
      </c>
    </row>
    <row r="53038" spans="1:4" x14ac:dyDescent="0.2">
      <c r="B53038" t="s">
        <v>41</v>
      </c>
      <c r="C53038" t="s">
        <v>56</v>
      </c>
      <c r="D53038" t="s">
        <v>23229</v>
      </c>
    </row>
    <row r="53040" spans="1:4" x14ac:dyDescent="0.2">
      <c r="A53040" t="s">
        <v>16809</v>
      </c>
      <c r="B53040" t="str">
        <f>HYPERLINK("https://lindat.mff.cuni.cz/services/teitok/pdtc10/index.php?action=vallex&amp;frame=v-w7486f1", "uznat (v-w7486f1) - substituted with v-w7486f3_ZU")</f>
        <v>uznat (v-w7486f1) - substituted with v-w7486f3_ZU</v>
      </c>
    </row>
    <row r="53041" spans="1:4" x14ac:dyDescent="0.2">
      <c r="B53041" t="s">
        <v>1</v>
      </c>
      <c r="C53041" t="s">
        <v>16810</v>
      </c>
    </row>
    <row r="53042" spans="1:4" x14ac:dyDescent="0.2">
      <c r="B53042" t="s">
        <v>41</v>
      </c>
      <c r="C53042" t="s">
        <v>16811</v>
      </c>
    </row>
    <row r="53044" spans="1:4" x14ac:dyDescent="0.2">
      <c r="A53044" t="s">
        <v>16812</v>
      </c>
      <c r="B53044" t="str">
        <f>HYPERLINK("https://lindat.mff.cuni.cz/services/teitok/pdtc10/index.php?action=vallex&amp;frame=v-w7486hsa_531", "uznat (v-w7486hsa_531)")</f>
        <v>uznat (v-w7486hsa_531)</v>
      </c>
    </row>
    <row r="53045" spans="1:4" x14ac:dyDescent="0.2">
      <c r="B53045" t="s">
        <v>1</v>
      </c>
    </row>
    <row r="53046" spans="1:4" x14ac:dyDescent="0.2">
      <c r="B53046" t="s">
        <v>41</v>
      </c>
    </row>
    <row r="53048" spans="1:4" x14ac:dyDescent="0.2">
      <c r="A53048" t="s">
        <v>16813</v>
      </c>
      <c r="B53048" t="str">
        <f>HYPERLINK("https://lindat.mff.cuni.cz/services/teitok/pdtc10/index.php?action=vallex&amp;frame=v-w7489f2", "uznávat (v-w7489f2)")</f>
        <v>uznávat (v-w7489f2)</v>
      </c>
    </row>
    <row r="53049" spans="1:4" x14ac:dyDescent="0.2">
      <c r="B53049" t="s">
        <v>1</v>
      </c>
      <c r="C53049" t="s">
        <v>83</v>
      </c>
    </row>
    <row r="53050" spans="1:4" x14ac:dyDescent="0.2">
      <c r="B53050" t="s">
        <v>228</v>
      </c>
      <c r="C53050" t="s">
        <v>56</v>
      </c>
    </row>
    <row r="53051" spans="1:4" x14ac:dyDescent="0.2">
      <c r="B53051" t="s">
        <v>11364</v>
      </c>
      <c r="C53051" t="s">
        <v>16814</v>
      </c>
    </row>
    <row r="53053" spans="1:4" x14ac:dyDescent="0.2">
      <c r="A53053" t="s">
        <v>16815</v>
      </c>
      <c r="B53053" t="str">
        <f>HYPERLINK("https://lindat.mff.cuni.cz/services/teitok/pdtc10/index.php?action=vallex&amp;frame=v-w7489f1", "uznávat (v-w7489f1)")</f>
        <v>uznávat (v-w7489f1)</v>
      </c>
    </row>
    <row r="53054" spans="1:4" x14ac:dyDescent="0.2">
      <c r="B53054" t="s">
        <v>1</v>
      </c>
      <c r="C53054" t="s">
        <v>16816</v>
      </c>
      <c r="D53054" t="s">
        <v>23213</v>
      </c>
    </row>
    <row r="53055" spans="1:4" x14ac:dyDescent="0.2">
      <c r="B53055" t="s">
        <v>41</v>
      </c>
      <c r="C53055" t="s">
        <v>11241</v>
      </c>
      <c r="D53055" t="s">
        <v>23229</v>
      </c>
    </row>
    <row r="53057" spans="1:2" x14ac:dyDescent="0.2">
      <c r="A53057" t="s">
        <v>16817</v>
      </c>
      <c r="B53057" t="str">
        <f>HYPERLINK("https://lindat.mff.cuni.cz/services/teitok/pdtc10/index.php?action=vallex&amp;frame=v-w10356f2", "uzobnout (v-w10356f2)")</f>
        <v>uzobnout (v-w10356f2)</v>
      </c>
    </row>
    <row r="53058" spans="1:2" x14ac:dyDescent="0.2">
      <c r="B53058" t="s">
        <v>1</v>
      </c>
    </row>
    <row r="53059" spans="1:2" x14ac:dyDescent="0.2">
      <c r="B53059" t="s">
        <v>8</v>
      </c>
    </row>
    <row r="53061" spans="1:2" x14ac:dyDescent="0.2">
      <c r="A53061" t="s">
        <v>16818</v>
      </c>
      <c r="B53061" t="str">
        <f>HYPERLINK("https://lindat.mff.cuni.cz/services/teitok/pdtc10/index.php?action=vallex&amp;frame=v-w10830f3", "uzpůsobit (v-w10830f3)")</f>
        <v>uzpůsobit (v-w10830f3)</v>
      </c>
    </row>
    <row r="53062" spans="1:2" x14ac:dyDescent="0.2">
      <c r="B53062" t="s">
        <v>1</v>
      </c>
    </row>
    <row r="53063" spans="1:2" x14ac:dyDescent="0.2">
      <c r="B53063" t="s">
        <v>8</v>
      </c>
    </row>
    <row r="53064" spans="1:2" x14ac:dyDescent="0.2">
      <c r="B53064" t="s">
        <v>35</v>
      </c>
    </row>
    <row r="53066" spans="1:2" x14ac:dyDescent="0.2">
      <c r="A53066" t="s">
        <v>16819</v>
      </c>
      <c r="B53066" t="str">
        <f>HYPERLINK("https://lindat.mff.cuni.cz/services/teitok/pdtc10/index.php?action=vallex&amp;frame=v-w10830f4_ZU", "uzpůsobit (v-w10830f4_ZU)")</f>
        <v>uzpůsobit (v-w10830f4_ZU)</v>
      </c>
    </row>
    <row r="53067" spans="1:2" x14ac:dyDescent="0.2">
      <c r="B53067" t="s">
        <v>1</v>
      </c>
    </row>
    <row r="53068" spans="1:2" x14ac:dyDescent="0.2">
      <c r="B53068" t="s">
        <v>8</v>
      </c>
    </row>
    <row r="53069" spans="1:2" x14ac:dyDescent="0.2">
      <c r="B53069" t="s">
        <v>24</v>
      </c>
    </row>
    <row r="53070" spans="1:2" x14ac:dyDescent="0.2">
      <c r="B53070" t="s">
        <v>25</v>
      </c>
    </row>
    <row r="53072" spans="1:2" x14ac:dyDescent="0.2">
      <c r="A53072" t="s">
        <v>16819</v>
      </c>
      <c r="B53072" t="str">
        <f>HYPERLINK("https://lindat.mff.cuni.cz/services/teitok/pdtc10/index.php?action=vallex&amp;frame=v-w10830f2", "uzpůsobit (v-w10830f2) - substituted with v-w10830f4_ZU")</f>
        <v>uzpůsobit (v-w10830f2) - substituted with v-w10830f4_ZU</v>
      </c>
    </row>
    <row r="53073" spans="1:4" x14ac:dyDescent="0.2">
      <c r="B53073" t="s">
        <v>1</v>
      </c>
      <c r="C53073" t="s">
        <v>22</v>
      </c>
      <c r="D53073" t="s">
        <v>22944</v>
      </c>
    </row>
    <row r="53074" spans="1:4" x14ac:dyDescent="0.2">
      <c r="B53074" t="s">
        <v>8</v>
      </c>
      <c r="C53074" t="s">
        <v>23</v>
      </c>
      <c r="D53074" t="s">
        <v>22945</v>
      </c>
    </row>
    <row r="53075" spans="1:4" x14ac:dyDescent="0.2">
      <c r="B53075" t="s">
        <v>24</v>
      </c>
      <c r="D53075" t="s">
        <v>22946</v>
      </c>
    </row>
    <row r="53076" spans="1:4" x14ac:dyDescent="0.2">
      <c r="B53076" t="s">
        <v>25</v>
      </c>
      <c r="D53076" t="s">
        <v>22947</v>
      </c>
    </row>
    <row r="53078" spans="1:4" x14ac:dyDescent="0.2">
      <c r="A53078" t="s">
        <v>16820</v>
      </c>
      <c r="B53078" t="str">
        <f>HYPERLINK("https://lindat.mff.cuni.cz/services/teitok/pdtc10/index.php?action=vallex&amp;frame=v-w10137f2", "uzrát (v-w10137f2)")</f>
        <v>uzrát (v-w10137f2)</v>
      </c>
    </row>
    <row r="53079" spans="1:4" x14ac:dyDescent="0.2">
      <c r="B53079" t="s">
        <v>1</v>
      </c>
      <c r="C53079" t="s">
        <v>11233</v>
      </c>
    </row>
    <row r="53081" spans="1:4" x14ac:dyDescent="0.2">
      <c r="A53081" t="s">
        <v>16821</v>
      </c>
      <c r="B53081" t="str">
        <f>HYPERLINK("https://lindat.mff.cuni.cz/services/teitok/pdtc10/index.php?action=vallex&amp;frame=v-w11614_ZUf1_ZU", "uzurpovat (v-w11614_ZUf1_ZU)")</f>
        <v>uzurpovat (v-w11614_ZUf1_ZU)</v>
      </c>
    </row>
    <row r="53082" spans="1:4" x14ac:dyDescent="0.2">
      <c r="B53082" t="s">
        <v>1</v>
      </c>
      <c r="C53082" t="s">
        <v>140</v>
      </c>
      <c r="D53082" t="s">
        <v>294</v>
      </c>
    </row>
    <row r="53083" spans="1:4" x14ac:dyDescent="0.2">
      <c r="B53083" t="s">
        <v>8</v>
      </c>
      <c r="C53083" t="s">
        <v>34</v>
      </c>
      <c r="D53083" t="s">
        <v>6566</v>
      </c>
    </row>
    <row r="53085" spans="1:4" x14ac:dyDescent="0.2">
      <c r="A53085" t="s">
        <v>16822</v>
      </c>
      <c r="B53085" t="str">
        <f>HYPERLINK("https://lindat.mff.cuni.cz/services/teitok/pdtc10/index.php?action=vallex&amp;frame=v-w7468f1", "uzákonit (v-w7468f1)")</f>
        <v>uzákonit (v-w7468f1)</v>
      </c>
    </row>
    <row r="53086" spans="1:4" x14ac:dyDescent="0.2">
      <c r="B53086" t="s">
        <v>1</v>
      </c>
      <c r="C53086" t="s">
        <v>109</v>
      </c>
      <c r="D53086" t="s">
        <v>430</v>
      </c>
    </row>
    <row r="53087" spans="1:4" x14ac:dyDescent="0.2">
      <c r="B53087" t="s">
        <v>1284</v>
      </c>
      <c r="C53087" t="s">
        <v>1750</v>
      </c>
      <c r="D53087" t="s">
        <v>969</v>
      </c>
    </row>
    <row r="53089" spans="1:4" x14ac:dyDescent="0.2">
      <c r="A53089" t="s">
        <v>16823</v>
      </c>
      <c r="B53089" t="str">
        <f>HYPERLINK("https://lindat.mff.cuni.cz/services/teitok/pdtc10/index.php?action=vallex&amp;frame=v-w10988f2", "uzákoňovat (v-w10988f2)")</f>
        <v>uzákoňovat (v-w10988f2)</v>
      </c>
    </row>
    <row r="53090" spans="1:4" x14ac:dyDescent="0.2">
      <c r="B53090" t="s">
        <v>1</v>
      </c>
      <c r="C53090" t="s">
        <v>990</v>
      </c>
      <c r="D53090" t="s">
        <v>430</v>
      </c>
    </row>
    <row r="53091" spans="1:4" x14ac:dyDescent="0.2">
      <c r="B53091" t="s">
        <v>1284</v>
      </c>
      <c r="C53091" t="s">
        <v>11355</v>
      </c>
      <c r="D53091" t="s">
        <v>969</v>
      </c>
    </row>
    <row r="53093" spans="1:4" x14ac:dyDescent="0.2">
      <c r="A53093" t="s">
        <v>16824</v>
      </c>
      <c r="B53093" t="str">
        <f>HYPERLINK("https://lindat.mff.cuni.cz/services/teitok/pdtc10/index.php?action=vallex&amp;frame=v-w12277_ZUf1_ZU", "učarovat (v-w12277_ZUf1_ZU)")</f>
        <v>učarovat (v-w12277_ZUf1_ZU)</v>
      </c>
    </row>
    <row r="53094" spans="1:4" x14ac:dyDescent="0.2">
      <c r="B53094" t="s">
        <v>455</v>
      </c>
    </row>
    <row r="53095" spans="1:4" x14ac:dyDescent="0.2">
      <c r="B53095" t="s">
        <v>243</v>
      </c>
    </row>
    <row r="53097" spans="1:4" x14ac:dyDescent="0.2">
      <c r="A53097" t="s">
        <v>16825</v>
      </c>
      <c r="B53097" t="str">
        <f>HYPERLINK("https://lindat.mff.cuni.cz/services/teitok/pdtc10/index.php?action=vallex&amp;frame=v-w12315_MMf1_MM", "učesat (v-w12315_MMf1_MM)")</f>
        <v>učesat (v-w12315_MMf1_MM)</v>
      </c>
    </row>
    <row r="53098" spans="1:4" x14ac:dyDescent="0.2">
      <c r="B53098" t="s">
        <v>1</v>
      </c>
    </row>
    <row r="53099" spans="1:4" x14ac:dyDescent="0.2">
      <c r="B53099" t="s">
        <v>8</v>
      </c>
    </row>
    <row r="53101" spans="1:4" x14ac:dyDescent="0.2">
      <c r="A53101" t="s">
        <v>16826</v>
      </c>
      <c r="B53101" t="str">
        <f>HYPERLINK("https://lindat.mff.cuni.cz/services/teitok/pdtc10/index.php?action=vallex&amp;frame=v-w6999f8", "učinit (v-w6999f8)")</f>
        <v>učinit (v-w6999f8)</v>
      </c>
    </row>
    <row r="53102" spans="1:4" x14ac:dyDescent="0.2">
      <c r="B53102" t="s">
        <v>1</v>
      </c>
    </row>
    <row r="53103" spans="1:4" x14ac:dyDescent="0.2">
      <c r="B53103" t="s">
        <v>8</v>
      </c>
    </row>
    <row r="53104" spans="1:4" x14ac:dyDescent="0.2">
      <c r="B53104" t="s">
        <v>35</v>
      </c>
    </row>
    <row r="53106" spans="1:4" x14ac:dyDescent="0.2">
      <c r="A53106" t="s">
        <v>16827</v>
      </c>
      <c r="B53106" t="str">
        <f>HYPERLINK("https://lindat.mff.cuni.cz/services/teitok/pdtc10/index.php?action=vallex&amp;frame=v-w6999f3", "učinit (v-w6999f3)")</f>
        <v>učinit (v-w6999f3)</v>
      </c>
    </row>
    <row r="53107" spans="1:4" x14ac:dyDescent="0.2">
      <c r="B53107" t="s">
        <v>1</v>
      </c>
      <c r="C53107" t="s">
        <v>2787</v>
      </c>
    </row>
    <row r="53108" spans="1:4" x14ac:dyDescent="0.2">
      <c r="B53108" t="s">
        <v>8</v>
      </c>
      <c r="C53108" t="s">
        <v>12754</v>
      </c>
    </row>
    <row r="53109" spans="1:4" x14ac:dyDescent="0.2">
      <c r="B53109" t="s">
        <v>24</v>
      </c>
      <c r="C53109" t="s">
        <v>16828</v>
      </c>
    </row>
    <row r="53111" spans="1:4" x14ac:dyDescent="0.2">
      <c r="A53111" t="s">
        <v>16829</v>
      </c>
      <c r="B53111" t="str">
        <f>HYPERLINK("https://lindat.mff.cuni.cz/services/teitok/pdtc10/index.php?action=vallex&amp;frame=v-w6999f16_ZU", "učinit (v-w6999f16_ZU)")</f>
        <v>učinit (v-w6999f16_ZU)</v>
      </c>
    </row>
    <row r="53112" spans="1:4" x14ac:dyDescent="0.2">
      <c r="B53112" t="s">
        <v>1</v>
      </c>
      <c r="C53112" t="s">
        <v>2787</v>
      </c>
      <c r="D53112" t="s">
        <v>33</v>
      </c>
    </row>
    <row r="53113" spans="1:4" x14ac:dyDescent="0.2">
      <c r="B53113" t="s">
        <v>228</v>
      </c>
      <c r="C53113" t="s">
        <v>2788</v>
      </c>
      <c r="D53113" t="s">
        <v>34</v>
      </c>
    </row>
    <row r="53114" spans="1:4" x14ac:dyDescent="0.2">
      <c r="B53114" t="s">
        <v>15827</v>
      </c>
      <c r="C53114" t="s">
        <v>2924</v>
      </c>
      <c r="D53114" t="s">
        <v>1290</v>
      </c>
    </row>
    <row r="53115" spans="1:4" x14ac:dyDescent="0.2">
      <c r="B53115" t="s">
        <v>24</v>
      </c>
    </row>
    <row r="53117" spans="1:4" x14ac:dyDescent="0.2">
      <c r="A53117" t="s">
        <v>16829</v>
      </c>
      <c r="B53117" t="str">
        <f>HYPERLINK("https://lindat.mff.cuni.cz/services/teitok/pdtc10/index.php?action=vallex&amp;frame=v-w6999f4", "učinit (v-w6999f4) - substituted with v-w6999f16_ZU")</f>
        <v>učinit (v-w6999f4) - substituted with v-w6999f16_ZU</v>
      </c>
    </row>
    <row r="53118" spans="1:4" x14ac:dyDescent="0.2">
      <c r="B53118" t="s">
        <v>1</v>
      </c>
      <c r="C53118" t="s">
        <v>1667</v>
      </c>
    </row>
    <row r="53119" spans="1:4" x14ac:dyDescent="0.2">
      <c r="B53119" t="s">
        <v>228</v>
      </c>
      <c r="C53119" t="s">
        <v>16830</v>
      </c>
    </row>
    <row r="53120" spans="1:4" x14ac:dyDescent="0.2">
      <c r="B53120" t="s">
        <v>15827</v>
      </c>
      <c r="C53120" t="s">
        <v>16831</v>
      </c>
    </row>
    <row r="53121" spans="1:4" x14ac:dyDescent="0.2">
      <c r="B53121" t="s">
        <v>24</v>
      </c>
    </row>
    <row r="53123" spans="1:4" x14ac:dyDescent="0.2">
      <c r="A53123" t="s">
        <v>16832</v>
      </c>
      <c r="B53123" t="str">
        <f>HYPERLINK("https://lindat.mff.cuni.cz/services/teitok/pdtc10/index.php?action=vallex&amp;frame=v-w6999f1", "učinit (v-w6999f1)")</f>
        <v>učinit (v-w6999f1)</v>
      </c>
    </row>
    <row r="53124" spans="1:4" x14ac:dyDescent="0.2">
      <c r="B53124" t="s">
        <v>1</v>
      </c>
      <c r="C53124" t="s">
        <v>16833</v>
      </c>
      <c r="D53124" t="s">
        <v>24252</v>
      </c>
    </row>
    <row r="53125" spans="1:4" x14ac:dyDescent="0.2">
      <c r="B53125" t="s">
        <v>2934</v>
      </c>
      <c r="C53125" t="s">
        <v>16834</v>
      </c>
      <c r="D53125" t="s">
        <v>24253</v>
      </c>
    </row>
    <row r="53127" spans="1:4" x14ac:dyDescent="0.2">
      <c r="A53127" t="s">
        <v>16835</v>
      </c>
      <c r="B53127" t="str">
        <f>HYPERLINK("https://lindat.mff.cuni.cz/services/teitok/pdtc10/index.php?action=vallex&amp;frame=v-w6999f12", "učinit (v-w6999f12)")</f>
        <v>učinit (v-w6999f12)</v>
      </c>
    </row>
    <row r="53128" spans="1:4" x14ac:dyDescent="0.2">
      <c r="B53128" t="s">
        <v>1</v>
      </c>
    </row>
    <row r="53129" spans="1:4" x14ac:dyDescent="0.2">
      <c r="B53129" t="s">
        <v>2949</v>
      </c>
    </row>
    <row r="53130" spans="1:4" x14ac:dyDescent="0.2">
      <c r="B53130" t="s">
        <v>88</v>
      </c>
    </row>
    <row r="53132" spans="1:4" x14ac:dyDescent="0.2">
      <c r="A53132" t="s">
        <v>16836</v>
      </c>
      <c r="B53132" t="str">
        <f>HYPERLINK("https://lindat.mff.cuni.cz/services/teitok/pdtc10/index.php?action=vallex&amp;frame=v-w6999f10", "učinit (v-w6999f10)")</f>
        <v>učinit (v-w6999f10)</v>
      </c>
    </row>
    <row r="53133" spans="1:4" x14ac:dyDescent="0.2">
      <c r="B53133" t="s">
        <v>1</v>
      </c>
    </row>
    <row r="53134" spans="1:4" x14ac:dyDescent="0.2">
      <c r="B53134" t="s">
        <v>16837</v>
      </c>
    </row>
    <row r="53135" spans="1:4" x14ac:dyDescent="0.2">
      <c r="B53135" t="s">
        <v>35</v>
      </c>
    </row>
    <row r="53137" spans="1:4" x14ac:dyDescent="0.2">
      <c r="A53137" t="s">
        <v>16838</v>
      </c>
      <c r="B53137" t="str">
        <f>HYPERLINK("https://lindat.mff.cuni.cz/services/teitok/pdtc10/index.php?action=vallex&amp;frame=v-w6999f18_ZU", "učinit (v-w6999f18_ZU)")</f>
        <v>učinit (v-w6999f18_ZU)</v>
      </c>
    </row>
    <row r="53138" spans="1:4" x14ac:dyDescent="0.2">
      <c r="B53138" t="s">
        <v>1</v>
      </c>
      <c r="D53138" t="s">
        <v>24318</v>
      </c>
    </row>
    <row r="53139" spans="1:4" x14ac:dyDescent="0.2">
      <c r="B53139" t="s">
        <v>16839</v>
      </c>
      <c r="D53139" t="s">
        <v>24319</v>
      </c>
    </row>
    <row r="53140" spans="1:4" x14ac:dyDescent="0.2">
      <c r="B53140" t="s">
        <v>78</v>
      </c>
      <c r="D53140" t="s">
        <v>24320</v>
      </c>
    </row>
    <row r="53142" spans="1:4" x14ac:dyDescent="0.2">
      <c r="A53142" t="s">
        <v>16838</v>
      </c>
      <c r="B53142" t="str">
        <f>HYPERLINK("https://lindat.mff.cuni.cz/services/teitok/pdtc10/index.php?action=vallex&amp;frame=v-w6999f5", "učinit (v-w6999f5) - substituted with v-w6999f18_ZU")</f>
        <v>učinit (v-w6999f5) - substituted with v-w6999f18_ZU</v>
      </c>
    </row>
    <row r="53143" spans="1:4" x14ac:dyDescent="0.2">
      <c r="B53143" t="s">
        <v>1</v>
      </c>
      <c r="C53143" t="s">
        <v>16840</v>
      </c>
    </row>
    <row r="53144" spans="1:4" x14ac:dyDescent="0.2">
      <c r="B53144" t="s">
        <v>16839</v>
      </c>
      <c r="C53144" t="s">
        <v>16841</v>
      </c>
    </row>
    <row r="53145" spans="1:4" x14ac:dyDescent="0.2">
      <c r="B53145" t="s">
        <v>78</v>
      </c>
      <c r="C53145" t="s">
        <v>16842</v>
      </c>
    </row>
    <row r="53147" spans="1:4" x14ac:dyDescent="0.2">
      <c r="A53147" t="s">
        <v>16843</v>
      </c>
      <c r="B53147" t="str">
        <f>HYPERLINK("https://lindat.mff.cuni.cz/services/teitok/pdtc10/index.php?action=vallex&amp;frame=v-w6999f6", "učinit (v-w6999f6)")</f>
        <v>učinit (v-w6999f6)</v>
      </c>
    </row>
    <row r="53148" spans="1:4" x14ac:dyDescent="0.2">
      <c r="B53148" t="s">
        <v>1</v>
      </c>
      <c r="C53148" t="s">
        <v>430</v>
      </c>
    </row>
    <row r="53149" spans="1:4" x14ac:dyDescent="0.2">
      <c r="B53149" t="s">
        <v>16844</v>
      </c>
      <c r="C53149" t="s">
        <v>16845</v>
      </c>
    </row>
    <row r="53150" spans="1:4" x14ac:dyDescent="0.2">
      <c r="B53150" t="s">
        <v>2918</v>
      </c>
    </row>
    <row r="53152" spans="1:4" x14ac:dyDescent="0.2">
      <c r="A53152" t="s">
        <v>16846</v>
      </c>
      <c r="B53152" t="str">
        <f>HYPERLINK("https://lindat.mff.cuni.cz/services/teitok/pdtc10/index.php?action=vallex&amp;frame=v-w6999f17_ZU", "učinit (v-w6999f17_ZU)")</f>
        <v>učinit (v-w6999f17_ZU)</v>
      </c>
    </row>
    <row r="53153" spans="1:4" x14ac:dyDescent="0.2">
      <c r="B53153" t="s">
        <v>1</v>
      </c>
      <c r="C53153" t="s">
        <v>6388</v>
      </c>
      <c r="D53153" t="s">
        <v>1792</v>
      </c>
    </row>
    <row r="53154" spans="1:4" x14ac:dyDescent="0.2">
      <c r="B53154" t="s">
        <v>16847</v>
      </c>
      <c r="C53154" t="s">
        <v>16848</v>
      </c>
      <c r="D53154" t="s">
        <v>23804</v>
      </c>
    </row>
    <row r="53156" spans="1:4" x14ac:dyDescent="0.2">
      <c r="A53156" t="s">
        <v>16846</v>
      </c>
      <c r="B53156" t="str">
        <f>HYPERLINK("https://lindat.mff.cuni.cz/services/teitok/pdtc10/index.php?action=vallex&amp;frame=v-w6999f13_ZU", "učinit (v-w6999f13_ZU) - substituted with v-w6999f17_ZU")</f>
        <v>učinit (v-w6999f13_ZU) - substituted with v-w6999f17_ZU</v>
      </c>
    </row>
    <row r="53157" spans="1:4" x14ac:dyDescent="0.2">
      <c r="B53157" t="s">
        <v>1</v>
      </c>
      <c r="C53157" t="s">
        <v>6388</v>
      </c>
    </row>
    <row r="53158" spans="1:4" x14ac:dyDescent="0.2">
      <c r="B53158" t="s">
        <v>16847</v>
      </c>
      <c r="C53158" t="s">
        <v>16849</v>
      </c>
    </row>
    <row r="53160" spans="1:4" x14ac:dyDescent="0.2">
      <c r="A53160" t="s">
        <v>16846</v>
      </c>
      <c r="B53160" t="str">
        <f>HYPERLINK("https://lindat.mff.cuni.cz/services/teitok/pdtc10/index.php?action=vallex&amp;frame=v-w6999f14_ZU", "učinit (v-w6999f14_ZU) - substituted with v-w6999f17_ZU")</f>
        <v>učinit (v-w6999f14_ZU) - substituted with v-w6999f17_ZU</v>
      </c>
    </row>
    <row r="53161" spans="1:4" x14ac:dyDescent="0.2">
      <c r="B53161" t="s">
        <v>1</v>
      </c>
    </row>
    <row r="53162" spans="1:4" x14ac:dyDescent="0.2">
      <c r="B53162" t="s">
        <v>16847</v>
      </c>
    </row>
    <row r="53164" spans="1:4" x14ac:dyDescent="0.2">
      <c r="A53164" t="s">
        <v>16846</v>
      </c>
      <c r="B53164" t="str">
        <f>HYPERLINK("https://lindat.mff.cuni.cz/services/teitok/pdtc10/index.php?action=vallex&amp;frame=v-w6999f15_ZU", "učinit (v-w6999f15_ZU) - substituted with v-w6999f17_ZU")</f>
        <v>učinit (v-w6999f15_ZU) - substituted with v-w6999f17_ZU</v>
      </c>
    </row>
    <row r="53165" spans="1:4" x14ac:dyDescent="0.2">
      <c r="B53165" t="s">
        <v>1</v>
      </c>
      <c r="C53165" t="s">
        <v>16850</v>
      </c>
    </row>
    <row r="53166" spans="1:4" x14ac:dyDescent="0.2">
      <c r="B53166" t="s">
        <v>16847</v>
      </c>
      <c r="C53166" t="s">
        <v>16851</v>
      </c>
    </row>
    <row r="53168" spans="1:4" x14ac:dyDescent="0.2">
      <c r="A53168" t="s">
        <v>16846</v>
      </c>
      <c r="B53168" t="str">
        <f>HYPERLINK("https://lindat.mff.cuni.cz/services/teitok/pdtc10/index.php?action=vallex&amp;frame=v-w6999f2", "učinit (v-w6999f2) - substituted with v-w6999f17_ZU")</f>
        <v>učinit (v-w6999f2) - substituted with v-w6999f17_ZU</v>
      </c>
    </row>
    <row r="53169" spans="1:3" x14ac:dyDescent="0.2">
      <c r="B53169" t="s">
        <v>1</v>
      </c>
      <c r="C53169" t="s">
        <v>16852</v>
      </c>
    </row>
    <row r="53170" spans="1:3" x14ac:dyDescent="0.2">
      <c r="B53170" t="s">
        <v>16847</v>
      </c>
      <c r="C53170" t="s">
        <v>16853</v>
      </c>
    </row>
    <row r="53172" spans="1:3" x14ac:dyDescent="0.2">
      <c r="A53172" t="s">
        <v>16846</v>
      </c>
      <c r="B53172" t="str">
        <f>HYPERLINK("https://lindat.mff.cuni.cz/services/teitok/pdtc10/index.php?action=vallex&amp;frame=v-w6999hsa_1047", "učinit (v-w6999hsa_1047) - substituted with v-w6999f17_ZU")</f>
        <v>učinit (v-w6999hsa_1047) - substituted with v-w6999f17_ZU</v>
      </c>
    </row>
    <row r="53173" spans="1:3" x14ac:dyDescent="0.2">
      <c r="B53173" t="s">
        <v>1</v>
      </c>
      <c r="C53173" t="s">
        <v>16854</v>
      </c>
    </row>
    <row r="53174" spans="1:3" x14ac:dyDescent="0.2">
      <c r="B53174" t="s">
        <v>16847</v>
      </c>
      <c r="C53174" t="s">
        <v>16855</v>
      </c>
    </row>
    <row r="53176" spans="1:3" x14ac:dyDescent="0.2">
      <c r="A53176" t="s">
        <v>16856</v>
      </c>
      <c r="B53176" t="str">
        <f>HYPERLINK("https://lindat.mff.cuni.cz/services/teitok/pdtc10/index.php?action=vallex&amp;frame=v-w6999f7", "učinit (v-w6999f7)")</f>
        <v>učinit (v-w6999f7)</v>
      </c>
    </row>
    <row r="53177" spans="1:3" x14ac:dyDescent="0.2">
      <c r="B53177" t="s">
        <v>1</v>
      </c>
    </row>
    <row r="53178" spans="1:3" x14ac:dyDescent="0.2">
      <c r="B53178" t="s">
        <v>16857</v>
      </c>
    </row>
    <row r="53179" spans="1:3" x14ac:dyDescent="0.2">
      <c r="B53179" t="s">
        <v>103</v>
      </c>
    </row>
    <row r="53181" spans="1:3" x14ac:dyDescent="0.2">
      <c r="A53181" t="s">
        <v>16858</v>
      </c>
      <c r="B53181" t="str">
        <f>HYPERLINK("https://lindat.mff.cuni.cz/services/teitok/pdtc10/index.php?action=vallex&amp;frame=v-w6999f11", "učinit (v-w6999f11)")</f>
        <v>učinit (v-w6999f11)</v>
      </c>
    </row>
    <row r="53182" spans="1:3" x14ac:dyDescent="0.2">
      <c r="B53182" t="s">
        <v>1</v>
      </c>
    </row>
    <row r="53183" spans="1:3" x14ac:dyDescent="0.2">
      <c r="B53183" t="s">
        <v>16859</v>
      </c>
    </row>
    <row r="53185" spans="1:4" x14ac:dyDescent="0.2">
      <c r="A53185" t="s">
        <v>16860</v>
      </c>
      <c r="B53185" t="str">
        <f>HYPERLINK("https://lindat.mff.cuni.cz/services/teitok/pdtc10/index.php?action=vallex&amp;frame=v-w6999f9", "učinit (v-w6999f9)")</f>
        <v>učinit (v-w6999f9)</v>
      </c>
    </row>
    <row r="53186" spans="1:4" x14ac:dyDescent="0.2">
      <c r="B53186" t="s">
        <v>1</v>
      </c>
    </row>
    <row r="53187" spans="1:4" x14ac:dyDescent="0.2">
      <c r="B53187" t="s">
        <v>16861</v>
      </c>
    </row>
    <row r="53189" spans="1:4" x14ac:dyDescent="0.2">
      <c r="A53189" t="s">
        <v>16862</v>
      </c>
      <c r="B53189" t="str">
        <f>HYPERLINK("https://lindat.mff.cuni.cz/services/teitok/pdtc10/index.php?action=vallex&amp;frame=v-w11606_ZUf2_ZU", "učinit si (v-w11606_ZUf2_ZU)")</f>
        <v>učinit si (v-w11606_ZUf2_ZU)</v>
      </c>
    </row>
    <row r="53190" spans="1:4" x14ac:dyDescent="0.2">
      <c r="B53190" t="s">
        <v>1</v>
      </c>
      <c r="C53190" t="s">
        <v>11295</v>
      </c>
      <c r="D53190" t="s">
        <v>23008</v>
      </c>
    </row>
    <row r="53191" spans="1:4" x14ac:dyDescent="0.2">
      <c r="B53191" t="s">
        <v>16863</v>
      </c>
      <c r="C53191" t="s">
        <v>16864</v>
      </c>
      <c r="D53191" t="s">
        <v>24254</v>
      </c>
    </row>
    <row r="53193" spans="1:4" x14ac:dyDescent="0.2">
      <c r="A53193" t="s">
        <v>16862</v>
      </c>
      <c r="B53193" t="str">
        <f>HYPERLINK("https://lindat.mff.cuni.cz/services/teitok/pdtc10/index.php?action=vallex&amp;frame=v-w11606_ZUf1_ZU", "učinit si (v-w11606_ZUf1_ZU) - substituted with v-w11606_ZUf2_ZU")</f>
        <v>učinit si (v-w11606_ZUf1_ZU) - substituted with v-w11606_ZUf2_ZU</v>
      </c>
    </row>
    <row r="53194" spans="1:4" x14ac:dyDescent="0.2">
      <c r="B53194" t="s">
        <v>1</v>
      </c>
    </row>
    <row r="53195" spans="1:4" x14ac:dyDescent="0.2">
      <c r="B53195" t="s">
        <v>16863</v>
      </c>
    </row>
    <row r="53197" spans="1:4" x14ac:dyDescent="0.2">
      <c r="A53197" t="s">
        <v>16865</v>
      </c>
      <c r="B53197" t="str">
        <f>HYPERLINK("https://lindat.mff.cuni.cz/services/teitok/pdtc10/index.php?action=vallex&amp;frame=v-w7003f1", "učit (v-w7003f1)")</f>
        <v>učit (v-w7003f1)</v>
      </c>
    </row>
    <row r="53198" spans="1:4" x14ac:dyDescent="0.2">
      <c r="B53198" t="s">
        <v>1</v>
      </c>
      <c r="C53198" t="s">
        <v>1366</v>
      </c>
      <c r="D53198" t="s">
        <v>1106</v>
      </c>
    </row>
    <row r="53199" spans="1:4" x14ac:dyDescent="0.2">
      <c r="B53199" t="s">
        <v>16866</v>
      </c>
      <c r="C53199" t="s">
        <v>6243</v>
      </c>
      <c r="D53199" t="s">
        <v>23573</v>
      </c>
    </row>
    <row r="53200" spans="1:4" x14ac:dyDescent="0.2">
      <c r="B53200" t="s">
        <v>2194</v>
      </c>
      <c r="C53200" t="s">
        <v>16867</v>
      </c>
      <c r="D53200" t="s">
        <v>23574</v>
      </c>
    </row>
    <row r="53202" spans="1:3" x14ac:dyDescent="0.2">
      <c r="A53202" t="s">
        <v>16868</v>
      </c>
      <c r="B53202" t="str">
        <f>HYPERLINK("https://lindat.mff.cuni.cz/services/teitok/pdtc10/index.php?action=vallex&amp;frame=v-w7006f5_ZU", "učit se (v-w7006f5_ZU)")</f>
        <v>učit se (v-w7006f5_ZU)</v>
      </c>
    </row>
    <row r="53203" spans="1:3" x14ac:dyDescent="0.2">
      <c r="B53203" t="s">
        <v>1</v>
      </c>
    </row>
    <row r="53204" spans="1:3" x14ac:dyDescent="0.2">
      <c r="B53204" t="s">
        <v>2196</v>
      </c>
    </row>
    <row r="53205" spans="1:3" x14ac:dyDescent="0.2">
      <c r="B53205" t="s">
        <v>16869</v>
      </c>
    </row>
    <row r="53207" spans="1:3" x14ac:dyDescent="0.2">
      <c r="A53207" t="s">
        <v>16868</v>
      </c>
      <c r="B53207" t="str">
        <f>HYPERLINK("https://lindat.mff.cuni.cz/services/teitok/pdtc10/index.php?action=vallex&amp;frame=v-w7006f1", "učit se (v-w7006f1) - substituted with v-w7006f5_ZU")</f>
        <v>učit se (v-w7006f1) - substituted with v-w7006f5_ZU</v>
      </c>
    </row>
    <row r="53208" spans="1:3" x14ac:dyDescent="0.2">
      <c r="B53208" t="s">
        <v>1</v>
      </c>
      <c r="C53208" t="s">
        <v>16870</v>
      </c>
    </row>
    <row r="53209" spans="1:3" x14ac:dyDescent="0.2">
      <c r="B53209" t="s">
        <v>2196</v>
      </c>
      <c r="C53209" t="s">
        <v>6475</v>
      </c>
    </row>
    <row r="53210" spans="1:3" x14ac:dyDescent="0.2">
      <c r="B53210" t="s">
        <v>16869</v>
      </c>
      <c r="C53210" t="s">
        <v>2079</v>
      </c>
    </row>
    <row r="53212" spans="1:3" x14ac:dyDescent="0.2">
      <c r="A53212" t="s">
        <v>16871</v>
      </c>
      <c r="B53212" t="str">
        <f>HYPERLINK("https://lindat.mff.cuni.cz/services/teitok/pdtc10/index.php?action=vallex&amp;frame=v-w7006f8_ZU", "učit se (v-w7006f8_ZU)")</f>
        <v>učit se (v-w7006f8_ZU)</v>
      </c>
    </row>
    <row r="53213" spans="1:3" x14ac:dyDescent="0.2">
      <c r="B53213" t="s">
        <v>1</v>
      </c>
    </row>
    <row r="53214" spans="1:3" x14ac:dyDescent="0.2">
      <c r="B53214" t="s">
        <v>16872</v>
      </c>
    </row>
    <row r="53215" spans="1:3" x14ac:dyDescent="0.2">
      <c r="B53215" t="s">
        <v>442</v>
      </c>
    </row>
    <row r="53217" spans="1:2" x14ac:dyDescent="0.2">
      <c r="A53217" t="s">
        <v>16871</v>
      </c>
      <c r="B53217" t="str">
        <f>HYPERLINK("https://lindat.mff.cuni.cz/services/teitok/pdtc10/index.php?action=vallex&amp;frame=v-w7006f2", "učit se (v-w7006f2) - substituted with v-w7006f8_ZU")</f>
        <v>učit se (v-w7006f2) - substituted with v-w7006f8_ZU</v>
      </c>
    </row>
    <row r="53218" spans="1:2" x14ac:dyDescent="0.2">
      <c r="B53218" t="s">
        <v>1</v>
      </c>
    </row>
    <row r="53219" spans="1:2" x14ac:dyDescent="0.2">
      <c r="B53219" t="s">
        <v>16872</v>
      </c>
    </row>
    <row r="53220" spans="1:2" x14ac:dyDescent="0.2">
      <c r="B53220" t="s">
        <v>442</v>
      </c>
    </row>
    <row r="53222" spans="1:2" x14ac:dyDescent="0.2">
      <c r="A53222" t="s">
        <v>16871</v>
      </c>
      <c r="B53222" t="str">
        <f>HYPERLINK("https://lindat.mff.cuni.cz/services/teitok/pdtc10/index.php?action=vallex&amp;frame=v-w7006f6_ZU", "učit se (v-w7006f6_ZU) - substituted with v-w7006f8_ZU")</f>
        <v>učit se (v-w7006f6_ZU) - substituted with v-w7006f8_ZU</v>
      </c>
    </row>
    <row r="53223" spans="1:2" x14ac:dyDescent="0.2">
      <c r="B53223" t="s">
        <v>1</v>
      </c>
    </row>
    <row r="53224" spans="1:2" x14ac:dyDescent="0.2">
      <c r="B53224" t="s">
        <v>16872</v>
      </c>
    </row>
    <row r="53225" spans="1:2" x14ac:dyDescent="0.2">
      <c r="B53225" t="s">
        <v>442</v>
      </c>
    </row>
    <row r="53227" spans="1:2" x14ac:dyDescent="0.2">
      <c r="A53227" t="s">
        <v>16871</v>
      </c>
      <c r="B53227" t="str">
        <f>HYPERLINK("https://lindat.mff.cuni.cz/services/teitok/pdtc10/index.php?action=vallex&amp;frame=v-w7006f7_ZU", "učit se (v-w7006f7_ZU) - substituted with v-w7006f8_ZU")</f>
        <v>učit se (v-w7006f7_ZU) - substituted with v-w7006f8_ZU</v>
      </c>
    </row>
    <row r="53228" spans="1:2" x14ac:dyDescent="0.2">
      <c r="B53228" t="s">
        <v>1</v>
      </c>
    </row>
    <row r="53229" spans="1:2" x14ac:dyDescent="0.2">
      <c r="B53229" t="s">
        <v>16872</v>
      </c>
    </row>
    <row r="53230" spans="1:2" x14ac:dyDescent="0.2">
      <c r="B53230" t="s">
        <v>442</v>
      </c>
    </row>
    <row r="53232" spans="1:2" x14ac:dyDescent="0.2">
      <c r="A53232" t="s">
        <v>16871</v>
      </c>
      <c r="B53232" t="str">
        <f>HYPERLINK("https://lindat.mff.cuni.cz/services/teitok/pdtc10/index.php?action=vallex&amp;frame=v-w7006hsa_172", "učit se (v-w7006hsa_172) - substituted with v-w7006f8_ZU")</f>
        <v>učit se (v-w7006hsa_172) - substituted with v-w7006f8_ZU</v>
      </c>
    </row>
    <row r="53233" spans="1:4" x14ac:dyDescent="0.2">
      <c r="B53233" t="s">
        <v>1</v>
      </c>
    </row>
    <row r="53234" spans="1:4" x14ac:dyDescent="0.2">
      <c r="B53234" t="s">
        <v>16872</v>
      </c>
    </row>
    <row r="53235" spans="1:4" x14ac:dyDescent="0.2">
      <c r="B53235" t="s">
        <v>442</v>
      </c>
    </row>
    <row r="53237" spans="1:4" x14ac:dyDescent="0.2">
      <c r="A53237" t="s">
        <v>16873</v>
      </c>
      <c r="B53237" t="str">
        <f>HYPERLINK("https://lindat.mff.cuni.cz/services/teitok/pdtc10/index.php?action=vallex&amp;frame=v-w7006f4_ZU", "učit se (v-w7006f4_ZU)")</f>
        <v>učit se (v-w7006f4_ZU)</v>
      </c>
    </row>
    <row r="53238" spans="1:4" x14ac:dyDescent="0.2">
      <c r="B53238" t="s">
        <v>1</v>
      </c>
      <c r="C53238" t="s">
        <v>1992</v>
      </c>
      <c r="D53238" t="s">
        <v>9234</v>
      </c>
    </row>
    <row r="53239" spans="1:4" x14ac:dyDescent="0.2">
      <c r="B53239" t="s">
        <v>1609</v>
      </c>
      <c r="C53239" t="s">
        <v>16874</v>
      </c>
      <c r="D53239" t="s">
        <v>23185</v>
      </c>
    </row>
    <row r="53240" spans="1:4" x14ac:dyDescent="0.2">
      <c r="B53240" t="s">
        <v>269</v>
      </c>
      <c r="D53240" t="s">
        <v>23186</v>
      </c>
    </row>
    <row r="53241" spans="1:4" x14ac:dyDescent="0.2">
      <c r="B53241" t="s">
        <v>321</v>
      </c>
      <c r="C53241" t="s">
        <v>2079</v>
      </c>
      <c r="D53241" t="s">
        <v>2915</v>
      </c>
    </row>
    <row r="53243" spans="1:4" x14ac:dyDescent="0.2">
      <c r="A53243" t="s">
        <v>16875</v>
      </c>
      <c r="B53243" t="str">
        <f>HYPERLINK("https://lindat.mff.cuni.cz/services/teitok/pdtc10/index.php?action=vallex&amp;frame=v-w7006f3_ZU", "učit se (v-w7006f3_ZU)")</f>
        <v>učit se (v-w7006f3_ZU)</v>
      </c>
    </row>
    <row r="53244" spans="1:4" x14ac:dyDescent="0.2">
      <c r="B53244" t="s">
        <v>1</v>
      </c>
      <c r="C53244" t="s">
        <v>51</v>
      </c>
    </row>
    <row r="53245" spans="1:4" x14ac:dyDescent="0.2">
      <c r="B53245" t="s">
        <v>3920</v>
      </c>
      <c r="C53245" t="s">
        <v>16876</v>
      </c>
    </row>
    <row r="53246" spans="1:4" x14ac:dyDescent="0.2">
      <c r="B53246" t="s">
        <v>321</v>
      </c>
    </row>
    <row r="53248" spans="1:4" x14ac:dyDescent="0.2">
      <c r="A53248" t="s">
        <v>16877</v>
      </c>
      <c r="B53248" t="str">
        <f>HYPERLINK("https://lindat.mff.cuni.cz/services/teitok/pdtc10/index.php?action=vallex&amp;frame=v-w7006hsa_212", "učit se (v-w7006hsa_212)")</f>
        <v>učit se (v-w7006hsa_212)</v>
      </c>
    </row>
    <row r="53249" spans="1:4" x14ac:dyDescent="0.2">
      <c r="B53249" t="s">
        <v>1</v>
      </c>
    </row>
    <row r="53250" spans="1:4" x14ac:dyDescent="0.2">
      <c r="B53250" t="s">
        <v>28</v>
      </c>
    </row>
    <row r="53252" spans="1:4" x14ac:dyDescent="0.2">
      <c r="A53252" t="s">
        <v>16878</v>
      </c>
      <c r="B53252" t="str">
        <f>HYPERLINK("https://lindat.mff.cuni.cz/services/teitok/pdtc10/index.php?action=vallex&amp;frame=v-w7007f1", "učívat (v-w7007f1)")</f>
        <v>učívat (v-w7007f1)</v>
      </c>
    </row>
    <row r="53253" spans="1:4" x14ac:dyDescent="0.2">
      <c r="B53253" t="s">
        <v>1</v>
      </c>
      <c r="D53253" t="s">
        <v>1106</v>
      </c>
    </row>
    <row r="53254" spans="1:4" x14ac:dyDescent="0.2">
      <c r="B53254" t="s">
        <v>16866</v>
      </c>
      <c r="D53254" t="s">
        <v>23573</v>
      </c>
    </row>
    <row r="53255" spans="1:4" x14ac:dyDescent="0.2">
      <c r="B53255" t="s">
        <v>2194</v>
      </c>
      <c r="D53255" t="s">
        <v>23574</v>
      </c>
    </row>
    <row r="53257" spans="1:4" x14ac:dyDescent="0.2">
      <c r="A53257" t="s">
        <v>16879</v>
      </c>
      <c r="B53257" t="str">
        <f>HYPERLINK("https://lindat.mff.cuni.cz/services/teitok/pdtc10/index.php?action=vallex&amp;frame=v-w11905_ZUf1_ZU", "učívávat (v-w11905_ZUf1_ZU)")</f>
        <v>učívávat (v-w11905_ZUf1_ZU)</v>
      </c>
    </row>
    <row r="53258" spans="1:4" x14ac:dyDescent="0.2">
      <c r="B53258" t="s">
        <v>1</v>
      </c>
    </row>
    <row r="53259" spans="1:4" x14ac:dyDescent="0.2">
      <c r="B53259" t="s">
        <v>16866</v>
      </c>
    </row>
    <row r="53260" spans="1:4" x14ac:dyDescent="0.2">
      <c r="B53260" t="s">
        <v>2194</v>
      </c>
    </row>
    <row r="53262" spans="1:4" x14ac:dyDescent="0.2">
      <c r="A53262" t="s">
        <v>16880</v>
      </c>
      <c r="B53262" t="str">
        <f>HYPERLINK("https://lindat.mff.cuni.cz/services/teitok/pdtc10/index.php?action=vallex&amp;frame=v-whsb_710hsa_711", "uřezat (v-whsb_710hsa_711)")</f>
        <v>uřezat (v-whsb_710hsa_711)</v>
      </c>
    </row>
    <row r="53263" spans="1:4" x14ac:dyDescent="0.2">
      <c r="B53263" t="s">
        <v>1</v>
      </c>
    </row>
    <row r="53264" spans="1:4" x14ac:dyDescent="0.2">
      <c r="B53264" t="s">
        <v>8</v>
      </c>
    </row>
    <row r="53265" spans="1:4" x14ac:dyDescent="0.2">
      <c r="B53265" t="s">
        <v>333</v>
      </c>
    </row>
    <row r="53267" spans="1:4" x14ac:dyDescent="0.2">
      <c r="A53267" t="s">
        <v>16881</v>
      </c>
      <c r="B53267" t="str">
        <f>HYPERLINK("https://lindat.mff.cuni.cz/services/teitok/pdtc10/index.php?action=vallex&amp;frame=v-w11879_ZUf1_ZU", "uřvat (v-w11879_ZUf1_ZU)")</f>
        <v>uřvat (v-w11879_ZUf1_ZU)</v>
      </c>
    </row>
    <row r="53268" spans="1:4" x14ac:dyDescent="0.2">
      <c r="B53268" t="s">
        <v>1</v>
      </c>
    </row>
    <row r="53269" spans="1:4" x14ac:dyDescent="0.2">
      <c r="B53269" t="s">
        <v>8</v>
      </c>
    </row>
    <row r="53271" spans="1:4" x14ac:dyDescent="0.2">
      <c r="A53271" t="s">
        <v>16882</v>
      </c>
      <c r="B53271" t="str">
        <f>HYPERLINK("https://lindat.mff.cuni.cz/services/teitok/pdtc10/index.php?action=vallex&amp;frame=v-w7271f1", "uříznout (v-w7271f1)")</f>
        <v>uříznout (v-w7271f1)</v>
      </c>
    </row>
    <row r="53272" spans="1:4" x14ac:dyDescent="0.2">
      <c r="B53272" t="s">
        <v>1</v>
      </c>
      <c r="D53272" t="s">
        <v>373</v>
      </c>
    </row>
    <row r="53273" spans="1:4" x14ac:dyDescent="0.2">
      <c r="B53273" t="s">
        <v>8</v>
      </c>
      <c r="D53273" t="s">
        <v>3773</v>
      </c>
    </row>
    <row r="53275" spans="1:4" x14ac:dyDescent="0.2">
      <c r="A53275" t="s">
        <v>16883</v>
      </c>
      <c r="B53275" t="str">
        <f>HYPERLINK("https://lindat.mff.cuni.cz/services/teitok/pdtc10/index.php?action=vallex&amp;frame=v-w7355f3_ZU", "ušetřit (v-w7355f3_ZU)")</f>
        <v>ušetřit (v-w7355f3_ZU)</v>
      </c>
    </row>
    <row r="53276" spans="1:4" x14ac:dyDescent="0.2">
      <c r="B53276" t="s">
        <v>1</v>
      </c>
      <c r="C53276" t="s">
        <v>16425</v>
      </c>
      <c r="D53276" t="s">
        <v>24290</v>
      </c>
    </row>
    <row r="53277" spans="1:4" x14ac:dyDescent="0.2">
      <c r="B53277" t="s">
        <v>8</v>
      </c>
      <c r="C53277" t="s">
        <v>1798</v>
      </c>
      <c r="D53277" t="s">
        <v>7725</v>
      </c>
    </row>
    <row r="53278" spans="1:4" x14ac:dyDescent="0.2">
      <c r="B53278" t="s">
        <v>442</v>
      </c>
      <c r="D53278" t="s">
        <v>18209</v>
      </c>
    </row>
    <row r="53280" spans="1:4" x14ac:dyDescent="0.2">
      <c r="A53280" t="s">
        <v>16883</v>
      </c>
      <c r="B53280" t="str">
        <f>HYPERLINK("https://lindat.mff.cuni.cz/services/teitok/pdtc10/index.php?action=vallex&amp;frame=v-w7355f1", "ušetřit (v-w7355f1) - substituted with v-w7355f3_ZU")</f>
        <v>ušetřit (v-w7355f1) - substituted with v-w7355f3_ZU</v>
      </c>
    </row>
    <row r="53281" spans="1:3" x14ac:dyDescent="0.2">
      <c r="B53281" t="s">
        <v>1</v>
      </c>
      <c r="C53281" t="s">
        <v>16884</v>
      </c>
    </row>
    <row r="53282" spans="1:3" x14ac:dyDescent="0.2">
      <c r="B53282" t="s">
        <v>8</v>
      </c>
      <c r="C53282" t="s">
        <v>2290</v>
      </c>
    </row>
    <row r="53283" spans="1:3" x14ac:dyDescent="0.2">
      <c r="B53283" t="s">
        <v>442</v>
      </c>
    </row>
    <row r="53285" spans="1:3" x14ac:dyDescent="0.2">
      <c r="A53285" t="s">
        <v>16885</v>
      </c>
      <c r="B53285" t="str">
        <f>HYPERLINK("https://lindat.mff.cuni.cz/services/teitok/pdtc10/index.php?action=vallex&amp;frame=v-w7355hsa_43", "ušetřit (v-w7355hsa_43)")</f>
        <v>ušetřit (v-w7355hsa_43)</v>
      </c>
    </row>
    <row r="53286" spans="1:3" x14ac:dyDescent="0.2">
      <c r="B53286" t="s">
        <v>1</v>
      </c>
    </row>
    <row r="53287" spans="1:3" x14ac:dyDescent="0.2">
      <c r="B53287" t="s">
        <v>8</v>
      </c>
    </row>
    <row r="53288" spans="1:3" x14ac:dyDescent="0.2">
      <c r="B53288" t="s">
        <v>16886</v>
      </c>
    </row>
    <row r="53290" spans="1:3" x14ac:dyDescent="0.2">
      <c r="A53290" t="s">
        <v>16885</v>
      </c>
      <c r="B53290" t="str">
        <f>HYPERLINK("https://lindat.mff.cuni.cz/services/teitok/pdtc10/index.php?action=vallex&amp;frame=v-w7355f2", "ušetřit (v-w7355f2) - substituted with v-w7355hsa_43")</f>
        <v>ušetřit (v-w7355f2) - substituted with v-w7355hsa_43</v>
      </c>
    </row>
    <row r="53291" spans="1:3" x14ac:dyDescent="0.2">
      <c r="B53291" t="s">
        <v>1</v>
      </c>
      <c r="C53291" t="s">
        <v>16887</v>
      </c>
    </row>
    <row r="53292" spans="1:3" x14ac:dyDescent="0.2">
      <c r="B53292" t="s">
        <v>8</v>
      </c>
      <c r="C53292" t="s">
        <v>54</v>
      </c>
    </row>
    <row r="53293" spans="1:3" x14ac:dyDescent="0.2">
      <c r="B53293" t="s">
        <v>16886</v>
      </c>
      <c r="C53293" t="s">
        <v>1290</v>
      </c>
    </row>
    <row r="53295" spans="1:3" x14ac:dyDescent="0.2">
      <c r="A53295" t="s">
        <v>16888</v>
      </c>
      <c r="B53295" t="str">
        <f>HYPERLINK("https://lindat.mff.cuni.cz/services/teitok/pdtc10/index.php?action=vallex&amp;frame=v-w7356f1", "ušetřit si (v-w7356f1)")</f>
        <v>ušetřit si (v-w7356f1)</v>
      </c>
    </row>
    <row r="53296" spans="1:3" x14ac:dyDescent="0.2">
      <c r="B53296" t="s">
        <v>1</v>
      </c>
    </row>
    <row r="53297" spans="1:4" x14ac:dyDescent="0.2">
      <c r="B53297" t="s">
        <v>8</v>
      </c>
    </row>
    <row r="53299" spans="1:4" x14ac:dyDescent="0.2">
      <c r="A53299" t="s">
        <v>16889</v>
      </c>
      <c r="B53299" t="str">
        <f>HYPERLINK("https://lindat.mff.cuni.cz/services/teitok/pdtc10/index.php?action=vallex&amp;frame=v-w7358f2", "ušklíbnout se (v-w7358f2)")</f>
        <v>ušklíbnout se (v-w7358f2)</v>
      </c>
    </row>
    <row r="53300" spans="1:4" x14ac:dyDescent="0.2">
      <c r="B53300" t="s">
        <v>1</v>
      </c>
      <c r="C53300" t="s">
        <v>33</v>
      </c>
      <c r="D53300" t="s">
        <v>33</v>
      </c>
    </row>
    <row r="53301" spans="1:4" x14ac:dyDescent="0.2">
      <c r="B53301" t="s">
        <v>16890</v>
      </c>
      <c r="D53301" t="s">
        <v>113</v>
      </c>
    </row>
    <row r="53303" spans="1:4" x14ac:dyDescent="0.2">
      <c r="A53303" t="s">
        <v>16891</v>
      </c>
      <c r="B53303" t="str">
        <f>HYPERLINK("https://lindat.mff.cuni.cz/services/teitok/pdtc10/index.php?action=vallex&amp;frame=v-w7358f1", "ušklíbnout se (v-w7358f1)")</f>
        <v>ušklíbnout se (v-w7358f1)</v>
      </c>
    </row>
    <row r="53304" spans="1:4" x14ac:dyDescent="0.2">
      <c r="B53304" t="s">
        <v>1</v>
      </c>
    </row>
    <row r="53305" spans="1:4" x14ac:dyDescent="0.2">
      <c r="B53305" t="s">
        <v>46</v>
      </c>
    </row>
    <row r="53307" spans="1:4" x14ac:dyDescent="0.2">
      <c r="A53307" t="s">
        <v>16892</v>
      </c>
      <c r="B53307" t="str">
        <f>HYPERLINK("https://lindat.mff.cuni.cz/services/teitok/pdtc10/index.php?action=vallex&amp;frame=v-w7359f1", "uškodit (v-w7359f1)")</f>
        <v>uškodit (v-w7359f1)</v>
      </c>
    </row>
    <row r="53308" spans="1:4" x14ac:dyDescent="0.2">
      <c r="B53308" t="s">
        <v>15655</v>
      </c>
      <c r="C53308" t="s">
        <v>16893</v>
      </c>
      <c r="D53308" t="s">
        <v>23156</v>
      </c>
    </row>
    <row r="53309" spans="1:4" x14ac:dyDescent="0.2">
      <c r="B53309" t="s">
        <v>103</v>
      </c>
      <c r="C53309" t="s">
        <v>14591</v>
      </c>
      <c r="D53309" t="s">
        <v>23157</v>
      </c>
    </row>
    <row r="53311" spans="1:4" x14ac:dyDescent="0.2">
      <c r="A53311" t="s">
        <v>16894</v>
      </c>
      <c r="B53311" t="str">
        <f>HYPERLINK("https://lindat.mff.cuni.cz/services/teitok/pdtc10/index.php?action=vallex&amp;frame=v-w7361f1", "uškrtit (v-w7361f1)")</f>
        <v>uškrtit (v-w7361f1)</v>
      </c>
    </row>
    <row r="53312" spans="1:4" x14ac:dyDescent="0.2">
      <c r="B53312" t="s">
        <v>1</v>
      </c>
    </row>
    <row r="53313" spans="1:2" x14ac:dyDescent="0.2">
      <c r="B53313" t="s">
        <v>8</v>
      </c>
    </row>
    <row r="53315" spans="1:2" x14ac:dyDescent="0.2">
      <c r="A53315" t="s">
        <v>16895</v>
      </c>
      <c r="B53315" t="str">
        <f>HYPERLINK("https://lindat.mff.cuni.cz/services/teitok/pdtc10/index.php?action=vallex&amp;frame=v-w11693_ZUf1_ZU", "ušlapat (v-w11693_ZUf1_ZU)")</f>
        <v>ušlapat (v-w11693_ZUf1_ZU)</v>
      </c>
    </row>
    <row r="53316" spans="1:2" x14ac:dyDescent="0.2">
      <c r="B53316" t="s">
        <v>1</v>
      </c>
    </row>
    <row r="53317" spans="1:2" x14ac:dyDescent="0.2">
      <c r="B53317" t="s">
        <v>8</v>
      </c>
    </row>
    <row r="53319" spans="1:2" x14ac:dyDescent="0.2">
      <c r="A53319" t="s">
        <v>16896</v>
      </c>
      <c r="B53319" t="str">
        <f>HYPERLINK("https://lindat.mff.cuni.cz/services/teitok/pdtc10/index.php?action=vallex&amp;frame=v-w11693_ZUf2_ZU", "ušlapat (v-w11693_ZUf2_ZU)")</f>
        <v>ušlapat (v-w11693_ZUf2_ZU)</v>
      </c>
    </row>
    <row r="53320" spans="1:2" x14ac:dyDescent="0.2">
      <c r="B53320" t="s">
        <v>1</v>
      </c>
    </row>
    <row r="53321" spans="1:2" x14ac:dyDescent="0.2">
      <c r="B53321" t="s">
        <v>8</v>
      </c>
    </row>
    <row r="53323" spans="1:2" x14ac:dyDescent="0.2">
      <c r="A53323" t="s">
        <v>16897</v>
      </c>
      <c r="B53323" t="str">
        <f>HYPERLINK("https://lindat.mff.cuni.cz/services/teitok/pdtc10/index.php?action=vallex&amp;frame=v-w11692_ZUf2_ZU", "ušlapávat (v-w11692_ZUf2_ZU)")</f>
        <v>ušlapávat (v-w11692_ZUf2_ZU)</v>
      </c>
    </row>
    <row r="53324" spans="1:2" x14ac:dyDescent="0.2">
      <c r="B53324" t="s">
        <v>1</v>
      </c>
    </row>
    <row r="53325" spans="1:2" x14ac:dyDescent="0.2">
      <c r="B53325" t="s">
        <v>8</v>
      </c>
    </row>
    <row r="53327" spans="1:2" x14ac:dyDescent="0.2">
      <c r="A53327" t="s">
        <v>16897</v>
      </c>
      <c r="B53327" t="str">
        <f>HYPERLINK("https://lindat.mff.cuni.cz/services/teitok/pdtc10/index.php?action=vallex&amp;frame=v-w11692_ZUf1_ZU", "ušlapávat (v-w11692_ZUf1_ZU) - substituted with v-w11692_ZUf2_ZU")</f>
        <v>ušlapávat (v-w11692_ZUf1_ZU) - substituted with v-w11692_ZUf2_ZU</v>
      </c>
    </row>
    <row r="53328" spans="1:2" x14ac:dyDescent="0.2">
      <c r="B53328" t="s">
        <v>1</v>
      </c>
    </row>
    <row r="53329" spans="1:3" x14ac:dyDescent="0.2">
      <c r="B53329" t="s">
        <v>8</v>
      </c>
    </row>
    <row r="53331" spans="1:3" x14ac:dyDescent="0.2">
      <c r="A53331" t="s">
        <v>16898</v>
      </c>
      <c r="B53331" t="str">
        <f>HYPERLINK("https://lindat.mff.cuni.cz/services/teitok/pdtc10/index.php?action=vallex&amp;frame=v-w12316_MMf1_MM", "ušpinit se (v-w12316_MMf1_MM)")</f>
        <v>ušpinit se (v-w12316_MMf1_MM)</v>
      </c>
    </row>
    <row r="53332" spans="1:3" x14ac:dyDescent="0.2">
      <c r="B53332" t="s">
        <v>1</v>
      </c>
    </row>
    <row r="53333" spans="1:3" x14ac:dyDescent="0.2">
      <c r="B53333" t="s">
        <v>247</v>
      </c>
    </row>
    <row r="53335" spans="1:3" x14ac:dyDescent="0.2">
      <c r="A53335" t="s">
        <v>16899</v>
      </c>
      <c r="B53335" t="str">
        <f>HYPERLINK("https://lindat.mff.cuni.cz/services/teitok/pdtc10/index.php?action=vallex&amp;frame=v-w10946hsa_634", "uštědřit (v-w10946hsa_634)")</f>
        <v>uštědřit (v-w10946hsa_634)</v>
      </c>
    </row>
    <row r="53336" spans="1:3" x14ac:dyDescent="0.2">
      <c r="B53336" t="s">
        <v>5041</v>
      </c>
      <c r="C53336" t="s">
        <v>2530</v>
      </c>
    </row>
    <row r="53337" spans="1:3" x14ac:dyDescent="0.2">
      <c r="B53337" t="s">
        <v>5041</v>
      </c>
      <c r="C53337" t="s">
        <v>2530</v>
      </c>
    </row>
    <row r="53338" spans="1:3" x14ac:dyDescent="0.2">
      <c r="B53338" t="s">
        <v>16900</v>
      </c>
      <c r="C53338" t="s">
        <v>2545</v>
      </c>
    </row>
    <row r="53339" spans="1:3" x14ac:dyDescent="0.2">
      <c r="B53339" t="s">
        <v>35</v>
      </c>
      <c r="C53339" t="s">
        <v>2546</v>
      </c>
    </row>
    <row r="53341" spans="1:3" x14ac:dyDescent="0.2">
      <c r="A53341" t="s">
        <v>16899</v>
      </c>
      <c r="B53341" t="str">
        <f>HYPERLINK("https://lindat.mff.cuni.cz/services/teitok/pdtc10/index.php?action=vallex&amp;frame=v-w10946f3", "uštědřit (v-w10946f3) - substituted with v-w10946hsa_634")</f>
        <v>uštědřit (v-w10946f3) - substituted with v-w10946hsa_634</v>
      </c>
    </row>
    <row r="53342" spans="1:3" x14ac:dyDescent="0.2">
      <c r="B53342" t="s">
        <v>5041</v>
      </c>
      <c r="C53342" t="s">
        <v>16901</v>
      </c>
    </row>
    <row r="53343" spans="1:3" x14ac:dyDescent="0.2">
      <c r="B53343" t="s">
        <v>5041</v>
      </c>
      <c r="C53343" t="s">
        <v>16901</v>
      </c>
    </row>
    <row r="53344" spans="1:3" x14ac:dyDescent="0.2">
      <c r="B53344" t="s">
        <v>16900</v>
      </c>
      <c r="C53344" t="s">
        <v>16902</v>
      </c>
    </row>
    <row r="53345" spans="1:4" x14ac:dyDescent="0.2">
      <c r="B53345" t="s">
        <v>35</v>
      </c>
      <c r="C53345" t="s">
        <v>16903</v>
      </c>
    </row>
    <row r="53347" spans="1:4" x14ac:dyDescent="0.2">
      <c r="A53347" t="s">
        <v>16904</v>
      </c>
      <c r="B53347" t="str">
        <f>HYPERLINK("https://lindat.mff.cuni.cz/services/teitok/pdtc10/index.php?action=vallex&amp;frame=v-w7357f3", "ušít (v-w7357f3)")</f>
        <v>ušít (v-w7357f3)</v>
      </c>
    </row>
    <row r="53348" spans="1:4" x14ac:dyDescent="0.2">
      <c r="B53348" t="s">
        <v>1</v>
      </c>
    </row>
    <row r="53349" spans="1:4" x14ac:dyDescent="0.2">
      <c r="B53349" t="s">
        <v>8</v>
      </c>
    </row>
    <row r="53350" spans="1:4" x14ac:dyDescent="0.2">
      <c r="B53350" t="s">
        <v>24</v>
      </c>
    </row>
    <row r="53352" spans="1:4" x14ac:dyDescent="0.2">
      <c r="A53352" t="s">
        <v>16905</v>
      </c>
      <c r="B53352" t="str">
        <f>HYPERLINK("https://lindat.mff.cuni.cz/services/teitok/pdtc10/index.php?action=vallex&amp;frame=v-w7357f1", "ušít (v-w7357f1)")</f>
        <v>ušít (v-w7357f1)</v>
      </c>
    </row>
    <row r="53353" spans="1:4" x14ac:dyDescent="0.2">
      <c r="B53353" t="s">
        <v>1</v>
      </c>
      <c r="D53353" t="s">
        <v>14984</v>
      </c>
    </row>
    <row r="53354" spans="1:4" x14ac:dyDescent="0.2">
      <c r="B53354" t="s">
        <v>16906</v>
      </c>
      <c r="C53354" t="s">
        <v>383</v>
      </c>
    </row>
    <row r="53355" spans="1:4" x14ac:dyDescent="0.2">
      <c r="B53355" t="s">
        <v>8</v>
      </c>
      <c r="C53355" t="s">
        <v>34</v>
      </c>
      <c r="D53355" t="s">
        <v>2750</v>
      </c>
    </row>
    <row r="53357" spans="1:4" x14ac:dyDescent="0.2">
      <c r="A53357" t="s">
        <v>16907</v>
      </c>
      <c r="B53357" t="str">
        <f>HYPERLINK("https://lindat.mff.cuni.cz/services/teitok/pdtc10/index.php?action=vallex&amp;frame=v-w7357f2", "ušít (v-w7357f2)")</f>
        <v>ušít (v-w7357f2)</v>
      </c>
    </row>
    <row r="53358" spans="1:4" x14ac:dyDescent="0.2">
      <c r="B53358" t="s">
        <v>1</v>
      </c>
    </row>
    <row r="53359" spans="1:4" x14ac:dyDescent="0.2">
      <c r="B53359" t="s">
        <v>16908</v>
      </c>
    </row>
    <row r="53360" spans="1:4" x14ac:dyDescent="0.2">
      <c r="B53360" t="s">
        <v>8</v>
      </c>
    </row>
    <row r="53362" spans="1:2" x14ac:dyDescent="0.2">
      <c r="A53362" t="s">
        <v>16909</v>
      </c>
      <c r="B53362" t="str">
        <f>HYPERLINK("https://lindat.mff.cuni.cz/services/teitok/pdtc10/index.php?action=vallex&amp;frame=v-w12188_ZUf1_ZU", "užasnout (v-w12188_ZUf1_ZU)")</f>
        <v>užasnout (v-w12188_ZUf1_ZU)</v>
      </c>
    </row>
    <row r="53363" spans="1:2" x14ac:dyDescent="0.2">
      <c r="B53363" t="s">
        <v>1</v>
      </c>
    </row>
    <row r="53364" spans="1:2" x14ac:dyDescent="0.2">
      <c r="B53364" t="s">
        <v>16910</v>
      </c>
    </row>
    <row r="53366" spans="1:2" x14ac:dyDescent="0.2">
      <c r="A53366" t="s">
        <v>16911</v>
      </c>
      <c r="B53366" t="str">
        <f>HYPERLINK("https://lindat.mff.cuni.cz/services/teitok/pdtc10/index.php?action=vallex&amp;frame=v-w7500f1", "uživit (v-w7500f1)")</f>
        <v>uživit (v-w7500f1)</v>
      </c>
    </row>
    <row r="53367" spans="1:2" x14ac:dyDescent="0.2">
      <c r="B53367" t="s">
        <v>1</v>
      </c>
    </row>
    <row r="53368" spans="1:2" x14ac:dyDescent="0.2">
      <c r="B53368" t="s">
        <v>8</v>
      </c>
    </row>
    <row r="53370" spans="1:2" x14ac:dyDescent="0.2">
      <c r="A53370" t="s">
        <v>16912</v>
      </c>
      <c r="B53370" t="str">
        <f>HYPERLINK("https://lindat.mff.cuni.cz/services/teitok/pdtc10/index.php?action=vallex&amp;frame=v-w7501f1", "uživit se (v-w7501f1)")</f>
        <v>uživit se (v-w7501f1)</v>
      </c>
    </row>
    <row r="53371" spans="1:2" x14ac:dyDescent="0.2">
      <c r="B53371" t="s">
        <v>1</v>
      </c>
    </row>
    <row r="53373" spans="1:2" x14ac:dyDescent="0.2">
      <c r="A53373" t="s">
        <v>16913</v>
      </c>
      <c r="B53373" t="str">
        <f>HYPERLINK("https://lindat.mff.cuni.cz/services/teitok/pdtc10/index.php?action=vallex&amp;frame=v-w7491f1", "užírat (v-w7491f1)")</f>
        <v>užírat (v-w7491f1)</v>
      </c>
    </row>
    <row r="53374" spans="1:2" x14ac:dyDescent="0.2">
      <c r="B53374" t="s">
        <v>1</v>
      </c>
    </row>
    <row r="53375" spans="1:2" x14ac:dyDescent="0.2">
      <c r="B53375" t="s">
        <v>8</v>
      </c>
    </row>
    <row r="53376" spans="1:2" x14ac:dyDescent="0.2">
      <c r="B53376" t="s">
        <v>35</v>
      </c>
    </row>
    <row r="53378" spans="1:4" x14ac:dyDescent="0.2">
      <c r="A53378" t="s">
        <v>16914</v>
      </c>
      <c r="B53378" t="str">
        <f>HYPERLINK("https://lindat.mff.cuni.cz/services/teitok/pdtc10/index.php?action=vallex&amp;frame=v-w7492f1", "užírat se (v-w7492f1)")</f>
        <v>užírat se (v-w7492f1)</v>
      </c>
    </row>
    <row r="53379" spans="1:4" x14ac:dyDescent="0.2">
      <c r="B53379" t="s">
        <v>1</v>
      </c>
    </row>
    <row r="53380" spans="1:4" x14ac:dyDescent="0.2">
      <c r="B53380" t="s">
        <v>3215</v>
      </c>
    </row>
    <row r="53382" spans="1:4" x14ac:dyDescent="0.2">
      <c r="A53382" t="s">
        <v>16915</v>
      </c>
      <c r="B53382" t="str">
        <f>HYPERLINK("https://lindat.mff.cuni.cz/services/teitok/pdtc10/index.php?action=vallex&amp;frame=v-w7493f1", "užít (v-w7493f1)")</f>
        <v>užít (v-w7493f1)</v>
      </c>
    </row>
    <row r="53383" spans="1:4" x14ac:dyDescent="0.2">
      <c r="B53383" t="s">
        <v>1</v>
      </c>
      <c r="C53383" t="s">
        <v>11079</v>
      </c>
      <c r="D53383" t="s">
        <v>22958</v>
      </c>
    </row>
    <row r="53384" spans="1:4" x14ac:dyDescent="0.2">
      <c r="B53384" t="s">
        <v>968</v>
      </c>
      <c r="C53384" t="s">
        <v>16916</v>
      </c>
      <c r="D53384" t="s">
        <v>22959</v>
      </c>
    </row>
    <row r="53386" spans="1:4" x14ac:dyDescent="0.2">
      <c r="A53386" t="s">
        <v>16917</v>
      </c>
      <c r="B53386" t="str">
        <f>HYPERLINK("https://lindat.mff.cuni.cz/services/teitok/pdtc10/index.php?action=vallex&amp;frame=v-w7493f2", "užít (v-w7493f2)")</f>
        <v>užít (v-w7493f2)</v>
      </c>
    </row>
    <row r="53387" spans="1:4" x14ac:dyDescent="0.2">
      <c r="B53387" t="s">
        <v>1</v>
      </c>
      <c r="D53387" t="s">
        <v>337</v>
      </c>
    </row>
    <row r="53388" spans="1:4" x14ac:dyDescent="0.2">
      <c r="B53388" t="s">
        <v>968</v>
      </c>
      <c r="D53388" t="s">
        <v>1750</v>
      </c>
    </row>
    <row r="53390" spans="1:4" x14ac:dyDescent="0.2">
      <c r="A53390" t="s">
        <v>16918</v>
      </c>
      <c r="B53390" t="str">
        <f>HYPERLINK("https://lindat.mff.cuni.cz/services/teitok/pdtc10/index.php?action=vallex&amp;frame=v-w7493f5_ZU", "užít (v-w7493f5_ZU)")</f>
        <v>užít (v-w7493f5_ZU)</v>
      </c>
    </row>
    <row r="53391" spans="1:4" x14ac:dyDescent="0.2">
      <c r="B53391" t="s">
        <v>1</v>
      </c>
    </row>
    <row r="53392" spans="1:4" x14ac:dyDescent="0.2">
      <c r="B53392" t="s">
        <v>3766</v>
      </c>
    </row>
    <row r="53394" spans="1:2" x14ac:dyDescent="0.2">
      <c r="A53394" t="s">
        <v>16918</v>
      </c>
      <c r="B53394" t="str">
        <f>HYPERLINK("https://lindat.mff.cuni.cz/services/teitok/pdtc10/index.php?action=vallex&amp;frame=v-w7493f3", "užít (v-w7493f3) - substituted with v-w7493f5_ZU")</f>
        <v>užít (v-w7493f3) - substituted with v-w7493f5_ZU</v>
      </c>
    </row>
    <row r="53395" spans="1:2" x14ac:dyDescent="0.2">
      <c r="B53395" t="s">
        <v>1</v>
      </c>
    </row>
    <row r="53396" spans="1:2" x14ac:dyDescent="0.2">
      <c r="B53396" t="s">
        <v>3766</v>
      </c>
    </row>
    <row r="53398" spans="1:2" x14ac:dyDescent="0.2">
      <c r="A53398" t="s">
        <v>16919</v>
      </c>
      <c r="B53398" t="str">
        <f>HYPERLINK("https://lindat.mff.cuni.cz/services/teitok/pdtc10/index.php?action=vallex&amp;frame=v-w7493f4_ZU", "užít (v-w7493f4_ZU)")</f>
        <v>užít (v-w7493f4_ZU)</v>
      </c>
    </row>
    <row r="53399" spans="1:2" x14ac:dyDescent="0.2">
      <c r="B53399" t="s">
        <v>1</v>
      </c>
    </row>
    <row r="53400" spans="1:2" x14ac:dyDescent="0.2">
      <c r="B53400" t="s">
        <v>968</v>
      </c>
    </row>
    <row r="53402" spans="1:2" x14ac:dyDescent="0.2">
      <c r="A53402" t="s">
        <v>16919</v>
      </c>
      <c r="B53402" t="str">
        <f>HYPERLINK("https://lindat.mff.cuni.cz/services/teitok/pdtc10/index.php?action=vallex&amp;frame=v-w7493hsa_630", "užít (v-w7493hsa_630) - substituted with v-w7493f4_ZU")</f>
        <v>užít (v-w7493hsa_630) - substituted with v-w7493f4_ZU</v>
      </c>
    </row>
    <row r="53403" spans="1:2" x14ac:dyDescent="0.2">
      <c r="B53403" t="s">
        <v>1</v>
      </c>
    </row>
    <row r="53404" spans="1:2" x14ac:dyDescent="0.2">
      <c r="B53404" t="s">
        <v>968</v>
      </c>
    </row>
    <row r="53406" spans="1:2" x14ac:dyDescent="0.2">
      <c r="A53406" t="s">
        <v>16920</v>
      </c>
      <c r="B53406" t="str">
        <f>HYPERLINK("https://lindat.mff.cuni.cz/services/teitok/pdtc10/index.php?action=vallex&amp;frame=v-w7495f3_ZU", "užít si (v-w7495f3_ZU)")</f>
        <v>užít si (v-w7495f3_ZU)</v>
      </c>
    </row>
    <row r="53407" spans="1:2" x14ac:dyDescent="0.2">
      <c r="B53407" t="s">
        <v>1</v>
      </c>
    </row>
    <row r="53408" spans="1:2" x14ac:dyDescent="0.2">
      <c r="B53408" t="s">
        <v>968</v>
      </c>
    </row>
    <row r="53410" spans="1:4" x14ac:dyDescent="0.2">
      <c r="A53410" t="s">
        <v>16920</v>
      </c>
      <c r="B53410" t="str">
        <f>HYPERLINK("https://lindat.mff.cuni.cz/services/teitok/pdtc10/index.php?action=vallex&amp;frame=v-w7495f1", "užít si (v-w7495f1) - substituted with v-w7495f3_ZU")</f>
        <v>užít si (v-w7495f1) - substituted with v-w7495f3_ZU</v>
      </c>
    </row>
    <row r="53411" spans="1:4" x14ac:dyDescent="0.2">
      <c r="B53411" t="s">
        <v>1</v>
      </c>
      <c r="C53411" t="s">
        <v>4990</v>
      </c>
      <c r="D53411" t="s">
        <v>2400</v>
      </c>
    </row>
    <row r="53412" spans="1:4" x14ac:dyDescent="0.2">
      <c r="B53412" t="s">
        <v>968</v>
      </c>
      <c r="C53412" t="s">
        <v>16921</v>
      </c>
      <c r="D53412" t="s">
        <v>23178</v>
      </c>
    </row>
    <row r="53414" spans="1:4" x14ac:dyDescent="0.2">
      <c r="A53414" t="s">
        <v>16920</v>
      </c>
      <c r="B53414" t="str">
        <f>HYPERLINK("https://lindat.mff.cuni.cz/services/teitok/pdtc10/index.php?action=vallex&amp;frame=v-w7495f2_ZU", "užít si (v-w7495f2_ZU) - substituted with v-w7495f3_ZU")</f>
        <v>užít si (v-w7495f2_ZU) - substituted with v-w7495f3_ZU</v>
      </c>
    </row>
    <row r="53415" spans="1:4" x14ac:dyDescent="0.2">
      <c r="B53415" t="s">
        <v>1</v>
      </c>
    </row>
    <row r="53416" spans="1:4" x14ac:dyDescent="0.2">
      <c r="B53416" t="s">
        <v>968</v>
      </c>
    </row>
    <row r="53418" spans="1:4" x14ac:dyDescent="0.2">
      <c r="A53418" t="s">
        <v>16922</v>
      </c>
      <c r="B53418" t="str">
        <f>HYPERLINK("https://lindat.mff.cuni.cz/services/teitok/pdtc10/index.php?action=vallex&amp;frame=v-w7497f1", "užívat (v-w7497f1)")</f>
        <v>užívat (v-w7497f1)</v>
      </c>
    </row>
    <row r="53419" spans="1:4" x14ac:dyDescent="0.2">
      <c r="B53419" t="s">
        <v>1</v>
      </c>
      <c r="C53419" t="s">
        <v>16923</v>
      </c>
      <c r="D53419" t="s">
        <v>337</v>
      </c>
    </row>
    <row r="53420" spans="1:4" x14ac:dyDescent="0.2">
      <c r="B53420" t="s">
        <v>3766</v>
      </c>
      <c r="C53420" t="s">
        <v>16924</v>
      </c>
      <c r="D53420" t="s">
        <v>1750</v>
      </c>
    </row>
    <row r="53422" spans="1:4" x14ac:dyDescent="0.2">
      <c r="A53422" t="s">
        <v>16925</v>
      </c>
      <c r="B53422" t="str">
        <f>HYPERLINK("https://lindat.mff.cuni.cz/services/teitok/pdtc10/index.php?action=vallex&amp;frame=v-w7497f2", "užívat (v-w7497f2)")</f>
        <v>užívat (v-w7497f2)</v>
      </c>
    </row>
    <row r="53423" spans="1:4" x14ac:dyDescent="0.2">
      <c r="B53423" t="s">
        <v>1</v>
      </c>
    </row>
    <row r="53424" spans="1:4" x14ac:dyDescent="0.2">
      <c r="B53424" t="s">
        <v>3766</v>
      </c>
    </row>
    <row r="53426" spans="1:3" x14ac:dyDescent="0.2">
      <c r="A53426" t="s">
        <v>16926</v>
      </c>
      <c r="B53426" t="str">
        <f>HYPERLINK("https://lindat.mff.cuni.cz/services/teitok/pdtc10/index.php?action=vallex&amp;frame=v-w7497f3", "užívat (v-w7497f3)")</f>
        <v>užívat (v-w7497f3)</v>
      </c>
    </row>
    <row r="53427" spans="1:3" x14ac:dyDescent="0.2">
      <c r="B53427" t="s">
        <v>1</v>
      </c>
      <c r="C53427" t="s">
        <v>11079</v>
      </c>
    </row>
    <row r="53428" spans="1:3" x14ac:dyDescent="0.2">
      <c r="B53428" t="s">
        <v>3766</v>
      </c>
      <c r="C53428" t="s">
        <v>16916</v>
      </c>
    </row>
    <row r="53430" spans="1:3" x14ac:dyDescent="0.2">
      <c r="A53430" t="s">
        <v>16927</v>
      </c>
      <c r="B53430" t="str">
        <f>HYPERLINK("https://lindat.mff.cuni.cz/services/teitok/pdtc10/index.php?action=vallex&amp;frame=v-w7497f6_ZU", "užívat (v-w7497f6_ZU)")</f>
        <v>užívat (v-w7497f6_ZU)</v>
      </c>
    </row>
    <row r="53431" spans="1:3" x14ac:dyDescent="0.2">
      <c r="B53431" t="s">
        <v>1</v>
      </c>
    </row>
    <row r="53432" spans="1:3" x14ac:dyDescent="0.2">
      <c r="B53432" t="s">
        <v>3766</v>
      </c>
    </row>
    <row r="53434" spans="1:3" x14ac:dyDescent="0.2">
      <c r="A53434" t="s">
        <v>16927</v>
      </c>
      <c r="B53434" t="str">
        <f>HYPERLINK("https://lindat.mff.cuni.cz/services/teitok/pdtc10/index.php?action=vallex&amp;frame=v-w7497f4", "užívat (v-w7497f4) - substituted with v-w7497f6_ZU")</f>
        <v>užívat (v-w7497f4) - substituted with v-w7497f6_ZU</v>
      </c>
    </row>
    <row r="53435" spans="1:3" x14ac:dyDescent="0.2">
      <c r="B53435" t="s">
        <v>1</v>
      </c>
      <c r="C53435" t="s">
        <v>16928</v>
      </c>
    </row>
    <row r="53436" spans="1:3" x14ac:dyDescent="0.2">
      <c r="B53436" t="s">
        <v>3766</v>
      </c>
      <c r="C53436" t="s">
        <v>14671</v>
      </c>
    </row>
    <row r="53438" spans="1:3" x14ac:dyDescent="0.2">
      <c r="A53438" t="s">
        <v>16927</v>
      </c>
      <c r="B53438" t="str">
        <f>HYPERLINK("https://lindat.mff.cuni.cz/services/teitok/pdtc10/index.php?action=vallex&amp;frame=v-w7497f5_ZU", "užívat (v-w7497f5_ZU) - substituted with v-w7497f6_ZU")</f>
        <v>užívat (v-w7497f5_ZU) - substituted with v-w7497f6_ZU</v>
      </c>
    </row>
    <row r="53439" spans="1:3" x14ac:dyDescent="0.2">
      <c r="B53439" t="s">
        <v>1</v>
      </c>
      <c r="C53439" t="s">
        <v>11079</v>
      </c>
    </row>
    <row r="53440" spans="1:3" x14ac:dyDescent="0.2">
      <c r="B53440" t="s">
        <v>3766</v>
      </c>
      <c r="C53440" t="s">
        <v>16916</v>
      </c>
    </row>
    <row r="53442" spans="1:4" x14ac:dyDescent="0.2">
      <c r="A53442" t="s">
        <v>16929</v>
      </c>
      <c r="B53442" t="str">
        <f>HYPERLINK("https://lindat.mff.cuni.cz/services/teitok/pdtc10/index.php?action=vallex&amp;frame=v-w7497hsa_715", "užívat (v-w7497hsa_715)")</f>
        <v>užívat (v-w7497hsa_715)</v>
      </c>
    </row>
    <row r="53443" spans="1:4" x14ac:dyDescent="0.2">
      <c r="B53443" t="s">
        <v>1</v>
      </c>
    </row>
    <row r="53444" spans="1:4" x14ac:dyDescent="0.2">
      <c r="B53444" t="s">
        <v>968</v>
      </c>
    </row>
    <row r="53446" spans="1:4" x14ac:dyDescent="0.2">
      <c r="A53446" t="s">
        <v>16930</v>
      </c>
      <c r="B53446" t="str">
        <f>HYPERLINK("https://lindat.mff.cuni.cz/services/teitok/pdtc10/index.php?action=vallex&amp;frame=v-w7499f1", "užívat si (v-w7499f1)")</f>
        <v>užívat si (v-w7499f1)</v>
      </c>
    </row>
    <row r="53447" spans="1:4" x14ac:dyDescent="0.2">
      <c r="B53447" t="s">
        <v>1</v>
      </c>
      <c r="C53447" t="s">
        <v>7346</v>
      </c>
      <c r="D53447" t="s">
        <v>2400</v>
      </c>
    </row>
    <row r="53448" spans="1:4" x14ac:dyDescent="0.2">
      <c r="B53448" t="s">
        <v>3766</v>
      </c>
      <c r="C53448" t="s">
        <v>9714</v>
      </c>
      <c r="D53448" t="s">
        <v>23178</v>
      </c>
    </row>
    <row r="53450" spans="1:4" x14ac:dyDescent="0.2">
      <c r="A53450" t="s">
        <v>16931</v>
      </c>
      <c r="B53450" t="str">
        <f>HYPERLINK("https://lindat.mff.cuni.cz/services/teitok/pdtc10/index.php?action=vallex&amp;frame=v-w7503hsa_1354", "vadit (v-w7503hsa_1354)")</f>
        <v>vadit (v-w7503hsa_1354)</v>
      </c>
    </row>
    <row r="53451" spans="1:4" x14ac:dyDescent="0.2">
      <c r="B53451" t="s">
        <v>16932</v>
      </c>
    </row>
    <row r="53452" spans="1:4" x14ac:dyDescent="0.2">
      <c r="B53452" t="s">
        <v>103</v>
      </c>
    </row>
    <row r="53454" spans="1:4" x14ac:dyDescent="0.2">
      <c r="A53454" t="s">
        <v>16931</v>
      </c>
      <c r="B53454" t="str">
        <f>HYPERLINK("https://lindat.mff.cuni.cz/services/teitok/pdtc10/index.php?action=vallex&amp;frame=v-w7503f1", "vadit (v-w7503f1) - substituted with v-w7503hsa_1354")</f>
        <v>vadit (v-w7503f1) - substituted with v-w7503hsa_1354</v>
      </c>
    </row>
    <row r="53455" spans="1:4" x14ac:dyDescent="0.2">
      <c r="B53455" t="s">
        <v>16932</v>
      </c>
      <c r="C53455" t="s">
        <v>16933</v>
      </c>
      <c r="D53455" t="s">
        <v>24241</v>
      </c>
    </row>
    <row r="53456" spans="1:4" x14ac:dyDescent="0.2">
      <c r="B53456" t="s">
        <v>103</v>
      </c>
      <c r="C53456" t="s">
        <v>16934</v>
      </c>
      <c r="D53456" t="s">
        <v>24242</v>
      </c>
    </row>
    <row r="53458" spans="1:4" x14ac:dyDescent="0.2">
      <c r="A53458" t="s">
        <v>16935</v>
      </c>
      <c r="B53458" t="str">
        <f>HYPERLINK("https://lindat.mff.cuni.cz/services/teitok/pdtc10/index.php?action=vallex&amp;frame=v-w7503f2_ZU", "vadit (v-w7503f2_ZU)")</f>
        <v>vadit (v-w7503f2_ZU)</v>
      </c>
    </row>
    <row r="53459" spans="1:4" x14ac:dyDescent="0.2">
      <c r="B53459" t="s">
        <v>1</v>
      </c>
    </row>
    <row r="53460" spans="1:4" x14ac:dyDescent="0.2">
      <c r="B53460" t="s">
        <v>511</v>
      </c>
    </row>
    <row r="53462" spans="1:4" x14ac:dyDescent="0.2">
      <c r="A53462" t="s">
        <v>16935</v>
      </c>
      <c r="B53462" t="str">
        <f>HYPERLINK("https://lindat.mff.cuni.cz/services/teitok/pdtc10/index.php?action=vallex&amp;frame=v-w7503hsa_1355", "vadit (v-w7503hsa_1355) - substituted with v-w7503f2_ZU")</f>
        <v>vadit (v-w7503hsa_1355) - substituted with v-w7503f2_ZU</v>
      </c>
    </row>
    <row r="53463" spans="1:4" x14ac:dyDescent="0.2">
      <c r="B53463" t="s">
        <v>1</v>
      </c>
    </row>
    <row r="53464" spans="1:4" x14ac:dyDescent="0.2">
      <c r="B53464" t="s">
        <v>511</v>
      </c>
    </row>
    <row r="53466" spans="1:4" x14ac:dyDescent="0.2">
      <c r="A53466" t="s">
        <v>16936</v>
      </c>
      <c r="B53466" t="str">
        <f>HYPERLINK("https://lindat.mff.cuni.cz/services/teitok/pdtc10/index.php?action=vallex&amp;frame=v-whsa_205hsa_206", "vadnout (v-whsa_205hsa_206)")</f>
        <v>vadnout (v-whsa_205hsa_206)</v>
      </c>
    </row>
    <row r="53467" spans="1:4" x14ac:dyDescent="0.2">
      <c r="B53467" t="s">
        <v>1</v>
      </c>
      <c r="C53467" t="s">
        <v>186</v>
      </c>
      <c r="D53467" t="s">
        <v>23636</v>
      </c>
    </row>
    <row r="53469" spans="1:4" x14ac:dyDescent="0.2">
      <c r="A53469" t="s">
        <v>16937</v>
      </c>
      <c r="B53469" t="str">
        <f>HYPERLINK("https://lindat.mff.cuni.cz/services/teitok/pdtc10/index.php?action=vallex&amp;frame=v-w11906_ZUf1_ZU", "valit (v-w11906_ZUf1_ZU)")</f>
        <v>valit (v-w11906_ZUf1_ZU)</v>
      </c>
    </row>
    <row r="53470" spans="1:4" x14ac:dyDescent="0.2">
      <c r="B53470" t="s">
        <v>1</v>
      </c>
    </row>
    <row r="53471" spans="1:4" x14ac:dyDescent="0.2">
      <c r="B53471" t="s">
        <v>14718</v>
      </c>
    </row>
    <row r="53472" spans="1:4" x14ac:dyDescent="0.2">
      <c r="B53472" t="s">
        <v>2480</v>
      </c>
    </row>
    <row r="53474" spans="1:4" x14ac:dyDescent="0.2">
      <c r="A53474" t="s">
        <v>16938</v>
      </c>
      <c r="B53474" t="str">
        <f>HYPERLINK("https://lindat.mff.cuni.cz/services/teitok/pdtc10/index.php?action=vallex&amp;frame=v-w7510f1", "valit se (v-w7510f1)")</f>
        <v>valit se (v-w7510f1)</v>
      </c>
    </row>
    <row r="53475" spans="1:4" x14ac:dyDescent="0.2">
      <c r="B53475" t="s">
        <v>1</v>
      </c>
      <c r="C53475" t="s">
        <v>16344</v>
      </c>
      <c r="D53475" t="s">
        <v>24321</v>
      </c>
    </row>
    <row r="53477" spans="1:4" x14ac:dyDescent="0.2">
      <c r="A53477" t="s">
        <v>16939</v>
      </c>
      <c r="B53477" t="str">
        <f>HYPERLINK("https://lindat.mff.cuni.cz/services/teitok/pdtc10/index.php?action=vallex&amp;frame=v-w7513f1", "valorizovat (v-w7513f1)")</f>
        <v>valorizovat (v-w7513f1)</v>
      </c>
    </row>
    <row r="53478" spans="1:4" x14ac:dyDescent="0.2">
      <c r="B53478" t="s">
        <v>1</v>
      </c>
    </row>
    <row r="53479" spans="1:4" x14ac:dyDescent="0.2">
      <c r="B53479" t="s">
        <v>8</v>
      </c>
    </row>
    <row r="53481" spans="1:4" x14ac:dyDescent="0.2">
      <c r="A53481" t="s">
        <v>16940</v>
      </c>
      <c r="B53481" t="str">
        <f>HYPERLINK("https://lindat.mff.cuni.cz/services/teitok/pdtc10/index.php?action=vallex&amp;frame=v-w7514f1", "vandrovat (v-w7514f1)")</f>
        <v>vandrovat (v-w7514f1)</v>
      </c>
    </row>
    <row r="53482" spans="1:4" x14ac:dyDescent="0.2">
      <c r="B53482" t="s">
        <v>1</v>
      </c>
    </row>
    <row r="53484" spans="1:4" x14ac:dyDescent="0.2">
      <c r="A53484" t="s">
        <v>16941</v>
      </c>
      <c r="B53484" t="str">
        <f>HYPERLINK("https://lindat.mff.cuni.cz/services/teitok/pdtc10/index.php?action=vallex&amp;frame=v-w7515f1", "vanout (v-w7515f1)")</f>
        <v>vanout (v-w7515f1)</v>
      </c>
    </row>
    <row r="53485" spans="1:4" x14ac:dyDescent="0.2">
      <c r="B53485" t="s">
        <v>1</v>
      </c>
    </row>
    <row r="53487" spans="1:4" x14ac:dyDescent="0.2">
      <c r="A53487" t="s">
        <v>16942</v>
      </c>
      <c r="B53487" t="str">
        <f>HYPERLINK("https://lindat.mff.cuni.cz/services/teitok/pdtc10/index.php?action=vallex&amp;frame=v-w7515f2", "vanout (v-w7515f2)")</f>
        <v>vanout (v-w7515f2)</v>
      </c>
    </row>
    <row r="53489" spans="1:4" x14ac:dyDescent="0.2">
      <c r="A53489" t="s">
        <v>16943</v>
      </c>
      <c r="B53489" t="str">
        <f>HYPERLINK("https://lindat.mff.cuni.cz/services/teitok/pdtc10/index.php?action=vallex&amp;frame=v-w7520f1", "varovat (v-w7520f1)")</f>
        <v>varovat (v-w7520f1)</v>
      </c>
    </row>
    <row r="53490" spans="1:4" x14ac:dyDescent="0.2">
      <c r="B53490" t="s">
        <v>1</v>
      </c>
      <c r="C53490" t="s">
        <v>16944</v>
      </c>
      <c r="D53490" t="s">
        <v>22978</v>
      </c>
    </row>
    <row r="53491" spans="1:4" x14ac:dyDescent="0.2">
      <c r="B53491" t="s">
        <v>16945</v>
      </c>
      <c r="C53491" t="s">
        <v>16946</v>
      </c>
      <c r="D53491" t="s">
        <v>24322</v>
      </c>
    </row>
    <row r="53492" spans="1:4" x14ac:dyDescent="0.2">
      <c r="B53492" t="s">
        <v>58</v>
      </c>
      <c r="C53492" t="s">
        <v>16947</v>
      </c>
      <c r="D53492" t="s">
        <v>24323</v>
      </c>
    </row>
    <row r="53494" spans="1:4" x14ac:dyDescent="0.2">
      <c r="A53494" t="s">
        <v>16948</v>
      </c>
      <c r="B53494" t="str">
        <f>HYPERLINK("https://lindat.mff.cuni.cz/services/teitok/pdtc10/index.php?action=vallex&amp;frame=v-w11615_ZUf1_ZU", "varovat se (v-w11615_ZUf1_ZU)")</f>
        <v>varovat se (v-w11615_ZUf1_ZU)</v>
      </c>
    </row>
    <row r="53495" spans="1:4" x14ac:dyDescent="0.2">
      <c r="B53495" t="s">
        <v>1</v>
      </c>
    </row>
    <row r="53496" spans="1:4" x14ac:dyDescent="0.2">
      <c r="B53496" t="s">
        <v>917</v>
      </c>
    </row>
    <row r="53498" spans="1:4" x14ac:dyDescent="0.2">
      <c r="A53498" t="s">
        <v>16949</v>
      </c>
      <c r="B53498" t="str">
        <f>HYPERLINK("https://lindat.mff.cuni.cz/services/teitok/pdtc10/index.php?action=vallex&amp;frame=v-w7523f1", "vařit (v-w7523f1)")</f>
        <v>vařit (v-w7523f1)</v>
      </c>
    </row>
    <row r="53499" spans="1:4" x14ac:dyDescent="0.2">
      <c r="B53499" t="s">
        <v>1</v>
      </c>
    </row>
    <row r="53500" spans="1:4" x14ac:dyDescent="0.2">
      <c r="B53500" t="s">
        <v>8</v>
      </c>
    </row>
    <row r="53501" spans="1:4" x14ac:dyDescent="0.2">
      <c r="B53501" t="s">
        <v>24</v>
      </c>
    </row>
    <row r="53503" spans="1:4" x14ac:dyDescent="0.2">
      <c r="A53503" t="s">
        <v>16950</v>
      </c>
      <c r="B53503" t="str">
        <f>HYPERLINK("https://lindat.mff.cuni.cz/services/teitok/pdtc10/index.php?action=vallex&amp;frame=v-w7523f2", "vařit (v-w7523f2)")</f>
        <v>vařit (v-w7523f2)</v>
      </c>
    </row>
    <row r="53504" spans="1:4" x14ac:dyDescent="0.2">
      <c r="B53504" t="s">
        <v>1</v>
      </c>
    </row>
    <row r="53506" spans="1:2" x14ac:dyDescent="0.2">
      <c r="A53506" t="s">
        <v>16951</v>
      </c>
      <c r="B53506" t="str">
        <f>HYPERLINK("https://lindat.mff.cuni.cz/services/teitok/pdtc10/index.php?action=vallex&amp;frame=v-w7523hsa_1613", "vařit (v-w7523hsa_1613)")</f>
        <v>vařit (v-w7523hsa_1613)</v>
      </c>
    </row>
    <row r="53507" spans="1:2" x14ac:dyDescent="0.2">
      <c r="B53507" t="s">
        <v>1</v>
      </c>
    </row>
    <row r="53508" spans="1:2" x14ac:dyDescent="0.2">
      <c r="B53508" t="s">
        <v>8</v>
      </c>
    </row>
    <row r="53510" spans="1:2" x14ac:dyDescent="0.2">
      <c r="A53510" t="s">
        <v>16952</v>
      </c>
      <c r="B53510" t="str">
        <f>HYPERLINK("https://lindat.mff.cuni.cz/services/teitok/pdtc10/index.php?action=vallex&amp;frame=v-whsa_510hsa_511", "vařit se (v-whsa_510hsa_511)")</f>
        <v>vařit se (v-whsa_510hsa_511)</v>
      </c>
    </row>
    <row r="53511" spans="1:2" x14ac:dyDescent="0.2">
      <c r="B53511" t="s">
        <v>1</v>
      </c>
    </row>
    <row r="53513" spans="1:2" x14ac:dyDescent="0.2">
      <c r="A53513" t="s">
        <v>16953</v>
      </c>
      <c r="B53513" t="str">
        <f>HYPERLINK("https://lindat.mff.cuni.cz/services/teitok/pdtc10/index.php?action=vallex&amp;frame=v-whsa_1554f1_ZU", "vařívávat (v-whsa_1554f1_ZU)")</f>
        <v>vařívávat (v-whsa_1554f1_ZU)</v>
      </c>
    </row>
    <row r="53514" spans="1:2" x14ac:dyDescent="0.2">
      <c r="B53514" t="s">
        <v>1</v>
      </c>
    </row>
    <row r="53515" spans="1:2" x14ac:dyDescent="0.2">
      <c r="B53515" t="s">
        <v>8</v>
      </c>
    </row>
    <row r="53516" spans="1:2" x14ac:dyDescent="0.2">
      <c r="B53516" t="s">
        <v>24</v>
      </c>
    </row>
    <row r="53518" spans="1:2" x14ac:dyDescent="0.2">
      <c r="A53518" t="s">
        <v>16953</v>
      </c>
      <c r="B53518" t="str">
        <f>HYPERLINK("https://lindat.mff.cuni.cz/services/teitok/pdtc10/index.php?action=vallex&amp;frame=v-whsa_1554hsa_1555", "vařívávat (v-whsa_1554hsa_1555) - substituted with v-whsa_1554f1_ZU")</f>
        <v>vařívávat (v-whsa_1554hsa_1555) - substituted with v-whsa_1554f1_ZU</v>
      </c>
    </row>
    <row r="53519" spans="1:2" x14ac:dyDescent="0.2">
      <c r="B53519" t="s">
        <v>1</v>
      </c>
    </row>
    <row r="53520" spans="1:2" x14ac:dyDescent="0.2">
      <c r="B53520" t="s">
        <v>8</v>
      </c>
    </row>
    <row r="53521" spans="1:4" x14ac:dyDescent="0.2">
      <c r="B53521" t="s">
        <v>24</v>
      </c>
    </row>
    <row r="53523" spans="1:4" x14ac:dyDescent="0.2">
      <c r="A53523" t="s">
        <v>16954</v>
      </c>
      <c r="B53523" t="str">
        <f>HYPERLINK("https://lindat.mff.cuni.cz/services/teitok/pdtc10/index.php?action=vallex&amp;frame=v-w10053f2", "vběhnout (v-w10053f2)")</f>
        <v>vběhnout (v-w10053f2)</v>
      </c>
    </row>
    <row r="53524" spans="1:4" x14ac:dyDescent="0.2">
      <c r="B53524" t="s">
        <v>1</v>
      </c>
      <c r="C53524" t="s">
        <v>9346</v>
      </c>
    </row>
    <row r="53525" spans="1:4" x14ac:dyDescent="0.2">
      <c r="B53525" t="s">
        <v>90</v>
      </c>
      <c r="C53525" t="s">
        <v>16955</v>
      </c>
    </row>
    <row r="53527" spans="1:4" x14ac:dyDescent="0.2">
      <c r="A53527" t="s">
        <v>16956</v>
      </c>
      <c r="B53527" t="str">
        <f>HYPERLINK("https://lindat.mff.cuni.cz/services/teitok/pdtc10/index.php?action=vallex&amp;frame=v-w7609f1", "vcházet (v-w7609f1)")</f>
        <v>vcházet (v-w7609f1)</v>
      </c>
    </row>
    <row r="53528" spans="1:4" x14ac:dyDescent="0.2">
      <c r="B53528" t="s">
        <v>1</v>
      </c>
      <c r="C53528" t="s">
        <v>7509</v>
      </c>
      <c r="D53528" t="s">
        <v>23107</v>
      </c>
    </row>
    <row r="53529" spans="1:4" x14ac:dyDescent="0.2">
      <c r="B53529" t="s">
        <v>90</v>
      </c>
      <c r="C53529" t="s">
        <v>16957</v>
      </c>
      <c r="D53529" t="s">
        <v>23108</v>
      </c>
    </row>
    <row r="53531" spans="1:4" x14ac:dyDescent="0.2">
      <c r="A53531" t="s">
        <v>16958</v>
      </c>
      <c r="B53531" t="str">
        <f>HYPERLINK("https://lindat.mff.cuni.cz/services/teitok/pdtc10/index.php?action=vallex&amp;frame=v-w7609hsa_1256", "vcházet (v-w7609hsa_1256)")</f>
        <v>vcházet (v-w7609hsa_1256)</v>
      </c>
    </row>
    <row r="53532" spans="1:4" x14ac:dyDescent="0.2">
      <c r="B53532" t="s">
        <v>1</v>
      </c>
    </row>
    <row r="53533" spans="1:4" x14ac:dyDescent="0.2">
      <c r="B53533" t="s">
        <v>90</v>
      </c>
    </row>
    <row r="53535" spans="1:4" x14ac:dyDescent="0.2">
      <c r="A53535" t="s">
        <v>16959</v>
      </c>
      <c r="B53535" t="str">
        <f>HYPERLINK("https://lindat.mff.cuni.cz/services/teitok/pdtc10/index.php?action=vallex&amp;frame=v-w7536hsa_1405", "vcítit se (v-w7536hsa_1405)")</f>
        <v>vcítit se (v-w7536hsa_1405)</v>
      </c>
    </row>
    <row r="53536" spans="1:4" x14ac:dyDescent="0.2">
      <c r="B53536" t="s">
        <v>1</v>
      </c>
    </row>
    <row r="53537" spans="1:3" x14ac:dyDescent="0.2">
      <c r="B53537" t="s">
        <v>9043</v>
      </c>
    </row>
    <row r="53539" spans="1:3" x14ac:dyDescent="0.2">
      <c r="A53539" t="s">
        <v>16959</v>
      </c>
      <c r="B53539" t="str">
        <f>HYPERLINK("https://lindat.mff.cuni.cz/services/teitok/pdtc10/index.php?action=vallex&amp;frame=v-w7536f1", "vcítit se (v-w7536f1) - substituted with v-w7536hsa_1405")</f>
        <v>vcítit se (v-w7536f1) - substituted with v-w7536hsa_1405</v>
      </c>
    </row>
    <row r="53540" spans="1:3" x14ac:dyDescent="0.2">
      <c r="B53540" t="s">
        <v>1</v>
      </c>
    </row>
    <row r="53541" spans="1:3" x14ac:dyDescent="0.2">
      <c r="B53541" t="s">
        <v>9043</v>
      </c>
    </row>
    <row r="53543" spans="1:3" x14ac:dyDescent="0.2">
      <c r="A53543" t="s">
        <v>16960</v>
      </c>
      <c r="B53543" t="str">
        <f>HYPERLINK("https://lindat.mff.cuni.cz/services/teitok/pdtc10/index.php?action=vallex&amp;frame=v-w10759f2", "vdechnout (v-w10759f2)")</f>
        <v>vdechnout (v-w10759f2)</v>
      </c>
    </row>
    <row r="53544" spans="1:3" x14ac:dyDescent="0.2">
      <c r="B53544" t="s">
        <v>1</v>
      </c>
      <c r="C53544" t="s">
        <v>11098</v>
      </c>
    </row>
    <row r="53545" spans="1:3" x14ac:dyDescent="0.2">
      <c r="B53545" t="s">
        <v>16961</v>
      </c>
      <c r="C53545" t="s">
        <v>16962</v>
      </c>
    </row>
    <row r="53546" spans="1:3" x14ac:dyDescent="0.2">
      <c r="B53546" t="s">
        <v>103</v>
      </c>
    </row>
    <row r="53548" spans="1:3" x14ac:dyDescent="0.2">
      <c r="A53548" t="s">
        <v>16963</v>
      </c>
      <c r="B53548" t="str">
        <f>HYPERLINK("https://lindat.mff.cuni.cz/services/teitok/pdtc10/index.php?action=vallex&amp;frame=v-whsa_315f1_ZU", "vdát (v-whsa_315f1_ZU)")</f>
        <v>vdát (v-whsa_315f1_ZU)</v>
      </c>
    </row>
    <row r="53549" spans="1:3" x14ac:dyDescent="0.2">
      <c r="B53549" t="s">
        <v>1</v>
      </c>
    </row>
    <row r="53550" spans="1:3" x14ac:dyDescent="0.2">
      <c r="B53550" t="s">
        <v>8</v>
      </c>
    </row>
    <row r="53551" spans="1:3" x14ac:dyDescent="0.2">
      <c r="B53551" t="s">
        <v>10916</v>
      </c>
    </row>
    <row r="53553" spans="1:4" x14ac:dyDescent="0.2">
      <c r="A53553" t="s">
        <v>16963</v>
      </c>
      <c r="B53553" t="str">
        <f>HYPERLINK("https://lindat.mff.cuni.cz/services/teitok/pdtc10/index.php?action=vallex&amp;frame=v-whsa_315hsa_316", "vdát (v-whsa_315hsa_316) - substituted with v-whsa_315f1_ZU")</f>
        <v>vdát (v-whsa_315hsa_316) - substituted with v-whsa_315f1_ZU</v>
      </c>
    </row>
    <row r="53554" spans="1:4" x14ac:dyDescent="0.2">
      <c r="B53554" t="s">
        <v>1</v>
      </c>
    </row>
    <row r="53555" spans="1:4" x14ac:dyDescent="0.2">
      <c r="B53555" t="s">
        <v>8</v>
      </c>
    </row>
    <row r="53556" spans="1:4" x14ac:dyDescent="0.2">
      <c r="B53556" t="s">
        <v>10916</v>
      </c>
    </row>
    <row r="53558" spans="1:4" x14ac:dyDescent="0.2">
      <c r="A53558" t="s">
        <v>16964</v>
      </c>
      <c r="B53558" t="str">
        <f>HYPERLINK("https://lindat.mff.cuni.cz/services/teitok/pdtc10/index.php?action=vallex&amp;frame=v-w7539f1", "vdát se (v-w7539f1)")</f>
        <v>vdát se (v-w7539f1)</v>
      </c>
    </row>
    <row r="53559" spans="1:4" x14ac:dyDescent="0.2">
      <c r="B53559" t="s">
        <v>1</v>
      </c>
      <c r="D53559" t="s">
        <v>33</v>
      </c>
    </row>
    <row r="53560" spans="1:4" x14ac:dyDescent="0.2">
      <c r="B53560" t="s">
        <v>1382</v>
      </c>
      <c r="D53560" t="s">
        <v>34</v>
      </c>
    </row>
    <row r="53562" spans="1:4" x14ac:dyDescent="0.2">
      <c r="A53562" t="s">
        <v>16965</v>
      </c>
      <c r="B53562" t="str">
        <f>HYPERLINK("https://lindat.mff.cuni.cz/services/teitok/pdtc10/index.php?action=vallex&amp;frame=v-whsa_256f1_ZU", "vdávat (v-whsa_256f1_ZU)")</f>
        <v>vdávat (v-whsa_256f1_ZU)</v>
      </c>
    </row>
    <row r="53563" spans="1:4" x14ac:dyDescent="0.2">
      <c r="B53563" t="s">
        <v>1</v>
      </c>
    </row>
    <row r="53564" spans="1:4" x14ac:dyDescent="0.2">
      <c r="B53564" t="s">
        <v>8</v>
      </c>
    </row>
    <row r="53565" spans="1:4" x14ac:dyDescent="0.2">
      <c r="B53565" t="s">
        <v>10916</v>
      </c>
    </row>
    <row r="53567" spans="1:4" x14ac:dyDescent="0.2">
      <c r="A53567" t="s">
        <v>16965</v>
      </c>
      <c r="B53567" t="str">
        <f>HYPERLINK("https://lindat.mff.cuni.cz/services/teitok/pdtc10/index.php?action=vallex&amp;frame=v-whsa_256hsa_257", "vdávat (v-whsa_256hsa_257) - substituted with v-whsa_256f1_ZU")</f>
        <v>vdávat (v-whsa_256hsa_257) - substituted with v-whsa_256f1_ZU</v>
      </c>
    </row>
    <row r="53568" spans="1:4" x14ac:dyDescent="0.2">
      <c r="B53568" t="s">
        <v>1</v>
      </c>
    </row>
    <row r="53569" spans="1:4" x14ac:dyDescent="0.2">
      <c r="B53569" t="s">
        <v>8</v>
      </c>
    </row>
    <row r="53570" spans="1:4" x14ac:dyDescent="0.2">
      <c r="B53570" t="s">
        <v>10916</v>
      </c>
    </row>
    <row r="53572" spans="1:4" x14ac:dyDescent="0.2">
      <c r="A53572" t="s">
        <v>16966</v>
      </c>
      <c r="B53572" t="str">
        <f>HYPERLINK("https://lindat.mff.cuni.cz/services/teitok/pdtc10/index.php?action=vallex&amp;frame=v-w7540f1", "vdávat se (v-w7540f1)")</f>
        <v>vdávat se (v-w7540f1)</v>
      </c>
    </row>
    <row r="53573" spans="1:4" x14ac:dyDescent="0.2">
      <c r="B53573" t="s">
        <v>1</v>
      </c>
    </row>
    <row r="53574" spans="1:4" x14ac:dyDescent="0.2">
      <c r="B53574" t="s">
        <v>357</v>
      </c>
    </row>
    <row r="53576" spans="1:4" x14ac:dyDescent="0.2">
      <c r="A53576" t="s">
        <v>16967</v>
      </c>
      <c r="B53576" t="str">
        <f>HYPERLINK("https://lindat.mff.cuni.cz/services/teitok/pdtc10/index.php?action=vallex&amp;frame=v-w7541f1", "vděčit (v-w7541f1)")</f>
        <v>vděčit (v-w7541f1)</v>
      </c>
    </row>
    <row r="53577" spans="1:4" x14ac:dyDescent="0.2">
      <c r="B53577" t="s">
        <v>1</v>
      </c>
      <c r="C53577" t="s">
        <v>337</v>
      </c>
    </row>
    <row r="53578" spans="1:4" x14ac:dyDescent="0.2">
      <c r="B53578" t="s">
        <v>357</v>
      </c>
      <c r="C53578" t="s">
        <v>16968</v>
      </c>
    </row>
    <row r="53579" spans="1:4" x14ac:dyDescent="0.2">
      <c r="B53579" t="s">
        <v>35</v>
      </c>
      <c r="C53579" t="s">
        <v>1379</v>
      </c>
    </row>
    <row r="53581" spans="1:4" x14ac:dyDescent="0.2">
      <c r="A53581" t="s">
        <v>16969</v>
      </c>
      <c r="B53581" t="str">
        <f>HYPERLINK("https://lindat.mff.cuni.cz/services/teitok/pdtc10/index.php?action=vallex&amp;frame=v-whsa_676hsa_677", "vecpat se (v-whsa_676hsa_677)")</f>
        <v>vecpat se (v-whsa_676hsa_677)</v>
      </c>
    </row>
    <row r="53582" spans="1:4" x14ac:dyDescent="0.2">
      <c r="B53582" t="s">
        <v>1</v>
      </c>
      <c r="C53582" t="s">
        <v>140</v>
      </c>
      <c r="D53582" t="s">
        <v>24324</v>
      </c>
    </row>
    <row r="53583" spans="1:4" x14ac:dyDescent="0.2">
      <c r="B53583" t="s">
        <v>90</v>
      </c>
      <c r="C53583" t="s">
        <v>1796</v>
      </c>
      <c r="D53583" t="s">
        <v>24325</v>
      </c>
    </row>
    <row r="53585" spans="1:3" x14ac:dyDescent="0.2">
      <c r="A53585" t="s">
        <v>16970</v>
      </c>
      <c r="B53585" t="str">
        <f>HYPERLINK("https://lindat.mff.cuni.cz/services/teitok/pdtc10/index.php?action=vallex&amp;frame=v-w10263f2", "vecpávat (v-w10263f2)")</f>
        <v>vecpávat (v-w10263f2)</v>
      </c>
    </row>
    <row r="53586" spans="1:3" x14ac:dyDescent="0.2">
      <c r="B53586" t="s">
        <v>1</v>
      </c>
    </row>
    <row r="53587" spans="1:3" x14ac:dyDescent="0.2">
      <c r="B53587" t="s">
        <v>8</v>
      </c>
    </row>
    <row r="53588" spans="1:3" x14ac:dyDescent="0.2">
      <c r="B53588" t="s">
        <v>90</v>
      </c>
    </row>
    <row r="53590" spans="1:3" x14ac:dyDescent="0.2">
      <c r="A53590" t="s">
        <v>16971</v>
      </c>
      <c r="B53590" t="str">
        <f>HYPERLINK("https://lindat.mff.cuni.cz/services/teitok/pdtc10/index.php?action=vallex&amp;frame=v-whsa_1350hsa_1351", "vegetovat (v-whsa_1350hsa_1351)")</f>
        <v>vegetovat (v-whsa_1350hsa_1351)</v>
      </c>
    </row>
    <row r="53591" spans="1:3" x14ac:dyDescent="0.2">
      <c r="B53591" t="s">
        <v>1</v>
      </c>
    </row>
    <row r="53593" spans="1:3" x14ac:dyDescent="0.2">
      <c r="A53593" t="s">
        <v>16972</v>
      </c>
      <c r="B53593" t="str">
        <f>HYPERLINK("https://lindat.mff.cuni.cz/services/teitok/pdtc10/index.php?action=vallex&amp;frame=v-w11135f2", "vehnat (v-w11135f2)")</f>
        <v>vehnat (v-w11135f2)</v>
      </c>
    </row>
    <row r="53594" spans="1:3" x14ac:dyDescent="0.2">
      <c r="B53594" t="s">
        <v>1</v>
      </c>
      <c r="C53594" t="s">
        <v>11098</v>
      </c>
    </row>
    <row r="53595" spans="1:3" x14ac:dyDescent="0.2">
      <c r="B53595" t="s">
        <v>8</v>
      </c>
      <c r="C53595" t="s">
        <v>6651</v>
      </c>
    </row>
    <row r="53596" spans="1:3" x14ac:dyDescent="0.2">
      <c r="B53596" t="s">
        <v>90</v>
      </c>
    </row>
    <row r="53598" spans="1:3" x14ac:dyDescent="0.2">
      <c r="A53598" t="s">
        <v>16973</v>
      </c>
      <c r="B53598" t="str">
        <f>HYPERLINK("https://lindat.mff.cuni.cz/services/teitok/pdtc10/index.php?action=vallex&amp;frame=v-w7556f3", "vejít (v-w7556f3)")</f>
        <v>vejít (v-w7556f3)</v>
      </c>
    </row>
    <row r="53599" spans="1:3" x14ac:dyDescent="0.2">
      <c r="B53599" t="s">
        <v>1</v>
      </c>
    </row>
    <row r="53600" spans="1:3" x14ac:dyDescent="0.2">
      <c r="B53600" t="s">
        <v>205</v>
      </c>
    </row>
    <row r="53602" spans="1:4" x14ac:dyDescent="0.2">
      <c r="A53602" t="s">
        <v>16974</v>
      </c>
      <c r="B53602" t="str">
        <f>HYPERLINK("https://lindat.mff.cuni.cz/services/teitok/pdtc10/index.php?action=vallex&amp;frame=v-w7556f1", "vejít (v-w7556f1)")</f>
        <v>vejít (v-w7556f1)</v>
      </c>
    </row>
    <row r="53603" spans="1:4" x14ac:dyDescent="0.2">
      <c r="B53603" t="s">
        <v>1</v>
      </c>
      <c r="C53603" t="s">
        <v>13936</v>
      </c>
      <c r="D53603" t="s">
        <v>23107</v>
      </c>
    </row>
    <row r="53604" spans="1:4" x14ac:dyDescent="0.2">
      <c r="B53604" t="s">
        <v>90</v>
      </c>
      <c r="C53604" t="s">
        <v>16957</v>
      </c>
      <c r="D53604" t="s">
        <v>23108</v>
      </c>
    </row>
    <row r="53606" spans="1:4" x14ac:dyDescent="0.2">
      <c r="A53606" t="s">
        <v>16975</v>
      </c>
      <c r="B53606" t="str">
        <f>HYPERLINK("https://lindat.mff.cuni.cz/services/teitok/pdtc10/index.php?action=vallex&amp;frame=v-w7556f4_ZU", "vejít (v-w7556f4_ZU)")</f>
        <v>vejít (v-w7556f4_ZU)</v>
      </c>
    </row>
    <row r="53607" spans="1:4" x14ac:dyDescent="0.2">
      <c r="B53607" t="s">
        <v>16976</v>
      </c>
      <c r="C53607" t="s">
        <v>16977</v>
      </c>
      <c r="D53607" t="s">
        <v>23198</v>
      </c>
    </row>
    <row r="53608" spans="1:4" x14ac:dyDescent="0.2">
      <c r="B53608" t="s">
        <v>16978</v>
      </c>
      <c r="C53608" t="s">
        <v>16979</v>
      </c>
      <c r="D53608" t="s">
        <v>24326</v>
      </c>
    </row>
    <row r="53610" spans="1:4" x14ac:dyDescent="0.2">
      <c r="A53610" t="s">
        <v>16975</v>
      </c>
      <c r="B53610" t="str">
        <f>HYPERLINK("https://lindat.mff.cuni.cz/services/teitok/pdtc10/index.php?action=vallex&amp;frame=v-w7556f2", "vejít (v-w7556f2) - substituted with v-w7556f4_ZU")</f>
        <v>vejít (v-w7556f2) - substituted with v-w7556f4_ZU</v>
      </c>
    </row>
    <row r="53611" spans="1:4" x14ac:dyDescent="0.2">
      <c r="B53611" t="s">
        <v>16976</v>
      </c>
      <c r="C53611" t="s">
        <v>16977</v>
      </c>
    </row>
    <row r="53612" spans="1:4" x14ac:dyDescent="0.2">
      <c r="B53612" t="s">
        <v>16978</v>
      </c>
      <c r="C53612" t="s">
        <v>16979</v>
      </c>
    </row>
    <row r="53614" spans="1:4" x14ac:dyDescent="0.2">
      <c r="A53614" t="s">
        <v>16980</v>
      </c>
      <c r="B53614" t="str">
        <f>HYPERLINK("https://lindat.mff.cuni.cz/services/teitok/pdtc10/index.php?action=vallex&amp;frame=v-w7557f1", "vejít se (v-w7557f1)")</f>
        <v>vejít se (v-w7557f1)</v>
      </c>
    </row>
    <row r="53615" spans="1:4" x14ac:dyDescent="0.2">
      <c r="B53615" t="s">
        <v>1</v>
      </c>
      <c r="C53615" t="s">
        <v>16981</v>
      </c>
    </row>
    <row r="53616" spans="1:4" x14ac:dyDescent="0.2">
      <c r="B53616" t="s">
        <v>90</v>
      </c>
    </row>
    <row r="53618" spans="1:4" x14ac:dyDescent="0.2">
      <c r="A53618" t="s">
        <v>16982</v>
      </c>
      <c r="B53618" t="str">
        <f>HYPERLINK("https://lindat.mff.cuni.cz/services/teitok/pdtc10/index.php?action=vallex&amp;frame=v-w7557f2_ZU", "vejít se (v-w7557f2_ZU)")</f>
        <v>vejít se (v-w7557f2_ZU)</v>
      </c>
    </row>
    <row r="53619" spans="1:4" x14ac:dyDescent="0.2">
      <c r="B53619" t="s">
        <v>1</v>
      </c>
    </row>
    <row r="53620" spans="1:4" x14ac:dyDescent="0.2">
      <c r="B53620" t="s">
        <v>889</v>
      </c>
    </row>
    <row r="53622" spans="1:4" x14ac:dyDescent="0.2">
      <c r="A53622" t="s">
        <v>16983</v>
      </c>
      <c r="B53622" t="str">
        <f>HYPERLINK("https://lindat.mff.cuni.cz/services/teitok/pdtc10/index.php?action=vallex&amp;frame=v-w7558f1", "velebit (v-w7558f1)")</f>
        <v>velebit (v-w7558f1)</v>
      </c>
    </row>
    <row r="53623" spans="1:4" x14ac:dyDescent="0.2">
      <c r="B53623" t="s">
        <v>1</v>
      </c>
      <c r="C53623" t="s">
        <v>990</v>
      </c>
      <c r="D53623" t="s">
        <v>1581</v>
      </c>
    </row>
    <row r="53624" spans="1:4" x14ac:dyDescent="0.2">
      <c r="B53624" t="s">
        <v>7992</v>
      </c>
      <c r="C53624" t="s">
        <v>1025</v>
      </c>
      <c r="D53624" t="s">
        <v>23058</v>
      </c>
    </row>
    <row r="53626" spans="1:4" x14ac:dyDescent="0.2">
      <c r="A53626" t="s">
        <v>16984</v>
      </c>
      <c r="B53626" t="str">
        <f>HYPERLINK("https://lindat.mff.cuni.cz/services/teitok/pdtc10/index.php?action=vallex&amp;frame=v-w7561f2", "velet (v-w7561f2)")</f>
        <v>velet (v-w7561f2)</v>
      </c>
    </row>
    <row r="53627" spans="1:4" x14ac:dyDescent="0.2">
      <c r="B53627" t="s">
        <v>1</v>
      </c>
    </row>
    <row r="53628" spans="1:4" x14ac:dyDescent="0.2">
      <c r="B53628" t="s">
        <v>16985</v>
      </c>
    </row>
    <row r="53629" spans="1:4" x14ac:dyDescent="0.2">
      <c r="B53629" t="s">
        <v>35</v>
      </c>
    </row>
    <row r="53631" spans="1:4" x14ac:dyDescent="0.2">
      <c r="A53631" t="s">
        <v>16986</v>
      </c>
      <c r="B53631" t="str">
        <f>HYPERLINK("https://lindat.mff.cuni.cz/services/teitok/pdtc10/index.php?action=vallex&amp;frame=v-w7561f1", "velet (v-w7561f1)")</f>
        <v>velet (v-w7561f1)</v>
      </c>
    </row>
    <row r="53632" spans="1:4" x14ac:dyDescent="0.2">
      <c r="B53632" t="s">
        <v>1</v>
      </c>
    </row>
    <row r="53633" spans="1:3" x14ac:dyDescent="0.2">
      <c r="B53633" t="s">
        <v>103</v>
      </c>
    </row>
    <row r="53635" spans="1:3" x14ac:dyDescent="0.2">
      <c r="A53635" t="s">
        <v>16987</v>
      </c>
      <c r="B53635" t="str">
        <f>HYPERLINK("https://lindat.mff.cuni.cz/services/teitok/pdtc10/index.php?action=vallex&amp;frame=v-w10742f2", "ventilovat (v-w10742f2)")</f>
        <v>ventilovat (v-w10742f2)</v>
      </c>
    </row>
    <row r="53636" spans="1:3" x14ac:dyDescent="0.2">
      <c r="B53636" t="s">
        <v>1</v>
      </c>
      <c r="C53636" t="s">
        <v>334</v>
      </c>
    </row>
    <row r="53637" spans="1:3" x14ac:dyDescent="0.2">
      <c r="B53637" t="s">
        <v>8</v>
      </c>
      <c r="C53637" t="s">
        <v>56</v>
      </c>
    </row>
    <row r="53639" spans="1:3" x14ac:dyDescent="0.2">
      <c r="A53639" t="s">
        <v>16988</v>
      </c>
      <c r="B53639" t="str">
        <f>HYPERLINK("https://lindat.mff.cuni.cz/services/teitok/pdtc10/index.php?action=vallex&amp;frame=v-w10742f3_ZU", "ventilovat (v-w10742f3_ZU)")</f>
        <v>ventilovat (v-w10742f3_ZU)</v>
      </c>
    </row>
    <row r="53640" spans="1:3" x14ac:dyDescent="0.2">
      <c r="B53640" t="s">
        <v>1</v>
      </c>
    </row>
    <row r="53641" spans="1:3" x14ac:dyDescent="0.2">
      <c r="B53641" t="s">
        <v>8</v>
      </c>
    </row>
    <row r="53642" spans="1:3" x14ac:dyDescent="0.2">
      <c r="B53642" t="s">
        <v>35</v>
      </c>
    </row>
    <row r="53644" spans="1:3" x14ac:dyDescent="0.2">
      <c r="A53644" t="s">
        <v>16989</v>
      </c>
      <c r="B53644" t="str">
        <f>HYPERLINK("https://lindat.mff.cuni.cz/services/teitok/pdtc10/index.php?action=vallex&amp;frame=v-w11931_ZUf1_ZU", "venčit (v-w11931_ZUf1_ZU)")</f>
        <v>venčit (v-w11931_ZUf1_ZU)</v>
      </c>
    </row>
    <row r="53645" spans="1:3" x14ac:dyDescent="0.2">
      <c r="B53645" t="s">
        <v>1</v>
      </c>
    </row>
    <row r="53646" spans="1:3" x14ac:dyDescent="0.2">
      <c r="B53646" t="s">
        <v>8</v>
      </c>
    </row>
    <row r="53648" spans="1:3" x14ac:dyDescent="0.2">
      <c r="A53648" t="s">
        <v>16990</v>
      </c>
      <c r="B53648" t="str">
        <f>HYPERLINK("https://lindat.mff.cuni.cz/services/teitok/pdtc10/index.php?action=vallex&amp;frame=v-w7571f1", "vepsat (v-w7571f1)")</f>
        <v>vepsat (v-w7571f1)</v>
      </c>
    </row>
    <row r="53649" spans="1:4" x14ac:dyDescent="0.2">
      <c r="B53649" t="s">
        <v>1</v>
      </c>
      <c r="C53649" t="s">
        <v>140</v>
      </c>
      <c r="D53649" t="s">
        <v>24327</v>
      </c>
    </row>
    <row r="53650" spans="1:4" x14ac:dyDescent="0.2">
      <c r="B53650" t="s">
        <v>41</v>
      </c>
      <c r="C53650" t="s">
        <v>34</v>
      </c>
      <c r="D53650" t="s">
        <v>23174</v>
      </c>
    </row>
    <row r="53651" spans="1:4" x14ac:dyDescent="0.2">
      <c r="B53651" t="s">
        <v>90</v>
      </c>
      <c r="D53651" t="s">
        <v>24328</v>
      </c>
    </row>
    <row r="53653" spans="1:4" x14ac:dyDescent="0.2">
      <c r="A53653" t="s">
        <v>16991</v>
      </c>
      <c r="B53653" t="str">
        <f>HYPERLINK("https://lindat.mff.cuni.cz/services/teitok/pdtc10/index.php?action=vallex&amp;frame=v-w7572f1", "vepsat se (v-w7572f1)")</f>
        <v>vepsat se (v-w7572f1)</v>
      </c>
    </row>
    <row r="53654" spans="1:4" x14ac:dyDescent="0.2">
      <c r="B53654" t="s">
        <v>1</v>
      </c>
    </row>
    <row r="53655" spans="1:4" x14ac:dyDescent="0.2">
      <c r="B53655" t="s">
        <v>90</v>
      </c>
    </row>
    <row r="53657" spans="1:4" x14ac:dyDescent="0.2">
      <c r="A53657" t="s">
        <v>16992</v>
      </c>
      <c r="B53657" t="str">
        <f>HYPERLINK("https://lindat.mff.cuni.cz/services/teitok/pdtc10/index.php?action=vallex&amp;frame=v-w7573f1", "verbovat (v-w7573f1)")</f>
        <v>verbovat (v-w7573f1)</v>
      </c>
    </row>
    <row r="53658" spans="1:4" x14ac:dyDescent="0.2">
      <c r="B53658" t="s">
        <v>1</v>
      </c>
      <c r="C53658" t="s">
        <v>22</v>
      </c>
      <c r="D53658" t="s">
        <v>96</v>
      </c>
    </row>
    <row r="53659" spans="1:4" x14ac:dyDescent="0.2">
      <c r="B53659" t="s">
        <v>8</v>
      </c>
      <c r="C53659" t="s">
        <v>1044</v>
      </c>
      <c r="D53659" t="s">
        <v>23533</v>
      </c>
    </row>
    <row r="53661" spans="1:4" x14ac:dyDescent="0.2">
      <c r="A53661" t="s">
        <v>16993</v>
      </c>
      <c r="B53661" t="str">
        <f>HYPERLINK("https://lindat.mff.cuni.cz/services/teitok/pdtc10/index.php?action=vallex&amp;frame=v-w7582f1", "veselit se (v-w7582f1)")</f>
        <v>veselit se (v-w7582f1)</v>
      </c>
    </row>
    <row r="53662" spans="1:4" x14ac:dyDescent="0.2">
      <c r="B53662" t="s">
        <v>1</v>
      </c>
      <c r="D53662" t="s">
        <v>33</v>
      </c>
    </row>
    <row r="53663" spans="1:4" x14ac:dyDescent="0.2">
      <c r="B53663" t="s">
        <v>3091</v>
      </c>
      <c r="D53663" t="s">
        <v>991</v>
      </c>
    </row>
    <row r="53665" spans="1:2" x14ac:dyDescent="0.2">
      <c r="A53665" t="s">
        <v>16994</v>
      </c>
      <c r="B53665" t="str">
        <f>HYPERLINK("https://lindat.mff.cuni.cz/services/teitok/pdtc10/index.php?action=vallex&amp;frame=v-w10521f2", "veslovat (v-w10521f2)")</f>
        <v>veslovat (v-w10521f2)</v>
      </c>
    </row>
    <row r="53666" spans="1:2" x14ac:dyDescent="0.2">
      <c r="B53666" t="s">
        <v>1</v>
      </c>
    </row>
    <row r="53668" spans="1:2" x14ac:dyDescent="0.2">
      <c r="A53668" t="s">
        <v>16995</v>
      </c>
      <c r="B53668" t="str">
        <f>HYPERLINK("https://lindat.mff.cuni.cz/services/teitok/pdtc10/index.php?action=vallex&amp;frame=v-w7584f1", "vestavět (v-w7584f1)")</f>
        <v>vestavět (v-w7584f1)</v>
      </c>
    </row>
    <row r="53669" spans="1:2" x14ac:dyDescent="0.2">
      <c r="B53669" t="s">
        <v>1</v>
      </c>
    </row>
    <row r="53670" spans="1:2" x14ac:dyDescent="0.2">
      <c r="B53670" t="s">
        <v>8</v>
      </c>
    </row>
    <row r="53671" spans="1:2" x14ac:dyDescent="0.2">
      <c r="B53671" t="s">
        <v>90</v>
      </c>
    </row>
    <row r="53673" spans="1:2" x14ac:dyDescent="0.2">
      <c r="A53673" t="s">
        <v>16996</v>
      </c>
      <c r="B53673" t="str">
        <f>HYPERLINK("https://lindat.mff.cuni.cz/services/teitok/pdtc10/index.php?action=vallex&amp;frame=v-w7590f1", "vetkat (v-w7590f1)")</f>
        <v>vetkat (v-w7590f1)</v>
      </c>
    </row>
    <row r="53674" spans="1:2" x14ac:dyDescent="0.2">
      <c r="B53674" t="s">
        <v>1</v>
      </c>
    </row>
    <row r="53675" spans="1:2" x14ac:dyDescent="0.2">
      <c r="B53675" t="s">
        <v>8</v>
      </c>
    </row>
    <row r="53676" spans="1:2" x14ac:dyDescent="0.2">
      <c r="B53676" t="s">
        <v>90</v>
      </c>
    </row>
    <row r="53678" spans="1:2" x14ac:dyDescent="0.2">
      <c r="A53678" t="s">
        <v>16997</v>
      </c>
      <c r="B53678" t="str">
        <f>HYPERLINK("https://lindat.mff.cuni.cz/services/teitok/pdtc10/index.php?action=vallex&amp;frame=v-w10195f3", "vetknout (v-w10195f3)")</f>
        <v>vetknout (v-w10195f3)</v>
      </c>
    </row>
    <row r="53679" spans="1:2" x14ac:dyDescent="0.2">
      <c r="B53679" t="s">
        <v>1</v>
      </c>
    </row>
    <row r="53680" spans="1:2" x14ac:dyDescent="0.2">
      <c r="B53680" t="s">
        <v>8</v>
      </c>
    </row>
    <row r="53681" spans="1:4" x14ac:dyDescent="0.2">
      <c r="B53681" t="s">
        <v>90</v>
      </c>
    </row>
    <row r="53683" spans="1:4" x14ac:dyDescent="0.2">
      <c r="A53683" t="s">
        <v>16998</v>
      </c>
      <c r="B53683" t="str">
        <f>HYPERLINK("https://lindat.mff.cuni.cz/services/teitok/pdtc10/index.php?action=vallex&amp;frame=v-w7592f1", "vetovat (v-w7592f1)")</f>
        <v>vetovat (v-w7592f1)</v>
      </c>
    </row>
    <row r="53684" spans="1:4" x14ac:dyDescent="0.2">
      <c r="B53684" t="s">
        <v>1</v>
      </c>
      <c r="C53684" t="s">
        <v>306</v>
      </c>
      <c r="D53684" t="s">
        <v>22980</v>
      </c>
    </row>
    <row r="53685" spans="1:4" x14ac:dyDescent="0.2">
      <c r="B53685" t="s">
        <v>8</v>
      </c>
      <c r="C53685" t="s">
        <v>3736</v>
      </c>
      <c r="D53685" t="s">
        <v>22981</v>
      </c>
    </row>
    <row r="53687" spans="1:4" x14ac:dyDescent="0.2">
      <c r="A53687" t="s">
        <v>16999</v>
      </c>
      <c r="B53687" t="str">
        <f>HYPERLINK("https://lindat.mff.cuni.cz/services/teitok/pdtc10/index.php?action=vallex&amp;frame=v-w7595f1", "vetřít se (v-w7595f1)")</f>
        <v>vetřít se (v-w7595f1)</v>
      </c>
    </row>
    <row r="53688" spans="1:4" x14ac:dyDescent="0.2">
      <c r="B53688" t="s">
        <v>1</v>
      </c>
      <c r="D53688" t="s">
        <v>23107</v>
      </c>
    </row>
    <row r="53689" spans="1:4" x14ac:dyDescent="0.2">
      <c r="B53689" t="s">
        <v>90</v>
      </c>
      <c r="C53689" t="s">
        <v>3819</v>
      </c>
      <c r="D53689" t="s">
        <v>23108</v>
      </c>
    </row>
    <row r="53691" spans="1:4" x14ac:dyDescent="0.2">
      <c r="A53691" t="s">
        <v>17000</v>
      </c>
      <c r="B53691" t="str">
        <f>HYPERLINK("https://lindat.mff.cuni.cz/services/teitok/pdtc10/index.php?action=vallex&amp;frame=v-w10468f2", "večeřet (v-w10468f2)")</f>
        <v>večeřet (v-w10468f2)</v>
      </c>
    </row>
    <row r="53692" spans="1:4" x14ac:dyDescent="0.2">
      <c r="B53692" t="s">
        <v>1</v>
      </c>
      <c r="C53692" t="s">
        <v>140</v>
      </c>
      <c r="D53692" t="s">
        <v>140</v>
      </c>
    </row>
    <row r="53693" spans="1:4" x14ac:dyDescent="0.2">
      <c r="B53693" t="s">
        <v>8</v>
      </c>
    </row>
    <row r="53695" spans="1:4" x14ac:dyDescent="0.2">
      <c r="A53695" t="s">
        <v>17001</v>
      </c>
      <c r="B53695" t="str">
        <f>HYPERLINK("https://lindat.mff.cuni.cz/services/teitok/pdtc10/index.php?action=vallex&amp;frame=v-w7606f1", "vhazovat (v-w7606f1)")</f>
        <v>vhazovat (v-w7606f1)</v>
      </c>
    </row>
    <row r="53696" spans="1:4" x14ac:dyDescent="0.2">
      <c r="B53696" t="s">
        <v>1</v>
      </c>
      <c r="D53696" t="s">
        <v>23085</v>
      </c>
    </row>
    <row r="53697" spans="1:4" x14ac:dyDescent="0.2">
      <c r="B53697" t="s">
        <v>8</v>
      </c>
      <c r="D53697" t="s">
        <v>24329</v>
      </c>
    </row>
    <row r="53698" spans="1:4" x14ac:dyDescent="0.2">
      <c r="B53698" t="s">
        <v>90</v>
      </c>
      <c r="D53698" t="s">
        <v>12525</v>
      </c>
    </row>
    <row r="53700" spans="1:4" x14ac:dyDescent="0.2">
      <c r="A53700" t="s">
        <v>17002</v>
      </c>
      <c r="B53700" t="str">
        <f>HYPERLINK("https://lindat.mff.cuni.cz/services/teitok/pdtc10/index.php?action=vallex&amp;frame=v-w12318_MMf1_MM", "vhlížet (v-w12318_MMf1_MM)")</f>
        <v>vhlížet (v-w12318_MMf1_MM)</v>
      </c>
    </row>
    <row r="53701" spans="1:4" x14ac:dyDescent="0.2">
      <c r="B53701" t="s">
        <v>1</v>
      </c>
    </row>
    <row r="53702" spans="1:4" x14ac:dyDescent="0.2">
      <c r="B53702" t="s">
        <v>90</v>
      </c>
    </row>
    <row r="53704" spans="1:4" x14ac:dyDescent="0.2">
      <c r="A53704" t="s">
        <v>17003</v>
      </c>
      <c r="B53704" t="str">
        <f>HYPERLINK("https://lindat.mff.cuni.cz/services/teitok/pdtc10/index.php?action=vallex&amp;frame=v-w7607f1", "vhodit (v-w7607f1)")</f>
        <v>vhodit (v-w7607f1)</v>
      </c>
    </row>
    <row r="53705" spans="1:4" x14ac:dyDescent="0.2">
      <c r="B53705" t="s">
        <v>1</v>
      </c>
      <c r="C53705" t="s">
        <v>140</v>
      </c>
      <c r="D53705" t="s">
        <v>430</v>
      </c>
    </row>
    <row r="53706" spans="1:4" x14ac:dyDescent="0.2">
      <c r="B53706" t="s">
        <v>8</v>
      </c>
      <c r="D53706" t="s">
        <v>335</v>
      </c>
    </row>
    <row r="53707" spans="1:4" x14ac:dyDescent="0.2">
      <c r="B53707" t="s">
        <v>90</v>
      </c>
      <c r="C53707" t="s">
        <v>4392</v>
      </c>
    </row>
    <row r="53709" spans="1:4" x14ac:dyDescent="0.2">
      <c r="A53709" t="s">
        <v>17004</v>
      </c>
      <c r="B53709" t="str">
        <f>HYPERLINK("https://lindat.mff.cuni.cz/services/teitok/pdtc10/index.php?action=vallex&amp;frame=v-whsa_827hsa_828", "vhánět (v-whsa_827hsa_828)")</f>
        <v>vhánět (v-whsa_827hsa_828)</v>
      </c>
    </row>
    <row r="53710" spans="1:4" x14ac:dyDescent="0.2">
      <c r="B53710" t="s">
        <v>1</v>
      </c>
    </row>
    <row r="53711" spans="1:4" x14ac:dyDescent="0.2">
      <c r="B53711" t="s">
        <v>8</v>
      </c>
    </row>
    <row r="53712" spans="1:4" x14ac:dyDescent="0.2">
      <c r="B53712" t="s">
        <v>90</v>
      </c>
    </row>
    <row r="53714" spans="1:4" x14ac:dyDescent="0.2">
      <c r="A53714" t="s">
        <v>17005</v>
      </c>
      <c r="B53714" t="str">
        <f>HYPERLINK("https://lindat.mff.cuni.cz/services/teitok/pdtc10/index.php?action=vallex&amp;frame=v-w7612f17_ZU", "vidět (v-w7612f17_ZU)")</f>
        <v>vidět (v-w7612f17_ZU)</v>
      </c>
    </row>
    <row r="53715" spans="1:4" x14ac:dyDescent="0.2">
      <c r="B53715" t="s">
        <v>1</v>
      </c>
      <c r="C53715" t="s">
        <v>2125</v>
      </c>
    </row>
    <row r="53716" spans="1:4" x14ac:dyDescent="0.2">
      <c r="B53716" t="s">
        <v>41</v>
      </c>
      <c r="C53716" t="s">
        <v>8709</v>
      </c>
    </row>
    <row r="53717" spans="1:4" x14ac:dyDescent="0.2">
      <c r="B53717" t="s">
        <v>17006</v>
      </c>
      <c r="C53717" t="s">
        <v>17007</v>
      </c>
    </row>
    <row r="53719" spans="1:4" x14ac:dyDescent="0.2">
      <c r="A53719" t="s">
        <v>17005</v>
      </c>
      <c r="B53719" t="str">
        <f>HYPERLINK("https://lindat.mff.cuni.cz/services/teitok/pdtc10/index.php?action=vallex&amp;frame=v-w7612f2", "vidět (v-w7612f2) - substituted with v-w7612f17_ZU")</f>
        <v>vidět (v-w7612f2) - substituted with v-w7612f17_ZU</v>
      </c>
    </row>
    <row r="53720" spans="1:4" x14ac:dyDescent="0.2">
      <c r="B53720" t="s">
        <v>1</v>
      </c>
      <c r="C53720" t="s">
        <v>17008</v>
      </c>
    </row>
    <row r="53721" spans="1:4" x14ac:dyDescent="0.2">
      <c r="B53721" t="s">
        <v>41</v>
      </c>
      <c r="C53721" t="s">
        <v>17009</v>
      </c>
    </row>
    <row r="53722" spans="1:4" x14ac:dyDescent="0.2">
      <c r="B53722" t="s">
        <v>17006</v>
      </c>
      <c r="C53722" t="s">
        <v>17010</v>
      </c>
    </row>
    <row r="53724" spans="1:4" x14ac:dyDescent="0.2">
      <c r="A53724" t="s">
        <v>17011</v>
      </c>
      <c r="B53724" t="str">
        <f>HYPERLINK("https://lindat.mff.cuni.cz/services/teitok/pdtc10/index.php?action=vallex&amp;frame=v-w7612f4", "vidět (v-w7612f4)")</f>
        <v>vidět (v-w7612f4)</v>
      </c>
    </row>
    <row r="53725" spans="1:4" x14ac:dyDescent="0.2">
      <c r="B53725" t="s">
        <v>1</v>
      </c>
      <c r="C53725" t="s">
        <v>17012</v>
      </c>
      <c r="D53725" t="s">
        <v>23008</v>
      </c>
    </row>
    <row r="53726" spans="1:4" x14ac:dyDescent="0.2">
      <c r="B53726" t="s">
        <v>8</v>
      </c>
      <c r="C53726" t="s">
        <v>17013</v>
      </c>
      <c r="D53726" t="s">
        <v>17729</v>
      </c>
    </row>
    <row r="53727" spans="1:4" x14ac:dyDescent="0.2">
      <c r="B53727" t="s">
        <v>1151</v>
      </c>
      <c r="C53727" t="s">
        <v>17014</v>
      </c>
      <c r="D53727" t="s">
        <v>23009</v>
      </c>
    </row>
    <row r="53729" spans="1:4" x14ac:dyDescent="0.2">
      <c r="A53729" t="s">
        <v>17015</v>
      </c>
      <c r="B53729" t="str">
        <f>HYPERLINK("https://lindat.mff.cuni.cz/services/teitok/pdtc10/index.php?action=vallex&amp;frame=v-w7612f23_ZU", "vidět (v-w7612f23_ZU)")</f>
        <v>vidět (v-w7612f23_ZU)</v>
      </c>
    </row>
    <row r="53730" spans="1:4" x14ac:dyDescent="0.2">
      <c r="B53730" t="s">
        <v>1</v>
      </c>
    </row>
    <row r="53731" spans="1:4" x14ac:dyDescent="0.2">
      <c r="B53731" t="s">
        <v>8</v>
      </c>
    </row>
    <row r="53732" spans="1:4" x14ac:dyDescent="0.2">
      <c r="B53732" t="s">
        <v>17016</v>
      </c>
    </row>
    <row r="53734" spans="1:4" x14ac:dyDescent="0.2">
      <c r="A53734" t="s">
        <v>17015</v>
      </c>
      <c r="B53734" t="str">
        <f>HYPERLINK("https://lindat.mff.cuni.cz/services/teitok/pdtc10/index.php?action=vallex&amp;frame=v-w7612f5", "vidět (v-w7612f5) - substituted with v-w7612f23_ZU")</f>
        <v>vidět (v-w7612f5) - substituted with v-w7612f23_ZU</v>
      </c>
    </row>
    <row r="53735" spans="1:4" x14ac:dyDescent="0.2">
      <c r="B53735" t="s">
        <v>1</v>
      </c>
      <c r="C53735" t="s">
        <v>682</v>
      </c>
      <c r="D53735" t="s">
        <v>24183</v>
      </c>
    </row>
    <row r="53736" spans="1:4" x14ac:dyDescent="0.2">
      <c r="B53736" t="s">
        <v>8</v>
      </c>
      <c r="D53736" t="s">
        <v>24184</v>
      </c>
    </row>
    <row r="53737" spans="1:4" x14ac:dyDescent="0.2">
      <c r="B53737" t="s">
        <v>17016</v>
      </c>
      <c r="C53737" t="s">
        <v>14538</v>
      </c>
    </row>
    <row r="53739" spans="1:4" x14ac:dyDescent="0.2">
      <c r="A53739" t="s">
        <v>17017</v>
      </c>
      <c r="B53739" t="str">
        <f>HYPERLINK("https://lindat.mff.cuni.cz/services/teitok/pdtc10/index.php?action=vallex&amp;frame=v-w7612f9", "vidět (v-w7612f9)")</f>
        <v>vidět (v-w7612f9)</v>
      </c>
    </row>
    <row r="53740" spans="1:4" x14ac:dyDescent="0.2">
      <c r="B53740" t="s">
        <v>1</v>
      </c>
    </row>
    <row r="53741" spans="1:4" x14ac:dyDescent="0.2">
      <c r="B53741" t="s">
        <v>103</v>
      </c>
    </row>
    <row r="53742" spans="1:4" x14ac:dyDescent="0.2">
      <c r="B53742" t="s">
        <v>90</v>
      </c>
    </row>
    <row r="53744" spans="1:4" x14ac:dyDescent="0.2">
      <c r="A53744" t="s">
        <v>17018</v>
      </c>
      <c r="B53744" t="str">
        <f>HYPERLINK("https://lindat.mff.cuni.cz/services/teitok/pdtc10/index.php?action=vallex&amp;frame=v-w7612f8", "vidět (v-w7612f8)")</f>
        <v>vidět (v-w7612f8)</v>
      </c>
    </row>
    <row r="53745" spans="1:3" x14ac:dyDescent="0.2">
      <c r="B53745" t="s">
        <v>1</v>
      </c>
    </row>
    <row r="53746" spans="1:3" x14ac:dyDescent="0.2">
      <c r="B53746" t="s">
        <v>411</v>
      </c>
    </row>
    <row r="53747" spans="1:3" x14ac:dyDescent="0.2">
      <c r="B53747" t="s">
        <v>1056</v>
      </c>
    </row>
    <row r="53749" spans="1:3" x14ac:dyDescent="0.2">
      <c r="A53749" t="s">
        <v>17019</v>
      </c>
      <c r="B53749" t="str">
        <f>HYPERLINK("https://lindat.mff.cuni.cz/services/teitok/pdtc10/index.php?action=vallex&amp;frame=v-w7612f22_ZU", "vidět (v-w7612f22_ZU)")</f>
        <v>vidět (v-w7612f22_ZU)</v>
      </c>
    </row>
    <row r="53750" spans="1:3" x14ac:dyDescent="0.2">
      <c r="B53750" t="s">
        <v>1</v>
      </c>
    </row>
    <row r="53751" spans="1:3" x14ac:dyDescent="0.2">
      <c r="B53751" t="s">
        <v>17020</v>
      </c>
    </row>
    <row r="53753" spans="1:3" x14ac:dyDescent="0.2">
      <c r="A53753" t="s">
        <v>17019</v>
      </c>
      <c r="B53753" t="str">
        <f>HYPERLINK("https://lindat.mff.cuni.cz/services/teitok/pdtc10/index.php?action=vallex&amp;frame=v-w7612f7", "vidět (v-w7612f7) - substituted with v-w7612f22_ZU")</f>
        <v>vidět (v-w7612f7) - substituted with v-w7612f22_ZU</v>
      </c>
    </row>
    <row r="53754" spans="1:3" x14ac:dyDescent="0.2">
      <c r="B53754" t="s">
        <v>1</v>
      </c>
      <c r="C53754" t="s">
        <v>682</v>
      </c>
    </row>
    <row r="53755" spans="1:3" x14ac:dyDescent="0.2">
      <c r="B53755" t="s">
        <v>17020</v>
      </c>
      <c r="C53755" t="s">
        <v>2293</v>
      </c>
    </row>
    <row r="53757" spans="1:3" x14ac:dyDescent="0.2">
      <c r="A53757" t="s">
        <v>17021</v>
      </c>
      <c r="B53757" t="str">
        <f>HYPERLINK("https://lindat.mff.cuni.cz/services/teitok/pdtc10/index.php?action=vallex&amp;frame=v-w7612f20_ZU", "vidět (v-w7612f20_ZU)")</f>
        <v>vidět (v-w7612f20_ZU)</v>
      </c>
    </row>
    <row r="53758" spans="1:3" x14ac:dyDescent="0.2">
      <c r="B53758" t="s">
        <v>1</v>
      </c>
    </row>
    <row r="53759" spans="1:3" x14ac:dyDescent="0.2">
      <c r="B53759" t="s">
        <v>17022</v>
      </c>
    </row>
    <row r="53761" spans="1:4" x14ac:dyDescent="0.2">
      <c r="A53761" t="s">
        <v>17021</v>
      </c>
      <c r="B53761" t="str">
        <f>HYPERLINK("https://lindat.mff.cuni.cz/services/teitok/pdtc10/index.php?action=vallex&amp;frame=v-w7612f1", "vidět (v-w7612f1) - substituted with v-w7612f20_ZU")</f>
        <v>vidět (v-w7612f1) - substituted with v-w7612f20_ZU</v>
      </c>
    </row>
    <row r="53762" spans="1:4" x14ac:dyDescent="0.2">
      <c r="B53762" t="s">
        <v>1</v>
      </c>
      <c r="C53762" t="s">
        <v>17023</v>
      </c>
    </row>
    <row r="53763" spans="1:4" x14ac:dyDescent="0.2">
      <c r="B53763" t="s">
        <v>17022</v>
      </c>
      <c r="C53763" t="s">
        <v>17024</v>
      </c>
    </row>
    <row r="53765" spans="1:4" x14ac:dyDescent="0.2">
      <c r="A53765" t="s">
        <v>17021</v>
      </c>
      <c r="B53765" t="str">
        <f>HYPERLINK("https://lindat.mff.cuni.cz/services/teitok/pdtc10/index.php?action=vallex&amp;frame=v-w7612f15_ZU", "vidět (v-w7612f15_ZU) - substituted with v-w7612f20_ZU")</f>
        <v>vidět (v-w7612f15_ZU) - substituted with v-w7612f20_ZU</v>
      </c>
    </row>
    <row r="53766" spans="1:4" x14ac:dyDescent="0.2">
      <c r="B53766" t="s">
        <v>1</v>
      </c>
      <c r="C53766" t="s">
        <v>682</v>
      </c>
    </row>
    <row r="53767" spans="1:4" x14ac:dyDescent="0.2">
      <c r="B53767" t="s">
        <v>17022</v>
      </c>
      <c r="C53767" t="s">
        <v>2293</v>
      </c>
    </row>
    <row r="53769" spans="1:4" x14ac:dyDescent="0.2">
      <c r="A53769" t="s">
        <v>17021</v>
      </c>
      <c r="B53769" t="str">
        <f>HYPERLINK("https://lindat.mff.cuni.cz/services/teitok/pdtc10/index.php?action=vallex&amp;frame=v-w7612f16_ZU", "vidět (v-w7612f16_ZU) - substituted with v-w7612f20_ZU")</f>
        <v>vidět (v-w7612f16_ZU) - substituted with v-w7612f20_ZU</v>
      </c>
    </row>
    <row r="53770" spans="1:4" x14ac:dyDescent="0.2">
      <c r="B53770" t="s">
        <v>1</v>
      </c>
      <c r="C53770" t="s">
        <v>682</v>
      </c>
      <c r="D53770" t="s">
        <v>24183</v>
      </c>
    </row>
    <row r="53771" spans="1:4" x14ac:dyDescent="0.2">
      <c r="B53771" t="s">
        <v>17022</v>
      </c>
      <c r="C53771" t="s">
        <v>2293</v>
      </c>
      <c r="D53771" t="s">
        <v>24184</v>
      </c>
    </row>
    <row r="53773" spans="1:4" x14ac:dyDescent="0.2">
      <c r="A53773" t="s">
        <v>17021</v>
      </c>
      <c r="B53773" t="str">
        <f>HYPERLINK("https://lindat.mff.cuni.cz/services/teitok/pdtc10/index.php?action=vallex&amp;frame=v-w7612f19_ZU", "vidět (v-w7612f19_ZU) - substituted with v-w7612f20_ZU")</f>
        <v>vidět (v-w7612f19_ZU) - substituted with v-w7612f20_ZU</v>
      </c>
    </row>
    <row r="53774" spans="1:4" x14ac:dyDescent="0.2">
      <c r="B53774" t="s">
        <v>1</v>
      </c>
    </row>
    <row r="53775" spans="1:4" x14ac:dyDescent="0.2">
      <c r="B53775" t="s">
        <v>17022</v>
      </c>
    </row>
    <row r="53777" spans="1:3" x14ac:dyDescent="0.2">
      <c r="A53777" t="s">
        <v>17025</v>
      </c>
      <c r="B53777" t="str">
        <f>HYPERLINK("https://lindat.mff.cuni.cz/services/teitok/pdtc10/index.php?action=vallex&amp;frame=v-w7612f11", "vidět (v-w7612f11)")</f>
        <v>vidět (v-w7612f11)</v>
      </c>
    </row>
    <row r="53778" spans="1:3" x14ac:dyDescent="0.2">
      <c r="B53778" t="s">
        <v>1</v>
      </c>
      <c r="C53778" t="s">
        <v>682</v>
      </c>
    </row>
    <row r="53779" spans="1:3" x14ac:dyDescent="0.2">
      <c r="B53779" t="s">
        <v>172</v>
      </c>
      <c r="C53779" t="s">
        <v>2293</v>
      </c>
    </row>
    <row r="53781" spans="1:3" x14ac:dyDescent="0.2">
      <c r="A53781" t="s">
        <v>17026</v>
      </c>
      <c r="B53781" t="str">
        <f>HYPERLINK("https://lindat.mff.cuni.cz/services/teitok/pdtc10/index.php?action=vallex&amp;frame=v-w7612f18_ZU", "vidět (v-w7612f18_ZU)")</f>
        <v>vidět (v-w7612f18_ZU)</v>
      </c>
    </row>
    <row r="53782" spans="1:3" x14ac:dyDescent="0.2">
      <c r="B53782" t="s">
        <v>1</v>
      </c>
      <c r="C53782" t="s">
        <v>682</v>
      </c>
    </row>
    <row r="53783" spans="1:3" x14ac:dyDescent="0.2">
      <c r="B53783" t="s">
        <v>8</v>
      </c>
      <c r="C53783" t="s">
        <v>2293</v>
      </c>
    </row>
    <row r="53784" spans="1:3" x14ac:dyDescent="0.2">
      <c r="B53784" t="s">
        <v>346</v>
      </c>
    </row>
    <row r="53785" spans="1:3" x14ac:dyDescent="0.2">
      <c r="B53785" t="s">
        <v>349</v>
      </c>
    </row>
    <row r="53786" spans="1:3" x14ac:dyDescent="0.2">
      <c r="B53786" t="s">
        <v>351</v>
      </c>
    </row>
    <row r="53787" spans="1:3" x14ac:dyDescent="0.2">
      <c r="B53787" t="s">
        <v>348</v>
      </c>
    </row>
    <row r="53789" spans="1:3" x14ac:dyDescent="0.2">
      <c r="A53789" t="s">
        <v>17026</v>
      </c>
      <c r="B53789" t="str">
        <f>HYPERLINK("https://lindat.mff.cuni.cz/services/teitok/pdtc10/index.php?action=vallex&amp;frame=v-w7612f3", "vidět (v-w7612f3) - substituted with v-w7612f18_ZU")</f>
        <v>vidět (v-w7612f3) - substituted with v-w7612f18_ZU</v>
      </c>
    </row>
    <row r="53790" spans="1:3" x14ac:dyDescent="0.2">
      <c r="B53790" t="s">
        <v>1</v>
      </c>
      <c r="C53790" t="s">
        <v>17027</v>
      </c>
    </row>
    <row r="53791" spans="1:3" x14ac:dyDescent="0.2">
      <c r="B53791" t="s">
        <v>8</v>
      </c>
      <c r="C53791" t="s">
        <v>17028</v>
      </c>
    </row>
    <row r="53792" spans="1:3" x14ac:dyDescent="0.2">
      <c r="B53792" t="s">
        <v>346</v>
      </c>
    </row>
    <row r="53793" spans="1:4" x14ac:dyDescent="0.2">
      <c r="B53793" t="s">
        <v>349</v>
      </c>
    </row>
    <row r="53794" spans="1:4" x14ac:dyDescent="0.2">
      <c r="B53794" t="s">
        <v>351</v>
      </c>
    </row>
    <row r="53795" spans="1:4" x14ac:dyDescent="0.2">
      <c r="B53795" t="s">
        <v>348</v>
      </c>
    </row>
    <row r="53797" spans="1:4" x14ac:dyDescent="0.2">
      <c r="A53797" t="s">
        <v>17029</v>
      </c>
      <c r="B53797" t="str">
        <f>HYPERLINK("https://lindat.mff.cuni.cz/services/teitok/pdtc10/index.php?action=vallex&amp;frame=v-w7612f12", "vidět (v-w7612f12)")</f>
        <v>vidět (v-w7612f12)</v>
      </c>
    </row>
    <row r="53798" spans="1:4" x14ac:dyDescent="0.2">
      <c r="B53798" t="s">
        <v>1</v>
      </c>
      <c r="C53798" t="s">
        <v>33</v>
      </c>
      <c r="D53798" t="s">
        <v>3081</v>
      </c>
    </row>
    <row r="53799" spans="1:4" x14ac:dyDescent="0.2">
      <c r="B53799" t="s">
        <v>817</v>
      </c>
      <c r="D53799" t="s">
        <v>7127</v>
      </c>
    </row>
    <row r="53801" spans="1:4" x14ac:dyDescent="0.2">
      <c r="A53801" t="s">
        <v>17030</v>
      </c>
      <c r="B53801" t="str">
        <f>HYPERLINK("https://lindat.mff.cuni.cz/services/teitok/pdtc10/index.php?action=vallex&amp;frame=v-w7612f6", "vidět (v-w7612f6)")</f>
        <v>vidět (v-w7612f6)</v>
      </c>
    </row>
    <row r="53802" spans="1:4" x14ac:dyDescent="0.2">
      <c r="B53802" t="s">
        <v>1</v>
      </c>
    </row>
    <row r="53803" spans="1:4" x14ac:dyDescent="0.2">
      <c r="B53803" t="s">
        <v>90</v>
      </c>
    </row>
    <row r="53805" spans="1:4" x14ac:dyDescent="0.2">
      <c r="A53805" t="s">
        <v>17031</v>
      </c>
      <c r="B53805" t="str">
        <f>HYPERLINK("https://lindat.mff.cuni.cz/services/teitok/pdtc10/index.php?action=vallex&amp;frame=v-w7612f10", "vidět (v-w7612f10)")</f>
        <v>vidět (v-w7612f10)</v>
      </c>
    </row>
    <row r="53806" spans="1:4" x14ac:dyDescent="0.2">
      <c r="B53806" t="s">
        <v>1</v>
      </c>
    </row>
    <row r="53807" spans="1:4" x14ac:dyDescent="0.2">
      <c r="B53807" t="s">
        <v>17032</v>
      </c>
    </row>
    <row r="53808" spans="1:4" x14ac:dyDescent="0.2">
      <c r="B53808" t="s">
        <v>124</v>
      </c>
    </row>
    <row r="53810" spans="1:3" x14ac:dyDescent="0.2">
      <c r="A53810" t="s">
        <v>17033</v>
      </c>
      <c r="B53810" t="str">
        <f>HYPERLINK("https://lindat.mff.cuni.cz/services/teitok/pdtc10/index.php?action=vallex&amp;frame=v-w7612f13", "vidět (v-w7612f13)")</f>
        <v>vidět (v-w7612f13)</v>
      </c>
    </row>
    <row r="53811" spans="1:3" x14ac:dyDescent="0.2">
      <c r="B53811" t="s">
        <v>1</v>
      </c>
    </row>
    <row r="53812" spans="1:3" x14ac:dyDescent="0.2">
      <c r="B53812" t="s">
        <v>17034</v>
      </c>
    </row>
    <row r="53813" spans="1:3" x14ac:dyDescent="0.2">
      <c r="B53813" t="s">
        <v>8</v>
      </c>
    </row>
    <row r="53815" spans="1:3" x14ac:dyDescent="0.2">
      <c r="A53815" t="s">
        <v>17035</v>
      </c>
      <c r="B53815" t="str">
        <f>HYPERLINK("https://lindat.mff.cuni.cz/services/teitok/pdtc10/index.php?action=vallex&amp;frame=v-w7612f14_ZU", "vidět (v-w7612f14_ZU)")</f>
        <v>vidět (v-w7612f14_ZU)</v>
      </c>
    </row>
    <row r="53816" spans="1:3" x14ac:dyDescent="0.2">
      <c r="B53816" t="s">
        <v>1</v>
      </c>
      <c r="C53816" t="s">
        <v>682</v>
      </c>
    </row>
    <row r="53817" spans="1:3" x14ac:dyDescent="0.2">
      <c r="B53817" t="s">
        <v>172</v>
      </c>
      <c r="C53817" t="s">
        <v>2293</v>
      </c>
    </row>
    <row r="53818" spans="1:3" x14ac:dyDescent="0.2">
      <c r="B53818" t="s">
        <v>17036</v>
      </c>
    </row>
    <row r="53820" spans="1:3" x14ac:dyDescent="0.2">
      <c r="A53820" t="s">
        <v>17037</v>
      </c>
      <c r="B53820" t="str">
        <f>HYPERLINK("https://lindat.mff.cuni.cz/services/teitok/pdtc10/index.php?action=vallex&amp;frame=v-w7612f21_ZU", "vidět (v-w7612f21_ZU)")</f>
        <v>vidět (v-w7612f21_ZU)</v>
      </c>
    </row>
    <row r="53821" spans="1:3" x14ac:dyDescent="0.2">
      <c r="B53821" t="s">
        <v>1</v>
      </c>
    </row>
    <row r="53822" spans="1:3" x14ac:dyDescent="0.2">
      <c r="B53822" t="s">
        <v>3498</v>
      </c>
    </row>
    <row r="53823" spans="1:3" x14ac:dyDescent="0.2">
      <c r="B53823" t="s">
        <v>103</v>
      </c>
    </row>
    <row r="53825" spans="1:2" x14ac:dyDescent="0.2">
      <c r="A53825" t="s">
        <v>17038</v>
      </c>
      <c r="B53825" t="str">
        <f>HYPERLINK("https://lindat.mff.cuni.cz/services/teitok/pdtc10/index.php?action=vallex&amp;frame=v-w7612hsa_1040", "vidět (v-w7612hsa_1040)")</f>
        <v>vidět (v-w7612hsa_1040)</v>
      </c>
    </row>
    <row r="53826" spans="1:2" x14ac:dyDescent="0.2">
      <c r="B53826" t="s">
        <v>1</v>
      </c>
    </row>
    <row r="53828" spans="1:2" x14ac:dyDescent="0.2">
      <c r="A53828" t="s">
        <v>17039</v>
      </c>
      <c r="B53828" t="str">
        <f>HYPERLINK("https://lindat.mff.cuni.cz/services/teitok/pdtc10/index.php?action=vallex&amp;frame=v-w7612hsa_1041", "vidět (v-w7612hsa_1041)")</f>
        <v>vidět (v-w7612hsa_1041)</v>
      </c>
    </row>
    <row r="53829" spans="1:2" x14ac:dyDescent="0.2">
      <c r="B53829" t="s">
        <v>1</v>
      </c>
    </row>
    <row r="53830" spans="1:2" x14ac:dyDescent="0.2">
      <c r="B53830" t="s">
        <v>17040</v>
      </c>
    </row>
    <row r="53831" spans="1:2" x14ac:dyDescent="0.2">
      <c r="B53831" t="s">
        <v>17041</v>
      </c>
    </row>
    <row r="53833" spans="1:2" x14ac:dyDescent="0.2">
      <c r="A53833" t="s">
        <v>17042</v>
      </c>
      <c r="B53833" t="str">
        <f>HYPERLINK("https://lindat.mff.cuni.cz/services/teitok/pdtc10/index.php?action=vallex&amp;frame=v-w7613f1", "vidět se (v-w7613f1)")</f>
        <v>vidět se (v-w7613f1)</v>
      </c>
    </row>
    <row r="53834" spans="1:2" x14ac:dyDescent="0.2">
      <c r="B53834" t="s">
        <v>1</v>
      </c>
    </row>
    <row r="53835" spans="1:2" x14ac:dyDescent="0.2">
      <c r="B53835" t="s">
        <v>290</v>
      </c>
    </row>
    <row r="53837" spans="1:2" x14ac:dyDescent="0.2">
      <c r="A53837" t="s">
        <v>17043</v>
      </c>
      <c r="B53837" t="str">
        <f>HYPERLINK("https://lindat.mff.cuni.cz/services/teitok/pdtc10/index.php?action=vallex&amp;frame=v-w7613hsa_1356", "vidět se (v-w7613hsa_1356)")</f>
        <v>vidět se (v-w7613hsa_1356)</v>
      </c>
    </row>
    <row r="53838" spans="1:2" x14ac:dyDescent="0.2">
      <c r="B53838" t="s">
        <v>1</v>
      </c>
    </row>
    <row r="53839" spans="1:2" x14ac:dyDescent="0.2">
      <c r="B53839" t="s">
        <v>411</v>
      </c>
    </row>
    <row r="53841" spans="1:4" x14ac:dyDescent="0.2">
      <c r="A53841" t="s">
        <v>17044</v>
      </c>
      <c r="B53841" t="str">
        <f>HYPERLINK("https://lindat.mff.cuni.cz/services/teitok/pdtc10/index.php?action=vallex&amp;frame=v-w11263f1", "viklat se (v-w11263f1)")</f>
        <v>viklat se (v-w11263f1)</v>
      </c>
    </row>
    <row r="53842" spans="1:4" x14ac:dyDescent="0.2">
      <c r="B53842" t="s">
        <v>1</v>
      </c>
    </row>
    <row r="53844" spans="1:4" x14ac:dyDescent="0.2">
      <c r="A53844" t="s">
        <v>17045</v>
      </c>
      <c r="B53844" t="str">
        <f>HYPERLINK("https://lindat.mff.cuni.cz/services/teitok/pdtc10/index.php?action=vallex&amp;frame=v-w7617f1", "vinit (v-w7617f1)")</f>
        <v>vinit (v-w7617f1)</v>
      </c>
    </row>
    <row r="53845" spans="1:4" x14ac:dyDescent="0.2">
      <c r="B53845" t="s">
        <v>1</v>
      </c>
      <c r="C53845" t="s">
        <v>6911</v>
      </c>
      <c r="D53845" t="s">
        <v>6301</v>
      </c>
    </row>
    <row r="53846" spans="1:4" x14ac:dyDescent="0.2">
      <c r="B53846" t="s">
        <v>58</v>
      </c>
      <c r="C53846" t="s">
        <v>6912</v>
      </c>
      <c r="D53846" t="s">
        <v>23302</v>
      </c>
    </row>
    <row r="53847" spans="1:4" x14ac:dyDescent="0.2">
      <c r="B53847" t="s">
        <v>6427</v>
      </c>
      <c r="C53847" t="s">
        <v>6913</v>
      </c>
      <c r="D53847" t="s">
        <v>23301</v>
      </c>
    </row>
    <row r="53849" spans="1:4" x14ac:dyDescent="0.2">
      <c r="A53849" t="s">
        <v>17046</v>
      </c>
      <c r="B53849" t="str">
        <f>HYPERLINK("https://lindat.mff.cuni.cz/services/teitok/pdtc10/index.php?action=vallex&amp;frame=v-w11492f2", "vinout se (v-w11492f2)")</f>
        <v>vinout se (v-w11492f2)</v>
      </c>
    </row>
    <row r="53850" spans="1:4" x14ac:dyDescent="0.2">
      <c r="B53850" t="s">
        <v>1</v>
      </c>
      <c r="C53850" t="s">
        <v>147</v>
      </c>
      <c r="D53850" t="s">
        <v>7838</v>
      </c>
    </row>
    <row r="53851" spans="1:4" x14ac:dyDescent="0.2">
      <c r="B53851" t="s">
        <v>192</v>
      </c>
    </row>
    <row r="53853" spans="1:4" x14ac:dyDescent="0.2">
      <c r="A53853" t="s">
        <v>17047</v>
      </c>
      <c r="B53853" t="str">
        <f>HYPERLINK("https://lindat.mff.cuni.cz/services/teitok/pdtc10/index.php?action=vallex&amp;frame=v-w11492f1", "vinout se (v-w11492f1)")</f>
        <v>vinout se (v-w11492f1)</v>
      </c>
    </row>
    <row r="53854" spans="1:4" x14ac:dyDescent="0.2">
      <c r="B53854" t="s">
        <v>1</v>
      </c>
      <c r="C53854" t="s">
        <v>140</v>
      </c>
      <c r="D53854" t="s">
        <v>6204</v>
      </c>
    </row>
    <row r="53856" spans="1:4" x14ac:dyDescent="0.2">
      <c r="A53856" t="s">
        <v>17048</v>
      </c>
      <c r="B53856" t="str">
        <f>HYPERLINK("https://lindat.mff.cuni.cz/services/teitok/pdtc10/index.php?action=vallex&amp;frame=v-w7622f5_ZU", "viset (v-w7622f5_ZU)")</f>
        <v>viset (v-w7622f5_ZU)</v>
      </c>
    </row>
    <row r="53857" spans="1:4" x14ac:dyDescent="0.2">
      <c r="B53857" t="s">
        <v>1</v>
      </c>
    </row>
    <row r="53859" spans="1:4" x14ac:dyDescent="0.2">
      <c r="A53859" t="s">
        <v>17048</v>
      </c>
      <c r="B53859" t="str">
        <f>HYPERLINK("https://lindat.mff.cuni.cz/services/teitok/pdtc10/index.php?action=vallex&amp;frame=v-w7622f1", "viset (v-w7622f1) - substituted with v-w7622f5_ZU")</f>
        <v>viset (v-w7622f1) - substituted with v-w7622f5_ZU</v>
      </c>
    </row>
    <row r="53860" spans="1:4" x14ac:dyDescent="0.2">
      <c r="B53860" t="s">
        <v>1</v>
      </c>
      <c r="C53860" t="s">
        <v>17049</v>
      </c>
      <c r="D53860" t="s">
        <v>6729</v>
      </c>
    </row>
    <row r="53862" spans="1:4" x14ac:dyDescent="0.2">
      <c r="A53862" t="s">
        <v>17050</v>
      </c>
      <c r="B53862" t="str">
        <f>HYPERLINK("https://lindat.mff.cuni.cz/services/teitok/pdtc10/index.php?action=vallex&amp;frame=v-w7622f3", "viset (v-w7622f3)")</f>
        <v>viset (v-w7622f3)</v>
      </c>
    </row>
    <row r="53863" spans="1:4" x14ac:dyDescent="0.2">
      <c r="B53863" t="s">
        <v>1</v>
      </c>
    </row>
    <row r="53864" spans="1:4" x14ac:dyDescent="0.2">
      <c r="B53864" t="s">
        <v>17051</v>
      </c>
    </row>
    <row r="53865" spans="1:4" x14ac:dyDescent="0.2">
      <c r="B53865" t="s">
        <v>164</v>
      </c>
    </row>
    <row r="53867" spans="1:4" x14ac:dyDescent="0.2">
      <c r="A53867" t="s">
        <v>17052</v>
      </c>
      <c r="B53867" t="str">
        <f>HYPERLINK("https://lindat.mff.cuni.cz/services/teitok/pdtc10/index.php?action=vallex&amp;frame=v-w7622f2", "viset (v-w7622f2)")</f>
        <v>viset (v-w7622f2)</v>
      </c>
    </row>
    <row r="53868" spans="1:4" x14ac:dyDescent="0.2">
      <c r="B53868" t="s">
        <v>14813</v>
      </c>
    </row>
    <row r="53869" spans="1:4" x14ac:dyDescent="0.2">
      <c r="B53869" t="s">
        <v>17053</v>
      </c>
    </row>
    <row r="53871" spans="1:4" x14ac:dyDescent="0.2">
      <c r="A53871" t="s">
        <v>17054</v>
      </c>
      <c r="B53871" t="str">
        <f>HYPERLINK("https://lindat.mff.cuni.cz/services/teitok/pdtc10/index.php?action=vallex&amp;frame=v-w7622hsa_717", "viset (v-w7622hsa_717)")</f>
        <v>viset (v-w7622hsa_717)</v>
      </c>
    </row>
    <row r="53872" spans="1:4" x14ac:dyDescent="0.2">
      <c r="B53872" t="s">
        <v>1</v>
      </c>
      <c r="C53872" t="s">
        <v>204</v>
      </c>
      <c r="D53872" t="s">
        <v>23039</v>
      </c>
    </row>
    <row r="53873" spans="1:4" x14ac:dyDescent="0.2">
      <c r="B53873" t="s">
        <v>5</v>
      </c>
      <c r="C53873" t="s">
        <v>17055</v>
      </c>
      <c r="D53873" t="s">
        <v>24160</v>
      </c>
    </row>
    <row r="53875" spans="1:4" x14ac:dyDescent="0.2">
      <c r="A53875" t="s">
        <v>17056</v>
      </c>
      <c r="B53875" t="str">
        <f>HYPERLINK("https://lindat.mff.cuni.cz/services/teitok/pdtc10/index.php?action=vallex&amp;frame=v-w7622f4_ZU", "viset (v-w7622f4_ZU)")</f>
        <v>viset (v-w7622f4_ZU)</v>
      </c>
    </row>
    <row r="53876" spans="1:4" x14ac:dyDescent="0.2">
      <c r="B53876" t="s">
        <v>1</v>
      </c>
      <c r="C53876" t="s">
        <v>4011</v>
      </c>
    </row>
    <row r="53877" spans="1:4" x14ac:dyDescent="0.2">
      <c r="B53877" t="s">
        <v>17057</v>
      </c>
      <c r="C53877" t="s">
        <v>705</v>
      </c>
    </row>
    <row r="53879" spans="1:4" x14ac:dyDescent="0.2">
      <c r="A53879" t="s">
        <v>17056</v>
      </c>
      <c r="B53879" t="str">
        <f>HYPERLINK("https://lindat.mff.cuni.cz/services/teitok/pdtc10/index.php?action=vallex&amp;frame=v-w7622hsa_718", "viset (v-w7622hsa_718) - substituted with v-w7622f4_ZU")</f>
        <v>viset (v-w7622hsa_718) - substituted with v-w7622f4_ZU</v>
      </c>
    </row>
    <row r="53880" spans="1:4" x14ac:dyDescent="0.2">
      <c r="B53880" t="s">
        <v>1</v>
      </c>
    </row>
    <row r="53881" spans="1:4" x14ac:dyDescent="0.2">
      <c r="B53881" t="s">
        <v>17057</v>
      </c>
    </row>
    <row r="53883" spans="1:4" x14ac:dyDescent="0.2">
      <c r="A53883" t="s">
        <v>17058</v>
      </c>
      <c r="B53883" t="str">
        <f>HYPERLINK("https://lindat.mff.cuni.cz/services/teitok/pdtc10/index.php?action=vallex&amp;frame=v-w7622f6_ZU", "viset (v-w7622f6_ZU)")</f>
        <v>viset (v-w7622f6_ZU)</v>
      </c>
    </row>
    <row r="53884" spans="1:4" x14ac:dyDescent="0.2">
      <c r="B53884" t="s">
        <v>1</v>
      </c>
    </row>
    <row r="53885" spans="1:4" x14ac:dyDescent="0.2">
      <c r="B53885" t="s">
        <v>161</v>
      </c>
    </row>
    <row r="53887" spans="1:4" x14ac:dyDescent="0.2">
      <c r="A53887" t="s">
        <v>17059</v>
      </c>
      <c r="B53887" t="str">
        <f>HYPERLINK("https://lindat.mff.cuni.cz/services/teitok/pdtc10/index.php?action=vallex&amp;frame=v-w7629f1", "vjet (v-w7629f1)")</f>
        <v>vjet (v-w7629f1)</v>
      </c>
    </row>
    <row r="53888" spans="1:4" x14ac:dyDescent="0.2">
      <c r="B53888" t="s">
        <v>1</v>
      </c>
      <c r="C53888" t="s">
        <v>334</v>
      </c>
    </row>
    <row r="53889" spans="1:4" x14ac:dyDescent="0.2">
      <c r="B53889" t="s">
        <v>90</v>
      </c>
      <c r="C53889" t="s">
        <v>10652</v>
      </c>
    </row>
    <row r="53891" spans="1:4" x14ac:dyDescent="0.2">
      <c r="A53891" t="s">
        <v>17060</v>
      </c>
      <c r="B53891" t="str">
        <f>HYPERLINK("https://lindat.mff.cuni.cz/services/teitok/pdtc10/index.php?action=vallex&amp;frame=v-w7630f1", "vjíždět (v-w7630f1)")</f>
        <v>vjíždět (v-w7630f1)</v>
      </c>
    </row>
    <row r="53892" spans="1:4" x14ac:dyDescent="0.2">
      <c r="B53892" t="s">
        <v>1</v>
      </c>
    </row>
    <row r="53893" spans="1:4" x14ac:dyDescent="0.2">
      <c r="B53893" t="s">
        <v>90</v>
      </c>
    </row>
    <row r="53895" spans="1:4" x14ac:dyDescent="0.2">
      <c r="A53895" t="s">
        <v>17061</v>
      </c>
      <c r="B53895" t="str">
        <f>HYPERLINK("https://lindat.mff.cuni.cz/services/teitok/pdtc10/index.php?action=vallex&amp;frame=v-w7634f1", "vklouznout (v-w7634f1)")</f>
        <v>vklouznout (v-w7634f1)</v>
      </c>
    </row>
    <row r="53896" spans="1:4" x14ac:dyDescent="0.2">
      <c r="B53896" t="s">
        <v>1</v>
      </c>
      <c r="C53896" t="s">
        <v>715</v>
      </c>
    </row>
    <row r="53897" spans="1:4" x14ac:dyDescent="0.2">
      <c r="B53897" t="s">
        <v>90</v>
      </c>
    </row>
    <row r="53899" spans="1:4" x14ac:dyDescent="0.2">
      <c r="A53899" t="s">
        <v>17062</v>
      </c>
      <c r="B53899" t="str">
        <f>HYPERLINK("https://lindat.mff.cuni.cz/services/teitok/pdtc10/index.php?action=vallex&amp;frame=v-w7633f1", "vkládat (v-w7633f1)")</f>
        <v>vkládat (v-w7633f1)</v>
      </c>
    </row>
    <row r="53900" spans="1:4" x14ac:dyDescent="0.2">
      <c r="B53900" t="s">
        <v>1</v>
      </c>
      <c r="C53900" t="s">
        <v>17063</v>
      </c>
      <c r="D53900" t="s">
        <v>23066</v>
      </c>
    </row>
    <row r="53901" spans="1:4" x14ac:dyDescent="0.2">
      <c r="B53901" t="s">
        <v>8</v>
      </c>
      <c r="C53901" t="s">
        <v>17064</v>
      </c>
      <c r="D53901" t="s">
        <v>23067</v>
      </c>
    </row>
    <row r="53902" spans="1:4" x14ac:dyDescent="0.2">
      <c r="B53902" t="s">
        <v>90</v>
      </c>
      <c r="C53902" t="s">
        <v>17065</v>
      </c>
      <c r="D53902" t="s">
        <v>23068</v>
      </c>
    </row>
    <row r="53904" spans="1:4" x14ac:dyDescent="0.2">
      <c r="A53904" t="s">
        <v>17066</v>
      </c>
      <c r="B53904" t="str">
        <f>HYPERLINK("https://lindat.mff.cuni.cz/services/teitok/pdtc10/index.php?action=vallex&amp;frame=v-w7633f2", "vkládat (v-w7633f2)")</f>
        <v>vkládat (v-w7633f2)</v>
      </c>
    </row>
    <row r="53905" spans="1:4" x14ac:dyDescent="0.2">
      <c r="B53905" t="s">
        <v>1</v>
      </c>
      <c r="C53905" t="s">
        <v>1065</v>
      </c>
      <c r="D53905" t="s">
        <v>24330</v>
      </c>
    </row>
    <row r="53906" spans="1:4" x14ac:dyDescent="0.2">
      <c r="B53906" t="s">
        <v>8</v>
      </c>
      <c r="C53906" t="s">
        <v>17067</v>
      </c>
      <c r="D53906" t="s">
        <v>24331</v>
      </c>
    </row>
    <row r="53907" spans="1:4" x14ac:dyDescent="0.2">
      <c r="B53907" t="s">
        <v>90</v>
      </c>
      <c r="C53907" t="s">
        <v>6117</v>
      </c>
      <c r="D53907" t="s">
        <v>14846</v>
      </c>
    </row>
    <row r="53909" spans="1:4" x14ac:dyDescent="0.2">
      <c r="A53909" t="s">
        <v>17068</v>
      </c>
      <c r="B53909" t="str">
        <f>HYPERLINK("https://lindat.mff.cuni.cz/services/teitok/pdtc10/index.php?action=vallex&amp;frame=v-w7636f1", "vkročit (v-w7636f1)")</f>
        <v>vkročit (v-w7636f1)</v>
      </c>
    </row>
    <row r="53910" spans="1:4" x14ac:dyDescent="0.2">
      <c r="B53910" t="s">
        <v>1</v>
      </c>
    </row>
    <row r="53911" spans="1:4" x14ac:dyDescent="0.2">
      <c r="B53911" t="s">
        <v>90</v>
      </c>
    </row>
    <row r="53913" spans="1:4" x14ac:dyDescent="0.2">
      <c r="A53913" t="s">
        <v>17069</v>
      </c>
      <c r="B53913" t="str">
        <f>HYPERLINK("https://lindat.mff.cuni.cz/services/teitok/pdtc10/index.php?action=vallex&amp;frame=v-w7635f1", "vkrádat se (v-w7635f1)")</f>
        <v>vkrádat se (v-w7635f1)</v>
      </c>
    </row>
    <row r="53914" spans="1:4" x14ac:dyDescent="0.2">
      <c r="B53914" t="s">
        <v>1</v>
      </c>
      <c r="C53914" t="s">
        <v>140</v>
      </c>
      <c r="D53914" t="s">
        <v>23107</v>
      </c>
    </row>
    <row r="53915" spans="1:4" x14ac:dyDescent="0.2">
      <c r="B53915" t="s">
        <v>90</v>
      </c>
      <c r="D53915" t="s">
        <v>23108</v>
      </c>
    </row>
    <row r="53917" spans="1:4" x14ac:dyDescent="0.2">
      <c r="A53917" t="s">
        <v>17070</v>
      </c>
      <c r="B53917" t="str">
        <f>HYPERLINK("https://lindat.mff.cuni.cz/services/teitok/pdtc10/index.php?action=vallex&amp;frame=v-whsa_437hsa_438", "vkrást se (v-whsa_437hsa_438)")</f>
        <v>vkrást se (v-whsa_437hsa_438)</v>
      </c>
    </row>
    <row r="53918" spans="1:4" x14ac:dyDescent="0.2">
      <c r="B53918" t="s">
        <v>1</v>
      </c>
    </row>
    <row r="53919" spans="1:4" x14ac:dyDescent="0.2">
      <c r="B53919" t="s">
        <v>90</v>
      </c>
    </row>
    <row r="53921" spans="1:4" x14ac:dyDescent="0.2">
      <c r="A53921" t="s">
        <v>17071</v>
      </c>
      <c r="B53921" t="str">
        <f>HYPERLINK("https://lindat.mff.cuni.cz/services/teitok/pdtc10/index.php?action=vallex&amp;frame=v-w7650f1", "vlastnit (v-w7650f1)")</f>
        <v>vlastnit (v-w7650f1)</v>
      </c>
    </row>
    <row r="53922" spans="1:4" x14ac:dyDescent="0.2">
      <c r="B53922" t="s">
        <v>1</v>
      </c>
      <c r="C53922" t="s">
        <v>17072</v>
      </c>
      <c r="D53922" t="s">
        <v>23240</v>
      </c>
    </row>
    <row r="53923" spans="1:4" x14ac:dyDescent="0.2">
      <c r="B53923" t="s">
        <v>8</v>
      </c>
      <c r="C53923" t="s">
        <v>17073</v>
      </c>
      <c r="D53923" t="s">
        <v>9980</v>
      </c>
    </row>
    <row r="53925" spans="1:4" x14ac:dyDescent="0.2">
      <c r="A53925" t="s">
        <v>17074</v>
      </c>
      <c r="B53925" t="str">
        <f>HYPERLINK("https://lindat.mff.cuni.cz/services/teitok/pdtc10/index.php?action=vallex&amp;frame=v-w11726_ZUf1_ZU", "vletět (v-w11726_ZUf1_ZU)")</f>
        <v>vletět (v-w11726_ZUf1_ZU)</v>
      </c>
    </row>
    <row r="53926" spans="1:4" x14ac:dyDescent="0.2">
      <c r="B53926" t="s">
        <v>1</v>
      </c>
    </row>
    <row r="53927" spans="1:4" x14ac:dyDescent="0.2">
      <c r="B53927" t="s">
        <v>252</v>
      </c>
    </row>
    <row r="53929" spans="1:4" x14ac:dyDescent="0.2">
      <c r="A53929" t="s">
        <v>17075</v>
      </c>
      <c r="B53929" t="str">
        <f>HYPERLINK("https://lindat.mff.cuni.cz/services/teitok/pdtc10/index.php?action=vallex&amp;frame=v-w11339f1", "vlichotit se (v-w11339f1)")</f>
        <v>vlichotit se (v-w11339f1)</v>
      </c>
    </row>
    <row r="53930" spans="1:4" x14ac:dyDescent="0.2">
      <c r="B53930" t="s">
        <v>1</v>
      </c>
      <c r="D53930" t="s">
        <v>16255</v>
      </c>
    </row>
    <row r="53931" spans="1:4" x14ac:dyDescent="0.2">
      <c r="B53931" t="s">
        <v>103</v>
      </c>
      <c r="C53931" t="s">
        <v>1301</v>
      </c>
      <c r="D53931" t="s">
        <v>23521</v>
      </c>
    </row>
    <row r="53933" spans="1:4" x14ac:dyDescent="0.2">
      <c r="A53933" t="s">
        <v>17076</v>
      </c>
      <c r="B53933" t="str">
        <f>HYPERLINK("https://lindat.mff.cuni.cz/services/teitok/pdtc10/index.php?action=vallex&amp;frame=v-w7656f1", "vlnit se (v-w7656f1)")</f>
        <v>vlnit se (v-w7656f1)</v>
      </c>
    </row>
    <row r="53934" spans="1:4" x14ac:dyDescent="0.2">
      <c r="B53934" t="s">
        <v>1</v>
      </c>
      <c r="C53934" t="s">
        <v>186</v>
      </c>
      <c r="D53934" t="s">
        <v>6204</v>
      </c>
    </row>
    <row r="53936" spans="1:4" x14ac:dyDescent="0.2">
      <c r="A53936" t="s">
        <v>17077</v>
      </c>
      <c r="B53936" t="str">
        <f>HYPERLINK("https://lindat.mff.cuni.cz/services/teitok/pdtc10/index.php?action=vallex&amp;frame=v-w7658f1", "vloupat se (v-w7658f1)")</f>
        <v>vloupat se (v-w7658f1)</v>
      </c>
    </row>
    <row r="53937" spans="1:4" x14ac:dyDescent="0.2">
      <c r="B53937" t="s">
        <v>1</v>
      </c>
    </row>
    <row r="53938" spans="1:4" x14ac:dyDescent="0.2">
      <c r="B53938" t="s">
        <v>90</v>
      </c>
    </row>
    <row r="53940" spans="1:4" x14ac:dyDescent="0.2">
      <c r="A53940" t="s">
        <v>17078</v>
      </c>
      <c r="B53940" t="str">
        <f>HYPERLINK("https://lindat.mff.cuni.cz/services/teitok/pdtc10/index.php?action=vallex&amp;frame=v-w7661f1", "vložit (v-w7661f1)")</f>
        <v>vložit (v-w7661f1)</v>
      </c>
    </row>
    <row r="53941" spans="1:4" x14ac:dyDescent="0.2">
      <c r="B53941" t="s">
        <v>1</v>
      </c>
      <c r="C53941" t="s">
        <v>17079</v>
      </c>
      <c r="D53941" t="s">
        <v>23066</v>
      </c>
    </row>
    <row r="53942" spans="1:4" x14ac:dyDescent="0.2">
      <c r="B53942" t="s">
        <v>8</v>
      </c>
      <c r="C53942" t="s">
        <v>17080</v>
      </c>
      <c r="D53942" t="s">
        <v>23067</v>
      </c>
    </row>
    <row r="53943" spans="1:4" x14ac:dyDescent="0.2">
      <c r="B53943" t="s">
        <v>90</v>
      </c>
      <c r="C53943" t="s">
        <v>17081</v>
      </c>
      <c r="D53943" t="s">
        <v>23068</v>
      </c>
    </row>
    <row r="53945" spans="1:4" x14ac:dyDescent="0.2">
      <c r="A53945" t="s">
        <v>17082</v>
      </c>
      <c r="B53945" t="str">
        <f>HYPERLINK("https://lindat.mff.cuni.cz/services/teitok/pdtc10/index.php?action=vallex&amp;frame=v-w7661f2", "vložit (v-w7661f2)")</f>
        <v>vložit (v-w7661f2)</v>
      </c>
    </row>
    <row r="53946" spans="1:4" x14ac:dyDescent="0.2">
      <c r="B53946" t="s">
        <v>1</v>
      </c>
      <c r="C53946" t="s">
        <v>154</v>
      </c>
      <c r="D53946" t="s">
        <v>23181</v>
      </c>
    </row>
    <row r="53947" spans="1:4" x14ac:dyDescent="0.2">
      <c r="B53947" t="s">
        <v>8</v>
      </c>
      <c r="C53947" t="s">
        <v>1522</v>
      </c>
      <c r="D53947" t="s">
        <v>23182</v>
      </c>
    </row>
    <row r="53948" spans="1:4" x14ac:dyDescent="0.2">
      <c r="B53948" t="s">
        <v>90</v>
      </c>
      <c r="D53948" t="s">
        <v>11579</v>
      </c>
    </row>
    <row r="53950" spans="1:4" x14ac:dyDescent="0.2">
      <c r="A53950" t="s">
        <v>17083</v>
      </c>
      <c r="B53950" t="str">
        <f>HYPERLINK("https://lindat.mff.cuni.cz/services/teitok/pdtc10/index.php?action=vallex&amp;frame=v-w7662f1", "vložit se (v-w7662f1)")</f>
        <v>vložit se (v-w7662f1)</v>
      </c>
    </row>
    <row r="53951" spans="1:4" x14ac:dyDescent="0.2">
      <c r="B53951" t="s">
        <v>1</v>
      </c>
      <c r="C53951" t="s">
        <v>1709</v>
      </c>
      <c r="D53951" t="s">
        <v>23493</v>
      </c>
    </row>
    <row r="53952" spans="1:4" x14ac:dyDescent="0.2">
      <c r="B53952" t="s">
        <v>817</v>
      </c>
      <c r="C53952" t="s">
        <v>34</v>
      </c>
      <c r="D53952" t="s">
        <v>23494</v>
      </c>
    </row>
    <row r="53954" spans="1:4" x14ac:dyDescent="0.2">
      <c r="A53954" t="s">
        <v>17084</v>
      </c>
      <c r="B53954" t="str">
        <f>HYPERLINK("https://lindat.mff.cuni.cz/services/teitok/pdtc10/index.php?action=vallex&amp;frame=v-w7641f2", "vládnout (v-w7641f2)")</f>
        <v>vládnout (v-w7641f2)</v>
      </c>
    </row>
    <row r="53955" spans="1:4" x14ac:dyDescent="0.2">
      <c r="B53955" t="s">
        <v>1</v>
      </c>
      <c r="C53955" t="s">
        <v>17085</v>
      </c>
      <c r="D53955" t="s">
        <v>23098</v>
      </c>
    </row>
    <row r="53956" spans="1:4" x14ac:dyDescent="0.2">
      <c r="B53956" t="s">
        <v>1668</v>
      </c>
      <c r="C53956" t="s">
        <v>16709</v>
      </c>
      <c r="D53956" t="s">
        <v>16830</v>
      </c>
    </row>
    <row r="53958" spans="1:4" x14ac:dyDescent="0.2">
      <c r="A53958" t="s">
        <v>17086</v>
      </c>
      <c r="B53958" t="str">
        <f>HYPERLINK("https://lindat.mff.cuni.cz/services/teitok/pdtc10/index.php?action=vallex&amp;frame=v-w7641f3", "vládnout (v-w7641f3)")</f>
        <v>vládnout (v-w7641f3)</v>
      </c>
    </row>
    <row r="53959" spans="1:4" x14ac:dyDescent="0.2">
      <c r="B53959" t="s">
        <v>1</v>
      </c>
      <c r="C53959" t="s">
        <v>430</v>
      </c>
      <c r="D53959" t="s">
        <v>2239</v>
      </c>
    </row>
    <row r="53960" spans="1:4" x14ac:dyDescent="0.2">
      <c r="B53960" t="s">
        <v>158</v>
      </c>
      <c r="C53960" t="s">
        <v>1044</v>
      </c>
      <c r="D53960" t="s">
        <v>335</v>
      </c>
    </row>
    <row r="53962" spans="1:4" x14ac:dyDescent="0.2">
      <c r="A53962" t="s">
        <v>17087</v>
      </c>
      <c r="B53962" t="str">
        <f>HYPERLINK("https://lindat.mff.cuni.cz/services/teitok/pdtc10/index.php?action=vallex&amp;frame=v-w7641f1", "vládnout (v-w7641f1)")</f>
        <v>vládnout (v-w7641f1)</v>
      </c>
    </row>
    <row r="53963" spans="1:4" x14ac:dyDescent="0.2">
      <c r="B53963" t="s">
        <v>1</v>
      </c>
      <c r="C53963" t="s">
        <v>17088</v>
      </c>
      <c r="D53963" t="s">
        <v>140</v>
      </c>
    </row>
    <row r="53965" spans="1:4" x14ac:dyDescent="0.2">
      <c r="A53965" t="s">
        <v>17089</v>
      </c>
      <c r="B53965" t="str">
        <f>HYPERLINK("https://lindat.mff.cuni.cz/services/teitok/pdtc10/index.php?action=vallex&amp;frame=v-w10754f2", "vlákat (v-w10754f2)")</f>
        <v>vlákat (v-w10754f2)</v>
      </c>
    </row>
    <row r="53966" spans="1:4" x14ac:dyDescent="0.2">
      <c r="B53966" t="s">
        <v>1</v>
      </c>
      <c r="C53966" t="s">
        <v>33</v>
      </c>
      <c r="D53966" t="s">
        <v>23460</v>
      </c>
    </row>
    <row r="53967" spans="1:4" x14ac:dyDescent="0.2">
      <c r="B53967" t="s">
        <v>8</v>
      </c>
      <c r="C53967" t="s">
        <v>84</v>
      </c>
      <c r="D53967" t="s">
        <v>24332</v>
      </c>
    </row>
    <row r="53968" spans="1:4" x14ac:dyDescent="0.2">
      <c r="B53968" t="s">
        <v>205</v>
      </c>
      <c r="C53968" t="s">
        <v>6117</v>
      </c>
      <c r="D53968" t="s">
        <v>24333</v>
      </c>
    </row>
    <row r="53970" spans="1:4" x14ac:dyDescent="0.2">
      <c r="A53970" t="s">
        <v>17090</v>
      </c>
      <c r="B53970" t="str">
        <f>HYPERLINK("https://lindat.mff.cuni.cz/services/teitok/pdtc10/index.php?action=vallex&amp;frame=v-w7651f1", "vlát (v-w7651f1)")</f>
        <v>vlát (v-w7651f1)</v>
      </c>
    </row>
    <row r="53971" spans="1:4" x14ac:dyDescent="0.2">
      <c r="B53971" t="s">
        <v>1</v>
      </c>
    </row>
    <row r="53973" spans="1:4" x14ac:dyDescent="0.2">
      <c r="A53973" t="s">
        <v>17091</v>
      </c>
      <c r="B53973" t="str">
        <f>HYPERLINK("https://lindat.mff.cuni.cz/services/teitok/pdtc10/index.php?action=vallex&amp;frame=v-whsa_180f1_ZU", "vláčet (v-whsa_180f1_ZU)")</f>
        <v>vláčet (v-whsa_180f1_ZU)</v>
      </c>
    </row>
    <row r="53974" spans="1:4" x14ac:dyDescent="0.2">
      <c r="B53974" t="s">
        <v>1</v>
      </c>
    </row>
    <row r="53975" spans="1:4" x14ac:dyDescent="0.2">
      <c r="B53975" t="s">
        <v>8</v>
      </c>
    </row>
    <row r="53977" spans="1:4" x14ac:dyDescent="0.2">
      <c r="A53977" t="s">
        <v>17091</v>
      </c>
      <c r="B53977" t="str">
        <f>HYPERLINK("https://lindat.mff.cuni.cz/services/teitok/pdtc10/index.php?action=vallex&amp;frame=v-whsa_180hsa_181", "vláčet (v-whsa_180hsa_181) - substituted with v-whsa_180f1_ZU")</f>
        <v>vláčet (v-whsa_180hsa_181) - substituted with v-whsa_180f1_ZU</v>
      </c>
    </row>
    <row r="53978" spans="1:4" x14ac:dyDescent="0.2">
      <c r="B53978" t="s">
        <v>1</v>
      </c>
    </row>
    <row r="53979" spans="1:4" x14ac:dyDescent="0.2">
      <c r="B53979" t="s">
        <v>8</v>
      </c>
    </row>
    <row r="53981" spans="1:4" x14ac:dyDescent="0.2">
      <c r="A53981" t="s">
        <v>17092</v>
      </c>
      <c r="B53981" t="str">
        <f>HYPERLINK("https://lindat.mff.cuni.cz/services/teitok/pdtc10/index.php?action=vallex&amp;frame=v-w7652f1", "vléci (v-w7652f1)")</f>
        <v>vléci (v-w7652f1)</v>
      </c>
    </row>
    <row r="53982" spans="1:4" x14ac:dyDescent="0.2">
      <c r="B53982" t="s">
        <v>1</v>
      </c>
      <c r="C53982" t="s">
        <v>133</v>
      </c>
      <c r="D53982" t="s">
        <v>83</v>
      </c>
    </row>
    <row r="53983" spans="1:4" x14ac:dyDescent="0.2">
      <c r="B53983" t="s">
        <v>8</v>
      </c>
      <c r="C53983" t="s">
        <v>54</v>
      </c>
      <c r="D53983" t="s">
        <v>335</v>
      </c>
    </row>
    <row r="53985" spans="1:4" x14ac:dyDescent="0.2">
      <c r="A53985" t="s">
        <v>17093</v>
      </c>
      <c r="B53985" t="str">
        <f>HYPERLINK("https://lindat.mff.cuni.cz/services/teitok/pdtc10/index.php?action=vallex&amp;frame=v-w7653f1", "vléci se (v-w7653f1)")</f>
        <v>vléci se (v-w7653f1)</v>
      </c>
    </row>
    <row r="53986" spans="1:4" x14ac:dyDescent="0.2">
      <c r="B53986" t="s">
        <v>1</v>
      </c>
      <c r="C53986" t="s">
        <v>17094</v>
      </c>
      <c r="D53986" t="s">
        <v>23970</v>
      </c>
    </row>
    <row r="53988" spans="1:4" x14ac:dyDescent="0.2">
      <c r="A53988" t="s">
        <v>17095</v>
      </c>
      <c r="B53988" t="str">
        <f>HYPERLINK("https://lindat.mff.cuni.cz/services/teitok/pdtc10/index.php?action=vallex&amp;frame=v-w7653hsa_1458", "vléci se (v-w7653hsa_1458)")</f>
        <v>vléci se (v-w7653hsa_1458)</v>
      </c>
    </row>
    <row r="53989" spans="1:4" x14ac:dyDescent="0.2">
      <c r="B53989" t="s">
        <v>1</v>
      </c>
    </row>
    <row r="53990" spans="1:4" x14ac:dyDescent="0.2">
      <c r="B53990" t="s">
        <v>7931</v>
      </c>
    </row>
    <row r="53992" spans="1:4" x14ac:dyDescent="0.2">
      <c r="A53992" t="s">
        <v>17096</v>
      </c>
      <c r="B53992" t="str">
        <f>HYPERLINK("https://lindat.mff.cuni.cz/services/teitok/pdtc10/index.php?action=vallex&amp;frame=v-w10161f3", "vlétnout (v-w10161f3)")</f>
        <v>vlétnout (v-w10161f3)</v>
      </c>
    </row>
    <row r="53993" spans="1:4" x14ac:dyDescent="0.2">
      <c r="B53993" t="s">
        <v>1</v>
      </c>
      <c r="C53993" t="s">
        <v>4529</v>
      </c>
      <c r="D53993" t="s">
        <v>23107</v>
      </c>
    </row>
    <row r="53994" spans="1:4" x14ac:dyDescent="0.2">
      <c r="B53994" t="s">
        <v>205</v>
      </c>
      <c r="D53994" t="s">
        <v>23108</v>
      </c>
    </row>
    <row r="53996" spans="1:4" x14ac:dyDescent="0.2">
      <c r="A53996" t="s">
        <v>17097</v>
      </c>
      <c r="B53996" t="str">
        <f>HYPERLINK("https://lindat.mff.cuni.cz/services/teitok/pdtc10/index.php?action=vallex&amp;frame=v-w10161f4_ZU", "vlétnout (v-w10161f4_ZU)")</f>
        <v>vlétnout (v-w10161f4_ZU)</v>
      </c>
    </row>
    <row r="53997" spans="1:4" x14ac:dyDescent="0.2">
      <c r="B53997" t="s">
        <v>1</v>
      </c>
    </row>
    <row r="53998" spans="1:4" x14ac:dyDescent="0.2">
      <c r="B53998" t="s">
        <v>252</v>
      </c>
    </row>
    <row r="54000" spans="1:4" x14ac:dyDescent="0.2">
      <c r="A54000" t="s">
        <v>17098</v>
      </c>
      <c r="B54000" t="str">
        <f>HYPERLINK("https://lindat.mff.cuni.cz/services/teitok/pdtc10/index.php?action=vallex&amp;frame=v-w10232f2", "vlévat (v-w10232f2)")</f>
        <v>vlévat (v-w10232f2)</v>
      </c>
    </row>
    <row r="54001" spans="1:4" x14ac:dyDescent="0.2">
      <c r="B54001" t="s">
        <v>1</v>
      </c>
    </row>
    <row r="54002" spans="1:4" x14ac:dyDescent="0.2">
      <c r="B54002" t="s">
        <v>8</v>
      </c>
    </row>
    <row r="54003" spans="1:4" x14ac:dyDescent="0.2">
      <c r="B54003" t="s">
        <v>90</v>
      </c>
    </row>
    <row r="54005" spans="1:4" x14ac:dyDescent="0.2">
      <c r="A54005" t="s">
        <v>17099</v>
      </c>
      <c r="B54005" t="str">
        <f>HYPERLINK("https://lindat.mff.cuni.cz/services/teitok/pdtc10/index.php?action=vallex&amp;frame=v-w11270f1", "vlévat se (v-w11270f1)")</f>
        <v>vlévat se (v-w11270f1)</v>
      </c>
    </row>
    <row r="54006" spans="1:4" x14ac:dyDescent="0.2">
      <c r="B54006" t="s">
        <v>1</v>
      </c>
      <c r="C54006" t="s">
        <v>8238</v>
      </c>
      <c r="D54006" t="s">
        <v>14625</v>
      </c>
    </row>
    <row r="54007" spans="1:4" x14ac:dyDescent="0.2">
      <c r="B54007" t="s">
        <v>90</v>
      </c>
    </row>
    <row r="54009" spans="1:4" x14ac:dyDescent="0.2">
      <c r="A54009" t="s">
        <v>17100</v>
      </c>
      <c r="B54009" t="str">
        <f>HYPERLINK("https://lindat.mff.cuni.cz/services/teitok/pdtc10/index.php?action=vallex&amp;frame=v-w7654f1", "vlézt (v-w7654f1)")</f>
        <v>vlézt (v-w7654f1)</v>
      </c>
    </row>
    <row r="54010" spans="1:4" x14ac:dyDescent="0.2">
      <c r="B54010" t="s">
        <v>1</v>
      </c>
      <c r="C54010" t="s">
        <v>3824</v>
      </c>
      <c r="D54010" t="s">
        <v>23107</v>
      </c>
    </row>
    <row r="54011" spans="1:4" x14ac:dyDescent="0.2">
      <c r="B54011" t="s">
        <v>90</v>
      </c>
      <c r="D54011" t="s">
        <v>23108</v>
      </c>
    </row>
    <row r="54013" spans="1:4" x14ac:dyDescent="0.2">
      <c r="A54013" t="s">
        <v>17101</v>
      </c>
      <c r="B54013" t="str">
        <f>HYPERLINK("https://lindat.mff.cuni.cz/services/teitok/pdtc10/index.php?action=vallex&amp;frame=v-w7654f2_ZU", "vlézt (v-w7654f2_ZU)")</f>
        <v>vlézt (v-w7654f2_ZU)</v>
      </c>
    </row>
    <row r="54014" spans="1:4" x14ac:dyDescent="0.2">
      <c r="B54014" t="s">
        <v>1</v>
      </c>
    </row>
    <row r="54015" spans="1:4" x14ac:dyDescent="0.2">
      <c r="B54015" t="s">
        <v>17102</v>
      </c>
    </row>
    <row r="54016" spans="1:4" x14ac:dyDescent="0.2">
      <c r="B54016" t="s">
        <v>103</v>
      </c>
    </row>
    <row r="54018" spans="1:2" x14ac:dyDescent="0.2">
      <c r="A54018" t="s">
        <v>17101</v>
      </c>
      <c r="B54018" t="str">
        <f>HYPERLINK("https://lindat.mff.cuni.cz/services/teitok/pdtc10/index.php?action=vallex&amp;frame=v-w7654hsa_436", "vlézt (v-w7654hsa_436) - substituted with v-w7654f2_ZU")</f>
        <v>vlézt (v-w7654hsa_436) - substituted with v-w7654f2_ZU</v>
      </c>
    </row>
    <row r="54019" spans="1:2" x14ac:dyDescent="0.2">
      <c r="B54019" t="s">
        <v>1</v>
      </c>
    </row>
    <row r="54020" spans="1:2" x14ac:dyDescent="0.2">
      <c r="B54020" t="s">
        <v>17102</v>
      </c>
    </row>
    <row r="54021" spans="1:2" x14ac:dyDescent="0.2">
      <c r="B54021" t="s">
        <v>103</v>
      </c>
    </row>
    <row r="54023" spans="1:2" x14ac:dyDescent="0.2">
      <c r="A54023" t="s">
        <v>17103</v>
      </c>
      <c r="B54023" t="str">
        <f>HYPERLINK("https://lindat.mff.cuni.cz/services/teitok/pdtc10/index.php?action=vallex&amp;frame=v-w7654f3_ZU", "vlézt (v-w7654f3_ZU)")</f>
        <v>vlézt (v-w7654f3_ZU)</v>
      </c>
    </row>
    <row r="54024" spans="1:2" x14ac:dyDescent="0.2">
      <c r="B54024" t="s">
        <v>1</v>
      </c>
    </row>
    <row r="54025" spans="1:2" x14ac:dyDescent="0.2">
      <c r="B54025" t="s">
        <v>17104</v>
      </c>
    </row>
    <row r="54026" spans="1:2" x14ac:dyDescent="0.2">
      <c r="B54026" t="s">
        <v>103</v>
      </c>
    </row>
    <row r="54028" spans="1:2" x14ac:dyDescent="0.2">
      <c r="A54028" t="s">
        <v>17103</v>
      </c>
      <c r="B54028" t="str">
        <f>HYPERLINK("https://lindat.mff.cuni.cz/services/teitok/pdtc10/index.php?action=vallex&amp;frame=v-w7654hsa_437", "vlézt (v-w7654hsa_437) - substituted with v-w7654f3_ZU")</f>
        <v>vlézt (v-w7654hsa_437) - substituted with v-w7654f3_ZU</v>
      </c>
    </row>
    <row r="54029" spans="1:2" x14ac:dyDescent="0.2">
      <c r="B54029" t="s">
        <v>1</v>
      </c>
    </row>
    <row r="54030" spans="1:2" x14ac:dyDescent="0.2">
      <c r="B54030" t="s">
        <v>17104</v>
      </c>
    </row>
    <row r="54031" spans="1:2" x14ac:dyDescent="0.2">
      <c r="B54031" t="s">
        <v>103</v>
      </c>
    </row>
    <row r="54033" spans="1:3" x14ac:dyDescent="0.2">
      <c r="A54033" t="s">
        <v>17105</v>
      </c>
      <c r="B54033" t="str">
        <f>HYPERLINK("https://lindat.mff.cuni.cz/services/teitok/pdtc10/index.php?action=vallex&amp;frame=v-w7654hsa_435", "vlézt (v-w7654hsa_435)")</f>
        <v>vlézt (v-w7654hsa_435)</v>
      </c>
    </row>
    <row r="54034" spans="1:3" x14ac:dyDescent="0.2">
      <c r="B54034" t="s">
        <v>1</v>
      </c>
    </row>
    <row r="54035" spans="1:3" x14ac:dyDescent="0.2">
      <c r="B54035" t="s">
        <v>103</v>
      </c>
    </row>
    <row r="54036" spans="1:3" x14ac:dyDescent="0.2">
      <c r="B54036" t="s">
        <v>90</v>
      </c>
    </row>
    <row r="54038" spans="1:3" x14ac:dyDescent="0.2">
      <c r="A54038" t="s">
        <v>17106</v>
      </c>
      <c r="B54038" t="str">
        <f>HYPERLINK("https://lindat.mff.cuni.cz/services/teitok/pdtc10/index.php?action=vallex&amp;frame=v-w11616_ZUf1_ZU", "vlít (v-w11616_ZUf1_ZU)")</f>
        <v>vlít (v-w11616_ZUf1_ZU)</v>
      </c>
    </row>
    <row r="54039" spans="1:3" x14ac:dyDescent="0.2">
      <c r="B54039" t="s">
        <v>1</v>
      </c>
      <c r="C54039" t="s">
        <v>249</v>
      </c>
    </row>
    <row r="54040" spans="1:3" x14ac:dyDescent="0.2">
      <c r="B54040" t="s">
        <v>8</v>
      </c>
      <c r="C54040" t="s">
        <v>1044</v>
      </c>
    </row>
    <row r="54041" spans="1:3" x14ac:dyDescent="0.2">
      <c r="B54041" t="s">
        <v>205</v>
      </c>
    </row>
    <row r="54043" spans="1:3" x14ac:dyDescent="0.2">
      <c r="A54043" t="s">
        <v>17107</v>
      </c>
      <c r="B54043" t="str">
        <f>HYPERLINK("https://lindat.mff.cuni.cz/services/teitok/pdtc10/index.php?action=vallex&amp;frame=v-w10225f2", "vmanipulovat (v-w10225f2)")</f>
        <v>vmanipulovat (v-w10225f2)</v>
      </c>
    </row>
    <row r="54044" spans="1:3" x14ac:dyDescent="0.2">
      <c r="B54044" t="s">
        <v>1</v>
      </c>
    </row>
    <row r="54045" spans="1:3" x14ac:dyDescent="0.2">
      <c r="B54045" t="s">
        <v>8</v>
      </c>
    </row>
    <row r="54046" spans="1:3" x14ac:dyDescent="0.2">
      <c r="B54046" t="s">
        <v>90</v>
      </c>
    </row>
    <row r="54048" spans="1:3" x14ac:dyDescent="0.2">
      <c r="A54048" t="s">
        <v>17108</v>
      </c>
      <c r="B54048" t="str">
        <f>HYPERLINK("https://lindat.mff.cuni.cz/services/teitok/pdtc10/index.php?action=vallex&amp;frame=v-whsa_1313hsa_1314", "vmanévrovat (v-whsa_1313hsa_1314)")</f>
        <v>vmanévrovat (v-whsa_1313hsa_1314)</v>
      </c>
    </row>
    <row r="54049" spans="1:4" x14ac:dyDescent="0.2">
      <c r="B54049" t="s">
        <v>1</v>
      </c>
      <c r="C54049" t="s">
        <v>33</v>
      </c>
      <c r="D54049" t="s">
        <v>8977</v>
      </c>
    </row>
    <row r="54050" spans="1:4" x14ac:dyDescent="0.2">
      <c r="B54050" t="s">
        <v>8</v>
      </c>
      <c r="C54050" t="s">
        <v>991</v>
      </c>
      <c r="D54050" t="s">
        <v>24334</v>
      </c>
    </row>
    <row r="54051" spans="1:4" x14ac:dyDescent="0.2">
      <c r="B54051" t="s">
        <v>90</v>
      </c>
      <c r="D54051" t="s">
        <v>24335</v>
      </c>
    </row>
    <row r="54053" spans="1:4" x14ac:dyDescent="0.2">
      <c r="A54053" t="s">
        <v>17109</v>
      </c>
      <c r="B54053" t="str">
        <f>HYPERLINK("https://lindat.mff.cuni.cz/services/teitok/pdtc10/index.php?action=vallex&amp;frame=v-w11895_ZUf1_ZU", "vmašírovat (v-w11895_ZUf1_ZU)")</f>
        <v>vmašírovat (v-w11895_ZUf1_ZU)</v>
      </c>
    </row>
    <row r="54054" spans="1:4" x14ac:dyDescent="0.2">
      <c r="B54054" t="s">
        <v>1</v>
      </c>
    </row>
    <row r="54055" spans="1:4" x14ac:dyDescent="0.2">
      <c r="B54055" t="s">
        <v>252</v>
      </c>
    </row>
    <row r="54057" spans="1:4" x14ac:dyDescent="0.2">
      <c r="A54057" t="s">
        <v>17110</v>
      </c>
      <c r="B54057" t="str">
        <f>HYPERLINK("https://lindat.mff.cuni.cz/services/teitok/pdtc10/index.php?action=vallex&amp;frame=v-w11136f2", "vmáčknout (v-w11136f2)")</f>
        <v>vmáčknout (v-w11136f2)</v>
      </c>
    </row>
    <row r="54058" spans="1:4" x14ac:dyDescent="0.2">
      <c r="B54058" t="s">
        <v>1</v>
      </c>
    </row>
    <row r="54059" spans="1:4" x14ac:dyDescent="0.2">
      <c r="B54059" t="s">
        <v>8</v>
      </c>
    </row>
    <row r="54060" spans="1:4" x14ac:dyDescent="0.2">
      <c r="B54060" t="s">
        <v>35</v>
      </c>
    </row>
    <row r="54062" spans="1:4" x14ac:dyDescent="0.2">
      <c r="A54062" t="s">
        <v>17111</v>
      </c>
      <c r="B54062" t="str">
        <f>HYPERLINK("https://lindat.mff.cuni.cz/services/teitok/pdtc10/index.php?action=vallex&amp;frame=v-w11136hsa_333", "vmáčknout (v-w11136hsa_333)")</f>
        <v>vmáčknout (v-w11136hsa_333)</v>
      </c>
    </row>
    <row r="54063" spans="1:4" x14ac:dyDescent="0.2">
      <c r="B54063" t="s">
        <v>1</v>
      </c>
    </row>
    <row r="54064" spans="1:4" x14ac:dyDescent="0.2">
      <c r="B54064" t="s">
        <v>8</v>
      </c>
    </row>
    <row r="54065" spans="1:4" x14ac:dyDescent="0.2">
      <c r="B54065" t="s">
        <v>90</v>
      </c>
    </row>
    <row r="54067" spans="1:4" x14ac:dyDescent="0.2">
      <c r="A54067" t="s">
        <v>17112</v>
      </c>
      <c r="B54067" t="str">
        <f>HYPERLINK("https://lindat.mff.cuni.cz/services/teitok/pdtc10/index.php?action=vallex&amp;frame=v-w7664f1", "vměšovat se (v-w7664f1)")</f>
        <v>vměšovat se (v-w7664f1)</v>
      </c>
    </row>
    <row r="54068" spans="1:4" x14ac:dyDescent="0.2">
      <c r="B54068" t="s">
        <v>1</v>
      </c>
      <c r="C54068" t="s">
        <v>80</v>
      </c>
      <c r="D54068" t="s">
        <v>23493</v>
      </c>
    </row>
    <row r="54069" spans="1:4" x14ac:dyDescent="0.2">
      <c r="B54069" t="s">
        <v>817</v>
      </c>
      <c r="C54069" t="s">
        <v>3773</v>
      </c>
      <c r="D54069" t="s">
        <v>23494</v>
      </c>
    </row>
    <row r="54071" spans="1:4" x14ac:dyDescent="0.2">
      <c r="A54071" t="s">
        <v>17113</v>
      </c>
      <c r="B54071" t="str">
        <f>HYPERLINK("https://lindat.mff.cuni.cz/services/teitok/pdtc10/index.php?action=vallex&amp;frame=v-w7664f2", "vměšovat se (v-w7664f2)")</f>
        <v>vměšovat se (v-w7664f2)</v>
      </c>
    </row>
    <row r="54072" spans="1:4" x14ac:dyDescent="0.2">
      <c r="B54072" t="s">
        <v>1</v>
      </c>
    </row>
    <row r="54073" spans="1:4" x14ac:dyDescent="0.2">
      <c r="B54073" t="s">
        <v>90</v>
      </c>
    </row>
    <row r="54075" spans="1:4" x14ac:dyDescent="0.2">
      <c r="A54075" t="s">
        <v>17114</v>
      </c>
      <c r="B54075" t="str">
        <f>HYPERLINK("https://lindat.mff.cuni.cz/services/teitok/pdtc10/index.php?action=vallex&amp;frame=v-w7667f1", "vniknout (v-w7667f1)")</f>
        <v>vniknout (v-w7667f1)</v>
      </c>
    </row>
    <row r="54076" spans="1:4" x14ac:dyDescent="0.2">
      <c r="B54076" t="s">
        <v>1</v>
      </c>
    </row>
    <row r="54077" spans="1:4" x14ac:dyDescent="0.2">
      <c r="B54077" t="s">
        <v>90</v>
      </c>
    </row>
    <row r="54079" spans="1:4" x14ac:dyDescent="0.2">
      <c r="A54079" t="s">
        <v>17115</v>
      </c>
      <c r="B54079" t="str">
        <f>HYPERLINK("https://lindat.mff.cuni.cz/services/teitok/pdtc10/index.php?action=vallex&amp;frame=v-w11835_ZUf1_ZU", "vnořit (v-w11835_ZUf1_ZU)")</f>
        <v>vnořit (v-w11835_ZUf1_ZU)</v>
      </c>
    </row>
    <row r="54080" spans="1:4" x14ac:dyDescent="0.2">
      <c r="B54080" t="s">
        <v>1</v>
      </c>
    </row>
    <row r="54081" spans="1:4" x14ac:dyDescent="0.2">
      <c r="B54081" t="s">
        <v>8</v>
      </c>
    </row>
    <row r="54082" spans="1:4" x14ac:dyDescent="0.2">
      <c r="B54082" t="s">
        <v>252</v>
      </c>
    </row>
    <row r="54084" spans="1:4" x14ac:dyDescent="0.2">
      <c r="A54084" t="s">
        <v>17116</v>
      </c>
      <c r="B54084" t="str">
        <f>HYPERLINK("https://lindat.mff.cuni.cz/services/teitok/pdtc10/index.php?action=vallex&amp;frame=v-w7675f1", "vnucovat (v-w7675f1)")</f>
        <v>vnucovat (v-w7675f1)</v>
      </c>
    </row>
    <row r="54085" spans="1:4" x14ac:dyDescent="0.2">
      <c r="B54085" t="s">
        <v>1</v>
      </c>
      <c r="C54085" t="s">
        <v>976</v>
      </c>
      <c r="D54085" t="s">
        <v>23815</v>
      </c>
    </row>
    <row r="54086" spans="1:4" x14ac:dyDescent="0.2">
      <c r="B54086" t="s">
        <v>124</v>
      </c>
      <c r="C54086" t="s">
        <v>6311</v>
      </c>
      <c r="D54086" t="s">
        <v>23816</v>
      </c>
    </row>
    <row r="54087" spans="1:4" x14ac:dyDescent="0.2">
      <c r="B54087" t="s">
        <v>35</v>
      </c>
      <c r="C54087" t="s">
        <v>2573</v>
      </c>
      <c r="D54087" t="s">
        <v>23817</v>
      </c>
    </row>
    <row r="54089" spans="1:4" x14ac:dyDescent="0.2">
      <c r="A54089" t="s">
        <v>17117</v>
      </c>
      <c r="B54089" t="str">
        <f>HYPERLINK("https://lindat.mff.cuni.cz/services/teitok/pdtc10/index.php?action=vallex&amp;frame=v-w7676f1", "vnucovat se (v-w7676f1)")</f>
        <v>vnucovat se (v-w7676f1)</v>
      </c>
    </row>
    <row r="54090" spans="1:4" x14ac:dyDescent="0.2">
      <c r="B54090" t="s">
        <v>1</v>
      </c>
    </row>
    <row r="54091" spans="1:4" x14ac:dyDescent="0.2">
      <c r="B54091" t="s">
        <v>103</v>
      </c>
    </row>
    <row r="54093" spans="1:4" x14ac:dyDescent="0.2">
      <c r="A54093" t="s">
        <v>17118</v>
      </c>
      <c r="B54093" t="str">
        <f>HYPERLINK("https://lindat.mff.cuni.cz/services/teitok/pdtc10/index.php?action=vallex&amp;frame=v-w7678f1", "vnutit (v-w7678f1)")</f>
        <v>vnutit (v-w7678f1)</v>
      </c>
    </row>
    <row r="54094" spans="1:4" x14ac:dyDescent="0.2">
      <c r="B54094" t="s">
        <v>1</v>
      </c>
      <c r="C54094" t="s">
        <v>140</v>
      </c>
      <c r="D54094" t="s">
        <v>23815</v>
      </c>
    </row>
    <row r="54095" spans="1:4" x14ac:dyDescent="0.2">
      <c r="B54095" t="s">
        <v>124</v>
      </c>
      <c r="C54095" t="s">
        <v>1128</v>
      </c>
      <c r="D54095" t="s">
        <v>23816</v>
      </c>
    </row>
    <row r="54096" spans="1:4" x14ac:dyDescent="0.2">
      <c r="B54096" t="s">
        <v>35</v>
      </c>
      <c r="C54096" t="s">
        <v>14173</v>
      </c>
      <c r="D54096" t="s">
        <v>23817</v>
      </c>
    </row>
    <row r="54098" spans="1:4" x14ac:dyDescent="0.2">
      <c r="A54098" t="s">
        <v>17119</v>
      </c>
      <c r="B54098" t="str">
        <f>HYPERLINK("https://lindat.mff.cuni.cz/services/teitok/pdtc10/index.php?action=vallex&amp;frame=v-whsa_936hsa_937", "vnutit se (v-whsa_936hsa_937)")</f>
        <v>vnutit se (v-whsa_936hsa_937)</v>
      </c>
    </row>
    <row r="54099" spans="1:4" x14ac:dyDescent="0.2">
      <c r="B54099" t="s">
        <v>1</v>
      </c>
    </row>
    <row r="54100" spans="1:4" x14ac:dyDescent="0.2">
      <c r="B54100" t="s">
        <v>103</v>
      </c>
    </row>
    <row r="54102" spans="1:4" x14ac:dyDescent="0.2">
      <c r="A54102" t="s">
        <v>17120</v>
      </c>
      <c r="B54102" t="str">
        <f>HYPERLINK("https://lindat.mff.cuni.cz/services/teitok/pdtc10/index.php?action=vallex&amp;frame=v-w7665f1", "vnášet (v-w7665f1)")</f>
        <v>vnášet (v-w7665f1)</v>
      </c>
    </row>
    <row r="54103" spans="1:4" x14ac:dyDescent="0.2">
      <c r="B54103" t="s">
        <v>1</v>
      </c>
    </row>
    <row r="54104" spans="1:4" x14ac:dyDescent="0.2">
      <c r="B54104" t="s">
        <v>8</v>
      </c>
    </row>
    <row r="54105" spans="1:4" x14ac:dyDescent="0.2">
      <c r="B54105" t="s">
        <v>90</v>
      </c>
    </row>
    <row r="54107" spans="1:4" x14ac:dyDescent="0.2">
      <c r="A54107" t="s">
        <v>17121</v>
      </c>
      <c r="B54107" t="str">
        <f>HYPERLINK("https://lindat.mff.cuni.cz/services/teitok/pdtc10/index.php?action=vallex&amp;frame=v-w7666f1", "vnést (v-w7666f1)")</f>
        <v>vnést (v-w7666f1)</v>
      </c>
    </row>
    <row r="54108" spans="1:4" x14ac:dyDescent="0.2">
      <c r="B54108" t="s">
        <v>1</v>
      </c>
      <c r="C54108" t="s">
        <v>6393</v>
      </c>
      <c r="D54108" t="s">
        <v>13976</v>
      </c>
    </row>
    <row r="54109" spans="1:4" x14ac:dyDescent="0.2">
      <c r="B54109" t="s">
        <v>8</v>
      </c>
      <c r="C54109" t="s">
        <v>17122</v>
      </c>
      <c r="D54109" t="s">
        <v>10414</v>
      </c>
    </row>
    <row r="54110" spans="1:4" x14ac:dyDescent="0.2">
      <c r="B54110" t="s">
        <v>90</v>
      </c>
      <c r="C54110" t="s">
        <v>17123</v>
      </c>
      <c r="D54110" t="s">
        <v>23197</v>
      </c>
    </row>
    <row r="54112" spans="1:4" x14ac:dyDescent="0.2">
      <c r="A54112" t="s">
        <v>17124</v>
      </c>
      <c r="B54112" t="str">
        <f>HYPERLINK("https://lindat.mff.cuni.cz/services/teitok/pdtc10/index.php?action=vallex&amp;frame=v-w7672f2", "vnímat (v-w7672f2)")</f>
        <v>vnímat (v-w7672f2)</v>
      </c>
    </row>
    <row r="54113" spans="1:4" x14ac:dyDescent="0.2">
      <c r="B54113" t="s">
        <v>1</v>
      </c>
      <c r="C54113" t="s">
        <v>17125</v>
      </c>
      <c r="D54113" t="s">
        <v>23008</v>
      </c>
    </row>
    <row r="54114" spans="1:4" x14ac:dyDescent="0.2">
      <c r="B54114" t="s">
        <v>8</v>
      </c>
      <c r="C54114" t="s">
        <v>17126</v>
      </c>
      <c r="D54114" t="s">
        <v>17729</v>
      </c>
    </row>
    <row r="54115" spans="1:4" x14ac:dyDescent="0.2">
      <c r="B54115" t="s">
        <v>1151</v>
      </c>
      <c r="C54115" t="s">
        <v>17127</v>
      </c>
      <c r="D54115" t="s">
        <v>23009</v>
      </c>
    </row>
    <row r="54117" spans="1:4" x14ac:dyDescent="0.2">
      <c r="A54117" t="s">
        <v>17128</v>
      </c>
      <c r="B54117" t="str">
        <f>HYPERLINK("https://lindat.mff.cuni.cz/services/teitok/pdtc10/index.php?action=vallex&amp;frame=v-w7672f3_ZU", "vnímat (v-w7672f3_ZU)")</f>
        <v>vnímat (v-w7672f3_ZU)</v>
      </c>
    </row>
    <row r="54118" spans="1:4" x14ac:dyDescent="0.2">
      <c r="B54118" t="s">
        <v>1</v>
      </c>
      <c r="C54118" t="s">
        <v>1234</v>
      </c>
      <c r="D54118" t="s">
        <v>8689</v>
      </c>
    </row>
    <row r="54119" spans="1:4" x14ac:dyDescent="0.2">
      <c r="B54119" t="s">
        <v>41</v>
      </c>
      <c r="C54119" t="s">
        <v>1295</v>
      </c>
      <c r="D54119" t="s">
        <v>3324</v>
      </c>
    </row>
    <row r="54121" spans="1:4" x14ac:dyDescent="0.2">
      <c r="A54121" t="s">
        <v>17128</v>
      </c>
      <c r="B54121" t="str">
        <f>HYPERLINK("https://lindat.mff.cuni.cz/services/teitok/pdtc10/index.php?action=vallex&amp;frame=v-w7672f1", "vnímat (v-w7672f1) - substituted with v-w7672f3_ZU")</f>
        <v>vnímat (v-w7672f1) - substituted with v-w7672f3_ZU</v>
      </c>
    </row>
    <row r="54122" spans="1:4" x14ac:dyDescent="0.2">
      <c r="B54122" t="s">
        <v>1</v>
      </c>
      <c r="C54122" t="s">
        <v>976</v>
      </c>
    </row>
    <row r="54123" spans="1:4" x14ac:dyDescent="0.2">
      <c r="B54123" t="s">
        <v>41</v>
      </c>
      <c r="C54123" t="s">
        <v>2884</v>
      </c>
    </row>
    <row r="54125" spans="1:4" x14ac:dyDescent="0.2">
      <c r="A54125" t="s">
        <v>17129</v>
      </c>
      <c r="B54125" t="str">
        <f>HYPERLINK("https://lindat.mff.cuni.cz/services/teitok/pdtc10/index.php?action=vallex&amp;frame=v-w7672hsa_716", "vnímat (v-w7672hsa_716)")</f>
        <v>vnímat (v-w7672hsa_716)</v>
      </c>
    </row>
    <row r="54126" spans="1:4" x14ac:dyDescent="0.2">
      <c r="B54126" t="s">
        <v>1</v>
      </c>
    </row>
    <row r="54127" spans="1:4" x14ac:dyDescent="0.2">
      <c r="B54127" t="s">
        <v>8</v>
      </c>
    </row>
    <row r="54128" spans="1:4" x14ac:dyDescent="0.2">
      <c r="B54128" t="s">
        <v>507</v>
      </c>
    </row>
    <row r="54130" spans="1:4" x14ac:dyDescent="0.2">
      <c r="A54130" t="s">
        <v>17130</v>
      </c>
      <c r="B54130" t="str">
        <f>HYPERLINK("https://lindat.mff.cuni.cz/services/teitok/pdtc10/index.php?action=vallex&amp;frame=v-w7680f1", "vodit (v-w7680f1)")</f>
        <v>vodit (v-w7680f1)</v>
      </c>
    </row>
    <row r="54131" spans="1:4" x14ac:dyDescent="0.2">
      <c r="B54131" t="s">
        <v>1</v>
      </c>
      <c r="C54131" t="s">
        <v>1275</v>
      </c>
      <c r="D54131" t="s">
        <v>7595</v>
      </c>
    </row>
    <row r="54132" spans="1:4" x14ac:dyDescent="0.2">
      <c r="B54132" t="s">
        <v>8</v>
      </c>
      <c r="C54132" t="s">
        <v>12784</v>
      </c>
      <c r="D54132" t="s">
        <v>24336</v>
      </c>
    </row>
    <row r="54134" spans="1:4" x14ac:dyDescent="0.2">
      <c r="A54134" t="s">
        <v>17131</v>
      </c>
      <c r="B54134" t="str">
        <f>HYPERLINK("https://lindat.mff.cuni.cz/services/teitok/pdtc10/index.php?action=vallex&amp;frame=v-w12279_ZUf1_ZU", "vojákovat (v-w12279_ZUf1_ZU)")</f>
        <v>vojákovat (v-w12279_ZUf1_ZU)</v>
      </c>
    </row>
    <row r="54135" spans="1:4" x14ac:dyDescent="0.2">
      <c r="B54135" t="s">
        <v>1</v>
      </c>
    </row>
    <row r="54137" spans="1:4" x14ac:dyDescent="0.2">
      <c r="A54137" t="s">
        <v>17132</v>
      </c>
      <c r="B54137" t="str">
        <f>HYPERLINK("https://lindat.mff.cuni.cz/services/teitok/pdtc10/index.php?action=vallex&amp;frame=v-w7683f1", "volat (v-w7683f1)")</f>
        <v>volat (v-w7683f1)</v>
      </c>
    </row>
    <row r="54138" spans="1:4" x14ac:dyDescent="0.2">
      <c r="B54138" t="s">
        <v>1</v>
      </c>
      <c r="C54138" t="s">
        <v>3307</v>
      </c>
      <c r="D54138" t="s">
        <v>2353</v>
      </c>
    </row>
    <row r="54139" spans="1:4" x14ac:dyDescent="0.2">
      <c r="B54139" t="s">
        <v>273</v>
      </c>
      <c r="D54139" t="s">
        <v>20757</v>
      </c>
    </row>
    <row r="54140" spans="1:4" x14ac:dyDescent="0.2">
      <c r="B54140" t="s">
        <v>35</v>
      </c>
      <c r="C54140" t="s">
        <v>17133</v>
      </c>
      <c r="D54140" t="s">
        <v>22998</v>
      </c>
    </row>
    <row r="54142" spans="1:4" x14ac:dyDescent="0.2">
      <c r="A54142" t="s">
        <v>17134</v>
      </c>
      <c r="B54142" t="str">
        <f>HYPERLINK("https://lindat.mff.cuni.cz/services/teitok/pdtc10/index.php?action=vallex&amp;frame=v-w7683f10_ZU", "volat (v-w7683f10_ZU)")</f>
        <v>volat (v-w7683f10_ZU)</v>
      </c>
    </row>
    <row r="54143" spans="1:4" x14ac:dyDescent="0.2">
      <c r="B54143" t="s">
        <v>1</v>
      </c>
    </row>
    <row r="54144" spans="1:4" x14ac:dyDescent="0.2">
      <c r="B54144" t="s">
        <v>17135</v>
      </c>
    </row>
    <row r="54145" spans="1:4" x14ac:dyDescent="0.2">
      <c r="B54145" t="s">
        <v>3527</v>
      </c>
    </row>
    <row r="54147" spans="1:4" x14ac:dyDescent="0.2">
      <c r="A54147" t="s">
        <v>17134</v>
      </c>
      <c r="B54147" t="str">
        <f>HYPERLINK("https://lindat.mff.cuni.cz/services/teitok/pdtc10/index.php?action=vallex&amp;frame=v-w7683f6", "volat (v-w7683f6) - substituted with v-w7683f10_ZU")</f>
        <v>volat (v-w7683f6) - substituted with v-w7683f10_ZU</v>
      </c>
    </row>
    <row r="54148" spans="1:4" x14ac:dyDescent="0.2">
      <c r="B54148" t="s">
        <v>1</v>
      </c>
      <c r="C54148" t="s">
        <v>3307</v>
      </c>
    </row>
    <row r="54149" spans="1:4" x14ac:dyDescent="0.2">
      <c r="B54149" t="s">
        <v>17135</v>
      </c>
    </row>
    <row r="54150" spans="1:4" x14ac:dyDescent="0.2">
      <c r="B54150" t="s">
        <v>3527</v>
      </c>
      <c r="C54150" t="s">
        <v>17133</v>
      </c>
    </row>
    <row r="54152" spans="1:4" x14ac:dyDescent="0.2">
      <c r="A54152" t="s">
        <v>17136</v>
      </c>
      <c r="B54152" t="str">
        <f>HYPERLINK("https://lindat.mff.cuni.cz/services/teitok/pdtc10/index.php?action=vallex&amp;frame=v-w7683f9", "volat (v-w7683f9)")</f>
        <v>volat (v-w7683f9)</v>
      </c>
    </row>
    <row r="54153" spans="1:4" x14ac:dyDescent="0.2">
      <c r="B54153" t="s">
        <v>1</v>
      </c>
    </row>
    <row r="54154" spans="1:4" x14ac:dyDescent="0.2">
      <c r="B54154" t="s">
        <v>183</v>
      </c>
    </row>
    <row r="54155" spans="1:4" x14ac:dyDescent="0.2">
      <c r="B54155" t="s">
        <v>2328</v>
      </c>
    </row>
    <row r="54157" spans="1:4" x14ac:dyDescent="0.2">
      <c r="A54157" t="s">
        <v>17137</v>
      </c>
      <c r="B54157" t="str">
        <f>HYPERLINK("https://lindat.mff.cuni.cz/services/teitok/pdtc10/index.php?action=vallex&amp;frame=v-w7683f3", "volat (v-w7683f3)")</f>
        <v>volat (v-w7683f3)</v>
      </c>
    </row>
    <row r="54158" spans="1:4" x14ac:dyDescent="0.2">
      <c r="B54158" t="s">
        <v>1</v>
      </c>
      <c r="C54158" t="s">
        <v>3307</v>
      </c>
      <c r="D54158" t="s">
        <v>13118</v>
      </c>
    </row>
    <row r="54159" spans="1:4" x14ac:dyDescent="0.2">
      <c r="B54159" t="s">
        <v>8</v>
      </c>
      <c r="C54159" t="s">
        <v>2213</v>
      </c>
      <c r="D54159" t="s">
        <v>13080</v>
      </c>
    </row>
    <row r="54161" spans="1:4" x14ac:dyDescent="0.2">
      <c r="A54161" t="s">
        <v>17138</v>
      </c>
      <c r="B54161" t="str">
        <f>HYPERLINK("https://lindat.mff.cuni.cz/services/teitok/pdtc10/index.php?action=vallex&amp;frame=v-w7683f11_ZU", "volat (v-w7683f11_ZU)")</f>
        <v>volat (v-w7683f11_ZU)</v>
      </c>
    </row>
    <row r="54162" spans="1:4" x14ac:dyDescent="0.2">
      <c r="B54162" t="s">
        <v>1</v>
      </c>
    </row>
    <row r="54163" spans="1:4" x14ac:dyDescent="0.2">
      <c r="B54163" t="s">
        <v>8</v>
      </c>
    </row>
    <row r="54165" spans="1:4" x14ac:dyDescent="0.2">
      <c r="A54165" t="s">
        <v>17138</v>
      </c>
      <c r="B54165" t="str">
        <f>HYPERLINK("https://lindat.mff.cuni.cz/services/teitok/pdtc10/index.php?action=vallex&amp;frame=v-w7683f5", "volat (v-w7683f5) - substituted with v-w7683f11_ZU")</f>
        <v>volat (v-w7683f5) - substituted with v-w7683f11_ZU</v>
      </c>
    </row>
    <row r="54166" spans="1:4" x14ac:dyDescent="0.2">
      <c r="B54166" t="s">
        <v>1</v>
      </c>
      <c r="C54166" t="s">
        <v>1077</v>
      </c>
      <c r="D54166" t="s">
        <v>13118</v>
      </c>
    </row>
    <row r="54167" spans="1:4" x14ac:dyDescent="0.2">
      <c r="B54167" t="s">
        <v>8</v>
      </c>
      <c r="C54167" t="s">
        <v>1343</v>
      </c>
      <c r="D54167" t="s">
        <v>13080</v>
      </c>
    </row>
    <row r="54169" spans="1:4" x14ac:dyDescent="0.2">
      <c r="A54169" t="s">
        <v>17139</v>
      </c>
      <c r="B54169" t="str">
        <f>HYPERLINK("https://lindat.mff.cuni.cz/services/teitok/pdtc10/index.php?action=vallex&amp;frame=v-w7683f2", "volat (v-w7683f2)")</f>
        <v>volat (v-w7683f2)</v>
      </c>
    </row>
    <row r="54170" spans="1:4" x14ac:dyDescent="0.2">
      <c r="B54170" t="s">
        <v>1</v>
      </c>
      <c r="C54170" t="s">
        <v>8725</v>
      </c>
      <c r="D54170" t="s">
        <v>24337</v>
      </c>
    </row>
    <row r="54171" spans="1:4" x14ac:dyDescent="0.2">
      <c r="B54171" t="s">
        <v>1165</v>
      </c>
      <c r="C54171" t="s">
        <v>17140</v>
      </c>
      <c r="D54171" t="s">
        <v>24338</v>
      </c>
    </row>
    <row r="54173" spans="1:4" x14ac:dyDescent="0.2">
      <c r="A54173" t="s">
        <v>17141</v>
      </c>
      <c r="B54173" t="str">
        <f>HYPERLINK("https://lindat.mff.cuni.cz/services/teitok/pdtc10/index.php?action=vallex&amp;frame=v-w7683f7", "volat (v-w7683f7)")</f>
        <v>volat (v-w7683f7)</v>
      </c>
    </row>
    <row r="54174" spans="1:4" x14ac:dyDescent="0.2">
      <c r="B54174" t="s">
        <v>1</v>
      </c>
      <c r="C54174" t="s">
        <v>1077</v>
      </c>
      <c r="D54174" t="s">
        <v>2353</v>
      </c>
    </row>
    <row r="54175" spans="1:4" x14ac:dyDescent="0.2">
      <c r="B54175" t="s">
        <v>35</v>
      </c>
      <c r="C54175" t="s">
        <v>10729</v>
      </c>
      <c r="D54175" t="s">
        <v>22998</v>
      </c>
    </row>
    <row r="54176" spans="1:4" x14ac:dyDescent="0.2">
      <c r="B54176" t="s">
        <v>269</v>
      </c>
      <c r="C54176" t="s">
        <v>3156</v>
      </c>
      <c r="D54176" t="s">
        <v>20757</v>
      </c>
    </row>
    <row r="54178" spans="1:4" x14ac:dyDescent="0.2">
      <c r="A54178" t="s">
        <v>17142</v>
      </c>
      <c r="B54178" t="str">
        <f>HYPERLINK("https://lindat.mff.cuni.cz/services/teitok/pdtc10/index.php?action=vallex&amp;frame=v-w7683f8", "volat (v-w7683f8)")</f>
        <v>volat (v-w7683f8)</v>
      </c>
    </row>
    <row r="54179" spans="1:4" x14ac:dyDescent="0.2">
      <c r="B54179" t="s">
        <v>1</v>
      </c>
    </row>
    <row r="54180" spans="1:4" x14ac:dyDescent="0.2">
      <c r="B54180" t="s">
        <v>35</v>
      </c>
    </row>
    <row r="54181" spans="1:4" x14ac:dyDescent="0.2">
      <c r="B54181" t="s">
        <v>4742</v>
      </c>
    </row>
    <row r="54182" spans="1:4" x14ac:dyDescent="0.2">
      <c r="B54182" t="s">
        <v>269</v>
      </c>
    </row>
    <row r="54184" spans="1:4" x14ac:dyDescent="0.2">
      <c r="A54184" t="s">
        <v>17143</v>
      </c>
      <c r="B54184" t="str">
        <f>HYPERLINK("https://lindat.mff.cuni.cz/services/teitok/pdtc10/index.php?action=vallex&amp;frame=v-w7683f4", "volat (v-w7683f4)")</f>
        <v>volat (v-w7683f4)</v>
      </c>
    </row>
    <row r="54185" spans="1:4" x14ac:dyDescent="0.2">
      <c r="B54185" t="s">
        <v>1</v>
      </c>
      <c r="C54185" t="s">
        <v>2145</v>
      </c>
      <c r="D54185" t="s">
        <v>2353</v>
      </c>
    </row>
    <row r="54186" spans="1:4" x14ac:dyDescent="0.2">
      <c r="B54186" t="s">
        <v>90</v>
      </c>
      <c r="C54186" t="s">
        <v>17144</v>
      </c>
      <c r="D54186" t="s">
        <v>24229</v>
      </c>
    </row>
    <row r="54187" spans="1:4" x14ac:dyDescent="0.2">
      <c r="B54187" t="s">
        <v>269</v>
      </c>
      <c r="C54187" t="s">
        <v>12884</v>
      </c>
      <c r="D54187" t="s">
        <v>20757</v>
      </c>
    </row>
    <row r="54189" spans="1:4" x14ac:dyDescent="0.2">
      <c r="A54189" t="s">
        <v>17145</v>
      </c>
      <c r="B54189" t="str">
        <f>HYPERLINK("https://lindat.mff.cuni.cz/services/teitok/pdtc10/index.php?action=vallex&amp;frame=v-whsa_610hsa_611", "volat si (v-whsa_610hsa_611)")</f>
        <v>volat si (v-whsa_610hsa_611)</v>
      </c>
    </row>
    <row r="54190" spans="1:4" x14ac:dyDescent="0.2">
      <c r="B54190" t="s">
        <v>1</v>
      </c>
    </row>
    <row r="54191" spans="1:4" x14ac:dyDescent="0.2">
      <c r="B54191" t="s">
        <v>8</v>
      </c>
    </row>
    <row r="54192" spans="1:4" x14ac:dyDescent="0.2">
      <c r="B54192" t="s">
        <v>153</v>
      </c>
    </row>
    <row r="54194" spans="1:4" x14ac:dyDescent="0.2">
      <c r="A54194" t="s">
        <v>17146</v>
      </c>
      <c r="B54194" t="str">
        <f>HYPERLINK("https://lindat.mff.cuni.cz/services/teitok/pdtc10/index.php?action=vallex&amp;frame=v-w7686f1", "volit (v-w7686f1)")</f>
        <v>volit (v-w7686f1)</v>
      </c>
    </row>
    <row r="54195" spans="1:4" x14ac:dyDescent="0.2">
      <c r="B54195" t="s">
        <v>1</v>
      </c>
      <c r="C54195" t="s">
        <v>17147</v>
      </c>
      <c r="D54195" t="s">
        <v>20601</v>
      </c>
    </row>
    <row r="54196" spans="1:4" x14ac:dyDescent="0.2">
      <c r="B54196" t="s">
        <v>172</v>
      </c>
      <c r="C54196" t="s">
        <v>17148</v>
      </c>
      <c r="D54196" t="s">
        <v>24136</v>
      </c>
    </row>
    <row r="54197" spans="1:4" x14ac:dyDescent="0.2">
      <c r="B54197" t="s">
        <v>13224</v>
      </c>
      <c r="D54197" t="s">
        <v>22284</v>
      </c>
    </row>
    <row r="54199" spans="1:4" x14ac:dyDescent="0.2">
      <c r="A54199" t="s">
        <v>17149</v>
      </c>
      <c r="B54199" t="str">
        <f>HYPERLINK("https://lindat.mff.cuni.cz/services/teitok/pdtc10/index.php?action=vallex&amp;frame=v-w7686f2", "volit (v-w7686f2)")</f>
        <v>volit (v-w7686f2)</v>
      </c>
    </row>
    <row r="54200" spans="1:4" x14ac:dyDescent="0.2">
      <c r="B54200" t="s">
        <v>1</v>
      </c>
      <c r="C54200" t="s">
        <v>7168</v>
      </c>
    </row>
    <row r="54201" spans="1:4" x14ac:dyDescent="0.2">
      <c r="B54201" t="s">
        <v>8</v>
      </c>
      <c r="C54201" t="s">
        <v>2747</v>
      </c>
    </row>
    <row r="54202" spans="1:4" x14ac:dyDescent="0.2">
      <c r="B54202" t="s">
        <v>10375</v>
      </c>
    </row>
    <row r="54204" spans="1:4" x14ac:dyDescent="0.2">
      <c r="A54204" t="s">
        <v>17150</v>
      </c>
      <c r="B54204" t="str">
        <f>HYPERLINK("https://lindat.mff.cuni.cz/services/teitok/pdtc10/index.php?action=vallex&amp;frame=v-whsa_800f1_ZU", "volávat (v-whsa_800f1_ZU)")</f>
        <v>volávat (v-whsa_800f1_ZU)</v>
      </c>
    </row>
    <row r="54205" spans="1:4" x14ac:dyDescent="0.2">
      <c r="B54205" t="s">
        <v>1</v>
      </c>
    </row>
    <row r="54206" spans="1:4" x14ac:dyDescent="0.2">
      <c r="B54206" t="s">
        <v>273</v>
      </c>
    </row>
    <row r="54207" spans="1:4" x14ac:dyDescent="0.2">
      <c r="B54207" t="s">
        <v>35</v>
      </c>
    </row>
    <row r="54209" spans="1:3" x14ac:dyDescent="0.2">
      <c r="A54209" t="s">
        <v>17150</v>
      </c>
      <c r="B54209" t="str">
        <f>HYPERLINK("https://lindat.mff.cuni.cz/services/teitok/pdtc10/index.php?action=vallex&amp;frame=v-whsb_800hsa_801", "volávat (v-whsb_800hsa_801) - substituted with v-whsa_800f1_ZU")</f>
        <v>volávat (v-whsb_800hsa_801) - substituted with v-whsa_800f1_ZU</v>
      </c>
    </row>
    <row r="54210" spans="1:3" x14ac:dyDescent="0.2">
      <c r="B54210" t="s">
        <v>1</v>
      </c>
    </row>
    <row r="54211" spans="1:3" x14ac:dyDescent="0.2">
      <c r="B54211" t="s">
        <v>273</v>
      </c>
    </row>
    <row r="54212" spans="1:3" x14ac:dyDescent="0.2">
      <c r="B54212" t="s">
        <v>35</v>
      </c>
    </row>
    <row r="54214" spans="1:3" x14ac:dyDescent="0.2">
      <c r="A54214" t="s">
        <v>17151</v>
      </c>
      <c r="B54214" t="str">
        <f>HYPERLINK("https://lindat.mff.cuni.cz/services/teitok/pdtc10/index.php?action=vallex&amp;frame=v-w7687f1", "vonět (v-w7687f1)")</f>
        <v>vonět (v-w7687f1)</v>
      </c>
    </row>
    <row r="54215" spans="1:3" x14ac:dyDescent="0.2">
      <c r="B54215" t="s">
        <v>455</v>
      </c>
    </row>
    <row r="54216" spans="1:3" x14ac:dyDescent="0.2">
      <c r="B54216" t="s">
        <v>4374</v>
      </c>
    </row>
    <row r="54218" spans="1:3" x14ac:dyDescent="0.2">
      <c r="A54218" t="s">
        <v>17152</v>
      </c>
      <c r="B54218" t="str">
        <f>HYPERLINK("https://lindat.mff.cuni.cz/services/teitok/pdtc10/index.php?action=vallex&amp;frame=v-w7687f2", "vonět (v-w7687f2)")</f>
        <v>vonět (v-w7687f2)</v>
      </c>
    </row>
    <row r="54219" spans="1:3" x14ac:dyDescent="0.2">
      <c r="B54219" t="s">
        <v>1</v>
      </c>
      <c r="C54219" t="s">
        <v>2172</v>
      </c>
    </row>
    <row r="54220" spans="1:3" x14ac:dyDescent="0.2">
      <c r="B54220" t="s">
        <v>11136</v>
      </c>
    </row>
    <row r="54222" spans="1:3" x14ac:dyDescent="0.2">
      <c r="A54222" t="s">
        <v>17153</v>
      </c>
      <c r="B54222" t="str">
        <f>HYPERLINK("https://lindat.mff.cuni.cz/services/teitok/pdtc10/index.php?action=vallex&amp;frame=v-w7688f1", "voperovat (v-w7688f1)")</f>
        <v>voperovat (v-w7688f1)</v>
      </c>
    </row>
    <row r="54223" spans="1:3" x14ac:dyDescent="0.2">
      <c r="B54223" t="s">
        <v>1</v>
      </c>
    </row>
    <row r="54224" spans="1:3" x14ac:dyDescent="0.2">
      <c r="B54224" t="s">
        <v>8</v>
      </c>
    </row>
    <row r="54225" spans="1:4" x14ac:dyDescent="0.2">
      <c r="B54225" t="s">
        <v>35</v>
      </c>
    </row>
    <row r="54227" spans="1:4" x14ac:dyDescent="0.2">
      <c r="A54227" t="s">
        <v>17154</v>
      </c>
      <c r="B54227" t="str">
        <f>HYPERLINK("https://lindat.mff.cuni.cz/services/teitok/pdtc10/index.php?action=vallex&amp;frame=v-w7689f3_MM", "vozit (v-w7689f3_MM)")</f>
        <v>vozit (v-w7689f3_MM)</v>
      </c>
    </row>
    <row r="54228" spans="1:4" x14ac:dyDescent="0.2">
      <c r="B54228" t="s">
        <v>1</v>
      </c>
    </row>
    <row r="54229" spans="1:4" x14ac:dyDescent="0.2">
      <c r="B54229" t="s">
        <v>172</v>
      </c>
    </row>
    <row r="54231" spans="1:4" x14ac:dyDescent="0.2">
      <c r="A54231" t="s">
        <v>17154</v>
      </c>
      <c r="B54231" t="str">
        <f>HYPERLINK("https://lindat.mff.cuni.cz/services/teitok/pdtc10/index.php?action=vallex&amp;frame=v-w7689f1", "vozit (v-w7689f1) - substituted with v-w7689f3_MM")</f>
        <v>vozit (v-w7689f1) - substituted with v-w7689f3_MM</v>
      </c>
    </row>
    <row r="54232" spans="1:4" x14ac:dyDescent="0.2">
      <c r="B54232" t="s">
        <v>1</v>
      </c>
      <c r="C54232" t="s">
        <v>133</v>
      </c>
      <c r="D54232" t="s">
        <v>9447</v>
      </c>
    </row>
    <row r="54233" spans="1:4" x14ac:dyDescent="0.2">
      <c r="B54233" t="s">
        <v>172</v>
      </c>
      <c r="C54233" t="s">
        <v>34</v>
      </c>
      <c r="D54233" t="s">
        <v>23155</v>
      </c>
    </row>
    <row r="54235" spans="1:4" x14ac:dyDescent="0.2">
      <c r="A54235" t="s">
        <v>17155</v>
      </c>
      <c r="B54235" t="str">
        <f>HYPERLINK("https://lindat.mff.cuni.cz/services/teitok/pdtc10/index.php?action=vallex&amp;frame=v-w7689f2_ZU", "vozit (v-w7689f2_ZU)")</f>
        <v>vozit (v-w7689f2_ZU)</v>
      </c>
    </row>
    <row r="54236" spans="1:4" x14ac:dyDescent="0.2">
      <c r="B54236" t="s">
        <v>1</v>
      </c>
    </row>
    <row r="54237" spans="1:4" x14ac:dyDescent="0.2">
      <c r="B54237" t="s">
        <v>8</v>
      </c>
    </row>
    <row r="54239" spans="1:4" x14ac:dyDescent="0.2">
      <c r="A54239" t="s">
        <v>17156</v>
      </c>
      <c r="B54239" t="str">
        <f>HYPERLINK("https://lindat.mff.cuni.cz/services/teitok/pdtc10/index.php?action=vallex&amp;frame=v-w7690f1", "vozit se (v-w7690f1)")</f>
        <v>vozit se (v-w7690f1)</v>
      </c>
    </row>
    <row r="54240" spans="1:4" x14ac:dyDescent="0.2">
      <c r="B54240" t="s">
        <v>1</v>
      </c>
    </row>
    <row r="54242" spans="1:2" x14ac:dyDescent="0.2">
      <c r="A54242" t="s">
        <v>17157</v>
      </c>
      <c r="B54242" t="str">
        <f>HYPERLINK("https://lindat.mff.cuni.cz/services/teitok/pdtc10/index.php?action=vallex&amp;frame=v-w7690f2_ZU", "vozit se (v-w7690f2_ZU)")</f>
        <v>vozit se (v-w7690f2_ZU)</v>
      </c>
    </row>
    <row r="54243" spans="1:2" x14ac:dyDescent="0.2">
      <c r="B54243" t="s">
        <v>1</v>
      </c>
    </row>
    <row r="54244" spans="1:2" x14ac:dyDescent="0.2">
      <c r="B54244" t="s">
        <v>161</v>
      </c>
    </row>
    <row r="54246" spans="1:2" x14ac:dyDescent="0.2">
      <c r="A54246" t="s">
        <v>17157</v>
      </c>
      <c r="B54246" t="str">
        <f>HYPERLINK("https://lindat.mff.cuni.cz/services/teitok/pdtc10/index.php?action=vallex&amp;frame=v-w7690hsa_17", "vozit se (v-w7690hsa_17) - substituted with v-w7690f2_ZU")</f>
        <v>vozit se (v-w7690hsa_17) - substituted with v-w7690f2_ZU</v>
      </c>
    </row>
    <row r="54247" spans="1:2" x14ac:dyDescent="0.2">
      <c r="B54247" t="s">
        <v>1</v>
      </c>
    </row>
    <row r="54248" spans="1:2" x14ac:dyDescent="0.2">
      <c r="B54248" t="s">
        <v>161</v>
      </c>
    </row>
    <row r="54250" spans="1:2" x14ac:dyDescent="0.2">
      <c r="A54250" t="s">
        <v>17158</v>
      </c>
      <c r="B54250" t="str">
        <f>HYPERLINK("https://lindat.mff.cuni.cz/services/teitok/pdtc10/index.php?action=vallex&amp;frame=v-whsa_472hsa_473", "vozívat (v-whsa_472hsa_473)")</f>
        <v>vozívat (v-whsa_472hsa_473)</v>
      </c>
    </row>
    <row r="54251" spans="1:2" x14ac:dyDescent="0.2">
      <c r="B54251" t="s">
        <v>1</v>
      </c>
    </row>
    <row r="54252" spans="1:2" x14ac:dyDescent="0.2">
      <c r="B54252" t="s">
        <v>8</v>
      </c>
    </row>
    <row r="54254" spans="1:2" x14ac:dyDescent="0.2">
      <c r="A54254" t="s">
        <v>17159</v>
      </c>
      <c r="B54254" t="str">
        <f>HYPERLINK("https://lindat.mff.cuni.cz/services/teitok/pdtc10/index.php?action=vallex&amp;frame=v-whsa_1859hsa_1860", "vošukat (v-whsa_1859hsa_1860)")</f>
        <v>vošukat (v-whsa_1859hsa_1860)</v>
      </c>
    </row>
    <row r="54255" spans="1:2" x14ac:dyDescent="0.2">
      <c r="B54255" t="s">
        <v>1</v>
      </c>
    </row>
    <row r="54256" spans="1:2" x14ac:dyDescent="0.2">
      <c r="B54256" t="s">
        <v>8</v>
      </c>
    </row>
    <row r="54258" spans="1:2" x14ac:dyDescent="0.2">
      <c r="A54258" t="s">
        <v>17160</v>
      </c>
      <c r="B54258" t="str">
        <f>HYPERLINK("https://lindat.mff.cuni.cz/services/teitok/pdtc10/index.php?action=vallex&amp;frame=v-w10826f3", "vpadnout (v-w10826f3)")</f>
        <v>vpadnout (v-w10826f3)</v>
      </c>
    </row>
    <row r="54259" spans="1:2" x14ac:dyDescent="0.2">
      <c r="B54259" t="s">
        <v>1</v>
      </c>
    </row>
    <row r="54260" spans="1:2" x14ac:dyDescent="0.2">
      <c r="B54260" t="s">
        <v>205</v>
      </c>
    </row>
    <row r="54262" spans="1:2" x14ac:dyDescent="0.2">
      <c r="A54262" t="s">
        <v>17161</v>
      </c>
      <c r="B54262" t="str">
        <f>HYPERLINK("https://lindat.mff.cuni.cz/services/teitok/pdtc10/index.php?action=vallex&amp;frame=v-w10826f2", "vpadnout (v-w10826f2)")</f>
        <v>vpadnout (v-w10826f2)</v>
      </c>
    </row>
    <row r="54263" spans="1:2" x14ac:dyDescent="0.2">
      <c r="B54263" t="s">
        <v>1</v>
      </c>
    </row>
    <row r="54264" spans="1:2" x14ac:dyDescent="0.2">
      <c r="B54264" t="s">
        <v>90</v>
      </c>
    </row>
    <row r="54266" spans="1:2" x14ac:dyDescent="0.2">
      <c r="A54266" t="s">
        <v>17162</v>
      </c>
      <c r="B54266" t="str">
        <f>HYPERLINK("https://lindat.mff.cuni.cz/services/teitok/pdtc10/index.php?action=vallex&amp;frame=v-w11020f2", "vpadávat (v-w11020f2)")</f>
        <v>vpadávat (v-w11020f2)</v>
      </c>
    </row>
    <row r="54267" spans="1:2" x14ac:dyDescent="0.2">
      <c r="B54267" t="s">
        <v>1</v>
      </c>
    </row>
    <row r="54268" spans="1:2" x14ac:dyDescent="0.2">
      <c r="B54268" t="s">
        <v>205</v>
      </c>
    </row>
    <row r="54270" spans="1:2" x14ac:dyDescent="0.2">
      <c r="A54270" t="s">
        <v>17163</v>
      </c>
      <c r="B54270" t="str">
        <f>HYPERLINK("https://lindat.mff.cuni.cz/services/teitok/pdtc10/index.php?action=vallex&amp;frame=v-w7693f1", "vpašovat (v-w7693f1)")</f>
        <v>vpašovat (v-w7693f1)</v>
      </c>
    </row>
    <row r="54271" spans="1:2" x14ac:dyDescent="0.2">
      <c r="B54271" t="s">
        <v>1</v>
      </c>
    </row>
    <row r="54272" spans="1:2" x14ac:dyDescent="0.2">
      <c r="B54272" t="s">
        <v>8</v>
      </c>
    </row>
    <row r="54273" spans="1:4" x14ac:dyDescent="0.2">
      <c r="B54273" t="s">
        <v>90</v>
      </c>
    </row>
    <row r="54275" spans="1:4" x14ac:dyDescent="0.2">
      <c r="A54275" t="s">
        <v>17164</v>
      </c>
      <c r="B54275" t="str">
        <f>HYPERLINK("https://lindat.mff.cuni.cz/services/teitok/pdtc10/index.php?action=vallex&amp;frame=v-whsa_51f1_ZU", "vpisovat (v-whsa_51f1_ZU)")</f>
        <v>vpisovat (v-whsa_51f1_ZU)</v>
      </c>
    </row>
    <row r="54276" spans="1:4" x14ac:dyDescent="0.2">
      <c r="B54276" t="s">
        <v>1</v>
      </c>
      <c r="C54276" t="s">
        <v>140</v>
      </c>
      <c r="D54276" t="s">
        <v>3358</v>
      </c>
    </row>
    <row r="54277" spans="1:4" x14ac:dyDescent="0.2">
      <c r="B54277" t="s">
        <v>5970</v>
      </c>
      <c r="C54277" t="s">
        <v>34</v>
      </c>
      <c r="D54277" t="s">
        <v>24339</v>
      </c>
    </row>
    <row r="54278" spans="1:4" x14ac:dyDescent="0.2">
      <c r="B54278" t="s">
        <v>90</v>
      </c>
    </row>
    <row r="54280" spans="1:4" x14ac:dyDescent="0.2">
      <c r="A54280" t="s">
        <v>17164</v>
      </c>
      <c r="B54280" t="str">
        <f>HYPERLINK("https://lindat.mff.cuni.cz/services/teitok/pdtc10/index.php?action=vallex&amp;frame=v-whsa_51hsa_52", "vpisovat (v-whsa_51hsa_52) - substituted with v-whsa_51f1_ZU")</f>
        <v>vpisovat (v-whsa_51hsa_52) - substituted with v-whsa_51f1_ZU</v>
      </c>
    </row>
    <row r="54281" spans="1:4" x14ac:dyDescent="0.2">
      <c r="B54281" t="s">
        <v>1</v>
      </c>
    </row>
    <row r="54282" spans="1:4" x14ac:dyDescent="0.2">
      <c r="B54282" t="s">
        <v>5970</v>
      </c>
    </row>
    <row r="54283" spans="1:4" x14ac:dyDescent="0.2">
      <c r="B54283" t="s">
        <v>90</v>
      </c>
    </row>
    <row r="54285" spans="1:4" x14ac:dyDescent="0.2">
      <c r="A54285" t="s">
        <v>17165</v>
      </c>
      <c r="B54285" t="str">
        <f>HYPERLINK("https://lindat.mff.cuni.cz/services/teitok/pdtc10/index.php?action=vallex&amp;frame=v-w10155f2", "vplout (v-w10155f2)")</f>
        <v>vplout (v-w10155f2)</v>
      </c>
    </row>
    <row r="54286" spans="1:4" x14ac:dyDescent="0.2">
      <c r="B54286" t="s">
        <v>1</v>
      </c>
    </row>
    <row r="54287" spans="1:4" x14ac:dyDescent="0.2">
      <c r="B54287" t="s">
        <v>90</v>
      </c>
    </row>
    <row r="54289" spans="1:4" x14ac:dyDescent="0.2">
      <c r="A54289" t="s">
        <v>17166</v>
      </c>
      <c r="B54289" t="str">
        <f>HYPERLINK("https://lindat.mff.cuni.cz/services/teitok/pdtc10/index.php?action=vallex&amp;frame=v-w7697f1", "vplouvat (v-w7697f1)")</f>
        <v>vplouvat (v-w7697f1)</v>
      </c>
    </row>
    <row r="54290" spans="1:4" x14ac:dyDescent="0.2">
      <c r="B54290" t="s">
        <v>1</v>
      </c>
      <c r="D54290" t="s">
        <v>23219</v>
      </c>
    </row>
    <row r="54291" spans="1:4" x14ac:dyDescent="0.2">
      <c r="B54291" t="s">
        <v>90</v>
      </c>
      <c r="D54291" t="s">
        <v>23108</v>
      </c>
    </row>
    <row r="54293" spans="1:4" x14ac:dyDescent="0.2">
      <c r="A54293" t="s">
        <v>17167</v>
      </c>
      <c r="B54293" t="str">
        <f>HYPERLINK("https://lindat.mff.cuni.cz/services/teitok/pdtc10/index.php?action=vallex&amp;frame=v-w7697f2", "vplouvat (v-w7697f2)")</f>
        <v>vplouvat (v-w7697f2)</v>
      </c>
    </row>
    <row r="54294" spans="1:4" x14ac:dyDescent="0.2">
      <c r="B54294" t="s">
        <v>1</v>
      </c>
    </row>
    <row r="54295" spans="1:4" x14ac:dyDescent="0.2">
      <c r="B54295" t="s">
        <v>90</v>
      </c>
    </row>
    <row r="54297" spans="1:4" x14ac:dyDescent="0.2">
      <c r="A54297" t="s">
        <v>17168</v>
      </c>
      <c r="B54297" t="str">
        <f>HYPERLINK("https://lindat.mff.cuni.cz/services/teitok/pdtc10/index.php?action=vallex&amp;frame=v-w12216_ZUf1_ZU", "vplynout (v-w12216_ZUf1_ZU)")</f>
        <v>vplynout (v-w12216_ZUf1_ZU)</v>
      </c>
    </row>
    <row r="54298" spans="1:4" x14ac:dyDescent="0.2">
      <c r="B54298" t="s">
        <v>1</v>
      </c>
    </row>
    <row r="54299" spans="1:4" x14ac:dyDescent="0.2">
      <c r="B54299" t="s">
        <v>252</v>
      </c>
    </row>
    <row r="54301" spans="1:4" x14ac:dyDescent="0.2">
      <c r="A54301" t="s">
        <v>17169</v>
      </c>
      <c r="B54301" t="str">
        <f>HYPERLINK("https://lindat.mff.cuni.cz/services/teitok/pdtc10/index.php?action=vallex&amp;frame=v-w7695f1", "vplést (v-w7695f1)")</f>
        <v>vplést (v-w7695f1)</v>
      </c>
    </row>
    <row r="54302" spans="1:4" x14ac:dyDescent="0.2">
      <c r="B54302" t="s">
        <v>1</v>
      </c>
    </row>
    <row r="54303" spans="1:4" x14ac:dyDescent="0.2">
      <c r="B54303" t="s">
        <v>8</v>
      </c>
    </row>
    <row r="54304" spans="1:4" x14ac:dyDescent="0.2">
      <c r="B54304" t="s">
        <v>90</v>
      </c>
    </row>
    <row r="54306" spans="1:4" x14ac:dyDescent="0.2">
      <c r="A54306" t="s">
        <v>17170</v>
      </c>
      <c r="B54306" t="str">
        <f>HYPERLINK("https://lindat.mff.cuni.cz/services/teitok/pdtc10/index.php?action=vallex&amp;frame=v-w7696f1", "vplétat (v-w7696f1)")</f>
        <v>vplétat (v-w7696f1)</v>
      </c>
    </row>
    <row r="54307" spans="1:4" x14ac:dyDescent="0.2">
      <c r="B54307" t="s">
        <v>1</v>
      </c>
    </row>
    <row r="54308" spans="1:4" x14ac:dyDescent="0.2">
      <c r="B54308" t="s">
        <v>817</v>
      </c>
    </row>
    <row r="54309" spans="1:4" x14ac:dyDescent="0.2">
      <c r="B54309" t="s">
        <v>58</v>
      </c>
    </row>
    <row r="54311" spans="1:4" x14ac:dyDescent="0.2">
      <c r="A54311" t="s">
        <v>17171</v>
      </c>
      <c r="B54311" t="str">
        <f>HYPERLINK("https://lindat.mff.cuni.cz/services/teitok/pdtc10/index.php?action=vallex&amp;frame=v-w11287f1", "vplížit se (v-w11287f1)")</f>
        <v>vplížit se (v-w11287f1)</v>
      </c>
    </row>
    <row r="54312" spans="1:4" x14ac:dyDescent="0.2">
      <c r="B54312" t="s">
        <v>1</v>
      </c>
      <c r="C54312" t="s">
        <v>133</v>
      </c>
      <c r="D54312" t="s">
        <v>2303</v>
      </c>
    </row>
    <row r="54313" spans="1:4" x14ac:dyDescent="0.2">
      <c r="B54313" t="s">
        <v>90</v>
      </c>
    </row>
    <row r="54315" spans="1:4" x14ac:dyDescent="0.2">
      <c r="A54315" t="s">
        <v>17172</v>
      </c>
      <c r="B54315" t="str">
        <f>HYPERLINK("https://lindat.mff.cuni.cz/services/teitok/pdtc10/index.php?action=vallex&amp;frame=v-w7698f1", "vpouštět (v-w7698f1)")</f>
        <v>vpouštět (v-w7698f1)</v>
      </c>
    </row>
    <row r="54316" spans="1:4" x14ac:dyDescent="0.2">
      <c r="B54316" t="s">
        <v>1</v>
      </c>
    </row>
    <row r="54317" spans="1:4" x14ac:dyDescent="0.2">
      <c r="B54317" t="s">
        <v>8</v>
      </c>
    </row>
    <row r="54318" spans="1:4" x14ac:dyDescent="0.2">
      <c r="B54318" t="s">
        <v>90</v>
      </c>
    </row>
    <row r="54320" spans="1:4" x14ac:dyDescent="0.2">
      <c r="A54320" t="s">
        <v>17173</v>
      </c>
      <c r="B54320" t="str">
        <f>HYPERLINK("https://lindat.mff.cuni.cz/services/teitok/pdtc10/index.php?action=vallex&amp;frame=v-w10381f2", "vpravit (v-w10381f2)")</f>
        <v>vpravit (v-w10381f2)</v>
      </c>
    </row>
    <row r="54321" spans="1:4" x14ac:dyDescent="0.2">
      <c r="B54321" t="s">
        <v>1</v>
      </c>
      <c r="D54321" t="s">
        <v>24340</v>
      </c>
    </row>
    <row r="54322" spans="1:4" x14ac:dyDescent="0.2">
      <c r="B54322" t="s">
        <v>8</v>
      </c>
      <c r="D54322" t="s">
        <v>24341</v>
      </c>
    </row>
    <row r="54323" spans="1:4" x14ac:dyDescent="0.2">
      <c r="B54323" t="s">
        <v>90</v>
      </c>
      <c r="D54323" t="s">
        <v>11579</v>
      </c>
    </row>
    <row r="54325" spans="1:4" x14ac:dyDescent="0.2">
      <c r="A54325" t="s">
        <v>17174</v>
      </c>
      <c r="B54325" t="str">
        <f>HYPERLINK("https://lindat.mff.cuni.cz/services/teitok/pdtc10/index.php?action=vallex&amp;frame=v-w7699f1", "vpravovat se (v-w7699f1)")</f>
        <v>vpravovat se (v-w7699f1)</v>
      </c>
    </row>
    <row r="54326" spans="1:4" x14ac:dyDescent="0.2">
      <c r="B54326" t="s">
        <v>1</v>
      </c>
    </row>
    <row r="54327" spans="1:4" x14ac:dyDescent="0.2">
      <c r="B54327" t="s">
        <v>90</v>
      </c>
    </row>
    <row r="54329" spans="1:4" x14ac:dyDescent="0.2">
      <c r="A54329" t="s">
        <v>17175</v>
      </c>
      <c r="B54329" t="str">
        <f>HYPERLINK("https://lindat.mff.cuni.cz/services/teitok/pdtc10/index.php?action=vallex&amp;frame=v-w7700f1", "vpustit (v-w7700f1)")</f>
        <v>vpustit (v-w7700f1)</v>
      </c>
    </row>
    <row r="54330" spans="1:4" x14ac:dyDescent="0.2">
      <c r="B54330" t="s">
        <v>1</v>
      </c>
      <c r="C54330" t="s">
        <v>10977</v>
      </c>
    </row>
    <row r="54331" spans="1:4" x14ac:dyDescent="0.2">
      <c r="B54331" t="s">
        <v>8</v>
      </c>
      <c r="C54331" t="s">
        <v>13624</v>
      </c>
    </row>
    <row r="54332" spans="1:4" x14ac:dyDescent="0.2">
      <c r="B54332" t="s">
        <v>90</v>
      </c>
    </row>
    <row r="54334" spans="1:4" x14ac:dyDescent="0.2">
      <c r="A54334" t="s">
        <v>17176</v>
      </c>
      <c r="B54334" t="str">
        <f>HYPERLINK("https://lindat.mff.cuni.cz/services/teitok/pdtc10/index.php?action=vallex&amp;frame=v-w7694f1", "vpíjet se (v-w7694f1)")</f>
        <v>vpíjet se (v-w7694f1)</v>
      </c>
    </row>
    <row r="54335" spans="1:4" x14ac:dyDescent="0.2">
      <c r="B54335" t="s">
        <v>1</v>
      </c>
    </row>
    <row r="54336" spans="1:4" x14ac:dyDescent="0.2">
      <c r="B54336" t="s">
        <v>90</v>
      </c>
    </row>
    <row r="54338" spans="1:4" x14ac:dyDescent="0.2">
      <c r="A54338" t="s">
        <v>17177</v>
      </c>
      <c r="B54338" t="str">
        <f>HYPERLINK("https://lindat.mff.cuni.cz/services/teitok/pdtc10/index.php?action=vallex&amp;frame=v-w7702f1", "vracet (v-w7702f1)")</f>
        <v>vracet (v-w7702f1)</v>
      </c>
    </row>
    <row r="54339" spans="1:4" x14ac:dyDescent="0.2">
      <c r="B54339" t="s">
        <v>1</v>
      </c>
      <c r="C54339" t="s">
        <v>370</v>
      </c>
      <c r="D54339" t="s">
        <v>3580</v>
      </c>
    </row>
    <row r="54340" spans="1:4" x14ac:dyDescent="0.2">
      <c r="B54340" t="s">
        <v>8</v>
      </c>
      <c r="C54340" t="s">
        <v>1750</v>
      </c>
      <c r="D54340" t="s">
        <v>23576</v>
      </c>
    </row>
    <row r="54341" spans="1:4" x14ac:dyDescent="0.2">
      <c r="B54341" t="s">
        <v>35</v>
      </c>
      <c r="C54341" t="s">
        <v>15153</v>
      </c>
      <c r="D54341" t="s">
        <v>6312</v>
      </c>
    </row>
    <row r="54343" spans="1:4" x14ac:dyDescent="0.2">
      <c r="A54343" t="s">
        <v>17178</v>
      </c>
      <c r="B54343" t="str">
        <f>HYPERLINK("https://lindat.mff.cuni.cz/services/teitok/pdtc10/index.php?action=vallex&amp;frame=v-w7702f3", "vracet (v-w7702f3)")</f>
        <v>vracet (v-w7702f3)</v>
      </c>
    </row>
    <row r="54344" spans="1:4" x14ac:dyDescent="0.2">
      <c r="B54344" t="s">
        <v>1</v>
      </c>
    </row>
    <row r="54345" spans="1:4" x14ac:dyDescent="0.2">
      <c r="B54345" t="s">
        <v>8</v>
      </c>
    </row>
    <row r="54346" spans="1:4" x14ac:dyDescent="0.2">
      <c r="B54346" t="s">
        <v>17179</v>
      </c>
    </row>
    <row r="54348" spans="1:4" x14ac:dyDescent="0.2">
      <c r="A54348" t="s">
        <v>17180</v>
      </c>
      <c r="B54348" t="str">
        <f>HYPERLINK("https://lindat.mff.cuni.cz/services/teitok/pdtc10/index.php?action=vallex&amp;frame=v-w7702f2", "vracet (v-w7702f2)")</f>
        <v>vracet (v-w7702f2)</v>
      </c>
    </row>
    <row r="54349" spans="1:4" x14ac:dyDescent="0.2">
      <c r="B54349" t="s">
        <v>196</v>
      </c>
      <c r="D54349" t="s">
        <v>8467</v>
      </c>
    </row>
    <row r="54350" spans="1:4" x14ac:dyDescent="0.2">
      <c r="B54350" t="s">
        <v>8</v>
      </c>
      <c r="D54350" t="s">
        <v>23577</v>
      </c>
    </row>
    <row r="54351" spans="1:4" x14ac:dyDescent="0.2">
      <c r="B54351" t="s">
        <v>90</v>
      </c>
      <c r="D54351" t="s">
        <v>23578</v>
      </c>
    </row>
    <row r="54353" spans="1:4" x14ac:dyDescent="0.2">
      <c r="A54353" t="s">
        <v>17181</v>
      </c>
      <c r="B54353" t="str">
        <f>HYPERLINK("https://lindat.mff.cuni.cz/services/teitok/pdtc10/index.php?action=vallex&amp;frame=v-w7703f2", "vracet se (v-w7703f2)")</f>
        <v>vracet se (v-w7703f2)</v>
      </c>
    </row>
    <row r="54354" spans="1:4" x14ac:dyDescent="0.2">
      <c r="B54354" t="s">
        <v>1</v>
      </c>
      <c r="C54354" t="s">
        <v>4069</v>
      </c>
      <c r="D54354" t="s">
        <v>23579</v>
      </c>
    </row>
    <row r="54355" spans="1:4" x14ac:dyDescent="0.2">
      <c r="B54355" t="s">
        <v>176</v>
      </c>
      <c r="C54355" t="s">
        <v>34</v>
      </c>
      <c r="D54355" t="s">
        <v>1128</v>
      </c>
    </row>
    <row r="54357" spans="1:4" x14ac:dyDescent="0.2">
      <c r="A54357" t="s">
        <v>17182</v>
      </c>
      <c r="B54357" t="str">
        <f>HYPERLINK("https://lindat.mff.cuni.cz/services/teitok/pdtc10/index.php?action=vallex&amp;frame=v-w7703f5", "vracet se (v-w7703f5)")</f>
        <v>vracet se (v-w7703f5)</v>
      </c>
    </row>
    <row r="54358" spans="1:4" x14ac:dyDescent="0.2">
      <c r="B54358" t="s">
        <v>1</v>
      </c>
      <c r="C54358" t="s">
        <v>7202</v>
      </c>
      <c r="D54358" t="s">
        <v>23579</v>
      </c>
    </row>
    <row r="54359" spans="1:4" x14ac:dyDescent="0.2">
      <c r="B54359" t="s">
        <v>205</v>
      </c>
      <c r="D54359" t="s">
        <v>22678</v>
      </c>
    </row>
    <row r="54361" spans="1:4" x14ac:dyDescent="0.2">
      <c r="A54361" t="s">
        <v>17183</v>
      </c>
      <c r="B54361" t="str">
        <f>HYPERLINK("https://lindat.mff.cuni.cz/services/teitok/pdtc10/index.php?action=vallex&amp;frame=v-w7703f1", "vracet se (v-w7703f1)")</f>
        <v>vracet se (v-w7703f1)</v>
      </c>
    </row>
    <row r="54362" spans="1:4" x14ac:dyDescent="0.2">
      <c r="B54362" t="s">
        <v>1</v>
      </c>
      <c r="C54362" t="s">
        <v>17184</v>
      </c>
      <c r="D54362" t="s">
        <v>23107</v>
      </c>
    </row>
    <row r="54363" spans="1:4" x14ac:dyDescent="0.2">
      <c r="B54363" t="s">
        <v>90</v>
      </c>
      <c r="C54363" t="s">
        <v>17185</v>
      </c>
      <c r="D54363" t="s">
        <v>23108</v>
      </c>
    </row>
    <row r="54365" spans="1:4" x14ac:dyDescent="0.2">
      <c r="A54365" t="s">
        <v>17186</v>
      </c>
      <c r="B54365" t="str">
        <f>HYPERLINK("https://lindat.mff.cuni.cz/services/teitok/pdtc10/index.php?action=vallex&amp;frame=v-w7703f3", "vracet se (v-w7703f3)")</f>
        <v>vracet se (v-w7703f3)</v>
      </c>
    </row>
    <row r="54366" spans="1:4" x14ac:dyDescent="0.2">
      <c r="B54366" t="s">
        <v>1</v>
      </c>
      <c r="C54366" t="s">
        <v>6669</v>
      </c>
    </row>
    <row r="54368" spans="1:4" x14ac:dyDescent="0.2">
      <c r="A54368" t="s">
        <v>17187</v>
      </c>
      <c r="B54368" t="str">
        <f>HYPERLINK("https://lindat.mff.cuni.cz/services/teitok/pdtc10/index.php?action=vallex&amp;frame=v-w7703f4", "vracet se (v-w7703f4)")</f>
        <v>vracet se (v-w7703f4)</v>
      </c>
    </row>
    <row r="54369" spans="1:3" x14ac:dyDescent="0.2">
      <c r="B54369" t="s">
        <v>1</v>
      </c>
    </row>
    <row r="54370" spans="1:3" x14ac:dyDescent="0.2">
      <c r="B54370" t="s">
        <v>17188</v>
      </c>
    </row>
    <row r="54372" spans="1:3" x14ac:dyDescent="0.2">
      <c r="A54372" t="s">
        <v>17189</v>
      </c>
      <c r="B54372" t="str">
        <f>HYPERLINK("https://lindat.mff.cuni.cz/services/teitok/pdtc10/index.php?action=vallex&amp;frame=v-w12209_ZUf1_ZU", "vracívat se (v-w12209_ZUf1_ZU)")</f>
        <v>vracívat se (v-w12209_ZUf1_ZU)</v>
      </c>
    </row>
    <row r="54373" spans="1:3" x14ac:dyDescent="0.2">
      <c r="B54373" t="s">
        <v>1</v>
      </c>
    </row>
    <row r="54374" spans="1:3" x14ac:dyDescent="0.2">
      <c r="B54374" t="s">
        <v>252</v>
      </c>
    </row>
    <row r="54376" spans="1:3" x14ac:dyDescent="0.2">
      <c r="A54376" t="s">
        <v>17190</v>
      </c>
      <c r="B54376" t="str">
        <f>HYPERLINK("https://lindat.mff.cuni.cz/services/teitok/pdtc10/index.php?action=vallex&amp;frame=v-w10718f2", "vrazit (v-w10718f2)")</f>
        <v>vrazit (v-w10718f2)</v>
      </c>
    </row>
    <row r="54377" spans="1:3" x14ac:dyDescent="0.2">
      <c r="B54377" t="s">
        <v>1</v>
      </c>
    </row>
    <row r="54378" spans="1:3" x14ac:dyDescent="0.2">
      <c r="B54378" t="s">
        <v>8</v>
      </c>
      <c r="C54378" t="s">
        <v>23</v>
      </c>
    </row>
    <row r="54379" spans="1:3" x14ac:dyDescent="0.2">
      <c r="B54379" t="s">
        <v>90</v>
      </c>
    </row>
    <row r="54381" spans="1:3" x14ac:dyDescent="0.2">
      <c r="A54381" t="s">
        <v>17191</v>
      </c>
      <c r="B54381" t="str">
        <f>HYPERLINK("https://lindat.mff.cuni.cz/services/teitok/pdtc10/index.php?action=vallex&amp;frame=v-w10718f3", "vrazit (v-w10718f3)")</f>
        <v>vrazit (v-w10718f3)</v>
      </c>
    </row>
    <row r="54382" spans="1:3" x14ac:dyDescent="0.2">
      <c r="B54382" t="s">
        <v>1</v>
      </c>
    </row>
    <row r="54383" spans="1:3" x14ac:dyDescent="0.2">
      <c r="B54383" t="s">
        <v>90</v>
      </c>
    </row>
    <row r="54385" spans="1:3" x14ac:dyDescent="0.2">
      <c r="A54385" t="s">
        <v>17192</v>
      </c>
      <c r="B54385" t="str">
        <f>HYPERLINK("https://lindat.mff.cuni.cz/services/teitok/pdtc10/index.php?action=vallex&amp;frame=v-w10718f5", "vrazit (v-w10718f5)")</f>
        <v>vrazit (v-w10718f5)</v>
      </c>
    </row>
    <row r="54386" spans="1:3" x14ac:dyDescent="0.2">
      <c r="B54386" t="s">
        <v>1</v>
      </c>
      <c r="C54386" t="s">
        <v>33</v>
      </c>
    </row>
    <row r="54387" spans="1:3" x14ac:dyDescent="0.2">
      <c r="B54387" t="s">
        <v>17193</v>
      </c>
      <c r="C54387" t="s">
        <v>3062</v>
      </c>
    </row>
    <row r="54388" spans="1:3" x14ac:dyDescent="0.2">
      <c r="B54388" t="s">
        <v>103</v>
      </c>
    </row>
    <row r="54390" spans="1:3" x14ac:dyDescent="0.2">
      <c r="A54390" t="s">
        <v>17194</v>
      </c>
      <c r="B54390" t="str">
        <f>HYPERLINK("https://lindat.mff.cuni.cz/services/teitok/pdtc10/index.php?action=vallex&amp;frame=v-w10718f6_ZU", "vrazit (v-w10718f6_ZU)")</f>
        <v>vrazit (v-w10718f6_ZU)</v>
      </c>
    </row>
    <row r="54391" spans="1:3" x14ac:dyDescent="0.2">
      <c r="B54391" t="s">
        <v>1</v>
      </c>
    </row>
    <row r="54392" spans="1:3" x14ac:dyDescent="0.2">
      <c r="B54392" t="s">
        <v>8</v>
      </c>
    </row>
    <row r="54393" spans="1:3" x14ac:dyDescent="0.2">
      <c r="B54393" t="s">
        <v>35</v>
      </c>
    </row>
    <row r="54395" spans="1:3" x14ac:dyDescent="0.2">
      <c r="A54395" t="s">
        <v>17195</v>
      </c>
      <c r="B54395" t="str">
        <f>HYPERLINK("https://lindat.mff.cuni.cz/services/teitok/pdtc10/index.php?action=vallex&amp;frame=v-w10718f7_ZU", "vrazit (v-w10718f7_ZU)")</f>
        <v>vrazit (v-w10718f7_ZU)</v>
      </c>
    </row>
    <row r="54396" spans="1:3" x14ac:dyDescent="0.2">
      <c r="B54396" t="s">
        <v>1</v>
      </c>
    </row>
    <row r="54397" spans="1:3" x14ac:dyDescent="0.2">
      <c r="B54397" t="s">
        <v>252</v>
      </c>
    </row>
    <row r="54399" spans="1:3" x14ac:dyDescent="0.2">
      <c r="A54399" t="s">
        <v>17196</v>
      </c>
      <c r="B54399" t="str">
        <f>HYPERLINK("https://lindat.mff.cuni.cz/services/teitok/pdtc10/index.php?action=vallex&amp;frame=v-w10459f2", "vraštit (v-w10459f2)")</f>
        <v>vraštit (v-w10459f2)</v>
      </c>
    </row>
    <row r="54400" spans="1:3" x14ac:dyDescent="0.2">
      <c r="B54400" t="s">
        <v>1</v>
      </c>
    </row>
    <row r="54401" spans="1:4" x14ac:dyDescent="0.2">
      <c r="B54401" t="s">
        <v>8</v>
      </c>
    </row>
    <row r="54403" spans="1:4" x14ac:dyDescent="0.2">
      <c r="A54403" t="s">
        <v>17197</v>
      </c>
      <c r="B54403" t="str">
        <f>HYPERLINK("https://lindat.mff.cuni.cz/services/teitok/pdtc10/index.php?action=vallex&amp;frame=v-w7710f1", "vraždit (v-w7710f1)")</f>
        <v>vraždit (v-w7710f1)</v>
      </c>
    </row>
    <row r="54404" spans="1:4" x14ac:dyDescent="0.2">
      <c r="B54404" t="s">
        <v>1</v>
      </c>
      <c r="C54404" t="s">
        <v>249</v>
      </c>
      <c r="D54404" t="s">
        <v>11295</v>
      </c>
    </row>
    <row r="54405" spans="1:4" x14ac:dyDescent="0.2">
      <c r="B54405" t="s">
        <v>8</v>
      </c>
      <c r="C54405" t="s">
        <v>23</v>
      </c>
      <c r="D54405" t="s">
        <v>13639</v>
      </c>
    </row>
    <row r="54407" spans="1:4" x14ac:dyDescent="0.2">
      <c r="A54407" t="s">
        <v>17198</v>
      </c>
      <c r="B54407" t="str">
        <f>HYPERLINK("https://lindat.mff.cuni.cz/services/teitok/pdtc10/index.php?action=vallex&amp;frame=v-w7719f1", "vrcholit (v-w7719f1)")</f>
        <v>vrcholit (v-w7719f1)</v>
      </c>
    </row>
    <row r="54408" spans="1:4" x14ac:dyDescent="0.2">
      <c r="B54408" t="s">
        <v>1</v>
      </c>
      <c r="C54408" t="s">
        <v>553</v>
      </c>
      <c r="D54408" t="s">
        <v>579</v>
      </c>
    </row>
    <row r="54410" spans="1:4" x14ac:dyDescent="0.2">
      <c r="A54410" t="s">
        <v>17199</v>
      </c>
      <c r="B54410" t="str">
        <f>HYPERLINK("https://lindat.mff.cuni.cz/services/teitok/pdtc10/index.php?action=vallex&amp;frame=v-w7714f5_ZU", "vrhat (v-w7714f5_ZU)")</f>
        <v>vrhat (v-w7714f5_ZU)</v>
      </c>
    </row>
    <row r="54411" spans="1:4" x14ac:dyDescent="0.2">
      <c r="B54411" t="s">
        <v>1</v>
      </c>
      <c r="C54411" t="s">
        <v>133</v>
      </c>
      <c r="D54411" t="s">
        <v>13976</v>
      </c>
    </row>
    <row r="54412" spans="1:4" x14ac:dyDescent="0.2">
      <c r="B54412" t="s">
        <v>8</v>
      </c>
      <c r="C54412" t="s">
        <v>1128</v>
      </c>
      <c r="D54412" t="s">
        <v>10414</v>
      </c>
    </row>
    <row r="54413" spans="1:4" x14ac:dyDescent="0.2">
      <c r="B54413" t="s">
        <v>205</v>
      </c>
      <c r="C54413" t="s">
        <v>933</v>
      </c>
      <c r="D54413" t="s">
        <v>23197</v>
      </c>
    </row>
    <row r="54415" spans="1:4" x14ac:dyDescent="0.2">
      <c r="A54415" t="s">
        <v>17200</v>
      </c>
      <c r="B54415" t="str">
        <f>HYPERLINK("https://lindat.mff.cuni.cz/services/teitok/pdtc10/index.php?action=vallex&amp;frame=v-w7714f2", "vrhat (v-w7714f2)")</f>
        <v>vrhat (v-w7714f2)</v>
      </c>
    </row>
    <row r="54416" spans="1:4" x14ac:dyDescent="0.2">
      <c r="B54416" t="s">
        <v>1</v>
      </c>
    </row>
    <row r="54417" spans="1:2" x14ac:dyDescent="0.2">
      <c r="B54417" t="s">
        <v>1532</v>
      </c>
    </row>
    <row r="54419" spans="1:2" x14ac:dyDescent="0.2">
      <c r="A54419" t="s">
        <v>17201</v>
      </c>
      <c r="B54419" t="str">
        <f>HYPERLINK("https://lindat.mff.cuni.cz/services/teitok/pdtc10/index.php?action=vallex&amp;frame=v-w7714f3", "vrhat (v-w7714f3)")</f>
        <v>vrhat (v-w7714f3)</v>
      </c>
    </row>
    <row r="54420" spans="1:2" x14ac:dyDescent="0.2">
      <c r="B54420" t="s">
        <v>1</v>
      </c>
    </row>
    <row r="54421" spans="1:2" x14ac:dyDescent="0.2">
      <c r="B54421" t="s">
        <v>8</v>
      </c>
    </row>
    <row r="54423" spans="1:2" x14ac:dyDescent="0.2">
      <c r="A54423" t="s">
        <v>17202</v>
      </c>
      <c r="B54423" t="str">
        <f>HYPERLINK("https://lindat.mff.cuni.cz/services/teitok/pdtc10/index.php?action=vallex&amp;frame=v-w7714f4", "vrhat (v-w7714f4)")</f>
        <v>vrhat (v-w7714f4)</v>
      </c>
    </row>
    <row r="54424" spans="1:2" x14ac:dyDescent="0.2">
      <c r="B54424" t="s">
        <v>1</v>
      </c>
    </row>
    <row r="54425" spans="1:2" x14ac:dyDescent="0.2">
      <c r="B54425" t="s">
        <v>8</v>
      </c>
    </row>
    <row r="54427" spans="1:2" x14ac:dyDescent="0.2">
      <c r="A54427" t="s">
        <v>17203</v>
      </c>
      <c r="B54427" t="str">
        <f>HYPERLINK("https://lindat.mff.cuni.cz/services/teitok/pdtc10/index.php?action=vallex&amp;frame=v-w7714f7_ZU", "vrhat (v-w7714f7_ZU)")</f>
        <v>vrhat (v-w7714f7_ZU)</v>
      </c>
    </row>
    <row r="54428" spans="1:2" x14ac:dyDescent="0.2">
      <c r="B54428" t="s">
        <v>1</v>
      </c>
    </row>
    <row r="54429" spans="1:2" x14ac:dyDescent="0.2">
      <c r="B54429" t="s">
        <v>17204</v>
      </c>
    </row>
    <row r="54430" spans="1:2" x14ac:dyDescent="0.2">
      <c r="B54430" t="s">
        <v>90</v>
      </c>
    </row>
    <row r="54432" spans="1:2" x14ac:dyDescent="0.2">
      <c r="A54432" t="s">
        <v>17203</v>
      </c>
      <c r="B54432" t="str">
        <f>HYPERLINK("https://lindat.mff.cuni.cz/services/teitok/pdtc10/index.php?action=vallex&amp;frame=v-w7714f1", "vrhat (v-w7714f1) - substituted with v-w7714f7_ZU")</f>
        <v>vrhat (v-w7714f1) - substituted with v-w7714f7_ZU</v>
      </c>
    </row>
    <row r="54433" spans="1:4" x14ac:dyDescent="0.2">
      <c r="B54433" t="s">
        <v>1</v>
      </c>
      <c r="C54433" t="s">
        <v>109</v>
      </c>
    </row>
    <row r="54434" spans="1:4" x14ac:dyDescent="0.2">
      <c r="B54434" t="s">
        <v>17204</v>
      </c>
      <c r="C54434" t="s">
        <v>16845</v>
      </c>
    </row>
    <row r="54435" spans="1:4" x14ac:dyDescent="0.2">
      <c r="B54435" t="s">
        <v>90</v>
      </c>
      <c r="C54435" t="s">
        <v>17205</v>
      </c>
    </row>
    <row r="54437" spans="1:4" x14ac:dyDescent="0.2">
      <c r="A54437" t="s">
        <v>17203</v>
      </c>
      <c r="B54437" t="str">
        <f>HYPERLINK("https://lindat.mff.cuni.cz/services/teitok/pdtc10/index.php?action=vallex&amp;frame=v-w7714hsa_140", "vrhat (v-w7714hsa_140) - substituted with v-w7714f7_ZU")</f>
        <v>vrhat (v-w7714hsa_140) - substituted with v-w7714f7_ZU</v>
      </c>
    </row>
    <row r="54438" spans="1:4" x14ac:dyDescent="0.2">
      <c r="B54438" t="s">
        <v>1</v>
      </c>
      <c r="C54438" t="s">
        <v>109</v>
      </c>
      <c r="D54438" t="s">
        <v>24342</v>
      </c>
    </row>
    <row r="54439" spans="1:4" x14ac:dyDescent="0.2">
      <c r="B54439" t="s">
        <v>17204</v>
      </c>
      <c r="C54439" t="s">
        <v>16845</v>
      </c>
    </row>
    <row r="54440" spans="1:4" x14ac:dyDescent="0.2">
      <c r="B54440" t="s">
        <v>90</v>
      </c>
      <c r="C54440" t="s">
        <v>17205</v>
      </c>
      <c r="D54440" t="s">
        <v>24343</v>
      </c>
    </row>
    <row r="54442" spans="1:4" x14ac:dyDescent="0.2">
      <c r="A54442" t="s">
        <v>17206</v>
      </c>
      <c r="B54442" t="str">
        <f>HYPERLINK("https://lindat.mff.cuni.cz/services/teitok/pdtc10/index.php?action=vallex&amp;frame=v-w7714f6_ZU", "vrhat (v-w7714f6_ZU)")</f>
        <v>vrhat (v-w7714f6_ZU)</v>
      </c>
    </row>
    <row r="54443" spans="1:4" x14ac:dyDescent="0.2">
      <c r="B54443" t="s">
        <v>1</v>
      </c>
      <c r="C54443" t="s">
        <v>2749</v>
      </c>
      <c r="D54443" t="s">
        <v>13976</v>
      </c>
    </row>
    <row r="54444" spans="1:4" x14ac:dyDescent="0.2">
      <c r="B54444" t="s">
        <v>8</v>
      </c>
      <c r="C54444" t="s">
        <v>2750</v>
      </c>
      <c r="D54444" t="s">
        <v>10414</v>
      </c>
    </row>
    <row r="54445" spans="1:4" x14ac:dyDescent="0.2">
      <c r="B54445" t="s">
        <v>205</v>
      </c>
      <c r="D54445" t="s">
        <v>23197</v>
      </c>
    </row>
    <row r="54447" spans="1:4" x14ac:dyDescent="0.2">
      <c r="A54447" t="s">
        <v>17206</v>
      </c>
      <c r="B54447" t="str">
        <f>HYPERLINK("https://lindat.mff.cuni.cz/services/teitok/pdtc10/index.php?action=vallex&amp;frame=v-w7714hsa_139", "vrhat (v-w7714hsa_139) - substituted with v-w7714f6_ZU")</f>
        <v>vrhat (v-w7714hsa_139) - substituted with v-w7714f6_ZU</v>
      </c>
    </row>
    <row r="54448" spans="1:4" x14ac:dyDescent="0.2">
      <c r="B54448" t="s">
        <v>1</v>
      </c>
    </row>
    <row r="54449" spans="1:4" x14ac:dyDescent="0.2">
      <c r="B54449" t="s">
        <v>8</v>
      </c>
    </row>
    <row r="54450" spans="1:4" x14ac:dyDescent="0.2">
      <c r="B54450" t="s">
        <v>205</v>
      </c>
    </row>
    <row r="54452" spans="1:4" x14ac:dyDescent="0.2">
      <c r="A54452" t="s">
        <v>17207</v>
      </c>
      <c r="B54452" t="str">
        <f>HYPERLINK("https://lindat.mff.cuni.cz/services/teitok/pdtc10/index.php?action=vallex&amp;frame=v-w7715f5_ZU", "vrhat se (v-w7715f5_ZU)")</f>
        <v>vrhat se (v-w7715f5_ZU)</v>
      </c>
    </row>
    <row r="54453" spans="1:4" x14ac:dyDescent="0.2">
      <c r="B54453" t="s">
        <v>1</v>
      </c>
    </row>
    <row r="54454" spans="1:4" x14ac:dyDescent="0.2">
      <c r="B54454" t="s">
        <v>28</v>
      </c>
    </row>
    <row r="54456" spans="1:4" x14ac:dyDescent="0.2">
      <c r="A54456" t="s">
        <v>17208</v>
      </c>
      <c r="B54456" t="str">
        <f>HYPERLINK("https://lindat.mff.cuni.cz/services/teitok/pdtc10/index.php?action=vallex&amp;frame=v-w7715f3_ZU", "vrhat se (v-w7715f3_ZU)")</f>
        <v>vrhat se (v-w7715f3_ZU)</v>
      </c>
    </row>
    <row r="54457" spans="1:4" x14ac:dyDescent="0.2">
      <c r="B54457" t="s">
        <v>1</v>
      </c>
      <c r="C54457" t="s">
        <v>133</v>
      </c>
      <c r="D54457" t="s">
        <v>83</v>
      </c>
    </row>
    <row r="54458" spans="1:4" x14ac:dyDescent="0.2">
      <c r="B54458" t="s">
        <v>90</v>
      </c>
      <c r="D54458" t="s">
        <v>1796</v>
      </c>
    </row>
    <row r="54460" spans="1:4" x14ac:dyDescent="0.2">
      <c r="A54460" t="s">
        <v>17208</v>
      </c>
      <c r="B54460" t="str">
        <f>HYPERLINK("https://lindat.mff.cuni.cz/services/teitok/pdtc10/index.php?action=vallex&amp;frame=v-w7715f1", "vrhat se (v-w7715f1) - substituted with v-w7715f3_ZU")</f>
        <v>vrhat se (v-w7715f1) - substituted with v-w7715f3_ZU</v>
      </c>
    </row>
    <row r="54461" spans="1:4" x14ac:dyDescent="0.2">
      <c r="B54461" t="s">
        <v>1</v>
      </c>
    </row>
    <row r="54462" spans="1:4" x14ac:dyDescent="0.2">
      <c r="B54462" t="s">
        <v>90</v>
      </c>
    </row>
    <row r="54464" spans="1:4" x14ac:dyDescent="0.2">
      <c r="A54464" t="s">
        <v>17209</v>
      </c>
      <c r="B54464" t="str">
        <f>HYPERLINK("https://lindat.mff.cuni.cz/services/teitok/pdtc10/index.php?action=vallex&amp;frame=v-w7715f2_ZU", "vrhat se (v-w7715f2_ZU)")</f>
        <v>vrhat se (v-w7715f2_ZU)</v>
      </c>
    </row>
    <row r="54465" spans="1:3" x14ac:dyDescent="0.2">
      <c r="B54465" t="s">
        <v>1</v>
      </c>
    </row>
    <row r="54466" spans="1:3" x14ac:dyDescent="0.2">
      <c r="B54466" t="s">
        <v>252</v>
      </c>
    </row>
    <row r="54468" spans="1:3" x14ac:dyDescent="0.2">
      <c r="A54468" t="s">
        <v>17210</v>
      </c>
      <c r="B54468" t="str">
        <f>HYPERLINK("https://lindat.mff.cuni.cz/services/teitok/pdtc10/index.php?action=vallex&amp;frame=v-w7715f4_ZU", "vrhat se (v-w7715f4_ZU)")</f>
        <v>vrhat se (v-w7715f4_ZU)</v>
      </c>
    </row>
    <row r="54469" spans="1:3" x14ac:dyDescent="0.2">
      <c r="B54469" t="s">
        <v>1</v>
      </c>
    </row>
    <row r="54471" spans="1:3" x14ac:dyDescent="0.2">
      <c r="A54471" t="s">
        <v>17211</v>
      </c>
      <c r="B54471" t="str">
        <f>HYPERLINK("https://lindat.mff.cuni.cz/services/teitok/pdtc10/index.php?action=vallex&amp;frame=v-w7716f1", "vrhnout (v-w7716f1)")</f>
        <v>vrhnout (v-w7716f1)</v>
      </c>
    </row>
    <row r="54472" spans="1:3" x14ac:dyDescent="0.2">
      <c r="B54472" t="s">
        <v>1</v>
      </c>
      <c r="C54472" t="s">
        <v>33</v>
      </c>
    </row>
    <row r="54473" spans="1:3" x14ac:dyDescent="0.2">
      <c r="B54473" t="s">
        <v>8</v>
      </c>
      <c r="C54473" t="s">
        <v>991</v>
      </c>
    </row>
    <row r="54474" spans="1:3" x14ac:dyDescent="0.2">
      <c r="B54474" t="s">
        <v>90</v>
      </c>
    </row>
    <row r="54476" spans="1:3" x14ac:dyDescent="0.2">
      <c r="A54476" t="s">
        <v>17212</v>
      </c>
      <c r="B54476" t="str">
        <f>HYPERLINK("https://lindat.mff.cuni.cz/services/teitok/pdtc10/index.php?action=vallex&amp;frame=v-w7716f2", "vrhnout (v-w7716f2)")</f>
        <v>vrhnout (v-w7716f2)</v>
      </c>
    </row>
    <row r="54477" spans="1:3" x14ac:dyDescent="0.2">
      <c r="B54477" t="s">
        <v>1</v>
      </c>
    </row>
    <row r="54478" spans="1:3" x14ac:dyDescent="0.2">
      <c r="B54478" t="s">
        <v>1532</v>
      </c>
    </row>
    <row r="54480" spans="1:3" x14ac:dyDescent="0.2">
      <c r="A54480" t="s">
        <v>17213</v>
      </c>
      <c r="B54480" t="str">
        <f>HYPERLINK("https://lindat.mff.cuni.cz/services/teitok/pdtc10/index.php?action=vallex&amp;frame=v-w7716f3", "vrhnout (v-w7716f3)")</f>
        <v>vrhnout (v-w7716f3)</v>
      </c>
    </row>
    <row r="54481" spans="1:4" x14ac:dyDescent="0.2">
      <c r="B54481" t="s">
        <v>1</v>
      </c>
      <c r="C54481" t="s">
        <v>109</v>
      </c>
      <c r="D54481" t="s">
        <v>24342</v>
      </c>
    </row>
    <row r="54482" spans="1:4" x14ac:dyDescent="0.2">
      <c r="B54482" t="s">
        <v>17214</v>
      </c>
      <c r="C54482" t="s">
        <v>16845</v>
      </c>
    </row>
    <row r="54483" spans="1:4" x14ac:dyDescent="0.2">
      <c r="B54483" t="s">
        <v>90</v>
      </c>
      <c r="C54483" t="s">
        <v>17205</v>
      </c>
      <c r="D54483" t="s">
        <v>24343</v>
      </c>
    </row>
    <row r="54485" spans="1:4" x14ac:dyDescent="0.2">
      <c r="A54485" t="s">
        <v>17215</v>
      </c>
      <c r="B54485" t="str">
        <f>HYPERLINK("https://lindat.mff.cuni.cz/services/teitok/pdtc10/index.php?action=vallex&amp;frame=v-w7717f3_ZU", "vrhnout se (v-w7717f3_ZU)")</f>
        <v>vrhnout se (v-w7717f3_ZU)</v>
      </c>
    </row>
    <row r="54486" spans="1:4" x14ac:dyDescent="0.2">
      <c r="B54486" t="s">
        <v>1</v>
      </c>
      <c r="C54486" t="s">
        <v>83</v>
      </c>
      <c r="D54486" t="s">
        <v>932</v>
      </c>
    </row>
    <row r="54487" spans="1:4" x14ac:dyDescent="0.2">
      <c r="B54487" t="s">
        <v>3910</v>
      </c>
      <c r="C54487" t="s">
        <v>34</v>
      </c>
      <c r="D54487" t="s">
        <v>24344</v>
      </c>
    </row>
    <row r="54489" spans="1:4" x14ac:dyDescent="0.2">
      <c r="A54489" t="s">
        <v>17215</v>
      </c>
      <c r="B54489" t="str">
        <f>HYPERLINK("https://lindat.mff.cuni.cz/services/teitok/pdtc10/index.php?action=vallex&amp;frame=v-w7717f2_ZU", "vrhnout se (v-w7717f2_ZU) - substituted with v-w7717f3_ZU")</f>
        <v>vrhnout se (v-w7717f2_ZU) - substituted with v-w7717f3_ZU</v>
      </c>
    </row>
    <row r="54490" spans="1:4" x14ac:dyDescent="0.2">
      <c r="B54490" t="s">
        <v>1</v>
      </c>
      <c r="C54490" t="s">
        <v>9634</v>
      </c>
    </row>
    <row r="54491" spans="1:4" x14ac:dyDescent="0.2">
      <c r="B54491" t="s">
        <v>3910</v>
      </c>
    </row>
    <row r="54493" spans="1:4" x14ac:dyDescent="0.2">
      <c r="A54493" t="s">
        <v>17216</v>
      </c>
      <c r="B54493" t="str">
        <f>HYPERLINK("https://lindat.mff.cuni.cz/services/teitok/pdtc10/index.php?action=vallex&amp;frame=v-w7717f1", "vrhnout se (v-w7717f1)")</f>
        <v>vrhnout se (v-w7717f1)</v>
      </c>
    </row>
    <row r="54494" spans="1:4" x14ac:dyDescent="0.2">
      <c r="B54494" t="s">
        <v>1</v>
      </c>
      <c r="C54494" t="s">
        <v>17217</v>
      </c>
      <c r="D54494" t="s">
        <v>83</v>
      </c>
    </row>
    <row r="54495" spans="1:4" x14ac:dyDescent="0.2">
      <c r="B54495" t="s">
        <v>90</v>
      </c>
      <c r="C54495" t="s">
        <v>1713</v>
      </c>
      <c r="D54495" t="s">
        <v>1796</v>
      </c>
    </row>
    <row r="54497" spans="1:4" x14ac:dyDescent="0.2">
      <c r="A54497" t="s">
        <v>17218</v>
      </c>
      <c r="B54497" t="str">
        <f>HYPERLINK("https://lindat.mff.cuni.cz/services/teitok/pdtc10/index.php?action=vallex&amp;frame=v-w7717f5_ZU", "vrhnout se (v-w7717f5_ZU)")</f>
        <v>vrhnout se (v-w7717f5_ZU)</v>
      </c>
    </row>
    <row r="54498" spans="1:4" x14ac:dyDescent="0.2">
      <c r="B54498" t="s">
        <v>1</v>
      </c>
      <c r="C54498" t="s">
        <v>2239</v>
      </c>
      <c r="D54498" t="s">
        <v>80</v>
      </c>
    </row>
    <row r="54499" spans="1:4" x14ac:dyDescent="0.2">
      <c r="B54499" t="s">
        <v>252</v>
      </c>
      <c r="C54499" t="s">
        <v>12439</v>
      </c>
      <c r="D54499" t="s">
        <v>10652</v>
      </c>
    </row>
    <row r="54501" spans="1:4" x14ac:dyDescent="0.2">
      <c r="A54501" t="s">
        <v>17218</v>
      </c>
      <c r="B54501" t="str">
        <f>HYPERLINK("https://lindat.mff.cuni.cz/services/teitok/pdtc10/index.php?action=vallex&amp;frame=v-w7717f4_ZU", "vrhnout se (v-w7717f4_ZU) - substituted with v-w7717f5_ZU")</f>
        <v>vrhnout se (v-w7717f4_ZU) - substituted with v-w7717f5_ZU</v>
      </c>
    </row>
    <row r="54502" spans="1:4" x14ac:dyDescent="0.2">
      <c r="B54502" t="s">
        <v>1</v>
      </c>
    </row>
    <row r="54503" spans="1:4" x14ac:dyDescent="0.2">
      <c r="B54503" t="s">
        <v>252</v>
      </c>
    </row>
    <row r="54505" spans="1:4" x14ac:dyDescent="0.2">
      <c r="A54505" t="s">
        <v>17219</v>
      </c>
      <c r="B54505" t="str">
        <f>HYPERLINK("https://lindat.mff.cuni.cz/services/teitok/pdtc10/index.php?action=vallex&amp;frame=v-whsa_1073hsa_1074", "vrnět (v-whsa_1073hsa_1074)")</f>
        <v>vrnět (v-whsa_1073hsa_1074)</v>
      </c>
    </row>
    <row r="54506" spans="1:4" x14ac:dyDescent="0.2">
      <c r="B54506" t="s">
        <v>1</v>
      </c>
      <c r="C54506" t="s">
        <v>33</v>
      </c>
    </row>
    <row r="54507" spans="1:4" x14ac:dyDescent="0.2">
      <c r="B54507" t="s">
        <v>9052</v>
      </c>
      <c r="C54507" t="s">
        <v>34</v>
      </c>
    </row>
    <row r="54509" spans="1:4" x14ac:dyDescent="0.2">
      <c r="A54509" t="s">
        <v>17220</v>
      </c>
      <c r="B54509" t="str">
        <f>HYPERLINK("https://lindat.mff.cuni.cz/services/teitok/pdtc10/index.php?action=vallex&amp;frame=v-whsa_141hsa_142", "vrnět se (v-whsa_141hsa_142)")</f>
        <v>vrnět se (v-whsa_141hsa_142)</v>
      </c>
    </row>
    <row r="54510" spans="1:4" x14ac:dyDescent="0.2">
      <c r="B54510" t="s">
        <v>1</v>
      </c>
    </row>
    <row r="54512" spans="1:4" x14ac:dyDescent="0.2">
      <c r="A54512" t="s">
        <v>17221</v>
      </c>
      <c r="B54512" t="str">
        <f>HYPERLINK("https://lindat.mff.cuni.cz/services/teitok/pdtc10/index.php?action=vallex&amp;frame=v-w7724f2", "vrtat (v-w7724f2)")</f>
        <v>vrtat (v-w7724f2)</v>
      </c>
    </row>
    <row r="54513" spans="1:3" x14ac:dyDescent="0.2">
      <c r="B54513" t="s">
        <v>1</v>
      </c>
      <c r="C54513" t="s">
        <v>249</v>
      </c>
    </row>
    <row r="54514" spans="1:3" x14ac:dyDescent="0.2">
      <c r="B54514" t="s">
        <v>8</v>
      </c>
      <c r="C54514" t="s">
        <v>17222</v>
      </c>
    </row>
    <row r="54516" spans="1:3" x14ac:dyDescent="0.2">
      <c r="A54516" t="s">
        <v>17223</v>
      </c>
      <c r="B54516" t="str">
        <f>HYPERLINK("https://lindat.mff.cuni.cz/services/teitok/pdtc10/index.php?action=vallex&amp;frame=v-w7724f1", "vrtat (v-w7724f1)")</f>
        <v>vrtat (v-w7724f1)</v>
      </c>
    </row>
    <row r="54517" spans="1:3" x14ac:dyDescent="0.2">
      <c r="B54517" t="s">
        <v>16976</v>
      </c>
    </row>
    <row r="54518" spans="1:3" x14ac:dyDescent="0.2">
      <c r="B54518" t="s">
        <v>10578</v>
      </c>
    </row>
    <row r="54519" spans="1:3" x14ac:dyDescent="0.2">
      <c r="B54519" t="s">
        <v>103</v>
      </c>
    </row>
    <row r="54521" spans="1:3" x14ac:dyDescent="0.2">
      <c r="A54521" t="s">
        <v>17224</v>
      </c>
      <c r="B54521" t="str">
        <f>HYPERLINK("https://lindat.mff.cuni.cz/services/teitok/pdtc10/index.php?action=vallex&amp;frame=v-w7724f3_ZU", "vrtat (v-w7724f3_ZU)")</f>
        <v>vrtat (v-w7724f3_ZU)</v>
      </c>
    </row>
    <row r="54522" spans="1:3" x14ac:dyDescent="0.2">
      <c r="B54522" t="s">
        <v>1</v>
      </c>
    </row>
    <row r="54523" spans="1:3" x14ac:dyDescent="0.2">
      <c r="B54523" t="s">
        <v>8</v>
      </c>
    </row>
    <row r="54525" spans="1:3" x14ac:dyDescent="0.2">
      <c r="A54525" t="s">
        <v>17224</v>
      </c>
      <c r="B54525" t="str">
        <f>HYPERLINK("https://lindat.mff.cuni.cz/services/teitok/pdtc10/index.php?action=vallex&amp;frame=v-w7724hsa_502", "vrtat (v-w7724hsa_502) - substituted with v-w7724f3_ZU")</f>
        <v>vrtat (v-w7724hsa_502) - substituted with v-w7724f3_ZU</v>
      </c>
    </row>
    <row r="54526" spans="1:3" x14ac:dyDescent="0.2">
      <c r="B54526" t="s">
        <v>1</v>
      </c>
    </row>
    <row r="54527" spans="1:3" x14ac:dyDescent="0.2">
      <c r="B54527" t="s">
        <v>8</v>
      </c>
    </row>
    <row r="54529" spans="1:4" x14ac:dyDescent="0.2">
      <c r="A54529" t="s">
        <v>17225</v>
      </c>
      <c r="B54529" t="str">
        <f>HYPERLINK("https://lindat.mff.cuni.cz/services/teitok/pdtc10/index.php?action=vallex&amp;frame=v-whsa_878hsa_879", "vrtat se (v-whsa_878hsa_879)")</f>
        <v>vrtat se (v-whsa_878hsa_879)</v>
      </c>
    </row>
    <row r="54530" spans="1:4" x14ac:dyDescent="0.2">
      <c r="B54530" t="s">
        <v>1</v>
      </c>
      <c r="C54530" t="s">
        <v>140</v>
      </c>
      <c r="D54530" t="s">
        <v>33</v>
      </c>
    </row>
    <row r="54531" spans="1:4" x14ac:dyDescent="0.2">
      <c r="B54531" t="s">
        <v>290</v>
      </c>
      <c r="C54531" t="s">
        <v>1128</v>
      </c>
      <c r="D54531" t="s">
        <v>56</v>
      </c>
    </row>
    <row r="54533" spans="1:4" x14ac:dyDescent="0.2">
      <c r="A54533" t="s">
        <v>17226</v>
      </c>
      <c r="B54533" t="str">
        <f>HYPERLINK("https://lindat.mff.cuni.cz/services/teitok/pdtc10/index.php?action=vallex&amp;frame=v-whsa_878f1_ZU", "vrtat se (v-whsa_878f1_ZU)")</f>
        <v>vrtat se (v-whsa_878f1_ZU)</v>
      </c>
    </row>
    <row r="54534" spans="1:4" x14ac:dyDescent="0.2">
      <c r="B54534" t="s">
        <v>1</v>
      </c>
    </row>
    <row r="54536" spans="1:4" x14ac:dyDescent="0.2">
      <c r="A54536" t="s">
        <v>17227</v>
      </c>
      <c r="B54536" t="str">
        <f>HYPERLINK("https://lindat.mff.cuni.cz/services/teitok/pdtc10/index.php?action=vallex&amp;frame=v-w11085f2", "vrtět (v-w11085f2)")</f>
        <v>vrtět (v-w11085f2)</v>
      </c>
    </row>
    <row r="54537" spans="1:4" x14ac:dyDescent="0.2">
      <c r="B54537" t="s">
        <v>1</v>
      </c>
    </row>
    <row r="54538" spans="1:4" x14ac:dyDescent="0.2">
      <c r="B54538" t="s">
        <v>158</v>
      </c>
    </row>
    <row r="54540" spans="1:4" x14ac:dyDescent="0.2">
      <c r="A54540" t="s">
        <v>17228</v>
      </c>
      <c r="B54540" t="str">
        <f>HYPERLINK("https://lindat.mff.cuni.cz/services/teitok/pdtc10/index.php?action=vallex&amp;frame=v-w11458f1", "vrtět se (v-w11458f1)")</f>
        <v>vrtět se (v-w11458f1)</v>
      </c>
    </row>
    <row r="54541" spans="1:4" x14ac:dyDescent="0.2">
      <c r="B54541" t="s">
        <v>1</v>
      </c>
      <c r="C54541" t="s">
        <v>33</v>
      </c>
      <c r="D54541" t="s">
        <v>23755</v>
      </c>
    </row>
    <row r="54543" spans="1:4" x14ac:dyDescent="0.2">
      <c r="A54543" t="s">
        <v>17229</v>
      </c>
      <c r="B54543" t="str">
        <f>HYPERLINK("https://lindat.mff.cuni.cz/services/teitok/pdtc10/index.php?action=vallex&amp;frame=v-whsa_696hsa_697", "vrzat (v-whsa_696hsa_697)")</f>
        <v>vrzat (v-whsa_696hsa_697)</v>
      </c>
    </row>
    <row r="54544" spans="1:4" x14ac:dyDescent="0.2">
      <c r="B54544" t="s">
        <v>1</v>
      </c>
    </row>
    <row r="54545" spans="1:4" x14ac:dyDescent="0.2">
      <c r="B54545" t="s">
        <v>158</v>
      </c>
    </row>
    <row r="54547" spans="1:4" x14ac:dyDescent="0.2">
      <c r="A54547" t="s">
        <v>17230</v>
      </c>
      <c r="B54547" t="str">
        <f>HYPERLINK("https://lindat.mff.cuni.cz/services/teitok/pdtc10/index.php?action=vallex&amp;frame=v-w7705f7_ZU", "vrátit (v-w7705f7_ZU)")</f>
        <v>vrátit (v-w7705f7_ZU)</v>
      </c>
    </row>
    <row r="54548" spans="1:4" x14ac:dyDescent="0.2">
      <c r="B54548" t="s">
        <v>1</v>
      </c>
    </row>
    <row r="54549" spans="1:4" x14ac:dyDescent="0.2">
      <c r="B54549" t="s">
        <v>172</v>
      </c>
    </row>
    <row r="54550" spans="1:4" x14ac:dyDescent="0.2">
      <c r="B54550" t="s">
        <v>35</v>
      </c>
    </row>
    <row r="54552" spans="1:4" x14ac:dyDescent="0.2">
      <c r="A54552" t="s">
        <v>17230</v>
      </c>
      <c r="B54552" t="str">
        <f>HYPERLINK("https://lindat.mff.cuni.cz/services/teitok/pdtc10/index.php?action=vallex&amp;frame=v-w7705f1", "vrátit (v-w7705f1) - substituted with v-w7705f7_ZU")</f>
        <v>vrátit (v-w7705f1) - substituted with v-w7705f7_ZU</v>
      </c>
    </row>
    <row r="54553" spans="1:4" x14ac:dyDescent="0.2">
      <c r="B54553" t="s">
        <v>1</v>
      </c>
      <c r="C54553" t="s">
        <v>976</v>
      </c>
      <c r="D54553" t="s">
        <v>3580</v>
      </c>
    </row>
    <row r="54554" spans="1:4" x14ac:dyDescent="0.2">
      <c r="B54554" t="s">
        <v>172</v>
      </c>
      <c r="C54554" t="s">
        <v>17231</v>
      </c>
      <c r="D54554" t="s">
        <v>23576</v>
      </c>
    </row>
    <row r="54555" spans="1:4" x14ac:dyDescent="0.2">
      <c r="B54555" t="s">
        <v>35</v>
      </c>
      <c r="C54555" t="s">
        <v>17232</v>
      </c>
      <c r="D54555" t="s">
        <v>6312</v>
      </c>
    </row>
    <row r="54557" spans="1:4" x14ac:dyDescent="0.2">
      <c r="A54557" t="s">
        <v>17233</v>
      </c>
      <c r="B54557" t="str">
        <f>HYPERLINK("https://lindat.mff.cuni.cz/services/teitok/pdtc10/index.php?action=vallex&amp;frame=v-w7705f6_ZU", "vrátit (v-w7705f6_ZU)")</f>
        <v>vrátit (v-w7705f6_ZU)</v>
      </c>
    </row>
    <row r="54558" spans="1:4" x14ac:dyDescent="0.2">
      <c r="B54558" t="s">
        <v>1</v>
      </c>
    </row>
    <row r="54559" spans="1:4" x14ac:dyDescent="0.2">
      <c r="B54559" t="s">
        <v>8</v>
      </c>
    </row>
    <row r="54560" spans="1:4" x14ac:dyDescent="0.2">
      <c r="B54560" t="s">
        <v>17234</v>
      </c>
    </row>
    <row r="54562" spans="1:3" x14ac:dyDescent="0.2">
      <c r="A54562" t="s">
        <v>17233</v>
      </c>
      <c r="B54562" t="str">
        <f>HYPERLINK("https://lindat.mff.cuni.cz/services/teitok/pdtc10/index.php?action=vallex&amp;frame=v-w7705f3", "vrátit (v-w7705f3) - substituted with v-w7705f6_ZU")</f>
        <v>vrátit (v-w7705f3) - substituted with v-w7705f6_ZU</v>
      </c>
    </row>
    <row r="54563" spans="1:3" x14ac:dyDescent="0.2">
      <c r="B54563" t="s">
        <v>1</v>
      </c>
      <c r="C54563" t="s">
        <v>17235</v>
      </c>
    </row>
    <row r="54564" spans="1:3" x14ac:dyDescent="0.2">
      <c r="B54564" t="s">
        <v>8</v>
      </c>
      <c r="C54564" t="s">
        <v>2750</v>
      </c>
    </row>
    <row r="54565" spans="1:3" x14ac:dyDescent="0.2">
      <c r="B54565" t="s">
        <v>17234</v>
      </c>
    </row>
    <row r="54567" spans="1:3" x14ac:dyDescent="0.2">
      <c r="A54567" t="s">
        <v>17233</v>
      </c>
      <c r="B54567" t="str">
        <f>HYPERLINK("https://lindat.mff.cuni.cz/services/teitok/pdtc10/index.php?action=vallex&amp;frame=v-w7705hsa_787", "vrátit (v-w7705hsa_787) - substituted with v-w7705f6_ZU")</f>
        <v>vrátit (v-w7705hsa_787) - substituted with v-w7705f6_ZU</v>
      </c>
    </row>
    <row r="54568" spans="1:3" x14ac:dyDescent="0.2">
      <c r="B54568" t="s">
        <v>1</v>
      </c>
    </row>
    <row r="54569" spans="1:3" x14ac:dyDescent="0.2">
      <c r="B54569" t="s">
        <v>8</v>
      </c>
      <c r="C54569" t="s">
        <v>991</v>
      </c>
    </row>
    <row r="54570" spans="1:3" x14ac:dyDescent="0.2">
      <c r="B54570" t="s">
        <v>17234</v>
      </c>
    </row>
    <row r="54572" spans="1:3" x14ac:dyDescent="0.2">
      <c r="A54572" t="s">
        <v>17236</v>
      </c>
      <c r="B54572" t="str">
        <f>HYPERLINK("https://lindat.mff.cuni.cz/services/teitok/pdtc10/index.php?action=vallex&amp;frame=v-w7705f4", "vrátit (v-w7705f4)")</f>
        <v>vrátit (v-w7705f4)</v>
      </c>
    </row>
    <row r="54573" spans="1:3" x14ac:dyDescent="0.2">
      <c r="B54573" t="s">
        <v>1</v>
      </c>
    </row>
    <row r="54574" spans="1:3" x14ac:dyDescent="0.2">
      <c r="B54574" t="s">
        <v>8</v>
      </c>
    </row>
    <row r="54575" spans="1:3" x14ac:dyDescent="0.2">
      <c r="B54575" t="s">
        <v>5</v>
      </c>
    </row>
    <row r="54577" spans="1:4" x14ac:dyDescent="0.2">
      <c r="A54577" t="s">
        <v>17237</v>
      </c>
      <c r="B54577" t="str">
        <f>HYPERLINK("https://lindat.mff.cuni.cz/services/teitok/pdtc10/index.php?action=vallex&amp;frame=v-w7705f2", "vrátit (v-w7705f2)")</f>
        <v>vrátit (v-w7705f2)</v>
      </c>
    </row>
    <row r="54578" spans="1:4" x14ac:dyDescent="0.2">
      <c r="B54578" t="s">
        <v>1</v>
      </c>
      <c r="C54578" t="s">
        <v>8288</v>
      </c>
      <c r="D54578" t="s">
        <v>22224</v>
      </c>
    </row>
    <row r="54579" spans="1:4" x14ac:dyDescent="0.2">
      <c r="B54579" t="s">
        <v>8</v>
      </c>
      <c r="C54579" t="s">
        <v>17238</v>
      </c>
      <c r="D54579" t="s">
        <v>24345</v>
      </c>
    </row>
    <row r="54580" spans="1:4" x14ac:dyDescent="0.2">
      <c r="B54580" t="s">
        <v>90</v>
      </c>
      <c r="C54580" t="s">
        <v>17239</v>
      </c>
      <c r="D54580" t="s">
        <v>24346</v>
      </c>
    </row>
    <row r="54582" spans="1:4" x14ac:dyDescent="0.2">
      <c r="A54582" t="s">
        <v>17240</v>
      </c>
      <c r="B54582" t="str">
        <f>HYPERLINK("https://lindat.mff.cuni.cz/services/teitok/pdtc10/index.php?action=vallex&amp;frame=v-w7705f5_ZU", "vrátit (v-w7705f5_ZU)")</f>
        <v>vrátit (v-w7705f5_ZU)</v>
      </c>
    </row>
    <row r="54583" spans="1:4" x14ac:dyDescent="0.2">
      <c r="B54583" t="s">
        <v>1</v>
      </c>
      <c r="C54583" t="s">
        <v>22</v>
      </c>
      <c r="D54583" t="s">
        <v>13976</v>
      </c>
    </row>
    <row r="54584" spans="1:4" x14ac:dyDescent="0.2">
      <c r="B54584" t="s">
        <v>17241</v>
      </c>
      <c r="D54584" t="s">
        <v>24347</v>
      </c>
    </row>
    <row r="54585" spans="1:4" x14ac:dyDescent="0.2">
      <c r="B54585" t="s">
        <v>8</v>
      </c>
      <c r="C54585" t="s">
        <v>1044</v>
      </c>
      <c r="D54585" t="s">
        <v>10414</v>
      </c>
    </row>
    <row r="54587" spans="1:4" x14ac:dyDescent="0.2">
      <c r="A54587" t="s">
        <v>17242</v>
      </c>
      <c r="B54587" t="str">
        <f>HYPERLINK("https://lindat.mff.cuni.cz/services/teitok/pdtc10/index.php?action=vallex&amp;frame=v-w7705hsa_786", "vrátit (v-w7705hsa_786)")</f>
        <v>vrátit (v-w7705hsa_786)</v>
      </c>
    </row>
    <row r="54588" spans="1:4" x14ac:dyDescent="0.2">
      <c r="B54588" t="s">
        <v>1</v>
      </c>
    </row>
    <row r="54589" spans="1:4" x14ac:dyDescent="0.2">
      <c r="B54589" t="s">
        <v>8</v>
      </c>
      <c r="C54589" t="s">
        <v>991</v>
      </c>
    </row>
    <row r="54591" spans="1:4" x14ac:dyDescent="0.2">
      <c r="A54591" t="s">
        <v>17243</v>
      </c>
      <c r="B54591" t="str">
        <f>HYPERLINK("https://lindat.mff.cuni.cz/services/teitok/pdtc10/index.php?action=vallex&amp;frame=v-w7706f2", "vrátit se (v-w7706f2)")</f>
        <v>vrátit se (v-w7706f2)</v>
      </c>
    </row>
    <row r="54592" spans="1:4" x14ac:dyDescent="0.2">
      <c r="B54592" t="s">
        <v>1</v>
      </c>
      <c r="C54592" t="s">
        <v>435</v>
      </c>
    </row>
    <row r="54593" spans="1:4" x14ac:dyDescent="0.2">
      <c r="B54593" t="s">
        <v>103</v>
      </c>
      <c r="C54593" t="s">
        <v>7038</v>
      </c>
    </row>
    <row r="54595" spans="1:4" x14ac:dyDescent="0.2">
      <c r="A54595" t="s">
        <v>17244</v>
      </c>
      <c r="B54595" t="str">
        <f>HYPERLINK("https://lindat.mff.cuni.cz/services/teitok/pdtc10/index.php?action=vallex&amp;frame=v-w7706f3", "vrátit se (v-w7706f3)")</f>
        <v>vrátit se (v-w7706f3)</v>
      </c>
    </row>
    <row r="54596" spans="1:4" x14ac:dyDescent="0.2">
      <c r="B54596" t="s">
        <v>1</v>
      </c>
      <c r="C54596" t="s">
        <v>17245</v>
      </c>
      <c r="D54596" t="s">
        <v>23579</v>
      </c>
    </row>
    <row r="54597" spans="1:4" x14ac:dyDescent="0.2">
      <c r="B54597" t="s">
        <v>176</v>
      </c>
      <c r="C54597" t="s">
        <v>17246</v>
      </c>
      <c r="D54597" t="s">
        <v>1128</v>
      </c>
    </row>
    <row r="54599" spans="1:4" x14ac:dyDescent="0.2">
      <c r="A54599" t="s">
        <v>17247</v>
      </c>
      <c r="B54599" t="str">
        <f>HYPERLINK("https://lindat.mff.cuni.cz/services/teitok/pdtc10/index.php?action=vallex&amp;frame=v-w7706f5", "vrátit se (v-w7706f5)")</f>
        <v>vrátit se (v-w7706f5)</v>
      </c>
    </row>
    <row r="54600" spans="1:4" x14ac:dyDescent="0.2">
      <c r="B54600" t="s">
        <v>1</v>
      </c>
      <c r="C54600" t="s">
        <v>17248</v>
      </c>
      <c r="D54600" t="s">
        <v>23579</v>
      </c>
    </row>
    <row r="54601" spans="1:4" x14ac:dyDescent="0.2">
      <c r="B54601" t="s">
        <v>205</v>
      </c>
      <c r="C54601" t="s">
        <v>17249</v>
      </c>
      <c r="D54601" t="s">
        <v>22678</v>
      </c>
    </row>
    <row r="54603" spans="1:4" x14ac:dyDescent="0.2">
      <c r="A54603" t="s">
        <v>17250</v>
      </c>
      <c r="B54603" t="str">
        <f>HYPERLINK("https://lindat.mff.cuni.cz/services/teitok/pdtc10/index.php?action=vallex&amp;frame=v-w7706f1", "vrátit se (v-w7706f1)")</f>
        <v>vrátit se (v-w7706f1)</v>
      </c>
    </row>
    <row r="54604" spans="1:4" x14ac:dyDescent="0.2">
      <c r="B54604" t="s">
        <v>1</v>
      </c>
      <c r="C54604" t="s">
        <v>17251</v>
      </c>
      <c r="D54604" t="s">
        <v>23107</v>
      </c>
    </row>
    <row r="54605" spans="1:4" x14ac:dyDescent="0.2">
      <c r="B54605" t="s">
        <v>90</v>
      </c>
      <c r="C54605" t="s">
        <v>17252</v>
      </c>
      <c r="D54605" t="s">
        <v>23108</v>
      </c>
    </row>
    <row r="54607" spans="1:4" x14ac:dyDescent="0.2">
      <c r="A54607" t="s">
        <v>17253</v>
      </c>
      <c r="B54607" t="str">
        <f>HYPERLINK("https://lindat.mff.cuni.cz/services/teitok/pdtc10/index.php?action=vallex&amp;frame=v-w7706f4", "vrátit se (v-w7706f4)")</f>
        <v>vrátit se (v-w7706f4)</v>
      </c>
    </row>
    <row r="54608" spans="1:4" x14ac:dyDescent="0.2">
      <c r="B54608" t="s">
        <v>1</v>
      </c>
      <c r="C54608" t="s">
        <v>8579</v>
      </c>
    </row>
    <row r="54610" spans="1:4" x14ac:dyDescent="0.2">
      <c r="A54610" t="s">
        <v>17254</v>
      </c>
      <c r="B54610" t="str">
        <f>HYPERLINK("https://lindat.mff.cuni.cz/services/teitok/pdtc10/index.php?action=vallex&amp;frame=v-w7706f6_ZU", "vrátit se (v-w7706f6_ZU)")</f>
        <v>vrátit se (v-w7706f6_ZU)</v>
      </c>
    </row>
    <row r="54611" spans="1:4" x14ac:dyDescent="0.2">
      <c r="B54611" t="s">
        <v>1</v>
      </c>
      <c r="C54611" t="s">
        <v>6317</v>
      </c>
    </row>
    <row r="54612" spans="1:4" x14ac:dyDescent="0.2">
      <c r="B54612" t="s">
        <v>46</v>
      </c>
    </row>
    <row r="54613" spans="1:4" x14ac:dyDescent="0.2">
      <c r="B54613" t="s">
        <v>17255</v>
      </c>
    </row>
    <row r="54615" spans="1:4" x14ac:dyDescent="0.2">
      <c r="A54615" t="s">
        <v>17254</v>
      </c>
      <c r="B54615" t="str">
        <f>HYPERLINK("https://lindat.mff.cuni.cz/services/teitok/pdtc10/index.php?action=vallex&amp;frame=v-w7706hsa_251", "vrátit se (v-w7706hsa_251) - substituted with v-w7706f6_ZU")</f>
        <v>vrátit se (v-w7706hsa_251) - substituted with v-w7706f6_ZU</v>
      </c>
    </row>
    <row r="54616" spans="1:4" x14ac:dyDescent="0.2">
      <c r="B54616" t="s">
        <v>1</v>
      </c>
    </row>
    <row r="54617" spans="1:4" x14ac:dyDescent="0.2">
      <c r="B54617" t="s">
        <v>46</v>
      </c>
    </row>
    <row r="54618" spans="1:4" x14ac:dyDescent="0.2">
      <c r="B54618" t="s">
        <v>17255</v>
      </c>
    </row>
    <row r="54620" spans="1:4" x14ac:dyDescent="0.2">
      <c r="A54620" t="s">
        <v>17256</v>
      </c>
      <c r="B54620" t="str">
        <f>HYPERLINK("https://lindat.mff.cuni.cz/services/teitok/pdtc10/index.php?action=vallex&amp;frame=v-w10297f2", "vrávorat (v-w10297f2)")</f>
        <v>vrávorat (v-w10297f2)</v>
      </c>
    </row>
    <row r="54621" spans="1:4" x14ac:dyDescent="0.2">
      <c r="B54621" t="s">
        <v>1</v>
      </c>
      <c r="C54621" t="s">
        <v>7838</v>
      </c>
      <c r="D54621" t="s">
        <v>23346</v>
      </c>
    </row>
    <row r="54623" spans="1:4" x14ac:dyDescent="0.2">
      <c r="A54623" t="s">
        <v>17257</v>
      </c>
      <c r="B54623" t="str">
        <f>HYPERLINK("https://lindat.mff.cuni.cz/services/teitok/pdtc10/index.php?action=vallex&amp;frame=v-w7711f1", "vrážet (v-w7711f1)")</f>
        <v>vrážet (v-w7711f1)</v>
      </c>
    </row>
    <row r="54624" spans="1:4" x14ac:dyDescent="0.2">
      <c r="B54624" t="s">
        <v>1</v>
      </c>
      <c r="C54624" t="s">
        <v>140</v>
      </c>
      <c r="D54624" t="s">
        <v>23181</v>
      </c>
    </row>
    <row r="54625" spans="1:4" x14ac:dyDescent="0.2">
      <c r="B54625" t="s">
        <v>8</v>
      </c>
      <c r="C54625" t="s">
        <v>113</v>
      </c>
      <c r="D54625" t="s">
        <v>23182</v>
      </c>
    </row>
    <row r="54626" spans="1:4" x14ac:dyDescent="0.2">
      <c r="B54626" t="s">
        <v>90</v>
      </c>
      <c r="C54626" t="s">
        <v>11579</v>
      </c>
      <c r="D54626" t="s">
        <v>11579</v>
      </c>
    </row>
    <row r="54628" spans="1:4" x14ac:dyDescent="0.2">
      <c r="A54628" t="s">
        <v>17258</v>
      </c>
      <c r="B54628" t="str">
        <f>HYPERLINK("https://lindat.mff.cuni.cz/services/teitok/pdtc10/index.php?action=vallex&amp;frame=v-w7725f1", "vrýt se (v-w7725f1)")</f>
        <v>vrýt se (v-w7725f1)</v>
      </c>
    </row>
    <row r="54629" spans="1:4" x14ac:dyDescent="0.2">
      <c r="B54629" t="s">
        <v>1</v>
      </c>
    </row>
    <row r="54630" spans="1:4" x14ac:dyDescent="0.2">
      <c r="B54630" t="s">
        <v>90</v>
      </c>
    </row>
    <row r="54632" spans="1:4" x14ac:dyDescent="0.2">
      <c r="A54632" t="s">
        <v>17259</v>
      </c>
      <c r="B54632" t="str">
        <f>HYPERLINK("https://lindat.mff.cuni.cz/services/teitok/pdtc10/index.php?action=vallex&amp;frame=v-w7713f1", "vrčet (v-w7713f1)")</f>
        <v>vrčet (v-w7713f1)</v>
      </c>
    </row>
    <row r="54633" spans="1:4" x14ac:dyDescent="0.2">
      <c r="B54633" t="s">
        <v>1</v>
      </c>
    </row>
    <row r="54634" spans="1:4" x14ac:dyDescent="0.2">
      <c r="B54634" t="s">
        <v>46</v>
      </c>
    </row>
    <row r="54636" spans="1:4" x14ac:dyDescent="0.2">
      <c r="A54636" t="s">
        <v>17260</v>
      </c>
      <c r="B54636" t="str">
        <f>HYPERLINK("https://lindat.mff.cuni.cz/services/teitok/pdtc10/index.php?action=vallex&amp;frame=v-w7713f3", "vrčet (v-w7713f3)")</f>
        <v>vrčet (v-w7713f3)</v>
      </c>
    </row>
    <row r="54637" spans="1:4" x14ac:dyDescent="0.2">
      <c r="B54637" t="s">
        <v>1</v>
      </c>
      <c r="C54637" t="s">
        <v>33</v>
      </c>
      <c r="D54637" t="s">
        <v>2571</v>
      </c>
    </row>
    <row r="54638" spans="1:4" x14ac:dyDescent="0.2">
      <c r="B54638" t="s">
        <v>46</v>
      </c>
      <c r="D54638" t="s">
        <v>1331</v>
      </c>
    </row>
    <row r="54640" spans="1:4" x14ac:dyDescent="0.2">
      <c r="A54640" t="s">
        <v>17261</v>
      </c>
      <c r="B54640" t="str">
        <f>HYPERLINK("https://lindat.mff.cuni.cz/services/teitok/pdtc10/index.php?action=vallex&amp;frame=v-w7713f2", "vrčet (v-w7713f2)")</f>
        <v>vrčet (v-w7713f2)</v>
      </c>
    </row>
    <row r="54641" spans="1:4" x14ac:dyDescent="0.2">
      <c r="B54641" t="s">
        <v>1</v>
      </c>
      <c r="C54641" t="s">
        <v>186</v>
      </c>
      <c r="D54641" t="s">
        <v>1709</v>
      </c>
    </row>
    <row r="54643" spans="1:4" x14ac:dyDescent="0.2">
      <c r="A54643" t="s">
        <v>17262</v>
      </c>
      <c r="B54643" t="str">
        <f>HYPERLINK("https://lindat.mff.cuni.cz/services/teitok/pdtc10/index.php?action=vallex&amp;frame=v-w7722f1", "vršit (v-w7722f1)")</f>
        <v>vršit (v-w7722f1)</v>
      </c>
    </row>
    <row r="54644" spans="1:4" x14ac:dyDescent="0.2">
      <c r="B54644" t="s">
        <v>1</v>
      </c>
      <c r="C54644" t="s">
        <v>140</v>
      </c>
      <c r="D54644" t="s">
        <v>140</v>
      </c>
    </row>
    <row r="54645" spans="1:4" x14ac:dyDescent="0.2">
      <c r="B54645" t="s">
        <v>8</v>
      </c>
      <c r="C54645" t="s">
        <v>14795</v>
      </c>
      <c r="D54645" t="s">
        <v>113</v>
      </c>
    </row>
    <row r="54647" spans="1:4" x14ac:dyDescent="0.2">
      <c r="A54647" t="s">
        <v>17263</v>
      </c>
      <c r="B54647" t="str">
        <f>HYPERLINK("https://lindat.mff.cuni.cz/services/teitok/pdtc10/index.php?action=vallex&amp;frame=v-w11343f1", "vršit se (v-w11343f1)")</f>
        <v>vršit se (v-w11343f1)</v>
      </c>
    </row>
    <row r="54648" spans="1:4" x14ac:dyDescent="0.2">
      <c r="B54648" t="s">
        <v>1</v>
      </c>
      <c r="C54648" t="s">
        <v>2444</v>
      </c>
      <c r="D54648" t="s">
        <v>10477</v>
      </c>
    </row>
    <row r="54650" spans="1:4" x14ac:dyDescent="0.2">
      <c r="A54650" t="s">
        <v>17264</v>
      </c>
      <c r="B54650" t="str">
        <f>HYPERLINK("https://lindat.mff.cuni.cz/services/teitok/pdtc10/index.php?action=vallex&amp;frame=v-w7728f2", "vsadit (v-w7728f2)")</f>
        <v>vsadit (v-w7728f2)</v>
      </c>
    </row>
    <row r="54651" spans="1:4" x14ac:dyDescent="0.2">
      <c r="B54651" t="s">
        <v>1</v>
      </c>
      <c r="C54651" t="s">
        <v>133</v>
      </c>
    </row>
    <row r="54652" spans="1:4" x14ac:dyDescent="0.2">
      <c r="B54652" t="s">
        <v>8</v>
      </c>
      <c r="C54652" t="s">
        <v>17265</v>
      </c>
    </row>
    <row r="54653" spans="1:4" x14ac:dyDescent="0.2">
      <c r="B54653" t="s">
        <v>61</v>
      </c>
      <c r="C54653" t="s">
        <v>268</v>
      </c>
    </row>
    <row r="54655" spans="1:4" x14ac:dyDescent="0.2">
      <c r="A54655" t="s">
        <v>17266</v>
      </c>
      <c r="B54655" t="str">
        <f>HYPERLINK("https://lindat.mff.cuni.cz/services/teitok/pdtc10/index.php?action=vallex&amp;frame=v-w7728f1", "vsadit (v-w7728f1)")</f>
        <v>vsadit (v-w7728f1)</v>
      </c>
    </row>
    <row r="54656" spans="1:4" x14ac:dyDescent="0.2">
      <c r="B54656" t="s">
        <v>1</v>
      </c>
      <c r="C54656" t="s">
        <v>3583</v>
      </c>
      <c r="D54656" t="s">
        <v>1065</v>
      </c>
    </row>
    <row r="54657" spans="1:4" x14ac:dyDescent="0.2">
      <c r="B54657" t="s">
        <v>28</v>
      </c>
      <c r="C54657" t="s">
        <v>17267</v>
      </c>
      <c r="D54657" t="s">
        <v>5518</v>
      </c>
    </row>
    <row r="54659" spans="1:4" x14ac:dyDescent="0.2">
      <c r="A54659" t="s">
        <v>17268</v>
      </c>
      <c r="B54659" t="str">
        <f>HYPERLINK("https://lindat.mff.cuni.cz/services/teitok/pdtc10/index.php?action=vallex&amp;frame=v-w7728hsa_528", "vsadit (v-w7728hsa_528)")</f>
        <v>vsadit (v-w7728hsa_528)</v>
      </c>
    </row>
    <row r="54660" spans="1:4" x14ac:dyDescent="0.2">
      <c r="B54660" t="s">
        <v>1</v>
      </c>
    </row>
    <row r="54661" spans="1:4" x14ac:dyDescent="0.2">
      <c r="B54661" t="s">
        <v>8</v>
      </c>
    </row>
    <row r="54662" spans="1:4" x14ac:dyDescent="0.2">
      <c r="B54662" t="s">
        <v>90</v>
      </c>
    </row>
    <row r="54664" spans="1:4" x14ac:dyDescent="0.2">
      <c r="A54664" t="s">
        <v>17269</v>
      </c>
      <c r="B54664" t="str">
        <f>HYPERLINK("https://lindat.mff.cuni.cz/services/teitok/pdtc10/index.php?action=vallex&amp;frame=v-w7729f3_ZU", "vsadit se (v-w7729f3_ZU)")</f>
        <v>vsadit se (v-w7729f3_ZU)</v>
      </c>
    </row>
    <row r="54665" spans="1:4" x14ac:dyDescent="0.2">
      <c r="B54665" t="s">
        <v>1</v>
      </c>
      <c r="C54665" t="s">
        <v>92</v>
      </c>
      <c r="D54665" t="s">
        <v>83</v>
      </c>
    </row>
    <row r="54666" spans="1:4" x14ac:dyDescent="0.2">
      <c r="B54666" t="s">
        <v>153</v>
      </c>
      <c r="C54666" t="s">
        <v>17270</v>
      </c>
      <c r="D54666" t="s">
        <v>17270</v>
      </c>
    </row>
    <row r="54667" spans="1:4" x14ac:dyDescent="0.2">
      <c r="B54667" t="s">
        <v>17271</v>
      </c>
      <c r="C54667" t="s">
        <v>17272</v>
      </c>
      <c r="D54667" t="s">
        <v>21999</v>
      </c>
    </row>
    <row r="54668" spans="1:4" x14ac:dyDescent="0.2">
      <c r="B54668" t="s">
        <v>2287</v>
      </c>
      <c r="C54668" t="s">
        <v>17273</v>
      </c>
      <c r="D54668" t="s">
        <v>17273</v>
      </c>
    </row>
    <row r="54670" spans="1:4" x14ac:dyDescent="0.2">
      <c r="A54670" t="s">
        <v>17269</v>
      </c>
      <c r="B54670" t="str">
        <f>HYPERLINK("https://lindat.mff.cuni.cz/services/teitok/pdtc10/index.php?action=vallex&amp;frame=v-w7729f1", "vsadit se (v-w7729f1) - substituted with v-w7729f3_ZU")</f>
        <v>vsadit se (v-w7729f1) - substituted with v-w7729f3_ZU</v>
      </c>
    </row>
    <row r="54671" spans="1:4" x14ac:dyDescent="0.2">
      <c r="B54671" t="s">
        <v>1</v>
      </c>
      <c r="C54671" t="s">
        <v>92</v>
      </c>
    </row>
    <row r="54672" spans="1:4" x14ac:dyDescent="0.2">
      <c r="B54672" t="s">
        <v>153</v>
      </c>
      <c r="C54672" t="s">
        <v>17270</v>
      </c>
    </row>
    <row r="54673" spans="1:4" x14ac:dyDescent="0.2">
      <c r="B54673" t="s">
        <v>17271</v>
      </c>
      <c r="C54673" t="s">
        <v>17272</v>
      </c>
    </row>
    <row r="54674" spans="1:4" x14ac:dyDescent="0.2">
      <c r="B54674" t="s">
        <v>2287</v>
      </c>
      <c r="C54674" t="s">
        <v>17273</v>
      </c>
    </row>
    <row r="54676" spans="1:4" x14ac:dyDescent="0.2">
      <c r="A54676" t="s">
        <v>17269</v>
      </c>
      <c r="B54676" t="str">
        <f>HYPERLINK("https://lindat.mff.cuni.cz/services/teitok/pdtc10/index.php?action=vallex&amp;frame=v-w7729f2_ZU", "vsadit se (v-w7729f2_ZU) - substituted with v-w7729f3_ZU")</f>
        <v>vsadit se (v-w7729f2_ZU) - substituted with v-w7729f3_ZU</v>
      </c>
    </row>
    <row r="54677" spans="1:4" x14ac:dyDescent="0.2">
      <c r="B54677" t="s">
        <v>1</v>
      </c>
    </row>
    <row r="54678" spans="1:4" x14ac:dyDescent="0.2">
      <c r="B54678" t="s">
        <v>153</v>
      </c>
    </row>
    <row r="54679" spans="1:4" x14ac:dyDescent="0.2">
      <c r="B54679" t="s">
        <v>17271</v>
      </c>
    </row>
    <row r="54680" spans="1:4" x14ac:dyDescent="0.2">
      <c r="B54680" t="s">
        <v>2287</v>
      </c>
    </row>
    <row r="54682" spans="1:4" x14ac:dyDescent="0.2">
      <c r="A54682" t="s">
        <v>17274</v>
      </c>
      <c r="B54682" t="str">
        <f>HYPERLINK("https://lindat.mff.cuni.cz/services/teitok/pdtc10/index.php?action=vallex&amp;frame=v-w7734f4", "vstoupit (v-w7734f4)")</f>
        <v>vstoupit (v-w7734f4)</v>
      </c>
    </row>
    <row r="54683" spans="1:4" x14ac:dyDescent="0.2">
      <c r="B54683" t="s">
        <v>1</v>
      </c>
      <c r="C54683" t="s">
        <v>7509</v>
      </c>
    </row>
    <row r="54684" spans="1:4" x14ac:dyDescent="0.2">
      <c r="B54684" t="s">
        <v>817</v>
      </c>
      <c r="C54684" t="s">
        <v>3328</v>
      </c>
    </row>
    <row r="54686" spans="1:4" x14ac:dyDescent="0.2">
      <c r="A54686" t="s">
        <v>17275</v>
      </c>
      <c r="B54686" t="str">
        <f>HYPERLINK("https://lindat.mff.cuni.cz/services/teitok/pdtc10/index.php?action=vallex&amp;frame=v-w7734f5", "vstoupit (v-w7734f5)")</f>
        <v>vstoupit (v-w7734f5)</v>
      </c>
    </row>
    <row r="54687" spans="1:4" x14ac:dyDescent="0.2">
      <c r="B54687" t="s">
        <v>1</v>
      </c>
      <c r="C54687" t="s">
        <v>7509</v>
      </c>
      <c r="D54687" t="s">
        <v>23107</v>
      </c>
    </row>
    <row r="54688" spans="1:4" x14ac:dyDescent="0.2">
      <c r="B54688" t="s">
        <v>205</v>
      </c>
      <c r="C54688" t="s">
        <v>16957</v>
      </c>
      <c r="D54688" t="s">
        <v>23108</v>
      </c>
    </row>
    <row r="54690" spans="1:4" x14ac:dyDescent="0.2">
      <c r="A54690" t="s">
        <v>17276</v>
      </c>
      <c r="B54690" t="str">
        <f>HYPERLINK("https://lindat.mff.cuni.cz/services/teitok/pdtc10/index.php?action=vallex&amp;frame=v-w7734f1", "vstoupit (v-w7734f1)")</f>
        <v>vstoupit (v-w7734f1)</v>
      </c>
    </row>
    <row r="54691" spans="1:4" x14ac:dyDescent="0.2">
      <c r="B54691" t="s">
        <v>1</v>
      </c>
      <c r="C54691" t="s">
        <v>17277</v>
      </c>
      <c r="D54691" t="s">
        <v>24348</v>
      </c>
    </row>
    <row r="54692" spans="1:4" x14ac:dyDescent="0.2">
      <c r="B54692" t="s">
        <v>90</v>
      </c>
      <c r="C54692" t="s">
        <v>17278</v>
      </c>
      <c r="D54692" t="s">
        <v>23108</v>
      </c>
    </row>
    <row r="54694" spans="1:4" x14ac:dyDescent="0.2">
      <c r="A54694" t="s">
        <v>17279</v>
      </c>
      <c r="B54694" t="str">
        <f>HYPERLINK("https://lindat.mff.cuni.cz/services/teitok/pdtc10/index.php?action=vallex&amp;frame=v-w7734f3", "vstoupit (v-w7734f3)")</f>
        <v>vstoupit (v-w7734f3)</v>
      </c>
    </row>
    <row r="54695" spans="1:4" x14ac:dyDescent="0.2">
      <c r="B54695" t="s">
        <v>1</v>
      </c>
      <c r="C54695" t="s">
        <v>17280</v>
      </c>
      <c r="D54695" t="s">
        <v>23334</v>
      </c>
    </row>
    <row r="54696" spans="1:4" x14ac:dyDescent="0.2">
      <c r="B54696" t="s">
        <v>90</v>
      </c>
      <c r="C54696" t="s">
        <v>17281</v>
      </c>
      <c r="D54696" t="s">
        <v>23571</v>
      </c>
    </row>
    <row r="54698" spans="1:4" x14ac:dyDescent="0.2">
      <c r="A54698" t="s">
        <v>17282</v>
      </c>
      <c r="B54698" t="str">
        <f>HYPERLINK("https://lindat.mff.cuni.cz/services/teitok/pdtc10/index.php?action=vallex&amp;frame=v-w7734f2", "vstoupit (v-w7734f2)")</f>
        <v>vstoupit (v-w7734f2)</v>
      </c>
    </row>
    <row r="54699" spans="1:4" x14ac:dyDescent="0.2">
      <c r="B54699" t="s">
        <v>1</v>
      </c>
      <c r="C54699" t="s">
        <v>17283</v>
      </c>
      <c r="D54699" t="s">
        <v>23198</v>
      </c>
    </row>
    <row r="54700" spans="1:4" x14ac:dyDescent="0.2">
      <c r="B54700" t="s">
        <v>17284</v>
      </c>
      <c r="C54700" t="s">
        <v>17285</v>
      </c>
      <c r="D54700" t="s">
        <v>24326</v>
      </c>
    </row>
    <row r="54702" spans="1:4" x14ac:dyDescent="0.2">
      <c r="A54702" t="s">
        <v>17286</v>
      </c>
      <c r="B54702" t="str">
        <f>HYPERLINK("https://lindat.mff.cuni.cz/services/teitok/pdtc10/index.php?action=vallex&amp;frame=v-w7742f3", "vstupovat (v-w7742f3)")</f>
        <v>vstupovat (v-w7742f3)</v>
      </c>
    </row>
    <row r="54703" spans="1:4" x14ac:dyDescent="0.2">
      <c r="B54703" t="s">
        <v>1</v>
      </c>
    </row>
    <row r="54704" spans="1:4" x14ac:dyDescent="0.2">
      <c r="B54704" t="s">
        <v>817</v>
      </c>
    </row>
    <row r="54706" spans="1:4" x14ac:dyDescent="0.2">
      <c r="A54706" t="s">
        <v>17287</v>
      </c>
      <c r="B54706" t="str">
        <f>HYPERLINK("https://lindat.mff.cuni.cz/services/teitok/pdtc10/index.php?action=vallex&amp;frame=v-w7742f2", "vstupovat (v-w7742f2)")</f>
        <v>vstupovat (v-w7742f2)</v>
      </c>
    </row>
    <row r="54707" spans="1:4" x14ac:dyDescent="0.2">
      <c r="B54707" t="s">
        <v>1</v>
      </c>
      <c r="C54707" t="s">
        <v>17288</v>
      </c>
      <c r="D54707" t="s">
        <v>23107</v>
      </c>
    </row>
    <row r="54708" spans="1:4" x14ac:dyDescent="0.2">
      <c r="B54708" t="s">
        <v>205</v>
      </c>
      <c r="C54708" t="s">
        <v>17289</v>
      </c>
      <c r="D54708" t="s">
        <v>23108</v>
      </c>
    </row>
    <row r="54710" spans="1:4" x14ac:dyDescent="0.2">
      <c r="A54710" t="s">
        <v>17290</v>
      </c>
      <c r="B54710" t="str">
        <f>HYPERLINK("https://lindat.mff.cuni.cz/services/teitok/pdtc10/index.php?action=vallex&amp;frame=v-w7742f1", "vstupovat (v-w7742f1)")</f>
        <v>vstupovat (v-w7742f1)</v>
      </c>
    </row>
    <row r="54711" spans="1:4" x14ac:dyDescent="0.2">
      <c r="B54711" t="s">
        <v>1</v>
      </c>
      <c r="C54711" t="s">
        <v>17291</v>
      </c>
      <c r="D54711" t="s">
        <v>24349</v>
      </c>
    </row>
    <row r="54712" spans="1:4" x14ac:dyDescent="0.2">
      <c r="B54712" t="s">
        <v>90</v>
      </c>
      <c r="C54712" t="s">
        <v>17292</v>
      </c>
      <c r="D54712" t="s">
        <v>24350</v>
      </c>
    </row>
    <row r="54714" spans="1:4" x14ac:dyDescent="0.2">
      <c r="A54714" t="s">
        <v>17293</v>
      </c>
      <c r="B54714" t="str">
        <f>HYPERLINK("https://lindat.mff.cuni.cz/services/teitok/pdtc10/index.php?action=vallex&amp;frame=v-w7742f4", "vstupovat (v-w7742f4)")</f>
        <v>vstupovat (v-w7742f4)</v>
      </c>
    </row>
    <row r="54715" spans="1:4" x14ac:dyDescent="0.2">
      <c r="B54715" t="s">
        <v>1</v>
      </c>
      <c r="C54715" t="s">
        <v>7509</v>
      </c>
      <c r="D54715" t="s">
        <v>23334</v>
      </c>
    </row>
    <row r="54716" spans="1:4" x14ac:dyDescent="0.2">
      <c r="B54716" t="s">
        <v>90</v>
      </c>
      <c r="C54716" t="s">
        <v>16957</v>
      </c>
      <c r="D54716" t="s">
        <v>23571</v>
      </c>
    </row>
    <row r="54718" spans="1:4" x14ac:dyDescent="0.2">
      <c r="A54718" t="s">
        <v>17294</v>
      </c>
      <c r="B54718" t="str">
        <f>HYPERLINK("https://lindat.mff.cuni.cz/services/teitok/pdtc10/index.php?action=vallex&amp;frame=v-w7742f5", "vstupovat (v-w7742f5)")</f>
        <v>vstupovat (v-w7742f5)</v>
      </c>
    </row>
    <row r="54719" spans="1:4" x14ac:dyDescent="0.2">
      <c r="B54719" t="s">
        <v>1</v>
      </c>
      <c r="D54719" t="s">
        <v>23198</v>
      </c>
    </row>
    <row r="54720" spans="1:4" x14ac:dyDescent="0.2">
      <c r="B54720" t="s">
        <v>17284</v>
      </c>
      <c r="D54720" t="s">
        <v>24326</v>
      </c>
    </row>
    <row r="54722" spans="1:3" x14ac:dyDescent="0.2">
      <c r="A54722" t="s">
        <v>17295</v>
      </c>
      <c r="B54722" t="str">
        <f>HYPERLINK("https://lindat.mff.cuni.cz/services/teitok/pdtc10/index.php?action=vallex&amp;frame=v-w7731f1", "vstát (v-w7731f1)")</f>
        <v>vstát (v-w7731f1)</v>
      </c>
    </row>
    <row r="54723" spans="1:3" x14ac:dyDescent="0.2">
      <c r="B54723" t="s">
        <v>1</v>
      </c>
      <c r="C54723" t="s">
        <v>17296</v>
      </c>
    </row>
    <row r="54725" spans="1:3" x14ac:dyDescent="0.2">
      <c r="A54725" t="s">
        <v>17297</v>
      </c>
      <c r="B54725" t="str">
        <f>HYPERLINK("https://lindat.mff.cuni.cz/services/teitok/pdtc10/index.php?action=vallex&amp;frame=v-w7731f2_ZU", "vstát (v-w7731f2_ZU)")</f>
        <v>vstát (v-w7731f2_ZU)</v>
      </c>
    </row>
    <row r="54726" spans="1:3" x14ac:dyDescent="0.2">
      <c r="B54726" t="s">
        <v>1</v>
      </c>
      <c r="C54726" t="s">
        <v>4529</v>
      </c>
    </row>
    <row r="54728" spans="1:3" x14ac:dyDescent="0.2">
      <c r="A54728" t="s">
        <v>17298</v>
      </c>
      <c r="B54728" t="str">
        <f>HYPERLINK("https://lindat.mff.cuni.cz/services/teitok/pdtc10/index.php?action=vallex&amp;frame=v-w7733f1", "vstávat (v-w7733f1)")</f>
        <v>vstávat (v-w7733f1)</v>
      </c>
    </row>
    <row r="54729" spans="1:3" x14ac:dyDescent="0.2">
      <c r="B54729" t="s">
        <v>1</v>
      </c>
      <c r="C54729" t="s">
        <v>186</v>
      </c>
    </row>
    <row r="54731" spans="1:3" x14ac:dyDescent="0.2">
      <c r="A54731" t="s">
        <v>17299</v>
      </c>
      <c r="B54731" t="str">
        <f>HYPERLINK("https://lindat.mff.cuni.cz/services/teitok/pdtc10/index.php?action=vallex&amp;frame=v-w7733f2", "vstávat (v-w7733f2)")</f>
        <v>vstávat (v-w7733f2)</v>
      </c>
    </row>
    <row r="54732" spans="1:3" x14ac:dyDescent="0.2">
      <c r="B54732" t="s">
        <v>1</v>
      </c>
    </row>
    <row r="54734" spans="1:3" x14ac:dyDescent="0.2">
      <c r="A54734" t="s">
        <v>17300</v>
      </c>
      <c r="B54734" t="str">
        <f>HYPERLINK("https://lindat.mff.cuni.cz/services/teitok/pdtc10/index.php?action=vallex&amp;frame=v-w7733f4_ZU", "vstávat (v-w7733f4_ZU)")</f>
        <v>vstávat (v-w7733f4_ZU)</v>
      </c>
    </row>
    <row r="54735" spans="1:3" x14ac:dyDescent="0.2">
      <c r="B54735" t="s">
        <v>17301</v>
      </c>
    </row>
    <row r="54736" spans="1:3" x14ac:dyDescent="0.2">
      <c r="B54736" t="s">
        <v>455</v>
      </c>
    </row>
    <row r="54737" spans="1:4" x14ac:dyDescent="0.2">
      <c r="B54737" t="s">
        <v>438</v>
      </c>
    </row>
    <row r="54739" spans="1:4" x14ac:dyDescent="0.2">
      <c r="A54739" t="s">
        <v>17300</v>
      </c>
      <c r="B54739" t="str">
        <f>HYPERLINK("https://lindat.mff.cuni.cz/services/teitok/pdtc10/index.php?action=vallex&amp;frame=v-w7733f3_ZU", "vstávat (v-w7733f3_ZU) - substituted with v-w7733f4_ZU")</f>
        <v>vstávat (v-w7733f3_ZU) - substituted with v-w7733f4_ZU</v>
      </c>
    </row>
    <row r="54740" spans="1:4" x14ac:dyDescent="0.2">
      <c r="B54740" t="s">
        <v>17301</v>
      </c>
    </row>
    <row r="54741" spans="1:4" x14ac:dyDescent="0.2">
      <c r="B54741" t="s">
        <v>455</v>
      </c>
    </row>
    <row r="54742" spans="1:4" x14ac:dyDescent="0.2">
      <c r="B54742" t="s">
        <v>438</v>
      </c>
    </row>
    <row r="54744" spans="1:4" x14ac:dyDescent="0.2">
      <c r="A54744" t="s">
        <v>17302</v>
      </c>
      <c r="B54744" t="str">
        <f>HYPERLINK("https://lindat.mff.cuni.cz/services/teitok/pdtc10/index.php?action=vallex&amp;frame=v-w7735f1", "vstřebat (v-w7735f1)")</f>
        <v>vstřebat (v-w7735f1)</v>
      </c>
    </row>
    <row r="54745" spans="1:4" x14ac:dyDescent="0.2">
      <c r="B54745" t="s">
        <v>1</v>
      </c>
      <c r="C54745" t="s">
        <v>990</v>
      </c>
      <c r="D54745" t="s">
        <v>967</v>
      </c>
    </row>
    <row r="54746" spans="1:4" x14ac:dyDescent="0.2">
      <c r="B54746" t="s">
        <v>124</v>
      </c>
      <c r="C54746" t="s">
        <v>116</v>
      </c>
      <c r="D54746" t="s">
        <v>5674</v>
      </c>
    </row>
    <row r="54748" spans="1:4" x14ac:dyDescent="0.2">
      <c r="A54748" t="s">
        <v>17303</v>
      </c>
      <c r="B54748" t="str">
        <f>HYPERLINK("https://lindat.mff.cuni.cz/services/teitok/pdtc10/index.php?action=vallex&amp;frame=v-w7737f1", "vstřebávat (v-w7737f1)")</f>
        <v>vstřebávat (v-w7737f1)</v>
      </c>
    </row>
    <row r="54749" spans="1:4" x14ac:dyDescent="0.2">
      <c r="B54749" t="s">
        <v>1</v>
      </c>
      <c r="D54749" t="s">
        <v>967</v>
      </c>
    </row>
    <row r="54750" spans="1:4" x14ac:dyDescent="0.2">
      <c r="B54750" t="s">
        <v>124</v>
      </c>
      <c r="D54750" t="s">
        <v>5674</v>
      </c>
    </row>
    <row r="54752" spans="1:4" x14ac:dyDescent="0.2">
      <c r="A54752" t="s">
        <v>17304</v>
      </c>
      <c r="B54752" t="str">
        <f>HYPERLINK("https://lindat.mff.cuni.cz/services/teitok/pdtc10/index.php?action=vallex&amp;frame=v-w7739f1", "vstřelit (v-w7739f1)")</f>
        <v>vstřelit (v-w7739f1)</v>
      </c>
    </row>
    <row r="54753" spans="1:3" x14ac:dyDescent="0.2">
      <c r="B54753" t="s">
        <v>1</v>
      </c>
    </row>
    <row r="54754" spans="1:3" x14ac:dyDescent="0.2">
      <c r="B54754" t="s">
        <v>8</v>
      </c>
    </row>
    <row r="54755" spans="1:3" x14ac:dyDescent="0.2">
      <c r="B54755" t="s">
        <v>78</v>
      </c>
    </row>
    <row r="54757" spans="1:3" x14ac:dyDescent="0.2">
      <c r="A54757" t="s">
        <v>17305</v>
      </c>
      <c r="B54757" t="str">
        <f>HYPERLINK("https://lindat.mff.cuni.cz/services/teitok/pdtc10/index.php?action=vallex&amp;frame=v-whsa_404f1_ZU", "vstřikovat (v-whsa_404f1_ZU)")</f>
        <v>vstřikovat (v-whsa_404f1_ZU)</v>
      </c>
    </row>
    <row r="54758" spans="1:3" x14ac:dyDescent="0.2">
      <c r="B54758" t="s">
        <v>1</v>
      </c>
      <c r="C54758" t="s">
        <v>11098</v>
      </c>
    </row>
    <row r="54759" spans="1:3" x14ac:dyDescent="0.2">
      <c r="B54759" t="s">
        <v>8</v>
      </c>
      <c r="C54759" t="s">
        <v>6651</v>
      </c>
    </row>
    <row r="54760" spans="1:3" x14ac:dyDescent="0.2">
      <c r="B54760" t="s">
        <v>90</v>
      </c>
    </row>
    <row r="54762" spans="1:3" x14ac:dyDescent="0.2">
      <c r="A54762" t="s">
        <v>17305</v>
      </c>
      <c r="B54762" t="str">
        <f>HYPERLINK("https://lindat.mff.cuni.cz/services/teitok/pdtc10/index.php?action=vallex&amp;frame=v-whsa_404hsa_405", "vstřikovat (v-whsa_404hsa_405) - substituted with v-whsa_404f1_ZU")</f>
        <v>vstřikovat (v-whsa_404hsa_405) - substituted with v-whsa_404f1_ZU</v>
      </c>
    </row>
    <row r="54763" spans="1:3" x14ac:dyDescent="0.2">
      <c r="B54763" t="s">
        <v>1</v>
      </c>
    </row>
    <row r="54764" spans="1:3" x14ac:dyDescent="0.2">
      <c r="B54764" t="s">
        <v>8</v>
      </c>
    </row>
    <row r="54765" spans="1:3" x14ac:dyDescent="0.2">
      <c r="B54765" t="s">
        <v>90</v>
      </c>
    </row>
    <row r="54767" spans="1:3" x14ac:dyDescent="0.2">
      <c r="A54767" t="s">
        <v>17306</v>
      </c>
      <c r="B54767" t="str">
        <f>HYPERLINK("https://lindat.mff.cuni.cz/services/teitok/pdtc10/index.php?action=vallex&amp;frame=v-w12206_ZUf1_ZU", "vstříknout (v-w12206_ZUf1_ZU)")</f>
        <v>vstříknout (v-w12206_ZUf1_ZU)</v>
      </c>
    </row>
    <row r="54768" spans="1:3" x14ac:dyDescent="0.2">
      <c r="B54768" t="s">
        <v>1</v>
      </c>
    </row>
    <row r="54769" spans="1:4" x14ac:dyDescent="0.2">
      <c r="B54769" t="s">
        <v>8</v>
      </c>
    </row>
    <row r="54770" spans="1:4" x14ac:dyDescent="0.2">
      <c r="B54770" t="s">
        <v>90</v>
      </c>
    </row>
    <row r="54772" spans="1:4" x14ac:dyDescent="0.2">
      <c r="A54772" t="s">
        <v>17307</v>
      </c>
      <c r="B54772" t="str">
        <f>HYPERLINK("https://lindat.mff.cuni.cz/services/teitok/pdtc10/index.php?action=vallex&amp;frame=v-whsa_373f1_ZU", "vsunout (v-whsa_373f1_ZU)")</f>
        <v>vsunout (v-whsa_373f1_ZU)</v>
      </c>
    </row>
    <row r="54773" spans="1:4" x14ac:dyDescent="0.2">
      <c r="B54773" t="s">
        <v>1</v>
      </c>
      <c r="D54773" t="s">
        <v>23181</v>
      </c>
    </row>
    <row r="54774" spans="1:4" x14ac:dyDescent="0.2">
      <c r="B54774" t="s">
        <v>8</v>
      </c>
      <c r="C54774" t="s">
        <v>113</v>
      </c>
      <c r="D54774" t="s">
        <v>23182</v>
      </c>
    </row>
    <row r="54775" spans="1:4" x14ac:dyDescent="0.2">
      <c r="B54775" t="s">
        <v>90</v>
      </c>
      <c r="D54775" t="s">
        <v>11579</v>
      </c>
    </row>
    <row r="54777" spans="1:4" x14ac:dyDescent="0.2">
      <c r="A54777" t="s">
        <v>17307</v>
      </c>
      <c r="B54777" t="str">
        <f>HYPERLINK("https://lindat.mff.cuni.cz/services/teitok/pdtc10/index.php?action=vallex&amp;frame=v-whsa_373hsa_374", "vsunout (v-whsa_373hsa_374) - substituted with v-whsa_373f1_ZU")</f>
        <v>vsunout (v-whsa_373hsa_374) - substituted with v-whsa_373f1_ZU</v>
      </c>
    </row>
    <row r="54778" spans="1:4" x14ac:dyDescent="0.2">
      <c r="B54778" t="s">
        <v>1</v>
      </c>
    </row>
    <row r="54779" spans="1:4" x14ac:dyDescent="0.2">
      <c r="B54779" t="s">
        <v>8</v>
      </c>
    </row>
    <row r="54780" spans="1:4" x14ac:dyDescent="0.2">
      <c r="B54780" t="s">
        <v>90</v>
      </c>
    </row>
    <row r="54782" spans="1:4" x14ac:dyDescent="0.2">
      <c r="A54782" t="s">
        <v>17308</v>
      </c>
      <c r="B54782" t="str">
        <f>HYPERLINK("https://lindat.mff.cuni.cz/services/teitok/pdtc10/index.php?action=vallex&amp;frame=v-w10071f2", "vsázet (v-w10071f2)")</f>
        <v>vsázet (v-w10071f2)</v>
      </c>
    </row>
    <row r="54783" spans="1:4" x14ac:dyDescent="0.2">
      <c r="B54783" t="s">
        <v>1</v>
      </c>
      <c r="C54783" t="s">
        <v>249</v>
      </c>
      <c r="D54783" t="s">
        <v>1065</v>
      </c>
    </row>
    <row r="54784" spans="1:4" x14ac:dyDescent="0.2">
      <c r="B54784" t="s">
        <v>28</v>
      </c>
      <c r="C54784" t="s">
        <v>34</v>
      </c>
      <c r="D54784" t="s">
        <v>5518</v>
      </c>
    </row>
    <row r="54786" spans="1:4" x14ac:dyDescent="0.2">
      <c r="A54786" t="s">
        <v>17309</v>
      </c>
      <c r="B54786" t="str">
        <f>HYPERLINK("https://lindat.mff.cuni.cz/services/teitok/pdtc10/index.php?action=vallex&amp;frame=v-w11234f1", "vsázet se (v-w11234f1)")</f>
        <v>vsázet se (v-w11234f1)</v>
      </c>
    </row>
    <row r="54787" spans="1:4" x14ac:dyDescent="0.2">
      <c r="B54787" t="s">
        <v>1</v>
      </c>
    </row>
    <row r="54788" spans="1:4" x14ac:dyDescent="0.2">
      <c r="B54788" t="s">
        <v>14940</v>
      </c>
    </row>
    <row r="54789" spans="1:4" x14ac:dyDescent="0.2">
      <c r="B54789" t="s">
        <v>2328</v>
      </c>
    </row>
    <row r="54791" spans="1:4" x14ac:dyDescent="0.2">
      <c r="A54791" t="s">
        <v>17310</v>
      </c>
      <c r="B54791" t="str">
        <f>HYPERLINK("https://lindat.mff.cuni.cz/services/teitok/pdtc10/index.php?action=vallex&amp;frame=v-w7730f1", "vsítit (v-w7730f1)")</f>
        <v>vsítit (v-w7730f1)</v>
      </c>
    </row>
    <row r="54792" spans="1:4" x14ac:dyDescent="0.2">
      <c r="B54792" t="s">
        <v>1</v>
      </c>
    </row>
    <row r="54793" spans="1:4" x14ac:dyDescent="0.2">
      <c r="B54793" t="s">
        <v>8</v>
      </c>
    </row>
    <row r="54794" spans="1:4" x14ac:dyDescent="0.2">
      <c r="B54794" t="s">
        <v>78</v>
      </c>
    </row>
    <row r="54796" spans="1:4" x14ac:dyDescent="0.2">
      <c r="A54796" t="s">
        <v>17311</v>
      </c>
      <c r="B54796" t="str">
        <f>HYPERLINK("https://lindat.mff.cuni.cz/services/teitok/pdtc10/index.php?action=vallex&amp;frame=v-w7748f2", "vtahovat (v-w7748f2)")</f>
        <v>vtahovat (v-w7748f2)</v>
      </c>
    </row>
    <row r="54797" spans="1:4" x14ac:dyDescent="0.2">
      <c r="B54797" t="s">
        <v>1</v>
      </c>
      <c r="D54797" t="s">
        <v>13976</v>
      </c>
    </row>
    <row r="54798" spans="1:4" x14ac:dyDescent="0.2">
      <c r="B54798" t="s">
        <v>8</v>
      </c>
      <c r="D54798" t="s">
        <v>10414</v>
      </c>
    </row>
    <row r="54799" spans="1:4" x14ac:dyDescent="0.2">
      <c r="B54799" t="s">
        <v>205</v>
      </c>
      <c r="D54799" t="s">
        <v>23197</v>
      </c>
    </row>
    <row r="54801" spans="1:4" x14ac:dyDescent="0.2">
      <c r="A54801" t="s">
        <v>17312</v>
      </c>
      <c r="B54801" t="str">
        <f>HYPERLINK("https://lindat.mff.cuni.cz/services/teitok/pdtc10/index.php?action=vallex&amp;frame=v-w7748f1", "vtahovat (v-w7748f1)")</f>
        <v>vtahovat (v-w7748f1)</v>
      </c>
    </row>
    <row r="54802" spans="1:4" x14ac:dyDescent="0.2">
      <c r="B54802" t="s">
        <v>1</v>
      </c>
    </row>
    <row r="54803" spans="1:4" x14ac:dyDescent="0.2">
      <c r="B54803" t="s">
        <v>8</v>
      </c>
    </row>
    <row r="54804" spans="1:4" x14ac:dyDescent="0.2">
      <c r="B54804" t="s">
        <v>90</v>
      </c>
    </row>
    <row r="54806" spans="1:4" x14ac:dyDescent="0.2">
      <c r="A54806" t="s">
        <v>17313</v>
      </c>
      <c r="B54806" t="str">
        <f>HYPERLINK("https://lindat.mff.cuni.cz/services/teitok/pdtc10/index.php?action=vallex&amp;frame=v-w7755f1", "vtipkovat (v-w7755f1)")</f>
        <v>vtipkovat (v-w7755f1)</v>
      </c>
    </row>
    <row r="54807" spans="1:4" x14ac:dyDescent="0.2">
      <c r="B54807" t="s">
        <v>1</v>
      </c>
      <c r="C54807" t="s">
        <v>990</v>
      </c>
      <c r="D54807" t="s">
        <v>990</v>
      </c>
    </row>
    <row r="54808" spans="1:4" x14ac:dyDescent="0.2">
      <c r="B54808" t="s">
        <v>17314</v>
      </c>
      <c r="C54808" t="s">
        <v>17315</v>
      </c>
      <c r="D54808" t="s">
        <v>17315</v>
      </c>
    </row>
    <row r="54809" spans="1:4" x14ac:dyDescent="0.2">
      <c r="B54809" t="s">
        <v>2328</v>
      </c>
    </row>
    <row r="54811" spans="1:4" x14ac:dyDescent="0.2">
      <c r="A54811" t="s">
        <v>17316</v>
      </c>
      <c r="B54811" t="str">
        <f>HYPERLINK("https://lindat.mff.cuni.cz/services/teitok/pdtc10/index.php?action=vallex&amp;frame=v-w7758f2", "vtisknout (v-w7758f2)")</f>
        <v>vtisknout (v-w7758f2)</v>
      </c>
    </row>
    <row r="54812" spans="1:4" x14ac:dyDescent="0.2">
      <c r="B54812" t="s">
        <v>1</v>
      </c>
      <c r="C54812" t="s">
        <v>7589</v>
      </c>
    </row>
    <row r="54813" spans="1:4" x14ac:dyDescent="0.2">
      <c r="B54813" t="s">
        <v>8</v>
      </c>
    </row>
    <row r="54814" spans="1:4" x14ac:dyDescent="0.2">
      <c r="B54814" t="s">
        <v>35</v>
      </c>
      <c r="C54814" t="s">
        <v>17317</v>
      </c>
    </row>
    <row r="54816" spans="1:4" x14ac:dyDescent="0.2">
      <c r="A54816" t="s">
        <v>17318</v>
      </c>
      <c r="B54816" t="str">
        <f>HYPERLINK("https://lindat.mff.cuni.cz/services/teitok/pdtc10/index.php?action=vallex&amp;frame=v-w7758f1", "vtisknout (v-w7758f1)")</f>
        <v>vtisknout (v-w7758f1)</v>
      </c>
    </row>
    <row r="54817" spans="1:2" x14ac:dyDescent="0.2">
      <c r="B54817" t="s">
        <v>1</v>
      </c>
    </row>
    <row r="54818" spans="1:2" x14ac:dyDescent="0.2">
      <c r="B54818" t="s">
        <v>8</v>
      </c>
    </row>
    <row r="54819" spans="1:2" x14ac:dyDescent="0.2">
      <c r="B54819" t="s">
        <v>90</v>
      </c>
    </row>
    <row r="54821" spans="1:2" x14ac:dyDescent="0.2">
      <c r="A54821" t="s">
        <v>17319</v>
      </c>
      <c r="B54821" t="str">
        <f>HYPERLINK("https://lindat.mff.cuni.cz/services/teitok/pdtc10/index.php?action=vallex&amp;frame=v-w7759f2", "vtiskovat (v-w7759f2)")</f>
        <v>vtiskovat (v-w7759f2)</v>
      </c>
    </row>
    <row r="54822" spans="1:2" x14ac:dyDescent="0.2">
      <c r="B54822" t="s">
        <v>1</v>
      </c>
    </row>
    <row r="54823" spans="1:2" x14ac:dyDescent="0.2">
      <c r="B54823" t="s">
        <v>1921</v>
      </c>
    </row>
    <row r="54824" spans="1:2" x14ac:dyDescent="0.2">
      <c r="B54824" t="s">
        <v>35</v>
      </c>
    </row>
    <row r="54826" spans="1:2" x14ac:dyDescent="0.2">
      <c r="A54826" t="s">
        <v>17320</v>
      </c>
      <c r="B54826" t="str">
        <f>HYPERLINK("https://lindat.mff.cuni.cz/services/teitok/pdtc10/index.php?action=vallex&amp;frame=v-w7759f1", "vtiskovat (v-w7759f1)")</f>
        <v>vtiskovat (v-w7759f1)</v>
      </c>
    </row>
    <row r="54827" spans="1:2" x14ac:dyDescent="0.2">
      <c r="B54827" t="s">
        <v>1</v>
      </c>
    </row>
    <row r="54828" spans="1:2" x14ac:dyDescent="0.2">
      <c r="B54828" t="s">
        <v>8</v>
      </c>
    </row>
    <row r="54829" spans="1:2" x14ac:dyDescent="0.2">
      <c r="B54829" t="s">
        <v>90</v>
      </c>
    </row>
    <row r="54831" spans="1:2" x14ac:dyDescent="0.2">
      <c r="A54831" t="s">
        <v>17321</v>
      </c>
      <c r="B54831" t="str">
        <f>HYPERLINK("https://lindat.mff.cuni.cz/services/teitok/pdtc10/index.php?action=vallex&amp;frame=v-w7760f1", "vtlačit (v-w7760f1)")</f>
        <v>vtlačit (v-w7760f1)</v>
      </c>
    </row>
    <row r="54832" spans="1:2" x14ac:dyDescent="0.2">
      <c r="B54832" t="s">
        <v>1</v>
      </c>
    </row>
    <row r="54833" spans="1:4" x14ac:dyDescent="0.2">
      <c r="B54833" t="s">
        <v>8</v>
      </c>
    </row>
    <row r="54834" spans="1:4" x14ac:dyDescent="0.2">
      <c r="B54834" t="s">
        <v>90</v>
      </c>
    </row>
    <row r="54836" spans="1:4" x14ac:dyDescent="0.2">
      <c r="A54836" t="s">
        <v>17322</v>
      </c>
      <c r="B54836" t="str">
        <f>HYPERLINK("https://lindat.mff.cuni.cz/services/teitok/pdtc10/index.php?action=vallex&amp;frame=v-w10883f2", "vtlačovat (v-w10883f2)")</f>
        <v>vtlačovat (v-w10883f2)</v>
      </c>
    </row>
    <row r="54837" spans="1:4" x14ac:dyDescent="0.2">
      <c r="B54837" t="s">
        <v>1</v>
      </c>
    </row>
    <row r="54838" spans="1:4" x14ac:dyDescent="0.2">
      <c r="B54838" t="s">
        <v>8</v>
      </c>
    </row>
    <row r="54839" spans="1:4" x14ac:dyDescent="0.2">
      <c r="B54839" t="s">
        <v>90</v>
      </c>
    </row>
    <row r="54841" spans="1:4" x14ac:dyDescent="0.2">
      <c r="A54841" t="s">
        <v>17323</v>
      </c>
      <c r="B54841" t="str">
        <f>HYPERLINK("https://lindat.mff.cuni.cz/services/teitok/pdtc10/index.php?action=vallex&amp;frame=v-w7761f1", "vtrhnout (v-w7761f1)")</f>
        <v>vtrhnout (v-w7761f1)</v>
      </c>
    </row>
    <row r="54842" spans="1:4" x14ac:dyDescent="0.2">
      <c r="B54842" t="s">
        <v>1</v>
      </c>
      <c r="C54842" t="s">
        <v>17324</v>
      </c>
      <c r="D54842" t="s">
        <v>373</v>
      </c>
    </row>
    <row r="54843" spans="1:4" x14ac:dyDescent="0.2">
      <c r="B54843" t="s">
        <v>90</v>
      </c>
      <c r="C54843" t="s">
        <v>10652</v>
      </c>
      <c r="D54843" t="s">
        <v>10652</v>
      </c>
    </row>
    <row r="54845" spans="1:4" x14ac:dyDescent="0.2">
      <c r="A54845" t="s">
        <v>17325</v>
      </c>
      <c r="B54845" t="str">
        <f>HYPERLINK("https://lindat.mff.cuni.cz/services/teitok/pdtc10/index.php?action=vallex&amp;frame=v-w10469f2", "vtrhávat (v-w10469f2)")</f>
        <v>vtrhávat (v-w10469f2)</v>
      </c>
    </row>
    <row r="54846" spans="1:4" x14ac:dyDescent="0.2">
      <c r="B54846" t="s">
        <v>1</v>
      </c>
      <c r="C54846" t="s">
        <v>3303</v>
      </c>
      <c r="D54846" t="s">
        <v>3742</v>
      </c>
    </row>
    <row r="54847" spans="1:4" x14ac:dyDescent="0.2">
      <c r="B54847" t="s">
        <v>90</v>
      </c>
    </row>
    <row r="54849" spans="1:4" x14ac:dyDescent="0.2">
      <c r="A54849" t="s">
        <v>17326</v>
      </c>
      <c r="B54849" t="str">
        <f>HYPERLINK("https://lindat.mff.cuni.cz/services/teitok/pdtc10/index.php?action=vallex&amp;frame=v-w7747f1", "vtáhnout (v-w7747f1)")</f>
        <v>vtáhnout (v-w7747f1)</v>
      </c>
    </row>
    <row r="54850" spans="1:4" x14ac:dyDescent="0.2">
      <c r="B54850" t="s">
        <v>1</v>
      </c>
      <c r="C54850" t="s">
        <v>3064</v>
      </c>
      <c r="D54850" t="s">
        <v>13976</v>
      </c>
    </row>
    <row r="54851" spans="1:4" x14ac:dyDescent="0.2">
      <c r="B54851" t="s">
        <v>8</v>
      </c>
      <c r="C54851" t="s">
        <v>3598</v>
      </c>
      <c r="D54851" t="s">
        <v>10414</v>
      </c>
    </row>
    <row r="54852" spans="1:4" x14ac:dyDescent="0.2">
      <c r="B54852" t="s">
        <v>205</v>
      </c>
      <c r="D54852" t="s">
        <v>23197</v>
      </c>
    </row>
    <row r="54854" spans="1:4" x14ac:dyDescent="0.2">
      <c r="A54854" t="s">
        <v>17327</v>
      </c>
      <c r="B54854" t="str">
        <f>HYPERLINK("https://lindat.mff.cuni.cz/services/teitok/pdtc10/index.php?action=vallex&amp;frame=v-w7747f2", "vtáhnout (v-w7747f2)")</f>
        <v>vtáhnout (v-w7747f2)</v>
      </c>
    </row>
    <row r="54855" spans="1:4" x14ac:dyDescent="0.2">
      <c r="B54855" t="s">
        <v>1</v>
      </c>
      <c r="C54855" t="s">
        <v>133</v>
      </c>
    </row>
    <row r="54856" spans="1:4" x14ac:dyDescent="0.2">
      <c r="B54856" t="s">
        <v>8</v>
      </c>
      <c r="C54856" t="s">
        <v>335</v>
      </c>
    </row>
    <row r="54857" spans="1:4" x14ac:dyDescent="0.2">
      <c r="B54857" t="s">
        <v>90</v>
      </c>
    </row>
    <row r="54859" spans="1:4" x14ac:dyDescent="0.2">
      <c r="A54859" t="s">
        <v>17328</v>
      </c>
      <c r="B54859" t="str">
        <f>HYPERLINK("https://lindat.mff.cuni.cz/services/teitok/pdtc10/index.php?action=vallex&amp;frame=v-w7757f1", "vtírat se (v-w7757f1)")</f>
        <v>vtírat se (v-w7757f1)</v>
      </c>
    </row>
    <row r="54860" spans="1:4" x14ac:dyDescent="0.2">
      <c r="B54860" t="s">
        <v>1</v>
      </c>
    </row>
    <row r="54861" spans="1:4" x14ac:dyDescent="0.2">
      <c r="B54861" t="s">
        <v>90</v>
      </c>
    </row>
    <row r="54863" spans="1:4" x14ac:dyDescent="0.2">
      <c r="A54863" t="s">
        <v>17329</v>
      </c>
      <c r="B54863" t="str">
        <f>HYPERLINK("https://lindat.mff.cuni.cz/services/teitok/pdtc10/index.php?action=vallex&amp;frame=v-w7752f1", "vtělit (v-w7752f1)")</f>
        <v>vtělit (v-w7752f1)</v>
      </c>
    </row>
    <row r="54864" spans="1:4" x14ac:dyDescent="0.2">
      <c r="B54864" t="s">
        <v>1</v>
      </c>
      <c r="D54864" t="s">
        <v>24351</v>
      </c>
    </row>
    <row r="54865" spans="1:4" x14ac:dyDescent="0.2">
      <c r="B54865" t="s">
        <v>8</v>
      </c>
      <c r="D54865" t="s">
        <v>24352</v>
      </c>
    </row>
    <row r="54866" spans="1:4" x14ac:dyDescent="0.2">
      <c r="B54866" t="s">
        <v>90</v>
      </c>
      <c r="D54866" t="s">
        <v>24328</v>
      </c>
    </row>
    <row r="54868" spans="1:4" x14ac:dyDescent="0.2">
      <c r="A54868" t="s">
        <v>17330</v>
      </c>
      <c r="B54868" t="str">
        <f>HYPERLINK("https://lindat.mff.cuni.cz/services/teitok/pdtc10/index.php?action=vallex&amp;frame=v-w7753f1", "vtěsnat (v-w7753f1)")</f>
        <v>vtěsnat (v-w7753f1)</v>
      </c>
    </row>
    <row r="54869" spans="1:4" x14ac:dyDescent="0.2">
      <c r="B54869" t="s">
        <v>1</v>
      </c>
    </row>
    <row r="54870" spans="1:4" x14ac:dyDescent="0.2">
      <c r="B54870" t="s">
        <v>8</v>
      </c>
    </row>
    <row r="54871" spans="1:4" x14ac:dyDescent="0.2">
      <c r="B54871" t="s">
        <v>90</v>
      </c>
    </row>
    <row r="54873" spans="1:4" x14ac:dyDescent="0.2">
      <c r="A54873" t="s">
        <v>17331</v>
      </c>
      <c r="B54873" t="str">
        <f>HYPERLINK("https://lindat.mff.cuni.cz/services/teitok/pdtc10/index.php?action=vallex&amp;frame=v-w12309_MMf1_MM", "vtěsnat se (v-w12309_MMf1_MM)")</f>
        <v>vtěsnat se (v-w12309_MMf1_MM)</v>
      </c>
    </row>
    <row r="54874" spans="1:4" x14ac:dyDescent="0.2">
      <c r="B54874" t="s">
        <v>1</v>
      </c>
    </row>
    <row r="54875" spans="1:4" x14ac:dyDescent="0.2">
      <c r="B54875" t="s">
        <v>90</v>
      </c>
    </row>
    <row r="54877" spans="1:4" x14ac:dyDescent="0.2">
      <c r="A54877" t="s">
        <v>17332</v>
      </c>
      <c r="B54877" t="str">
        <f>HYPERLINK("https://lindat.mff.cuni.cz/services/teitok/pdtc10/index.php?action=vallex&amp;frame=v-w10464f2", "vybalancovat (v-w10464f2)")</f>
        <v>vybalancovat (v-w10464f2)</v>
      </c>
    </row>
    <row r="54878" spans="1:4" x14ac:dyDescent="0.2">
      <c r="B54878" t="s">
        <v>1</v>
      </c>
      <c r="D54878" t="s">
        <v>83</v>
      </c>
    </row>
    <row r="54879" spans="1:4" x14ac:dyDescent="0.2">
      <c r="B54879" t="s">
        <v>8</v>
      </c>
      <c r="D54879" t="s">
        <v>2235</v>
      </c>
    </row>
    <row r="54881" spans="1:2" x14ac:dyDescent="0.2">
      <c r="A54881" t="s">
        <v>17333</v>
      </c>
      <c r="B54881" t="str">
        <f>HYPERLINK("https://lindat.mff.cuni.cz/services/teitok/pdtc10/index.php?action=vallex&amp;frame=v-w11893_ZUf1_ZU", "vybalit (v-w11893_ZUf1_ZU)")</f>
        <v>vybalit (v-w11893_ZUf1_ZU)</v>
      </c>
    </row>
    <row r="54882" spans="1:2" x14ac:dyDescent="0.2">
      <c r="B54882" t="s">
        <v>1</v>
      </c>
    </row>
    <row r="54883" spans="1:2" x14ac:dyDescent="0.2">
      <c r="B54883" t="s">
        <v>8</v>
      </c>
    </row>
    <row r="54885" spans="1:2" x14ac:dyDescent="0.2">
      <c r="A54885" t="s">
        <v>17334</v>
      </c>
      <c r="B54885" t="str">
        <f>HYPERLINK("https://lindat.mff.cuni.cz/services/teitok/pdtc10/index.php?action=vallex&amp;frame=v-whsa_1093hsa_1094", "vybalovat (v-whsa_1093hsa_1094)")</f>
        <v>vybalovat (v-whsa_1093hsa_1094)</v>
      </c>
    </row>
    <row r="54886" spans="1:2" x14ac:dyDescent="0.2">
      <c r="B54886" t="s">
        <v>1</v>
      </c>
    </row>
    <row r="54887" spans="1:2" x14ac:dyDescent="0.2">
      <c r="B54887" t="s">
        <v>8</v>
      </c>
    </row>
    <row r="54888" spans="1:2" x14ac:dyDescent="0.2">
      <c r="B54888" t="s">
        <v>333</v>
      </c>
    </row>
    <row r="54890" spans="1:2" x14ac:dyDescent="0.2">
      <c r="A54890" t="s">
        <v>17335</v>
      </c>
      <c r="B54890" t="str">
        <f>HYPERLINK("https://lindat.mff.cuni.cz/services/teitok/pdtc10/index.php?action=vallex&amp;frame=v-whsa_1093hsa_1095", "vybalovat (v-whsa_1093hsa_1095)")</f>
        <v>vybalovat (v-whsa_1093hsa_1095)</v>
      </c>
    </row>
    <row r="54891" spans="1:2" x14ac:dyDescent="0.2">
      <c r="B54891" t="s">
        <v>1</v>
      </c>
    </row>
    <row r="54892" spans="1:2" x14ac:dyDescent="0.2">
      <c r="B54892" t="s">
        <v>8</v>
      </c>
    </row>
    <row r="54894" spans="1:2" x14ac:dyDescent="0.2">
      <c r="A54894" t="s">
        <v>17336</v>
      </c>
      <c r="B54894" t="str">
        <f>HYPERLINK("https://lindat.mff.cuni.cz/services/teitok/pdtc10/index.php?action=vallex&amp;frame=v-w7765f1", "vybarvit (v-w7765f1)")</f>
        <v>vybarvit (v-w7765f1)</v>
      </c>
    </row>
    <row r="54895" spans="1:2" x14ac:dyDescent="0.2">
      <c r="B54895" t="s">
        <v>1</v>
      </c>
    </row>
    <row r="54896" spans="1:2" x14ac:dyDescent="0.2">
      <c r="B54896" t="s">
        <v>124</v>
      </c>
    </row>
    <row r="54897" spans="1:4" x14ac:dyDescent="0.2">
      <c r="B54897" t="s">
        <v>78</v>
      </c>
    </row>
    <row r="54899" spans="1:4" x14ac:dyDescent="0.2">
      <c r="A54899" t="s">
        <v>17337</v>
      </c>
      <c r="B54899" t="str">
        <f>HYPERLINK("https://lindat.mff.cuni.cz/services/teitok/pdtc10/index.php?action=vallex&amp;frame=v-w11774_ZUf1_ZU", "vybarvovat se (v-w11774_ZUf1_ZU)")</f>
        <v>vybarvovat se (v-w11774_ZUf1_ZU)</v>
      </c>
    </row>
    <row r="54900" spans="1:4" x14ac:dyDescent="0.2">
      <c r="B54900" t="s">
        <v>1</v>
      </c>
    </row>
    <row r="54902" spans="1:4" x14ac:dyDescent="0.2">
      <c r="A54902" t="s">
        <v>17338</v>
      </c>
      <c r="B54902" t="str">
        <f>HYPERLINK("https://lindat.mff.cuni.cz/services/teitok/pdtc10/index.php?action=vallex&amp;frame=v-w7768f1", "vybavit (v-w7768f1)")</f>
        <v>vybavit (v-w7768f1)</v>
      </c>
    </row>
    <row r="54903" spans="1:4" x14ac:dyDescent="0.2">
      <c r="B54903" t="s">
        <v>1</v>
      </c>
      <c r="C54903" t="s">
        <v>17339</v>
      </c>
      <c r="D54903" t="s">
        <v>23711</v>
      </c>
    </row>
    <row r="54904" spans="1:4" x14ac:dyDescent="0.2">
      <c r="B54904" t="s">
        <v>8</v>
      </c>
      <c r="C54904" t="s">
        <v>17340</v>
      </c>
      <c r="D54904" t="s">
        <v>23712</v>
      </c>
    </row>
    <row r="54905" spans="1:4" x14ac:dyDescent="0.2">
      <c r="B54905" t="s">
        <v>5479</v>
      </c>
      <c r="C54905" t="s">
        <v>16814</v>
      </c>
      <c r="D54905" t="s">
        <v>23713</v>
      </c>
    </row>
    <row r="54907" spans="1:4" x14ac:dyDescent="0.2">
      <c r="A54907" t="s">
        <v>17341</v>
      </c>
      <c r="B54907" t="str">
        <f>HYPERLINK("https://lindat.mff.cuni.cz/services/teitok/pdtc10/index.php?action=vallex&amp;frame=v-w7769f1", "vybavit se (v-w7769f1)")</f>
        <v>vybavit se (v-w7769f1)</v>
      </c>
    </row>
    <row r="54908" spans="1:4" x14ac:dyDescent="0.2">
      <c r="B54908" t="s">
        <v>455</v>
      </c>
    </row>
    <row r="54909" spans="1:4" x14ac:dyDescent="0.2">
      <c r="B54909" t="s">
        <v>12478</v>
      </c>
    </row>
    <row r="54911" spans="1:4" x14ac:dyDescent="0.2">
      <c r="A54911" t="s">
        <v>17342</v>
      </c>
      <c r="B54911" t="str">
        <f>HYPERLINK("https://lindat.mff.cuni.cz/services/teitok/pdtc10/index.php?action=vallex&amp;frame=v-w7770f2_ZU", "vybavit si (v-w7770f2_ZU)")</f>
        <v>vybavit si (v-w7770f2_ZU)</v>
      </c>
    </row>
    <row r="54912" spans="1:4" x14ac:dyDescent="0.2">
      <c r="B54912" t="s">
        <v>1</v>
      </c>
    </row>
    <row r="54913" spans="1:4" x14ac:dyDescent="0.2">
      <c r="B54913" t="s">
        <v>9611</v>
      </c>
    </row>
    <row r="54915" spans="1:4" x14ac:dyDescent="0.2">
      <c r="A54915" t="s">
        <v>17342</v>
      </c>
      <c r="B54915" t="str">
        <f>HYPERLINK("https://lindat.mff.cuni.cz/services/teitok/pdtc10/index.php?action=vallex&amp;frame=v-w7770f1", "vybavit si (v-w7770f1) - substituted with v-w7770f2_ZU")</f>
        <v>vybavit si (v-w7770f1) - substituted with v-w7770f2_ZU</v>
      </c>
    </row>
    <row r="54916" spans="1:4" x14ac:dyDescent="0.2">
      <c r="B54916" t="s">
        <v>1</v>
      </c>
      <c r="C54916" t="s">
        <v>317</v>
      </c>
      <c r="D54916" t="s">
        <v>11295</v>
      </c>
    </row>
    <row r="54917" spans="1:4" x14ac:dyDescent="0.2">
      <c r="B54917" t="s">
        <v>9611</v>
      </c>
      <c r="C54917" t="s">
        <v>4812</v>
      </c>
      <c r="D54917" t="s">
        <v>23776</v>
      </c>
    </row>
    <row r="54919" spans="1:4" x14ac:dyDescent="0.2">
      <c r="A54919" t="s">
        <v>17343</v>
      </c>
      <c r="B54919" t="str">
        <f>HYPERLINK("https://lindat.mff.cuni.cz/services/teitok/pdtc10/index.php?action=vallex&amp;frame=v-w7771f1", "vybavovat (v-w7771f1)")</f>
        <v>vybavovat (v-w7771f1)</v>
      </c>
    </row>
    <row r="54920" spans="1:4" x14ac:dyDescent="0.2">
      <c r="B54920" t="s">
        <v>1</v>
      </c>
      <c r="C54920" t="s">
        <v>133</v>
      </c>
      <c r="D54920" t="s">
        <v>23711</v>
      </c>
    </row>
    <row r="54921" spans="1:4" x14ac:dyDescent="0.2">
      <c r="B54921" t="s">
        <v>8</v>
      </c>
      <c r="C54921" t="s">
        <v>56</v>
      </c>
      <c r="D54921" t="s">
        <v>23712</v>
      </c>
    </row>
    <row r="54923" spans="1:4" x14ac:dyDescent="0.2">
      <c r="A54923" t="s">
        <v>17344</v>
      </c>
      <c r="B54923" t="str">
        <f>HYPERLINK("https://lindat.mff.cuni.cz/services/teitok/pdtc10/index.php?action=vallex&amp;frame=v-w7772f2", "vybavovat se (v-w7772f2)")</f>
        <v>vybavovat se (v-w7772f2)</v>
      </c>
    </row>
    <row r="54924" spans="1:4" x14ac:dyDescent="0.2">
      <c r="B54924" t="s">
        <v>1</v>
      </c>
    </row>
    <row r="54925" spans="1:4" x14ac:dyDescent="0.2">
      <c r="B54925" t="s">
        <v>183</v>
      </c>
    </row>
    <row r="54926" spans="1:4" x14ac:dyDescent="0.2">
      <c r="B54926" t="s">
        <v>2328</v>
      </c>
    </row>
    <row r="54928" spans="1:4" x14ac:dyDescent="0.2">
      <c r="A54928" t="s">
        <v>17345</v>
      </c>
      <c r="B54928" t="str">
        <f>HYPERLINK("https://lindat.mff.cuni.cz/services/teitok/pdtc10/index.php?action=vallex&amp;frame=v-w7772f1", "vybavovat se (v-w7772f1)")</f>
        <v>vybavovat se (v-w7772f1)</v>
      </c>
    </row>
    <row r="54929" spans="1:4" x14ac:dyDescent="0.2">
      <c r="B54929" t="s">
        <v>455</v>
      </c>
    </row>
    <row r="54930" spans="1:4" x14ac:dyDescent="0.2">
      <c r="B54930" t="s">
        <v>15955</v>
      </c>
    </row>
    <row r="54932" spans="1:4" x14ac:dyDescent="0.2">
      <c r="A54932" t="s">
        <v>17346</v>
      </c>
      <c r="B54932" t="str">
        <f>HYPERLINK("https://lindat.mff.cuni.cz/services/teitok/pdtc10/index.php?action=vallex&amp;frame=v-w11617_ZUf1_ZU", "vybavovat si (v-w11617_ZUf1_ZU)")</f>
        <v>vybavovat si (v-w11617_ZUf1_ZU)</v>
      </c>
    </row>
    <row r="54933" spans="1:4" x14ac:dyDescent="0.2">
      <c r="B54933" t="s">
        <v>1</v>
      </c>
      <c r="C54933" t="s">
        <v>317</v>
      </c>
      <c r="D54933" t="s">
        <v>11295</v>
      </c>
    </row>
    <row r="54934" spans="1:4" x14ac:dyDescent="0.2">
      <c r="B54934" t="s">
        <v>8</v>
      </c>
      <c r="C54934" t="s">
        <v>4812</v>
      </c>
      <c r="D54934" t="s">
        <v>23776</v>
      </c>
    </row>
    <row r="54936" spans="1:4" x14ac:dyDescent="0.2">
      <c r="A54936" t="s">
        <v>17347</v>
      </c>
      <c r="B54936" t="str">
        <f>HYPERLINK("https://lindat.mff.cuni.cz/services/teitok/pdtc10/index.php?action=vallex&amp;frame=v-w10999hsa_610", "vybičovat (v-w10999hsa_610)")</f>
        <v>vybičovat (v-w10999hsa_610)</v>
      </c>
    </row>
    <row r="54937" spans="1:4" x14ac:dyDescent="0.2">
      <c r="B54937" t="s">
        <v>1</v>
      </c>
      <c r="C54937" t="s">
        <v>140</v>
      </c>
      <c r="D54937" t="s">
        <v>140</v>
      </c>
    </row>
    <row r="54938" spans="1:4" x14ac:dyDescent="0.2">
      <c r="B54938" t="s">
        <v>17348</v>
      </c>
      <c r="C54938" t="s">
        <v>6339</v>
      </c>
    </row>
    <row r="54939" spans="1:4" x14ac:dyDescent="0.2">
      <c r="B54939" t="s">
        <v>5</v>
      </c>
    </row>
    <row r="54941" spans="1:4" x14ac:dyDescent="0.2">
      <c r="A54941" t="s">
        <v>17349</v>
      </c>
      <c r="B54941" t="str">
        <f>HYPERLINK("https://lindat.mff.cuni.cz/services/teitok/pdtc10/index.php?action=vallex&amp;frame=v-w10999f2", "vybičovat (v-w10999f2)")</f>
        <v>vybičovat (v-w10999f2)</v>
      </c>
    </row>
    <row r="54942" spans="1:4" x14ac:dyDescent="0.2">
      <c r="B54942" t="s">
        <v>1</v>
      </c>
    </row>
    <row r="54943" spans="1:4" x14ac:dyDescent="0.2">
      <c r="B54943" t="s">
        <v>5363</v>
      </c>
    </row>
    <row r="54944" spans="1:4" x14ac:dyDescent="0.2">
      <c r="B54944" t="s">
        <v>8</v>
      </c>
    </row>
    <row r="54945" spans="1:4" x14ac:dyDescent="0.2">
      <c r="B54945" t="s">
        <v>5</v>
      </c>
    </row>
    <row r="54947" spans="1:4" x14ac:dyDescent="0.2">
      <c r="A54947" t="s">
        <v>17350</v>
      </c>
      <c r="B54947" t="str">
        <f>HYPERLINK("https://lindat.mff.cuni.cz/services/teitok/pdtc10/index.php?action=vallex&amp;frame=v-w7785f1", "vyblednout (v-w7785f1)")</f>
        <v>vyblednout (v-w7785f1)</v>
      </c>
    </row>
    <row r="54948" spans="1:4" x14ac:dyDescent="0.2">
      <c r="B54948" t="s">
        <v>1</v>
      </c>
      <c r="C54948" t="s">
        <v>4011</v>
      </c>
      <c r="D54948" t="s">
        <v>9222</v>
      </c>
    </row>
    <row r="54950" spans="1:4" x14ac:dyDescent="0.2">
      <c r="A54950" t="s">
        <v>17351</v>
      </c>
      <c r="B54950" t="str">
        <f>HYPERLINK("https://lindat.mff.cuni.cz/services/teitok/pdtc10/index.php?action=vallex&amp;frame=v-w7788f1", "vybojovat (v-w7788f1)")</f>
        <v>vybojovat (v-w7788f1)</v>
      </c>
    </row>
    <row r="54951" spans="1:4" x14ac:dyDescent="0.2">
      <c r="B54951" t="s">
        <v>1</v>
      </c>
      <c r="C54951" t="s">
        <v>83</v>
      </c>
      <c r="D54951" t="s">
        <v>30</v>
      </c>
    </row>
    <row r="54952" spans="1:4" x14ac:dyDescent="0.2">
      <c r="B54952" t="s">
        <v>10429</v>
      </c>
      <c r="C54952" t="s">
        <v>54</v>
      </c>
      <c r="D54952" t="s">
        <v>2439</v>
      </c>
    </row>
    <row r="54953" spans="1:4" x14ac:dyDescent="0.2">
      <c r="B54953" t="s">
        <v>17352</v>
      </c>
      <c r="D54953" t="s">
        <v>24353</v>
      </c>
    </row>
    <row r="54955" spans="1:4" x14ac:dyDescent="0.2">
      <c r="A54955" t="s">
        <v>17353</v>
      </c>
      <c r="B54955" t="str">
        <f>HYPERLINK("https://lindat.mff.cuni.cz/services/teitok/pdtc10/index.php?action=vallex&amp;frame=v-w7788hsa_834", "vybojovat (v-w7788hsa_834)")</f>
        <v>vybojovat (v-w7788hsa_834)</v>
      </c>
    </row>
    <row r="54956" spans="1:4" x14ac:dyDescent="0.2">
      <c r="B54956" t="s">
        <v>1</v>
      </c>
      <c r="D54956" t="s">
        <v>30</v>
      </c>
    </row>
    <row r="54957" spans="1:4" x14ac:dyDescent="0.2">
      <c r="B54957" t="s">
        <v>8</v>
      </c>
      <c r="C54957" t="s">
        <v>113</v>
      </c>
      <c r="D54957" t="s">
        <v>2439</v>
      </c>
    </row>
    <row r="54958" spans="1:4" x14ac:dyDescent="0.2">
      <c r="B54958" t="s">
        <v>321</v>
      </c>
      <c r="C54958" t="s">
        <v>4604</v>
      </c>
      <c r="D54958" t="s">
        <v>24354</v>
      </c>
    </row>
    <row r="54960" spans="1:4" x14ac:dyDescent="0.2">
      <c r="A54960" t="s">
        <v>17354</v>
      </c>
      <c r="B54960" t="str">
        <f>HYPERLINK("https://lindat.mff.cuni.cz/services/teitok/pdtc10/index.php?action=vallex&amp;frame=v-whsa_2054f1_ZU", "vybombardovat (v-whsa_2054f1_ZU)")</f>
        <v>vybombardovat (v-whsa_2054f1_ZU)</v>
      </c>
    </row>
    <row r="54961" spans="1:4" x14ac:dyDescent="0.2">
      <c r="B54961" t="s">
        <v>1</v>
      </c>
    </row>
    <row r="54962" spans="1:4" x14ac:dyDescent="0.2">
      <c r="B54962" t="s">
        <v>8</v>
      </c>
    </row>
    <row r="54964" spans="1:4" x14ac:dyDescent="0.2">
      <c r="A54964" t="s">
        <v>17354</v>
      </c>
      <c r="B54964" t="str">
        <f>HYPERLINK("https://lindat.mff.cuni.cz/services/teitok/pdtc10/index.php?action=vallex&amp;frame=v-whsa_2054hsa_2055", "vybombardovat (v-whsa_2054hsa_2055) - substituted with v-whsa_2054f1_ZU")</f>
        <v>vybombardovat (v-whsa_2054hsa_2055) - substituted with v-whsa_2054f1_ZU</v>
      </c>
    </row>
    <row r="54965" spans="1:4" x14ac:dyDescent="0.2">
      <c r="B54965" t="s">
        <v>1</v>
      </c>
    </row>
    <row r="54966" spans="1:4" x14ac:dyDescent="0.2">
      <c r="B54966" t="s">
        <v>8</v>
      </c>
    </row>
    <row r="54968" spans="1:4" x14ac:dyDescent="0.2">
      <c r="A54968" t="s">
        <v>17355</v>
      </c>
      <c r="B54968" t="str">
        <f>HYPERLINK("https://lindat.mff.cuni.cz/services/teitok/pdtc10/index.php?action=vallex&amp;frame=v-w10323f3", "vybouchnout (v-w10323f3)")</f>
        <v>vybouchnout (v-w10323f3)</v>
      </c>
    </row>
    <row r="54969" spans="1:4" x14ac:dyDescent="0.2">
      <c r="B54969" t="s">
        <v>1</v>
      </c>
    </row>
    <row r="54971" spans="1:4" x14ac:dyDescent="0.2">
      <c r="A54971" t="s">
        <v>17356</v>
      </c>
      <c r="B54971" t="str">
        <f>HYPERLINK("https://lindat.mff.cuni.cz/services/teitok/pdtc10/index.php?action=vallex&amp;frame=v-w10323hsa_1102", "vybouchnout (v-w10323hsa_1102)")</f>
        <v>vybouchnout (v-w10323hsa_1102)</v>
      </c>
    </row>
    <row r="54972" spans="1:4" x14ac:dyDescent="0.2">
      <c r="B54972" t="s">
        <v>1</v>
      </c>
      <c r="C54972" t="s">
        <v>186</v>
      </c>
      <c r="D54972" t="s">
        <v>1593</v>
      </c>
    </row>
    <row r="54974" spans="1:4" x14ac:dyDescent="0.2">
      <c r="A54974" t="s">
        <v>17357</v>
      </c>
      <c r="B54974" t="str">
        <f>HYPERLINK("https://lindat.mff.cuni.cz/services/teitok/pdtc10/index.php?action=vallex&amp;frame=v-w10323f2", "vybouchnout (v-w10323f2)")</f>
        <v>vybouchnout (v-w10323f2)</v>
      </c>
    </row>
    <row r="54975" spans="1:4" x14ac:dyDescent="0.2">
      <c r="B54975" t="s">
        <v>1</v>
      </c>
    </row>
    <row r="54976" spans="1:4" x14ac:dyDescent="0.2">
      <c r="B54976" t="s">
        <v>8</v>
      </c>
    </row>
    <row r="54978" spans="1:2" x14ac:dyDescent="0.2">
      <c r="A54978" t="s">
        <v>17358</v>
      </c>
      <c r="B54978" t="str">
        <f>HYPERLINK("https://lindat.mff.cuni.cz/services/teitok/pdtc10/index.php?action=vallex&amp;frame=v-w11394f1", "vyboulit se (v-w11394f1)")</f>
        <v>vyboulit se (v-w11394f1)</v>
      </c>
    </row>
    <row r="54979" spans="1:2" x14ac:dyDescent="0.2">
      <c r="B54979" t="s">
        <v>1</v>
      </c>
    </row>
    <row r="54981" spans="1:2" x14ac:dyDescent="0.2">
      <c r="A54981" t="s">
        <v>17359</v>
      </c>
      <c r="B54981" t="str">
        <f>HYPERLINK("https://lindat.mff.cuni.cz/services/teitok/pdtc10/index.php?action=vallex&amp;frame=v-w7790f1", "vybourat (v-w7790f1)")</f>
        <v>vybourat (v-w7790f1)</v>
      </c>
    </row>
    <row r="54982" spans="1:2" x14ac:dyDescent="0.2">
      <c r="B54982" t="s">
        <v>1</v>
      </c>
    </row>
    <row r="54983" spans="1:2" x14ac:dyDescent="0.2">
      <c r="B54983" t="s">
        <v>8</v>
      </c>
    </row>
    <row r="54985" spans="1:2" x14ac:dyDescent="0.2">
      <c r="A54985" t="s">
        <v>17360</v>
      </c>
      <c r="B54985" t="str">
        <f>HYPERLINK("https://lindat.mff.cuni.cz/services/teitok/pdtc10/index.php?action=vallex&amp;frame=v-w7790f2", "vybourat (v-w7790f2)")</f>
        <v>vybourat (v-w7790f2)</v>
      </c>
    </row>
    <row r="54986" spans="1:2" x14ac:dyDescent="0.2">
      <c r="B54986" t="s">
        <v>1</v>
      </c>
    </row>
    <row r="54987" spans="1:2" x14ac:dyDescent="0.2">
      <c r="B54987" t="s">
        <v>8</v>
      </c>
    </row>
    <row r="54989" spans="1:2" x14ac:dyDescent="0.2">
      <c r="A54989" t="s">
        <v>17361</v>
      </c>
      <c r="B54989" t="str">
        <f>HYPERLINK("https://lindat.mff.cuni.cz/services/teitok/pdtc10/index.php?action=vallex&amp;frame=v-w7791f1", "vybourat se (v-w7791f1)")</f>
        <v>vybourat se (v-w7791f1)</v>
      </c>
    </row>
    <row r="54990" spans="1:2" x14ac:dyDescent="0.2">
      <c r="B54990" t="s">
        <v>1</v>
      </c>
    </row>
    <row r="54992" spans="1:2" x14ac:dyDescent="0.2">
      <c r="A54992" t="s">
        <v>17362</v>
      </c>
      <c r="B54992" t="str">
        <f>HYPERLINK("https://lindat.mff.cuni.cz/services/teitok/pdtc10/index.php?action=vallex&amp;frame=v-whsa_581hsa_582", "vybourávat (v-whsa_581hsa_582)")</f>
        <v>vybourávat (v-whsa_581hsa_582)</v>
      </c>
    </row>
    <row r="54993" spans="1:2" x14ac:dyDescent="0.2">
      <c r="B54993" t="s">
        <v>1</v>
      </c>
    </row>
    <row r="54994" spans="1:2" x14ac:dyDescent="0.2">
      <c r="B54994" t="s">
        <v>8</v>
      </c>
    </row>
    <row r="54996" spans="1:2" x14ac:dyDescent="0.2">
      <c r="A54996" t="s">
        <v>17363</v>
      </c>
      <c r="B54996" t="str">
        <f>HYPERLINK("https://lindat.mff.cuni.cz/services/teitok/pdtc10/index.php?action=vallex&amp;frame=v-w11773_ZUf1_ZU", "vybouřit se (v-w11773_ZUf1_ZU)")</f>
        <v>vybouřit se (v-w11773_ZUf1_ZU)</v>
      </c>
    </row>
    <row r="54997" spans="1:2" x14ac:dyDescent="0.2">
      <c r="B54997" t="s">
        <v>1</v>
      </c>
    </row>
    <row r="54999" spans="1:2" x14ac:dyDescent="0.2">
      <c r="A54999" t="s">
        <v>17364</v>
      </c>
      <c r="B54999" t="str">
        <f>HYPERLINK("https://lindat.mff.cuni.cz/services/teitok/pdtc10/index.php?action=vallex&amp;frame=v-w7792f1", "vyboxovat (v-w7792f1)")</f>
        <v>vyboxovat (v-w7792f1)</v>
      </c>
    </row>
    <row r="55000" spans="1:2" x14ac:dyDescent="0.2">
      <c r="B55000" t="s">
        <v>1</v>
      </c>
    </row>
    <row r="55001" spans="1:2" x14ac:dyDescent="0.2">
      <c r="B55001" t="s">
        <v>8</v>
      </c>
    </row>
    <row r="55002" spans="1:2" x14ac:dyDescent="0.2">
      <c r="B55002" t="s">
        <v>333</v>
      </c>
    </row>
    <row r="55004" spans="1:2" x14ac:dyDescent="0.2">
      <c r="A55004" t="s">
        <v>17365</v>
      </c>
      <c r="B55004" t="str">
        <f>HYPERLINK("https://lindat.mff.cuni.cz/services/teitok/pdtc10/index.php?action=vallex&amp;frame=v-w7786f1", "vybočit (v-w7786f1)")</f>
        <v>vybočit (v-w7786f1)</v>
      </c>
    </row>
    <row r="55005" spans="1:2" x14ac:dyDescent="0.2">
      <c r="B55005" t="s">
        <v>1</v>
      </c>
    </row>
    <row r="55006" spans="1:2" x14ac:dyDescent="0.2">
      <c r="B55006" t="s">
        <v>333</v>
      </c>
    </row>
    <row r="55008" spans="1:2" x14ac:dyDescent="0.2">
      <c r="A55008" t="s">
        <v>17366</v>
      </c>
      <c r="B55008" t="str">
        <f>HYPERLINK("https://lindat.mff.cuni.cz/services/teitok/pdtc10/index.php?action=vallex&amp;frame=v-w7787f1", "vybočovat (v-w7787f1)")</f>
        <v>vybočovat (v-w7787f1)</v>
      </c>
    </row>
    <row r="55009" spans="1:4" x14ac:dyDescent="0.2">
      <c r="B55009" t="s">
        <v>1</v>
      </c>
    </row>
    <row r="55010" spans="1:4" x14ac:dyDescent="0.2">
      <c r="B55010" t="s">
        <v>333</v>
      </c>
    </row>
    <row r="55012" spans="1:4" x14ac:dyDescent="0.2">
      <c r="A55012" t="s">
        <v>17367</v>
      </c>
      <c r="B55012" t="str">
        <f>HYPERLINK("https://lindat.mff.cuni.cz/services/teitok/pdtc10/index.php?action=vallex&amp;frame=v-w7793f1", "vybrakovat (v-w7793f1)")</f>
        <v>vybrakovat (v-w7793f1)</v>
      </c>
    </row>
    <row r="55013" spans="1:4" x14ac:dyDescent="0.2">
      <c r="B55013" t="s">
        <v>1</v>
      </c>
    </row>
    <row r="55014" spans="1:4" x14ac:dyDescent="0.2">
      <c r="B55014" t="s">
        <v>8</v>
      </c>
    </row>
    <row r="55016" spans="1:4" x14ac:dyDescent="0.2">
      <c r="A55016" t="s">
        <v>17368</v>
      </c>
      <c r="B55016" t="str">
        <f>HYPERLINK("https://lindat.mff.cuni.cz/services/teitok/pdtc10/index.php?action=vallex&amp;frame=v-w7796f5_ZU", "vybrat (v-w7796f5_ZU)")</f>
        <v>vybrat (v-w7796f5_ZU)</v>
      </c>
    </row>
    <row r="55017" spans="1:4" x14ac:dyDescent="0.2">
      <c r="B55017" t="s">
        <v>1</v>
      </c>
    </row>
    <row r="55018" spans="1:4" x14ac:dyDescent="0.2">
      <c r="B55018" t="s">
        <v>124</v>
      </c>
    </row>
    <row r="55019" spans="1:4" x14ac:dyDescent="0.2">
      <c r="B55019" t="s">
        <v>13224</v>
      </c>
    </row>
    <row r="55021" spans="1:4" x14ac:dyDescent="0.2">
      <c r="A55021" t="s">
        <v>17368</v>
      </c>
      <c r="B55021" t="str">
        <f>HYPERLINK("https://lindat.mff.cuni.cz/services/teitok/pdtc10/index.php?action=vallex&amp;frame=v-w7796f1", "vybrat (v-w7796f1) - substituted with v-w7796f5_ZU")</f>
        <v>vybrat (v-w7796f1) - substituted with v-w7796f5_ZU</v>
      </c>
    </row>
    <row r="55022" spans="1:4" x14ac:dyDescent="0.2">
      <c r="B55022" t="s">
        <v>1</v>
      </c>
      <c r="C55022" t="s">
        <v>17369</v>
      </c>
      <c r="D55022" t="s">
        <v>20601</v>
      </c>
    </row>
    <row r="55023" spans="1:4" x14ac:dyDescent="0.2">
      <c r="B55023" t="s">
        <v>124</v>
      </c>
      <c r="C55023" t="s">
        <v>17370</v>
      </c>
      <c r="D55023" t="s">
        <v>24136</v>
      </c>
    </row>
    <row r="55024" spans="1:4" x14ac:dyDescent="0.2">
      <c r="B55024" t="s">
        <v>13224</v>
      </c>
      <c r="C55024" t="s">
        <v>17371</v>
      </c>
      <c r="D55024" t="s">
        <v>22284</v>
      </c>
    </row>
    <row r="55026" spans="1:3" x14ac:dyDescent="0.2">
      <c r="A55026" t="s">
        <v>17372</v>
      </c>
      <c r="B55026" t="str">
        <f>HYPERLINK("https://lindat.mff.cuni.cz/services/teitok/pdtc10/index.php?action=vallex&amp;frame=v-w7796f3", "vybrat (v-w7796f3)")</f>
        <v>vybrat (v-w7796f3)</v>
      </c>
    </row>
    <row r="55027" spans="1:3" x14ac:dyDescent="0.2">
      <c r="B55027" t="s">
        <v>1</v>
      </c>
      <c r="C55027" t="s">
        <v>2148</v>
      </c>
    </row>
    <row r="55028" spans="1:3" x14ac:dyDescent="0.2">
      <c r="B55028" t="s">
        <v>8</v>
      </c>
      <c r="C55028" t="s">
        <v>17373</v>
      </c>
    </row>
    <row r="55029" spans="1:3" x14ac:dyDescent="0.2">
      <c r="B55029" t="s">
        <v>321</v>
      </c>
      <c r="C55029" t="s">
        <v>17374</v>
      </c>
    </row>
    <row r="55031" spans="1:3" x14ac:dyDescent="0.2">
      <c r="A55031" t="s">
        <v>17375</v>
      </c>
      <c r="B55031" t="str">
        <f>HYPERLINK("https://lindat.mff.cuni.cz/services/teitok/pdtc10/index.php?action=vallex&amp;frame=v-w7796f2", "vybrat (v-w7796f2)")</f>
        <v>vybrat (v-w7796f2)</v>
      </c>
    </row>
    <row r="55032" spans="1:3" x14ac:dyDescent="0.2">
      <c r="B55032" t="s">
        <v>1</v>
      </c>
      <c r="C55032" t="s">
        <v>17376</v>
      </c>
    </row>
    <row r="55033" spans="1:3" x14ac:dyDescent="0.2">
      <c r="B55033" t="s">
        <v>8</v>
      </c>
      <c r="C55033" t="s">
        <v>17377</v>
      </c>
    </row>
    <row r="55034" spans="1:3" x14ac:dyDescent="0.2">
      <c r="B55034" t="s">
        <v>333</v>
      </c>
      <c r="C55034" t="s">
        <v>17378</v>
      </c>
    </row>
    <row r="55036" spans="1:3" x14ac:dyDescent="0.2">
      <c r="A55036" t="s">
        <v>17379</v>
      </c>
      <c r="B55036" t="str">
        <f>HYPERLINK("https://lindat.mff.cuni.cz/services/teitok/pdtc10/index.php?action=vallex&amp;frame=v-w7796f4_ZU", "vybrat (v-w7796f4_ZU)")</f>
        <v>vybrat (v-w7796f4_ZU)</v>
      </c>
    </row>
    <row r="55037" spans="1:3" x14ac:dyDescent="0.2">
      <c r="B55037" t="s">
        <v>1</v>
      </c>
      <c r="C55037" t="s">
        <v>133</v>
      </c>
    </row>
    <row r="55038" spans="1:3" x14ac:dyDescent="0.2">
      <c r="B55038" t="s">
        <v>8</v>
      </c>
      <c r="C55038" t="s">
        <v>1044</v>
      </c>
    </row>
    <row r="55039" spans="1:3" x14ac:dyDescent="0.2">
      <c r="B55039" t="s">
        <v>9351</v>
      </c>
    </row>
    <row r="55041" spans="1:4" x14ac:dyDescent="0.2">
      <c r="A55041" t="s">
        <v>17380</v>
      </c>
      <c r="B55041" t="str">
        <f>HYPERLINK("https://lindat.mff.cuni.cz/services/teitok/pdtc10/index.php?action=vallex&amp;frame=v-w7796f6_ZU", "vybrat (v-w7796f6_ZU)")</f>
        <v>vybrat (v-w7796f6_ZU)</v>
      </c>
    </row>
    <row r="55042" spans="1:4" x14ac:dyDescent="0.2">
      <c r="B55042" t="s">
        <v>1</v>
      </c>
    </row>
    <row r="55043" spans="1:4" x14ac:dyDescent="0.2">
      <c r="B55043" t="s">
        <v>8</v>
      </c>
    </row>
    <row r="55045" spans="1:4" x14ac:dyDescent="0.2">
      <c r="A55045" t="s">
        <v>17381</v>
      </c>
      <c r="B55045" t="str">
        <f>HYPERLINK("https://lindat.mff.cuni.cz/services/teitok/pdtc10/index.php?action=vallex&amp;frame=v-w7797f3_ZU", "vybrousit (v-w7797f3_ZU)")</f>
        <v>vybrousit (v-w7797f3_ZU)</v>
      </c>
    </row>
    <row r="55046" spans="1:4" x14ac:dyDescent="0.2">
      <c r="B55046" t="s">
        <v>1</v>
      </c>
      <c r="C55046" t="s">
        <v>140</v>
      </c>
      <c r="D55046" t="s">
        <v>33</v>
      </c>
    </row>
    <row r="55047" spans="1:4" x14ac:dyDescent="0.2">
      <c r="B55047" t="s">
        <v>8</v>
      </c>
      <c r="C55047" t="s">
        <v>34</v>
      </c>
      <c r="D55047" t="s">
        <v>23</v>
      </c>
    </row>
    <row r="55048" spans="1:4" x14ac:dyDescent="0.2">
      <c r="B55048" t="s">
        <v>24</v>
      </c>
    </row>
    <row r="55049" spans="1:4" x14ac:dyDescent="0.2">
      <c r="B55049" t="s">
        <v>130</v>
      </c>
    </row>
    <row r="55051" spans="1:4" x14ac:dyDescent="0.2">
      <c r="A55051" t="s">
        <v>17381</v>
      </c>
      <c r="B55051" t="str">
        <f>HYPERLINK("https://lindat.mff.cuni.cz/services/teitok/pdtc10/index.php?action=vallex&amp;frame=v-w7797f2_ZU", "vybrousit (v-w7797f2_ZU) - substituted with v-w7797f3_ZU")</f>
        <v>vybrousit (v-w7797f2_ZU) - substituted with v-w7797f3_ZU</v>
      </c>
    </row>
    <row r="55052" spans="1:4" x14ac:dyDescent="0.2">
      <c r="B55052" t="s">
        <v>1</v>
      </c>
      <c r="C55052" t="s">
        <v>140</v>
      </c>
    </row>
    <row r="55053" spans="1:4" x14ac:dyDescent="0.2">
      <c r="B55053" t="s">
        <v>8</v>
      </c>
      <c r="C55053" t="s">
        <v>84</v>
      </c>
    </row>
    <row r="55054" spans="1:4" x14ac:dyDescent="0.2">
      <c r="B55054" t="s">
        <v>24</v>
      </c>
    </row>
    <row r="55055" spans="1:4" x14ac:dyDescent="0.2">
      <c r="B55055" t="s">
        <v>130</v>
      </c>
    </row>
    <row r="55057" spans="1:4" x14ac:dyDescent="0.2">
      <c r="A55057" t="s">
        <v>17382</v>
      </c>
      <c r="B55057" t="str">
        <f>HYPERLINK("https://lindat.mff.cuni.cz/services/teitok/pdtc10/index.php?action=vallex&amp;frame=v-w7797f1", "vybrousit (v-w7797f1)")</f>
        <v>vybrousit (v-w7797f1)</v>
      </c>
    </row>
    <row r="55058" spans="1:4" x14ac:dyDescent="0.2">
      <c r="B55058" t="s">
        <v>1</v>
      </c>
      <c r="C55058" t="s">
        <v>133</v>
      </c>
      <c r="D55058" t="s">
        <v>430</v>
      </c>
    </row>
    <row r="55059" spans="1:4" x14ac:dyDescent="0.2">
      <c r="B55059" t="s">
        <v>8</v>
      </c>
      <c r="C55059" t="s">
        <v>113</v>
      </c>
      <c r="D55059" t="s">
        <v>34</v>
      </c>
    </row>
    <row r="55061" spans="1:4" x14ac:dyDescent="0.2">
      <c r="A55061" t="s">
        <v>17383</v>
      </c>
      <c r="B55061" t="str">
        <f>HYPERLINK("https://lindat.mff.cuni.cz/services/teitok/pdtc10/index.php?action=vallex&amp;frame=v-w7798f1", "vybruslit (v-w7798f1)")</f>
        <v>vybruslit (v-w7798f1)</v>
      </c>
    </row>
    <row r="55062" spans="1:4" x14ac:dyDescent="0.2">
      <c r="B55062" t="s">
        <v>1</v>
      </c>
    </row>
    <row r="55063" spans="1:4" x14ac:dyDescent="0.2">
      <c r="B55063" t="s">
        <v>333</v>
      </c>
    </row>
    <row r="55065" spans="1:4" x14ac:dyDescent="0.2">
      <c r="A55065" t="s">
        <v>17384</v>
      </c>
      <c r="B55065" t="str">
        <f>HYPERLINK("https://lindat.mff.cuni.cz/services/teitok/pdtc10/index.php?action=vallex&amp;frame=v-whsa_759hsa_760", "vybrušovat (v-whsa_759hsa_760)")</f>
        <v>vybrušovat (v-whsa_759hsa_760)</v>
      </c>
    </row>
    <row r="55066" spans="1:4" x14ac:dyDescent="0.2">
      <c r="B55066" t="s">
        <v>1</v>
      </c>
    </row>
    <row r="55067" spans="1:4" x14ac:dyDescent="0.2">
      <c r="B55067" t="s">
        <v>8</v>
      </c>
    </row>
    <row r="55069" spans="1:4" x14ac:dyDescent="0.2">
      <c r="A55069" t="s">
        <v>17385</v>
      </c>
      <c r="B55069" t="str">
        <f>HYPERLINK("https://lindat.mff.cuni.cz/services/teitok/pdtc10/index.php?action=vallex&amp;frame=v-w7803f1", "vybuchnout (v-w7803f1)")</f>
        <v>vybuchnout (v-w7803f1)</v>
      </c>
    </row>
    <row r="55070" spans="1:4" x14ac:dyDescent="0.2">
      <c r="B55070" t="s">
        <v>1</v>
      </c>
      <c r="C55070" t="s">
        <v>17386</v>
      </c>
      <c r="D55070" t="s">
        <v>7870</v>
      </c>
    </row>
    <row r="55072" spans="1:4" x14ac:dyDescent="0.2">
      <c r="A55072" t="s">
        <v>17387</v>
      </c>
      <c r="B55072" t="str">
        <f>HYPERLINK("https://lindat.mff.cuni.cz/services/teitok/pdtc10/index.php?action=vallex&amp;frame=v-w7803hsa_764", "vybuchnout (v-w7803hsa_764)")</f>
        <v>vybuchnout (v-w7803hsa_764)</v>
      </c>
    </row>
    <row r="55073" spans="1:3" x14ac:dyDescent="0.2">
      <c r="B55073" t="s">
        <v>1</v>
      </c>
      <c r="C55073" t="s">
        <v>140</v>
      </c>
    </row>
    <row r="55074" spans="1:3" x14ac:dyDescent="0.2">
      <c r="B55074" t="s">
        <v>12551</v>
      </c>
      <c r="C55074" t="s">
        <v>113</v>
      </c>
    </row>
    <row r="55075" spans="1:3" x14ac:dyDescent="0.2">
      <c r="B55075" t="s">
        <v>3527</v>
      </c>
      <c r="C55075" t="s">
        <v>987</v>
      </c>
    </row>
    <row r="55077" spans="1:3" x14ac:dyDescent="0.2">
      <c r="A55077" t="s">
        <v>17388</v>
      </c>
      <c r="B55077" t="str">
        <f>HYPERLINK("https://lindat.mff.cuni.cz/services/teitok/pdtc10/index.php?action=vallex&amp;frame=v-w7803f3_ZU", "vybuchnout (v-w7803f3_ZU)")</f>
        <v>vybuchnout (v-w7803f3_ZU)</v>
      </c>
    </row>
    <row r="55078" spans="1:3" x14ac:dyDescent="0.2">
      <c r="B55078" t="s">
        <v>1</v>
      </c>
    </row>
    <row r="55079" spans="1:3" x14ac:dyDescent="0.2">
      <c r="B55079" t="s">
        <v>17389</v>
      </c>
    </row>
    <row r="55081" spans="1:3" x14ac:dyDescent="0.2">
      <c r="A55081" t="s">
        <v>17388</v>
      </c>
      <c r="B55081" t="str">
        <f>HYPERLINK("https://lindat.mff.cuni.cz/services/teitok/pdtc10/index.php?action=vallex&amp;frame=v-w7803f2_ZU", "vybuchnout (v-w7803f2_ZU) - substituted with v-w7803f3_ZU")</f>
        <v>vybuchnout (v-w7803f2_ZU) - substituted with v-w7803f3_ZU</v>
      </c>
    </row>
    <row r="55082" spans="1:3" x14ac:dyDescent="0.2">
      <c r="B55082" t="s">
        <v>1</v>
      </c>
    </row>
    <row r="55083" spans="1:3" x14ac:dyDescent="0.2">
      <c r="B55083" t="s">
        <v>17389</v>
      </c>
    </row>
    <row r="55085" spans="1:3" x14ac:dyDescent="0.2">
      <c r="A55085" t="s">
        <v>17388</v>
      </c>
      <c r="B55085" t="str">
        <f>HYPERLINK("https://lindat.mff.cuni.cz/services/teitok/pdtc10/index.php?action=vallex&amp;frame=v-w7803hsa_654", "vybuchnout (v-w7803hsa_654) - substituted with v-w7803f3_ZU")</f>
        <v>vybuchnout (v-w7803hsa_654) - substituted with v-w7803f3_ZU</v>
      </c>
    </row>
    <row r="55086" spans="1:3" x14ac:dyDescent="0.2">
      <c r="B55086" t="s">
        <v>1</v>
      </c>
    </row>
    <row r="55087" spans="1:3" x14ac:dyDescent="0.2">
      <c r="B55087" t="s">
        <v>17389</v>
      </c>
    </row>
    <row r="55089" spans="1:4" x14ac:dyDescent="0.2">
      <c r="A55089" t="s">
        <v>17390</v>
      </c>
      <c r="B55089" t="str">
        <f>HYPERLINK("https://lindat.mff.cuni.cz/services/teitok/pdtc10/index.php?action=vallex&amp;frame=v-w10653f2", "vybuchovat (v-w10653f2)")</f>
        <v>vybuchovat (v-w10653f2)</v>
      </c>
    </row>
    <row r="55090" spans="1:4" x14ac:dyDescent="0.2">
      <c r="B55090" t="s">
        <v>1</v>
      </c>
    </row>
    <row r="55092" spans="1:4" x14ac:dyDescent="0.2">
      <c r="A55092" t="s">
        <v>17391</v>
      </c>
      <c r="B55092" t="str">
        <f>HYPERLINK("https://lindat.mff.cuni.cz/services/teitok/pdtc10/index.php?action=vallex&amp;frame=v-w10852f2", "vybudit (v-w10852f2)")</f>
        <v>vybudit (v-w10852f2)</v>
      </c>
    </row>
    <row r="55093" spans="1:4" x14ac:dyDescent="0.2">
      <c r="B55093" t="s">
        <v>1</v>
      </c>
    </row>
    <row r="55094" spans="1:4" x14ac:dyDescent="0.2">
      <c r="B55094" t="s">
        <v>8</v>
      </c>
    </row>
    <row r="55095" spans="1:4" x14ac:dyDescent="0.2">
      <c r="B55095" t="s">
        <v>24</v>
      </c>
    </row>
    <row r="55097" spans="1:4" x14ac:dyDescent="0.2">
      <c r="A55097" t="s">
        <v>17392</v>
      </c>
      <c r="B55097" t="str">
        <f>HYPERLINK("https://lindat.mff.cuni.cz/services/teitok/pdtc10/index.php?action=vallex&amp;frame=v-w7801f2", "vybudovat (v-w7801f2)")</f>
        <v>vybudovat (v-w7801f2)</v>
      </c>
    </row>
    <row r="55098" spans="1:4" x14ac:dyDescent="0.2">
      <c r="B55098" t="s">
        <v>1</v>
      </c>
      <c r="C55098" t="s">
        <v>17393</v>
      </c>
      <c r="D55098" t="s">
        <v>24355</v>
      </c>
    </row>
    <row r="55099" spans="1:4" x14ac:dyDescent="0.2">
      <c r="B55099" t="s">
        <v>8</v>
      </c>
      <c r="C55099" t="s">
        <v>17394</v>
      </c>
      <c r="D55099" t="s">
        <v>24356</v>
      </c>
    </row>
    <row r="55100" spans="1:4" x14ac:dyDescent="0.2">
      <c r="B55100" t="s">
        <v>442</v>
      </c>
      <c r="C55100" t="s">
        <v>4687</v>
      </c>
      <c r="D55100" t="s">
        <v>24357</v>
      </c>
    </row>
    <row r="55102" spans="1:4" x14ac:dyDescent="0.2">
      <c r="A55102" t="s">
        <v>17395</v>
      </c>
      <c r="B55102" t="str">
        <f>HYPERLINK("https://lindat.mff.cuni.cz/services/teitok/pdtc10/index.php?action=vallex&amp;frame=v-w7801f1", "vybudovat (v-w7801f1)")</f>
        <v>vybudovat (v-w7801f1)</v>
      </c>
    </row>
    <row r="55103" spans="1:4" x14ac:dyDescent="0.2">
      <c r="B55103" t="s">
        <v>1</v>
      </c>
      <c r="C55103" t="s">
        <v>17396</v>
      </c>
      <c r="D55103" t="s">
        <v>23021</v>
      </c>
    </row>
    <row r="55104" spans="1:4" x14ac:dyDescent="0.2">
      <c r="B55104" t="s">
        <v>8</v>
      </c>
      <c r="C55104" t="s">
        <v>17397</v>
      </c>
      <c r="D55104" t="s">
        <v>23022</v>
      </c>
    </row>
    <row r="55105" spans="1:4" x14ac:dyDescent="0.2">
      <c r="B55105" t="s">
        <v>24</v>
      </c>
      <c r="C55105" t="s">
        <v>447</v>
      </c>
      <c r="D55105" t="s">
        <v>23023</v>
      </c>
    </row>
    <row r="55107" spans="1:4" x14ac:dyDescent="0.2">
      <c r="A55107" t="s">
        <v>17398</v>
      </c>
      <c r="B55107" t="str">
        <f>HYPERLINK("https://lindat.mff.cuni.cz/services/teitok/pdtc10/index.php?action=vallex&amp;frame=v-w7804f1", "vybujet (v-w7804f1)")</f>
        <v>vybujet (v-w7804f1)</v>
      </c>
    </row>
    <row r="55108" spans="1:4" x14ac:dyDescent="0.2">
      <c r="B55108" t="s">
        <v>1</v>
      </c>
      <c r="D55108" t="s">
        <v>147</v>
      </c>
    </row>
    <row r="55110" spans="1:4" x14ac:dyDescent="0.2">
      <c r="A55110" t="s">
        <v>17399</v>
      </c>
      <c r="B55110" t="str">
        <f>HYPERLINK("https://lindat.mff.cuni.cz/services/teitok/pdtc10/index.php?action=vallex&amp;frame=v-w7805hsa_840", "vyburcovat (v-w7805hsa_840)")</f>
        <v>vyburcovat (v-w7805hsa_840)</v>
      </c>
    </row>
    <row r="55111" spans="1:4" x14ac:dyDescent="0.2">
      <c r="B55111" t="s">
        <v>1</v>
      </c>
      <c r="C55111" t="s">
        <v>22</v>
      </c>
      <c r="D55111" t="s">
        <v>2507</v>
      </c>
    </row>
    <row r="55112" spans="1:4" x14ac:dyDescent="0.2">
      <c r="B55112" t="s">
        <v>8</v>
      </c>
      <c r="C55112" t="s">
        <v>56</v>
      </c>
      <c r="D55112" t="s">
        <v>24358</v>
      </c>
    </row>
    <row r="55113" spans="1:4" x14ac:dyDescent="0.2">
      <c r="B55113" t="s">
        <v>24</v>
      </c>
    </row>
    <row r="55114" spans="1:4" x14ac:dyDescent="0.2">
      <c r="B55114" t="s">
        <v>1753</v>
      </c>
      <c r="D55114" t="s">
        <v>24359</v>
      </c>
    </row>
    <row r="55116" spans="1:4" x14ac:dyDescent="0.2">
      <c r="A55116" t="s">
        <v>17399</v>
      </c>
      <c r="B55116" t="str">
        <f>HYPERLINK("https://lindat.mff.cuni.cz/services/teitok/pdtc10/index.php?action=vallex&amp;frame=v-w7805f1", "vyburcovat (v-w7805f1) - substituted with v-w7805hsa_840")</f>
        <v>vyburcovat (v-w7805f1) - substituted with v-w7805hsa_840</v>
      </c>
    </row>
    <row r="55117" spans="1:4" x14ac:dyDescent="0.2">
      <c r="B55117" t="s">
        <v>1</v>
      </c>
      <c r="C55117" t="s">
        <v>33</v>
      </c>
    </row>
    <row r="55118" spans="1:4" x14ac:dyDescent="0.2">
      <c r="B55118" t="s">
        <v>8</v>
      </c>
      <c r="C55118" t="s">
        <v>2886</v>
      </c>
    </row>
    <row r="55119" spans="1:4" x14ac:dyDescent="0.2">
      <c r="B55119" t="s">
        <v>24</v>
      </c>
    </row>
    <row r="55120" spans="1:4" x14ac:dyDescent="0.2">
      <c r="B55120" t="s">
        <v>1753</v>
      </c>
    </row>
    <row r="55122" spans="1:4" x14ac:dyDescent="0.2">
      <c r="A55122" t="s">
        <v>17400</v>
      </c>
      <c r="B55122" t="str">
        <f>HYPERLINK("https://lindat.mff.cuni.cz/services/teitok/pdtc10/index.php?action=vallex&amp;frame=v-w7778f1", "vybídnout (v-w7778f1)")</f>
        <v>vybídnout (v-w7778f1)</v>
      </c>
    </row>
    <row r="55123" spans="1:4" x14ac:dyDescent="0.2">
      <c r="B55123" t="s">
        <v>1</v>
      </c>
      <c r="C55123" t="s">
        <v>6902</v>
      </c>
      <c r="D55123" t="s">
        <v>2571</v>
      </c>
    </row>
    <row r="55124" spans="1:4" x14ac:dyDescent="0.2">
      <c r="B55124" t="s">
        <v>2149</v>
      </c>
      <c r="C55124" t="s">
        <v>17401</v>
      </c>
      <c r="D55124" t="s">
        <v>23787</v>
      </c>
    </row>
    <row r="55125" spans="1:4" x14ac:dyDescent="0.2">
      <c r="B55125" t="s">
        <v>58</v>
      </c>
      <c r="C55125" t="s">
        <v>17402</v>
      </c>
      <c r="D55125" t="s">
        <v>23788</v>
      </c>
    </row>
    <row r="55127" spans="1:4" x14ac:dyDescent="0.2">
      <c r="A55127" t="s">
        <v>17403</v>
      </c>
      <c r="B55127" t="str">
        <f>HYPERLINK("https://lindat.mff.cuni.cz/services/teitok/pdtc10/index.php?action=vallex&amp;frame=v-w11062f3", "vybíhat (v-w11062f3)")</f>
        <v>vybíhat (v-w11062f3)</v>
      </c>
    </row>
    <row r="55128" spans="1:4" x14ac:dyDescent="0.2">
      <c r="B55128" t="s">
        <v>1</v>
      </c>
      <c r="C55128" t="s">
        <v>12077</v>
      </c>
    </row>
    <row r="55129" spans="1:4" x14ac:dyDescent="0.2">
      <c r="B55129" t="s">
        <v>333</v>
      </c>
    </row>
    <row r="55131" spans="1:4" x14ac:dyDescent="0.2">
      <c r="A55131" t="s">
        <v>17404</v>
      </c>
      <c r="B55131" t="str">
        <f>HYPERLINK("https://lindat.mff.cuni.cz/services/teitok/pdtc10/index.php?action=vallex&amp;frame=v-w11062f2", "vybíhat (v-w11062f2)")</f>
        <v>vybíhat (v-w11062f2)</v>
      </c>
    </row>
    <row r="55132" spans="1:4" x14ac:dyDescent="0.2">
      <c r="B55132" t="s">
        <v>1</v>
      </c>
    </row>
    <row r="55133" spans="1:4" x14ac:dyDescent="0.2">
      <c r="B55133" t="s">
        <v>333</v>
      </c>
    </row>
    <row r="55135" spans="1:4" x14ac:dyDescent="0.2">
      <c r="A55135" t="s">
        <v>17405</v>
      </c>
      <c r="B55135" t="str">
        <f>HYPERLINK("https://lindat.mff.cuni.cz/services/teitok/pdtc10/index.php?action=vallex&amp;frame=v-w11062hsa_1150", "vybíhat (v-w11062hsa_1150)")</f>
        <v>vybíhat (v-w11062hsa_1150)</v>
      </c>
    </row>
    <row r="55136" spans="1:4" x14ac:dyDescent="0.2">
      <c r="B55136" t="s">
        <v>1</v>
      </c>
    </row>
    <row r="55137" spans="1:4" x14ac:dyDescent="0.2">
      <c r="B55137" t="s">
        <v>8</v>
      </c>
    </row>
    <row r="55139" spans="1:4" x14ac:dyDescent="0.2">
      <c r="A55139" t="s">
        <v>17406</v>
      </c>
      <c r="B55139" t="str">
        <f>HYPERLINK("https://lindat.mff.cuni.cz/services/teitok/pdtc10/index.php?action=vallex&amp;frame=v-w7780f1", "vybíjet (v-w7780f1)")</f>
        <v>vybíjet (v-w7780f1)</v>
      </c>
    </row>
    <row r="55140" spans="1:4" x14ac:dyDescent="0.2">
      <c r="B55140" t="s">
        <v>1</v>
      </c>
    </row>
    <row r="55141" spans="1:4" x14ac:dyDescent="0.2">
      <c r="B55141" t="s">
        <v>8</v>
      </c>
    </row>
    <row r="55143" spans="1:4" x14ac:dyDescent="0.2">
      <c r="A55143" t="s">
        <v>17407</v>
      </c>
      <c r="B55143" t="str">
        <f>HYPERLINK("https://lindat.mff.cuni.cz/services/teitok/pdtc10/index.php?action=vallex&amp;frame=v-w7780f2_ZU", "vybíjet (v-w7780f2_ZU)")</f>
        <v>vybíjet (v-w7780f2_ZU)</v>
      </c>
    </row>
    <row r="55144" spans="1:4" x14ac:dyDescent="0.2">
      <c r="B55144" t="s">
        <v>1</v>
      </c>
    </row>
    <row r="55145" spans="1:4" x14ac:dyDescent="0.2">
      <c r="B55145" t="s">
        <v>8</v>
      </c>
    </row>
    <row r="55147" spans="1:4" x14ac:dyDescent="0.2">
      <c r="A55147" t="s">
        <v>17408</v>
      </c>
      <c r="B55147" t="str">
        <f>HYPERLINK("https://lindat.mff.cuni.cz/services/teitok/pdtc10/index.php?action=vallex&amp;frame=v-w10314f2", "vybílit (v-w10314f2)")</f>
        <v>vybílit (v-w10314f2)</v>
      </c>
    </row>
    <row r="55148" spans="1:4" x14ac:dyDescent="0.2">
      <c r="B55148" t="s">
        <v>1</v>
      </c>
    </row>
    <row r="55149" spans="1:4" x14ac:dyDescent="0.2">
      <c r="B55149" t="s">
        <v>8</v>
      </c>
    </row>
    <row r="55151" spans="1:4" x14ac:dyDescent="0.2">
      <c r="A55151" t="s">
        <v>17409</v>
      </c>
      <c r="B55151" t="str">
        <f>HYPERLINK("https://lindat.mff.cuni.cz/services/teitok/pdtc10/index.php?action=vallex&amp;frame=v-w7782f4_ZU", "vybírat (v-w7782f4_ZU)")</f>
        <v>vybírat (v-w7782f4_ZU)</v>
      </c>
    </row>
    <row r="55152" spans="1:4" x14ac:dyDescent="0.2">
      <c r="B55152" t="s">
        <v>1</v>
      </c>
      <c r="C55152" t="s">
        <v>17410</v>
      </c>
      <c r="D55152" t="s">
        <v>20601</v>
      </c>
    </row>
    <row r="55153" spans="1:4" x14ac:dyDescent="0.2">
      <c r="B55153" t="s">
        <v>172</v>
      </c>
      <c r="C55153" t="s">
        <v>17411</v>
      </c>
      <c r="D55153" t="s">
        <v>24136</v>
      </c>
    </row>
    <row r="55154" spans="1:4" x14ac:dyDescent="0.2">
      <c r="B55154" t="s">
        <v>13224</v>
      </c>
      <c r="C55154" t="s">
        <v>17412</v>
      </c>
      <c r="D55154" t="s">
        <v>22284</v>
      </c>
    </row>
    <row r="55155" spans="1:4" x14ac:dyDescent="0.2">
      <c r="B55155" t="s">
        <v>413</v>
      </c>
      <c r="C55155" t="s">
        <v>1290</v>
      </c>
    </row>
    <row r="55157" spans="1:4" x14ac:dyDescent="0.2">
      <c r="A55157" t="s">
        <v>17409</v>
      </c>
      <c r="B55157" t="str">
        <f>HYPERLINK("https://lindat.mff.cuni.cz/services/teitok/pdtc10/index.php?action=vallex&amp;frame=v-w7782f1", "vybírat (v-w7782f1) - substituted with v-w7782f4_ZU")</f>
        <v>vybírat (v-w7782f1) - substituted with v-w7782f4_ZU</v>
      </c>
    </row>
    <row r="55158" spans="1:4" x14ac:dyDescent="0.2">
      <c r="B55158" t="s">
        <v>1</v>
      </c>
      <c r="C55158" t="s">
        <v>2530</v>
      </c>
    </row>
    <row r="55159" spans="1:4" x14ac:dyDescent="0.2">
      <c r="B55159" t="s">
        <v>172</v>
      </c>
      <c r="C55159" t="s">
        <v>17413</v>
      </c>
    </row>
    <row r="55160" spans="1:4" x14ac:dyDescent="0.2">
      <c r="B55160" t="s">
        <v>13224</v>
      </c>
      <c r="C55160" t="s">
        <v>17414</v>
      </c>
    </row>
    <row r="55161" spans="1:4" x14ac:dyDescent="0.2">
      <c r="B55161" t="s">
        <v>413</v>
      </c>
    </row>
    <row r="55163" spans="1:4" x14ac:dyDescent="0.2">
      <c r="A55163" t="s">
        <v>17415</v>
      </c>
      <c r="B55163" t="str">
        <f>HYPERLINK("https://lindat.mff.cuni.cz/services/teitok/pdtc10/index.php?action=vallex&amp;frame=v-w7782f2", "vybírat (v-w7782f2)")</f>
        <v>vybírat (v-w7782f2)</v>
      </c>
    </row>
    <row r="55164" spans="1:4" x14ac:dyDescent="0.2">
      <c r="B55164" t="s">
        <v>1</v>
      </c>
      <c r="C55164" t="s">
        <v>2237</v>
      </c>
    </row>
    <row r="55165" spans="1:4" x14ac:dyDescent="0.2">
      <c r="B55165" t="s">
        <v>8</v>
      </c>
      <c r="C55165" t="s">
        <v>6891</v>
      </c>
    </row>
    <row r="55166" spans="1:4" x14ac:dyDescent="0.2">
      <c r="B55166" t="s">
        <v>321</v>
      </c>
    </row>
    <row r="55168" spans="1:4" x14ac:dyDescent="0.2">
      <c r="A55168" t="s">
        <v>17416</v>
      </c>
      <c r="B55168" t="str">
        <f>HYPERLINK("https://lindat.mff.cuni.cz/services/teitok/pdtc10/index.php?action=vallex&amp;frame=v-w7782f3", "vybírat (v-w7782f3)")</f>
        <v>vybírat (v-w7782f3)</v>
      </c>
    </row>
    <row r="55169" spans="1:4" x14ac:dyDescent="0.2">
      <c r="B55169" t="s">
        <v>1</v>
      </c>
      <c r="C55169" t="s">
        <v>990</v>
      </c>
    </row>
    <row r="55170" spans="1:4" x14ac:dyDescent="0.2">
      <c r="B55170" t="s">
        <v>8</v>
      </c>
      <c r="C55170" t="s">
        <v>1510</v>
      </c>
    </row>
    <row r="55171" spans="1:4" x14ac:dyDescent="0.2">
      <c r="B55171" t="s">
        <v>333</v>
      </c>
      <c r="C55171" t="s">
        <v>7105</v>
      </c>
    </row>
    <row r="55173" spans="1:4" x14ac:dyDescent="0.2">
      <c r="A55173" t="s">
        <v>17417</v>
      </c>
      <c r="B55173" t="str">
        <f>HYPERLINK("https://lindat.mff.cuni.cz/services/teitok/pdtc10/index.php?action=vallex&amp;frame=v-w11050f2", "vybít (v-w11050f2)")</f>
        <v>vybít (v-w11050f2)</v>
      </c>
    </row>
    <row r="55174" spans="1:4" x14ac:dyDescent="0.2">
      <c r="B55174" t="s">
        <v>1</v>
      </c>
      <c r="C55174" t="s">
        <v>140</v>
      </c>
      <c r="D55174" t="s">
        <v>23088</v>
      </c>
    </row>
    <row r="55175" spans="1:4" x14ac:dyDescent="0.2">
      <c r="B55175" t="s">
        <v>8</v>
      </c>
      <c r="C55175" t="s">
        <v>113</v>
      </c>
      <c r="D55175" t="s">
        <v>986</v>
      </c>
    </row>
    <row r="55177" spans="1:4" x14ac:dyDescent="0.2">
      <c r="A55177" t="s">
        <v>17418</v>
      </c>
      <c r="B55177" t="str">
        <f>HYPERLINK("https://lindat.mff.cuni.cz/services/teitok/pdtc10/index.php?action=vallex&amp;frame=v-w11050f3_ZU", "vybít (v-w11050f3_ZU)")</f>
        <v>vybít (v-w11050f3_ZU)</v>
      </c>
    </row>
    <row r="55178" spans="1:4" x14ac:dyDescent="0.2">
      <c r="B55178" t="s">
        <v>1</v>
      </c>
    </row>
    <row r="55179" spans="1:4" x14ac:dyDescent="0.2">
      <c r="B55179" t="s">
        <v>8</v>
      </c>
    </row>
    <row r="55181" spans="1:4" x14ac:dyDescent="0.2">
      <c r="A55181" t="s">
        <v>17419</v>
      </c>
      <c r="B55181" t="str">
        <f>HYPERLINK("https://lindat.mff.cuni.cz/services/teitok/pdtc10/index.php?action=vallex&amp;frame=v-w7783f1", "vybízet (v-w7783f1)")</f>
        <v>vybízet (v-w7783f1)</v>
      </c>
    </row>
    <row r="55182" spans="1:4" x14ac:dyDescent="0.2">
      <c r="B55182" t="s">
        <v>1</v>
      </c>
      <c r="C55182" t="s">
        <v>17420</v>
      </c>
      <c r="D55182" t="s">
        <v>2571</v>
      </c>
    </row>
    <row r="55183" spans="1:4" x14ac:dyDescent="0.2">
      <c r="B55183" t="s">
        <v>2149</v>
      </c>
      <c r="C55183" t="s">
        <v>17421</v>
      </c>
      <c r="D55183" t="s">
        <v>23787</v>
      </c>
    </row>
    <row r="55184" spans="1:4" x14ac:dyDescent="0.2">
      <c r="B55184" t="s">
        <v>58</v>
      </c>
      <c r="C55184" t="s">
        <v>17422</v>
      </c>
      <c r="D55184" t="s">
        <v>23788</v>
      </c>
    </row>
    <row r="55186" spans="1:2" x14ac:dyDescent="0.2">
      <c r="A55186" t="s">
        <v>17423</v>
      </c>
      <c r="B55186" t="str">
        <f>HYPERLINK("https://lindat.mff.cuni.cz/services/teitok/pdtc10/index.php?action=vallex&amp;frame=v-w7806f1", "vybýt (v-w7806f1)")</f>
        <v>vybýt (v-w7806f1)</v>
      </c>
    </row>
    <row r="55187" spans="1:2" x14ac:dyDescent="0.2">
      <c r="B55187" t="s">
        <v>1</v>
      </c>
    </row>
    <row r="55188" spans="1:2" x14ac:dyDescent="0.2">
      <c r="B55188" t="s">
        <v>46</v>
      </c>
    </row>
    <row r="55190" spans="1:2" x14ac:dyDescent="0.2">
      <c r="A55190" t="s">
        <v>17424</v>
      </c>
      <c r="B55190" t="str">
        <f>HYPERLINK("https://lindat.mff.cuni.cz/services/teitok/pdtc10/index.php?action=vallex&amp;frame=v-w7773f2_ZU", "vyběhat (v-w7773f2_ZU)")</f>
        <v>vyběhat (v-w7773f2_ZU)</v>
      </c>
    </row>
    <row r="55191" spans="1:2" x14ac:dyDescent="0.2">
      <c r="B55191" t="s">
        <v>1</v>
      </c>
    </row>
    <row r="55192" spans="1:2" x14ac:dyDescent="0.2">
      <c r="B55192" t="s">
        <v>3526</v>
      </c>
    </row>
    <row r="55194" spans="1:2" x14ac:dyDescent="0.2">
      <c r="A55194" t="s">
        <v>17424</v>
      </c>
      <c r="B55194" t="str">
        <f>HYPERLINK("https://lindat.mff.cuni.cz/services/teitok/pdtc10/index.php?action=vallex&amp;frame=v-w7773f1", "vyběhat (v-w7773f1) - substituted with v-w7773f2_ZU")</f>
        <v>vyběhat (v-w7773f1) - substituted with v-w7773f2_ZU</v>
      </c>
    </row>
    <row r="55195" spans="1:2" x14ac:dyDescent="0.2">
      <c r="B55195" t="s">
        <v>1</v>
      </c>
    </row>
    <row r="55196" spans="1:2" x14ac:dyDescent="0.2">
      <c r="B55196" t="s">
        <v>3526</v>
      </c>
    </row>
    <row r="55198" spans="1:2" x14ac:dyDescent="0.2">
      <c r="A55198" t="s">
        <v>17425</v>
      </c>
      <c r="B55198" t="str">
        <f>HYPERLINK("https://lindat.mff.cuni.cz/services/teitok/pdtc10/index.php?action=vallex&amp;frame=v-w7773hsa_1627", "vyběhat (v-w7773hsa_1627)")</f>
        <v>vyběhat (v-w7773hsa_1627)</v>
      </c>
    </row>
    <row r="55199" spans="1:2" x14ac:dyDescent="0.2">
      <c r="B55199" t="s">
        <v>1</v>
      </c>
    </row>
    <row r="55200" spans="1:2" x14ac:dyDescent="0.2">
      <c r="B55200" t="s">
        <v>8</v>
      </c>
    </row>
    <row r="55202" spans="1:4" x14ac:dyDescent="0.2">
      <c r="A55202" t="s">
        <v>17426</v>
      </c>
      <c r="B55202" t="str">
        <f>HYPERLINK("https://lindat.mff.cuni.cz/services/teitok/pdtc10/index.php?action=vallex&amp;frame=v-w7774f1", "vyběhnout (v-w7774f1)")</f>
        <v>vyběhnout (v-w7774f1)</v>
      </c>
    </row>
    <row r="55203" spans="1:4" x14ac:dyDescent="0.2">
      <c r="B55203" t="s">
        <v>1</v>
      </c>
      <c r="C55203" t="s">
        <v>17427</v>
      </c>
      <c r="D55203" t="s">
        <v>23091</v>
      </c>
    </row>
    <row r="55204" spans="1:4" x14ac:dyDescent="0.2">
      <c r="B55204" t="s">
        <v>333</v>
      </c>
      <c r="D55204" t="s">
        <v>7666</v>
      </c>
    </row>
    <row r="55206" spans="1:4" x14ac:dyDescent="0.2">
      <c r="A55206" t="s">
        <v>17428</v>
      </c>
      <c r="B55206" t="str">
        <f>HYPERLINK("https://lindat.mff.cuni.cz/services/teitok/pdtc10/index.php?action=vallex&amp;frame=v-w7774hsa_334", "vyběhnout (v-w7774hsa_334)")</f>
        <v>vyběhnout (v-w7774hsa_334)</v>
      </c>
    </row>
    <row r="55207" spans="1:4" x14ac:dyDescent="0.2">
      <c r="B55207" t="s">
        <v>1</v>
      </c>
    </row>
    <row r="55208" spans="1:4" x14ac:dyDescent="0.2">
      <c r="B55208" t="s">
        <v>411</v>
      </c>
    </row>
    <row r="55210" spans="1:4" x14ac:dyDescent="0.2">
      <c r="A55210" t="s">
        <v>17429</v>
      </c>
      <c r="B55210" t="str">
        <f>HYPERLINK("https://lindat.mff.cuni.cz/services/teitok/pdtc10/index.php?action=vallex&amp;frame=v-w7774hsa_252", "vyběhnout (v-w7774hsa_252)")</f>
        <v>vyběhnout (v-w7774hsa_252)</v>
      </c>
    </row>
    <row r="55211" spans="1:4" x14ac:dyDescent="0.2">
      <c r="B55211" t="s">
        <v>1</v>
      </c>
    </row>
    <row r="55212" spans="1:4" x14ac:dyDescent="0.2">
      <c r="B55212" t="s">
        <v>8</v>
      </c>
    </row>
    <row r="55214" spans="1:4" x14ac:dyDescent="0.2">
      <c r="A55214" t="s">
        <v>17430</v>
      </c>
      <c r="B55214" t="str">
        <f>HYPERLINK("https://lindat.mff.cuni.cz/services/teitok/pdtc10/index.php?action=vallex&amp;frame=v-whsa_1004hsa_1005", "vycachtat se (v-whsa_1004hsa_1005)")</f>
        <v>vycachtat se (v-whsa_1004hsa_1005)</v>
      </c>
    </row>
    <row r="55215" spans="1:4" x14ac:dyDescent="0.2">
      <c r="B55215" t="s">
        <v>1</v>
      </c>
    </row>
    <row r="55217" spans="1:3" x14ac:dyDescent="0.2">
      <c r="A55217" t="s">
        <v>17431</v>
      </c>
      <c r="B55217" t="str">
        <f>HYPERLINK("https://lindat.mff.cuni.cz/services/teitok/pdtc10/index.php?action=vallex&amp;frame=v-w7807f1", "vycementovat (v-w7807f1)")</f>
        <v>vycementovat (v-w7807f1)</v>
      </c>
    </row>
    <row r="55218" spans="1:3" x14ac:dyDescent="0.2">
      <c r="B55218" t="s">
        <v>1</v>
      </c>
    </row>
    <row r="55219" spans="1:3" x14ac:dyDescent="0.2">
      <c r="B55219" t="s">
        <v>8</v>
      </c>
    </row>
    <row r="55221" spans="1:3" x14ac:dyDescent="0.2">
      <c r="A55221" t="s">
        <v>17432</v>
      </c>
      <c r="B55221" t="str">
        <f>HYPERLINK("https://lindat.mff.cuni.cz/services/teitok/pdtc10/index.php?action=vallex&amp;frame=v-w7808f1", "vycestovat (v-w7808f1)")</f>
        <v>vycestovat (v-w7808f1)</v>
      </c>
    </row>
    <row r="55222" spans="1:3" x14ac:dyDescent="0.2">
      <c r="B55222" t="s">
        <v>1</v>
      </c>
    </row>
    <row r="55223" spans="1:3" x14ac:dyDescent="0.2">
      <c r="B55223" t="s">
        <v>333</v>
      </c>
    </row>
    <row r="55225" spans="1:3" x14ac:dyDescent="0.2">
      <c r="A55225" t="s">
        <v>17433</v>
      </c>
      <c r="B55225" t="str">
        <f>HYPERLINK("https://lindat.mff.cuni.cz/services/teitok/pdtc10/index.php?action=vallex&amp;frame=v-whsa_474hsa_475", "vychladit (v-whsa_474hsa_475)")</f>
        <v>vychladit (v-whsa_474hsa_475)</v>
      </c>
    </row>
    <row r="55226" spans="1:3" x14ac:dyDescent="0.2">
      <c r="B55226" t="s">
        <v>1</v>
      </c>
    </row>
    <row r="55227" spans="1:3" x14ac:dyDescent="0.2">
      <c r="B55227" t="s">
        <v>8</v>
      </c>
    </row>
    <row r="55229" spans="1:3" x14ac:dyDescent="0.2">
      <c r="A55229" t="s">
        <v>17434</v>
      </c>
      <c r="B55229" t="str">
        <f>HYPERLINK("https://lindat.mff.cuni.cz/services/teitok/pdtc10/index.php?action=vallex&amp;frame=v-w7952f1", "vychladnout (v-w7952f1)")</f>
        <v>vychladnout (v-w7952f1)</v>
      </c>
    </row>
    <row r="55230" spans="1:3" x14ac:dyDescent="0.2">
      <c r="B55230" t="s">
        <v>1</v>
      </c>
      <c r="C55230" t="s">
        <v>4011</v>
      </c>
    </row>
    <row r="55232" spans="1:3" x14ac:dyDescent="0.2">
      <c r="A55232" t="s">
        <v>17435</v>
      </c>
      <c r="B55232" t="str">
        <f>HYPERLINK("https://lindat.mff.cuni.cz/services/teitok/pdtc10/index.php?action=vallex&amp;frame=v-w7952f2_ZU", "vychladnout (v-w7952f2_ZU)")</f>
        <v>vychladnout (v-w7952f2_ZU)</v>
      </c>
    </row>
    <row r="55233" spans="1:4" x14ac:dyDescent="0.2">
      <c r="B55233" t="s">
        <v>1</v>
      </c>
    </row>
    <row r="55235" spans="1:4" x14ac:dyDescent="0.2">
      <c r="A55235" t="s">
        <v>17436</v>
      </c>
      <c r="B55235" t="str">
        <f>HYPERLINK("https://lindat.mff.cuni.cz/services/teitok/pdtc10/index.php?action=vallex&amp;frame=v-w11337hsa_26", "vychloubat se (v-w11337hsa_26)")</f>
        <v>vychloubat se (v-w11337hsa_26)</v>
      </c>
    </row>
    <row r="55236" spans="1:4" x14ac:dyDescent="0.2">
      <c r="B55236" t="s">
        <v>1</v>
      </c>
      <c r="C55236" t="s">
        <v>3358</v>
      </c>
      <c r="D55236" t="s">
        <v>4110</v>
      </c>
    </row>
    <row r="55237" spans="1:4" x14ac:dyDescent="0.2">
      <c r="B55237" t="s">
        <v>3374</v>
      </c>
      <c r="C55237" t="s">
        <v>1109</v>
      </c>
      <c r="D55237" t="s">
        <v>17</v>
      </c>
    </row>
    <row r="55238" spans="1:4" x14ac:dyDescent="0.2">
      <c r="B55238" t="s">
        <v>216</v>
      </c>
      <c r="C55238" t="s">
        <v>987</v>
      </c>
      <c r="D55238" t="s">
        <v>987</v>
      </c>
    </row>
    <row r="55240" spans="1:4" x14ac:dyDescent="0.2">
      <c r="A55240" t="s">
        <v>17436</v>
      </c>
      <c r="B55240" t="str">
        <f>HYPERLINK("https://lindat.mff.cuni.cz/services/teitok/pdtc10/index.php?action=vallex&amp;frame=v-w11337f1", "vychloubat se (v-w11337f1) - substituted with v-w11337hsa_26")</f>
        <v>vychloubat se (v-w11337f1) - substituted with v-w11337hsa_26</v>
      </c>
    </row>
    <row r="55241" spans="1:4" x14ac:dyDescent="0.2">
      <c r="B55241" t="s">
        <v>1</v>
      </c>
      <c r="C55241" t="s">
        <v>1065</v>
      </c>
    </row>
    <row r="55242" spans="1:4" x14ac:dyDescent="0.2">
      <c r="B55242" t="s">
        <v>3374</v>
      </c>
      <c r="C55242" t="s">
        <v>2886</v>
      </c>
    </row>
    <row r="55243" spans="1:4" x14ac:dyDescent="0.2">
      <c r="B55243" t="s">
        <v>216</v>
      </c>
      <c r="C55243" t="s">
        <v>987</v>
      </c>
    </row>
    <row r="55245" spans="1:4" x14ac:dyDescent="0.2">
      <c r="A55245" t="s">
        <v>17437</v>
      </c>
      <c r="B55245" t="str">
        <f>HYPERLINK("https://lindat.mff.cuni.cz/services/teitok/pdtc10/index.php?action=vallex&amp;frame=v-w7954f1", "vychodit (v-w7954f1)")</f>
        <v>vychodit (v-w7954f1)</v>
      </c>
    </row>
    <row r="55246" spans="1:4" x14ac:dyDescent="0.2">
      <c r="B55246" t="s">
        <v>1</v>
      </c>
    </row>
    <row r="55247" spans="1:4" x14ac:dyDescent="0.2">
      <c r="B55247" t="s">
        <v>8</v>
      </c>
    </row>
    <row r="55249" spans="1:4" x14ac:dyDescent="0.2">
      <c r="A55249" t="s">
        <v>17438</v>
      </c>
      <c r="B55249" t="str">
        <f>HYPERLINK("https://lindat.mff.cuni.cz/services/teitok/pdtc10/index.php?action=vallex&amp;frame=v-w7956f2", "vychovat (v-w7956f2)")</f>
        <v>vychovat (v-w7956f2)</v>
      </c>
    </row>
    <row r="55250" spans="1:4" x14ac:dyDescent="0.2">
      <c r="B55250" t="s">
        <v>1</v>
      </c>
    </row>
    <row r="55251" spans="1:4" x14ac:dyDescent="0.2">
      <c r="B55251" t="s">
        <v>8</v>
      </c>
    </row>
    <row r="55252" spans="1:4" x14ac:dyDescent="0.2">
      <c r="B55252" t="s">
        <v>24</v>
      </c>
    </row>
    <row r="55254" spans="1:4" x14ac:dyDescent="0.2">
      <c r="A55254" t="s">
        <v>17439</v>
      </c>
      <c r="B55254" t="str">
        <f>HYPERLINK("https://lindat.mff.cuni.cz/services/teitok/pdtc10/index.php?action=vallex&amp;frame=v-w7956f1", "vychovat (v-w7956f1)")</f>
        <v>vychovat (v-w7956f1)</v>
      </c>
    </row>
    <row r="55255" spans="1:4" x14ac:dyDescent="0.2">
      <c r="B55255" t="s">
        <v>1</v>
      </c>
      <c r="C55255" t="s">
        <v>140</v>
      </c>
      <c r="D55255" t="s">
        <v>7522</v>
      </c>
    </row>
    <row r="55256" spans="1:4" x14ac:dyDescent="0.2">
      <c r="B55256" t="s">
        <v>8</v>
      </c>
      <c r="C55256" t="s">
        <v>23</v>
      </c>
      <c r="D55256" t="s">
        <v>3626</v>
      </c>
    </row>
    <row r="55258" spans="1:4" x14ac:dyDescent="0.2">
      <c r="A55258" t="s">
        <v>17440</v>
      </c>
      <c r="B55258" t="str">
        <f>HYPERLINK("https://lindat.mff.cuni.cz/services/teitok/pdtc10/index.php?action=vallex&amp;frame=v-w7958f2", "vychovávat (v-w7958f2)")</f>
        <v>vychovávat (v-w7958f2)</v>
      </c>
    </row>
    <row r="55259" spans="1:4" x14ac:dyDescent="0.2">
      <c r="B55259" t="s">
        <v>1</v>
      </c>
    </row>
    <row r="55260" spans="1:4" x14ac:dyDescent="0.2">
      <c r="B55260" t="s">
        <v>8</v>
      </c>
    </row>
    <row r="55261" spans="1:4" x14ac:dyDescent="0.2">
      <c r="B55261" t="s">
        <v>24</v>
      </c>
    </row>
    <row r="55263" spans="1:4" x14ac:dyDescent="0.2">
      <c r="A55263" t="s">
        <v>17441</v>
      </c>
      <c r="B55263" t="str">
        <f>HYPERLINK("https://lindat.mff.cuni.cz/services/teitok/pdtc10/index.php?action=vallex&amp;frame=v-w7958f1", "vychovávat (v-w7958f1)")</f>
        <v>vychovávat (v-w7958f1)</v>
      </c>
    </row>
    <row r="55264" spans="1:4" x14ac:dyDescent="0.2">
      <c r="B55264" t="s">
        <v>1</v>
      </c>
    </row>
    <row r="55265" spans="1:4" x14ac:dyDescent="0.2">
      <c r="B55265" t="s">
        <v>8</v>
      </c>
      <c r="C55265" t="s">
        <v>1128</v>
      </c>
    </row>
    <row r="55267" spans="1:4" x14ac:dyDescent="0.2">
      <c r="A55267" t="s">
        <v>17442</v>
      </c>
      <c r="B55267" t="str">
        <f>HYPERLINK("https://lindat.mff.cuni.cz/services/teitok/pdtc10/index.php?action=vallex&amp;frame=v-w7959f1", "vychrlit (v-w7959f1)")</f>
        <v>vychrlit (v-w7959f1)</v>
      </c>
    </row>
    <row r="55268" spans="1:4" x14ac:dyDescent="0.2">
      <c r="B55268" t="s">
        <v>1</v>
      </c>
      <c r="C55268" t="s">
        <v>140</v>
      </c>
    </row>
    <row r="55269" spans="1:4" x14ac:dyDescent="0.2">
      <c r="B55269" t="s">
        <v>3268</v>
      </c>
      <c r="C55269" t="s">
        <v>34</v>
      </c>
    </row>
    <row r="55270" spans="1:4" x14ac:dyDescent="0.2">
      <c r="B55270" t="s">
        <v>3527</v>
      </c>
    </row>
    <row r="55272" spans="1:4" x14ac:dyDescent="0.2">
      <c r="A55272" t="s">
        <v>17443</v>
      </c>
      <c r="B55272" t="str">
        <f>HYPERLINK("https://lindat.mff.cuni.cz/services/teitok/pdtc10/index.php?action=vallex&amp;frame=v-w7959f2_ZU", "vychrlit (v-w7959f2_ZU)")</f>
        <v>vychrlit (v-w7959f2_ZU)</v>
      </c>
    </row>
    <row r="55273" spans="1:4" x14ac:dyDescent="0.2">
      <c r="B55273" t="s">
        <v>1</v>
      </c>
      <c r="C55273" t="s">
        <v>373</v>
      </c>
    </row>
    <row r="55274" spans="1:4" x14ac:dyDescent="0.2">
      <c r="B55274" t="s">
        <v>8</v>
      </c>
      <c r="C55274" t="s">
        <v>1340</v>
      </c>
    </row>
    <row r="55276" spans="1:4" x14ac:dyDescent="0.2">
      <c r="A55276" t="s">
        <v>17444</v>
      </c>
      <c r="B55276" t="str">
        <f>HYPERLINK("https://lindat.mff.cuni.cz/services/teitok/pdtc10/index.php?action=vallex&amp;frame=v-w7960f1", "vychutnat (v-w7960f1)")</f>
        <v>vychutnat (v-w7960f1)</v>
      </c>
    </row>
    <row r="55277" spans="1:4" x14ac:dyDescent="0.2">
      <c r="B55277" t="s">
        <v>1</v>
      </c>
      <c r="D55277" t="s">
        <v>2400</v>
      </c>
    </row>
    <row r="55278" spans="1:4" x14ac:dyDescent="0.2">
      <c r="B55278" t="s">
        <v>41</v>
      </c>
      <c r="D55278" t="s">
        <v>23178</v>
      </c>
    </row>
    <row r="55280" spans="1:4" x14ac:dyDescent="0.2">
      <c r="A55280" t="s">
        <v>17445</v>
      </c>
      <c r="B55280" t="str">
        <f>HYPERLINK("https://lindat.mff.cuni.cz/services/teitok/pdtc10/index.php?action=vallex&amp;frame=v-w7961f1", "vychutnat si (v-w7961f1)")</f>
        <v>vychutnat si (v-w7961f1)</v>
      </c>
    </row>
    <row r="55281" spans="1:4" x14ac:dyDescent="0.2">
      <c r="B55281" t="s">
        <v>1</v>
      </c>
      <c r="C55281" t="s">
        <v>1077</v>
      </c>
      <c r="D55281" t="s">
        <v>2400</v>
      </c>
    </row>
    <row r="55282" spans="1:4" x14ac:dyDescent="0.2">
      <c r="B55282" t="s">
        <v>124</v>
      </c>
      <c r="C55282" t="s">
        <v>3308</v>
      </c>
      <c r="D55282" t="s">
        <v>23178</v>
      </c>
    </row>
    <row r="55284" spans="1:4" x14ac:dyDescent="0.2">
      <c r="A55284" t="s">
        <v>17446</v>
      </c>
      <c r="B55284" t="str">
        <f>HYPERLINK("https://lindat.mff.cuni.cz/services/teitok/pdtc10/index.php?action=vallex&amp;frame=v-w11310f1", "vychutnávat si (v-w11310f1)")</f>
        <v>vychutnávat si (v-w11310f1)</v>
      </c>
    </row>
    <row r="55285" spans="1:4" x14ac:dyDescent="0.2">
      <c r="B55285" t="s">
        <v>1</v>
      </c>
      <c r="C55285" t="s">
        <v>2353</v>
      </c>
      <c r="D55285" t="s">
        <v>2400</v>
      </c>
    </row>
    <row r="55286" spans="1:4" x14ac:dyDescent="0.2">
      <c r="B55286" t="s">
        <v>124</v>
      </c>
      <c r="C55286" t="s">
        <v>977</v>
      </c>
      <c r="D55286" t="s">
        <v>23178</v>
      </c>
    </row>
    <row r="55288" spans="1:4" x14ac:dyDescent="0.2">
      <c r="A55288" t="s">
        <v>17447</v>
      </c>
      <c r="B55288" t="str">
        <f>HYPERLINK("https://lindat.mff.cuni.cz/services/teitok/pdtc10/index.php?action=vallex&amp;frame=v-w11310hsa_1233", "vychutnávat si (v-w11310hsa_1233)")</f>
        <v>vychutnávat si (v-w11310hsa_1233)</v>
      </c>
    </row>
    <row r="55289" spans="1:4" x14ac:dyDescent="0.2">
      <c r="B55289" t="s">
        <v>1</v>
      </c>
    </row>
    <row r="55290" spans="1:4" x14ac:dyDescent="0.2">
      <c r="B55290" t="s">
        <v>8</v>
      </c>
    </row>
    <row r="55292" spans="1:4" x14ac:dyDescent="0.2">
      <c r="A55292" t="s">
        <v>17448</v>
      </c>
      <c r="B55292" t="str">
        <f>HYPERLINK("https://lindat.mff.cuni.cz/services/teitok/pdtc10/index.php?action=vallex&amp;frame=v-w7963f1", "vychvalovat (v-w7963f1)")</f>
        <v>vychvalovat (v-w7963f1)</v>
      </c>
    </row>
    <row r="55293" spans="1:4" x14ac:dyDescent="0.2">
      <c r="B55293" t="s">
        <v>1</v>
      </c>
      <c r="C55293" t="s">
        <v>92</v>
      </c>
      <c r="D55293" t="s">
        <v>1581</v>
      </c>
    </row>
    <row r="55294" spans="1:4" x14ac:dyDescent="0.2">
      <c r="B55294" t="s">
        <v>7992</v>
      </c>
      <c r="C55294" t="s">
        <v>17</v>
      </c>
      <c r="D55294" t="s">
        <v>23058</v>
      </c>
    </row>
    <row r="55296" spans="1:4" x14ac:dyDescent="0.2">
      <c r="A55296" t="s">
        <v>17449</v>
      </c>
      <c r="B55296" t="str">
        <f>HYPERLINK("https://lindat.mff.cuni.cz/services/teitok/pdtc10/index.php?action=vallex&amp;frame=v-whsa_691f1_ZU", "vychylovat se (v-whsa_691f1_ZU)")</f>
        <v>vychylovat se (v-whsa_691f1_ZU)</v>
      </c>
    </row>
    <row r="55297" spans="1:4" x14ac:dyDescent="0.2">
      <c r="B55297" t="s">
        <v>1</v>
      </c>
      <c r="D55297" t="s">
        <v>23346</v>
      </c>
    </row>
    <row r="55299" spans="1:4" x14ac:dyDescent="0.2">
      <c r="A55299" t="s">
        <v>17449</v>
      </c>
      <c r="B55299" t="str">
        <f>HYPERLINK("https://lindat.mff.cuni.cz/services/teitok/pdtc10/index.php?action=vallex&amp;frame=v-whsa_691hsa_692", "vychylovat se (v-whsa_691hsa_692) - substituted with v-whsa_691f1_ZU")</f>
        <v>vychylovat se (v-whsa_691hsa_692) - substituted with v-whsa_691f1_ZU</v>
      </c>
    </row>
    <row r="55300" spans="1:4" x14ac:dyDescent="0.2">
      <c r="B55300" t="s">
        <v>1</v>
      </c>
    </row>
    <row r="55302" spans="1:4" x14ac:dyDescent="0.2">
      <c r="A55302" t="s">
        <v>17450</v>
      </c>
      <c r="B55302" t="str">
        <f>HYPERLINK("https://lindat.mff.cuni.cz/services/teitok/pdtc10/index.php?action=vallex&amp;frame=v-w7965f1", "vychytat (v-w7965f1)")</f>
        <v>vychytat (v-w7965f1)</v>
      </c>
    </row>
    <row r="55303" spans="1:4" x14ac:dyDescent="0.2">
      <c r="B55303" t="s">
        <v>1</v>
      </c>
    </row>
    <row r="55304" spans="1:4" x14ac:dyDescent="0.2">
      <c r="B55304" t="s">
        <v>8</v>
      </c>
    </row>
    <row r="55306" spans="1:4" x14ac:dyDescent="0.2">
      <c r="A55306" t="s">
        <v>17451</v>
      </c>
      <c r="B55306" t="str">
        <f>HYPERLINK("https://lindat.mff.cuni.cz/services/teitok/pdtc10/index.php?action=vallex&amp;frame=v-w7965f2", "vychytat (v-w7965f2)")</f>
        <v>vychytat (v-w7965f2)</v>
      </c>
    </row>
    <row r="55307" spans="1:4" x14ac:dyDescent="0.2">
      <c r="B55307" t="s">
        <v>1</v>
      </c>
    </row>
    <row r="55308" spans="1:4" x14ac:dyDescent="0.2">
      <c r="B55308" t="s">
        <v>8</v>
      </c>
    </row>
    <row r="55310" spans="1:4" x14ac:dyDescent="0.2">
      <c r="A55310" t="s">
        <v>17452</v>
      </c>
      <c r="B55310" t="str">
        <f>HYPERLINK("https://lindat.mff.cuni.cz/services/teitok/pdtc10/index.php?action=vallex&amp;frame=v-w7951f12", "vycházet (v-w7951f12)")</f>
        <v>vycházet (v-w7951f12)</v>
      </c>
    </row>
    <row r="55311" spans="1:4" x14ac:dyDescent="0.2">
      <c r="B55311" t="s">
        <v>196</v>
      </c>
    </row>
    <row r="55312" spans="1:4" x14ac:dyDescent="0.2">
      <c r="B55312" t="s">
        <v>17453</v>
      </c>
    </row>
    <row r="55314" spans="1:4" x14ac:dyDescent="0.2">
      <c r="A55314" t="s">
        <v>17454</v>
      </c>
      <c r="B55314" t="str">
        <f>HYPERLINK("https://lindat.mff.cuni.cz/services/teitok/pdtc10/index.php?action=vallex&amp;frame=v-w7951f14", "vycházet (v-w7951f14)")</f>
        <v>vycházet (v-w7951f14)</v>
      </c>
    </row>
    <row r="55315" spans="1:4" x14ac:dyDescent="0.2">
      <c r="B55315" t="s">
        <v>1</v>
      </c>
    </row>
    <row r="55316" spans="1:4" x14ac:dyDescent="0.2">
      <c r="B55316" t="s">
        <v>8</v>
      </c>
    </row>
    <row r="55318" spans="1:4" x14ac:dyDescent="0.2">
      <c r="A55318" t="s">
        <v>17455</v>
      </c>
      <c r="B55318" t="str">
        <f>HYPERLINK("https://lindat.mff.cuni.cz/services/teitok/pdtc10/index.php?action=vallex&amp;frame=v-w7951f17", "vycházet (v-w7951f17)")</f>
        <v>vycházet (v-w7951f17)</v>
      </c>
    </row>
    <row r="55319" spans="1:4" x14ac:dyDescent="0.2">
      <c r="B55319" t="s">
        <v>1</v>
      </c>
      <c r="D55319" t="s">
        <v>24217</v>
      </c>
    </row>
    <row r="55320" spans="1:4" x14ac:dyDescent="0.2">
      <c r="B55320" t="s">
        <v>28</v>
      </c>
      <c r="D55320" t="s">
        <v>24360</v>
      </c>
    </row>
    <row r="55322" spans="1:4" x14ac:dyDescent="0.2">
      <c r="A55322" t="s">
        <v>17456</v>
      </c>
      <c r="B55322" t="str">
        <f>HYPERLINK("https://lindat.mff.cuni.cz/services/teitok/pdtc10/index.php?action=vallex&amp;frame=v-w7951f13", "vycházet (v-w7951f13)")</f>
        <v>vycházet (v-w7951f13)</v>
      </c>
    </row>
    <row r="55323" spans="1:4" x14ac:dyDescent="0.2">
      <c r="B55323" t="s">
        <v>1</v>
      </c>
    </row>
    <row r="55324" spans="1:4" x14ac:dyDescent="0.2">
      <c r="B55324" t="s">
        <v>28</v>
      </c>
    </row>
    <row r="55326" spans="1:4" x14ac:dyDescent="0.2">
      <c r="A55326" t="s">
        <v>17457</v>
      </c>
      <c r="B55326" t="str">
        <f>HYPERLINK("https://lindat.mff.cuni.cz/services/teitok/pdtc10/index.php?action=vallex&amp;frame=v-w7951f8", "vycházet (v-w7951f8)")</f>
        <v>vycházet (v-w7951f8)</v>
      </c>
    </row>
    <row r="55327" spans="1:4" x14ac:dyDescent="0.2">
      <c r="B55327" t="s">
        <v>1</v>
      </c>
    </row>
    <row r="55328" spans="1:4" x14ac:dyDescent="0.2">
      <c r="B55328" t="s">
        <v>411</v>
      </c>
    </row>
    <row r="55330" spans="1:4" x14ac:dyDescent="0.2">
      <c r="A55330" t="s">
        <v>17458</v>
      </c>
      <c r="B55330" t="str">
        <f>HYPERLINK("https://lindat.mff.cuni.cz/services/teitok/pdtc10/index.php?action=vallex&amp;frame=v-w7951f4", "vycházet (v-w7951f4)")</f>
        <v>vycházet (v-w7951f4)</v>
      </c>
    </row>
    <row r="55331" spans="1:4" x14ac:dyDescent="0.2">
      <c r="B55331" t="s">
        <v>1</v>
      </c>
      <c r="C55331" t="s">
        <v>13801</v>
      </c>
      <c r="D55331" t="s">
        <v>23789</v>
      </c>
    </row>
    <row r="55332" spans="1:4" x14ac:dyDescent="0.2">
      <c r="B55332" t="s">
        <v>1258</v>
      </c>
      <c r="C55332" t="s">
        <v>17459</v>
      </c>
      <c r="D55332" t="s">
        <v>23790</v>
      </c>
    </row>
    <row r="55334" spans="1:4" x14ac:dyDescent="0.2">
      <c r="A55334" t="s">
        <v>17460</v>
      </c>
      <c r="B55334" t="str">
        <f>HYPERLINK("https://lindat.mff.cuni.cz/services/teitok/pdtc10/index.php?action=vallex&amp;frame=v-w7951f1", "vycházet (v-w7951f1)")</f>
        <v>vycházet (v-w7951f1)</v>
      </c>
    </row>
    <row r="55335" spans="1:4" x14ac:dyDescent="0.2">
      <c r="B55335" t="s">
        <v>1</v>
      </c>
      <c r="C55335" t="s">
        <v>17461</v>
      </c>
      <c r="D55335" t="s">
        <v>23789</v>
      </c>
    </row>
    <row r="55336" spans="1:4" x14ac:dyDescent="0.2">
      <c r="B55336" t="s">
        <v>168</v>
      </c>
      <c r="C55336" t="s">
        <v>17462</v>
      </c>
      <c r="D55336" t="s">
        <v>23790</v>
      </c>
    </row>
    <row r="55338" spans="1:4" x14ac:dyDescent="0.2">
      <c r="A55338" t="s">
        <v>17463</v>
      </c>
      <c r="B55338" t="str">
        <f>HYPERLINK("https://lindat.mff.cuni.cz/services/teitok/pdtc10/index.php?action=vallex&amp;frame=v-w7951f11", "vycházet (v-w7951f11)")</f>
        <v>vycházet (v-w7951f11)</v>
      </c>
    </row>
    <row r="55339" spans="1:4" x14ac:dyDescent="0.2">
      <c r="B55339" t="s">
        <v>1</v>
      </c>
      <c r="C55339" t="s">
        <v>2264</v>
      </c>
    </row>
    <row r="55340" spans="1:4" x14ac:dyDescent="0.2">
      <c r="B55340" t="s">
        <v>168</v>
      </c>
    </row>
    <row r="55341" spans="1:4" x14ac:dyDescent="0.2">
      <c r="B55341" t="s">
        <v>346</v>
      </c>
    </row>
    <row r="55342" spans="1:4" x14ac:dyDescent="0.2">
      <c r="B55342" t="s">
        <v>2009</v>
      </c>
    </row>
    <row r="55344" spans="1:4" x14ac:dyDescent="0.2">
      <c r="A55344" t="s">
        <v>17464</v>
      </c>
      <c r="B55344" t="str">
        <f>HYPERLINK("https://lindat.mff.cuni.cz/services/teitok/pdtc10/index.php?action=vallex&amp;frame=v-w7951f16", "vycházet (v-w7951f16)")</f>
        <v>vycházet (v-w7951f16)</v>
      </c>
    </row>
    <row r="55345" spans="1:4" x14ac:dyDescent="0.2">
      <c r="B55345" t="s">
        <v>1</v>
      </c>
    </row>
    <row r="55346" spans="1:4" x14ac:dyDescent="0.2">
      <c r="B55346" t="s">
        <v>168</v>
      </c>
    </row>
    <row r="55348" spans="1:4" x14ac:dyDescent="0.2">
      <c r="A55348" t="s">
        <v>17465</v>
      </c>
      <c r="B55348" t="str">
        <f>HYPERLINK("https://lindat.mff.cuni.cz/services/teitok/pdtc10/index.php?action=vallex&amp;frame=v-w7951f6", "vycházet (v-w7951f6)")</f>
        <v>vycházet (v-w7951f6)</v>
      </c>
    </row>
    <row r="55349" spans="1:4" x14ac:dyDescent="0.2">
      <c r="B55349" t="s">
        <v>1</v>
      </c>
      <c r="C55349" t="s">
        <v>12077</v>
      </c>
    </row>
    <row r="55350" spans="1:4" x14ac:dyDescent="0.2">
      <c r="B55350" t="s">
        <v>333</v>
      </c>
    </row>
    <row r="55352" spans="1:4" x14ac:dyDescent="0.2">
      <c r="A55352" t="s">
        <v>17466</v>
      </c>
      <c r="B55352" t="str">
        <f>HYPERLINK("https://lindat.mff.cuni.cz/services/teitok/pdtc10/index.php?action=vallex&amp;frame=v-w7951f15", "vycházet (v-w7951f15)")</f>
        <v>vycházet (v-w7951f15)</v>
      </c>
    </row>
    <row r="55353" spans="1:4" x14ac:dyDescent="0.2">
      <c r="B55353" t="s">
        <v>1</v>
      </c>
      <c r="D55353" t="s">
        <v>3742</v>
      </c>
    </row>
    <row r="55354" spans="1:4" x14ac:dyDescent="0.2">
      <c r="B55354" t="s">
        <v>90</v>
      </c>
    </row>
    <row r="55356" spans="1:4" x14ac:dyDescent="0.2">
      <c r="A55356" t="s">
        <v>17467</v>
      </c>
      <c r="B55356" t="str">
        <f>HYPERLINK("https://lindat.mff.cuni.cz/services/teitok/pdtc10/index.php?action=vallex&amp;frame=v-w7951hsa_391", "vycházet (v-w7951hsa_391)")</f>
        <v>vycházet (v-w7951hsa_391)</v>
      </c>
    </row>
    <row r="55357" spans="1:4" x14ac:dyDescent="0.2">
      <c r="B55357" t="s">
        <v>1</v>
      </c>
      <c r="C55357" t="s">
        <v>364</v>
      </c>
      <c r="D55357" t="s">
        <v>17822</v>
      </c>
    </row>
    <row r="55358" spans="1:4" x14ac:dyDescent="0.2">
      <c r="B55358" t="s">
        <v>17468</v>
      </c>
      <c r="C55358" t="s">
        <v>4861</v>
      </c>
      <c r="D55358" t="s">
        <v>24361</v>
      </c>
    </row>
    <row r="55360" spans="1:4" x14ac:dyDescent="0.2">
      <c r="A55360" t="s">
        <v>17467</v>
      </c>
      <c r="B55360" t="str">
        <f>HYPERLINK("https://lindat.mff.cuni.cz/services/teitok/pdtc10/index.php?action=vallex&amp;frame=v-w7951f9", "vycházet (v-w7951f9) - substituted with v-w7951hsa_391")</f>
        <v>vycházet (v-w7951f9) - substituted with v-w7951hsa_391</v>
      </c>
    </row>
    <row r="55361" spans="1:3" x14ac:dyDescent="0.2">
      <c r="B55361" t="s">
        <v>1</v>
      </c>
    </row>
    <row r="55362" spans="1:3" x14ac:dyDescent="0.2">
      <c r="B55362" t="s">
        <v>17468</v>
      </c>
    </row>
    <row r="55364" spans="1:3" x14ac:dyDescent="0.2">
      <c r="A55364" t="s">
        <v>17469</v>
      </c>
      <c r="B55364" t="str">
        <f>HYPERLINK("https://lindat.mff.cuni.cz/services/teitok/pdtc10/index.php?action=vallex&amp;frame=v-w7951f5", "vycházet (v-w7951f5)")</f>
        <v>vycházet (v-w7951f5)</v>
      </c>
    </row>
    <row r="55365" spans="1:3" x14ac:dyDescent="0.2">
      <c r="B55365" t="s">
        <v>196</v>
      </c>
    </row>
    <row r="55367" spans="1:3" x14ac:dyDescent="0.2">
      <c r="A55367" t="s">
        <v>17470</v>
      </c>
      <c r="B55367" t="str">
        <f>HYPERLINK("https://lindat.mff.cuni.cz/services/teitok/pdtc10/index.php?action=vallex&amp;frame=v-w7951f2", "vycházet (v-w7951f2)")</f>
        <v>vycházet (v-w7951f2)</v>
      </c>
    </row>
    <row r="55368" spans="1:3" x14ac:dyDescent="0.2">
      <c r="B55368" t="s">
        <v>1</v>
      </c>
    </row>
    <row r="55370" spans="1:3" x14ac:dyDescent="0.2">
      <c r="A55370" t="s">
        <v>17471</v>
      </c>
      <c r="B55370" t="str">
        <f>HYPERLINK("https://lindat.mff.cuni.cz/services/teitok/pdtc10/index.php?action=vallex&amp;frame=v-w7951f3", "vycházet (v-w7951f3)")</f>
        <v>vycházet (v-w7951f3)</v>
      </c>
    </row>
    <row r="55371" spans="1:3" x14ac:dyDescent="0.2">
      <c r="B55371" t="s">
        <v>1</v>
      </c>
      <c r="C55371" t="s">
        <v>364</v>
      </c>
    </row>
    <row r="55373" spans="1:3" x14ac:dyDescent="0.2">
      <c r="A55373" t="s">
        <v>17472</v>
      </c>
      <c r="B55373" t="str">
        <f>HYPERLINK("https://lindat.mff.cuni.cz/services/teitok/pdtc10/index.php?action=vallex&amp;frame=v-w7951f10", "vycházet (v-w7951f10)")</f>
        <v>vycházet (v-w7951f10)</v>
      </c>
    </row>
    <row r="55374" spans="1:3" x14ac:dyDescent="0.2">
      <c r="B55374" t="s">
        <v>1</v>
      </c>
    </row>
    <row r="55375" spans="1:3" x14ac:dyDescent="0.2">
      <c r="B55375" t="s">
        <v>17473</v>
      </c>
    </row>
    <row r="55376" spans="1:3" x14ac:dyDescent="0.2">
      <c r="B55376" t="s">
        <v>103</v>
      </c>
    </row>
    <row r="55378" spans="1:4" x14ac:dyDescent="0.2">
      <c r="A55378" t="s">
        <v>17474</v>
      </c>
      <c r="B55378" t="str">
        <f>HYPERLINK("https://lindat.mff.cuni.cz/services/teitok/pdtc10/index.php?action=vallex&amp;frame=v-w7951f7", "vycházet (v-w7951f7)")</f>
        <v>vycházet (v-w7951f7)</v>
      </c>
    </row>
    <row r="55379" spans="1:4" x14ac:dyDescent="0.2">
      <c r="B55379" t="s">
        <v>488</v>
      </c>
      <c r="C55379" t="s">
        <v>2264</v>
      </c>
      <c r="D55379" t="s">
        <v>7870</v>
      </c>
    </row>
    <row r="55380" spans="1:4" x14ac:dyDescent="0.2">
      <c r="B55380" t="s">
        <v>2595</v>
      </c>
    </row>
    <row r="55382" spans="1:4" x14ac:dyDescent="0.2">
      <c r="A55382" t="s">
        <v>17475</v>
      </c>
      <c r="B55382" t="str">
        <f>HYPERLINK("https://lindat.mff.cuni.cz/services/teitok/pdtc10/index.php?action=vallex&amp;frame=v-w7951f18_ZU", "vycházet (v-w7951f18_ZU)")</f>
        <v>vycházet (v-w7951f18_ZU)</v>
      </c>
    </row>
    <row r="55383" spans="1:4" x14ac:dyDescent="0.2">
      <c r="B55383" t="s">
        <v>455</v>
      </c>
    </row>
    <row r="55384" spans="1:4" x14ac:dyDescent="0.2">
      <c r="B55384" t="s">
        <v>17476</v>
      </c>
    </row>
    <row r="55386" spans="1:4" x14ac:dyDescent="0.2">
      <c r="A55386" t="s">
        <v>17477</v>
      </c>
      <c r="B55386" t="str">
        <f>HYPERLINK("https://lindat.mff.cuni.cz/services/teitok/pdtc10/index.php?action=vallex&amp;frame=v-w7951f19_ZU", "vycházet (v-w7951f19_ZU)")</f>
        <v>vycházet (v-w7951f19_ZU)</v>
      </c>
    </row>
    <row r="55387" spans="1:4" x14ac:dyDescent="0.2">
      <c r="B55387" t="s">
        <v>1</v>
      </c>
    </row>
    <row r="55388" spans="1:4" x14ac:dyDescent="0.2">
      <c r="B55388" t="s">
        <v>86</v>
      </c>
    </row>
    <row r="55390" spans="1:4" x14ac:dyDescent="0.2">
      <c r="A55390" t="s">
        <v>17478</v>
      </c>
      <c r="B55390" t="str">
        <f>HYPERLINK("https://lindat.mff.cuni.cz/services/teitok/pdtc10/index.php?action=vallex&amp;frame=v-w7951f20_MM", "vycházet (v-w7951f20_MM)")</f>
        <v>vycházet (v-w7951f20_MM)</v>
      </c>
    </row>
    <row r="55391" spans="1:4" x14ac:dyDescent="0.2">
      <c r="B55391" t="s">
        <v>1</v>
      </c>
    </row>
    <row r="55392" spans="1:4" x14ac:dyDescent="0.2">
      <c r="B55392" t="s">
        <v>17479</v>
      </c>
    </row>
    <row r="55394" spans="1:4" x14ac:dyDescent="0.2">
      <c r="A55394" t="s">
        <v>17480</v>
      </c>
      <c r="B55394" t="str">
        <f>HYPERLINK("https://lindat.mff.cuni.cz/services/teitok/pdtc10/index.php?action=vallex&amp;frame=v-w7964f1", "vychýlit (v-w7964f1)")</f>
        <v>vychýlit (v-w7964f1)</v>
      </c>
    </row>
    <row r="55395" spans="1:4" x14ac:dyDescent="0.2">
      <c r="B55395" t="s">
        <v>1</v>
      </c>
    </row>
    <row r="55396" spans="1:4" x14ac:dyDescent="0.2">
      <c r="B55396" t="s">
        <v>8</v>
      </c>
    </row>
    <row r="55398" spans="1:4" x14ac:dyDescent="0.2">
      <c r="A55398" t="s">
        <v>17481</v>
      </c>
      <c r="B55398" t="str">
        <f>HYPERLINK("https://lindat.mff.cuni.cz/services/teitok/pdtc10/index.php?action=vallex&amp;frame=v-w11276f1", "vychýlit se (v-w11276f1)")</f>
        <v>vychýlit se (v-w11276f1)</v>
      </c>
    </row>
    <row r="55399" spans="1:4" x14ac:dyDescent="0.2">
      <c r="B55399" t="s">
        <v>1</v>
      </c>
      <c r="C55399" t="s">
        <v>11233</v>
      </c>
      <c r="D55399" t="s">
        <v>23346</v>
      </c>
    </row>
    <row r="55401" spans="1:4" x14ac:dyDescent="0.2">
      <c r="A55401" t="s">
        <v>17482</v>
      </c>
      <c r="B55401" t="str">
        <f>HYPERLINK("https://lindat.mff.cuni.cz/services/teitok/pdtc10/index.php?action=vallex&amp;frame=v-w7810f1", "vycouvat (v-w7810f1)")</f>
        <v>vycouvat (v-w7810f1)</v>
      </c>
    </row>
    <row r="55402" spans="1:4" x14ac:dyDescent="0.2">
      <c r="B55402" t="s">
        <v>1</v>
      </c>
      <c r="C55402" t="s">
        <v>17483</v>
      </c>
      <c r="D55402" t="s">
        <v>23064</v>
      </c>
    </row>
    <row r="55403" spans="1:4" x14ac:dyDescent="0.2">
      <c r="B55403" t="s">
        <v>333</v>
      </c>
      <c r="D55403" t="s">
        <v>24362</v>
      </c>
    </row>
    <row r="55405" spans="1:4" x14ac:dyDescent="0.2">
      <c r="A55405" t="s">
        <v>17484</v>
      </c>
      <c r="B55405" t="str">
        <f>HYPERLINK("https://lindat.mff.cuni.cz/services/teitok/pdtc10/index.php?action=vallex&amp;frame=v-w7810f2", "vycouvat (v-w7810f2)")</f>
        <v>vycouvat (v-w7810f2)</v>
      </c>
    </row>
    <row r="55406" spans="1:4" x14ac:dyDescent="0.2">
      <c r="B55406" t="s">
        <v>1</v>
      </c>
    </row>
    <row r="55407" spans="1:4" x14ac:dyDescent="0.2">
      <c r="B55407" t="s">
        <v>333</v>
      </c>
    </row>
    <row r="55409" spans="1:2" x14ac:dyDescent="0.2">
      <c r="A55409" t="s">
        <v>17485</v>
      </c>
      <c r="B55409" t="str">
        <f>HYPERLINK("https://lindat.mff.cuni.cz/services/teitok/pdtc10/index.php?action=vallex&amp;frame=v-w7811f1", "vycucat (v-w7811f1)")</f>
        <v>vycucat (v-w7811f1)</v>
      </c>
    </row>
    <row r="55410" spans="1:2" x14ac:dyDescent="0.2">
      <c r="B55410" t="s">
        <v>1</v>
      </c>
    </row>
    <row r="55411" spans="1:2" x14ac:dyDescent="0.2">
      <c r="B55411" t="s">
        <v>8</v>
      </c>
    </row>
    <row r="55412" spans="1:2" x14ac:dyDescent="0.2">
      <c r="B55412" t="s">
        <v>333</v>
      </c>
    </row>
    <row r="55414" spans="1:2" x14ac:dyDescent="0.2">
      <c r="A55414" t="s">
        <v>17486</v>
      </c>
      <c r="B55414" t="str">
        <f>HYPERLINK("https://lindat.mff.cuni.cz/services/teitok/pdtc10/index.php?action=vallex&amp;frame=v-w7811hsa_1463", "vycucat (v-w7811hsa_1463)")</f>
        <v>vycucat (v-w7811hsa_1463)</v>
      </c>
    </row>
    <row r="55415" spans="1:2" x14ac:dyDescent="0.2">
      <c r="B55415" t="s">
        <v>1</v>
      </c>
    </row>
    <row r="55416" spans="1:2" x14ac:dyDescent="0.2">
      <c r="B55416" t="s">
        <v>8</v>
      </c>
    </row>
    <row r="55418" spans="1:2" x14ac:dyDescent="0.2">
      <c r="A55418" t="s">
        <v>17487</v>
      </c>
      <c r="B55418" t="str">
        <f>HYPERLINK("https://lindat.mff.cuni.cz/services/teitok/pdtc10/index.php?action=vallex&amp;frame=v-w7812f1", "vycucat si (v-w7812f1)")</f>
        <v>vycucat si (v-w7812f1)</v>
      </c>
    </row>
    <row r="55419" spans="1:2" x14ac:dyDescent="0.2">
      <c r="B55419" t="s">
        <v>1</v>
      </c>
    </row>
    <row r="55420" spans="1:2" x14ac:dyDescent="0.2">
      <c r="B55420" t="s">
        <v>17488</v>
      </c>
    </row>
    <row r="55421" spans="1:2" x14ac:dyDescent="0.2">
      <c r="B55421" t="s">
        <v>124</v>
      </c>
    </row>
    <row r="55423" spans="1:2" x14ac:dyDescent="0.2">
      <c r="A55423" t="s">
        <v>17489</v>
      </c>
      <c r="B55423" t="str">
        <f>HYPERLINK("https://lindat.mff.cuni.cz/services/teitok/pdtc10/index.php?action=vallex&amp;frame=v-w11976_ZUf1_ZU", "vycucávat (v-w11976_ZUf1_ZU)")</f>
        <v>vycucávat (v-w11976_ZUf1_ZU)</v>
      </c>
    </row>
    <row r="55424" spans="1:2" x14ac:dyDescent="0.2">
      <c r="B55424" t="s">
        <v>1</v>
      </c>
    </row>
    <row r="55425" spans="1:4" x14ac:dyDescent="0.2">
      <c r="B55425" t="s">
        <v>8</v>
      </c>
    </row>
    <row r="55427" spans="1:4" x14ac:dyDescent="0.2">
      <c r="A55427" t="s">
        <v>17490</v>
      </c>
      <c r="B55427" t="str">
        <f>HYPERLINK("https://lindat.mff.cuni.cz/services/teitok/pdtc10/index.php?action=vallex&amp;frame=v-w11126f2", "vycvičit (v-w11126f2)")</f>
        <v>vycvičit (v-w11126f2)</v>
      </c>
    </row>
    <row r="55428" spans="1:4" x14ac:dyDescent="0.2">
      <c r="B55428" t="s">
        <v>1</v>
      </c>
      <c r="C55428" t="s">
        <v>7522</v>
      </c>
      <c r="D55428" t="s">
        <v>7522</v>
      </c>
    </row>
    <row r="55429" spans="1:4" x14ac:dyDescent="0.2">
      <c r="B55429" t="s">
        <v>8</v>
      </c>
      <c r="C55429" t="s">
        <v>12286</v>
      </c>
      <c r="D55429" t="s">
        <v>3626</v>
      </c>
    </row>
    <row r="55431" spans="1:4" x14ac:dyDescent="0.2">
      <c r="A55431" t="s">
        <v>17491</v>
      </c>
      <c r="B55431" t="str">
        <f>HYPERLINK("https://lindat.mff.cuni.cz/services/teitok/pdtc10/index.php?action=vallex&amp;frame=v-w7809f1", "vycítit (v-w7809f1)")</f>
        <v>vycítit (v-w7809f1)</v>
      </c>
    </row>
    <row r="55432" spans="1:4" x14ac:dyDescent="0.2">
      <c r="B55432" t="s">
        <v>1</v>
      </c>
      <c r="C55432" t="s">
        <v>7313</v>
      </c>
      <c r="D55432" t="s">
        <v>8689</v>
      </c>
    </row>
    <row r="55433" spans="1:4" x14ac:dyDescent="0.2">
      <c r="B55433" t="s">
        <v>41</v>
      </c>
      <c r="C55433" t="s">
        <v>17492</v>
      </c>
      <c r="D55433" t="s">
        <v>3324</v>
      </c>
    </row>
    <row r="55435" spans="1:4" x14ac:dyDescent="0.2">
      <c r="A55435" t="s">
        <v>17493</v>
      </c>
      <c r="B55435" t="str">
        <f>HYPERLINK("https://lindat.mff.cuni.cz/services/teitok/pdtc10/index.php?action=vallex&amp;frame=v-w7809f2", "vycítit (v-w7809f2)")</f>
        <v>vycítit (v-w7809f2)</v>
      </c>
    </row>
    <row r="55436" spans="1:4" x14ac:dyDescent="0.2">
      <c r="B55436" t="s">
        <v>1</v>
      </c>
    </row>
    <row r="55437" spans="1:4" x14ac:dyDescent="0.2">
      <c r="B55437" t="s">
        <v>15728</v>
      </c>
    </row>
    <row r="55439" spans="1:4" x14ac:dyDescent="0.2">
      <c r="A55439" t="s">
        <v>17494</v>
      </c>
      <c r="B55439" t="str">
        <f>HYPERLINK("https://lindat.mff.cuni.cz/services/teitok/pdtc10/index.php?action=vallex&amp;frame=v-w7842f2", "vydat (v-w7842f2)")</f>
        <v>vydat (v-w7842f2)</v>
      </c>
    </row>
    <row r="55440" spans="1:4" x14ac:dyDescent="0.2">
      <c r="B55440" t="s">
        <v>1</v>
      </c>
      <c r="D55440" t="s">
        <v>140</v>
      </c>
    </row>
    <row r="55441" spans="1:4" x14ac:dyDescent="0.2">
      <c r="B55441" t="s">
        <v>8</v>
      </c>
      <c r="C55441" t="s">
        <v>34</v>
      </c>
      <c r="D55441" t="s">
        <v>1128</v>
      </c>
    </row>
    <row r="55442" spans="1:4" x14ac:dyDescent="0.2">
      <c r="B55442" t="s">
        <v>35</v>
      </c>
    </row>
    <row r="55444" spans="1:4" x14ac:dyDescent="0.2">
      <c r="A55444" t="s">
        <v>17495</v>
      </c>
      <c r="B55444" t="str">
        <f>HYPERLINK("https://lindat.mff.cuni.cz/services/teitok/pdtc10/index.php?action=vallex&amp;frame=v-w7842hsa_169", "vydat (v-w7842hsa_169)")</f>
        <v>vydat (v-w7842hsa_169)</v>
      </c>
    </row>
    <row r="55445" spans="1:4" x14ac:dyDescent="0.2">
      <c r="B55445" t="s">
        <v>1</v>
      </c>
      <c r="C55445" t="s">
        <v>3075</v>
      </c>
      <c r="D55445" t="s">
        <v>23076</v>
      </c>
    </row>
    <row r="55446" spans="1:4" x14ac:dyDescent="0.2">
      <c r="B55446" t="s">
        <v>8</v>
      </c>
      <c r="C55446" t="s">
        <v>3076</v>
      </c>
      <c r="D55446" t="s">
        <v>23077</v>
      </c>
    </row>
    <row r="55447" spans="1:4" x14ac:dyDescent="0.2">
      <c r="B55447" t="s">
        <v>2542</v>
      </c>
      <c r="C55447" t="s">
        <v>11069</v>
      </c>
      <c r="D55447" t="s">
        <v>23078</v>
      </c>
    </row>
    <row r="55449" spans="1:4" x14ac:dyDescent="0.2">
      <c r="A55449" t="s">
        <v>17495</v>
      </c>
      <c r="B55449" t="str">
        <f>HYPERLINK("https://lindat.mff.cuni.cz/services/teitok/pdtc10/index.php?action=vallex&amp;frame=v-w7842f10", "vydat (v-w7842f10) - substituted with v-w7842hsa_169")</f>
        <v>vydat (v-w7842f10) - substituted with v-w7842hsa_169</v>
      </c>
    </row>
    <row r="55450" spans="1:4" x14ac:dyDescent="0.2">
      <c r="B55450" t="s">
        <v>1</v>
      </c>
      <c r="C55450" t="s">
        <v>17496</v>
      </c>
    </row>
    <row r="55451" spans="1:4" x14ac:dyDescent="0.2">
      <c r="B55451" t="s">
        <v>8</v>
      </c>
      <c r="C55451" t="s">
        <v>17497</v>
      </c>
    </row>
    <row r="55452" spans="1:4" x14ac:dyDescent="0.2">
      <c r="B55452" t="s">
        <v>2542</v>
      </c>
      <c r="C55452" t="s">
        <v>17498</v>
      </c>
    </row>
    <row r="55454" spans="1:4" x14ac:dyDescent="0.2">
      <c r="A55454" t="s">
        <v>17499</v>
      </c>
      <c r="B55454" t="str">
        <f>HYPERLINK("https://lindat.mff.cuni.cz/services/teitok/pdtc10/index.php?action=vallex&amp;frame=v-w7842f12", "vydat (v-w7842f12)")</f>
        <v>vydat (v-w7842f12)</v>
      </c>
    </row>
    <row r="55455" spans="1:4" x14ac:dyDescent="0.2">
      <c r="B55455" t="s">
        <v>1</v>
      </c>
    </row>
    <row r="55456" spans="1:4" x14ac:dyDescent="0.2">
      <c r="B55456" t="s">
        <v>8</v>
      </c>
    </row>
    <row r="55457" spans="1:4" x14ac:dyDescent="0.2">
      <c r="B55457" t="s">
        <v>484</v>
      </c>
    </row>
    <row r="55459" spans="1:4" x14ac:dyDescent="0.2">
      <c r="A55459" t="s">
        <v>17500</v>
      </c>
      <c r="B55459" t="str">
        <f>HYPERLINK("https://lindat.mff.cuni.cz/services/teitok/pdtc10/index.php?action=vallex&amp;frame=v-w7842f3", "vydat (v-w7842f3)")</f>
        <v>vydat (v-w7842f3)</v>
      </c>
    </row>
    <row r="55460" spans="1:4" x14ac:dyDescent="0.2">
      <c r="B55460" t="s">
        <v>1</v>
      </c>
      <c r="C55460" t="s">
        <v>17501</v>
      </c>
      <c r="D55460" t="s">
        <v>23066</v>
      </c>
    </row>
    <row r="55461" spans="1:4" x14ac:dyDescent="0.2">
      <c r="B55461" t="s">
        <v>8</v>
      </c>
      <c r="C55461" t="s">
        <v>17502</v>
      </c>
      <c r="D55461" t="s">
        <v>23067</v>
      </c>
    </row>
    <row r="55462" spans="1:4" x14ac:dyDescent="0.2">
      <c r="B55462" t="s">
        <v>413</v>
      </c>
      <c r="C55462" t="s">
        <v>17503</v>
      </c>
      <c r="D55462" t="s">
        <v>23252</v>
      </c>
    </row>
    <row r="55464" spans="1:4" x14ac:dyDescent="0.2">
      <c r="A55464" t="s">
        <v>17504</v>
      </c>
      <c r="B55464" t="str">
        <f>HYPERLINK("https://lindat.mff.cuni.cz/services/teitok/pdtc10/index.php?action=vallex&amp;frame=v-w7842f6", "vydat (v-w7842f6)")</f>
        <v>vydat (v-w7842f6)</v>
      </c>
    </row>
    <row r="55465" spans="1:4" x14ac:dyDescent="0.2">
      <c r="B55465" t="s">
        <v>1</v>
      </c>
      <c r="C55465" t="s">
        <v>3075</v>
      </c>
      <c r="D55465" t="s">
        <v>140</v>
      </c>
    </row>
    <row r="55466" spans="1:4" x14ac:dyDescent="0.2">
      <c r="B55466" t="s">
        <v>8</v>
      </c>
      <c r="C55466" t="s">
        <v>8845</v>
      </c>
      <c r="D55466" t="s">
        <v>1128</v>
      </c>
    </row>
    <row r="55467" spans="1:4" x14ac:dyDescent="0.2">
      <c r="B55467" t="s">
        <v>90</v>
      </c>
    </row>
    <row r="55469" spans="1:4" x14ac:dyDescent="0.2">
      <c r="A55469" t="s">
        <v>17505</v>
      </c>
      <c r="B55469" t="str">
        <f>HYPERLINK("https://lindat.mff.cuni.cz/services/teitok/pdtc10/index.php?action=vallex&amp;frame=v-w7842f1", "vydat (v-w7842f1)")</f>
        <v>vydat (v-w7842f1)</v>
      </c>
    </row>
    <row r="55470" spans="1:4" x14ac:dyDescent="0.2">
      <c r="B55470" t="s">
        <v>1</v>
      </c>
      <c r="C55470" t="s">
        <v>17506</v>
      </c>
      <c r="D55470" t="s">
        <v>23982</v>
      </c>
    </row>
    <row r="55471" spans="1:4" x14ac:dyDescent="0.2">
      <c r="B55471" t="s">
        <v>124</v>
      </c>
      <c r="C55471" t="s">
        <v>17507</v>
      </c>
      <c r="D55471" t="s">
        <v>23983</v>
      </c>
    </row>
    <row r="55473" spans="1:4" x14ac:dyDescent="0.2">
      <c r="A55473" t="s">
        <v>17508</v>
      </c>
      <c r="B55473" t="str">
        <f>HYPERLINK("https://lindat.mff.cuni.cz/services/teitok/pdtc10/index.php?action=vallex&amp;frame=v-w7842f13", "vydat (v-w7842f13)")</f>
        <v>vydat (v-w7842f13)</v>
      </c>
    </row>
    <row r="55474" spans="1:4" x14ac:dyDescent="0.2">
      <c r="B55474" t="s">
        <v>1</v>
      </c>
      <c r="C55474" t="s">
        <v>119</v>
      </c>
    </row>
    <row r="55475" spans="1:4" x14ac:dyDescent="0.2">
      <c r="B55475" t="s">
        <v>8</v>
      </c>
      <c r="C55475" t="s">
        <v>17509</v>
      </c>
    </row>
    <row r="55477" spans="1:4" x14ac:dyDescent="0.2">
      <c r="A55477" t="s">
        <v>17510</v>
      </c>
      <c r="B55477" t="str">
        <f>HYPERLINK("https://lindat.mff.cuni.cz/services/teitok/pdtc10/index.php?action=vallex&amp;frame=v-w7842f8", "vydat (v-w7842f8)")</f>
        <v>vydat (v-w7842f8)</v>
      </c>
    </row>
    <row r="55478" spans="1:4" x14ac:dyDescent="0.2">
      <c r="B55478" t="s">
        <v>1</v>
      </c>
    </row>
    <row r="55479" spans="1:4" x14ac:dyDescent="0.2">
      <c r="B55479" t="s">
        <v>28</v>
      </c>
    </row>
    <row r="55481" spans="1:4" x14ac:dyDescent="0.2">
      <c r="A55481" t="s">
        <v>17511</v>
      </c>
      <c r="B55481" t="str">
        <f>HYPERLINK("https://lindat.mff.cuni.cz/services/teitok/pdtc10/index.php?action=vallex&amp;frame=v-w7842f11", "vydat (v-w7842f11)")</f>
        <v>vydat (v-w7842f11)</v>
      </c>
    </row>
    <row r="55482" spans="1:4" x14ac:dyDescent="0.2">
      <c r="B55482" t="s">
        <v>1</v>
      </c>
    </row>
    <row r="55483" spans="1:4" x14ac:dyDescent="0.2">
      <c r="B55483" t="s">
        <v>357</v>
      </c>
    </row>
    <row r="55485" spans="1:4" x14ac:dyDescent="0.2">
      <c r="A55485" t="s">
        <v>17512</v>
      </c>
      <c r="B55485" t="str">
        <f>HYPERLINK("https://lindat.mff.cuni.cz/services/teitok/pdtc10/index.php?action=vallex&amp;frame=v-w7842f5", "vydat (v-w7842f5)")</f>
        <v>vydat (v-w7842f5)</v>
      </c>
    </row>
    <row r="55486" spans="1:4" x14ac:dyDescent="0.2">
      <c r="B55486" t="s">
        <v>1</v>
      </c>
      <c r="C55486" t="s">
        <v>17513</v>
      </c>
      <c r="D55486" t="s">
        <v>23066</v>
      </c>
    </row>
    <row r="55487" spans="1:4" x14ac:dyDescent="0.2">
      <c r="B55487" t="s">
        <v>524</v>
      </c>
      <c r="C55487" t="s">
        <v>17514</v>
      </c>
      <c r="D55487" t="s">
        <v>24300</v>
      </c>
    </row>
    <row r="55488" spans="1:4" x14ac:dyDescent="0.2">
      <c r="B55488" t="s">
        <v>1382</v>
      </c>
      <c r="C55488" t="s">
        <v>16544</v>
      </c>
      <c r="D55488" t="s">
        <v>24363</v>
      </c>
    </row>
    <row r="55489" spans="1:3" x14ac:dyDescent="0.2">
      <c r="B55489" t="s">
        <v>78</v>
      </c>
      <c r="C55489" t="s">
        <v>11069</v>
      </c>
    </row>
    <row r="55491" spans="1:3" x14ac:dyDescent="0.2">
      <c r="A55491" t="s">
        <v>17515</v>
      </c>
      <c r="B55491" t="str">
        <f>HYPERLINK("https://lindat.mff.cuni.cz/services/teitok/pdtc10/index.php?action=vallex&amp;frame=v-w7842hsa_136", "vydat (v-w7842hsa_136)")</f>
        <v>vydat (v-w7842hsa_136)</v>
      </c>
    </row>
    <row r="55492" spans="1:3" x14ac:dyDescent="0.2">
      <c r="B55492" t="s">
        <v>1</v>
      </c>
    </row>
    <row r="55493" spans="1:3" x14ac:dyDescent="0.2">
      <c r="B55493" t="s">
        <v>17516</v>
      </c>
    </row>
    <row r="55494" spans="1:3" x14ac:dyDescent="0.2">
      <c r="B55494" t="s">
        <v>35</v>
      </c>
    </row>
    <row r="55496" spans="1:3" x14ac:dyDescent="0.2">
      <c r="A55496" t="s">
        <v>17515</v>
      </c>
      <c r="B55496" t="str">
        <f>HYPERLINK("https://lindat.mff.cuni.cz/services/teitok/pdtc10/index.php?action=vallex&amp;frame=v-w7842f14_ZU", "vydat (v-w7842f14_ZU) - substituted with v-w7842hsa_136")</f>
        <v>vydat (v-w7842f14_ZU) - substituted with v-w7842hsa_136</v>
      </c>
    </row>
    <row r="55497" spans="1:3" x14ac:dyDescent="0.2">
      <c r="B55497" t="s">
        <v>1</v>
      </c>
      <c r="C55497" t="s">
        <v>3075</v>
      </c>
    </row>
    <row r="55498" spans="1:3" x14ac:dyDescent="0.2">
      <c r="B55498" t="s">
        <v>17516</v>
      </c>
      <c r="C55498" t="s">
        <v>17517</v>
      </c>
    </row>
    <row r="55499" spans="1:3" x14ac:dyDescent="0.2">
      <c r="B55499" t="s">
        <v>35</v>
      </c>
      <c r="C55499" t="s">
        <v>11069</v>
      </c>
    </row>
    <row r="55501" spans="1:3" x14ac:dyDescent="0.2">
      <c r="A55501" t="s">
        <v>17515</v>
      </c>
      <c r="B55501" t="str">
        <f>HYPERLINK("https://lindat.mff.cuni.cz/services/teitok/pdtc10/index.php?action=vallex&amp;frame=v-w7842f15_ZU", "vydat (v-w7842f15_ZU) - substituted with v-w7842hsa_136")</f>
        <v>vydat (v-w7842f15_ZU) - substituted with v-w7842hsa_136</v>
      </c>
    </row>
    <row r="55502" spans="1:3" x14ac:dyDescent="0.2">
      <c r="B55502" t="s">
        <v>1</v>
      </c>
      <c r="C55502" t="s">
        <v>3075</v>
      </c>
    </row>
    <row r="55503" spans="1:3" x14ac:dyDescent="0.2">
      <c r="B55503" t="s">
        <v>17516</v>
      </c>
      <c r="C55503" t="s">
        <v>17517</v>
      </c>
    </row>
    <row r="55504" spans="1:3" x14ac:dyDescent="0.2">
      <c r="B55504" t="s">
        <v>35</v>
      </c>
      <c r="C55504" t="s">
        <v>11069</v>
      </c>
    </row>
    <row r="55506" spans="1:3" x14ac:dyDescent="0.2">
      <c r="A55506" t="s">
        <v>17515</v>
      </c>
      <c r="B55506" t="str">
        <f>HYPERLINK("https://lindat.mff.cuni.cz/services/teitok/pdtc10/index.php?action=vallex&amp;frame=v-w7842f16_ZU", "vydat (v-w7842f16_ZU) - substituted with v-w7842hsa_136")</f>
        <v>vydat (v-w7842f16_ZU) - substituted with v-w7842hsa_136</v>
      </c>
    </row>
    <row r="55507" spans="1:3" x14ac:dyDescent="0.2">
      <c r="B55507" t="s">
        <v>1</v>
      </c>
      <c r="C55507" t="s">
        <v>17518</v>
      </c>
    </row>
    <row r="55508" spans="1:3" x14ac:dyDescent="0.2">
      <c r="B55508" t="s">
        <v>17516</v>
      </c>
      <c r="C55508" t="s">
        <v>17519</v>
      </c>
    </row>
    <row r="55509" spans="1:3" x14ac:dyDescent="0.2">
      <c r="B55509" t="s">
        <v>35</v>
      </c>
      <c r="C55509" t="s">
        <v>17520</v>
      </c>
    </row>
    <row r="55511" spans="1:3" x14ac:dyDescent="0.2">
      <c r="A55511" t="s">
        <v>17515</v>
      </c>
      <c r="B55511" t="str">
        <f>HYPERLINK("https://lindat.mff.cuni.cz/services/teitok/pdtc10/index.php?action=vallex&amp;frame=v-w7842f18_ZU", "vydat (v-w7842f18_ZU) - substituted with v-w7842hsa_136")</f>
        <v>vydat (v-w7842f18_ZU) - substituted with v-w7842hsa_136</v>
      </c>
    </row>
    <row r="55512" spans="1:3" x14ac:dyDescent="0.2">
      <c r="B55512" t="s">
        <v>1</v>
      </c>
      <c r="C55512" t="s">
        <v>3075</v>
      </c>
    </row>
    <row r="55513" spans="1:3" x14ac:dyDescent="0.2">
      <c r="B55513" t="s">
        <v>17516</v>
      </c>
      <c r="C55513" t="s">
        <v>17517</v>
      </c>
    </row>
    <row r="55514" spans="1:3" x14ac:dyDescent="0.2">
      <c r="B55514" t="s">
        <v>35</v>
      </c>
      <c r="C55514" t="s">
        <v>11069</v>
      </c>
    </row>
    <row r="55516" spans="1:3" x14ac:dyDescent="0.2">
      <c r="A55516" t="s">
        <v>17515</v>
      </c>
      <c r="B55516" t="str">
        <f>HYPERLINK("https://lindat.mff.cuni.cz/services/teitok/pdtc10/index.php?action=vallex&amp;frame=v-w7842f19_ZU", "vydat (v-w7842f19_ZU) - substituted with v-w7842hsa_136")</f>
        <v>vydat (v-w7842f19_ZU) - substituted with v-w7842hsa_136</v>
      </c>
    </row>
    <row r="55517" spans="1:3" x14ac:dyDescent="0.2">
      <c r="B55517" t="s">
        <v>1</v>
      </c>
      <c r="C55517" t="s">
        <v>3075</v>
      </c>
    </row>
    <row r="55518" spans="1:3" x14ac:dyDescent="0.2">
      <c r="B55518" t="s">
        <v>17516</v>
      </c>
      <c r="C55518" t="s">
        <v>17517</v>
      </c>
    </row>
    <row r="55519" spans="1:3" x14ac:dyDescent="0.2">
      <c r="B55519" t="s">
        <v>35</v>
      </c>
      <c r="C55519" t="s">
        <v>11069</v>
      </c>
    </row>
    <row r="55521" spans="1:4" x14ac:dyDescent="0.2">
      <c r="A55521" t="s">
        <v>17515</v>
      </c>
      <c r="B55521" t="str">
        <f>HYPERLINK("https://lindat.mff.cuni.cz/services/teitok/pdtc10/index.php?action=vallex&amp;frame=v-w7842f20_ZU", "vydat (v-w7842f20_ZU) - substituted with v-w7842hsa_136")</f>
        <v>vydat (v-w7842f20_ZU) - substituted with v-w7842hsa_136</v>
      </c>
    </row>
    <row r="55522" spans="1:4" x14ac:dyDescent="0.2">
      <c r="B55522" t="s">
        <v>1</v>
      </c>
      <c r="C55522" t="s">
        <v>3075</v>
      </c>
      <c r="D55522" t="s">
        <v>22967</v>
      </c>
    </row>
    <row r="55523" spans="1:4" x14ac:dyDescent="0.2">
      <c r="B55523" t="s">
        <v>17516</v>
      </c>
      <c r="C55523" t="s">
        <v>17521</v>
      </c>
      <c r="D55523" t="s">
        <v>24364</v>
      </c>
    </row>
    <row r="55524" spans="1:4" x14ac:dyDescent="0.2">
      <c r="B55524" t="s">
        <v>35</v>
      </c>
      <c r="C55524" t="s">
        <v>11069</v>
      </c>
      <c r="D55524" t="s">
        <v>22969</v>
      </c>
    </row>
    <row r="55526" spans="1:4" x14ac:dyDescent="0.2">
      <c r="A55526" t="s">
        <v>17515</v>
      </c>
      <c r="B55526" t="str">
        <f>HYPERLINK("https://lindat.mff.cuni.cz/services/teitok/pdtc10/index.php?action=vallex&amp;frame=v-w7842f4", "vydat (v-w7842f4) - substituted with v-w7842hsa_136")</f>
        <v>vydat (v-w7842f4) - substituted with v-w7842hsa_136</v>
      </c>
    </row>
    <row r="55527" spans="1:4" x14ac:dyDescent="0.2">
      <c r="B55527" t="s">
        <v>1</v>
      </c>
      <c r="C55527" t="s">
        <v>17522</v>
      </c>
    </row>
    <row r="55528" spans="1:4" x14ac:dyDescent="0.2">
      <c r="B55528" t="s">
        <v>17516</v>
      </c>
      <c r="C55528" t="s">
        <v>17523</v>
      </c>
    </row>
    <row r="55529" spans="1:4" x14ac:dyDescent="0.2">
      <c r="B55529" t="s">
        <v>35</v>
      </c>
      <c r="C55529" t="s">
        <v>17524</v>
      </c>
    </row>
    <row r="55531" spans="1:4" x14ac:dyDescent="0.2">
      <c r="A55531" t="s">
        <v>17525</v>
      </c>
      <c r="B55531" t="str">
        <f>HYPERLINK("https://lindat.mff.cuni.cz/services/teitok/pdtc10/index.php?action=vallex&amp;frame=v-w7842f7", "vydat (v-w7842f7)")</f>
        <v>vydat (v-w7842f7)</v>
      </c>
    </row>
    <row r="55532" spans="1:4" x14ac:dyDescent="0.2">
      <c r="B55532" t="s">
        <v>1</v>
      </c>
      <c r="C55532" t="s">
        <v>204</v>
      </c>
      <c r="D55532" t="s">
        <v>16</v>
      </c>
    </row>
    <row r="55533" spans="1:4" x14ac:dyDescent="0.2">
      <c r="B55533" t="s">
        <v>17526</v>
      </c>
      <c r="C55533" t="s">
        <v>574</v>
      </c>
    </row>
    <row r="55534" spans="1:4" x14ac:dyDescent="0.2">
      <c r="B55534" t="s">
        <v>8</v>
      </c>
      <c r="D55534" t="s">
        <v>969</v>
      </c>
    </row>
    <row r="55535" spans="1:4" x14ac:dyDescent="0.2">
      <c r="B55535" t="s">
        <v>78</v>
      </c>
      <c r="D55535" t="s">
        <v>987</v>
      </c>
    </row>
    <row r="55537" spans="1:2" x14ac:dyDescent="0.2">
      <c r="A55537" t="s">
        <v>17527</v>
      </c>
      <c r="B55537" t="str">
        <f>HYPERLINK("https://lindat.mff.cuni.cz/services/teitok/pdtc10/index.php?action=vallex&amp;frame=v-w7842f9", "vydat (v-w7842f9)")</f>
        <v>vydat (v-w7842f9)</v>
      </c>
    </row>
    <row r="55538" spans="1:2" x14ac:dyDescent="0.2">
      <c r="B55538" t="s">
        <v>1</v>
      </c>
    </row>
    <row r="55539" spans="1:2" x14ac:dyDescent="0.2">
      <c r="B55539" t="s">
        <v>17528</v>
      </c>
    </row>
    <row r="55540" spans="1:2" x14ac:dyDescent="0.2">
      <c r="B55540" t="s">
        <v>8</v>
      </c>
    </row>
    <row r="55542" spans="1:2" x14ac:dyDescent="0.2">
      <c r="A55542" t="s">
        <v>17529</v>
      </c>
      <c r="B55542" t="str">
        <f>HYPERLINK("https://lindat.mff.cuni.cz/services/teitok/pdtc10/index.php?action=vallex&amp;frame=v-w7842f17_ZU", "vydat (v-w7842f17_ZU)")</f>
        <v>vydat (v-w7842f17_ZU)</v>
      </c>
    </row>
    <row r="55543" spans="1:2" x14ac:dyDescent="0.2">
      <c r="B55543" t="s">
        <v>1</v>
      </c>
    </row>
    <row r="55544" spans="1:2" x14ac:dyDescent="0.2">
      <c r="B55544" t="s">
        <v>17530</v>
      </c>
    </row>
    <row r="55545" spans="1:2" x14ac:dyDescent="0.2">
      <c r="B55545" t="s">
        <v>28</v>
      </c>
    </row>
    <row r="55547" spans="1:2" x14ac:dyDescent="0.2">
      <c r="A55547" t="s">
        <v>17531</v>
      </c>
      <c r="B55547" t="str">
        <f>HYPERLINK("https://lindat.mff.cuni.cz/services/teitok/pdtc10/index.php?action=vallex&amp;frame=v-w7842f21_ZU", "vydat (v-w7842f21_ZU)")</f>
        <v>vydat (v-w7842f21_ZU)</v>
      </c>
    </row>
    <row r="55548" spans="1:2" x14ac:dyDescent="0.2">
      <c r="B55548" t="s">
        <v>1</v>
      </c>
    </row>
    <row r="55549" spans="1:2" x14ac:dyDescent="0.2">
      <c r="B55549" t="s">
        <v>17532</v>
      </c>
    </row>
    <row r="55551" spans="1:2" x14ac:dyDescent="0.2">
      <c r="A55551" t="s">
        <v>17533</v>
      </c>
      <c r="B55551" t="str">
        <f>HYPERLINK("https://lindat.mff.cuni.cz/services/teitok/pdtc10/index.php?action=vallex&amp;frame=v-w7842hsa_170", "vydat (v-w7842hsa_170)")</f>
        <v>vydat (v-w7842hsa_170)</v>
      </c>
    </row>
    <row r="55552" spans="1:2" x14ac:dyDescent="0.2">
      <c r="B55552" t="s">
        <v>1</v>
      </c>
    </row>
    <row r="55553" spans="1:4" x14ac:dyDescent="0.2">
      <c r="B55553" t="s">
        <v>17534</v>
      </c>
    </row>
    <row r="55555" spans="1:4" x14ac:dyDescent="0.2">
      <c r="A55555" t="s">
        <v>17535</v>
      </c>
      <c r="B55555" t="str">
        <f>HYPERLINK("https://lindat.mff.cuni.cz/services/teitok/pdtc10/index.php?action=vallex&amp;frame=v-w7843f2", "vydat se (v-w7843f2)")</f>
        <v>vydat se (v-w7843f2)</v>
      </c>
    </row>
    <row r="55556" spans="1:4" x14ac:dyDescent="0.2">
      <c r="B55556" t="s">
        <v>1</v>
      </c>
      <c r="C55556" t="s">
        <v>17536</v>
      </c>
    </row>
    <row r="55557" spans="1:4" x14ac:dyDescent="0.2">
      <c r="B55557" t="s">
        <v>168</v>
      </c>
    </row>
    <row r="55559" spans="1:4" x14ac:dyDescent="0.2">
      <c r="A55559" t="s">
        <v>17537</v>
      </c>
      <c r="B55559" t="str">
        <f>HYPERLINK("https://lindat.mff.cuni.cz/services/teitok/pdtc10/index.php?action=vallex&amp;frame=v-w7843f1", "vydat se (v-w7843f1)")</f>
        <v>vydat se (v-w7843f1)</v>
      </c>
    </row>
    <row r="55560" spans="1:4" x14ac:dyDescent="0.2">
      <c r="B55560" t="s">
        <v>1</v>
      </c>
      <c r="C55560" t="s">
        <v>17538</v>
      </c>
      <c r="D55560" t="s">
        <v>23336</v>
      </c>
    </row>
    <row r="55561" spans="1:4" x14ac:dyDescent="0.2">
      <c r="B55561" t="s">
        <v>90</v>
      </c>
      <c r="C55561" t="s">
        <v>17539</v>
      </c>
    </row>
    <row r="55563" spans="1:4" x14ac:dyDescent="0.2">
      <c r="A55563" t="s">
        <v>17540</v>
      </c>
      <c r="B55563" t="str">
        <f>HYPERLINK("https://lindat.mff.cuni.cz/services/teitok/pdtc10/index.php?action=vallex&amp;frame=v-w7843f3", "vydat se (v-w7843f3)")</f>
        <v>vydat se (v-w7843f3)</v>
      </c>
    </row>
    <row r="55564" spans="1:4" x14ac:dyDescent="0.2">
      <c r="B55564" t="s">
        <v>1</v>
      </c>
    </row>
    <row r="55565" spans="1:4" x14ac:dyDescent="0.2">
      <c r="B55565" t="s">
        <v>17541</v>
      </c>
    </row>
    <row r="55567" spans="1:4" x14ac:dyDescent="0.2">
      <c r="A55567" t="s">
        <v>17542</v>
      </c>
      <c r="B55567" t="str">
        <f>HYPERLINK("https://lindat.mff.cuni.cz/services/teitok/pdtc10/index.php?action=vallex&amp;frame=v-w7841f1", "vydařit se (v-w7841f1)")</f>
        <v>vydařit se (v-w7841f1)</v>
      </c>
    </row>
    <row r="55568" spans="1:4" x14ac:dyDescent="0.2">
      <c r="B55568" t="s">
        <v>455</v>
      </c>
      <c r="C55568" t="s">
        <v>33</v>
      </c>
      <c r="D55568" t="s">
        <v>24365</v>
      </c>
    </row>
    <row r="55569" spans="1:4" x14ac:dyDescent="0.2">
      <c r="B55569" t="s">
        <v>1263</v>
      </c>
      <c r="C55569" t="s">
        <v>1750</v>
      </c>
      <c r="D55569" t="s">
        <v>24366</v>
      </c>
    </row>
    <row r="55571" spans="1:4" x14ac:dyDescent="0.2">
      <c r="A55571" t="s">
        <v>17543</v>
      </c>
      <c r="B55571" t="str">
        <f>HYPERLINK("https://lindat.mff.cuni.cz/services/teitok/pdtc10/index.php?action=vallex&amp;frame=v-w7851f1", "vydechnout si (v-w7851f1)")</f>
        <v>vydechnout si (v-w7851f1)</v>
      </c>
    </row>
    <row r="55572" spans="1:4" x14ac:dyDescent="0.2">
      <c r="B55572" t="s">
        <v>1</v>
      </c>
      <c r="C55572" t="s">
        <v>140</v>
      </c>
      <c r="D55572" t="s">
        <v>140</v>
      </c>
    </row>
    <row r="55574" spans="1:4" x14ac:dyDescent="0.2">
      <c r="A55574" t="s">
        <v>17544</v>
      </c>
      <c r="B55574" t="str">
        <f>HYPERLINK("https://lindat.mff.cuni.cz/services/teitok/pdtc10/index.php?action=vallex&amp;frame=v-w7850f1", "vydedukovat (v-w7850f1)")</f>
        <v>vydedukovat (v-w7850f1)</v>
      </c>
    </row>
    <row r="55575" spans="1:4" x14ac:dyDescent="0.2">
      <c r="B55575" t="s">
        <v>1</v>
      </c>
      <c r="D55575" t="s">
        <v>24297</v>
      </c>
    </row>
    <row r="55576" spans="1:4" x14ac:dyDescent="0.2">
      <c r="B55576" t="s">
        <v>41</v>
      </c>
      <c r="D55576" t="s">
        <v>24298</v>
      </c>
    </row>
    <row r="55577" spans="1:4" x14ac:dyDescent="0.2">
      <c r="B55577" t="s">
        <v>2918</v>
      </c>
    </row>
    <row r="55579" spans="1:4" x14ac:dyDescent="0.2">
      <c r="A55579" t="s">
        <v>17545</v>
      </c>
      <c r="B55579" t="str">
        <f>HYPERLINK("https://lindat.mff.cuni.cz/services/teitok/pdtc10/index.php?action=vallex&amp;frame=v-w11670_ZUf1_ZU", "vydezinfikovat (v-w11670_ZUf1_ZU)")</f>
        <v>vydezinfikovat (v-w11670_ZUf1_ZU)</v>
      </c>
    </row>
    <row r="55580" spans="1:4" x14ac:dyDescent="0.2">
      <c r="B55580" t="s">
        <v>1</v>
      </c>
      <c r="D55580" t="s">
        <v>80</v>
      </c>
    </row>
    <row r="55581" spans="1:4" x14ac:dyDescent="0.2">
      <c r="B55581" t="s">
        <v>8</v>
      </c>
      <c r="D55581" t="s">
        <v>23455</v>
      </c>
    </row>
    <row r="55582" spans="1:4" x14ac:dyDescent="0.2">
      <c r="B55582" t="s">
        <v>321</v>
      </c>
      <c r="D55582" t="s">
        <v>8349</v>
      </c>
    </row>
    <row r="55584" spans="1:4" x14ac:dyDescent="0.2">
      <c r="A55584" t="s">
        <v>17546</v>
      </c>
      <c r="B55584" t="str">
        <f>HYPERLINK("https://lindat.mff.cuni.cz/services/teitok/pdtc10/index.php?action=vallex&amp;frame=v-w7861f1", "vydlabat (v-w7861f1)")</f>
        <v>vydlabat (v-w7861f1)</v>
      </c>
    </row>
    <row r="55585" spans="1:4" x14ac:dyDescent="0.2">
      <c r="B55585" t="s">
        <v>1</v>
      </c>
      <c r="C55585" t="s">
        <v>140</v>
      </c>
      <c r="D55585" t="s">
        <v>33</v>
      </c>
    </row>
    <row r="55586" spans="1:4" x14ac:dyDescent="0.2">
      <c r="B55586" t="s">
        <v>8</v>
      </c>
      <c r="C55586" t="s">
        <v>113</v>
      </c>
      <c r="D55586" t="s">
        <v>1128</v>
      </c>
    </row>
    <row r="55587" spans="1:4" x14ac:dyDescent="0.2">
      <c r="B55587" t="s">
        <v>24</v>
      </c>
    </row>
    <row r="55589" spans="1:4" x14ac:dyDescent="0.2">
      <c r="A55589" t="s">
        <v>17547</v>
      </c>
      <c r="B55589" t="str">
        <f>HYPERLINK("https://lindat.mff.cuni.cz/services/teitok/pdtc10/index.php?action=vallex&amp;frame=v-w7862f1", "vydlužit si (v-w7862f1)")</f>
        <v>vydlužit si (v-w7862f1)</v>
      </c>
    </row>
    <row r="55590" spans="1:4" x14ac:dyDescent="0.2">
      <c r="B55590" t="s">
        <v>1</v>
      </c>
    </row>
    <row r="55591" spans="1:4" x14ac:dyDescent="0.2">
      <c r="B55591" t="s">
        <v>8</v>
      </c>
    </row>
    <row r="55592" spans="1:4" x14ac:dyDescent="0.2">
      <c r="B55592" t="s">
        <v>321</v>
      </c>
    </row>
    <row r="55594" spans="1:4" x14ac:dyDescent="0.2">
      <c r="A55594" t="s">
        <v>17548</v>
      </c>
      <c r="B55594" t="str">
        <f>HYPERLINK("https://lindat.mff.cuni.cz/services/teitok/pdtc10/index.php?action=vallex&amp;frame=v-w10344f2", "vydláždit (v-w10344f2)")</f>
        <v>vydláždit (v-w10344f2)</v>
      </c>
    </row>
    <row r="55595" spans="1:4" x14ac:dyDescent="0.2">
      <c r="B55595" t="s">
        <v>1</v>
      </c>
      <c r="C55595" t="s">
        <v>33</v>
      </c>
      <c r="D55595" t="s">
        <v>133</v>
      </c>
    </row>
    <row r="55596" spans="1:4" x14ac:dyDescent="0.2">
      <c r="B55596" t="s">
        <v>8</v>
      </c>
      <c r="C55596" t="s">
        <v>34</v>
      </c>
      <c r="D55596" t="s">
        <v>7745</v>
      </c>
    </row>
    <row r="55598" spans="1:4" x14ac:dyDescent="0.2">
      <c r="A55598" t="s">
        <v>17549</v>
      </c>
      <c r="B55598" t="str">
        <f>HYPERLINK("https://lindat.mff.cuni.cz/services/teitok/pdtc10/index.php?action=vallex&amp;frame=v-w10344hsa_285", "vydláždit (v-w10344hsa_285)")</f>
        <v>vydláždit (v-w10344hsa_285)</v>
      </c>
    </row>
    <row r="55599" spans="1:4" x14ac:dyDescent="0.2">
      <c r="B55599" t="s">
        <v>1</v>
      </c>
    </row>
    <row r="55600" spans="1:4" x14ac:dyDescent="0.2">
      <c r="B55600" t="s">
        <v>8</v>
      </c>
    </row>
    <row r="55602" spans="1:4" x14ac:dyDescent="0.2">
      <c r="A55602" t="s">
        <v>17550</v>
      </c>
      <c r="B55602" t="str">
        <f>HYPERLINK("https://lindat.mff.cuni.cz/services/teitok/pdtc10/index.php?action=vallex&amp;frame=v-w7863f1", "vydobýt (v-w7863f1)")</f>
        <v>vydobýt (v-w7863f1)</v>
      </c>
    </row>
    <row r="55603" spans="1:4" x14ac:dyDescent="0.2">
      <c r="B55603" t="s">
        <v>1</v>
      </c>
      <c r="C55603" t="s">
        <v>3255</v>
      </c>
      <c r="D55603" t="s">
        <v>30</v>
      </c>
    </row>
    <row r="55604" spans="1:4" x14ac:dyDescent="0.2">
      <c r="B55604" t="s">
        <v>8</v>
      </c>
      <c r="C55604" t="s">
        <v>3184</v>
      </c>
      <c r="D55604" t="s">
        <v>2439</v>
      </c>
    </row>
    <row r="55606" spans="1:4" x14ac:dyDescent="0.2">
      <c r="A55606" t="s">
        <v>17551</v>
      </c>
      <c r="B55606" t="str">
        <f>HYPERLINK("https://lindat.mff.cuni.cz/services/teitok/pdtc10/index.php?action=vallex&amp;frame=v-whsa_246f1_ZU", "vydojit (v-whsa_246f1_ZU)")</f>
        <v>vydojit (v-whsa_246f1_ZU)</v>
      </c>
    </row>
    <row r="55607" spans="1:4" x14ac:dyDescent="0.2">
      <c r="B55607" t="s">
        <v>1</v>
      </c>
      <c r="C55607" t="s">
        <v>140</v>
      </c>
      <c r="D55607" t="s">
        <v>23931</v>
      </c>
    </row>
    <row r="55608" spans="1:4" x14ac:dyDescent="0.2">
      <c r="B55608" t="s">
        <v>8</v>
      </c>
      <c r="C55608" t="s">
        <v>1331</v>
      </c>
    </row>
    <row r="55609" spans="1:4" x14ac:dyDescent="0.2">
      <c r="B55609" t="s">
        <v>17552</v>
      </c>
      <c r="D55609" t="s">
        <v>24301</v>
      </c>
    </row>
    <row r="55611" spans="1:4" x14ac:dyDescent="0.2">
      <c r="A55611" t="s">
        <v>17551</v>
      </c>
      <c r="B55611" t="str">
        <f>HYPERLINK("https://lindat.mff.cuni.cz/services/teitok/pdtc10/index.php?action=vallex&amp;frame=v-whsa_246hsa_247", "vydojit (v-whsa_246hsa_247) - substituted with v-whsa_246f1_ZU")</f>
        <v>vydojit (v-whsa_246hsa_247) - substituted with v-whsa_246f1_ZU</v>
      </c>
    </row>
    <row r="55612" spans="1:4" x14ac:dyDescent="0.2">
      <c r="B55612" t="s">
        <v>1</v>
      </c>
    </row>
    <row r="55613" spans="1:4" x14ac:dyDescent="0.2">
      <c r="B55613" t="s">
        <v>8</v>
      </c>
    </row>
    <row r="55614" spans="1:4" x14ac:dyDescent="0.2">
      <c r="B55614" t="s">
        <v>17552</v>
      </c>
    </row>
    <row r="55616" spans="1:4" x14ac:dyDescent="0.2">
      <c r="A55616" t="s">
        <v>17553</v>
      </c>
      <c r="B55616" t="str">
        <f>HYPERLINK("https://lindat.mff.cuni.cz/services/teitok/pdtc10/index.php?action=vallex&amp;frame=v-w7864f2", "vydolovat (v-w7864f2)")</f>
        <v>vydolovat (v-w7864f2)</v>
      </c>
    </row>
    <row r="55617" spans="1:4" x14ac:dyDescent="0.2">
      <c r="B55617" t="s">
        <v>1</v>
      </c>
    </row>
    <row r="55618" spans="1:4" x14ac:dyDescent="0.2">
      <c r="B55618" t="s">
        <v>8</v>
      </c>
    </row>
    <row r="55619" spans="1:4" x14ac:dyDescent="0.2">
      <c r="B55619" t="s">
        <v>17552</v>
      </c>
    </row>
    <row r="55621" spans="1:4" x14ac:dyDescent="0.2">
      <c r="A55621" t="s">
        <v>17554</v>
      </c>
      <c r="B55621" t="str">
        <f>HYPERLINK("https://lindat.mff.cuni.cz/services/teitok/pdtc10/index.php?action=vallex&amp;frame=v-w7864f1", "vydolovat (v-w7864f1)")</f>
        <v>vydolovat (v-w7864f1)</v>
      </c>
    </row>
    <row r="55622" spans="1:4" x14ac:dyDescent="0.2">
      <c r="B55622" t="s">
        <v>1</v>
      </c>
    </row>
    <row r="55623" spans="1:4" x14ac:dyDescent="0.2">
      <c r="B55623" t="s">
        <v>8</v>
      </c>
    </row>
    <row r="55625" spans="1:4" x14ac:dyDescent="0.2">
      <c r="A55625" t="s">
        <v>17555</v>
      </c>
      <c r="B55625" t="str">
        <f>HYPERLINK("https://lindat.mff.cuni.cz/services/teitok/pdtc10/index.php?action=vallex&amp;frame=v-w7865f1", "vydovádět se (v-w7865f1)")</f>
        <v>vydovádět se (v-w7865f1)</v>
      </c>
    </row>
    <row r="55626" spans="1:4" x14ac:dyDescent="0.2">
      <c r="B55626" t="s">
        <v>1</v>
      </c>
    </row>
    <row r="55628" spans="1:4" x14ac:dyDescent="0.2">
      <c r="A55628" t="s">
        <v>17556</v>
      </c>
      <c r="B55628" t="str">
        <f>HYPERLINK("https://lindat.mff.cuni.cz/services/teitok/pdtc10/index.php?action=vallex&amp;frame=v-w7866f1", "vydražit (v-w7866f1)")</f>
        <v>vydražit (v-w7866f1)</v>
      </c>
    </row>
    <row r="55629" spans="1:4" x14ac:dyDescent="0.2">
      <c r="B55629" t="s">
        <v>1</v>
      </c>
      <c r="C55629" t="s">
        <v>2239</v>
      </c>
      <c r="D55629" t="s">
        <v>2239</v>
      </c>
    </row>
    <row r="55630" spans="1:4" x14ac:dyDescent="0.2">
      <c r="B55630" t="s">
        <v>8</v>
      </c>
      <c r="C55630" t="s">
        <v>1510</v>
      </c>
      <c r="D55630" t="s">
        <v>1510</v>
      </c>
    </row>
    <row r="55632" spans="1:4" x14ac:dyDescent="0.2">
      <c r="A55632" t="s">
        <v>17557</v>
      </c>
      <c r="B55632" t="str">
        <f>HYPERLINK("https://lindat.mff.cuni.cz/services/teitok/pdtc10/index.php?action=vallex&amp;frame=v-whsa_1939f1_ZU", "vydrbat (v-whsa_1939f1_ZU)")</f>
        <v>vydrbat (v-whsa_1939f1_ZU)</v>
      </c>
    </row>
    <row r="55633" spans="1:4" x14ac:dyDescent="0.2">
      <c r="B55633" t="s">
        <v>1</v>
      </c>
    </row>
    <row r="55634" spans="1:4" x14ac:dyDescent="0.2">
      <c r="B55634" t="s">
        <v>8</v>
      </c>
    </row>
    <row r="55635" spans="1:4" x14ac:dyDescent="0.2">
      <c r="B55635" t="s">
        <v>321</v>
      </c>
    </row>
    <row r="55637" spans="1:4" x14ac:dyDescent="0.2">
      <c r="A55637" t="s">
        <v>17557</v>
      </c>
      <c r="B55637" t="str">
        <f>HYPERLINK("https://lindat.mff.cuni.cz/services/teitok/pdtc10/index.php?action=vallex&amp;frame=v-whsa_1939hsa_1940", "vydrbat (v-whsa_1939hsa_1940) - substituted with v-whsa_1939f1_ZU")</f>
        <v>vydrbat (v-whsa_1939hsa_1940) - substituted with v-whsa_1939f1_ZU</v>
      </c>
    </row>
    <row r="55638" spans="1:4" x14ac:dyDescent="0.2">
      <c r="B55638" t="s">
        <v>1</v>
      </c>
    </row>
    <row r="55639" spans="1:4" x14ac:dyDescent="0.2">
      <c r="B55639" t="s">
        <v>8</v>
      </c>
    </row>
    <row r="55640" spans="1:4" x14ac:dyDescent="0.2">
      <c r="B55640" t="s">
        <v>321</v>
      </c>
    </row>
    <row r="55642" spans="1:4" x14ac:dyDescent="0.2">
      <c r="A55642" t="s">
        <v>17558</v>
      </c>
      <c r="B55642" t="str">
        <f>HYPERLINK("https://lindat.mff.cuni.cz/services/teitok/pdtc10/index.php?action=vallex&amp;frame=v-w11619_ZUf1_ZU", "vydrápat se (v-w11619_ZUf1_ZU)")</f>
        <v>vydrápat se (v-w11619_ZUf1_ZU)</v>
      </c>
    </row>
    <row r="55643" spans="1:4" x14ac:dyDescent="0.2">
      <c r="B55643" t="s">
        <v>1</v>
      </c>
      <c r="C55643" t="s">
        <v>140</v>
      </c>
      <c r="D55643" t="s">
        <v>5475</v>
      </c>
    </row>
    <row r="55644" spans="1:4" x14ac:dyDescent="0.2">
      <c r="B55644" t="s">
        <v>4622</v>
      </c>
    </row>
    <row r="55646" spans="1:4" x14ac:dyDescent="0.2">
      <c r="A55646" t="s">
        <v>17559</v>
      </c>
      <c r="B55646" t="str">
        <f>HYPERLINK("https://lindat.mff.cuni.cz/services/teitok/pdtc10/index.php?action=vallex&amp;frame=v-w7867f3_ZU", "vydržet (v-w7867f3_ZU)")</f>
        <v>vydržet (v-w7867f3_ZU)</v>
      </c>
    </row>
    <row r="55647" spans="1:4" x14ac:dyDescent="0.2">
      <c r="B55647" t="s">
        <v>1</v>
      </c>
    </row>
    <row r="55648" spans="1:4" x14ac:dyDescent="0.2">
      <c r="B55648" t="s">
        <v>1221</v>
      </c>
    </row>
    <row r="55650" spans="1:4" x14ac:dyDescent="0.2">
      <c r="A55650" t="s">
        <v>17559</v>
      </c>
      <c r="B55650" t="str">
        <f>HYPERLINK("https://lindat.mff.cuni.cz/services/teitok/pdtc10/index.php?action=vallex&amp;frame=v-w7867f2", "vydržet (v-w7867f2) - substituted with v-w7867f3_ZU")</f>
        <v>vydržet (v-w7867f2) - substituted with v-w7867f3_ZU</v>
      </c>
    </row>
    <row r="55651" spans="1:4" x14ac:dyDescent="0.2">
      <c r="B55651" t="s">
        <v>1</v>
      </c>
      <c r="C55651" t="s">
        <v>17560</v>
      </c>
    </row>
    <row r="55652" spans="1:4" x14ac:dyDescent="0.2">
      <c r="B55652" t="s">
        <v>1221</v>
      </c>
      <c r="C55652" t="s">
        <v>17561</v>
      </c>
    </row>
    <row r="55654" spans="1:4" x14ac:dyDescent="0.2">
      <c r="A55654" t="s">
        <v>17559</v>
      </c>
      <c r="B55654" t="str">
        <f>HYPERLINK("https://lindat.mff.cuni.cz/services/teitok/pdtc10/index.php?action=vallex&amp;frame=v-w7867hsa_371", "vydržet (v-w7867hsa_371) - substituted with v-w7867f3_ZU")</f>
        <v>vydržet (v-w7867hsa_371) - substituted with v-w7867f3_ZU</v>
      </c>
    </row>
    <row r="55655" spans="1:4" x14ac:dyDescent="0.2">
      <c r="B55655" t="s">
        <v>1</v>
      </c>
    </row>
    <row r="55656" spans="1:4" x14ac:dyDescent="0.2">
      <c r="B55656" t="s">
        <v>1221</v>
      </c>
    </row>
    <row r="55658" spans="1:4" x14ac:dyDescent="0.2">
      <c r="A55658" t="s">
        <v>17562</v>
      </c>
      <c r="B55658" t="str">
        <f>HYPERLINK("https://lindat.mff.cuni.cz/services/teitok/pdtc10/index.php?action=vallex&amp;frame=v-w7867f1", "vydržet (v-w7867f1)")</f>
        <v>vydržet (v-w7867f1)</v>
      </c>
    </row>
    <row r="55659" spans="1:4" x14ac:dyDescent="0.2">
      <c r="B55659" t="s">
        <v>1</v>
      </c>
      <c r="C55659" t="s">
        <v>11230</v>
      </c>
      <c r="D55659" t="s">
        <v>23968</v>
      </c>
    </row>
    <row r="55661" spans="1:4" x14ac:dyDescent="0.2">
      <c r="A55661" t="s">
        <v>17563</v>
      </c>
      <c r="B55661" t="str">
        <f>HYPERLINK("https://lindat.mff.cuni.cz/services/teitok/pdtc10/index.php?action=vallex&amp;frame=v-w7868f1", "vydržovat (v-w7868f1)")</f>
        <v>vydržovat (v-w7868f1)</v>
      </c>
    </row>
    <row r="55662" spans="1:4" x14ac:dyDescent="0.2">
      <c r="B55662" t="s">
        <v>1</v>
      </c>
    </row>
    <row r="55663" spans="1:4" x14ac:dyDescent="0.2">
      <c r="B55663" t="s">
        <v>8</v>
      </c>
    </row>
    <row r="55665" spans="1:3" x14ac:dyDescent="0.2">
      <c r="A55665" t="s">
        <v>17564</v>
      </c>
      <c r="B55665" t="str">
        <f>HYPERLINK("https://lindat.mff.cuni.cz/services/teitok/pdtc10/index.php?action=vallex&amp;frame=v-w12229_ZUf1_ZU", "vydyndat (v-w12229_ZUf1_ZU)")</f>
        <v>vydyndat (v-w12229_ZUf1_ZU)</v>
      </c>
    </row>
    <row r="55666" spans="1:3" x14ac:dyDescent="0.2">
      <c r="B55666" t="s">
        <v>1</v>
      </c>
    </row>
    <row r="55667" spans="1:3" x14ac:dyDescent="0.2">
      <c r="B55667" t="s">
        <v>8</v>
      </c>
    </row>
    <row r="55668" spans="1:3" x14ac:dyDescent="0.2">
      <c r="B55668" t="s">
        <v>24</v>
      </c>
    </row>
    <row r="55670" spans="1:3" x14ac:dyDescent="0.2">
      <c r="A55670" t="s">
        <v>17565</v>
      </c>
      <c r="B55670" t="str">
        <f>HYPERLINK("https://lindat.mff.cuni.cz/services/teitok/pdtc10/index.php?action=vallex&amp;frame=v-w7846f9_ZU", "vydávat (v-w7846f9_ZU)")</f>
        <v>vydávat (v-w7846f9_ZU)</v>
      </c>
    </row>
    <row r="55671" spans="1:3" x14ac:dyDescent="0.2">
      <c r="B55671" t="s">
        <v>1</v>
      </c>
      <c r="C55671" t="s">
        <v>3075</v>
      </c>
    </row>
    <row r="55672" spans="1:3" x14ac:dyDescent="0.2">
      <c r="B55672" t="s">
        <v>8</v>
      </c>
      <c r="C55672" t="s">
        <v>3076</v>
      </c>
    </row>
    <row r="55673" spans="1:3" x14ac:dyDescent="0.2">
      <c r="B55673" t="s">
        <v>35</v>
      </c>
      <c r="C55673" t="s">
        <v>11069</v>
      </c>
    </row>
    <row r="55675" spans="1:3" x14ac:dyDescent="0.2">
      <c r="A55675" t="s">
        <v>17565</v>
      </c>
      <c r="B55675" t="str">
        <f>HYPERLINK("https://lindat.mff.cuni.cz/services/teitok/pdtc10/index.php?action=vallex&amp;frame=v-w7846f2", "vydávat (v-w7846f2) - substituted with v-w7846f9_ZU")</f>
        <v>vydávat (v-w7846f2) - substituted with v-w7846f9_ZU</v>
      </c>
    </row>
    <row r="55676" spans="1:3" x14ac:dyDescent="0.2">
      <c r="B55676" t="s">
        <v>1</v>
      </c>
      <c r="C55676" t="s">
        <v>17566</v>
      </c>
    </row>
    <row r="55677" spans="1:3" x14ac:dyDescent="0.2">
      <c r="B55677" t="s">
        <v>8</v>
      </c>
      <c r="C55677" t="s">
        <v>17567</v>
      </c>
    </row>
    <row r="55678" spans="1:3" x14ac:dyDescent="0.2">
      <c r="B55678" t="s">
        <v>35</v>
      </c>
      <c r="C55678" t="s">
        <v>1544</v>
      </c>
    </row>
    <row r="55680" spans="1:3" x14ac:dyDescent="0.2">
      <c r="A55680" t="s">
        <v>17568</v>
      </c>
      <c r="B55680" t="str">
        <f>HYPERLINK("https://lindat.mff.cuni.cz/services/teitok/pdtc10/index.php?action=vallex&amp;frame=v-w7846f7", "vydávat (v-w7846f7)")</f>
        <v>vydávat (v-w7846f7)</v>
      </c>
    </row>
    <row r="55681" spans="1:4" x14ac:dyDescent="0.2">
      <c r="B55681" t="s">
        <v>1</v>
      </c>
      <c r="D55681" t="s">
        <v>140</v>
      </c>
    </row>
    <row r="55682" spans="1:4" x14ac:dyDescent="0.2">
      <c r="B55682" t="s">
        <v>8</v>
      </c>
      <c r="D55682" t="s">
        <v>1128</v>
      </c>
    </row>
    <row r="55683" spans="1:4" x14ac:dyDescent="0.2">
      <c r="B55683" t="s">
        <v>35</v>
      </c>
    </row>
    <row r="55685" spans="1:4" x14ac:dyDescent="0.2">
      <c r="A55685" t="s">
        <v>17569</v>
      </c>
      <c r="B55685" t="str">
        <f>HYPERLINK("https://lindat.mff.cuni.cz/services/teitok/pdtc10/index.php?action=vallex&amp;frame=v-w7846f3", "vydávat (v-w7846f3)")</f>
        <v>vydávat (v-w7846f3)</v>
      </c>
    </row>
    <row r="55686" spans="1:4" x14ac:dyDescent="0.2">
      <c r="B55686" t="s">
        <v>1</v>
      </c>
      <c r="C55686" t="s">
        <v>17570</v>
      </c>
    </row>
    <row r="55687" spans="1:4" x14ac:dyDescent="0.2">
      <c r="B55687" t="s">
        <v>8</v>
      </c>
      <c r="C55687" t="s">
        <v>7224</v>
      </c>
    </row>
    <row r="55688" spans="1:4" x14ac:dyDescent="0.2">
      <c r="B55688" t="s">
        <v>484</v>
      </c>
      <c r="C55688" t="s">
        <v>17571</v>
      </c>
    </row>
    <row r="55690" spans="1:4" x14ac:dyDescent="0.2">
      <c r="A55690" t="s">
        <v>17572</v>
      </c>
      <c r="B55690" t="str">
        <f>HYPERLINK("https://lindat.mff.cuni.cz/services/teitok/pdtc10/index.php?action=vallex&amp;frame=v-w7846f4", "vydávat (v-w7846f4)")</f>
        <v>vydávat (v-w7846f4)</v>
      </c>
    </row>
    <row r="55691" spans="1:4" x14ac:dyDescent="0.2">
      <c r="B55691" t="s">
        <v>1</v>
      </c>
      <c r="C55691" t="s">
        <v>16537</v>
      </c>
      <c r="D55691" t="s">
        <v>23066</v>
      </c>
    </row>
    <row r="55692" spans="1:4" x14ac:dyDescent="0.2">
      <c r="B55692" t="s">
        <v>8</v>
      </c>
      <c r="C55692" t="s">
        <v>16538</v>
      </c>
      <c r="D55692" t="s">
        <v>23067</v>
      </c>
    </row>
    <row r="55693" spans="1:4" x14ac:dyDescent="0.2">
      <c r="B55693" t="s">
        <v>413</v>
      </c>
      <c r="D55693" t="s">
        <v>23252</v>
      </c>
    </row>
    <row r="55695" spans="1:4" x14ac:dyDescent="0.2">
      <c r="A55695" t="s">
        <v>17573</v>
      </c>
      <c r="B55695" t="str">
        <f>HYPERLINK("https://lindat.mff.cuni.cz/services/teitok/pdtc10/index.php?action=vallex&amp;frame=v-w7846f8", "vydávat (v-w7846f8)")</f>
        <v>vydávat (v-w7846f8)</v>
      </c>
    </row>
    <row r="55696" spans="1:4" x14ac:dyDescent="0.2">
      <c r="B55696" t="s">
        <v>1</v>
      </c>
      <c r="D55696" t="s">
        <v>140</v>
      </c>
    </row>
    <row r="55697" spans="1:4" x14ac:dyDescent="0.2">
      <c r="B55697" t="s">
        <v>8</v>
      </c>
      <c r="D55697" t="s">
        <v>1128</v>
      </c>
    </row>
    <row r="55698" spans="1:4" x14ac:dyDescent="0.2">
      <c r="B55698" t="s">
        <v>90</v>
      </c>
    </row>
    <row r="55700" spans="1:4" x14ac:dyDescent="0.2">
      <c r="A55700" t="s">
        <v>17574</v>
      </c>
      <c r="B55700" t="str">
        <f>HYPERLINK("https://lindat.mff.cuni.cz/services/teitok/pdtc10/index.php?action=vallex&amp;frame=v-w7846f1", "vydávat (v-w7846f1)")</f>
        <v>vydávat (v-w7846f1)</v>
      </c>
    </row>
    <row r="55701" spans="1:4" x14ac:dyDescent="0.2">
      <c r="B55701" t="s">
        <v>1</v>
      </c>
      <c r="C55701" t="s">
        <v>17575</v>
      </c>
      <c r="D55701" t="s">
        <v>23982</v>
      </c>
    </row>
    <row r="55702" spans="1:4" x14ac:dyDescent="0.2">
      <c r="B55702" t="s">
        <v>124</v>
      </c>
      <c r="C55702" t="s">
        <v>17576</v>
      </c>
      <c r="D55702" t="s">
        <v>23983</v>
      </c>
    </row>
    <row r="55704" spans="1:4" x14ac:dyDescent="0.2">
      <c r="A55704" t="s">
        <v>17577</v>
      </c>
      <c r="B55704" t="str">
        <f>HYPERLINK("https://lindat.mff.cuni.cz/services/teitok/pdtc10/index.php?action=vallex&amp;frame=v-w7846f5", "vydávat (v-w7846f5)")</f>
        <v>vydávat (v-w7846f5)</v>
      </c>
    </row>
    <row r="55705" spans="1:4" x14ac:dyDescent="0.2">
      <c r="B55705" t="s">
        <v>1</v>
      </c>
    </row>
    <row r="55706" spans="1:4" x14ac:dyDescent="0.2">
      <c r="B55706" t="s">
        <v>8</v>
      </c>
    </row>
    <row r="55708" spans="1:4" x14ac:dyDescent="0.2">
      <c r="A55708" t="s">
        <v>17578</v>
      </c>
      <c r="B55708" t="str">
        <f>HYPERLINK("https://lindat.mff.cuni.cz/services/teitok/pdtc10/index.php?action=vallex&amp;frame=v-w7846f10_ZU", "vydávat (v-w7846f10_ZU)")</f>
        <v>vydávat (v-w7846f10_ZU)</v>
      </c>
    </row>
    <row r="55709" spans="1:4" x14ac:dyDescent="0.2">
      <c r="B55709" t="s">
        <v>1</v>
      </c>
    </row>
    <row r="55710" spans="1:4" x14ac:dyDescent="0.2">
      <c r="B55710" t="s">
        <v>17579</v>
      </c>
    </row>
    <row r="55711" spans="1:4" x14ac:dyDescent="0.2">
      <c r="B55711" t="s">
        <v>35</v>
      </c>
    </row>
    <row r="55713" spans="1:4" x14ac:dyDescent="0.2">
      <c r="A55713" t="s">
        <v>17578</v>
      </c>
      <c r="B55713" t="str">
        <f>HYPERLINK("https://lindat.mff.cuni.cz/services/teitok/pdtc10/index.php?action=vallex&amp;frame=v-w7846f6", "vydávat (v-w7846f6) - substituted with v-w7846f10_ZU")</f>
        <v>vydávat (v-w7846f6) - substituted with v-w7846f10_ZU</v>
      </c>
    </row>
    <row r="55714" spans="1:4" x14ac:dyDescent="0.2">
      <c r="B55714" t="s">
        <v>1</v>
      </c>
      <c r="D55714" t="s">
        <v>22967</v>
      </c>
    </row>
    <row r="55715" spans="1:4" x14ac:dyDescent="0.2">
      <c r="B55715" t="s">
        <v>17579</v>
      </c>
      <c r="D55715" t="s">
        <v>24364</v>
      </c>
    </row>
    <row r="55716" spans="1:4" x14ac:dyDescent="0.2">
      <c r="B55716" t="s">
        <v>35</v>
      </c>
      <c r="D55716" t="s">
        <v>22969</v>
      </c>
    </row>
    <row r="55718" spans="1:4" x14ac:dyDescent="0.2">
      <c r="A55718" t="s">
        <v>17580</v>
      </c>
      <c r="B55718" t="str">
        <f>HYPERLINK("https://lindat.mff.cuni.cz/services/teitok/pdtc10/index.php?action=vallex&amp;frame=v-w7848f3", "vydávat se (v-w7848f3)")</f>
        <v>vydávat se (v-w7848f3)</v>
      </c>
    </row>
    <row r="55719" spans="1:4" x14ac:dyDescent="0.2">
      <c r="B55719" t="s">
        <v>1</v>
      </c>
    </row>
    <row r="55720" spans="1:4" x14ac:dyDescent="0.2">
      <c r="B55720" t="s">
        <v>168</v>
      </c>
    </row>
    <row r="55722" spans="1:4" x14ac:dyDescent="0.2">
      <c r="A55722" t="s">
        <v>17581</v>
      </c>
      <c r="B55722" t="str">
        <f>HYPERLINK("https://lindat.mff.cuni.cz/services/teitok/pdtc10/index.php?action=vallex&amp;frame=v-w7848f2", "vydávat se (v-w7848f2)")</f>
        <v>vydávat se (v-w7848f2)</v>
      </c>
    </row>
    <row r="55723" spans="1:4" x14ac:dyDescent="0.2">
      <c r="B55723" t="s">
        <v>1</v>
      </c>
      <c r="C55723" t="s">
        <v>17582</v>
      </c>
      <c r="D55723" t="s">
        <v>20771</v>
      </c>
    </row>
    <row r="55724" spans="1:4" x14ac:dyDescent="0.2">
      <c r="B55724" t="s">
        <v>357</v>
      </c>
      <c r="C55724" t="s">
        <v>17583</v>
      </c>
      <c r="D55724" t="s">
        <v>7664</v>
      </c>
    </row>
    <row r="55726" spans="1:4" x14ac:dyDescent="0.2">
      <c r="A55726" t="s">
        <v>17584</v>
      </c>
      <c r="B55726" t="str">
        <f>HYPERLINK("https://lindat.mff.cuni.cz/services/teitok/pdtc10/index.php?action=vallex&amp;frame=v-w7848f1", "vydávat se (v-w7848f1)")</f>
        <v>vydávat se (v-w7848f1)</v>
      </c>
    </row>
    <row r="55727" spans="1:4" x14ac:dyDescent="0.2">
      <c r="B55727" t="s">
        <v>1</v>
      </c>
      <c r="C55727" t="s">
        <v>17585</v>
      </c>
      <c r="D55727" t="s">
        <v>23336</v>
      </c>
    </row>
    <row r="55728" spans="1:4" x14ac:dyDescent="0.2">
      <c r="B55728" t="s">
        <v>90</v>
      </c>
    </row>
    <row r="55730" spans="1:4" x14ac:dyDescent="0.2">
      <c r="A55730" t="s">
        <v>17586</v>
      </c>
      <c r="B55730" t="str">
        <f>HYPERLINK("https://lindat.mff.cuni.cz/services/teitok/pdtc10/index.php?action=vallex&amp;frame=v-w7860f1", "vydírat (v-w7860f1)")</f>
        <v>vydírat (v-w7860f1)</v>
      </c>
    </row>
    <row r="55731" spans="1:4" x14ac:dyDescent="0.2">
      <c r="B55731" t="s">
        <v>1</v>
      </c>
      <c r="C55731" t="s">
        <v>249</v>
      </c>
      <c r="D55731" t="s">
        <v>249</v>
      </c>
    </row>
    <row r="55732" spans="1:4" x14ac:dyDescent="0.2">
      <c r="B55732" t="s">
        <v>8</v>
      </c>
      <c r="C55732" t="s">
        <v>7613</v>
      </c>
      <c r="D55732" t="s">
        <v>7613</v>
      </c>
    </row>
    <row r="55734" spans="1:4" x14ac:dyDescent="0.2">
      <c r="A55734" t="s">
        <v>17587</v>
      </c>
      <c r="B55734" t="str">
        <f>HYPERLINK("https://lindat.mff.cuni.cz/services/teitok/pdtc10/index.php?action=vallex&amp;frame=v-w7869f1", "vydýchat se (v-w7869f1)")</f>
        <v>vydýchat se (v-w7869f1)</v>
      </c>
    </row>
    <row r="55735" spans="1:4" x14ac:dyDescent="0.2">
      <c r="B55735" t="s">
        <v>1</v>
      </c>
    </row>
    <row r="55737" spans="1:4" x14ac:dyDescent="0.2">
      <c r="A55737" t="s">
        <v>17588</v>
      </c>
      <c r="B55737" t="str">
        <f>HYPERLINK("https://lindat.mff.cuni.cz/services/teitok/pdtc10/index.php?action=vallex&amp;frame=v-w7849f1", "vydědit (v-w7849f1)")</f>
        <v>vydědit (v-w7849f1)</v>
      </c>
    </row>
    <row r="55738" spans="1:4" x14ac:dyDescent="0.2">
      <c r="B55738" t="s">
        <v>1</v>
      </c>
    </row>
    <row r="55739" spans="1:4" x14ac:dyDescent="0.2">
      <c r="B55739" t="s">
        <v>8</v>
      </c>
    </row>
    <row r="55741" spans="1:4" x14ac:dyDescent="0.2">
      <c r="A55741" t="s">
        <v>17589</v>
      </c>
      <c r="B55741" t="str">
        <f>HYPERLINK("https://lindat.mff.cuni.cz/services/teitok/pdtc10/index.php?action=vallex&amp;frame=v-w7853f3_ZU", "vydělat (v-w7853f3_ZU)")</f>
        <v>vydělat (v-w7853f3_ZU)</v>
      </c>
    </row>
    <row r="55742" spans="1:4" x14ac:dyDescent="0.2">
      <c r="B55742" t="s">
        <v>1</v>
      </c>
      <c r="C55742" t="s">
        <v>8011</v>
      </c>
      <c r="D55742" t="s">
        <v>23111</v>
      </c>
    </row>
    <row r="55743" spans="1:4" x14ac:dyDescent="0.2">
      <c r="B55743" t="s">
        <v>8</v>
      </c>
      <c r="C55743" t="s">
        <v>1078</v>
      </c>
      <c r="D55743" t="s">
        <v>23112</v>
      </c>
    </row>
    <row r="55744" spans="1:4" x14ac:dyDescent="0.2">
      <c r="B55744" t="s">
        <v>17590</v>
      </c>
      <c r="D55744" t="s">
        <v>23113</v>
      </c>
    </row>
    <row r="55746" spans="1:3" x14ac:dyDescent="0.2">
      <c r="A55746" t="s">
        <v>17589</v>
      </c>
      <c r="B55746" t="str">
        <f>HYPERLINK("https://lindat.mff.cuni.cz/services/teitok/pdtc10/index.php?action=vallex&amp;frame=v-w7853f1", "vydělat (v-w7853f1) - substituted with v-w7853f3_ZU")</f>
        <v>vydělat (v-w7853f1) - substituted with v-w7853f3_ZU</v>
      </c>
    </row>
    <row r="55747" spans="1:3" x14ac:dyDescent="0.2">
      <c r="B55747" t="s">
        <v>1</v>
      </c>
      <c r="C55747" t="s">
        <v>17591</v>
      </c>
    </row>
    <row r="55748" spans="1:3" x14ac:dyDescent="0.2">
      <c r="B55748" t="s">
        <v>8</v>
      </c>
      <c r="C55748" t="s">
        <v>17592</v>
      </c>
    </row>
    <row r="55749" spans="1:3" x14ac:dyDescent="0.2">
      <c r="B55749" t="s">
        <v>17590</v>
      </c>
      <c r="C55749" t="s">
        <v>17593</v>
      </c>
    </row>
    <row r="55751" spans="1:3" x14ac:dyDescent="0.2">
      <c r="A55751" t="s">
        <v>17589</v>
      </c>
      <c r="B55751" t="str">
        <f>HYPERLINK("https://lindat.mff.cuni.cz/services/teitok/pdtc10/index.php?action=vallex&amp;frame=v-w7853f2_ZU", "vydělat (v-w7853f2_ZU) - substituted with v-w7853f3_ZU")</f>
        <v>vydělat (v-w7853f2_ZU) - substituted with v-w7853f3_ZU</v>
      </c>
    </row>
    <row r="55752" spans="1:3" x14ac:dyDescent="0.2">
      <c r="B55752" t="s">
        <v>1</v>
      </c>
      <c r="C55752" t="s">
        <v>17594</v>
      </c>
    </row>
    <row r="55753" spans="1:3" x14ac:dyDescent="0.2">
      <c r="B55753" t="s">
        <v>8</v>
      </c>
      <c r="C55753" t="s">
        <v>10805</v>
      </c>
    </row>
    <row r="55754" spans="1:3" x14ac:dyDescent="0.2">
      <c r="B55754" t="s">
        <v>17590</v>
      </c>
      <c r="C55754" t="s">
        <v>17595</v>
      </c>
    </row>
    <row r="55756" spans="1:3" x14ac:dyDescent="0.2">
      <c r="A55756" t="s">
        <v>17589</v>
      </c>
      <c r="B55756" t="str">
        <f>HYPERLINK("https://lindat.mff.cuni.cz/services/teitok/pdtc10/index.php?action=vallex&amp;frame=v-w7853hsa_301", "vydělat (v-w7853hsa_301) - substituted with v-w7853f3_ZU")</f>
        <v>vydělat (v-w7853hsa_301) - substituted with v-w7853f3_ZU</v>
      </c>
    </row>
    <row r="55757" spans="1:3" x14ac:dyDescent="0.2">
      <c r="B55757" t="s">
        <v>1</v>
      </c>
    </row>
    <row r="55758" spans="1:3" x14ac:dyDescent="0.2">
      <c r="B55758" t="s">
        <v>8</v>
      </c>
    </row>
    <row r="55759" spans="1:3" x14ac:dyDescent="0.2">
      <c r="B55759" t="s">
        <v>17590</v>
      </c>
    </row>
    <row r="55761" spans="1:3" x14ac:dyDescent="0.2">
      <c r="A55761" t="s">
        <v>17596</v>
      </c>
      <c r="B55761" t="str">
        <f>HYPERLINK("https://lindat.mff.cuni.cz/services/teitok/pdtc10/index.php?action=vallex&amp;frame=v-w7853hsa_239", "vydělat (v-w7853hsa_239)")</f>
        <v>vydělat (v-w7853hsa_239)</v>
      </c>
    </row>
    <row r="55762" spans="1:3" x14ac:dyDescent="0.2">
      <c r="B55762" t="s">
        <v>1</v>
      </c>
    </row>
    <row r="55763" spans="1:3" x14ac:dyDescent="0.2">
      <c r="B55763" t="s">
        <v>8</v>
      </c>
    </row>
    <row r="55765" spans="1:3" x14ac:dyDescent="0.2">
      <c r="A55765" t="s">
        <v>17597</v>
      </c>
      <c r="B55765" t="str">
        <f>HYPERLINK("https://lindat.mff.cuni.cz/services/teitok/pdtc10/index.php?action=vallex&amp;frame=v-w7856f1", "vydělit (v-w7856f1)")</f>
        <v>vydělit (v-w7856f1)</v>
      </c>
    </row>
    <row r="55766" spans="1:3" x14ac:dyDescent="0.2">
      <c r="B55766" t="s">
        <v>1</v>
      </c>
      <c r="C55766" t="s">
        <v>249</v>
      </c>
    </row>
    <row r="55767" spans="1:3" x14ac:dyDescent="0.2">
      <c r="B55767" t="s">
        <v>8</v>
      </c>
      <c r="C55767" t="s">
        <v>1025</v>
      </c>
    </row>
    <row r="55768" spans="1:3" x14ac:dyDescent="0.2">
      <c r="B55768" t="s">
        <v>333</v>
      </c>
    </row>
    <row r="55770" spans="1:3" x14ac:dyDescent="0.2">
      <c r="A55770" t="s">
        <v>17598</v>
      </c>
      <c r="B55770" t="str">
        <f>HYPERLINK("https://lindat.mff.cuni.cz/services/teitok/pdtc10/index.php?action=vallex&amp;frame=v-w7856f2_ZU", "vydělit (v-w7856f2_ZU)")</f>
        <v>vydělit (v-w7856f2_ZU)</v>
      </c>
    </row>
    <row r="55771" spans="1:3" x14ac:dyDescent="0.2">
      <c r="B55771" t="s">
        <v>1</v>
      </c>
      <c r="C55771" t="s">
        <v>140</v>
      </c>
    </row>
    <row r="55772" spans="1:3" x14ac:dyDescent="0.2">
      <c r="B55772" t="s">
        <v>8</v>
      </c>
      <c r="C55772" t="s">
        <v>113</v>
      </c>
    </row>
    <row r="55773" spans="1:3" x14ac:dyDescent="0.2">
      <c r="B55773" t="s">
        <v>1193</v>
      </c>
      <c r="C55773" t="s">
        <v>3966</v>
      </c>
    </row>
    <row r="55775" spans="1:3" x14ac:dyDescent="0.2">
      <c r="A55775" t="s">
        <v>17598</v>
      </c>
      <c r="B55775" t="str">
        <f>HYPERLINK("https://lindat.mff.cuni.cz/services/teitok/pdtc10/index.php?action=vallex&amp;frame=v-w7856hsa_685", "vydělit (v-w7856hsa_685) - substituted with v-w7856f2_ZU")</f>
        <v>vydělit (v-w7856hsa_685) - substituted with v-w7856f2_ZU</v>
      </c>
    </row>
    <row r="55776" spans="1:3" x14ac:dyDescent="0.2">
      <c r="B55776" t="s">
        <v>1</v>
      </c>
    </row>
    <row r="55777" spans="1:4" x14ac:dyDescent="0.2">
      <c r="B55777" t="s">
        <v>8</v>
      </c>
    </row>
    <row r="55778" spans="1:4" x14ac:dyDescent="0.2">
      <c r="B55778" t="s">
        <v>1193</v>
      </c>
    </row>
    <row r="55780" spans="1:4" x14ac:dyDescent="0.2">
      <c r="A55780" t="s">
        <v>17599</v>
      </c>
      <c r="B55780" t="str">
        <f>HYPERLINK("https://lindat.mff.cuni.cz/services/teitok/pdtc10/index.php?action=vallex&amp;frame=v-w7857f1", "vydělit se (v-w7857f1)")</f>
        <v>vydělit se (v-w7857f1)</v>
      </c>
    </row>
    <row r="55781" spans="1:4" x14ac:dyDescent="0.2">
      <c r="B55781" t="s">
        <v>1</v>
      </c>
    </row>
    <row r="55782" spans="1:4" x14ac:dyDescent="0.2">
      <c r="B55782" t="s">
        <v>333</v>
      </c>
    </row>
    <row r="55784" spans="1:4" x14ac:dyDescent="0.2">
      <c r="A55784" t="s">
        <v>17600</v>
      </c>
      <c r="B55784" t="str">
        <f>HYPERLINK("https://lindat.mff.cuni.cz/services/teitok/pdtc10/index.php?action=vallex&amp;frame=v-w7858f1", "vydělovat se (v-w7858f1)")</f>
        <v>vydělovat se (v-w7858f1)</v>
      </c>
    </row>
    <row r="55785" spans="1:4" x14ac:dyDescent="0.2">
      <c r="B55785" t="s">
        <v>1</v>
      </c>
    </row>
    <row r="55786" spans="1:4" x14ac:dyDescent="0.2">
      <c r="B55786" t="s">
        <v>333</v>
      </c>
    </row>
    <row r="55788" spans="1:4" x14ac:dyDescent="0.2">
      <c r="A55788" t="s">
        <v>17601</v>
      </c>
      <c r="B55788" t="str">
        <f>HYPERLINK("https://lindat.mff.cuni.cz/services/teitok/pdtc10/index.php?action=vallex&amp;frame=v-w7854f1", "vydělávat (v-w7854f1)")</f>
        <v>vydělávat (v-w7854f1)</v>
      </c>
    </row>
    <row r="55789" spans="1:4" x14ac:dyDescent="0.2">
      <c r="B55789" t="s">
        <v>1</v>
      </c>
      <c r="C55789" t="s">
        <v>17602</v>
      </c>
      <c r="D55789" t="s">
        <v>23111</v>
      </c>
    </row>
    <row r="55790" spans="1:4" x14ac:dyDescent="0.2">
      <c r="B55790" t="s">
        <v>8</v>
      </c>
      <c r="C55790" t="s">
        <v>17603</v>
      </c>
      <c r="D55790" t="s">
        <v>23112</v>
      </c>
    </row>
    <row r="55791" spans="1:4" x14ac:dyDescent="0.2">
      <c r="B55791" t="s">
        <v>442</v>
      </c>
      <c r="C55791" t="s">
        <v>17604</v>
      </c>
      <c r="D55791" t="s">
        <v>23113</v>
      </c>
    </row>
    <row r="55793" spans="1:4" x14ac:dyDescent="0.2">
      <c r="A55793" t="s">
        <v>17605</v>
      </c>
      <c r="B55793" t="str">
        <f>HYPERLINK("https://lindat.mff.cuni.cz/services/teitok/pdtc10/index.php?action=vallex&amp;frame=v-w10454f2", "vyděsit (v-w10454f2)")</f>
        <v>vyděsit (v-w10454f2)</v>
      </c>
    </row>
    <row r="55794" spans="1:4" x14ac:dyDescent="0.2">
      <c r="B55794" t="s">
        <v>1</v>
      </c>
      <c r="C55794" t="s">
        <v>17606</v>
      </c>
      <c r="D55794" t="s">
        <v>23316</v>
      </c>
    </row>
    <row r="55795" spans="1:4" x14ac:dyDescent="0.2">
      <c r="B55795" t="s">
        <v>8</v>
      </c>
      <c r="C55795" t="s">
        <v>1109</v>
      </c>
      <c r="D55795" t="s">
        <v>2213</v>
      </c>
    </row>
    <row r="55797" spans="1:4" x14ac:dyDescent="0.2">
      <c r="A55797" t="s">
        <v>17607</v>
      </c>
      <c r="B55797" t="str">
        <f>HYPERLINK("https://lindat.mff.cuni.cz/services/teitok/pdtc10/index.php?action=vallex&amp;frame=v-w11319f1", "vyděsit se (v-w11319f1)")</f>
        <v>vyděsit se (v-w11319f1)</v>
      </c>
    </row>
    <row r="55798" spans="1:4" x14ac:dyDescent="0.2">
      <c r="B55798" t="s">
        <v>1</v>
      </c>
      <c r="C55798" t="s">
        <v>2172</v>
      </c>
      <c r="D55798" t="s">
        <v>6793</v>
      </c>
    </row>
    <row r="55800" spans="1:4" x14ac:dyDescent="0.2">
      <c r="A55800" t="s">
        <v>17608</v>
      </c>
      <c r="B55800" t="str">
        <f>HYPERLINK("https://lindat.mff.cuni.cz/services/teitok/pdtc10/index.php?action=vallex&amp;frame=v-w10916f2", "vydřít (v-w10916f2)")</f>
        <v>vydřít (v-w10916f2)</v>
      </c>
    </row>
    <row r="55801" spans="1:4" x14ac:dyDescent="0.2">
      <c r="B55801" t="s">
        <v>1</v>
      </c>
      <c r="C55801" t="s">
        <v>133</v>
      </c>
    </row>
    <row r="55802" spans="1:4" x14ac:dyDescent="0.2">
      <c r="B55802" t="s">
        <v>8</v>
      </c>
      <c r="C55802" t="s">
        <v>113</v>
      </c>
    </row>
    <row r="55803" spans="1:4" x14ac:dyDescent="0.2">
      <c r="B55803" t="s">
        <v>6411</v>
      </c>
    </row>
    <row r="55805" spans="1:4" x14ac:dyDescent="0.2">
      <c r="A55805" t="s">
        <v>17609</v>
      </c>
      <c r="B55805" t="str">
        <f>HYPERLINK("https://lindat.mff.cuni.cz/services/teitok/pdtc10/index.php?action=vallex&amp;frame=v-w11620_ZUf1_ZU", "vyexpedovat (v-w11620_ZUf1_ZU)")</f>
        <v>vyexpedovat (v-w11620_ZUf1_ZU)</v>
      </c>
    </row>
    <row r="55806" spans="1:4" x14ac:dyDescent="0.2">
      <c r="B55806" t="s">
        <v>1</v>
      </c>
    </row>
    <row r="55807" spans="1:4" x14ac:dyDescent="0.2">
      <c r="B55807" t="s">
        <v>8</v>
      </c>
    </row>
    <row r="55808" spans="1:4" x14ac:dyDescent="0.2">
      <c r="B55808" t="s">
        <v>4622</v>
      </c>
    </row>
    <row r="55810" spans="1:4" x14ac:dyDescent="0.2">
      <c r="A55810" t="s">
        <v>17610</v>
      </c>
      <c r="B55810" t="str">
        <f>HYPERLINK("https://lindat.mff.cuni.cz/services/teitok/pdtc10/index.php?action=vallex&amp;frame=v-w7870f1", "vyfasovat (v-w7870f1)")</f>
        <v>vyfasovat (v-w7870f1)</v>
      </c>
    </row>
    <row r="55811" spans="1:4" x14ac:dyDescent="0.2">
      <c r="B55811" t="s">
        <v>1</v>
      </c>
      <c r="D55811" t="s">
        <v>23201</v>
      </c>
    </row>
    <row r="55812" spans="1:4" x14ac:dyDescent="0.2">
      <c r="B55812" t="s">
        <v>8</v>
      </c>
      <c r="D55812" t="s">
        <v>23202</v>
      </c>
    </row>
    <row r="55814" spans="1:4" x14ac:dyDescent="0.2">
      <c r="A55814" t="s">
        <v>17611</v>
      </c>
      <c r="B55814" t="str">
        <f>HYPERLINK("https://lindat.mff.cuni.cz/services/teitok/pdtc10/index.php?action=vallex&amp;frame=v-w7870f2_ZU", "vyfasovat (v-w7870f2_ZU)")</f>
        <v>vyfasovat (v-w7870f2_ZU)</v>
      </c>
    </row>
    <row r="55815" spans="1:4" x14ac:dyDescent="0.2">
      <c r="B55815" t="s">
        <v>1</v>
      </c>
    </row>
    <row r="55816" spans="1:4" x14ac:dyDescent="0.2">
      <c r="B55816" t="s">
        <v>8</v>
      </c>
    </row>
    <row r="55818" spans="1:4" x14ac:dyDescent="0.2">
      <c r="A55818" t="s">
        <v>17612</v>
      </c>
      <c r="B55818" t="str">
        <f>HYPERLINK("https://lindat.mff.cuni.cz/services/teitok/pdtc10/index.php?action=vallex&amp;frame=v-w10901f2", "vyfotit (v-w10901f2)")</f>
        <v>vyfotit (v-w10901f2)</v>
      </c>
    </row>
    <row r="55819" spans="1:4" x14ac:dyDescent="0.2">
      <c r="B55819" t="s">
        <v>1</v>
      </c>
    </row>
    <row r="55820" spans="1:4" x14ac:dyDescent="0.2">
      <c r="B55820" t="s">
        <v>8</v>
      </c>
    </row>
    <row r="55822" spans="1:4" x14ac:dyDescent="0.2">
      <c r="A55822" t="s">
        <v>17613</v>
      </c>
      <c r="B55822" t="str">
        <f>HYPERLINK("https://lindat.mff.cuni.cz/services/teitok/pdtc10/index.php?action=vallex&amp;frame=v-w10901f3_ZU", "vyfotit (v-w10901f3_ZU)")</f>
        <v>vyfotit (v-w10901f3_ZU)</v>
      </c>
    </row>
    <row r="55823" spans="1:4" x14ac:dyDescent="0.2">
      <c r="B55823" t="s">
        <v>1</v>
      </c>
    </row>
    <row r="55824" spans="1:4" x14ac:dyDescent="0.2">
      <c r="B55824" t="s">
        <v>8</v>
      </c>
    </row>
    <row r="55826" spans="1:2" x14ac:dyDescent="0.2">
      <c r="A55826" t="s">
        <v>17614</v>
      </c>
      <c r="B55826" t="str">
        <f>HYPERLINK("https://lindat.mff.cuni.cz/services/teitok/pdtc10/index.php?action=vallex&amp;frame=v-w11900_ZUf3_ZU", "vyfotit se (v-w11900_ZUf3_ZU)")</f>
        <v>vyfotit se (v-w11900_ZUf3_ZU)</v>
      </c>
    </row>
    <row r="55827" spans="1:2" x14ac:dyDescent="0.2">
      <c r="B55827" t="s">
        <v>1</v>
      </c>
    </row>
    <row r="55828" spans="1:2" x14ac:dyDescent="0.2">
      <c r="B55828" t="s">
        <v>2423</v>
      </c>
    </row>
    <row r="55830" spans="1:2" x14ac:dyDescent="0.2">
      <c r="A55830" t="s">
        <v>17614</v>
      </c>
      <c r="B55830" t="str">
        <f>HYPERLINK("https://lindat.mff.cuni.cz/services/teitok/pdtc10/index.php?action=vallex&amp;frame=v-w11900_ZUf1_ZU", "vyfotit se (v-w11900_ZUf1_ZU) - substituted with v-w11900_ZUf3_ZU")</f>
        <v>vyfotit se (v-w11900_ZUf1_ZU) - substituted with v-w11900_ZUf3_ZU</v>
      </c>
    </row>
    <row r="55831" spans="1:2" x14ac:dyDescent="0.2">
      <c r="B55831" t="s">
        <v>1</v>
      </c>
    </row>
    <row r="55832" spans="1:2" x14ac:dyDescent="0.2">
      <c r="B55832" t="s">
        <v>2423</v>
      </c>
    </row>
    <row r="55834" spans="1:2" x14ac:dyDescent="0.2">
      <c r="A55834" t="s">
        <v>17614</v>
      </c>
      <c r="B55834" t="str">
        <f>HYPERLINK("https://lindat.mff.cuni.cz/services/teitok/pdtc10/index.php?action=vallex&amp;frame=v-w11900_ZUf2_ZU", "vyfotit se (v-w11900_ZUf2_ZU) - substituted with v-w11900_ZUf3_ZU")</f>
        <v>vyfotit se (v-w11900_ZUf2_ZU) - substituted with v-w11900_ZUf3_ZU</v>
      </c>
    </row>
    <row r="55835" spans="1:2" x14ac:dyDescent="0.2">
      <c r="B55835" t="s">
        <v>1</v>
      </c>
    </row>
    <row r="55836" spans="1:2" x14ac:dyDescent="0.2">
      <c r="B55836" t="s">
        <v>2423</v>
      </c>
    </row>
    <row r="55838" spans="1:2" x14ac:dyDescent="0.2">
      <c r="A55838" t="s">
        <v>17615</v>
      </c>
      <c r="B55838" t="str">
        <f>HYPERLINK("https://lindat.mff.cuni.cz/services/teitok/pdtc10/index.php?action=vallex&amp;frame=v-w7871f1", "vyfotografovat (v-w7871f1)")</f>
        <v>vyfotografovat (v-w7871f1)</v>
      </c>
    </row>
    <row r="55839" spans="1:2" x14ac:dyDescent="0.2">
      <c r="B55839" t="s">
        <v>1</v>
      </c>
    </row>
    <row r="55840" spans="1:2" x14ac:dyDescent="0.2">
      <c r="B55840" t="s">
        <v>8</v>
      </c>
    </row>
    <row r="55842" spans="1:2" x14ac:dyDescent="0.2">
      <c r="A55842" t="s">
        <v>17616</v>
      </c>
      <c r="B55842" t="str">
        <f>HYPERLINK("https://lindat.mff.cuni.cz/services/teitok/pdtc10/index.php?action=vallex&amp;frame=v-w11362f1", "vyfotografovat se (v-w11362f1)")</f>
        <v>vyfotografovat se (v-w11362f1)</v>
      </c>
    </row>
    <row r="55843" spans="1:2" x14ac:dyDescent="0.2">
      <c r="B55843" t="s">
        <v>1</v>
      </c>
    </row>
    <row r="55844" spans="1:2" x14ac:dyDescent="0.2">
      <c r="B55844" t="s">
        <v>411</v>
      </c>
    </row>
    <row r="55846" spans="1:2" x14ac:dyDescent="0.2">
      <c r="A55846" t="s">
        <v>17617</v>
      </c>
      <c r="B55846" t="str">
        <f>HYPERLINK("https://lindat.mff.cuni.cz/services/teitok/pdtc10/index.php?action=vallex&amp;frame=v-w7872f1", "vyfouknout (v-w7872f1)")</f>
        <v>vyfouknout (v-w7872f1)</v>
      </c>
    </row>
    <row r="55847" spans="1:2" x14ac:dyDescent="0.2">
      <c r="B55847" t="s">
        <v>1</v>
      </c>
    </row>
    <row r="55848" spans="1:2" x14ac:dyDescent="0.2">
      <c r="B55848" t="s">
        <v>8</v>
      </c>
    </row>
    <row r="55849" spans="1:2" x14ac:dyDescent="0.2">
      <c r="B55849" t="s">
        <v>24</v>
      </c>
    </row>
    <row r="55851" spans="1:2" x14ac:dyDescent="0.2">
      <c r="A55851" t="s">
        <v>17618</v>
      </c>
      <c r="B55851" t="str">
        <f>HYPERLINK("https://lindat.mff.cuni.cz/services/teitok/pdtc10/index.php?action=vallex&amp;frame=v-w7872hsa_1098", "vyfouknout (v-w7872hsa_1098)")</f>
        <v>vyfouknout (v-w7872hsa_1098)</v>
      </c>
    </row>
    <row r="55852" spans="1:2" x14ac:dyDescent="0.2">
      <c r="B55852" t="s">
        <v>1</v>
      </c>
    </row>
    <row r="55853" spans="1:2" x14ac:dyDescent="0.2">
      <c r="B55853" t="s">
        <v>8</v>
      </c>
    </row>
    <row r="55854" spans="1:2" x14ac:dyDescent="0.2">
      <c r="B55854" t="s">
        <v>35</v>
      </c>
    </row>
    <row r="55856" spans="1:2" x14ac:dyDescent="0.2">
      <c r="A55856" t="s">
        <v>17619</v>
      </c>
      <c r="B55856" t="str">
        <f>HYPERLINK("https://lindat.mff.cuni.cz/services/teitok/pdtc10/index.php?action=vallex&amp;frame=v-w11188f2", "vygenerovat (v-w11188f2)")</f>
        <v>vygenerovat (v-w11188f2)</v>
      </c>
    </row>
    <row r="55857" spans="1:4" x14ac:dyDescent="0.2">
      <c r="B55857" t="s">
        <v>1</v>
      </c>
      <c r="C55857" t="s">
        <v>3081</v>
      </c>
      <c r="D55857" t="s">
        <v>23327</v>
      </c>
    </row>
    <row r="55858" spans="1:4" x14ac:dyDescent="0.2">
      <c r="B55858" t="s">
        <v>8</v>
      </c>
      <c r="C55858" t="s">
        <v>240</v>
      </c>
      <c r="D55858" t="s">
        <v>23328</v>
      </c>
    </row>
    <row r="55859" spans="1:4" x14ac:dyDescent="0.2">
      <c r="B55859" t="s">
        <v>24</v>
      </c>
    </row>
    <row r="55861" spans="1:4" x14ac:dyDescent="0.2">
      <c r="A55861" t="s">
        <v>17620</v>
      </c>
      <c r="B55861" t="str">
        <f>HYPERLINK("https://lindat.mff.cuni.cz/services/teitok/pdtc10/index.php?action=vallex&amp;frame=v-w7873f1", "vygradovat (v-w7873f1)")</f>
        <v>vygradovat (v-w7873f1)</v>
      </c>
    </row>
    <row r="55862" spans="1:4" x14ac:dyDescent="0.2">
      <c r="B55862" t="s">
        <v>1</v>
      </c>
    </row>
    <row r="55863" spans="1:4" x14ac:dyDescent="0.2">
      <c r="B55863" t="s">
        <v>8</v>
      </c>
    </row>
    <row r="55865" spans="1:4" x14ac:dyDescent="0.2">
      <c r="A55865" t="s">
        <v>17621</v>
      </c>
      <c r="B55865" t="str">
        <f>HYPERLINK("https://lindat.mff.cuni.cz/services/teitok/pdtc10/index.php?action=vallex&amp;frame=v-w7874f1", "vygumovat (v-w7874f1)")</f>
        <v>vygumovat (v-w7874f1)</v>
      </c>
    </row>
    <row r="55866" spans="1:4" x14ac:dyDescent="0.2">
      <c r="B55866" t="s">
        <v>1</v>
      </c>
    </row>
    <row r="55867" spans="1:4" x14ac:dyDescent="0.2">
      <c r="B55867" t="s">
        <v>8</v>
      </c>
    </row>
    <row r="55868" spans="1:4" x14ac:dyDescent="0.2">
      <c r="B55868" t="s">
        <v>333</v>
      </c>
    </row>
    <row r="55870" spans="1:4" x14ac:dyDescent="0.2">
      <c r="A55870" t="s">
        <v>17622</v>
      </c>
      <c r="B55870" t="str">
        <f>HYPERLINK("https://lindat.mff.cuni.cz/services/teitok/pdtc10/index.php?action=vallex&amp;frame=v-w7878f1", "vyhasnout (v-w7878f1)")</f>
        <v>vyhasnout (v-w7878f1)</v>
      </c>
    </row>
    <row r="55871" spans="1:4" x14ac:dyDescent="0.2">
      <c r="B55871" t="s">
        <v>1</v>
      </c>
    </row>
    <row r="55873" spans="1:4" x14ac:dyDescent="0.2">
      <c r="A55873" t="s">
        <v>17623</v>
      </c>
      <c r="B55873" t="str">
        <f>HYPERLINK("https://lindat.mff.cuni.cz/services/teitok/pdtc10/index.php?action=vallex&amp;frame=v-w7878f2", "vyhasnout (v-w7878f2)")</f>
        <v>vyhasnout (v-w7878f2)</v>
      </c>
    </row>
    <row r="55874" spans="1:4" x14ac:dyDescent="0.2">
      <c r="B55874" t="s">
        <v>1</v>
      </c>
    </row>
    <row r="55876" spans="1:4" x14ac:dyDescent="0.2">
      <c r="A55876" t="s">
        <v>17624</v>
      </c>
      <c r="B55876" t="str">
        <f>HYPERLINK("https://lindat.mff.cuni.cz/services/teitok/pdtc10/index.php?action=vallex&amp;frame=v-w7877f1", "vyhasínat (v-w7877f1)")</f>
        <v>vyhasínat (v-w7877f1)</v>
      </c>
    </row>
    <row r="55877" spans="1:4" x14ac:dyDescent="0.2">
      <c r="B55877" t="s">
        <v>1</v>
      </c>
    </row>
    <row r="55879" spans="1:4" x14ac:dyDescent="0.2">
      <c r="A55879" t="s">
        <v>17625</v>
      </c>
      <c r="B55879" t="str">
        <f>HYPERLINK("https://lindat.mff.cuni.cz/services/teitok/pdtc10/index.php?action=vallex&amp;frame=v-w7881f1", "vyhazovat (v-w7881f1)")</f>
        <v>vyhazovat (v-w7881f1)</v>
      </c>
    </row>
    <row r="55880" spans="1:4" x14ac:dyDescent="0.2">
      <c r="B55880" t="s">
        <v>1</v>
      </c>
      <c r="C55880" t="s">
        <v>2303</v>
      </c>
      <c r="D55880" t="s">
        <v>6131</v>
      </c>
    </row>
    <row r="55881" spans="1:4" x14ac:dyDescent="0.2">
      <c r="B55881" t="s">
        <v>8</v>
      </c>
      <c r="C55881" t="s">
        <v>1109</v>
      </c>
      <c r="D55881" t="s">
        <v>18247</v>
      </c>
    </row>
    <row r="55882" spans="1:4" x14ac:dyDescent="0.2">
      <c r="B55882" t="s">
        <v>333</v>
      </c>
      <c r="D55882" t="s">
        <v>23090</v>
      </c>
    </row>
    <row r="55884" spans="1:4" x14ac:dyDescent="0.2">
      <c r="A55884" t="s">
        <v>17626</v>
      </c>
      <c r="B55884" t="str">
        <f>HYPERLINK("https://lindat.mff.cuni.cz/services/teitok/pdtc10/index.php?action=vallex&amp;frame=v-w7881f3_ZU", "vyhazovat (v-w7881f3_ZU)")</f>
        <v>vyhazovat (v-w7881f3_ZU)</v>
      </c>
    </row>
    <row r="55885" spans="1:4" x14ac:dyDescent="0.2">
      <c r="B55885" t="s">
        <v>1</v>
      </c>
      <c r="C55885" t="s">
        <v>2303</v>
      </c>
    </row>
    <row r="55886" spans="1:4" x14ac:dyDescent="0.2">
      <c r="B55886" t="s">
        <v>17627</v>
      </c>
    </row>
    <row r="55887" spans="1:4" x14ac:dyDescent="0.2">
      <c r="B55887" t="s">
        <v>8</v>
      </c>
      <c r="C55887" t="s">
        <v>1109</v>
      </c>
    </row>
    <row r="55889" spans="1:3" x14ac:dyDescent="0.2">
      <c r="A55889" t="s">
        <v>17626</v>
      </c>
      <c r="B55889" t="str">
        <f>HYPERLINK("https://lindat.mff.cuni.cz/services/teitok/pdtc10/index.php?action=vallex&amp;frame=v-w7881f2_ZU", "vyhazovat (v-w7881f2_ZU) - substituted with v-w7881f3_ZU")</f>
        <v>vyhazovat (v-w7881f2_ZU) - substituted with v-w7881f3_ZU</v>
      </c>
    </row>
    <row r="55890" spans="1:3" x14ac:dyDescent="0.2">
      <c r="B55890" t="s">
        <v>1</v>
      </c>
      <c r="C55890" t="s">
        <v>2303</v>
      </c>
    </row>
    <row r="55891" spans="1:3" x14ac:dyDescent="0.2">
      <c r="B55891" t="s">
        <v>17627</v>
      </c>
    </row>
    <row r="55892" spans="1:3" x14ac:dyDescent="0.2">
      <c r="B55892" t="s">
        <v>8</v>
      </c>
      <c r="C55892" t="s">
        <v>1109</v>
      </c>
    </row>
    <row r="55894" spans="1:3" x14ac:dyDescent="0.2">
      <c r="A55894" t="s">
        <v>17628</v>
      </c>
      <c r="B55894" t="str">
        <f>HYPERLINK("https://lindat.mff.cuni.cz/services/teitok/pdtc10/index.php?action=vallex&amp;frame=v-w7881hsa_144", "vyhazovat (v-w7881hsa_144)")</f>
        <v>vyhazovat (v-w7881hsa_144)</v>
      </c>
    </row>
    <row r="55895" spans="1:3" x14ac:dyDescent="0.2">
      <c r="B55895" t="s">
        <v>1</v>
      </c>
      <c r="C55895" t="s">
        <v>80</v>
      </c>
    </row>
    <row r="55896" spans="1:3" x14ac:dyDescent="0.2">
      <c r="B55896" t="s">
        <v>8</v>
      </c>
      <c r="C55896" t="s">
        <v>1109</v>
      </c>
    </row>
    <row r="55898" spans="1:3" x14ac:dyDescent="0.2">
      <c r="A55898" t="s">
        <v>17629</v>
      </c>
      <c r="B55898" t="str">
        <f>HYPERLINK("https://lindat.mff.cuni.cz/services/teitok/pdtc10/index.php?action=vallex&amp;frame=v-w7881hsa_145", "vyhazovat (v-w7881hsa_145)")</f>
        <v>vyhazovat (v-w7881hsa_145)</v>
      </c>
    </row>
    <row r="55899" spans="1:3" x14ac:dyDescent="0.2">
      <c r="B55899" t="s">
        <v>1</v>
      </c>
    </row>
    <row r="55900" spans="1:3" x14ac:dyDescent="0.2">
      <c r="B55900" t="s">
        <v>8</v>
      </c>
    </row>
    <row r="55902" spans="1:3" x14ac:dyDescent="0.2">
      <c r="A55902" t="s">
        <v>17630</v>
      </c>
      <c r="B55902" t="str">
        <f>HYPERLINK("https://lindat.mff.cuni.cz/services/teitok/pdtc10/index.php?action=vallex&amp;frame=v-w7881hsa_105", "vyhazovat (v-w7881hsa_105)")</f>
        <v>vyhazovat (v-w7881hsa_105)</v>
      </c>
    </row>
    <row r="55903" spans="1:3" x14ac:dyDescent="0.2">
      <c r="B55903" t="s">
        <v>1</v>
      </c>
    </row>
    <row r="55904" spans="1:3" x14ac:dyDescent="0.2">
      <c r="B55904" t="s">
        <v>8</v>
      </c>
    </row>
    <row r="55906" spans="1:2" x14ac:dyDescent="0.2">
      <c r="A55906" t="s">
        <v>17631</v>
      </c>
      <c r="B55906" t="str">
        <f>HYPERLINK("https://lindat.mff.cuni.cz/services/teitok/pdtc10/index.php?action=vallex&amp;frame=v-w7881hsa_146", "vyhazovat (v-w7881hsa_146)")</f>
        <v>vyhazovat (v-w7881hsa_146)</v>
      </c>
    </row>
    <row r="55907" spans="1:2" x14ac:dyDescent="0.2">
      <c r="B55907" t="s">
        <v>1</v>
      </c>
    </row>
    <row r="55908" spans="1:2" x14ac:dyDescent="0.2">
      <c r="B55908" t="s">
        <v>17632</v>
      </c>
    </row>
    <row r="55909" spans="1:2" x14ac:dyDescent="0.2">
      <c r="B55909" t="s">
        <v>8</v>
      </c>
    </row>
    <row r="55911" spans="1:2" x14ac:dyDescent="0.2">
      <c r="A55911" t="s">
        <v>17633</v>
      </c>
      <c r="B55911" t="str">
        <f>HYPERLINK("https://lindat.mff.cuni.cz/services/teitok/pdtc10/index.php?action=vallex&amp;frame=v-w12057_ZUf1_ZU", "vyhecovat (v-w12057_ZUf1_ZU)")</f>
        <v>vyhecovat (v-w12057_ZUf1_ZU)</v>
      </c>
    </row>
    <row r="55912" spans="1:2" x14ac:dyDescent="0.2">
      <c r="B55912" t="s">
        <v>1</v>
      </c>
    </row>
    <row r="55913" spans="1:2" x14ac:dyDescent="0.2">
      <c r="B55913" t="s">
        <v>58</v>
      </c>
    </row>
    <row r="55914" spans="1:2" x14ac:dyDescent="0.2">
      <c r="B55914" t="s">
        <v>17634</v>
      </c>
    </row>
    <row r="55916" spans="1:2" x14ac:dyDescent="0.2">
      <c r="A55916" t="s">
        <v>17635</v>
      </c>
      <c r="B55916" t="str">
        <f>HYPERLINK("https://lindat.mff.cuni.cz/services/teitok/pdtc10/index.php?action=vallex&amp;frame=v-w7883f1", "vyhladit (v-w7883f1)")</f>
        <v>vyhladit (v-w7883f1)</v>
      </c>
    </row>
    <row r="55917" spans="1:2" x14ac:dyDescent="0.2">
      <c r="B55917" t="s">
        <v>1</v>
      </c>
    </row>
    <row r="55918" spans="1:2" x14ac:dyDescent="0.2">
      <c r="B55918" t="s">
        <v>8</v>
      </c>
    </row>
    <row r="55920" spans="1:2" x14ac:dyDescent="0.2">
      <c r="A55920" t="s">
        <v>17636</v>
      </c>
      <c r="B55920" t="str">
        <f>HYPERLINK("https://lindat.mff.cuni.cz/services/teitok/pdtc10/index.php?action=vallex&amp;frame=v-w7883f2", "vyhladit (v-w7883f2)")</f>
        <v>vyhladit (v-w7883f2)</v>
      </c>
    </row>
    <row r="55921" spans="1:4" x14ac:dyDescent="0.2">
      <c r="B55921" t="s">
        <v>1</v>
      </c>
    </row>
    <row r="55922" spans="1:4" x14ac:dyDescent="0.2">
      <c r="B55922" t="s">
        <v>8</v>
      </c>
    </row>
    <row r="55924" spans="1:4" x14ac:dyDescent="0.2">
      <c r="A55924" t="s">
        <v>17637</v>
      </c>
      <c r="B55924" t="str">
        <f>HYPERLINK("https://lindat.mff.cuni.cz/services/teitok/pdtc10/index.php?action=vallex&amp;frame=v-w10639f3", "vyhladovět (v-w10639f3)")</f>
        <v>vyhladovět (v-w10639f3)</v>
      </c>
    </row>
    <row r="55925" spans="1:4" x14ac:dyDescent="0.2">
      <c r="B55925" t="s">
        <v>1</v>
      </c>
      <c r="C55925" t="s">
        <v>140</v>
      </c>
      <c r="D55925" t="s">
        <v>133</v>
      </c>
    </row>
    <row r="55926" spans="1:4" x14ac:dyDescent="0.2">
      <c r="B55926" t="s">
        <v>8</v>
      </c>
      <c r="C55926" t="s">
        <v>7613</v>
      </c>
      <c r="D55926" t="s">
        <v>7745</v>
      </c>
    </row>
    <row r="55928" spans="1:4" x14ac:dyDescent="0.2">
      <c r="A55928" t="s">
        <v>17638</v>
      </c>
      <c r="B55928" t="str">
        <f>HYPERLINK("https://lindat.mff.cuni.cz/services/teitok/pdtc10/index.php?action=vallex&amp;frame=v-w10639f2", "vyhladovět (v-w10639f2)")</f>
        <v>vyhladovět (v-w10639f2)</v>
      </c>
    </row>
    <row r="55929" spans="1:4" x14ac:dyDescent="0.2">
      <c r="B55929" t="s">
        <v>1</v>
      </c>
    </row>
    <row r="55931" spans="1:4" x14ac:dyDescent="0.2">
      <c r="A55931" t="s">
        <v>17639</v>
      </c>
      <c r="B55931" t="str">
        <f>HYPERLINK("https://lindat.mff.cuni.cz/services/teitok/pdtc10/index.php?action=vallex&amp;frame=v-w7891f1", "vyhlazovat (v-w7891f1)")</f>
        <v>vyhlazovat (v-w7891f1)</v>
      </c>
    </row>
    <row r="55932" spans="1:4" x14ac:dyDescent="0.2">
      <c r="B55932" t="s">
        <v>1</v>
      </c>
    </row>
    <row r="55933" spans="1:4" x14ac:dyDescent="0.2">
      <c r="B55933" t="s">
        <v>8</v>
      </c>
    </row>
    <row r="55935" spans="1:4" x14ac:dyDescent="0.2">
      <c r="A55935" t="s">
        <v>17640</v>
      </c>
      <c r="B55935" t="str">
        <f>HYPERLINK("https://lindat.mff.cuni.cz/services/teitok/pdtc10/index.php?action=vallex&amp;frame=v-w7889f1", "vyhlašovat (v-w7889f1)")</f>
        <v>vyhlašovat (v-w7889f1)</v>
      </c>
    </row>
    <row r="55936" spans="1:4" x14ac:dyDescent="0.2">
      <c r="B55936" t="s">
        <v>1</v>
      </c>
      <c r="D55936" t="s">
        <v>22967</v>
      </c>
    </row>
    <row r="55937" spans="1:4" x14ac:dyDescent="0.2">
      <c r="B55937" t="s">
        <v>41</v>
      </c>
      <c r="D55937" t="s">
        <v>22968</v>
      </c>
    </row>
    <row r="55939" spans="1:4" x14ac:dyDescent="0.2">
      <c r="A55939" t="s">
        <v>17641</v>
      </c>
      <c r="B55939" t="str">
        <f>HYPERLINK("https://lindat.mff.cuni.cz/services/teitok/pdtc10/index.php?action=vallex&amp;frame=v-w7889f2", "vyhlašovat (v-w7889f2)")</f>
        <v>vyhlašovat (v-w7889f2)</v>
      </c>
    </row>
    <row r="55940" spans="1:4" x14ac:dyDescent="0.2">
      <c r="B55940" t="s">
        <v>1</v>
      </c>
    </row>
    <row r="55941" spans="1:4" x14ac:dyDescent="0.2">
      <c r="B55941" t="s">
        <v>17642</v>
      </c>
    </row>
    <row r="55942" spans="1:4" x14ac:dyDescent="0.2">
      <c r="B55942" t="s">
        <v>35</v>
      </c>
    </row>
    <row r="55944" spans="1:4" x14ac:dyDescent="0.2">
      <c r="A55944" t="s">
        <v>17643</v>
      </c>
      <c r="B55944" t="str">
        <f>HYPERLINK("https://lindat.mff.cuni.cz/services/teitok/pdtc10/index.php?action=vallex&amp;frame=v-w7893f1", "vyhledat (v-w7893f1)")</f>
        <v>vyhledat (v-w7893f1)</v>
      </c>
    </row>
    <row r="55945" spans="1:4" x14ac:dyDescent="0.2">
      <c r="B55945" t="s">
        <v>1</v>
      </c>
      <c r="C55945" t="s">
        <v>17644</v>
      </c>
      <c r="D55945" t="s">
        <v>23125</v>
      </c>
    </row>
    <row r="55946" spans="1:4" x14ac:dyDescent="0.2">
      <c r="B55946" t="s">
        <v>8</v>
      </c>
      <c r="C55946" t="s">
        <v>17645</v>
      </c>
      <c r="D55946" t="s">
        <v>23126</v>
      </c>
    </row>
    <row r="55948" spans="1:4" x14ac:dyDescent="0.2">
      <c r="A55948" t="s">
        <v>17646</v>
      </c>
      <c r="B55948" t="str">
        <f>HYPERLINK("https://lindat.mff.cuni.cz/services/teitok/pdtc10/index.php?action=vallex&amp;frame=v-w7895f1", "vyhledávat (v-w7895f1)")</f>
        <v>vyhledávat (v-w7895f1)</v>
      </c>
    </row>
    <row r="55949" spans="1:4" x14ac:dyDescent="0.2">
      <c r="B55949" t="s">
        <v>1</v>
      </c>
      <c r="C55949" t="s">
        <v>17647</v>
      </c>
      <c r="D55949" t="s">
        <v>23125</v>
      </c>
    </row>
    <row r="55950" spans="1:4" x14ac:dyDescent="0.2">
      <c r="B55950" t="s">
        <v>8</v>
      </c>
      <c r="C55950" t="s">
        <v>17648</v>
      </c>
      <c r="D55950" t="s">
        <v>23126</v>
      </c>
    </row>
    <row r="55952" spans="1:4" x14ac:dyDescent="0.2">
      <c r="A55952" t="s">
        <v>17649</v>
      </c>
      <c r="B55952" t="str">
        <f>HYPERLINK("https://lindat.mff.cuni.cz/services/teitok/pdtc10/index.php?action=vallex&amp;frame=v-w7895hsa_803", "vyhledávat (v-w7895hsa_803)")</f>
        <v>vyhledávat (v-w7895hsa_803)</v>
      </c>
    </row>
    <row r="55953" spans="1:4" x14ac:dyDescent="0.2">
      <c r="B55953" t="s">
        <v>1</v>
      </c>
      <c r="C55953" t="s">
        <v>2148</v>
      </c>
    </row>
    <row r="55954" spans="1:4" x14ac:dyDescent="0.2">
      <c r="B55954" t="s">
        <v>8</v>
      </c>
      <c r="C55954" t="s">
        <v>17650</v>
      </c>
    </row>
    <row r="55956" spans="1:4" x14ac:dyDescent="0.2">
      <c r="A55956" t="s">
        <v>17651</v>
      </c>
      <c r="B55956" t="str">
        <f>HYPERLINK("https://lindat.mff.cuni.cz/services/teitok/pdtc10/index.php?action=vallex&amp;frame=v-w7899f1", "vyhloubit (v-w7899f1)")</f>
        <v>vyhloubit (v-w7899f1)</v>
      </c>
    </row>
    <row r="55957" spans="1:4" x14ac:dyDescent="0.2">
      <c r="B55957" t="s">
        <v>1</v>
      </c>
      <c r="C55957" t="s">
        <v>249</v>
      </c>
    </row>
    <row r="55958" spans="1:4" x14ac:dyDescent="0.2">
      <c r="B55958" t="s">
        <v>8</v>
      </c>
      <c r="C55958" t="s">
        <v>17222</v>
      </c>
    </row>
    <row r="55960" spans="1:4" x14ac:dyDescent="0.2">
      <c r="A55960" t="s">
        <v>17652</v>
      </c>
      <c r="B55960" t="str">
        <f>HYPERLINK("https://lindat.mff.cuni.cz/services/teitok/pdtc10/index.php?action=vallex&amp;frame=v-w7884f2", "vyhlásit (v-w7884f2)")</f>
        <v>vyhlásit (v-w7884f2)</v>
      </c>
    </row>
    <row r="55961" spans="1:4" x14ac:dyDescent="0.2">
      <c r="B55961" t="s">
        <v>1</v>
      </c>
      <c r="C55961" t="s">
        <v>430</v>
      </c>
      <c r="D55961" t="s">
        <v>7126</v>
      </c>
    </row>
    <row r="55962" spans="1:4" x14ac:dyDescent="0.2">
      <c r="B55962" t="s">
        <v>8</v>
      </c>
      <c r="C55962" t="s">
        <v>1044</v>
      </c>
      <c r="D55962" t="s">
        <v>3308</v>
      </c>
    </row>
    <row r="55963" spans="1:4" x14ac:dyDescent="0.2">
      <c r="B55963" t="s">
        <v>4017</v>
      </c>
      <c r="C55963" t="s">
        <v>17653</v>
      </c>
      <c r="D55963" t="s">
        <v>24367</v>
      </c>
    </row>
    <row r="55965" spans="1:4" x14ac:dyDescent="0.2">
      <c r="A55965" t="s">
        <v>17654</v>
      </c>
      <c r="B55965" t="str">
        <f>HYPERLINK("https://lindat.mff.cuni.cz/services/teitok/pdtc10/index.php?action=vallex&amp;frame=v-w7884f1", "vyhlásit (v-w7884f1)")</f>
        <v>vyhlásit (v-w7884f1)</v>
      </c>
    </row>
    <row r="55966" spans="1:4" x14ac:dyDescent="0.2">
      <c r="B55966" t="s">
        <v>1</v>
      </c>
      <c r="C55966" t="s">
        <v>17655</v>
      </c>
      <c r="D55966" t="s">
        <v>22967</v>
      </c>
    </row>
    <row r="55967" spans="1:4" x14ac:dyDescent="0.2">
      <c r="B55967" t="s">
        <v>41</v>
      </c>
      <c r="C55967" t="s">
        <v>17656</v>
      </c>
      <c r="D55967" t="s">
        <v>22968</v>
      </c>
    </row>
    <row r="55969" spans="1:4" x14ac:dyDescent="0.2">
      <c r="A55969" t="s">
        <v>17657</v>
      </c>
      <c r="B55969" t="str">
        <f>HYPERLINK("https://lindat.mff.cuni.cz/services/teitok/pdtc10/index.php?action=vallex&amp;frame=v-w7884f4_ZU", "vyhlásit (v-w7884f4_ZU)")</f>
        <v>vyhlásit (v-w7884f4_ZU)</v>
      </c>
    </row>
    <row r="55970" spans="1:4" x14ac:dyDescent="0.2">
      <c r="B55970" t="s">
        <v>1</v>
      </c>
      <c r="C55970" t="s">
        <v>430</v>
      </c>
      <c r="D55970" t="s">
        <v>22967</v>
      </c>
    </row>
    <row r="55971" spans="1:4" x14ac:dyDescent="0.2">
      <c r="B55971" t="s">
        <v>17658</v>
      </c>
      <c r="C55971" t="s">
        <v>5017</v>
      </c>
      <c r="D55971" t="s">
        <v>24364</v>
      </c>
    </row>
    <row r="55972" spans="1:4" x14ac:dyDescent="0.2">
      <c r="B55972" t="s">
        <v>78</v>
      </c>
      <c r="D55972" t="s">
        <v>22969</v>
      </c>
    </row>
    <row r="55974" spans="1:4" x14ac:dyDescent="0.2">
      <c r="A55974" t="s">
        <v>17657</v>
      </c>
      <c r="B55974" t="str">
        <f>HYPERLINK("https://lindat.mff.cuni.cz/services/teitok/pdtc10/index.php?action=vallex&amp;frame=v-w7884f3", "vyhlásit (v-w7884f3) - substituted with v-w7884f4_ZU")</f>
        <v>vyhlásit (v-w7884f3) - substituted with v-w7884f4_ZU</v>
      </c>
    </row>
    <row r="55975" spans="1:4" x14ac:dyDescent="0.2">
      <c r="B55975" t="s">
        <v>1</v>
      </c>
    </row>
    <row r="55976" spans="1:4" x14ac:dyDescent="0.2">
      <c r="B55976" t="s">
        <v>17658</v>
      </c>
    </row>
    <row r="55977" spans="1:4" x14ac:dyDescent="0.2">
      <c r="B55977" t="s">
        <v>78</v>
      </c>
    </row>
    <row r="55979" spans="1:4" x14ac:dyDescent="0.2">
      <c r="A55979" t="s">
        <v>17657</v>
      </c>
      <c r="B55979" t="str">
        <f>HYPERLINK("https://lindat.mff.cuni.cz/services/teitok/pdtc10/index.php?action=vallex&amp;frame=v-w7884hsa_693", "vyhlásit (v-w7884hsa_693) - substituted with v-w7884f4_ZU")</f>
        <v>vyhlásit (v-w7884hsa_693) - substituted with v-w7884f4_ZU</v>
      </c>
    </row>
    <row r="55980" spans="1:4" x14ac:dyDescent="0.2">
      <c r="B55980" t="s">
        <v>1</v>
      </c>
    </row>
    <row r="55981" spans="1:4" x14ac:dyDescent="0.2">
      <c r="B55981" t="s">
        <v>17658</v>
      </c>
    </row>
    <row r="55982" spans="1:4" x14ac:dyDescent="0.2">
      <c r="B55982" t="s">
        <v>78</v>
      </c>
    </row>
    <row r="55984" spans="1:4" x14ac:dyDescent="0.2">
      <c r="A55984" t="s">
        <v>17659</v>
      </c>
      <c r="B55984" t="str">
        <f>HYPERLINK("https://lindat.mff.cuni.cz/services/teitok/pdtc10/index.php?action=vallex&amp;frame=v-w11725_ZUf1_ZU", "vyhláskovat (v-w11725_ZUf1_ZU)")</f>
        <v>vyhláskovat (v-w11725_ZUf1_ZU)</v>
      </c>
    </row>
    <row r="55985" spans="1:2" x14ac:dyDescent="0.2">
      <c r="B55985" t="s">
        <v>1</v>
      </c>
    </row>
    <row r="55986" spans="1:2" x14ac:dyDescent="0.2">
      <c r="B55986" t="s">
        <v>8</v>
      </c>
    </row>
    <row r="55988" spans="1:2" x14ac:dyDescent="0.2">
      <c r="A55988" t="s">
        <v>17660</v>
      </c>
      <c r="B55988" t="str">
        <f>HYPERLINK("https://lindat.mff.cuni.cz/services/teitok/pdtc10/index.php?action=vallex&amp;frame=v-w7896f1", "vyhlédnout (v-w7896f1)")</f>
        <v>vyhlédnout (v-w7896f1)</v>
      </c>
    </row>
    <row r="55989" spans="1:2" x14ac:dyDescent="0.2">
      <c r="B55989" t="s">
        <v>1</v>
      </c>
    </row>
    <row r="55990" spans="1:2" x14ac:dyDescent="0.2">
      <c r="B55990" t="s">
        <v>8</v>
      </c>
    </row>
    <row r="55992" spans="1:2" x14ac:dyDescent="0.2">
      <c r="A55992" t="s">
        <v>17661</v>
      </c>
      <c r="B55992" t="str">
        <f>HYPERLINK("https://lindat.mff.cuni.cz/services/teitok/pdtc10/index.php?action=vallex&amp;frame=v-w12319_MMf1_MM", "vyhlídnout (v-w12319_MMf1_MM)")</f>
        <v>vyhlídnout (v-w12319_MMf1_MM)</v>
      </c>
    </row>
    <row r="55993" spans="1:2" x14ac:dyDescent="0.2">
      <c r="B55993" t="s">
        <v>1</v>
      </c>
    </row>
    <row r="55994" spans="1:2" x14ac:dyDescent="0.2">
      <c r="B55994" t="s">
        <v>41</v>
      </c>
    </row>
    <row r="55996" spans="1:2" x14ac:dyDescent="0.2">
      <c r="A55996" t="s">
        <v>17662</v>
      </c>
      <c r="B55996" t="str">
        <f>HYPERLINK("https://lindat.mff.cuni.cz/services/teitok/pdtc10/index.php?action=vallex&amp;frame=v-w7898f1", "vyhlížet (v-w7898f1)")</f>
        <v>vyhlížet (v-w7898f1)</v>
      </c>
    </row>
    <row r="55997" spans="1:2" x14ac:dyDescent="0.2">
      <c r="B55997" t="s">
        <v>1</v>
      </c>
    </row>
    <row r="55998" spans="1:2" x14ac:dyDescent="0.2">
      <c r="B55998" t="s">
        <v>346</v>
      </c>
    </row>
    <row r="55999" spans="1:2" x14ac:dyDescent="0.2">
      <c r="B55999" t="s">
        <v>349</v>
      </c>
    </row>
    <row r="56000" spans="1:2" x14ac:dyDescent="0.2">
      <c r="B56000" t="s">
        <v>350</v>
      </c>
    </row>
    <row r="56001" spans="1:4" x14ac:dyDescent="0.2">
      <c r="B56001" t="s">
        <v>351</v>
      </c>
    </row>
    <row r="56003" spans="1:4" x14ac:dyDescent="0.2">
      <c r="A56003" t="s">
        <v>17663</v>
      </c>
      <c r="B56003" t="str">
        <f>HYPERLINK("https://lindat.mff.cuni.cz/services/teitok/pdtc10/index.php?action=vallex&amp;frame=v-w7898hsa_416", "vyhlížet (v-w7898hsa_416)")</f>
        <v>vyhlížet (v-w7898hsa_416)</v>
      </c>
    </row>
    <row r="56004" spans="1:4" x14ac:dyDescent="0.2">
      <c r="B56004" t="s">
        <v>1</v>
      </c>
    </row>
    <row r="56005" spans="1:4" x14ac:dyDescent="0.2">
      <c r="B56005" t="s">
        <v>8</v>
      </c>
    </row>
    <row r="56007" spans="1:4" x14ac:dyDescent="0.2">
      <c r="A56007" t="s">
        <v>17664</v>
      </c>
      <c r="B56007" t="str">
        <f>HYPERLINK("https://lindat.mff.cuni.cz/services/teitok/pdtc10/index.php?action=vallex&amp;frame=v-w7898f2_MM", "vyhlížet (v-w7898f2_MM)")</f>
        <v>vyhlížet (v-w7898f2_MM)</v>
      </c>
    </row>
    <row r="56008" spans="1:4" x14ac:dyDescent="0.2">
      <c r="B56008" t="s">
        <v>1</v>
      </c>
    </row>
    <row r="56009" spans="1:4" x14ac:dyDescent="0.2">
      <c r="B56009" t="s">
        <v>333</v>
      </c>
    </row>
    <row r="56011" spans="1:4" x14ac:dyDescent="0.2">
      <c r="A56011" t="s">
        <v>17665</v>
      </c>
      <c r="B56011" t="str">
        <f>HYPERLINK("https://lindat.mff.cuni.cz/services/teitok/pdtc10/index.php?action=vallex&amp;frame=v-w7900f1", "vyhmátnout (v-w7900f1)")</f>
        <v>vyhmátnout (v-w7900f1)</v>
      </c>
    </row>
    <row r="56012" spans="1:4" x14ac:dyDescent="0.2">
      <c r="B56012" t="s">
        <v>1</v>
      </c>
    </row>
    <row r="56013" spans="1:4" x14ac:dyDescent="0.2">
      <c r="B56013" t="s">
        <v>41</v>
      </c>
    </row>
    <row r="56015" spans="1:4" x14ac:dyDescent="0.2">
      <c r="A56015" t="s">
        <v>17666</v>
      </c>
      <c r="B56015" t="str">
        <f>HYPERLINK("https://lindat.mff.cuni.cz/services/teitok/pdtc10/index.php?action=vallex&amp;frame=v-w7902f10_ZU", "vyhnat (v-w7902f10_ZU)")</f>
        <v>vyhnat (v-w7902f10_ZU)</v>
      </c>
    </row>
    <row r="56016" spans="1:4" x14ac:dyDescent="0.2">
      <c r="B56016" t="s">
        <v>1</v>
      </c>
      <c r="C56016" t="s">
        <v>9738</v>
      </c>
      <c r="D56016" t="s">
        <v>23523</v>
      </c>
    </row>
    <row r="56017" spans="1:4" x14ac:dyDescent="0.2">
      <c r="B56017" t="s">
        <v>8</v>
      </c>
      <c r="C56017" t="s">
        <v>3598</v>
      </c>
      <c r="D56017" t="s">
        <v>23524</v>
      </c>
    </row>
    <row r="56018" spans="1:4" x14ac:dyDescent="0.2">
      <c r="B56018" t="s">
        <v>24</v>
      </c>
      <c r="D56018" t="s">
        <v>23525</v>
      </c>
    </row>
    <row r="56019" spans="1:4" x14ac:dyDescent="0.2">
      <c r="B56019" t="s">
        <v>61</v>
      </c>
      <c r="D56019" t="s">
        <v>23526</v>
      </c>
    </row>
    <row r="56021" spans="1:4" x14ac:dyDescent="0.2">
      <c r="A56021" t="s">
        <v>17666</v>
      </c>
      <c r="B56021" t="str">
        <f>HYPERLINK("https://lindat.mff.cuni.cz/services/teitok/pdtc10/index.php?action=vallex&amp;frame=v-w7902f4_ZU", "vyhnat (v-w7902f4_ZU) - substituted with v-w7902f10_ZU")</f>
        <v>vyhnat (v-w7902f4_ZU) - substituted with v-w7902f10_ZU</v>
      </c>
    </row>
    <row r="56022" spans="1:4" x14ac:dyDescent="0.2">
      <c r="B56022" t="s">
        <v>1</v>
      </c>
    </row>
    <row r="56023" spans="1:4" x14ac:dyDescent="0.2">
      <c r="B56023" t="s">
        <v>8</v>
      </c>
    </row>
    <row r="56024" spans="1:4" x14ac:dyDescent="0.2">
      <c r="B56024" t="s">
        <v>24</v>
      </c>
    </row>
    <row r="56025" spans="1:4" x14ac:dyDescent="0.2">
      <c r="B56025" t="s">
        <v>61</v>
      </c>
    </row>
    <row r="56027" spans="1:4" x14ac:dyDescent="0.2">
      <c r="A56027" t="s">
        <v>17666</v>
      </c>
      <c r="B56027" t="str">
        <f>HYPERLINK("https://lindat.mff.cuni.cz/services/teitok/pdtc10/index.php?action=vallex&amp;frame=v-w7902f5_ZU", "vyhnat (v-w7902f5_ZU) - substituted with v-w7902f10_ZU")</f>
        <v>vyhnat (v-w7902f5_ZU) - substituted with v-w7902f10_ZU</v>
      </c>
    </row>
    <row r="56028" spans="1:4" x14ac:dyDescent="0.2">
      <c r="B56028" t="s">
        <v>1</v>
      </c>
    </row>
    <row r="56029" spans="1:4" x14ac:dyDescent="0.2">
      <c r="B56029" t="s">
        <v>8</v>
      </c>
    </row>
    <row r="56030" spans="1:4" x14ac:dyDescent="0.2">
      <c r="B56030" t="s">
        <v>24</v>
      </c>
    </row>
    <row r="56031" spans="1:4" x14ac:dyDescent="0.2">
      <c r="B56031" t="s">
        <v>61</v>
      </c>
    </row>
    <row r="56033" spans="1:4" x14ac:dyDescent="0.2">
      <c r="A56033" t="s">
        <v>17666</v>
      </c>
      <c r="B56033" t="str">
        <f>HYPERLINK("https://lindat.mff.cuni.cz/services/teitok/pdtc10/index.php?action=vallex&amp;frame=v-w7902f6_ZU", "vyhnat (v-w7902f6_ZU) - substituted with v-w7902f10_ZU")</f>
        <v>vyhnat (v-w7902f6_ZU) - substituted with v-w7902f10_ZU</v>
      </c>
    </row>
    <row r="56034" spans="1:4" x14ac:dyDescent="0.2">
      <c r="B56034" t="s">
        <v>1</v>
      </c>
      <c r="C56034" t="s">
        <v>115</v>
      </c>
    </row>
    <row r="56035" spans="1:4" x14ac:dyDescent="0.2">
      <c r="B56035" t="s">
        <v>8</v>
      </c>
      <c r="C56035" t="s">
        <v>81</v>
      </c>
    </row>
    <row r="56036" spans="1:4" x14ac:dyDescent="0.2">
      <c r="B56036" t="s">
        <v>24</v>
      </c>
    </row>
    <row r="56037" spans="1:4" x14ac:dyDescent="0.2">
      <c r="B56037" t="s">
        <v>61</v>
      </c>
    </row>
    <row r="56039" spans="1:4" x14ac:dyDescent="0.2">
      <c r="A56039" t="s">
        <v>17667</v>
      </c>
      <c r="B56039" t="str">
        <f>HYPERLINK("https://lindat.mff.cuni.cz/services/teitok/pdtc10/index.php?action=vallex&amp;frame=v-w7902f2", "vyhnat (v-w7902f2)")</f>
        <v>vyhnat (v-w7902f2)</v>
      </c>
    </row>
    <row r="56040" spans="1:4" x14ac:dyDescent="0.2">
      <c r="B56040" t="s">
        <v>1</v>
      </c>
      <c r="C56040" t="s">
        <v>22</v>
      </c>
    </row>
    <row r="56041" spans="1:4" x14ac:dyDescent="0.2">
      <c r="B56041" t="s">
        <v>8</v>
      </c>
      <c r="C56041" t="s">
        <v>54</v>
      </c>
    </row>
    <row r="56042" spans="1:4" x14ac:dyDescent="0.2">
      <c r="B56042" t="s">
        <v>24</v>
      </c>
    </row>
    <row r="56044" spans="1:4" x14ac:dyDescent="0.2">
      <c r="A56044" t="s">
        <v>17668</v>
      </c>
      <c r="B56044" t="str">
        <f>HYPERLINK("https://lindat.mff.cuni.cz/services/teitok/pdtc10/index.php?action=vallex&amp;frame=v-w7902f1", "vyhnat (v-w7902f1)")</f>
        <v>vyhnat (v-w7902f1)</v>
      </c>
    </row>
    <row r="56045" spans="1:4" x14ac:dyDescent="0.2">
      <c r="B56045" t="s">
        <v>1</v>
      </c>
      <c r="C56045" t="s">
        <v>294</v>
      </c>
      <c r="D56045" t="s">
        <v>6131</v>
      </c>
    </row>
    <row r="56046" spans="1:4" x14ac:dyDescent="0.2">
      <c r="B56046" t="s">
        <v>8</v>
      </c>
      <c r="C56046" t="s">
        <v>2262</v>
      </c>
      <c r="D56046" t="s">
        <v>18247</v>
      </c>
    </row>
    <row r="56047" spans="1:4" x14ac:dyDescent="0.2">
      <c r="B56047" t="s">
        <v>333</v>
      </c>
      <c r="D56047" t="s">
        <v>23090</v>
      </c>
    </row>
    <row r="56049" spans="1:2" x14ac:dyDescent="0.2">
      <c r="A56049" t="s">
        <v>17669</v>
      </c>
      <c r="B56049" t="str">
        <f>HYPERLINK("https://lindat.mff.cuni.cz/services/teitok/pdtc10/index.php?action=vallex&amp;frame=v-w7902f3", "vyhnat (v-w7902f3)")</f>
        <v>vyhnat (v-w7902f3)</v>
      </c>
    </row>
    <row r="56050" spans="1:2" x14ac:dyDescent="0.2">
      <c r="B56050" t="s">
        <v>1</v>
      </c>
    </row>
    <row r="56052" spans="1:2" x14ac:dyDescent="0.2">
      <c r="A56052" t="s">
        <v>17670</v>
      </c>
      <c r="B56052" t="str">
        <f>HYPERLINK("https://lindat.mff.cuni.cz/services/teitok/pdtc10/index.php?action=vallex&amp;frame=v-w7902f9_ZU", "vyhnat (v-w7902f9_ZU)")</f>
        <v>vyhnat (v-w7902f9_ZU)</v>
      </c>
    </row>
    <row r="56053" spans="1:2" x14ac:dyDescent="0.2">
      <c r="B56053" t="s">
        <v>1</v>
      </c>
    </row>
    <row r="56054" spans="1:2" x14ac:dyDescent="0.2">
      <c r="B56054" t="s">
        <v>8</v>
      </c>
    </row>
    <row r="56055" spans="1:2" x14ac:dyDescent="0.2">
      <c r="B56055" t="s">
        <v>252</v>
      </c>
    </row>
    <row r="56057" spans="1:2" x14ac:dyDescent="0.2">
      <c r="A56057" t="s">
        <v>17670</v>
      </c>
      <c r="B56057" t="str">
        <f>HYPERLINK("https://lindat.mff.cuni.cz/services/teitok/pdtc10/index.php?action=vallex&amp;frame=v-w7902f7_ZU", "vyhnat (v-w7902f7_ZU) - substituted with v-w7902f9_ZU")</f>
        <v>vyhnat (v-w7902f7_ZU) - substituted with v-w7902f9_ZU</v>
      </c>
    </row>
    <row r="56058" spans="1:2" x14ac:dyDescent="0.2">
      <c r="B56058" t="s">
        <v>1</v>
      </c>
    </row>
    <row r="56059" spans="1:2" x14ac:dyDescent="0.2">
      <c r="B56059" t="s">
        <v>8</v>
      </c>
    </row>
    <row r="56060" spans="1:2" x14ac:dyDescent="0.2">
      <c r="B56060" t="s">
        <v>252</v>
      </c>
    </row>
    <row r="56062" spans="1:2" x14ac:dyDescent="0.2">
      <c r="A56062" t="s">
        <v>17670</v>
      </c>
      <c r="B56062" t="str">
        <f>HYPERLINK("https://lindat.mff.cuni.cz/services/teitok/pdtc10/index.php?action=vallex&amp;frame=v-w7902f8_ZU", "vyhnat (v-w7902f8_ZU) - substituted with v-w7902f9_ZU")</f>
        <v>vyhnat (v-w7902f8_ZU) - substituted with v-w7902f9_ZU</v>
      </c>
    </row>
    <row r="56063" spans="1:2" x14ac:dyDescent="0.2">
      <c r="B56063" t="s">
        <v>1</v>
      </c>
    </row>
    <row r="56064" spans="1:2" x14ac:dyDescent="0.2">
      <c r="B56064" t="s">
        <v>8</v>
      </c>
    </row>
    <row r="56065" spans="1:4" x14ac:dyDescent="0.2">
      <c r="B56065" t="s">
        <v>252</v>
      </c>
    </row>
    <row r="56067" spans="1:4" x14ac:dyDescent="0.2">
      <c r="A56067" t="s">
        <v>17671</v>
      </c>
      <c r="B56067" t="str">
        <f>HYPERLINK("https://lindat.mff.cuni.cz/services/teitok/pdtc10/index.php?action=vallex&amp;frame=v-w7902f11_ZU", "vyhnat (v-w7902f11_ZU)")</f>
        <v>vyhnat (v-w7902f11_ZU)</v>
      </c>
    </row>
    <row r="56068" spans="1:4" x14ac:dyDescent="0.2">
      <c r="B56068" t="s">
        <v>1</v>
      </c>
    </row>
    <row r="56069" spans="1:4" x14ac:dyDescent="0.2">
      <c r="B56069" t="s">
        <v>8</v>
      </c>
    </row>
    <row r="56070" spans="1:4" x14ac:dyDescent="0.2">
      <c r="B56070" t="s">
        <v>4622</v>
      </c>
    </row>
    <row r="56072" spans="1:4" x14ac:dyDescent="0.2">
      <c r="A56072" t="s">
        <v>17672</v>
      </c>
      <c r="B56072" t="str">
        <f>HYPERLINK("https://lindat.mff.cuni.cz/services/teitok/pdtc10/index.php?action=vallex&amp;frame=v-w7903f1", "vyhnout se (v-w7903f1)")</f>
        <v>vyhnout se (v-w7903f1)</v>
      </c>
    </row>
    <row r="56073" spans="1:4" x14ac:dyDescent="0.2">
      <c r="B56073" t="s">
        <v>1</v>
      </c>
      <c r="C56073" t="s">
        <v>17673</v>
      </c>
      <c r="D56073" t="s">
        <v>4807</v>
      </c>
    </row>
    <row r="56074" spans="1:4" x14ac:dyDescent="0.2">
      <c r="B56074" t="s">
        <v>103</v>
      </c>
      <c r="C56074" t="s">
        <v>9604</v>
      </c>
      <c r="D56074" t="s">
        <v>384</v>
      </c>
    </row>
    <row r="56076" spans="1:4" x14ac:dyDescent="0.2">
      <c r="A56076" t="s">
        <v>17674</v>
      </c>
      <c r="B56076" t="str">
        <f>HYPERLINK("https://lindat.mff.cuni.cz/services/teitok/pdtc10/index.php?action=vallex&amp;frame=v-w7903f2_ZU", "vyhnout se (v-w7903f2_ZU)")</f>
        <v>vyhnout se (v-w7903f2_ZU)</v>
      </c>
    </row>
    <row r="56077" spans="1:4" x14ac:dyDescent="0.2">
      <c r="B56077" t="s">
        <v>1</v>
      </c>
    </row>
    <row r="56078" spans="1:4" x14ac:dyDescent="0.2">
      <c r="B56078" t="s">
        <v>103</v>
      </c>
    </row>
    <row r="56080" spans="1:4" x14ac:dyDescent="0.2">
      <c r="A56080" t="s">
        <v>17674</v>
      </c>
      <c r="B56080" t="str">
        <f>HYPERLINK("https://lindat.mff.cuni.cz/services/teitok/pdtc10/index.php?action=vallex&amp;frame=v-w7903hsa_1246", "vyhnout se (v-w7903hsa_1246) - substituted with v-w7903f2_ZU")</f>
        <v>vyhnout se (v-w7903hsa_1246) - substituted with v-w7903f2_ZU</v>
      </c>
    </row>
    <row r="56081" spans="1:4" x14ac:dyDescent="0.2">
      <c r="B56081" t="s">
        <v>1</v>
      </c>
    </row>
    <row r="56082" spans="1:4" x14ac:dyDescent="0.2">
      <c r="B56082" t="s">
        <v>103</v>
      </c>
    </row>
    <row r="56084" spans="1:4" x14ac:dyDescent="0.2">
      <c r="A56084" t="s">
        <v>17675</v>
      </c>
      <c r="B56084" t="str">
        <f>HYPERLINK("https://lindat.mff.cuni.cz/services/teitok/pdtc10/index.php?action=vallex&amp;frame=v-w12239_ZUf1_ZU", "vyhoblovat (v-w12239_ZUf1_ZU)")</f>
        <v>vyhoblovat (v-w12239_ZUf1_ZU)</v>
      </c>
    </row>
    <row r="56085" spans="1:4" x14ac:dyDescent="0.2">
      <c r="B56085" t="s">
        <v>1</v>
      </c>
    </row>
    <row r="56086" spans="1:4" x14ac:dyDescent="0.2">
      <c r="B56086" t="s">
        <v>8</v>
      </c>
    </row>
    <row r="56087" spans="1:4" x14ac:dyDescent="0.2">
      <c r="B56087" t="s">
        <v>24</v>
      </c>
    </row>
    <row r="56089" spans="1:4" x14ac:dyDescent="0.2">
      <c r="A56089" t="s">
        <v>17676</v>
      </c>
      <c r="B56089" t="str">
        <f>HYPERLINK("https://lindat.mff.cuni.cz/services/teitok/pdtc10/index.php?action=vallex&amp;frame=v-w7906f3_ZU", "vyhodit (v-w7906f3_ZU)")</f>
        <v>vyhodit (v-w7906f3_ZU)</v>
      </c>
    </row>
    <row r="56090" spans="1:4" x14ac:dyDescent="0.2">
      <c r="B56090" t="s">
        <v>1</v>
      </c>
    </row>
    <row r="56091" spans="1:4" x14ac:dyDescent="0.2">
      <c r="B56091" t="s">
        <v>8</v>
      </c>
    </row>
    <row r="56092" spans="1:4" x14ac:dyDescent="0.2">
      <c r="B56092" t="s">
        <v>333</v>
      </c>
    </row>
    <row r="56094" spans="1:4" x14ac:dyDescent="0.2">
      <c r="A56094" t="s">
        <v>17676</v>
      </c>
      <c r="B56094" t="str">
        <f>HYPERLINK("https://lindat.mff.cuni.cz/services/teitok/pdtc10/index.php?action=vallex&amp;frame=v-w7906f1", "vyhodit (v-w7906f1) - substituted with v-w7906f3_ZU")</f>
        <v>vyhodit (v-w7906f1) - substituted with v-w7906f3_ZU</v>
      </c>
    </row>
    <row r="56095" spans="1:4" x14ac:dyDescent="0.2">
      <c r="B56095" t="s">
        <v>1</v>
      </c>
      <c r="C56095" t="s">
        <v>294</v>
      </c>
      <c r="D56095" t="s">
        <v>6131</v>
      </c>
    </row>
    <row r="56096" spans="1:4" x14ac:dyDescent="0.2">
      <c r="B56096" t="s">
        <v>8</v>
      </c>
      <c r="C56096" t="s">
        <v>7127</v>
      </c>
      <c r="D56096" t="s">
        <v>18247</v>
      </c>
    </row>
    <row r="56097" spans="1:4" x14ac:dyDescent="0.2">
      <c r="B56097" t="s">
        <v>333</v>
      </c>
      <c r="C56097" t="s">
        <v>17677</v>
      </c>
      <c r="D56097" t="s">
        <v>23090</v>
      </c>
    </row>
    <row r="56099" spans="1:4" x14ac:dyDescent="0.2">
      <c r="A56099" t="s">
        <v>17678</v>
      </c>
      <c r="B56099" t="str">
        <f>HYPERLINK("https://lindat.mff.cuni.cz/services/teitok/pdtc10/index.php?action=vallex&amp;frame=v-w7906f2", "vyhodit (v-w7906f2)")</f>
        <v>vyhodit (v-w7906f2)</v>
      </c>
    </row>
    <row r="56100" spans="1:4" x14ac:dyDescent="0.2">
      <c r="B56100" t="s">
        <v>1</v>
      </c>
      <c r="C56100" t="s">
        <v>2303</v>
      </c>
    </row>
    <row r="56101" spans="1:4" x14ac:dyDescent="0.2">
      <c r="B56101" t="s">
        <v>8</v>
      </c>
      <c r="C56101" t="s">
        <v>1109</v>
      </c>
    </row>
    <row r="56102" spans="1:4" x14ac:dyDescent="0.2">
      <c r="B56102" t="s">
        <v>90</v>
      </c>
    </row>
    <row r="56104" spans="1:4" x14ac:dyDescent="0.2">
      <c r="A56104" t="s">
        <v>17679</v>
      </c>
      <c r="B56104" t="str">
        <f>HYPERLINK("https://lindat.mff.cuni.cz/services/teitok/pdtc10/index.php?action=vallex&amp;frame=v-w7906hsa_61", "vyhodit (v-w7906hsa_61)")</f>
        <v>vyhodit (v-w7906hsa_61)</v>
      </c>
    </row>
    <row r="56105" spans="1:4" x14ac:dyDescent="0.2">
      <c r="B56105" t="s">
        <v>1</v>
      </c>
      <c r="C56105" t="s">
        <v>4110</v>
      </c>
      <c r="D56105" t="s">
        <v>6131</v>
      </c>
    </row>
    <row r="56106" spans="1:4" x14ac:dyDescent="0.2">
      <c r="B56106" t="s">
        <v>8</v>
      </c>
      <c r="C56106" t="s">
        <v>1798</v>
      </c>
      <c r="D56106" t="s">
        <v>18247</v>
      </c>
    </row>
    <row r="56108" spans="1:4" x14ac:dyDescent="0.2">
      <c r="A56108" t="s">
        <v>17680</v>
      </c>
      <c r="B56108" t="str">
        <f>HYPERLINK("https://lindat.mff.cuni.cz/services/teitok/pdtc10/index.php?action=vallex&amp;frame=v-w7906hsa_1169", "vyhodit (v-w7906hsa_1169)")</f>
        <v>vyhodit (v-w7906hsa_1169)</v>
      </c>
    </row>
    <row r="56109" spans="1:4" x14ac:dyDescent="0.2">
      <c r="B56109" t="s">
        <v>1</v>
      </c>
    </row>
    <row r="56110" spans="1:4" x14ac:dyDescent="0.2">
      <c r="B56110" t="s">
        <v>8</v>
      </c>
    </row>
    <row r="56112" spans="1:4" x14ac:dyDescent="0.2">
      <c r="A56112" t="s">
        <v>17681</v>
      </c>
      <c r="B56112" t="str">
        <f>HYPERLINK("https://lindat.mff.cuni.cz/services/teitok/pdtc10/index.php?action=vallex&amp;frame=v-w7906hsa_1170", "vyhodit (v-w7906hsa_1170)")</f>
        <v>vyhodit (v-w7906hsa_1170)</v>
      </c>
    </row>
    <row r="56113" spans="1:4" x14ac:dyDescent="0.2">
      <c r="B56113" t="s">
        <v>1</v>
      </c>
    </row>
    <row r="56114" spans="1:4" x14ac:dyDescent="0.2">
      <c r="B56114" t="s">
        <v>8</v>
      </c>
    </row>
    <row r="56115" spans="1:4" x14ac:dyDescent="0.2">
      <c r="B56115" t="s">
        <v>90</v>
      </c>
    </row>
    <row r="56117" spans="1:4" x14ac:dyDescent="0.2">
      <c r="A56117" t="s">
        <v>17682</v>
      </c>
      <c r="B56117" t="str">
        <f>HYPERLINK("https://lindat.mff.cuni.cz/services/teitok/pdtc10/index.php?action=vallex&amp;frame=v-w7907f2", "vyhodit si (v-w7907f2)")</f>
        <v>vyhodit si (v-w7907f2)</v>
      </c>
    </row>
    <row r="56118" spans="1:4" x14ac:dyDescent="0.2">
      <c r="B56118" t="s">
        <v>1</v>
      </c>
    </row>
    <row r="56119" spans="1:4" x14ac:dyDescent="0.2">
      <c r="B56119" t="s">
        <v>17683</v>
      </c>
    </row>
    <row r="56121" spans="1:4" x14ac:dyDescent="0.2">
      <c r="A56121" t="s">
        <v>17684</v>
      </c>
      <c r="B56121" t="str">
        <f>HYPERLINK("https://lindat.mff.cuni.cz/services/teitok/pdtc10/index.php?action=vallex&amp;frame=v-w7907f1", "vyhodit si (v-w7907f1)")</f>
        <v>vyhodit si (v-w7907f1)</v>
      </c>
    </row>
    <row r="56122" spans="1:4" x14ac:dyDescent="0.2">
      <c r="B56122" t="s">
        <v>1</v>
      </c>
    </row>
    <row r="56123" spans="1:4" x14ac:dyDescent="0.2">
      <c r="B56123" t="s">
        <v>17685</v>
      </c>
    </row>
    <row r="56125" spans="1:4" x14ac:dyDescent="0.2">
      <c r="A56125" t="s">
        <v>17686</v>
      </c>
      <c r="B56125" t="str">
        <f>HYPERLINK("https://lindat.mff.cuni.cz/services/teitok/pdtc10/index.php?action=vallex&amp;frame=v-w7910f1", "vyhodnocovat (v-w7910f1)")</f>
        <v>vyhodnocovat (v-w7910f1)</v>
      </c>
    </row>
    <row r="56126" spans="1:4" x14ac:dyDescent="0.2">
      <c r="B56126" t="s">
        <v>1</v>
      </c>
      <c r="C56126" t="s">
        <v>990</v>
      </c>
      <c r="D56126" t="s">
        <v>3307</v>
      </c>
    </row>
    <row r="56127" spans="1:4" x14ac:dyDescent="0.2">
      <c r="B56127" t="s">
        <v>1284</v>
      </c>
      <c r="C56127" t="s">
        <v>81</v>
      </c>
      <c r="D56127" t="s">
        <v>732</v>
      </c>
    </row>
    <row r="56129" spans="1:4" x14ac:dyDescent="0.2">
      <c r="A56129" t="s">
        <v>17687</v>
      </c>
      <c r="B56129" t="str">
        <f>HYPERLINK("https://lindat.mff.cuni.cz/services/teitok/pdtc10/index.php?action=vallex&amp;frame=v-w7911f1", "vyhodnotit (v-w7911f1)")</f>
        <v>vyhodnotit (v-w7911f1)</v>
      </c>
    </row>
    <row r="56130" spans="1:4" x14ac:dyDescent="0.2">
      <c r="B56130" t="s">
        <v>1</v>
      </c>
      <c r="C56130" t="s">
        <v>2749</v>
      </c>
      <c r="D56130" t="s">
        <v>3307</v>
      </c>
    </row>
    <row r="56131" spans="1:4" x14ac:dyDescent="0.2">
      <c r="B56131" t="s">
        <v>1284</v>
      </c>
      <c r="C56131" t="s">
        <v>7127</v>
      </c>
      <c r="D56131" t="s">
        <v>732</v>
      </c>
    </row>
    <row r="56133" spans="1:4" x14ac:dyDescent="0.2">
      <c r="A56133" t="s">
        <v>17688</v>
      </c>
      <c r="B56133" t="str">
        <f>HYPERLINK("https://lindat.mff.cuni.cz/services/teitok/pdtc10/index.php?action=vallex&amp;frame=v-w7914f1", "vyhostit (v-w7914f1)")</f>
        <v>vyhostit (v-w7914f1)</v>
      </c>
    </row>
    <row r="56134" spans="1:4" x14ac:dyDescent="0.2">
      <c r="B56134" t="s">
        <v>1</v>
      </c>
      <c r="C56134" t="s">
        <v>140</v>
      </c>
      <c r="D56134" t="s">
        <v>6131</v>
      </c>
    </row>
    <row r="56135" spans="1:4" x14ac:dyDescent="0.2">
      <c r="B56135" t="s">
        <v>8</v>
      </c>
      <c r="C56135" t="s">
        <v>1128</v>
      </c>
      <c r="D56135" t="s">
        <v>18247</v>
      </c>
    </row>
    <row r="56136" spans="1:4" x14ac:dyDescent="0.2">
      <c r="B56136" t="s">
        <v>333</v>
      </c>
      <c r="C56136" t="s">
        <v>7105</v>
      </c>
      <c r="D56136" t="s">
        <v>23090</v>
      </c>
    </row>
    <row r="56138" spans="1:4" x14ac:dyDescent="0.2">
      <c r="A56138" t="s">
        <v>17689</v>
      </c>
      <c r="B56138" t="str">
        <f>HYPERLINK("https://lindat.mff.cuni.cz/services/teitok/pdtc10/index.php?action=vallex&amp;frame=v-w7917f1", "vyhotovit (v-w7917f1)")</f>
        <v>vyhotovit (v-w7917f1)</v>
      </c>
    </row>
    <row r="56139" spans="1:4" x14ac:dyDescent="0.2">
      <c r="B56139" t="s">
        <v>1</v>
      </c>
    </row>
    <row r="56140" spans="1:4" x14ac:dyDescent="0.2">
      <c r="B56140" t="s">
        <v>8</v>
      </c>
    </row>
    <row r="56141" spans="1:4" x14ac:dyDescent="0.2">
      <c r="B56141" t="s">
        <v>24</v>
      </c>
    </row>
    <row r="56143" spans="1:4" x14ac:dyDescent="0.2">
      <c r="A56143" t="s">
        <v>17690</v>
      </c>
      <c r="B56143" t="str">
        <f>HYPERLINK("https://lindat.mff.cuni.cz/services/teitok/pdtc10/index.php?action=vallex&amp;frame=v-w7917f2_ZU", "vyhotovit (v-w7917f2_ZU)")</f>
        <v>vyhotovit (v-w7917f2_ZU)</v>
      </c>
    </row>
    <row r="56144" spans="1:4" x14ac:dyDescent="0.2">
      <c r="B56144" t="s">
        <v>1</v>
      </c>
    </row>
    <row r="56145" spans="1:4" x14ac:dyDescent="0.2">
      <c r="B56145" t="s">
        <v>8</v>
      </c>
    </row>
    <row r="56147" spans="1:4" x14ac:dyDescent="0.2">
      <c r="A56147" t="s">
        <v>17691</v>
      </c>
      <c r="B56147" t="str">
        <f>HYPERLINK("https://lindat.mff.cuni.cz/services/teitok/pdtc10/index.php?action=vallex&amp;frame=v-w7918f1", "vyhoupnout se (v-w7918f1)")</f>
        <v>vyhoupnout se (v-w7918f1)</v>
      </c>
    </row>
    <row r="56148" spans="1:4" x14ac:dyDescent="0.2">
      <c r="B56148" t="s">
        <v>1</v>
      </c>
      <c r="C56148" t="s">
        <v>17692</v>
      </c>
      <c r="D56148" t="s">
        <v>23510</v>
      </c>
    </row>
    <row r="56149" spans="1:4" x14ac:dyDescent="0.2">
      <c r="B56149" t="s">
        <v>90</v>
      </c>
      <c r="C56149" t="s">
        <v>17693</v>
      </c>
      <c r="D56149" t="s">
        <v>24368</v>
      </c>
    </row>
    <row r="56151" spans="1:4" x14ac:dyDescent="0.2">
      <c r="A56151" t="s">
        <v>17694</v>
      </c>
      <c r="B56151" t="str">
        <f>HYPERLINK("https://lindat.mff.cuni.cz/services/teitok/pdtc10/index.php?action=vallex&amp;frame=v-w7918f2", "vyhoupnout se (v-w7918f2)")</f>
        <v>vyhoupnout se (v-w7918f2)</v>
      </c>
    </row>
    <row r="56152" spans="1:4" x14ac:dyDescent="0.2">
      <c r="B56152" t="s">
        <v>1</v>
      </c>
    </row>
    <row r="56153" spans="1:4" x14ac:dyDescent="0.2">
      <c r="B56153" t="s">
        <v>90</v>
      </c>
    </row>
    <row r="56155" spans="1:4" x14ac:dyDescent="0.2">
      <c r="A56155" t="s">
        <v>17695</v>
      </c>
      <c r="B56155" t="str">
        <f>HYPERLINK("https://lindat.mff.cuni.cz/services/teitok/pdtc10/index.php?action=vallex&amp;frame=v-w7921f1", "vyhovovat (v-w7921f1)")</f>
        <v>vyhovovat (v-w7921f1)</v>
      </c>
    </row>
    <row r="56156" spans="1:4" x14ac:dyDescent="0.2">
      <c r="B56156" t="s">
        <v>196</v>
      </c>
      <c r="C56156" t="s">
        <v>17696</v>
      </c>
      <c r="D56156" t="s">
        <v>23340</v>
      </c>
    </row>
    <row r="56157" spans="1:4" x14ac:dyDescent="0.2">
      <c r="B56157" t="s">
        <v>3338</v>
      </c>
      <c r="C56157" t="s">
        <v>17697</v>
      </c>
      <c r="D56157" t="s">
        <v>23341</v>
      </c>
    </row>
    <row r="56159" spans="1:4" x14ac:dyDescent="0.2">
      <c r="A56159" t="s">
        <v>17698</v>
      </c>
      <c r="B56159" t="str">
        <f>HYPERLINK("https://lindat.mff.cuni.cz/services/teitok/pdtc10/index.php?action=vallex&amp;frame=v-w7921f2", "vyhovovat (v-w7921f2)")</f>
        <v>vyhovovat (v-w7921f2)</v>
      </c>
    </row>
    <row r="56160" spans="1:4" x14ac:dyDescent="0.2">
      <c r="B56160" t="s">
        <v>1</v>
      </c>
      <c r="C56160" t="s">
        <v>2444</v>
      </c>
      <c r="D56160" t="s">
        <v>23549</v>
      </c>
    </row>
    <row r="56161" spans="1:4" x14ac:dyDescent="0.2">
      <c r="B56161" t="s">
        <v>103</v>
      </c>
      <c r="C56161" t="s">
        <v>354</v>
      </c>
      <c r="D56161" t="s">
        <v>15577</v>
      </c>
    </row>
    <row r="56163" spans="1:4" x14ac:dyDescent="0.2">
      <c r="A56163" t="s">
        <v>17699</v>
      </c>
      <c r="B56163" t="str">
        <f>HYPERLINK("https://lindat.mff.cuni.cz/services/teitok/pdtc10/index.php?action=vallex&amp;frame=v-w7920f1", "vyhovět (v-w7920f1)")</f>
        <v>vyhovět (v-w7920f1)</v>
      </c>
    </row>
    <row r="56164" spans="1:4" x14ac:dyDescent="0.2">
      <c r="B56164" t="s">
        <v>1</v>
      </c>
      <c r="C56164" t="s">
        <v>6902</v>
      </c>
      <c r="D56164" t="s">
        <v>23549</v>
      </c>
    </row>
    <row r="56165" spans="1:4" x14ac:dyDescent="0.2">
      <c r="B56165" t="s">
        <v>103</v>
      </c>
      <c r="C56165" t="s">
        <v>5398</v>
      </c>
      <c r="D56165" t="s">
        <v>15577</v>
      </c>
    </row>
    <row r="56167" spans="1:4" x14ac:dyDescent="0.2">
      <c r="A56167" t="s">
        <v>17700</v>
      </c>
      <c r="B56167" t="str">
        <f>HYPERLINK("https://lindat.mff.cuni.cz/services/teitok/pdtc10/index.php?action=vallex&amp;frame=v-w7913f1", "vyhořet (v-w7913f1)")</f>
        <v>vyhořet (v-w7913f1)</v>
      </c>
    </row>
    <row r="56168" spans="1:4" x14ac:dyDescent="0.2">
      <c r="B56168" t="s">
        <v>1</v>
      </c>
      <c r="D56168" t="s">
        <v>147</v>
      </c>
    </row>
    <row r="56170" spans="1:4" x14ac:dyDescent="0.2">
      <c r="A56170" t="s">
        <v>17701</v>
      </c>
      <c r="B56170" t="str">
        <f>HYPERLINK("https://lindat.mff.cuni.cz/services/teitok/pdtc10/index.php?action=vallex&amp;frame=v-w7915f1", "vyhošťovat (v-w7915f1)")</f>
        <v>vyhošťovat (v-w7915f1)</v>
      </c>
    </row>
    <row r="56171" spans="1:4" x14ac:dyDescent="0.2">
      <c r="B56171" t="s">
        <v>1</v>
      </c>
      <c r="D56171" t="s">
        <v>6131</v>
      </c>
    </row>
    <row r="56172" spans="1:4" x14ac:dyDescent="0.2">
      <c r="B56172" t="s">
        <v>8</v>
      </c>
      <c r="D56172" t="s">
        <v>18247</v>
      </c>
    </row>
    <row r="56173" spans="1:4" x14ac:dyDescent="0.2">
      <c r="B56173" t="s">
        <v>333</v>
      </c>
      <c r="D56173" t="s">
        <v>23090</v>
      </c>
    </row>
    <row r="56175" spans="1:4" x14ac:dyDescent="0.2">
      <c r="A56175" t="s">
        <v>17702</v>
      </c>
      <c r="B56175" t="str">
        <f>HYPERLINK("https://lindat.mff.cuni.cz/services/teitok/pdtc10/index.php?action=vallex&amp;frame=v-w12275_ZUf1_ZU", "vyhrabat (v-w12275_ZUf1_ZU)")</f>
        <v>vyhrabat (v-w12275_ZUf1_ZU)</v>
      </c>
    </row>
    <row r="56176" spans="1:4" x14ac:dyDescent="0.2">
      <c r="B56176" t="s">
        <v>1</v>
      </c>
    </row>
    <row r="56177" spans="1:4" x14ac:dyDescent="0.2">
      <c r="B56177" t="s">
        <v>8</v>
      </c>
    </row>
    <row r="56179" spans="1:4" x14ac:dyDescent="0.2">
      <c r="A56179" t="s">
        <v>17703</v>
      </c>
      <c r="B56179" t="str">
        <f>HYPERLINK("https://lindat.mff.cuni.cz/services/teitok/pdtc10/index.php?action=vallex&amp;frame=v-w11405f1", "vyhrabat se (v-w11405f1)")</f>
        <v>vyhrabat se (v-w11405f1)</v>
      </c>
    </row>
    <row r="56180" spans="1:4" x14ac:dyDescent="0.2">
      <c r="B56180" t="s">
        <v>1</v>
      </c>
    </row>
    <row r="56181" spans="1:4" x14ac:dyDescent="0.2">
      <c r="B56181" t="s">
        <v>333</v>
      </c>
    </row>
    <row r="56183" spans="1:4" x14ac:dyDescent="0.2">
      <c r="A56183" t="s">
        <v>17704</v>
      </c>
      <c r="B56183" t="str">
        <f>HYPERLINK("https://lindat.mff.cuni.cz/services/teitok/pdtc10/index.php?action=vallex&amp;frame=v-w11418f1", "vyhrabávat se (v-w11418f1)")</f>
        <v>vyhrabávat se (v-w11418f1)</v>
      </c>
    </row>
    <row r="56184" spans="1:4" x14ac:dyDescent="0.2">
      <c r="B56184" t="s">
        <v>1</v>
      </c>
      <c r="D56184" t="s">
        <v>24369</v>
      </c>
    </row>
    <row r="56185" spans="1:4" x14ac:dyDescent="0.2">
      <c r="B56185" t="s">
        <v>333</v>
      </c>
    </row>
    <row r="56187" spans="1:4" x14ac:dyDescent="0.2">
      <c r="A56187" t="s">
        <v>17705</v>
      </c>
      <c r="B56187" t="str">
        <f>HYPERLINK("https://lindat.mff.cuni.cz/services/teitok/pdtc10/index.php?action=vallex&amp;frame=v-w7924f2_ZU", "vyhradit (v-w7924f2_ZU)")</f>
        <v>vyhradit (v-w7924f2_ZU)</v>
      </c>
    </row>
    <row r="56188" spans="1:4" x14ac:dyDescent="0.2">
      <c r="B56188" t="s">
        <v>1</v>
      </c>
    </row>
    <row r="56189" spans="1:4" x14ac:dyDescent="0.2">
      <c r="B56189" t="s">
        <v>1921</v>
      </c>
    </row>
    <row r="56190" spans="1:4" x14ac:dyDescent="0.2">
      <c r="B56190" t="s">
        <v>2542</v>
      </c>
    </row>
    <row r="56192" spans="1:4" x14ac:dyDescent="0.2">
      <c r="A56192" t="s">
        <v>17705</v>
      </c>
      <c r="B56192" t="str">
        <f>HYPERLINK("https://lindat.mff.cuni.cz/services/teitok/pdtc10/index.php?action=vallex&amp;frame=v-w7924f1", "vyhradit (v-w7924f1) - substituted with v-w7924f2_ZU")</f>
        <v>vyhradit (v-w7924f1) - substituted with v-w7924f2_ZU</v>
      </c>
    </row>
    <row r="56193" spans="1:4" x14ac:dyDescent="0.2">
      <c r="B56193" t="s">
        <v>1</v>
      </c>
      <c r="C56193" t="s">
        <v>17706</v>
      </c>
      <c r="D56193" t="s">
        <v>2125</v>
      </c>
    </row>
    <row r="56194" spans="1:4" x14ac:dyDescent="0.2">
      <c r="B56194" t="s">
        <v>1921</v>
      </c>
      <c r="C56194" t="s">
        <v>17707</v>
      </c>
      <c r="D56194" t="s">
        <v>7362</v>
      </c>
    </row>
    <row r="56195" spans="1:4" x14ac:dyDescent="0.2">
      <c r="B56195" t="s">
        <v>2542</v>
      </c>
      <c r="C56195" t="s">
        <v>17708</v>
      </c>
      <c r="D56195" t="s">
        <v>1255</v>
      </c>
    </row>
    <row r="56197" spans="1:4" x14ac:dyDescent="0.2">
      <c r="A56197" t="s">
        <v>17709</v>
      </c>
      <c r="B56197" t="str">
        <f>HYPERLINK("https://lindat.mff.cuni.cz/services/teitok/pdtc10/index.php?action=vallex&amp;frame=v-w7924hsa_1362", "vyhradit (v-w7924hsa_1362)")</f>
        <v>vyhradit (v-w7924hsa_1362)</v>
      </c>
    </row>
    <row r="56198" spans="1:4" x14ac:dyDescent="0.2">
      <c r="B56198" t="s">
        <v>1</v>
      </c>
    </row>
    <row r="56199" spans="1:4" x14ac:dyDescent="0.2">
      <c r="B56199" t="s">
        <v>8</v>
      </c>
    </row>
    <row r="56201" spans="1:4" x14ac:dyDescent="0.2">
      <c r="A56201" t="s">
        <v>17710</v>
      </c>
      <c r="B56201" t="str">
        <f>HYPERLINK("https://lindat.mff.cuni.cz/services/teitok/pdtc10/index.php?action=vallex&amp;frame=v-w7925f1", "vyhradit si (v-w7925f1)")</f>
        <v>vyhradit si (v-w7925f1)</v>
      </c>
    </row>
    <row r="56202" spans="1:4" x14ac:dyDescent="0.2">
      <c r="B56202" t="s">
        <v>1</v>
      </c>
      <c r="C56202" t="s">
        <v>2239</v>
      </c>
    </row>
    <row r="56203" spans="1:4" x14ac:dyDescent="0.2">
      <c r="B56203" t="s">
        <v>8</v>
      </c>
      <c r="C56203" t="s">
        <v>6439</v>
      </c>
    </row>
    <row r="56205" spans="1:4" x14ac:dyDescent="0.2">
      <c r="A56205" t="s">
        <v>17711</v>
      </c>
      <c r="B56205" t="str">
        <f>HYPERLINK("https://lindat.mff.cuni.cz/services/teitok/pdtc10/index.php?action=vallex&amp;frame=v-w7926f1", "vyhranit (v-w7926f1)")</f>
        <v>vyhranit (v-w7926f1)</v>
      </c>
    </row>
    <row r="56206" spans="1:4" x14ac:dyDescent="0.2">
      <c r="B56206" t="s">
        <v>1</v>
      </c>
    </row>
    <row r="56207" spans="1:4" x14ac:dyDescent="0.2">
      <c r="B56207" t="s">
        <v>8</v>
      </c>
    </row>
    <row r="56209" spans="1:2" x14ac:dyDescent="0.2">
      <c r="A56209" t="s">
        <v>17712</v>
      </c>
      <c r="B56209" t="str">
        <f>HYPERLINK("https://lindat.mff.cuni.cz/services/teitok/pdtc10/index.php?action=vallex&amp;frame=v-w7927f1", "vyhranit se (v-w7927f1)")</f>
        <v>vyhranit se (v-w7927f1)</v>
      </c>
    </row>
    <row r="56210" spans="1:2" x14ac:dyDescent="0.2">
      <c r="B56210" t="s">
        <v>1</v>
      </c>
    </row>
    <row r="56212" spans="1:2" x14ac:dyDescent="0.2">
      <c r="A56212" t="s">
        <v>17713</v>
      </c>
      <c r="B56212" t="str">
        <f>HYPERLINK("https://lindat.mff.cuni.cz/services/teitok/pdtc10/index.php?action=vallex&amp;frame=v-whsa_288hsa_289", "vyhrazovat si (v-whsa_288hsa_289)")</f>
        <v>vyhrazovat si (v-whsa_288hsa_289)</v>
      </c>
    </row>
    <row r="56213" spans="1:2" x14ac:dyDescent="0.2">
      <c r="B56213" t="s">
        <v>1</v>
      </c>
    </row>
    <row r="56214" spans="1:2" x14ac:dyDescent="0.2">
      <c r="B56214" t="s">
        <v>8</v>
      </c>
    </row>
    <row r="56216" spans="1:2" x14ac:dyDescent="0.2">
      <c r="A56216" t="s">
        <v>17714</v>
      </c>
      <c r="B56216" t="str">
        <f>HYPERLINK("https://lindat.mff.cuni.cz/services/teitok/pdtc10/index.php?action=vallex&amp;frame=v-w7928f1", "vyhraňovat se (v-w7928f1)")</f>
        <v>vyhraňovat se (v-w7928f1)</v>
      </c>
    </row>
    <row r="56217" spans="1:2" x14ac:dyDescent="0.2">
      <c r="B56217" t="s">
        <v>1</v>
      </c>
    </row>
    <row r="56219" spans="1:2" x14ac:dyDescent="0.2">
      <c r="A56219" t="s">
        <v>17715</v>
      </c>
      <c r="B56219" t="str">
        <f>HYPERLINK("https://lindat.mff.cuni.cz/services/teitok/pdtc10/index.php?action=vallex&amp;frame=v-w7934f1", "vyhrknout (v-w7934f1)")</f>
        <v>vyhrknout (v-w7934f1)</v>
      </c>
    </row>
    <row r="56220" spans="1:2" x14ac:dyDescent="0.2">
      <c r="B56220" t="s">
        <v>1</v>
      </c>
    </row>
    <row r="56221" spans="1:2" x14ac:dyDescent="0.2">
      <c r="B56221" t="s">
        <v>273</v>
      </c>
    </row>
    <row r="56222" spans="1:2" x14ac:dyDescent="0.2">
      <c r="B56222" t="s">
        <v>3527</v>
      </c>
    </row>
    <row r="56224" spans="1:2" x14ac:dyDescent="0.2">
      <c r="A56224" t="s">
        <v>17716</v>
      </c>
      <c r="B56224" t="str">
        <f>HYPERLINK("https://lindat.mff.cuni.cz/services/teitok/pdtc10/index.php?action=vallex&amp;frame=v-w7934f2", "vyhrknout (v-w7934f2)")</f>
        <v>vyhrknout (v-w7934f2)</v>
      </c>
    </row>
    <row r="56225" spans="1:4" x14ac:dyDescent="0.2">
      <c r="B56225" t="s">
        <v>1</v>
      </c>
    </row>
    <row r="56226" spans="1:4" x14ac:dyDescent="0.2">
      <c r="B56226" t="s">
        <v>333</v>
      </c>
    </row>
    <row r="56228" spans="1:4" x14ac:dyDescent="0.2">
      <c r="A56228" t="s">
        <v>17717</v>
      </c>
      <c r="B56228" t="str">
        <f>HYPERLINK("https://lindat.mff.cuni.cz/services/teitok/pdtc10/index.php?action=vallex&amp;frame=v-w7935f1", "vyhrnout se (v-w7935f1)")</f>
        <v>vyhrnout se (v-w7935f1)</v>
      </c>
    </row>
    <row r="56229" spans="1:4" x14ac:dyDescent="0.2">
      <c r="B56229" t="s">
        <v>1</v>
      </c>
    </row>
    <row r="56230" spans="1:4" x14ac:dyDescent="0.2">
      <c r="B56230" t="s">
        <v>333</v>
      </c>
    </row>
    <row r="56232" spans="1:4" x14ac:dyDescent="0.2">
      <c r="A56232" t="s">
        <v>17718</v>
      </c>
      <c r="B56232" t="str">
        <f>HYPERLINK("https://lindat.mff.cuni.cz/services/teitok/pdtc10/index.php?action=vallex&amp;frame=v-w7938f1", "vyhrocovat se (v-w7938f1)")</f>
        <v>vyhrocovat se (v-w7938f1)</v>
      </c>
    </row>
    <row r="56233" spans="1:4" x14ac:dyDescent="0.2">
      <c r="B56233" t="s">
        <v>1</v>
      </c>
      <c r="D56233" t="s">
        <v>24370</v>
      </c>
    </row>
    <row r="56235" spans="1:4" x14ac:dyDescent="0.2">
      <c r="A56235" t="s">
        <v>17719</v>
      </c>
      <c r="B56235" t="str">
        <f>HYPERLINK("https://lindat.mff.cuni.cz/services/teitok/pdtc10/index.php?action=vallex&amp;frame=v-w7939f1", "vyhrotit (v-w7939f1)")</f>
        <v>vyhrotit (v-w7939f1)</v>
      </c>
    </row>
    <row r="56236" spans="1:4" x14ac:dyDescent="0.2">
      <c r="B56236" t="s">
        <v>1</v>
      </c>
    </row>
    <row r="56237" spans="1:4" x14ac:dyDescent="0.2">
      <c r="B56237" t="s">
        <v>8</v>
      </c>
    </row>
    <row r="56239" spans="1:4" x14ac:dyDescent="0.2">
      <c r="A56239" t="s">
        <v>17720</v>
      </c>
      <c r="B56239" t="str">
        <f>HYPERLINK("https://lindat.mff.cuni.cz/services/teitok/pdtc10/index.php?action=vallex&amp;frame=v-w7940f1", "vyhrotit se (v-w7940f1)")</f>
        <v>vyhrotit se (v-w7940f1)</v>
      </c>
    </row>
    <row r="56240" spans="1:4" x14ac:dyDescent="0.2">
      <c r="B56240" t="s">
        <v>1</v>
      </c>
      <c r="D56240" t="s">
        <v>23550</v>
      </c>
    </row>
    <row r="56242" spans="1:4" x14ac:dyDescent="0.2">
      <c r="A56242" t="s">
        <v>17721</v>
      </c>
      <c r="B56242" t="str">
        <f>HYPERLINK("https://lindat.mff.cuni.cz/services/teitok/pdtc10/index.php?action=vallex&amp;frame=v-w7942f1", "vyhrožovat (v-w7942f1)")</f>
        <v>vyhrožovat (v-w7942f1)</v>
      </c>
    </row>
    <row r="56243" spans="1:4" x14ac:dyDescent="0.2">
      <c r="B56243" t="s">
        <v>1</v>
      </c>
      <c r="C56243" t="s">
        <v>1774</v>
      </c>
      <c r="D56243" t="s">
        <v>373</v>
      </c>
    </row>
    <row r="56244" spans="1:4" x14ac:dyDescent="0.2">
      <c r="B56244" t="s">
        <v>17722</v>
      </c>
      <c r="C56244" t="s">
        <v>17723</v>
      </c>
      <c r="D56244" t="s">
        <v>5853</v>
      </c>
    </row>
    <row r="56245" spans="1:4" x14ac:dyDescent="0.2">
      <c r="B56245" t="s">
        <v>35</v>
      </c>
      <c r="C56245" t="s">
        <v>1255</v>
      </c>
      <c r="D56245" t="s">
        <v>1255</v>
      </c>
    </row>
    <row r="56247" spans="1:4" x14ac:dyDescent="0.2">
      <c r="A56247" t="s">
        <v>17724</v>
      </c>
      <c r="B56247" t="str">
        <f>HYPERLINK("https://lindat.mff.cuni.cz/services/teitok/pdtc10/index.php?action=vallex&amp;frame=v-w7942f2", "vyhrožovat (v-w7942f2)")</f>
        <v>vyhrožovat (v-w7942f2)</v>
      </c>
    </row>
    <row r="56248" spans="1:4" x14ac:dyDescent="0.2">
      <c r="B56248" t="s">
        <v>1</v>
      </c>
    </row>
    <row r="56249" spans="1:4" x14ac:dyDescent="0.2">
      <c r="B56249" t="s">
        <v>86</v>
      </c>
    </row>
    <row r="56251" spans="1:4" x14ac:dyDescent="0.2">
      <c r="A56251" t="s">
        <v>17725</v>
      </c>
      <c r="B56251" t="str">
        <f>HYPERLINK("https://lindat.mff.cuni.cz/services/teitok/pdtc10/index.php?action=vallex&amp;frame=v-w7929f3_ZU", "vyhrát (v-w7929f3_ZU)")</f>
        <v>vyhrát (v-w7929f3_ZU)</v>
      </c>
    </row>
    <row r="56252" spans="1:4" x14ac:dyDescent="0.2">
      <c r="B56252" t="s">
        <v>1</v>
      </c>
      <c r="C56252" t="s">
        <v>2125</v>
      </c>
      <c r="D56252" t="s">
        <v>66</v>
      </c>
    </row>
    <row r="56253" spans="1:4" x14ac:dyDescent="0.2">
      <c r="B56253" t="s">
        <v>10429</v>
      </c>
      <c r="C56253" t="s">
        <v>2290</v>
      </c>
      <c r="D56253" t="s">
        <v>5851</v>
      </c>
    </row>
    <row r="56254" spans="1:4" x14ac:dyDescent="0.2">
      <c r="B56254" t="s">
        <v>17352</v>
      </c>
    </row>
    <row r="56256" spans="1:4" x14ac:dyDescent="0.2">
      <c r="A56256" t="s">
        <v>17725</v>
      </c>
      <c r="B56256" t="str">
        <f>HYPERLINK("https://lindat.mff.cuni.cz/services/teitok/pdtc10/index.php?action=vallex&amp;frame=v-w7929f1", "vyhrát (v-w7929f1) - substituted with v-w7929f3_ZU")</f>
        <v>vyhrát (v-w7929f1) - substituted with v-w7929f3_ZU</v>
      </c>
    </row>
    <row r="56257" spans="1:4" x14ac:dyDescent="0.2">
      <c r="B56257" t="s">
        <v>1</v>
      </c>
      <c r="C56257" t="s">
        <v>17726</v>
      </c>
    </row>
    <row r="56258" spans="1:4" x14ac:dyDescent="0.2">
      <c r="B56258" t="s">
        <v>10429</v>
      </c>
      <c r="C56258" t="s">
        <v>17727</v>
      </c>
    </row>
    <row r="56259" spans="1:4" x14ac:dyDescent="0.2">
      <c r="B56259" t="s">
        <v>17352</v>
      </c>
      <c r="C56259" t="s">
        <v>4272</v>
      </c>
    </row>
    <row r="56261" spans="1:4" x14ac:dyDescent="0.2">
      <c r="A56261" t="s">
        <v>17728</v>
      </c>
      <c r="B56261" t="str">
        <f>HYPERLINK("https://lindat.mff.cuni.cz/services/teitok/pdtc10/index.php?action=vallex&amp;frame=v-w7929f2", "vyhrát (v-w7929f2)")</f>
        <v>vyhrát (v-w7929f2)</v>
      </c>
    </row>
    <row r="56262" spans="1:4" x14ac:dyDescent="0.2">
      <c r="B56262" t="s">
        <v>1</v>
      </c>
      <c r="C56262" t="s">
        <v>8254</v>
      </c>
      <c r="D56262" t="s">
        <v>23111</v>
      </c>
    </row>
    <row r="56263" spans="1:4" x14ac:dyDescent="0.2">
      <c r="B56263" t="s">
        <v>8</v>
      </c>
      <c r="C56263" t="s">
        <v>17729</v>
      </c>
      <c r="D56263" t="s">
        <v>23112</v>
      </c>
    </row>
    <row r="56264" spans="1:4" x14ac:dyDescent="0.2">
      <c r="B56264" t="s">
        <v>442</v>
      </c>
      <c r="D56264" t="s">
        <v>23113</v>
      </c>
    </row>
    <row r="56266" spans="1:4" x14ac:dyDescent="0.2">
      <c r="A56266" t="s">
        <v>17730</v>
      </c>
      <c r="B56266" t="str">
        <f>HYPERLINK("https://lindat.mff.cuni.cz/services/teitok/pdtc10/index.php?action=vallex&amp;frame=v-w7930f1", "vyhrát se (v-w7930f1)")</f>
        <v>vyhrát se (v-w7930f1)</v>
      </c>
    </row>
    <row r="56267" spans="1:4" x14ac:dyDescent="0.2">
      <c r="B56267" t="s">
        <v>1</v>
      </c>
    </row>
    <row r="56269" spans="1:4" x14ac:dyDescent="0.2">
      <c r="A56269" t="s">
        <v>17731</v>
      </c>
      <c r="B56269" t="str">
        <f>HYPERLINK("https://lindat.mff.cuni.cz/services/teitok/pdtc10/index.php?action=vallex&amp;frame=v-w7931f1", "vyhrát si (v-w7931f1)")</f>
        <v>vyhrát si (v-w7931f1)</v>
      </c>
    </row>
    <row r="56270" spans="1:4" x14ac:dyDescent="0.2">
      <c r="B56270" t="s">
        <v>1</v>
      </c>
    </row>
    <row r="56271" spans="1:4" x14ac:dyDescent="0.2">
      <c r="B56271" t="s">
        <v>2423</v>
      </c>
    </row>
    <row r="56273" spans="1:4" x14ac:dyDescent="0.2">
      <c r="A56273" t="s">
        <v>17732</v>
      </c>
      <c r="B56273" t="str">
        <f>HYPERLINK("https://lindat.mff.cuni.cz/services/teitok/pdtc10/index.php?action=vallex&amp;frame=v-w7933f1", "vyhrávat (v-w7933f1)")</f>
        <v>vyhrávat (v-w7933f1)</v>
      </c>
    </row>
    <row r="56274" spans="1:4" x14ac:dyDescent="0.2">
      <c r="B56274" t="s">
        <v>1</v>
      </c>
      <c r="C56274" t="s">
        <v>16774</v>
      </c>
      <c r="D56274" t="s">
        <v>66</v>
      </c>
    </row>
    <row r="56275" spans="1:4" x14ac:dyDescent="0.2">
      <c r="B56275" t="s">
        <v>10429</v>
      </c>
      <c r="C56275" t="s">
        <v>17733</v>
      </c>
      <c r="D56275" t="s">
        <v>5851</v>
      </c>
    </row>
    <row r="56276" spans="1:4" x14ac:dyDescent="0.2">
      <c r="B56276" t="s">
        <v>17352</v>
      </c>
    </row>
    <row r="56278" spans="1:4" x14ac:dyDescent="0.2">
      <c r="A56278" t="s">
        <v>17734</v>
      </c>
      <c r="B56278" t="str">
        <f>HYPERLINK("https://lindat.mff.cuni.cz/services/teitok/pdtc10/index.php?action=vallex&amp;frame=v-w7933f2_ZU", "vyhrávat (v-w7933f2_ZU)")</f>
        <v>vyhrávat (v-w7933f2_ZU)</v>
      </c>
    </row>
    <row r="56279" spans="1:4" x14ac:dyDescent="0.2">
      <c r="B56279" t="s">
        <v>1</v>
      </c>
    </row>
    <row r="56280" spans="1:4" x14ac:dyDescent="0.2">
      <c r="B56280" t="s">
        <v>8</v>
      </c>
    </row>
    <row r="56282" spans="1:4" x14ac:dyDescent="0.2">
      <c r="A56282" t="s">
        <v>17735</v>
      </c>
      <c r="B56282" t="str">
        <f>HYPERLINK("https://lindat.mff.cuni.cz/services/teitok/pdtc10/index.php?action=vallex&amp;frame=v-w7933hsa_1259", "vyhrávat (v-w7933hsa_1259)")</f>
        <v>vyhrávat (v-w7933hsa_1259)</v>
      </c>
    </row>
    <row r="56283" spans="1:4" x14ac:dyDescent="0.2">
      <c r="B56283" t="s">
        <v>1</v>
      </c>
    </row>
    <row r="56285" spans="1:4" x14ac:dyDescent="0.2">
      <c r="A56285" t="s">
        <v>17736</v>
      </c>
      <c r="B56285" t="str">
        <f>HYPERLINK("https://lindat.mff.cuni.cz/services/teitok/pdtc10/index.php?action=vallex&amp;frame=v-w7945f1", "vyhubit (v-w7945f1)")</f>
        <v>vyhubit (v-w7945f1)</v>
      </c>
    </row>
    <row r="56286" spans="1:4" x14ac:dyDescent="0.2">
      <c r="B56286" t="s">
        <v>1</v>
      </c>
    </row>
    <row r="56287" spans="1:4" x14ac:dyDescent="0.2">
      <c r="B56287" t="s">
        <v>8</v>
      </c>
    </row>
    <row r="56289" spans="1:4" x14ac:dyDescent="0.2">
      <c r="A56289" t="s">
        <v>17737</v>
      </c>
      <c r="B56289" t="str">
        <f>HYPERLINK("https://lindat.mff.cuni.cz/services/teitok/pdtc10/index.php?action=vallex&amp;frame=v-w10511f2", "vyhubovat (v-w10511f2)")</f>
        <v>vyhubovat (v-w10511f2)</v>
      </c>
    </row>
    <row r="56290" spans="1:4" x14ac:dyDescent="0.2">
      <c r="B56290" t="s">
        <v>1</v>
      </c>
      <c r="C56290" t="s">
        <v>140</v>
      </c>
    </row>
    <row r="56291" spans="1:4" x14ac:dyDescent="0.2">
      <c r="B56291" t="s">
        <v>35</v>
      </c>
      <c r="C56291" t="s">
        <v>297</v>
      </c>
    </row>
    <row r="56292" spans="1:4" x14ac:dyDescent="0.2">
      <c r="B56292" t="s">
        <v>14739</v>
      </c>
    </row>
    <row r="56294" spans="1:4" x14ac:dyDescent="0.2">
      <c r="A56294" t="s">
        <v>17738</v>
      </c>
      <c r="B56294" t="str">
        <f>HYPERLINK("https://lindat.mff.cuni.cz/services/teitok/pdtc10/index.php?action=vallex&amp;frame=v-w7948f1", "vyhynout (v-w7948f1)")</f>
        <v>vyhynout (v-w7948f1)</v>
      </c>
    </row>
    <row r="56295" spans="1:4" x14ac:dyDescent="0.2">
      <c r="B56295" t="s">
        <v>1</v>
      </c>
    </row>
    <row r="56297" spans="1:4" x14ac:dyDescent="0.2">
      <c r="A56297" t="s">
        <v>17739</v>
      </c>
      <c r="B56297" t="str">
        <f>HYPERLINK("https://lindat.mff.cuni.cz/services/teitok/pdtc10/index.php?action=vallex&amp;frame=v-w7876f1", "vyhánět (v-w7876f1)")</f>
        <v>vyhánět (v-w7876f1)</v>
      </c>
    </row>
    <row r="56298" spans="1:4" x14ac:dyDescent="0.2">
      <c r="B56298" t="s">
        <v>1</v>
      </c>
      <c r="D56298" t="s">
        <v>6131</v>
      </c>
    </row>
    <row r="56299" spans="1:4" x14ac:dyDescent="0.2">
      <c r="B56299" t="s">
        <v>8</v>
      </c>
      <c r="D56299" t="s">
        <v>18247</v>
      </c>
    </row>
    <row r="56300" spans="1:4" x14ac:dyDescent="0.2">
      <c r="B56300" t="s">
        <v>333</v>
      </c>
      <c r="D56300" t="s">
        <v>23090</v>
      </c>
    </row>
    <row r="56302" spans="1:4" x14ac:dyDescent="0.2">
      <c r="A56302" t="s">
        <v>17740</v>
      </c>
      <c r="B56302" t="str">
        <f>HYPERLINK("https://lindat.mff.cuni.cz/services/teitok/pdtc10/index.php?action=vallex&amp;frame=v-w7876f2_ZU", "vyhánět (v-w7876f2_ZU)")</f>
        <v>vyhánět (v-w7876f2_ZU)</v>
      </c>
    </row>
    <row r="56303" spans="1:4" x14ac:dyDescent="0.2">
      <c r="B56303" t="s">
        <v>1</v>
      </c>
      <c r="C56303" t="s">
        <v>12528</v>
      </c>
      <c r="D56303" t="s">
        <v>23523</v>
      </c>
    </row>
    <row r="56304" spans="1:4" x14ac:dyDescent="0.2">
      <c r="B56304" t="s">
        <v>8</v>
      </c>
      <c r="C56304" t="s">
        <v>17741</v>
      </c>
      <c r="D56304" t="s">
        <v>23524</v>
      </c>
    </row>
    <row r="56305" spans="1:4" x14ac:dyDescent="0.2">
      <c r="B56305" t="s">
        <v>252</v>
      </c>
      <c r="D56305" t="s">
        <v>24371</v>
      </c>
    </row>
    <row r="56307" spans="1:4" x14ac:dyDescent="0.2">
      <c r="A56307" t="s">
        <v>17742</v>
      </c>
      <c r="B56307" t="str">
        <f>HYPERLINK("https://lindat.mff.cuni.cz/services/teitok/pdtc10/index.php?action=vallex&amp;frame=v-w7879f2", "vyházet (v-w7879f2)")</f>
        <v>vyházet (v-w7879f2)</v>
      </c>
    </row>
    <row r="56308" spans="1:4" x14ac:dyDescent="0.2">
      <c r="B56308" t="s">
        <v>1</v>
      </c>
    </row>
    <row r="56309" spans="1:4" x14ac:dyDescent="0.2">
      <c r="B56309" t="s">
        <v>8</v>
      </c>
    </row>
    <row r="56310" spans="1:4" x14ac:dyDescent="0.2">
      <c r="B56310" t="s">
        <v>413</v>
      </c>
    </row>
    <row r="56312" spans="1:4" x14ac:dyDescent="0.2">
      <c r="A56312" t="s">
        <v>17743</v>
      </c>
      <c r="B56312" t="str">
        <f>HYPERLINK("https://lindat.mff.cuni.cz/services/teitok/pdtc10/index.php?action=vallex&amp;frame=v-w7879f3", "vyházet (v-w7879f3)")</f>
        <v>vyházet (v-w7879f3)</v>
      </c>
    </row>
    <row r="56313" spans="1:4" x14ac:dyDescent="0.2">
      <c r="B56313" t="s">
        <v>1</v>
      </c>
    </row>
    <row r="56314" spans="1:4" x14ac:dyDescent="0.2">
      <c r="B56314" t="s">
        <v>8</v>
      </c>
    </row>
    <row r="56315" spans="1:4" x14ac:dyDescent="0.2">
      <c r="B56315" t="s">
        <v>333</v>
      </c>
    </row>
    <row r="56317" spans="1:4" x14ac:dyDescent="0.2">
      <c r="A56317" t="s">
        <v>17744</v>
      </c>
      <c r="B56317" t="str">
        <f>HYPERLINK("https://lindat.mff.cuni.cz/services/teitok/pdtc10/index.php?action=vallex&amp;frame=v-w7879f1", "vyházet (v-w7879f1)")</f>
        <v>vyházet (v-w7879f1)</v>
      </c>
    </row>
    <row r="56318" spans="1:4" x14ac:dyDescent="0.2">
      <c r="B56318" t="s">
        <v>1</v>
      </c>
    </row>
    <row r="56319" spans="1:4" x14ac:dyDescent="0.2">
      <c r="B56319" t="s">
        <v>524</v>
      </c>
    </row>
    <row r="56320" spans="1:4" x14ac:dyDescent="0.2">
      <c r="B56320" t="s">
        <v>17745</v>
      </c>
    </row>
    <row r="56322" spans="1:4" x14ac:dyDescent="0.2">
      <c r="A56322" t="s">
        <v>17746</v>
      </c>
      <c r="B56322" t="str">
        <f>HYPERLINK("https://lindat.mff.cuni.cz/services/teitok/pdtc10/index.php?action=vallex&amp;frame=v-w7879hsa_1844", "vyházet (v-w7879hsa_1844)")</f>
        <v>vyházet (v-w7879hsa_1844)</v>
      </c>
    </row>
    <row r="56323" spans="1:4" x14ac:dyDescent="0.2">
      <c r="B56323" t="s">
        <v>1</v>
      </c>
    </row>
    <row r="56324" spans="1:4" x14ac:dyDescent="0.2">
      <c r="B56324" t="s">
        <v>8</v>
      </c>
    </row>
    <row r="56325" spans="1:4" x14ac:dyDescent="0.2">
      <c r="B56325" t="s">
        <v>333</v>
      </c>
    </row>
    <row r="56327" spans="1:4" x14ac:dyDescent="0.2">
      <c r="A56327" t="s">
        <v>17747</v>
      </c>
      <c r="B56327" t="str">
        <f>HYPERLINK("https://lindat.mff.cuni.cz/services/teitok/pdtc10/index.php?action=vallex&amp;frame=v-w7875f1", "vyháčkovat (v-w7875f1)")</f>
        <v>vyháčkovat (v-w7875f1)</v>
      </c>
    </row>
    <row r="56328" spans="1:4" x14ac:dyDescent="0.2">
      <c r="B56328" t="s">
        <v>1</v>
      </c>
      <c r="D56328" t="s">
        <v>249</v>
      </c>
    </row>
    <row r="56329" spans="1:4" x14ac:dyDescent="0.2">
      <c r="B56329" t="s">
        <v>8</v>
      </c>
      <c r="D56329" t="s">
        <v>23</v>
      </c>
    </row>
    <row r="56331" spans="1:4" x14ac:dyDescent="0.2">
      <c r="A56331" t="s">
        <v>17748</v>
      </c>
      <c r="B56331" t="str">
        <f>HYPERLINK("https://lindat.mff.cuni.cz/services/teitok/pdtc10/index.php?action=vallex&amp;frame=v-w7947f1", "vyhýbat se (v-w7947f1)")</f>
        <v>vyhýbat se (v-w7947f1)</v>
      </c>
    </row>
    <row r="56332" spans="1:4" x14ac:dyDescent="0.2">
      <c r="B56332" t="s">
        <v>1</v>
      </c>
      <c r="C56332" t="s">
        <v>1504</v>
      </c>
      <c r="D56332" t="s">
        <v>4807</v>
      </c>
    </row>
    <row r="56333" spans="1:4" x14ac:dyDescent="0.2">
      <c r="B56333" t="s">
        <v>7299</v>
      </c>
      <c r="C56333" t="s">
        <v>17749</v>
      </c>
      <c r="D56333" t="s">
        <v>384</v>
      </c>
    </row>
    <row r="56335" spans="1:4" x14ac:dyDescent="0.2">
      <c r="A56335" t="s">
        <v>17750</v>
      </c>
      <c r="B56335" t="str">
        <f>HYPERLINK("https://lindat.mff.cuni.cz/services/teitok/pdtc10/index.php?action=vallex&amp;frame=v-w10276f2", "vyhřeznout (v-w10276f2)")</f>
        <v>vyhřeznout (v-w10276f2)</v>
      </c>
    </row>
    <row r="56336" spans="1:4" x14ac:dyDescent="0.2">
      <c r="B56336" t="s">
        <v>1</v>
      </c>
      <c r="C56336" t="s">
        <v>133</v>
      </c>
    </row>
    <row r="56337" spans="1:3" x14ac:dyDescent="0.2">
      <c r="B56337" t="s">
        <v>8</v>
      </c>
      <c r="C56337" t="s">
        <v>1128</v>
      </c>
    </row>
    <row r="56338" spans="1:3" x14ac:dyDescent="0.2">
      <c r="B56338" t="s">
        <v>333</v>
      </c>
    </row>
    <row r="56340" spans="1:3" x14ac:dyDescent="0.2">
      <c r="A56340" t="s">
        <v>17751</v>
      </c>
      <c r="B56340" t="str">
        <f>HYPERLINK("https://lindat.mff.cuni.cz/services/teitok/pdtc10/index.php?action=vallex&amp;frame=v-whsa_16hsa_17", "vyhřezávat (v-whsa_16hsa_17)")</f>
        <v>vyhřezávat (v-whsa_16hsa_17)</v>
      </c>
    </row>
    <row r="56341" spans="1:3" x14ac:dyDescent="0.2">
      <c r="B56341" t="s">
        <v>1</v>
      </c>
    </row>
    <row r="56342" spans="1:3" x14ac:dyDescent="0.2">
      <c r="B56342" t="s">
        <v>333</v>
      </c>
    </row>
    <row r="56344" spans="1:3" x14ac:dyDescent="0.2">
      <c r="A56344" t="s">
        <v>17752</v>
      </c>
      <c r="B56344" t="str">
        <f>HYPERLINK("https://lindat.mff.cuni.cz/services/teitok/pdtc10/index.php?action=vallex&amp;frame=v-whsb_1265hsa_1266", "vyhřát se (v-whsb_1265hsa_1266)")</f>
        <v>vyhřát se (v-whsb_1265hsa_1266)</v>
      </c>
    </row>
    <row r="56345" spans="1:3" x14ac:dyDescent="0.2">
      <c r="B56345" t="s">
        <v>1</v>
      </c>
    </row>
    <row r="56347" spans="1:3" x14ac:dyDescent="0.2">
      <c r="A56347" t="s">
        <v>17753</v>
      </c>
      <c r="B56347" t="str">
        <f>HYPERLINK("https://lindat.mff.cuni.cz/services/teitok/pdtc10/index.php?action=vallex&amp;frame=v-w7944f1", "vyhřívat se (v-w7944f1)")</f>
        <v>vyhřívat se (v-w7944f1)</v>
      </c>
    </row>
    <row r="56348" spans="1:3" x14ac:dyDescent="0.2">
      <c r="B56348" t="s">
        <v>1</v>
      </c>
    </row>
    <row r="56350" spans="1:3" x14ac:dyDescent="0.2">
      <c r="A56350" t="s">
        <v>17754</v>
      </c>
      <c r="B56350" t="str">
        <f>HYPERLINK("https://lindat.mff.cuni.cz/services/teitok/pdtc10/index.php?action=vallex&amp;frame=v-w7967f1", "vyinkasovat (v-w7967f1)")</f>
        <v>vyinkasovat (v-w7967f1)</v>
      </c>
    </row>
    <row r="56351" spans="1:3" x14ac:dyDescent="0.2">
      <c r="B56351" t="s">
        <v>1</v>
      </c>
    </row>
    <row r="56352" spans="1:3" x14ac:dyDescent="0.2">
      <c r="B56352" t="s">
        <v>8</v>
      </c>
    </row>
    <row r="56353" spans="1:4" x14ac:dyDescent="0.2">
      <c r="B56353" t="s">
        <v>321</v>
      </c>
    </row>
    <row r="56355" spans="1:4" x14ac:dyDescent="0.2">
      <c r="A56355" t="s">
        <v>17755</v>
      </c>
      <c r="B56355" t="str">
        <f>HYPERLINK("https://lindat.mff.cuni.cz/services/teitok/pdtc10/index.php?action=vallex&amp;frame=v-w7974f1", "vyjadřovat (v-w7974f1)")</f>
        <v>vyjadřovat (v-w7974f1)</v>
      </c>
    </row>
    <row r="56356" spans="1:4" x14ac:dyDescent="0.2">
      <c r="B56356" t="s">
        <v>1</v>
      </c>
      <c r="C56356" t="s">
        <v>17756</v>
      </c>
      <c r="D56356" t="s">
        <v>1805</v>
      </c>
    </row>
    <row r="56357" spans="1:4" x14ac:dyDescent="0.2">
      <c r="B56357" t="s">
        <v>8</v>
      </c>
      <c r="C56357" t="s">
        <v>17757</v>
      </c>
      <c r="D56357" t="s">
        <v>17</v>
      </c>
    </row>
    <row r="56359" spans="1:4" x14ac:dyDescent="0.2">
      <c r="A56359" t="s">
        <v>17758</v>
      </c>
      <c r="B56359" t="str">
        <f>HYPERLINK("https://lindat.mff.cuni.cz/services/teitok/pdtc10/index.php?action=vallex&amp;frame=v-w7974f3", "vyjadřovat (v-w7974f3)")</f>
        <v>vyjadřovat (v-w7974f3)</v>
      </c>
    </row>
    <row r="56360" spans="1:4" x14ac:dyDescent="0.2">
      <c r="B56360" t="s">
        <v>1</v>
      </c>
      <c r="C56360" t="s">
        <v>3384</v>
      </c>
    </row>
    <row r="56361" spans="1:4" x14ac:dyDescent="0.2">
      <c r="B56361" t="s">
        <v>17759</v>
      </c>
      <c r="C56361" t="s">
        <v>17760</v>
      </c>
    </row>
    <row r="56362" spans="1:4" x14ac:dyDescent="0.2">
      <c r="B56362" t="s">
        <v>35</v>
      </c>
    </row>
    <row r="56364" spans="1:4" x14ac:dyDescent="0.2">
      <c r="A56364" t="s">
        <v>17761</v>
      </c>
      <c r="B56364" t="str">
        <f>HYPERLINK("https://lindat.mff.cuni.cz/services/teitok/pdtc10/index.php?action=vallex&amp;frame=v-w7974f6_ZU", "vyjadřovat (v-w7974f6_ZU)")</f>
        <v>vyjadřovat (v-w7974f6_ZU)</v>
      </c>
    </row>
    <row r="56365" spans="1:4" x14ac:dyDescent="0.2">
      <c r="B56365" t="s">
        <v>1</v>
      </c>
      <c r="C56365" t="s">
        <v>17762</v>
      </c>
      <c r="D56365" t="s">
        <v>23545</v>
      </c>
    </row>
    <row r="56366" spans="1:4" x14ac:dyDescent="0.2">
      <c r="B56366" t="s">
        <v>17763</v>
      </c>
      <c r="C56366" t="s">
        <v>17764</v>
      </c>
      <c r="D56366" t="s">
        <v>24372</v>
      </c>
    </row>
    <row r="56368" spans="1:4" x14ac:dyDescent="0.2">
      <c r="A56368" t="s">
        <v>17761</v>
      </c>
      <c r="B56368" t="str">
        <f>HYPERLINK("https://lindat.mff.cuni.cz/services/teitok/pdtc10/index.php?action=vallex&amp;frame=v-w7974f2", "vyjadřovat (v-w7974f2) - substituted with v-w7974f6_ZU")</f>
        <v>vyjadřovat (v-w7974f2) - substituted with v-w7974f6_ZU</v>
      </c>
    </row>
    <row r="56369" spans="1:4" x14ac:dyDescent="0.2">
      <c r="B56369" t="s">
        <v>1</v>
      </c>
      <c r="C56369" t="s">
        <v>17765</v>
      </c>
    </row>
    <row r="56370" spans="1:4" x14ac:dyDescent="0.2">
      <c r="B56370" t="s">
        <v>17763</v>
      </c>
      <c r="C56370" t="s">
        <v>17766</v>
      </c>
    </row>
    <row r="56372" spans="1:4" x14ac:dyDescent="0.2">
      <c r="A56372" t="s">
        <v>17761</v>
      </c>
      <c r="B56372" t="str">
        <f>HYPERLINK("https://lindat.mff.cuni.cz/services/teitok/pdtc10/index.php?action=vallex&amp;frame=v-w7974f4_ZU", "vyjadřovat (v-w7974f4_ZU) - substituted with v-w7974f6_ZU")</f>
        <v>vyjadřovat (v-w7974f4_ZU) - substituted with v-w7974f6_ZU</v>
      </c>
    </row>
    <row r="56373" spans="1:4" x14ac:dyDescent="0.2">
      <c r="B56373" t="s">
        <v>1</v>
      </c>
    </row>
    <row r="56374" spans="1:4" x14ac:dyDescent="0.2">
      <c r="B56374" t="s">
        <v>17763</v>
      </c>
    </row>
    <row r="56376" spans="1:4" x14ac:dyDescent="0.2">
      <c r="A56376" t="s">
        <v>17761</v>
      </c>
      <c r="B56376" t="str">
        <f>HYPERLINK("https://lindat.mff.cuni.cz/services/teitok/pdtc10/index.php?action=vallex&amp;frame=v-w7974f5_ZU", "vyjadřovat (v-w7974f5_ZU) - substituted with v-w7974f6_ZU")</f>
        <v>vyjadřovat (v-w7974f5_ZU) - substituted with v-w7974f6_ZU</v>
      </c>
    </row>
    <row r="56377" spans="1:4" x14ac:dyDescent="0.2">
      <c r="B56377" t="s">
        <v>1</v>
      </c>
      <c r="C56377" t="s">
        <v>6039</v>
      </c>
    </row>
    <row r="56378" spans="1:4" x14ac:dyDescent="0.2">
      <c r="B56378" t="s">
        <v>17763</v>
      </c>
      <c r="C56378" t="s">
        <v>16728</v>
      </c>
    </row>
    <row r="56380" spans="1:4" x14ac:dyDescent="0.2">
      <c r="A56380" t="s">
        <v>17767</v>
      </c>
      <c r="B56380" t="str">
        <f>HYPERLINK("https://lindat.mff.cuni.cz/services/teitok/pdtc10/index.php?action=vallex&amp;frame=v-w7975f1", "vyjadřovat se (v-w7975f1)")</f>
        <v>vyjadřovat se (v-w7975f1)</v>
      </c>
    </row>
    <row r="56381" spans="1:4" x14ac:dyDescent="0.2">
      <c r="B56381" t="s">
        <v>1</v>
      </c>
      <c r="C56381" t="s">
        <v>8249</v>
      </c>
      <c r="D56381" t="s">
        <v>2237</v>
      </c>
    </row>
    <row r="56382" spans="1:4" x14ac:dyDescent="0.2">
      <c r="B56382" t="s">
        <v>17768</v>
      </c>
      <c r="C56382" t="s">
        <v>3598</v>
      </c>
      <c r="D56382" t="s">
        <v>341</v>
      </c>
    </row>
    <row r="56384" spans="1:4" x14ac:dyDescent="0.2">
      <c r="A56384" t="s">
        <v>17769</v>
      </c>
      <c r="B56384" t="str">
        <f>HYPERLINK("https://lindat.mff.cuni.cz/services/teitok/pdtc10/index.php?action=vallex&amp;frame=v-w7975f3", "vyjadřovat se (v-w7975f3)")</f>
        <v>vyjadřovat se (v-w7975f3)</v>
      </c>
    </row>
    <row r="56385" spans="1:4" x14ac:dyDescent="0.2">
      <c r="B56385" t="s">
        <v>1</v>
      </c>
      <c r="D56385" t="s">
        <v>2237</v>
      </c>
    </row>
    <row r="56386" spans="1:4" x14ac:dyDescent="0.2">
      <c r="B56386" t="s">
        <v>17770</v>
      </c>
      <c r="D56386" t="s">
        <v>341</v>
      </c>
    </row>
    <row r="56388" spans="1:4" x14ac:dyDescent="0.2">
      <c r="A56388" t="s">
        <v>17771</v>
      </c>
      <c r="B56388" t="str">
        <f>HYPERLINK("https://lindat.mff.cuni.cz/services/teitok/pdtc10/index.php?action=vallex&amp;frame=v-w7975f2", "vyjadřovat se (v-w7975f2)")</f>
        <v>vyjadřovat se (v-w7975f2)</v>
      </c>
    </row>
    <row r="56389" spans="1:4" x14ac:dyDescent="0.2">
      <c r="B56389" t="s">
        <v>1</v>
      </c>
    </row>
    <row r="56390" spans="1:4" x14ac:dyDescent="0.2">
      <c r="B56390" t="s">
        <v>415</v>
      </c>
    </row>
    <row r="56391" spans="1:4" x14ac:dyDescent="0.2">
      <c r="B56391" t="s">
        <v>346</v>
      </c>
    </row>
    <row r="56392" spans="1:4" x14ac:dyDescent="0.2">
      <c r="B56392" t="s">
        <v>348</v>
      </c>
    </row>
    <row r="56393" spans="1:4" x14ac:dyDescent="0.2">
      <c r="B56393" t="s">
        <v>349</v>
      </c>
    </row>
    <row r="56394" spans="1:4" x14ac:dyDescent="0.2">
      <c r="B56394" t="s">
        <v>350</v>
      </c>
    </row>
    <row r="56395" spans="1:4" x14ac:dyDescent="0.2">
      <c r="B56395" t="s">
        <v>351</v>
      </c>
    </row>
    <row r="56397" spans="1:4" x14ac:dyDescent="0.2">
      <c r="A56397" t="s">
        <v>17772</v>
      </c>
      <c r="B56397" t="str">
        <f>HYPERLINK("https://lindat.mff.cuni.cz/services/teitok/pdtc10/index.php?action=vallex&amp;frame=v-w7978f1", "vyjasnit (v-w7978f1)")</f>
        <v>vyjasnit (v-w7978f1)</v>
      </c>
    </row>
    <row r="56398" spans="1:4" x14ac:dyDescent="0.2">
      <c r="B56398" t="s">
        <v>1</v>
      </c>
      <c r="C56398" t="s">
        <v>334</v>
      </c>
      <c r="D56398" t="s">
        <v>6700</v>
      </c>
    </row>
    <row r="56399" spans="1:4" x14ac:dyDescent="0.2">
      <c r="B56399" t="s">
        <v>2158</v>
      </c>
      <c r="C56399" t="s">
        <v>1078</v>
      </c>
      <c r="D56399" t="s">
        <v>9067</v>
      </c>
    </row>
    <row r="56400" spans="1:4" x14ac:dyDescent="0.2">
      <c r="B56400" t="s">
        <v>35</v>
      </c>
      <c r="C56400" t="s">
        <v>987</v>
      </c>
      <c r="D56400" t="s">
        <v>3185</v>
      </c>
    </row>
    <row r="56402" spans="1:4" x14ac:dyDescent="0.2">
      <c r="A56402" t="s">
        <v>17773</v>
      </c>
      <c r="B56402" t="str">
        <f>HYPERLINK("https://lindat.mff.cuni.cz/services/teitok/pdtc10/index.php?action=vallex&amp;frame=v-w11351f1", "vyjasňovat (v-w11351f1)")</f>
        <v>vyjasňovat (v-w11351f1)</v>
      </c>
    </row>
    <row r="56403" spans="1:4" x14ac:dyDescent="0.2">
      <c r="B56403" t="s">
        <v>1</v>
      </c>
      <c r="D56403" t="s">
        <v>6700</v>
      </c>
    </row>
    <row r="56404" spans="1:4" x14ac:dyDescent="0.2">
      <c r="B56404" t="s">
        <v>2158</v>
      </c>
      <c r="D56404" t="s">
        <v>9067</v>
      </c>
    </row>
    <row r="56405" spans="1:4" x14ac:dyDescent="0.2">
      <c r="B56405" t="s">
        <v>35</v>
      </c>
      <c r="D56405" t="s">
        <v>3185</v>
      </c>
    </row>
    <row r="56407" spans="1:4" x14ac:dyDescent="0.2">
      <c r="A56407" t="s">
        <v>17774</v>
      </c>
      <c r="B56407" t="str">
        <f>HYPERLINK("https://lindat.mff.cuni.cz/services/teitok/pdtc10/index.php?action=vallex&amp;frame=v-w7980f1", "vyjasňovat se (v-w7980f1)")</f>
        <v>vyjasňovat se (v-w7980f1)</v>
      </c>
    </row>
    <row r="56408" spans="1:4" x14ac:dyDescent="0.2">
      <c r="B56408" t="s">
        <v>1</v>
      </c>
    </row>
    <row r="56410" spans="1:4" x14ac:dyDescent="0.2">
      <c r="A56410" t="s">
        <v>17775</v>
      </c>
      <c r="B56410" t="str">
        <f>HYPERLINK("https://lindat.mff.cuni.cz/services/teitok/pdtc10/index.php?action=vallex&amp;frame=v-w7980f3", "vyjasňovat se (v-w7980f3)")</f>
        <v>vyjasňovat se (v-w7980f3)</v>
      </c>
    </row>
    <row r="56412" spans="1:4" x14ac:dyDescent="0.2">
      <c r="A56412" t="s">
        <v>17776</v>
      </c>
      <c r="B56412" t="str">
        <f>HYPERLINK("https://lindat.mff.cuni.cz/services/teitok/pdtc10/index.php?action=vallex&amp;frame=v-w7981f1", "vyjednat (v-w7981f1)")</f>
        <v>vyjednat (v-w7981f1)</v>
      </c>
    </row>
    <row r="56413" spans="1:4" x14ac:dyDescent="0.2">
      <c r="B56413" t="s">
        <v>1</v>
      </c>
      <c r="C56413" t="s">
        <v>2168</v>
      </c>
      <c r="D56413" t="s">
        <v>6039</v>
      </c>
    </row>
    <row r="56414" spans="1:4" x14ac:dyDescent="0.2">
      <c r="B56414" t="s">
        <v>124</v>
      </c>
      <c r="C56414" t="s">
        <v>17777</v>
      </c>
      <c r="D56414" t="s">
        <v>23123</v>
      </c>
    </row>
    <row r="56415" spans="1:4" x14ac:dyDescent="0.2">
      <c r="B56415" t="s">
        <v>153</v>
      </c>
      <c r="C56415" t="s">
        <v>1507</v>
      </c>
      <c r="D56415" t="s">
        <v>23124</v>
      </c>
    </row>
    <row r="56417" spans="1:4" x14ac:dyDescent="0.2">
      <c r="A56417" t="s">
        <v>17778</v>
      </c>
      <c r="B56417" t="str">
        <f>HYPERLINK("https://lindat.mff.cuni.cz/services/teitok/pdtc10/index.php?action=vallex&amp;frame=v-w7983f2", "vyjednávat (v-w7983f2)")</f>
        <v>vyjednávat (v-w7983f2)</v>
      </c>
    </row>
    <row r="56418" spans="1:4" x14ac:dyDescent="0.2">
      <c r="B56418" t="s">
        <v>1</v>
      </c>
      <c r="C56418" t="s">
        <v>9612</v>
      </c>
      <c r="D56418" t="s">
        <v>6039</v>
      </c>
    </row>
    <row r="56419" spans="1:4" x14ac:dyDescent="0.2">
      <c r="B56419" t="s">
        <v>124</v>
      </c>
      <c r="C56419" t="s">
        <v>17779</v>
      </c>
      <c r="D56419" t="s">
        <v>23123</v>
      </c>
    </row>
    <row r="56420" spans="1:4" x14ac:dyDescent="0.2">
      <c r="B56420" t="s">
        <v>153</v>
      </c>
      <c r="C56420" t="s">
        <v>1507</v>
      </c>
      <c r="D56420" t="s">
        <v>23124</v>
      </c>
    </row>
    <row r="56422" spans="1:4" x14ac:dyDescent="0.2">
      <c r="A56422" t="s">
        <v>17780</v>
      </c>
      <c r="B56422" t="str">
        <f>HYPERLINK("https://lindat.mff.cuni.cz/services/teitok/pdtc10/index.php?action=vallex&amp;frame=v-w7983f1", "vyjednávat (v-w7983f1)")</f>
        <v>vyjednávat (v-w7983f1)</v>
      </c>
    </row>
    <row r="56423" spans="1:4" x14ac:dyDescent="0.2">
      <c r="B56423" t="s">
        <v>1</v>
      </c>
      <c r="C56423" t="s">
        <v>17765</v>
      </c>
      <c r="D56423" t="s">
        <v>6039</v>
      </c>
    </row>
    <row r="56424" spans="1:4" x14ac:dyDescent="0.2">
      <c r="B56424" t="s">
        <v>17781</v>
      </c>
      <c r="C56424" t="s">
        <v>17782</v>
      </c>
      <c r="D56424" t="s">
        <v>23123</v>
      </c>
    </row>
    <row r="56425" spans="1:4" x14ac:dyDescent="0.2">
      <c r="B56425" t="s">
        <v>153</v>
      </c>
      <c r="C56425" t="s">
        <v>1507</v>
      </c>
      <c r="D56425" t="s">
        <v>23124</v>
      </c>
    </row>
    <row r="56427" spans="1:4" x14ac:dyDescent="0.2">
      <c r="A56427" t="s">
        <v>17783</v>
      </c>
      <c r="B56427" t="str">
        <f>HYPERLINK("https://lindat.mff.cuni.cz/services/teitok/pdtc10/index.php?action=vallex&amp;frame=v-w7984f1", "vyjet (v-w7984f1)")</f>
        <v>vyjet (v-w7984f1)</v>
      </c>
    </row>
    <row r="56428" spans="1:4" x14ac:dyDescent="0.2">
      <c r="B56428" t="s">
        <v>1</v>
      </c>
    </row>
    <row r="56429" spans="1:4" x14ac:dyDescent="0.2">
      <c r="B56429" t="s">
        <v>333</v>
      </c>
    </row>
    <row r="56431" spans="1:4" x14ac:dyDescent="0.2">
      <c r="A56431" t="s">
        <v>17784</v>
      </c>
      <c r="B56431" t="str">
        <f>HYPERLINK("https://lindat.mff.cuni.cz/services/teitok/pdtc10/index.php?action=vallex&amp;frame=v-w7984f2", "vyjet (v-w7984f2)")</f>
        <v>vyjet (v-w7984f2)</v>
      </c>
    </row>
    <row r="56432" spans="1:4" x14ac:dyDescent="0.2">
      <c r="B56432" t="s">
        <v>1</v>
      </c>
    </row>
    <row r="56433" spans="1:2" x14ac:dyDescent="0.2">
      <c r="B56433" t="s">
        <v>90</v>
      </c>
    </row>
    <row r="56435" spans="1:2" x14ac:dyDescent="0.2">
      <c r="A56435" t="s">
        <v>17785</v>
      </c>
      <c r="B56435" t="str">
        <f>HYPERLINK("https://lindat.mff.cuni.cz/services/teitok/pdtc10/index.php?action=vallex&amp;frame=v-w7984f3_ZU", "vyjet (v-w7984f3_ZU)")</f>
        <v>vyjet (v-w7984f3_ZU)</v>
      </c>
    </row>
    <row r="56436" spans="1:2" x14ac:dyDescent="0.2">
      <c r="B56436" t="s">
        <v>1</v>
      </c>
    </row>
    <row r="56437" spans="1:2" x14ac:dyDescent="0.2">
      <c r="B56437" t="s">
        <v>28</v>
      </c>
    </row>
    <row r="56439" spans="1:2" x14ac:dyDescent="0.2">
      <c r="A56439" t="s">
        <v>17786</v>
      </c>
      <c r="B56439" t="str">
        <f>HYPERLINK("https://lindat.mff.cuni.cz/services/teitok/pdtc10/index.php?action=vallex&amp;frame=v-w7984hsa_237", "vyjet (v-w7984hsa_237)")</f>
        <v>vyjet (v-w7984hsa_237)</v>
      </c>
    </row>
    <row r="56440" spans="1:2" x14ac:dyDescent="0.2">
      <c r="B56440" t="s">
        <v>1</v>
      </c>
    </row>
    <row r="56441" spans="1:2" x14ac:dyDescent="0.2">
      <c r="B56441" t="s">
        <v>8</v>
      </c>
    </row>
    <row r="56443" spans="1:2" x14ac:dyDescent="0.2">
      <c r="A56443" t="s">
        <v>17787</v>
      </c>
      <c r="B56443" t="str">
        <f>HYPERLINK("https://lindat.mff.cuni.cz/services/teitok/pdtc10/index.php?action=vallex&amp;frame=v-w7984hsa_238", "vyjet (v-w7984hsa_238)")</f>
        <v>vyjet (v-w7984hsa_238)</v>
      </c>
    </row>
    <row r="56444" spans="1:2" x14ac:dyDescent="0.2">
      <c r="B56444" t="s">
        <v>1</v>
      </c>
    </row>
    <row r="56445" spans="1:2" x14ac:dyDescent="0.2">
      <c r="B56445" t="s">
        <v>333</v>
      </c>
    </row>
    <row r="56447" spans="1:2" x14ac:dyDescent="0.2">
      <c r="A56447" t="s">
        <v>17788</v>
      </c>
      <c r="B56447" t="str">
        <f>HYPERLINK("https://lindat.mff.cuni.cz/services/teitok/pdtc10/index.php?action=vallex&amp;frame=v-w7985f1", "vyjet si (v-w7985f1)")</f>
        <v>vyjet si (v-w7985f1)</v>
      </c>
    </row>
    <row r="56448" spans="1:2" x14ac:dyDescent="0.2">
      <c r="B56448" t="s">
        <v>1</v>
      </c>
    </row>
    <row r="56449" spans="1:4" x14ac:dyDescent="0.2">
      <c r="B56449" t="s">
        <v>90</v>
      </c>
    </row>
    <row r="56451" spans="1:4" x14ac:dyDescent="0.2">
      <c r="A56451" t="s">
        <v>17789</v>
      </c>
      <c r="B56451" t="str">
        <f>HYPERLINK("https://lindat.mff.cuni.cz/services/teitok/pdtc10/index.php?action=vallex&amp;frame=v-w7986f1", "vyjevit (v-w7986f1)")</f>
        <v>vyjevit (v-w7986f1)</v>
      </c>
    </row>
    <row r="56452" spans="1:4" x14ac:dyDescent="0.2">
      <c r="B56452" t="s">
        <v>1</v>
      </c>
    </row>
    <row r="56453" spans="1:4" x14ac:dyDescent="0.2">
      <c r="B56453" t="s">
        <v>35</v>
      </c>
    </row>
    <row r="56454" spans="1:4" x14ac:dyDescent="0.2">
      <c r="B56454" t="s">
        <v>17790</v>
      </c>
    </row>
    <row r="56455" spans="1:4" x14ac:dyDescent="0.2">
      <c r="B56455" t="s">
        <v>11010</v>
      </c>
    </row>
    <row r="56457" spans="1:4" x14ac:dyDescent="0.2">
      <c r="A56457" t="s">
        <v>17791</v>
      </c>
      <c r="B56457" t="str">
        <f>HYPERLINK("https://lindat.mff.cuni.cz/services/teitok/pdtc10/index.php?action=vallex&amp;frame=v-w11284f1", "vyjevit se (v-w11284f1)")</f>
        <v>vyjevit se (v-w11284f1)</v>
      </c>
    </row>
    <row r="56458" spans="1:4" x14ac:dyDescent="0.2">
      <c r="B56458" t="s">
        <v>488</v>
      </c>
    </row>
    <row r="56459" spans="1:4" x14ac:dyDescent="0.2">
      <c r="B56459" t="s">
        <v>17792</v>
      </c>
    </row>
    <row r="56461" spans="1:4" x14ac:dyDescent="0.2">
      <c r="A56461" t="s">
        <v>17793</v>
      </c>
      <c r="B56461" t="str">
        <f>HYPERLINK("https://lindat.mff.cuni.cz/services/teitok/pdtc10/index.php?action=vallex&amp;frame=v-w11284f2_ZU", "vyjevit se (v-w11284f2_ZU)")</f>
        <v>vyjevit se (v-w11284f2_ZU)</v>
      </c>
    </row>
    <row r="56462" spans="1:4" x14ac:dyDescent="0.2">
      <c r="B56462" t="s">
        <v>1</v>
      </c>
      <c r="C56462" t="s">
        <v>2264</v>
      </c>
      <c r="D56462" t="s">
        <v>7870</v>
      </c>
    </row>
    <row r="56464" spans="1:4" x14ac:dyDescent="0.2">
      <c r="A56464" t="s">
        <v>17794</v>
      </c>
      <c r="B56464" t="str">
        <f>HYPERLINK("https://lindat.mff.cuni.cz/services/teitok/pdtc10/index.php?action=vallex&amp;frame=v-whsa_2009hsa_2010", "vyjezdit se (v-whsa_2009hsa_2010)")</f>
        <v>vyjezdit se (v-whsa_2009hsa_2010)</v>
      </c>
    </row>
    <row r="56465" spans="1:4" x14ac:dyDescent="0.2">
      <c r="B56465" t="s">
        <v>1</v>
      </c>
    </row>
    <row r="56467" spans="1:4" x14ac:dyDescent="0.2">
      <c r="A56467" t="s">
        <v>17795</v>
      </c>
      <c r="B56467" t="str">
        <f>HYPERLINK("https://lindat.mff.cuni.cz/services/teitok/pdtc10/index.php?action=vallex&amp;frame=v-w7997f1", "vyjmenovat (v-w7997f1)")</f>
        <v>vyjmenovat (v-w7997f1)</v>
      </c>
    </row>
    <row r="56468" spans="1:4" x14ac:dyDescent="0.2">
      <c r="B56468" t="s">
        <v>1</v>
      </c>
      <c r="C56468" t="s">
        <v>990</v>
      </c>
      <c r="D56468" t="s">
        <v>12528</v>
      </c>
    </row>
    <row r="56469" spans="1:4" x14ac:dyDescent="0.2">
      <c r="B56469" t="s">
        <v>172</v>
      </c>
      <c r="C56469" t="s">
        <v>17796</v>
      </c>
      <c r="D56469" t="s">
        <v>23379</v>
      </c>
    </row>
    <row r="56470" spans="1:4" x14ac:dyDescent="0.2">
      <c r="B56470" t="s">
        <v>78</v>
      </c>
    </row>
    <row r="56472" spans="1:4" x14ac:dyDescent="0.2">
      <c r="A56472" t="s">
        <v>17797</v>
      </c>
      <c r="B56472" t="str">
        <f>HYPERLINK("https://lindat.mff.cuni.cz/services/teitok/pdtc10/index.php?action=vallex&amp;frame=v-w10897f2", "vyjmenovávat (v-w10897f2)")</f>
        <v>vyjmenovávat (v-w10897f2)</v>
      </c>
    </row>
    <row r="56473" spans="1:4" x14ac:dyDescent="0.2">
      <c r="B56473" t="s">
        <v>1</v>
      </c>
      <c r="C56473" t="s">
        <v>990</v>
      </c>
      <c r="D56473" t="s">
        <v>12528</v>
      </c>
    </row>
    <row r="56474" spans="1:4" x14ac:dyDescent="0.2">
      <c r="B56474" t="s">
        <v>172</v>
      </c>
      <c r="C56474" t="s">
        <v>17796</v>
      </c>
      <c r="D56474" t="s">
        <v>23379</v>
      </c>
    </row>
    <row r="56475" spans="1:4" x14ac:dyDescent="0.2">
      <c r="B56475" t="s">
        <v>78</v>
      </c>
    </row>
    <row r="56477" spans="1:4" x14ac:dyDescent="0.2">
      <c r="A56477" t="s">
        <v>17798</v>
      </c>
      <c r="B56477" t="str">
        <f>HYPERLINK("https://lindat.mff.cuni.cz/services/teitok/pdtc10/index.php?action=vallex&amp;frame=v-w7998f1", "vyjmout (v-w7998f1)")</f>
        <v>vyjmout (v-w7998f1)</v>
      </c>
    </row>
    <row r="56478" spans="1:4" x14ac:dyDescent="0.2">
      <c r="B56478" t="s">
        <v>1</v>
      </c>
      <c r="C56478" t="s">
        <v>3292</v>
      </c>
      <c r="D56478" t="s">
        <v>230</v>
      </c>
    </row>
    <row r="56479" spans="1:4" x14ac:dyDescent="0.2">
      <c r="B56479" t="s">
        <v>8</v>
      </c>
      <c r="C56479" t="s">
        <v>1815</v>
      </c>
      <c r="D56479" t="s">
        <v>7921</v>
      </c>
    </row>
    <row r="56480" spans="1:4" x14ac:dyDescent="0.2">
      <c r="B56480" t="s">
        <v>333</v>
      </c>
      <c r="D56480" t="s">
        <v>18417</v>
      </c>
    </row>
    <row r="56482" spans="1:4" x14ac:dyDescent="0.2">
      <c r="A56482" t="s">
        <v>17799</v>
      </c>
      <c r="B56482" t="str">
        <f>HYPERLINK("https://lindat.mff.cuni.cz/services/teitok/pdtc10/index.php?action=vallex&amp;frame=v-w7998f2", "vyjmout (v-w7998f2)")</f>
        <v>vyjmout (v-w7998f2)</v>
      </c>
    </row>
    <row r="56483" spans="1:4" x14ac:dyDescent="0.2">
      <c r="B56483" t="s">
        <v>1</v>
      </c>
      <c r="C56483" t="s">
        <v>17800</v>
      </c>
      <c r="D56483" t="s">
        <v>373</v>
      </c>
    </row>
    <row r="56484" spans="1:4" x14ac:dyDescent="0.2">
      <c r="B56484" t="s">
        <v>8</v>
      </c>
      <c r="C56484" t="s">
        <v>17801</v>
      </c>
      <c r="D56484" t="s">
        <v>23339</v>
      </c>
    </row>
    <row r="56485" spans="1:4" x14ac:dyDescent="0.2">
      <c r="B56485" t="s">
        <v>333</v>
      </c>
      <c r="C56485" t="s">
        <v>15011</v>
      </c>
      <c r="D56485" t="s">
        <v>23684</v>
      </c>
    </row>
    <row r="56487" spans="1:4" x14ac:dyDescent="0.2">
      <c r="A56487" t="s">
        <v>17802</v>
      </c>
      <c r="B56487" t="str">
        <f>HYPERLINK("https://lindat.mff.cuni.cz/services/teitok/pdtc10/index.php?action=vallex&amp;frame=v-w7970f2", "vyjádřit (v-w7970f2)")</f>
        <v>vyjádřit (v-w7970f2)</v>
      </c>
    </row>
    <row r="56488" spans="1:4" x14ac:dyDescent="0.2">
      <c r="B56488" t="s">
        <v>1</v>
      </c>
      <c r="C56488" t="s">
        <v>2530</v>
      </c>
      <c r="D56488" t="s">
        <v>1805</v>
      </c>
    </row>
    <row r="56489" spans="1:4" x14ac:dyDescent="0.2">
      <c r="B56489" t="s">
        <v>8</v>
      </c>
      <c r="C56489" t="s">
        <v>12897</v>
      </c>
      <c r="D56489" t="s">
        <v>17</v>
      </c>
    </row>
    <row r="56491" spans="1:4" x14ac:dyDescent="0.2">
      <c r="A56491" t="s">
        <v>17803</v>
      </c>
      <c r="B56491" t="str">
        <f>HYPERLINK("https://lindat.mff.cuni.cz/services/teitok/pdtc10/index.php?action=vallex&amp;frame=v-w7970hsa_859", "vyjádřit (v-w7970hsa_859)")</f>
        <v>vyjádřit (v-w7970hsa_859)</v>
      </c>
    </row>
    <row r="56492" spans="1:4" x14ac:dyDescent="0.2">
      <c r="B56492" t="s">
        <v>1</v>
      </c>
      <c r="C56492" t="s">
        <v>3384</v>
      </c>
    </row>
    <row r="56493" spans="1:4" x14ac:dyDescent="0.2">
      <c r="B56493" t="s">
        <v>17804</v>
      </c>
      <c r="C56493" t="s">
        <v>17760</v>
      </c>
    </row>
    <row r="56494" spans="1:4" x14ac:dyDescent="0.2">
      <c r="B56494" t="s">
        <v>35</v>
      </c>
    </row>
    <row r="56496" spans="1:4" x14ac:dyDescent="0.2">
      <c r="A56496" t="s">
        <v>17803</v>
      </c>
      <c r="B56496" t="str">
        <f>HYPERLINK("https://lindat.mff.cuni.cz/services/teitok/pdtc10/index.php?action=vallex&amp;frame=v-w7970f3", "vyjádřit (v-w7970f3) - substituted with v-w7970hsa_859")</f>
        <v>vyjádřit (v-w7970f3) - substituted with v-w7970hsa_859</v>
      </c>
    </row>
    <row r="56497" spans="1:4" x14ac:dyDescent="0.2">
      <c r="B56497" t="s">
        <v>1</v>
      </c>
      <c r="C56497" t="s">
        <v>3384</v>
      </c>
    </row>
    <row r="56498" spans="1:4" x14ac:dyDescent="0.2">
      <c r="B56498" t="s">
        <v>17804</v>
      </c>
      <c r="C56498" t="s">
        <v>17760</v>
      </c>
    </row>
    <row r="56499" spans="1:4" x14ac:dyDescent="0.2">
      <c r="B56499" t="s">
        <v>35</v>
      </c>
    </row>
    <row r="56501" spans="1:4" x14ac:dyDescent="0.2">
      <c r="A56501" t="s">
        <v>17805</v>
      </c>
      <c r="B56501" t="str">
        <f>HYPERLINK("https://lindat.mff.cuni.cz/services/teitok/pdtc10/index.php?action=vallex&amp;frame=v-w7970f9_ZU", "vyjádřit (v-w7970f9_ZU)")</f>
        <v>vyjádřit (v-w7970f9_ZU)</v>
      </c>
    </row>
    <row r="56502" spans="1:4" x14ac:dyDescent="0.2">
      <c r="B56502" t="s">
        <v>1</v>
      </c>
      <c r="C56502" t="s">
        <v>3384</v>
      </c>
      <c r="D56502" t="s">
        <v>24373</v>
      </c>
    </row>
    <row r="56503" spans="1:4" x14ac:dyDescent="0.2">
      <c r="B56503" t="s">
        <v>17806</v>
      </c>
      <c r="C56503" t="s">
        <v>17760</v>
      </c>
      <c r="D56503" t="s">
        <v>24374</v>
      </c>
    </row>
    <row r="56505" spans="1:4" x14ac:dyDescent="0.2">
      <c r="A56505" t="s">
        <v>17805</v>
      </c>
      <c r="B56505" t="str">
        <f>HYPERLINK("https://lindat.mff.cuni.cz/services/teitok/pdtc10/index.php?action=vallex&amp;frame=v-w7970f1", "vyjádřit (v-w7970f1) - substituted with v-w7970f9_ZU")</f>
        <v>vyjádřit (v-w7970f1) - substituted with v-w7970f9_ZU</v>
      </c>
    </row>
    <row r="56506" spans="1:4" x14ac:dyDescent="0.2">
      <c r="B56506" t="s">
        <v>1</v>
      </c>
      <c r="C56506" t="s">
        <v>17807</v>
      </c>
    </row>
    <row r="56507" spans="1:4" x14ac:dyDescent="0.2">
      <c r="B56507" t="s">
        <v>17806</v>
      </c>
      <c r="C56507" t="s">
        <v>17808</v>
      </c>
    </row>
    <row r="56509" spans="1:4" x14ac:dyDescent="0.2">
      <c r="A56509" t="s">
        <v>17805</v>
      </c>
      <c r="B56509" t="str">
        <f>HYPERLINK("https://lindat.mff.cuni.cz/services/teitok/pdtc10/index.php?action=vallex&amp;frame=v-w7970f4_ZU", "vyjádřit (v-w7970f4_ZU) - substituted with v-w7970f9_ZU")</f>
        <v>vyjádřit (v-w7970f4_ZU) - substituted with v-w7970f9_ZU</v>
      </c>
    </row>
    <row r="56510" spans="1:4" x14ac:dyDescent="0.2">
      <c r="B56510" t="s">
        <v>1</v>
      </c>
      <c r="C56510" t="s">
        <v>2031</v>
      </c>
    </row>
    <row r="56511" spans="1:4" x14ac:dyDescent="0.2">
      <c r="B56511" t="s">
        <v>17806</v>
      </c>
      <c r="C56511" t="s">
        <v>2952</v>
      </c>
    </row>
    <row r="56513" spans="1:3" x14ac:dyDescent="0.2">
      <c r="A56513" t="s">
        <v>17805</v>
      </c>
      <c r="B56513" t="str">
        <f>HYPERLINK("https://lindat.mff.cuni.cz/services/teitok/pdtc10/index.php?action=vallex&amp;frame=v-w7970f5_ZU", "vyjádřit (v-w7970f5_ZU) - substituted with v-w7970f9_ZU")</f>
        <v>vyjádřit (v-w7970f5_ZU) - substituted with v-w7970f9_ZU</v>
      </c>
    </row>
    <row r="56514" spans="1:3" x14ac:dyDescent="0.2">
      <c r="B56514" t="s">
        <v>1</v>
      </c>
      <c r="C56514" t="s">
        <v>1349</v>
      </c>
    </row>
    <row r="56515" spans="1:3" x14ac:dyDescent="0.2">
      <c r="B56515" t="s">
        <v>17806</v>
      </c>
      <c r="C56515" t="s">
        <v>2572</v>
      </c>
    </row>
    <row r="56517" spans="1:3" x14ac:dyDescent="0.2">
      <c r="A56517" t="s">
        <v>17805</v>
      </c>
      <c r="B56517" t="str">
        <f>HYPERLINK("https://lindat.mff.cuni.cz/services/teitok/pdtc10/index.php?action=vallex&amp;frame=v-w7970f6_ZU", "vyjádřit (v-w7970f6_ZU) - substituted with v-w7970f9_ZU")</f>
        <v>vyjádřit (v-w7970f6_ZU) - substituted with v-w7970f9_ZU</v>
      </c>
    </row>
    <row r="56518" spans="1:3" x14ac:dyDescent="0.2">
      <c r="B56518" t="s">
        <v>1</v>
      </c>
      <c r="C56518" t="s">
        <v>3384</v>
      </c>
    </row>
    <row r="56519" spans="1:3" x14ac:dyDescent="0.2">
      <c r="B56519" t="s">
        <v>17806</v>
      </c>
      <c r="C56519" t="s">
        <v>17760</v>
      </c>
    </row>
    <row r="56521" spans="1:3" x14ac:dyDescent="0.2">
      <c r="A56521" t="s">
        <v>17805</v>
      </c>
      <c r="B56521" t="str">
        <f>HYPERLINK("https://lindat.mff.cuni.cz/services/teitok/pdtc10/index.php?action=vallex&amp;frame=v-w7970f7_ZU", "vyjádřit (v-w7970f7_ZU) - substituted with v-w7970f9_ZU")</f>
        <v>vyjádřit (v-w7970f7_ZU) - substituted with v-w7970f9_ZU</v>
      </c>
    </row>
    <row r="56522" spans="1:3" x14ac:dyDescent="0.2">
      <c r="B56522" t="s">
        <v>1</v>
      </c>
      <c r="C56522" t="s">
        <v>8467</v>
      </c>
    </row>
    <row r="56523" spans="1:3" x14ac:dyDescent="0.2">
      <c r="B56523" t="s">
        <v>17806</v>
      </c>
      <c r="C56523" t="s">
        <v>17809</v>
      </c>
    </row>
    <row r="56525" spans="1:3" x14ac:dyDescent="0.2">
      <c r="A56525" t="s">
        <v>17805</v>
      </c>
      <c r="B56525" t="str">
        <f>HYPERLINK("https://lindat.mff.cuni.cz/services/teitok/pdtc10/index.php?action=vallex&amp;frame=v-w7970f8_ZU", "vyjádřit (v-w7970f8_ZU) - substituted with v-w7970f9_ZU")</f>
        <v>vyjádřit (v-w7970f8_ZU) - substituted with v-w7970f9_ZU</v>
      </c>
    </row>
    <row r="56526" spans="1:3" x14ac:dyDescent="0.2">
      <c r="B56526" t="s">
        <v>1</v>
      </c>
      <c r="C56526" t="s">
        <v>3384</v>
      </c>
    </row>
    <row r="56527" spans="1:3" x14ac:dyDescent="0.2">
      <c r="B56527" t="s">
        <v>17806</v>
      </c>
      <c r="C56527" t="s">
        <v>17760</v>
      </c>
    </row>
    <row r="56529" spans="1:4" x14ac:dyDescent="0.2">
      <c r="A56529" t="s">
        <v>17805</v>
      </c>
      <c r="B56529" t="str">
        <f>HYPERLINK("https://lindat.mff.cuni.cz/services/teitok/pdtc10/index.php?action=vallex&amp;frame=v-w7970hsa_860", "vyjádřit (v-w7970hsa_860) - substituted with v-w7970f9_ZU")</f>
        <v>vyjádřit (v-w7970hsa_860) - substituted with v-w7970f9_ZU</v>
      </c>
    </row>
    <row r="56530" spans="1:4" x14ac:dyDescent="0.2">
      <c r="B56530" t="s">
        <v>1</v>
      </c>
    </row>
    <row r="56531" spans="1:4" x14ac:dyDescent="0.2">
      <c r="B56531" t="s">
        <v>17806</v>
      </c>
    </row>
    <row r="56533" spans="1:4" x14ac:dyDescent="0.2">
      <c r="A56533" t="s">
        <v>17810</v>
      </c>
      <c r="B56533" t="str">
        <f>HYPERLINK("https://lindat.mff.cuni.cz/services/teitok/pdtc10/index.php?action=vallex&amp;frame=v-w7971f1", "vyjádřit se (v-w7971f1)")</f>
        <v>vyjádřit se (v-w7971f1)</v>
      </c>
    </row>
    <row r="56534" spans="1:4" x14ac:dyDescent="0.2">
      <c r="B56534" t="s">
        <v>1</v>
      </c>
      <c r="C56534" t="s">
        <v>17811</v>
      </c>
      <c r="D56534" t="s">
        <v>2237</v>
      </c>
    </row>
    <row r="56535" spans="1:4" x14ac:dyDescent="0.2">
      <c r="B56535" t="s">
        <v>17812</v>
      </c>
      <c r="C56535" t="s">
        <v>17813</v>
      </c>
      <c r="D56535" t="s">
        <v>341</v>
      </c>
    </row>
    <row r="56537" spans="1:4" x14ac:dyDescent="0.2">
      <c r="A56537" t="s">
        <v>17814</v>
      </c>
      <c r="B56537" t="str">
        <f>HYPERLINK("https://lindat.mff.cuni.cz/services/teitok/pdtc10/index.php?action=vallex&amp;frame=v-w7971f3", "vyjádřit se (v-w7971f3)")</f>
        <v>vyjádřit se (v-w7971f3)</v>
      </c>
    </row>
    <row r="56538" spans="1:4" x14ac:dyDescent="0.2">
      <c r="B56538" t="s">
        <v>1</v>
      </c>
      <c r="D56538" t="s">
        <v>2237</v>
      </c>
    </row>
    <row r="56539" spans="1:4" x14ac:dyDescent="0.2">
      <c r="B56539" t="s">
        <v>17770</v>
      </c>
      <c r="D56539" t="s">
        <v>341</v>
      </c>
    </row>
    <row r="56541" spans="1:4" x14ac:dyDescent="0.2">
      <c r="A56541" t="s">
        <v>17815</v>
      </c>
      <c r="B56541" t="str">
        <f>HYPERLINK("https://lindat.mff.cuni.cz/services/teitok/pdtc10/index.php?action=vallex&amp;frame=v-w7971f2", "vyjádřit se (v-w7971f2)")</f>
        <v>vyjádřit se (v-w7971f2)</v>
      </c>
    </row>
    <row r="56542" spans="1:4" x14ac:dyDescent="0.2">
      <c r="B56542" t="s">
        <v>1</v>
      </c>
      <c r="C56542" t="s">
        <v>2239</v>
      </c>
    </row>
    <row r="56543" spans="1:4" x14ac:dyDescent="0.2">
      <c r="B56543" t="s">
        <v>415</v>
      </c>
      <c r="C56543" t="s">
        <v>17816</v>
      </c>
    </row>
    <row r="56544" spans="1:4" x14ac:dyDescent="0.2">
      <c r="B56544" t="s">
        <v>346</v>
      </c>
    </row>
    <row r="56545" spans="1:4" x14ac:dyDescent="0.2">
      <c r="B56545" t="s">
        <v>348</v>
      </c>
    </row>
    <row r="56546" spans="1:4" x14ac:dyDescent="0.2">
      <c r="B56546" t="s">
        <v>349</v>
      </c>
    </row>
    <row r="56547" spans="1:4" x14ac:dyDescent="0.2">
      <c r="B56547" t="s">
        <v>350</v>
      </c>
    </row>
    <row r="56548" spans="1:4" x14ac:dyDescent="0.2">
      <c r="B56548" t="s">
        <v>351</v>
      </c>
    </row>
    <row r="56550" spans="1:4" x14ac:dyDescent="0.2">
      <c r="A56550" t="s">
        <v>17817</v>
      </c>
      <c r="B56550" t="str">
        <f>HYPERLINK("https://lindat.mff.cuni.cz/services/teitok/pdtc10/index.php?action=vallex&amp;frame=v-w7990f1", "vyjímat (v-w7990f1)")</f>
        <v>vyjímat (v-w7990f1)</v>
      </c>
    </row>
    <row r="56551" spans="1:4" x14ac:dyDescent="0.2">
      <c r="B56551" t="s">
        <v>1</v>
      </c>
      <c r="D56551" t="s">
        <v>20601</v>
      </c>
    </row>
    <row r="56552" spans="1:4" x14ac:dyDescent="0.2">
      <c r="B56552" t="s">
        <v>17818</v>
      </c>
      <c r="D56552" t="s">
        <v>24375</v>
      </c>
    </row>
    <row r="56553" spans="1:4" x14ac:dyDescent="0.2">
      <c r="B56553" t="s">
        <v>333</v>
      </c>
      <c r="D56553" t="s">
        <v>24376</v>
      </c>
    </row>
    <row r="56555" spans="1:4" x14ac:dyDescent="0.2">
      <c r="A56555" t="s">
        <v>17819</v>
      </c>
      <c r="B56555" t="str">
        <f>HYPERLINK("https://lindat.mff.cuni.cz/services/teitok/pdtc10/index.php?action=vallex&amp;frame=v-w7991f1", "vyjímat se (v-w7991f1)")</f>
        <v>vyjímat se (v-w7991f1)</v>
      </c>
    </row>
    <row r="56556" spans="1:4" x14ac:dyDescent="0.2">
      <c r="B56556" t="s">
        <v>1</v>
      </c>
    </row>
    <row r="56557" spans="1:4" x14ac:dyDescent="0.2">
      <c r="B56557" t="s">
        <v>5</v>
      </c>
    </row>
    <row r="56559" spans="1:4" x14ac:dyDescent="0.2">
      <c r="A56559" t="s">
        <v>17820</v>
      </c>
      <c r="B56559" t="str">
        <f>HYPERLINK("https://lindat.mff.cuni.cz/services/teitok/pdtc10/index.php?action=vallex&amp;frame=v-w7994f18", "vyjít (v-w7994f18)")</f>
        <v>vyjít (v-w7994f18)</v>
      </c>
    </row>
    <row r="56560" spans="1:4" x14ac:dyDescent="0.2">
      <c r="B56560" t="s">
        <v>1</v>
      </c>
    </row>
    <row r="56561" spans="1:4" x14ac:dyDescent="0.2">
      <c r="B56561" t="s">
        <v>8</v>
      </c>
    </row>
    <row r="56563" spans="1:4" x14ac:dyDescent="0.2">
      <c r="A56563" t="s">
        <v>17821</v>
      </c>
      <c r="B56563" t="str">
        <f>HYPERLINK("https://lindat.mff.cuni.cz/services/teitok/pdtc10/index.php?action=vallex&amp;frame=v-w7994f20", "vyjít (v-w7994f20)")</f>
        <v>vyjít (v-w7994f20)</v>
      </c>
    </row>
    <row r="56564" spans="1:4" x14ac:dyDescent="0.2">
      <c r="B56564" t="s">
        <v>1</v>
      </c>
      <c r="C56564" t="s">
        <v>17822</v>
      </c>
      <c r="D56564" t="s">
        <v>24217</v>
      </c>
    </row>
    <row r="56565" spans="1:4" x14ac:dyDescent="0.2">
      <c r="B56565" t="s">
        <v>28</v>
      </c>
      <c r="C56565" t="s">
        <v>17823</v>
      </c>
      <c r="D56565" t="s">
        <v>24360</v>
      </c>
    </row>
    <row r="56567" spans="1:4" x14ac:dyDescent="0.2">
      <c r="A56567" t="s">
        <v>17824</v>
      </c>
      <c r="B56567" t="str">
        <f>HYPERLINK("https://lindat.mff.cuni.cz/services/teitok/pdtc10/index.php?action=vallex&amp;frame=v-w7994f17", "vyjít (v-w7994f17)")</f>
        <v>vyjít (v-w7994f17)</v>
      </c>
    </row>
    <row r="56568" spans="1:4" x14ac:dyDescent="0.2">
      <c r="B56568" t="s">
        <v>1</v>
      </c>
    </row>
    <row r="56569" spans="1:4" x14ac:dyDescent="0.2">
      <c r="B56569" t="s">
        <v>28</v>
      </c>
    </row>
    <row r="56571" spans="1:4" x14ac:dyDescent="0.2">
      <c r="A56571" t="s">
        <v>17825</v>
      </c>
      <c r="B56571" t="str">
        <f>HYPERLINK("https://lindat.mff.cuni.cz/services/teitok/pdtc10/index.php?action=vallex&amp;frame=v-w7994f11", "vyjít (v-w7994f11)")</f>
        <v>vyjít (v-w7994f11)</v>
      </c>
    </row>
    <row r="56572" spans="1:4" x14ac:dyDescent="0.2">
      <c r="B56572" t="s">
        <v>1</v>
      </c>
      <c r="C56572" t="s">
        <v>140</v>
      </c>
    </row>
    <row r="56573" spans="1:4" x14ac:dyDescent="0.2">
      <c r="B56573" t="s">
        <v>411</v>
      </c>
    </row>
    <row r="56575" spans="1:4" x14ac:dyDescent="0.2">
      <c r="A56575" t="s">
        <v>17826</v>
      </c>
      <c r="B56575" t="str">
        <f>HYPERLINK("https://lindat.mff.cuni.cz/services/teitok/pdtc10/index.php?action=vallex&amp;frame=v-w7994f19", "vyjít (v-w7994f19)")</f>
        <v>vyjít (v-w7994f19)</v>
      </c>
    </row>
    <row r="56576" spans="1:4" x14ac:dyDescent="0.2">
      <c r="B56576" t="s">
        <v>1</v>
      </c>
    </row>
    <row r="56577" spans="1:4" x14ac:dyDescent="0.2">
      <c r="B56577" t="s">
        <v>411</v>
      </c>
    </row>
    <row r="56579" spans="1:4" x14ac:dyDescent="0.2">
      <c r="A56579" t="s">
        <v>17827</v>
      </c>
      <c r="B56579" t="str">
        <f>HYPERLINK("https://lindat.mff.cuni.cz/services/teitok/pdtc10/index.php?action=vallex&amp;frame=v-w7994f16", "vyjít (v-w7994f16)")</f>
        <v>vyjít (v-w7994f16)</v>
      </c>
    </row>
    <row r="56580" spans="1:4" x14ac:dyDescent="0.2">
      <c r="B56580" t="s">
        <v>1</v>
      </c>
      <c r="C56580" t="s">
        <v>17828</v>
      </c>
      <c r="D56580" t="s">
        <v>23789</v>
      </c>
    </row>
    <row r="56581" spans="1:4" x14ac:dyDescent="0.2">
      <c r="B56581" t="s">
        <v>1258</v>
      </c>
      <c r="C56581" t="s">
        <v>17829</v>
      </c>
      <c r="D56581" t="s">
        <v>23790</v>
      </c>
    </row>
    <row r="56583" spans="1:4" x14ac:dyDescent="0.2">
      <c r="A56583" t="s">
        <v>17830</v>
      </c>
      <c r="B56583" t="str">
        <f>HYPERLINK("https://lindat.mff.cuni.cz/services/teitok/pdtc10/index.php?action=vallex&amp;frame=v-w7994f5", "vyjít (v-w7994f5)")</f>
        <v>vyjít (v-w7994f5)</v>
      </c>
    </row>
    <row r="56584" spans="1:4" x14ac:dyDescent="0.2">
      <c r="B56584" t="s">
        <v>1</v>
      </c>
      <c r="C56584" t="s">
        <v>6280</v>
      </c>
      <c r="D56584" t="s">
        <v>23789</v>
      </c>
    </row>
    <row r="56585" spans="1:4" x14ac:dyDescent="0.2">
      <c r="B56585" t="s">
        <v>168</v>
      </c>
      <c r="C56585" t="s">
        <v>17459</v>
      </c>
      <c r="D56585" t="s">
        <v>23790</v>
      </c>
    </row>
    <row r="56587" spans="1:4" x14ac:dyDescent="0.2">
      <c r="A56587" t="s">
        <v>17831</v>
      </c>
      <c r="B56587" t="str">
        <f>HYPERLINK("https://lindat.mff.cuni.cz/services/teitok/pdtc10/index.php?action=vallex&amp;frame=v-w7994f25_ZU", "vyjít (v-w7994f25_ZU)")</f>
        <v>vyjít (v-w7994f25_ZU)</v>
      </c>
    </row>
    <row r="56588" spans="1:4" x14ac:dyDescent="0.2">
      <c r="B56588" t="s">
        <v>1</v>
      </c>
    </row>
    <row r="56589" spans="1:4" x14ac:dyDescent="0.2">
      <c r="B56589" t="s">
        <v>168</v>
      </c>
    </row>
    <row r="56590" spans="1:4" x14ac:dyDescent="0.2">
      <c r="B56590" t="s">
        <v>346</v>
      </c>
    </row>
    <row r="56591" spans="1:4" x14ac:dyDescent="0.2">
      <c r="B56591" t="s">
        <v>349</v>
      </c>
    </row>
    <row r="56592" spans="1:4" x14ac:dyDescent="0.2">
      <c r="B56592" t="s">
        <v>2009</v>
      </c>
    </row>
    <row r="56594" spans="1:3" x14ac:dyDescent="0.2">
      <c r="A56594" t="s">
        <v>17831</v>
      </c>
      <c r="B56594" t="str">
        <f>HYPERLINK("https://lindat.mff.cuni.cz/services/teitok/pdtc10/index.php?action=vallex&amp;frame=v-w7994f10", "vyjít (v-w7994f10) - substituted with v-w7994f25_ZU")</f>
        <v>vyjít (v-w7994f10) - substituted with v-w7994f25_ZU</v>
      </c>
    </row>
    <row r="56595" spans="1:3" x14ac:dyDescent="0.2">
      <c r="B56595" t="s">
        <v>1</v>
      </c>
      <c r="C56595" t="s">
        <v>2303</v>
      </c>
    </row>
    <row r="56596" spans="1:3" x14ac:dyDescent="0.2">
      <c r="B56596" t="s">
        <v>168</v>
      </c>
    </row>
    <row r="56597" spans="1:3" x14ac:dyDescent="0.2">
      <c r="B56597" t="s">
        <v>346</v>
      </c>
    </row>
    <row r="56598" spans="1:3" x14ac:dyDescent="0.2">
      <c r="B56598" t="s">
        <v>349</v>
      </c>
    </row>
    <row r="56599" spans="1:3" x14ac:dyDescent="0.2">
      <c r="B56599" t="s">
        <v>2009</v>
      </c>
    </row>
    <row r="56601" spans="1:3" x14ac:dyDescent="0.2">
      <c r="A56601" t="s">
        <v>17832</v>
      </c>
      <c r="B56601" t="str">
        <f>HYPERLINK("https://lindat.mff.cuni.cz/services/teitok/pdtc10/index.php?action=vallex&amp;frame=v-w7994f12", "vyjít (v-w7994f12)")</f>
        <v>vyjít (v-w7994f12)</v>
      </c>
    </row>
    <row r="56602" spans="1:3" x14ac:dyDescent="0.2">
      <c r="B56602" t="s">
        <v>1</v>
      </c>
    </row>
    <row r="56603" spans="1:3" x14ac:dyDescent="0.2">
      <c r="B56603" t="s">
        <v>168</v>
      </c>
    </row>
    <row r="56605" spans="1:3" x14ac:dyDescent="0.2">
      <c r="A56605" t="s">
        <v>17833</v>
      </c>
      <c r="B56605" t="str">
        <f>HYPERLINK("https://lindat.mff.cuni.cz/services/teitok/pdtc10/index.php?action=vallex&amp;frame=v-w7994f2", "vyjít (v-w7994f2)")</f>
        <v>vyjít (v-w7994f2)</v>
      </c>
    </row>
    <row r="56606" spans="1:3" x14ac:dyDescent="0.2">
      <c r="B56606" t="s">
        <v>455</v>
      </c>
    </row>
    <row r="56607" spans="1:3" x14ac:dyDescent="0.2">
      <c r="B56607" t="s">
        <v>17834</v>
      </c>
      <c r="C56607" t="s">
        <v>1437</v>
      </c>
    </row>
    <row r="56609" spans="1:4" x14ac:dyDescent="0.2">
      <c r="A56609" t="s">
        <v>17835</v>
      </c>
      <c r="B56609" t="str">
        <f>HYPERLINK("https://lindat.mff.cuni.cz/services/teitok/pdtc10/index.php?action=vallex&amp;frame=v-w7994f15", "vyjít (v-w7994f15)")</f>
        <v>vyjít (v-w7994f15)</v>
      </c>
    </row>
    <row r="56610" spans="1:4" x14ac:dyDescent="0.2">
      <c r="B56610" t="s">
        <v>1</v>
      </c>
    </row>
    <row r="56611" spans="1:4" x14ac:dyDescent="0.2">
      <c r="B56611" t="s">
        <v>86</v>
      </c>
    </row>
    <row r="56613" spans="1:4" x14ac:dyDescent="0.2">
      <c r="A56613" t="s">
        <v>17836</v>
      </c>
      <c r="B56613" t="str">
        <f>HYPERLINK("https://lindat.mff.cuni.cz/services/teitok/pdtc10/index.php?action=vallex&amp;frame=v-w7994f4", "vyjít (v-w7994f4)")</f>
        <v>vyjít (v-w7994f4)</v>
      </c>
    </row>
    <row r="56614" spans="1:4" x14ac:dyDescent="0.2">
      <c r="B56614" t="s">
        <v>1</v>
      </c>
      <c r="C56614" t="s">
        <v>976</v>
      </c>
      <c r="D56614" t="s">
        <v>23091</v>
      </c>
    </row>
    <row r="56615" spans="1:4" x14ac:dyDescent="0.2">
      <c r="B56615" t="s">
        <v>333</v>
      </c>
      <c r="D56615" t="s">
        <v>7666</v>
      </c>
    </row>
    <row r="56617" spans="1:4" x14ac:dyDescent="0.2">
      <c r="A56617" t="s">
        <v>17837</v>
      </c>
      <c r="B56617" t="str">
        <f>HYPERLINK("https://lindat.mff.cuni.cz/services/teitok/pdtc10/index.php?action=vallex&amp;frame=v-w7994f13", "vyjít (v-w7994f13)")</f>
        <v>vyjít (v-w7994f13)</v>
      </c>
    </row>
    <row r="56618" spans="1:4" x14ac:dyDescent="0.2">
      <c r="B56618" t="s">
        <v>1</v>
      </c>
      <c r="C56618" t="s">
        <v>3850</v>
      </c>
      <c r="D56618" t="s">
        <v>23091</v>
      </c>
    </row>
    <row r="56619" spans="1:4" x14ac:dyDescent="0.2">
      <c r="B56619" t="s">
        <v>90</v>
      </c>
    </row>
    <row r="56621" spans="1:4" x14ac:dyDescent="0.2">
      <c r="A56621" t="s">
        <v>17838</v>
      </c>
      <c r="B56621" t="str">
        <f>HYPERLINK("https://lindat.mff.cuni.cz/services/teitok/pdtc10/index.php?action=vallex&amp;frame=v-w7994f6", "vyjít (v-w7994f6)")</f>
        <v>vyjít (v-w7994f6)</v>
      </c>
    </row>
    <row r="56622" spans="1:4" x14ac:dyDescent="0.2">
      <c r="B56622" t="s">
        <v>196</v>
      </c>
    </row>
    <row r="56623" spans="1:4" x14ac:dyDescent="0.2">
      <c r="B56623" t="s">
        <v>524</v>
      </c>
    </row>
    <row r="56624" spans="1:4" x14ac:dyDescent="0.2">
      <c r="B56624" t="s">
        <v>220</v>
      </c>
    </row>
    <row r="56626" spans="1:4" x14ac:dyDescent="0.2">
      <c r="A56626" t="s">
        <v>17839</v>
      </c>
      <c r="B56626" t="str">
        <f>HYPERLINK("https://lindat.mff.cuni.cz/services/teitok/pdtc10/index.php?action=vallex&amp;frame=v-w7994f1", "vyjít (v-w7994f1)")</f>
        <v>vyjít (v-w7994f1)</v>
      </c>
    </row>
    <row r="56627" spans="1:4" x14ac:dyDescent="0.2">
      <c r="B56627" t="s">
        <v>1</v>
      </c>
      <c r="C56627" t="s">
        <v>17840</v>
      </c>
    </row>
    <row r="56629" spans="1:4" x14ac:dyDescent="0.2">
      <c r="A56629" t="s">
        <v>17841</v>
      </c>
      <c r="B56629" t="str">
        <f>HYPERLINK("https://lindat.mff.cuni.cz/services/teitok/pdtc10/index.php?action=vallex&amp;frame=v-w7994f3", "vyjít (v-w7994f3)")</f>
        <v>vyjít (v-w7994f3)</v>
      </c>
    </row>
    <row r="56630" spans="1:4" x14ac:dyDescent="0.2">
      <c r="B56630" t="s">
        <v>1</v>
      </c>
    </row>
    <row r="56632" spans="1:4" x14ac:dyDescent="0.2">
      <c r="A56632" t="s">
        <v>17842</v>
      </c>
      <c r="B56632" t="str">
        <f>HYPERLINK("https://lindat.mff.cuni.cz/services/teitok/pdtc10/index.php?action=vallex&amp;frame=v-w7994f7", "vyjít (v-w7994f7)")</f>
        <v>vyjít (v-w7994f7)</v>
      </c>
    </row>
    <row r="56633" spans="1:4" x14ac:dyDescent="0.2">
      <c r="B56633" t="s">
        <v>1</v>
      </c>
      <c r="C56633" t="s">
        <v>17843</v>
      </c>
      <c r="D56633" t="s">
        <v>23158</v>
      </c>
    </row>
    <row r="56634" spans="1:4" x14ac:dyDescent="0.2">
      <c r="B56634" t="s">
        <v>415</v>
      </c>
      <c r="D56634" t="s">
        <v>23159</v>
      </c>
    </row>
    <row r="56635" spans="1:4" x14ac:dyDescent="0.2">
      <c r="B56635" t="s">
        <v>346</v>
      </c>
      <c r="D56635" t="s">
        <v>23160</v>
      </c>
    </row>
    <row r="56636" spans="1:4" x14ac:dyDescent="0.2">
      <c r="B56636" t="s">
        <v>349</v>
      </c>
      <c r="D56636" t="s">
        <v>23161</v>
      </c>
    </row>
    <row r="56637" spans="1:4" x14ac:dyDescent="0.2">
      <c r="B56637" t="s">
        <v>350</v>
      </c>
      <c r="D56637" t="s">
        <v>23162</v>
      </c>
    </row>
    <row r="56639" spans="1:4" x14ac:dyDescent="0.2">
      <c r="A56639" t="s">
        <v>17844</v>
      </c>
      <c r="B56639" t="str">
        <f>HYPERLINK("https://lindat.mff.cuni.cz/services/teitok/pdtc10/index.php?action=vallex&amp;frame=v-w7994f9", "vyjít (v-w7994f9)")</f>
        <v>vyjít (v-w7994f9)</v>
      </c>
    </row>
    <row r="56640" spans="1:4" x14ac:dyDescent="0.2">
      <c r="B56640" t="s">
        <v>1</v>
      </c>
    </row>
    <row r="56641" spans="1:4" x14ac:dyDescent="0.2">
      <c r="B56641" t="s">
        <v>17473</v>
      </c>
    </row>
    <row r="56642" spans="1:4" x14ac:dyDescent="0.2">
      <c r="B56642" t="s">
        <v>103</v>
      </c>
    </row>
    <row r="56644" spans="1:4" x14ac:dyDescent="0.2">
      <c r="A56644" t="s">
        <v>17845</v>
      </c>
      <c r="B56644" t="str">
        <f>HYPERLINK("https://lindat.mff.cuni.cz/services/teitok/pdtc10/index.php?action=vallex&amp;frame=v-w7994f8", "vyjít (v-w7994f8)")</f>
        <v>vyjít (v-w7994f8)</v>
      </c>
    </row>
    <row r="56645" spans="1:4" x14ac:dyDescent="0.2">
      <c r="B56645" t="s">
        <v>488</v>
      </c>
      <c r="C56645" t="s">
        <v>17846</v>
      </c>
      <c r="D56645" t="s">
        <v>7870</v>
      </c>
    </row>
    <row r="56646" spans="1:4" x14ac:dyDescent="0.2">
      <c r="B56646" t="s">
        <v>2595</v>
      </c>
      <c r="C56646" t="s">
        <v>17847</v>
      </c>
    </row>
    <row r="56648" spans="1:4" x14ac:dyDescent="0.2">
      <c r="A56648" t="s">
        <v>17848</v>
      </c>
      <c r="B56648" t="str">
        <f>HYPERLINK("https://lindat.mff.cuni.cz/services/teitok/pdtc10/index.php?action=vallex&amp;frame=v-w7994f14", "vyjít (v-w7994f14)")</f>
        <v>vyjít (v-w7994f14)</v>
      </c>
    </row>
    <row r="56649" spans="1:4" x14ac:dyDescent="0.2">
      <c r="B56649" t="s">
        <v>1</v>
      </c>
    </row>
    <row r="56650" spans="1:4" x14ac:dyDescent="0.2">
      <c r="B56650" t="s">
        <v>5174</v>
      </c>
    </row>
    <row r="56652" spans="1:4" x14ac:dyDescent="0.2">
      <c r="A56652" t="s">
        <v>17849</v>
      </c>
      <c r="B56652" t="str">
        <f>HYPERLINK("https://lindat.mff.cuni.cz/services/teitok/pdtc10/index.php?action=vallex&amp;frame=v-w7994f21_ZU", "vyjít (v-w7994f21_ZU)")</f>
        <v>vyjít (v-w7994f21_ZU)</v>
      </c>
    </row>
    <row r="56653" spans="1:4" x14ac:dyDescent="0.2">
      <c r="B56653" t="s">
        <v>1</v>
      </c>
    </row>
    <row r="56654" spans="1:4" x14ac:dyDescent="0.2">
      <c r="B56654" t="s">
        <v>17850</v>
      </c>
    </row>
    <row r="56656" spans="1:4" x14ac:dyDescent="0.2">
      <c r="A56656" t="s">
        <v>17851</v>
      </c>
      <c r="B56656" t="str">
        <f>HYPERLINK("https://lindat.mff.cuni.cz/services/teitok/pdtc10/index.php?action=vallex&amp;frame=v-w7994f22_ZU", "vyjít (v-w7994f22_ZU)")</f>
        <v>vyjít (v-w7994f22_ZU)</v>
      </c>
    </row>
    <row r="56657" spans="1:2" x14ac:dyDescent="0.2">
      <c r="B56657" t="s">
        <v>1</v>
      </c>
    </row>
    <row r="56658" spans="1:2" x14ac:dyDescent="0.2">
      <c r="B56658" t="s">
        <v>17852</v>
      </c>
    </row>
    <row r="56660" spans="1:2" x14ac:dyDescent="0.2">
      <c r="A56660" t="s">
        <v>17851</v>
      </c>
      <c r="B56660" t="str">
        <f>HYPERLINK("https://lindat.mff.cuni.cz/services/teitok/pdtc10/index.php?action=vallex&amp;frame=v-w7994hsa_557", "vyjít (v-w7994hsa_557) - substituted with v-w7994f22_ZU")</f>
        <v>vyjít (v-w7994hsa_557) - substituted with v-w7994f22_ZU</v>
      </c>
    </row>
    <row r="56661" spans="1:2" x14ac:dyDescent="0.2">
      <c r="B56661" t="s">
        <v>1</v>
      </c>
    </row>
    <row r="56662" spans="1:2" x14ac:dyDescent="0.2">
      <c r="B56662" t="s">
        <v>17852</v>
      </c>
    </row>
    <row r="56664" spans="1:2" x14ac:dyDescent="0.2">
      <c r="A56664" t="s">
        <v>17853</v>
      </c>
      <c r="B56664" t="str">
        <f>HYPERLINK("https://lindat.mff.cuni.cz/services/teitok/pdtc10/index.php?action=vallex&amp;frame=v-w7994f23_ZU", "vyjít (v-w7994f23_ZU)")</f>
        <v>vyjít (v-w7994f23_ZU)</v>
      </c>
    </row>
    <row r="56665" spans="1:2" x14ac:dyDescent="0.2">
      <c r="B56665" t="s">
        <v>1</v>
      </c>
    </row>
    <row r="56666" spans="1:2" x14ac:dyDescent="0.2">
      <c r="B56666" t="s">
        <v>17479</v>
      </c>
    </row>
    <row r="56668" spans="1:2" x14ac:dyDescent="0.2">
      <c r="A56668" t="s">
        <v>17853</v>
      </c>
      <c r="B56668" t="str">
        <f>HYPERLINK("https://lindat.mff.cuni.cz/services/teitok/pdtc10/index.php?action=vallex&amp;frame=v-w7994hsa_1542", "vyjít (v-w7994hsa_1542) - substituted with v-w7994f23_ZU")</f>
        <v>vyjít (v-w7994hsa_1542) - substituted with v-w7994f23_ZU</v>
      </c>
    </row>
    <row r="56669" spans="1:2" x14ac:dyDescent="0.2">
      <c r="B56669" t="s">
        <v>1</v>
      </c>
    </row>
    <row r="56670" spans="1:2" x14ac:dyDescent="0.2">
      <c r="B56670" t="s">
        <v>17479</v>
      </c>
    </row>
    <row r="56672" spans="1:2" x14ac:dyDescent="0.2">
      <c r="A56672" t="s">
        <v>17854</v>
      </c>
      <c r="B56672" t="str">
        <f>HYPERLINK("https://lindat.mff.cuni.cz/services/teitok/pdtc10/index.php?action=vallex&amp;frame=v-w7994f24_ZU", "vyjít (v-w7994f24_ZU)")</f>
        <v>vyjít (v-w7994f24_ZU)</v>
      </c>
    </row>
    <row r="56673" spans="1:2" x14ac:dyDescent="0.2">
      <c r="B56673" t="s">
        <v>1</v>
      </c>
    </row>
    <row r="56674" spans="1:2" x14ac:dyDescent="0.2">
      <c r="B56674" t="s">
        <v>17855</v>
      </c>
    </row>
    <row r="56676" spans="1:2" x14ac:dyDescent="0.2">
      <c r="A56676" t="s">
        <v>17856</v>
      </c>
      <c r="B56676" t="str">
        <f>HYPERLINK("https://lindat.mff.cuni.cz/services/teitok/pdtc10/index.php?action=vallex&amp;frame=v-w11681_ZUf2_ZU", "vyjít si (v-w11681_ZUf2_ZU)")</f>
        <v>vyjít si (v-w11681_ZUf2_ZU)</v>
      </c>
    </row>
    <row r="56677" spans="1:2" x14ac:dyDescent="0.2">
      <c r="B56677" t="s">
        <v>1</v>
      </c>
    </row>
    <row r="56678" spans="1:2" x14ac:dyDescent="0.2">
      <c r="B56678" t="s">
        <v>252</v>
      </c>
    </row>
    <row r="56680" spans="1:2" x14ac:dyDescent="0.2">
      <c r="A56680" t="s">
        <v>17856</v>
      </c>
      <c r="B56680" t="str">
        <f>HYPERLINK("https://lindat.mff.cuni.cz/services/teitok/pdtc10/index.php?action=vallex&amp;frame=v-w11681_ZUf1_ZU", "vyjít si (v-w11681_ZUf1_ZU) - substituted with v-w11681_ZUf2_ZU")</f>
        <v>vyjít si (v-w11681_ZUf1_ZU) - substituted with v-w11681_ZUf2_ZU</v>
      </c>
    </row>
    <row r="56681" spans="1:2" x14ac:dyDescent="0.2">
      <c r="B56681" t="s">
        <v>1</v>
      </c>
    </row>
    <row r="56682" spans="1:2" x14ac:dyDescent="0.2">
      <c r="B56682" t="s">
        <v>252</v>
      </c>
    </row>
    <row r="56684" spans="1:2" x14ac:dyDescent="0.2">
      <c r="A56684" t="s">
        <v>17857</v>
      </c>
      <c r="B56684" t="str">
        <f>HYPERLINK("https://lindat.mff.cuni.cz/services/teitok/pdtc10/index.php?action=vallex&amp;frame=v-w7996f2", "vyjíždět (v-w7996f2)")</f>
        <v>vyjíždět (v-w7996f2)</v>
      </c>
    </row>
    <row r="56685" spans="1:2" x14ac:dyDescent="0.2">
      <c r="B56685" t="s">
        <v>1</v>
      </c>
    </row>
    <row r="56686" spans="1:2" x14ac:dyDescent="0.2">
      <c r="B56686" t="s">
        <v>333</v>
      </c>
    </row>
    <row r="56688" spans="1:2" x14ac:dyDescent="0.2">
      <c r="A56688" t="s">
        <v>17858</v>
      </c>
      <c r="B56688" t="str">
        <f>HYPERLINK("https://lindat.mff.cuni.cz/services/teitok/pdtc10/index.php?action=vallex&amp;frame=v-w7996f1", "vyjíždět (v-w7996f1)")</f>
        <v>vyjíždět (v-w7996f1)</v>
      </c>
    </row>
    <row r="56689" spans="1:2" x14ac:dyDescent="0.2">
      <c r="B56689" t="s">
        <v>1</v>
      </c>
    </row>
    <row r="56690" spans="1:2" x14ac:dyDescent="0.2">
      <c r="B56690" t="s">
        <v>90</v>
      </c>
    </row>
    <row r="56692" spans="1:2" x14ac:dyDescent="0.2">
      <c r="A56692" t="s">
        <v>17859</v>
      </c>
      <c r="B56692" t="str">
        <f>HYPERLINK("https://lindat.mff.cuni.cz/services/teitok/pdtc10/index.php?action=vallex&amp;frame=v-w7996f3_ZU", "vyjíždět (v-w7996f3_ZU)")</f>
        <v>vyjíždět (v-w7996f3_ZU)</v>
      </c>
    </row>
    <row r="56693" spans="1:2" x14ac:dyDescent="0.2">
      <c r="B56693" t="s">
        <v>1</v>
      </c>
    </row>
    <row r="56694" spans="1:2" x14ac:dyDescent="0.2">
      <c r="B56694" t="s">
        <v>252</v>
      </c>
    </row>
    <row r="56696" spans="1:2" x14ac:dyDescent="0.2">
      <c r="A56696" t="s">
        <v>17860</v>
      </c>
      <c r="B56696" t="str">
        <f>HYPERLINK("https://lindat.mff.cuni.cz/services/teitok/pdtc10/index.php?action=vallex&amp;frame=v-w7996hsa_370", "vyjíždět (v-w7996hsa_370)")</f>
        <v>vyjíždět (v-w7996hsa_370)</v>
      </c>
    </row>
    <row r="56697" spans="1:2" x14ac:dyDescent="0.2">
      <c r="B56697" t="s">
        <v>1</v>
      </c>
    </row>
    <row r="56698" spans="1:2" x14ac:dyDescent="0.2">
      <c r="B56698" t="s">
        <v>8</v>
      </c>
    </row>
    <row r="56700" spans="1:2" x14ac:dyDescent="0.2">
      <c r="A56700" t="s">
        <v>17861</v>
      </c>
      <c r="B56700" t="str">
        <f>HYPERLINK("https://lindat.mff.cuni.cz/services/teitok/pdtc10/index.php?action=vallex&amp;frame=v-w12171_ZUf1_ZU", "vyjíždět si (v-w12171_ZUf1_ZU)")</f>
        <v>vyjíždět si (v-w12171_ZUf1_ZU)</v>
      </c>
    </row>
    <row r="56701" spans="1:2" x14ac:dyDescent="0.2">
      <c r="B56701" t="s">
        <v>1</v>
      </c>
    </row>
    <row r="56702" spans="1:2" x14ac:dyDescent="0.2">
      <c r="B56702" t="s">
        <v>252</v>
      </c>
    </row>
    <row r="56704" spans="1:2" x14ac:dyDescent="0.2">
      <c r="A56704" t="s">
        <v>17862</v>
      </c>
      <c r="B56704" t="str">
        <f>HYPERLINK("https://lindat.mff.cuni.cz/services/teitok/pdtc10/index.php?action=vallex&amp;frame=v-w10930f2", "vykalkulovat (v-w10930f2)")</f>
        <v>vykalkulovat (v-w10930f2)</v>
      </c>
    </row>
    <row r="56705" spans="1:4" x14ac:dyDescent="0.2">
      <c r="B56705" t="s">
        <v>1</v>
      </c>
      <c r="C56705" t="s">
        <v>109</v>
      </c>
      <c r="D56705" t="s">
        <v>10633</v>
      </c>
    </row>
    <row r="56706" spans="1:4" x14ac:dyDescent="0.2">
      <c r="B56706" t="s">
        <v>1284</v>
      </c>
      <c r="C56706" t="s">
        <v>359</v>
      </c>
      <c r="D56706" t="s">
        <v>93</v>
      </c>
    </row>
    <row r="56707" spans="1:4" x14ac:dyDescent="0.2">
      <c r="B56707" t="s">
        <v>24</v>
      </c>
    </row>
    <row r="56709" spans="1:4" x14ac:dyDescent="0.2">
      <c r="A56709" t="s">
        <v>17863</v>
      </c>
      <c r="B56709" t="str">
        <f>HYPERLINK("https://lindat.mff.cuni.cz/services/teitok/pdtc10/index.php?action=vallex&amp;frame=v-whsa_1845hsa_1846", "vykat (v-whsa_1845hsa_1846)")</f>
        <v>vykat (v-whsa_1845hsa_1846)</v>
      </c>
    </row>
    <row r="56710" spans="1:4" x14ac:dyDescent="0.2">
      <c r="B56710" t="s">
        <v>1</v>
      </c>
    </row>
    <row r="56711" spans="1:4" x14ac:dyDescent="0.2">
      <c r="B56711" t="s">
        <v>103</v>
      </c>
    </row>
    <row r="56713" spans="1:4" x14ac:dyDescent="0.2">
      <c r="A56713" t="s">
        <v>17864</v>
      </c>
      <c r="B56713" t="str">
        <f>HYPERLINK("https://lindat.mff.cuni.cz/services/teitok/pdtc10/index.php?action=vallex&amp;frame=v-w8004f1", "vykazovat (v-w8004f1)")</f>
        <v>vykazovat (v-w8004f1)</v>
      </c>
    </row>
    <row r="56714" spans="1:4" x14ac:dyDescent="0.2">
      <c r="B56714" t="s">
        <v>1</v>
      </c>
      <c r="C56714" t="s">
        <v>17865</v>
      </c>
      <c r="D56714" t="s">
        <v>294</v>
      </c>
    </row>
    <row r="56715" spans="1:4" x14ac:dyDescent="0.2">
      <c r="B56715" t="s">
        <v>124</v>
      </c>
      <c r="C56715" t="s">
        <v>17866</v>
      </c>
      <c r="D56715" t="s">
        <v>5666</v>
      </c>
    </row>
    <row r="56716" spans="1:4" x14ac:dyDescent="0.2">
      <c r="B56716" t="s">
        <v>78</v>
      </c>
      <c r="C56716" t="s">
        <v>17867</v>
      </c>
    </row>
    <row r="56718" spans="1:4" x14ac:dyDescent="0.2">
      <c r="A56718" t="s">
        <v>17868</v>
      </c>
      <c r="B56718" t="str">
        <f>HYPERLINK("https://lindat.mff.cuni.cz/services/teitok/pdtc10/index.php?action=vallex&amp;frame=v-w8004f2_ZU", "vykazovat (v-w8004f2_ZU)")</f>
        <v>vykazovat (v-w8004f2_ZU)</v>
      </c>
    </row>
    <row r="56719" spans="1:4" x14ac:dyDescent="0.2">
      <c r="B56719" t="s">
        <v>1</v>
      </c>
      <c r="D56719" t="s">
        <v>6131</v>
      </c>
    </row>
    <row r="56720" spans="1:4" x14ac:dyDescent="0.2">
      <c r="B56720" t="s">
        <v>8</v>
      </c>
      <c r="D56720" t="s">
        <v>18247</v>
      </c>
    </row>
    <row r="56721" spans="1:4" x14ac:dyDescent="0.2">
      <c r="B56721" t="s">
        <v>333</v>
      </c>
      <c r="D56721" t="s">
        <v>23090</v>
      </c>
    </row>
    <row r="56723" spans="1:4" x14ac:dyDescent="0.2">
      <c r="A56723" t="s">
        <v>17869</v>
      </c>
      <c r="B56723" t="str">
        <f>HYPERLINK("https://lindat.mff.cuni.cz/services/teitok/pdtc10/index.php?action=vallex&amp;frame=v-w8004f3_ZU", "vykazovat (v-w8004f3_ZU)")</f>
        <v>vykazovat (v-w8004f3_ZU)</v>
      </c>
    </row>
    <row r="56724" spans="1:4" x14ac:dyDescent="0.2">
      <c r="B56724" t="s">
        <v>1</v>
      </c>
      <c r="C56724" t="s">
        <v>119</v>
      </c>
    </row>
    <row r="56725" spans="1:4" x14ac:dyDescent="0.2">
      <c r="B56725" t="s">
        <v>8</v>
      </c>
      <c r="C56725" t="s">
        <v>17509</v>
      </c>
    </row>
    <row r="56727" spans="1:4" x14ac:dyDescent="0.2">
      <c r="A56727" t="s">
        <v>17870</v>
      </c>
      <c r="B56727" t="str">
        <f>HYPERLINK("https://lindat.mff.cuni.cz/services/teitok/pdtc10/index.php?action=vallex&amp;frame=v-w10389f3_ZU", "vykašlat (v-w10389f3_ZU)")</f>
        <v>vykašlat (v-w10389f3_ZU)</v>
      </c>
    </row>
    <row r="56728" spans="1:4" x14ac:dyDescent="0.2">
      <c r="B56728" t="s">
        <v>1</v>
      </c>
      <c r="C56728" t="s">
        <v>133</v>
      </c>
      <c r="D56728" t="s">
        <v>133</v>
      </c>
    </row>
    <row r="56729" spans="1:4" x14ac:dyDescent="0.2">
      <c r="B56729" t="s">
        <v>8</v>
      </c>
      <c r="C56729" t="s">
        <v>84</v>
      </c>
      <c r="D56729" t="s">
        <v>84</v>
      </c>
    </row>
    <row r="56731" spans="1:4" x14ac:dyDescent="0.2">
      <c r="A56731" t="s">
        <v>17870</v>
      </c>
      <c r="B56731" t="str">
        <f>HYPERLINK("https://lindat.mff.cuni.cz/services/teitok/pdtc10/index.php?action=vallex&amp;frame=v-w10389f2", "vykašlat (v-w10389f2) - substituted with v-w10389f3_ZU")</f>
        <v>vykašlat (v-w10389f2) - substituted with v-w10389f3_ZU</v>
      </c>
    </row>
    <row r="56732" spans="1:4" x14ac:dyDescent="0.2">
      <c r="B56732" t="s">
        <v>1</v>
      </c>
    </row>
    <row r="56733" spans="1:4" x14ac:dyDescent="0.2">
      <c r="B56733" t="s">
        <v>8</v>
      </c>
    </row>
    <row r="56735" spans="1:4" x14ac:dyDescent="0.2">
      <c r="A56735" t="s">
        <v>17871</v>
      </c>
      <c r="B56735" t="str">
        <f>HYPERLINK("https://lindat.mff.cuni.cz/services/teitok/pdtc10/index.php?action=vallex&amp;frame=v-whsa_1454f1_ZU", "vykašlat se (v-whsa_1454f1_ZU)")</f>
        <v>vykašlat se (v-whsa_1454f1_ZU)</v>
      </c>
    </row>
    <row r="56736" spans="1:4" x14ac:dyDescent="0.2">
      <c r="B56736" t="s">
        <v>1</v>
      </c>
    </row>
    <row r="56737" spans="1:3" x14ac:dyDescent="0.2">
      <c r="B56737" t="s">
        <v>28</v>
      </c>
    </row>
    <row r="56739" spans="1:3" x14ac:dyDescent="0.2">
      <c r="A56739" t="s">
        <v>17871</v>
      </c>
      <c r="B56739" t="str">
        <f>HYPERLINK("https://lindat.mff.cuni.cz/services/teitok/pdtc10/index.php?action=vallex&amp;frame=v-whsa_1454hsa_1455", "vykašlat se (v-whsa_1454hsa_1455) - substituted with v-whsa_1454f1_ZU")</f>
        <v>vykašlat se (v-whsa_1454hsa_1455) - substituted with v-whsa_1454f1_ZU</v>
      </c>
    </row>
    <row r="56740" spans="1:3" x14ac:dyDescent="0.2">
      <c r="B56740" t="s">
        <v>1</v>
      </c>
    </row>
    <row r="56741" spans="1:3" x14ac:dyDescent="0.2">
      <c r="B56741" t="s">
        <v>28</v>
      </c>
    </row>
    <row r="56743" spans="1:3" x14ac:dyDescent="0.2">
      <c r="A56743" t="s">
        <v>17872</v>
      </c>
      <c r="B56743" t="str">
        <f>HYPERLINK("https://lindat.mff.cuni.cz/services/teitok/pdtc10/index.php?action=vallex&amp;frame=v-w10090f2", "vykecat (v-w10090f2)")</f>
        <v>vykecat (v-w10090f2)</v>
      </c>
    </row>
    <row r="56744" spans="1:3" x14ac:dyDescent="0.2">
      <c r="B56744" t="s">
        <v>1</v>
      </c>
      <c r="C56744" t="s">
        <v>140</v>
      </c>
    </row>
    <row r="56745" spans="1:3" x14ac:dyDescent="0.2">
      <c r="B56745" t="s">
        <v>35</v>
      </c>
    </row>
    <row r="56746" spans="1:3" x14ac:dyDescent="0.2">
      <c r="B56746" t="s">
        <v>11008</v>
      </c>
      <c r="C56746" t="s">
        <v>268</v>
      </c>
    </row>
    <row r="56747" spans="1:3" x14ac:dyDescent="0.2">
      <c r="B56747" t="s">
        <v>11010</v>
      </c>
    </row>
    <row r="56749" spans="1:3" x14ac:dyDescent="0.2">
      <c r="A56749" t="s">
        <v>17873</v>
      </c>
      <c r="B56749" t="str">
        <f>HYPERLINK("https://lindat.mff.cuni.cz/services/teitok/pdtc10/index.php?action=vallex&amp;frame=v-w10090hsa_98", "vykecat (v-w10090hsa_98)")</f>
        <v>vykecat (v-w10090hsa_98)</v>
      </c>
    </row>
    <row r="56750" spans="1:3" x14ac:dyDescent="0.2">
      <c r="B56750" t="s">
        <v>1</v>
      </c>
    </row>
    <row r="56751" spans="1:3" x14ac:dyDescent="0.2">
      <c r="B56751" t="s">
        <v>8</v>
      </c>
    </row>
    <row r="56752" spans="1:3" x14ac:dyDescent="0.2">
      <c r="B56752" t="s">
        <v>321</v>
      </c>
    </row>
    <row r="56754" spans="1:2" x14ac:dyDescent="0.2">
      <c r="A56754" t="s">
        <v>17874</v>
      </c>
      <c r="B56754" t="str">
        <f>HYPERLINK("https://lindat.mff.cuni.cz/services/teitok/pdtc10/index.php?action=vallex&amp;frame=v-whsa_1385f1_ZU", "vykecat se (v-whsa_1385f1_ZU)")</f>
        <v>vykecat se (v-whsa_1385f1_ZU)</v>
      </c>
    </row>
    <row r="56755" spans="1:2" x14ac:dyDescent="0.2">
      <c r="B56755" t="s">
        <v>1</v>
      </c>
    </row>
    <row r="56756" spans="1:2" x14ac:dyDescent="0.2">
      <c r="B56756" t="s">
        <v>438</v>
      </c>
    </row>
    <row r="56758" spans="1:2" x14ac:dyDescent="0.2">
      <c r="A56758" t="s">
        <v>17874</v>
      </c>
      <c r="B56758" t="str">
        <f>HYPERLINK("https://lindat.mff.cuni.cz/services/teitok/pdtc10/index.php?action=vallex&amp;frame=v-whsa_1385hsa_1386", "vykecat se (v-whsa_1385hsa_1386) - substituted with v-whsa_1385f1_ZU")</f>
        <v>vykecat se (v-whsa_1385hsa_1386) - substituted with v-whsa_1385f1_ZU</v>
      </c>
    </row>
    <row r="56759" spans="1:2" x14ac:dyDescent="0.2">
      <c r="B56759" t="s">
        <v>1</v>
      </c>
    </row>
    <row r="56760" spans="1:2" x14ac:dyDescent="0.2">
      <c r="B56760" t="s">
        <v>438</v>
      </c>
    </row>
    <row r="56762" spans="1:2" x14ac:dyDescent="0.2">
      <c r="A56762" t="s">
        <v>17875</v>
      </c>
      <c r="B56762" t="str">
        <f>HYPERLINK("https://lindat.mff.cuni.cz/services/teitok/pdtc10/index.php?action=vallex&amp;frame=v-w11854_ZUf2_ZU", "vyklepat (v-w11854_ZUf2_ZU)")</f>
        <v>vyklepat (v-w11854_ZUf2_ZU)</v>
      </c>
    </row>
    <row r="56763" spans="1:2" x14ac:dyDescent="0.2">
      <c r="B56763" t="s">
        <v>1</v>
      </c>
    </row>
    <row r="56764" spans="1:2" x14ac:dyDescent="0.2">
      <c r="B56764" t="s">
        <v>8</v>
      </c>
    </row>
    <row r="56765" spans="1:2" x14ac:dyDescent="0.2">
      <c r="B56765" t="s">
        <v>321</v>
      </c>
    </row>
    <row r="56767" spans="1:2" x14ac:dyDescent="0.2">
      <c r="A56767" t="s">
        <v>17875</v>
      </c>
      <c r="B56767" t="str">
        <f>HYPERLINK("https://lindat.mff.cuni.cz/services/teitok/pdtc10/index.php?action=vallex&amp;frame=v-w11854_ZUf1_ZU", "vyklepat (v-w11854_ZUf1_ZU) - substituted with v-w11854_ZUf2_ZU")</f>
        <v>vyklepat (v-w11854_ZUf1_ZU) - substituted with v-w11854_ZUf2_ZU</v>
      </c>
    </row>
    <row r="56768" spans="1:2" x14ac:dyDescent="0.2">
      <c r="B56768" t="s">
        <v>1</v>
      </c>
    </row>
    <row r="56769" spans="1:3" x14ac:dyDescent="0.2">
      <c r="B56769" t="s">
        <v>8</v>
      </c>
    </row>
    <row r="56770" spans="1:3" x14ac:dyDescent="0.2">
      <c r="B56770" t="s">
        <v>321</v>
      </c>
    </row>
    <row r="56772" spans="1:3" x14ac:dyDescent="0.2">
      <c r="A56772" t="s">
        <v>17876</v>
      </c>
      <c r="B56772" t="str">
        <f>HYPERLINK("https://lindat.mff.cuni.cz/services/teitok/pdtc10/index.php?action=vallex&amp;frame=v-w8010f1", "vyklidit (v-w8010f1)")</f>
        <v>vyklidit (v-w8010f1)</v>
      </c>
    </row>
    <row r="56773" spans="1:3" x14ac:dyDescent="0.2">
      <c r="B56773" t="s">
        <v>1</v>
      </c>
    </row>
    <row r="56774" spans="1:3" x14ac:dyDescent="0.2">
      <c r="B56774" t="s">
        <v>8</v>
      </c>
    </row>
    <row r="56776" spans="1:3" x14ac:dyDescent="0.2">
      <c r="A56776" t="s">
        <v>17877</v>
      </c>
      <c r="B56776" t="str">
        <f>HYPERLINK("https://lindat.mff.cuni.cz/services/teitok/pdtc10/index.php?action=vallex&amp;frame=v-w8010f2", "vyklidit (v-w8010f2)")</f>
        <v>vyklidit (v-w8010f2)</v>
      </c>
    </row>
    <row r="56777" spans="1:3" x14ac:dyDescent="0.2">
      <c r="B56777" t="s">
        <v>1</v>
      </c>
      <c r="C56777" t="s">
        <v>133</v>
      </c>
    </row>
    <row r="56778" spans="1:3" x14ac:dyDescent="0.2">
      <c r="B56778" t="s">
        <v>8</v>
      </c>
      <c r="C56778" t="s">
        <v>17878</v>
      </c>
    </row>
    <row r="56780" spans="1:3" x14ac:dyDescent="0.2">
      <c r="A56780" t="s">
        <v>17879</v>
      </c>
      <c r="B56780" t="str">
        <f>HYPERLINK("https://lindat.mff.cuni.cz/services/teitok/pdtc10/index.php?action=vallex&amp;frame=v-w8013f1", "vyklopit (v-w8013f1)")</f>
        <v>vyklopit (v-w8013f1)</v>
      </c>
    </row>
    <row r="56781" spans="1:3" x14ac:dyDescent="0.2">
      <c r="B56781" t="s">
        <v>1</v>
      </c>
    </row>
    <row r="56782" spans="1:3" x14ac:dyDescent="0.2">
      <c r="B56782" t="s">
        <v>8</v>
      </c>
    </row>
    <row r="56783" spans="1:3" x14ac:dyDescent="0.2">
      <c r="B56783" t="s">
        <v>78</v>
      </c>
    </row>
    <row r="56784" spans="1:3" x14ac:dyDescent="0.2">
      <c r="B56784" t="s">
        <v>413</v>
      </c>
    </row>
    <row r="56786" spans="1:4" x14ac:dyDescent="0.2">
      <c r="A56786" t="s">
        <v>17880</v>
      </c>
      <c r="B56786" t="str">
        <f>HYPERLINK("https://lindat.mff.cuni.cz/services/teitok/pdtc10/index.php?action=vallex&amp;frame=v-w8013f2", "vyklopit (v-w8013f2)")</f>
        <v>vyklopit (v-w8013f2)</v>
      </c>
    </row>
    <row r="56787" spans="1:4" x14ac:dyDescent="0.2">
      <c r="B56787" t="s">
        <v>1</v>
      </c>
      <c r="C56787" t="s">
        <v>133</v>
      </c>
      <c r="D56787" t="s">
        <v>23164</v>
      </c>
    </row>
    <row r="56788" spans="1:4" x14ac:dyDescent="0.2">
      <c r="B56788" t="s">
        <v>524</v>
      </c>
      <c r="D56788" t="s">
        <v>23169</v>
      </c>
    </row>
    <row r="56789" spans="1:4" x14ac:dyDescent="0.2">
      <c r="B56789" t="s">
        <v>1382</v>
      </c>
      <c r="C56789" t="s">
        <v>84</v>
      </c>
    </row>
    <row r="56790" spans="1:4" x14ac:dyDescent="0.2">
      <c r="B56790" t="s">
        <v>78</v>
      </c>
      <c r="D56790" t="s">
        <v>23166</v>
      </c>
    </row>
    <row r="56792" spans="1:4" x14ac:dyDescent="0.2">
      <c r="A56792" t="s">
        <v>17881</v>
      </c>
      <c r="B56792" t="str">
        <f>HYPERLINK("https://lindat.mff.cuni.cz/services/teitok/pdtc10/index.php?action=vallex&amp;frame=v-w8013f3_ZU", "vyklopit (v-w8013f3_ZU)")</f>
        <v>vyklopit (v-w8013f3_ZU)</v>
      </c>
    </row>
    <row r="56793" spans="1:4" x14ac:dyDescent="0.2">
      <c r="B56793" t="s">
        <v>1</v>
      </c>
      <c r="C56793" t="s">
        <v>133</v>
      </c>
    </row>
    <row r="56794" spans="1:4" x14ac:dyDescent="0.2">
      <c r="B56794" t="s">
        <v>78</v>
      </c>
    </row>
    <row r="56795" spans="1:4" x14ac:dyDescent="0.2">
      <c r="B56795" t="s">
        <v>269</v>
      </c>
    </row>
    <row r="56796" spans="1:4" x14ac:dyDescent="0.2">
      <c r="B56796" t="s">
        <v>4751</v>
      </c>
      <c r="C56796" t="s">
        <v>9157</v>
      </c>
    </row>
    <row r="56798" spans="1:4" x14ac:dyDescent="0.2">
      <c r="A56798" t="s">
        <v>17882</v>
      </c>
      <c r="B56798" t="str">
        <f>HYPERLINK("https://lindat.mff.cuni.cz/services/teitok/pdtc10/index.php?action=vallex&amp;frame=v-w8014f1", "vykloubit (v-w8014f1)")</f>
        <v>vykloubit (v-w8014f1)</v>
      </c>
    </row>
    <row r="56799" spans="1:4" x14ac:dyDescent="0.2">
      <c r="B56799" t="s">
        <v>1</v>
      </c>
    </row>
    <row r="56800" spans="1:4" x14ac:dyDescent="0.2">
      <c r="B56800" t="s">
        <v>8</v>
      </c>
    </row>
    <row r="56802" spans="1:4" x14ac:dyDescent="0.2">
      <c r="A56802" t="s">
        <v>17883</v>
      </c>
      <c r="B56802" t="str">
        <f>HYPERLINK("https://lindat.mff.cuni.cz/services/teitok/pdtc10/index.php?action=vallex&amp;frame=v-w10321f2", "vyklouznout (v-w10321f2)")</f>
        <v>vyklouznout (v-w10321f2)</v>
      </c>
    </row>
    <row r="56803" spans="1:4" x14ac:dyDescent="0.2">
      <c r="B56803" t="s">
        <v>1</v>
      </c>
      <c r="C56803" t="s">
        <v>147</v>
      </c>
    </row>
    <row r="56804" spans="1:4" x14ac:dyDescent="0.2">
      <c r="B56804" t="s">
        <v>333</v>
      </c>
    </row>
    <row r="56806" spans="1:4" x14ac:dyDescent="0.2">
      <c r="A56806" t="s">
        <v>17884</v>
      </c>
      <c r="B56806" t="str">
        <f>HYPERLINK("https://lindat.mff.cuni.cz/services/teitok/pdtc10/index.php?action=vallex&amp;frame=v-w8015f1", "vyklubat se (v-w8015f1)")</f>
        <v>vyklubat se (v-w8015f1)</v>
      </c>
    </row>
    <row r="56807" spans="1:4" x14ac:dyDescent="0.2">
      <c r="B56807" t="s">
        <v>1</v>
      </c>
      <c r="C56807" t="s">
        <v>17885</v>
      </c>
    </row>
    <row r="56808" spans="1:4" x14ac:dyDescent="0.2">
      <c r="B56808" t="s">
        <v>168</v>
      </c>
    </row>
    <row r="56810" spans="1:4" x14ac:dyDescent="0.2">
      <c r="A56810" t="s">
        <v>17886</v>
      </c>
      <c r="B56810" t="str">
        <f>HYPERLINK("https://lindat.mff.cuni.cz/services/teitok/pdtc10/index.php?action=vallex&amp;frame=v-w8016f1", "vyklusávat (v-w8016f1)")</f>
        <v>vyklusávat (v-w8016f1)</v>
      </c>
    </row>
    <row r="56811" spans="1:4" x14ac:dyDescent="0.2">
      <c r="B56811" t="s">
        <v>1</v>
      </c>
    </row>
    <row r="56813" spans="1:4" x14ac:dyDescent="0.2">
      <c r="A56813" t="s">
        <v>17887</v>
      </c>
      <c r="B56813" t="str">
        <f>HYPERLINK("https://lindat.mff.cuni.cz/services/teitok/pdtc10/index.php?action=vallex&amp;frame=v-w8008f4", "vykládat (v-w8008f4)")</f>
        <v>vykládat (v-w8008f4)</v>
      </c>
    </row>
    <row r="56814" spans="1:4" x14ac:dyDescent="0.2">
      <c r="B56814" t="s">
        <v>1</v>
      </c>
      <c r="D56814" t="s">
        <v>4634</v>
      </c>
    </row>
    <row r="56815" spans="1:4" x14ac:dyDescent="0.2">
      <c r="B56815" t="s">
        <v>6701</v>
      </c>
      <c r="D56815" t="s">
        <v>23883</v>
      </c>
    </row>
    <row r="56816" spans="1:4" x14ac:dyDescent="0.2">
      <c r="B56816" t="s">
        <v>35</v>
      </c>
      <c r="D56816" t="s">
        <v>18432</v>
      </c>
    </row>
    <row r="56818" spans="1:4" x14ac:dyDescent="0.2">
      <c r="A56818" t="s">
        <v>17888</v>
      </c>
      <c r="B56818" t="str">
        <f>HYPERLINK("https://lindat.mff.cuni.cz/services/teitok/pdtc10/index.php?action=vallex&amp;frame=v-w8008f3", "vykládat (v-w8008f3)")</f>
        <v>vykládat (v-w8008f3)</v>
      </c>
    </row>
    <row r="56819" spans="1:4" x14ac:dyDescent="0.2">
      <c r="B56819" t="s">
        <v>1</v>
      </c>
      <c r="D56819" t="s">
        <v>4634</v>
      </c>
    </row>
    <row r="56820" spans="1:4" x14ac:dyDescent="0.2">
      <c r="B56820" t="s">
        <v>183</v>
      </c>
      <c r="D56820" t="s">
        <v>23883</v>
      </c>
    </row>
    <row r="56821" spans="1:4" x14ac:dyDescent="0.2">
      <c r="B56821" t="s">
        <v>35</v>
      </c>
      <c r="D56821" t="s">
        <v>18432</v>
      </c>
    </row>
    <row r="56823" spans="1:4" x14ac:dyDescent="0.2">
      <c r="A56823" t="s">
        <v>17889</v>
      </c>
      <c r="B56823" t="str">
        <f>HYPERLINK("https://lindat.mff.cuni.cz/services/teitok/pdtc10/index.php?action=vallex&amp;frame=v-w8008f1", "vykládat (v-w8008f1)")</f>
        <v>vykládat (v-w8008f1)</v>
      </c>
    </row>
    <row r="56824" spans="1:4" x14ac:dyDescent="0.2">
      <c r="B56824" t="s">
        <v>1</v>
      </c>
      <c r="C56824" t="s">
        <v>1566</v>
      </c>
      <c r="D56824" t="s">
        <v>370</v>
      </c>
    </row>
    <row r="56825" spans="1:4" x14ac:dyDescent="0.2">
      <c r="B56825" t="s">
        <v>8</v>
      </c>
      <c r="C56825" t="s">
        <v>10242</v>
      </c>
      <c r="D56825" t="s">
        <v>338</v>
      </c>
    </row>
    <row r="56826" spans="1:4" x14ac:dyDescent="0.2">
      <c r="B56826" t="s">
        <v>78</v>
      </c>
      <c r="D56826" t="s">
        <v>23792</v>
      </c>
    </row>
    <row r="56828" spans="1:4" x14ac:dyDescent="0.2">
      <c r="A56828" t="s">
        <v>17890</v>
      </c>
      <c r="B56828" t="str">
        <f>HYPERLINK("https://lindat.mff.cuni.cz/services/teitok/pdtc10/index.php?action=vallex&amp;frame=v-w8008f5", "vykládat (v-w8008f5)")</f>
        <v>vykládat (v-w8008f5)</v>
      </c>
    </row>
    <row r="56829" spans="1:4" x14ac:dyDescent="0.2">
      <c r="B56829" t="s">
        <v>1</v>
      </c>
    </row>
    <row r="56830" spans="1:4" x14ac:dyDescent="0.2">
      <c r="B56830" t="s">
        <v>8</v>
      </c>
    </row>
    <row r="56831" spans="1:4" x14ac:dyDescent="0.2">
      <c r="B56831" t="s">
        <v>333</v>
      </c>
    </row>
    <row r="56833" spans="1:4" x14ac:dyDescent="0.2">
      <c r="A56833" t="s">
        <v>17891</v>
      </c>
      <c r="B56833" t="str">
        <f>HYPERLINK("https://lindat.mff.cuni.cz/services/teitok/pdtc10/index.php?action=vallex&amp;frame=v-w8008f6", "vykládat (v-w8008f6)")</f>
        <v>vykládat (v-w8008f6)</v>
      </c>
    </row>
    <row r="56834" spans="1:4" x14ac:dyDescent="0.2">
      <c r="B56834" t="s">
        <v>1</v>
      </c>
      <c r="C56834" t="s">
        <v>1275</v>
      </c>
    </row>
    <row r="56835" spans="1:4" x14ac:dyDescent="0.2">
      <c r="B56835" t="s">
        <v>8</v>
      </c>
      <c r="C56835" t="s">
        <v>12784</v>
      </c>
      <c r="D56835" t="s">
        <v>991</v>
      </c>
    </row>
    <row r="56837" spans="1:4" x14ac:dyDescent="0.2">
      <c r="A56837" t="s">
        <v>17892</v>
      </c>
      <c r="B56837" t="str">
        <f>HYPERLINK("https://lindat.mff.cuni.cz/services/teitok/pdtc10/index.php?action=vallex&amp;frame=v-w8008f7_ZU", "vykládat (v-w8008f7_ZU)")</f>
        <v>vykládat (v-w8008f7_ZU)</v>
      </c>
    </row>
    <row r="56838" spans="1:4" x14ac:dyDescent="0.2">
      <c r="B56838" t="s">
        <v>1</v>
      </c>
    </row>
    <row r="56839" spans="1:4" x14ac:dyDescent="0.2">
      <c r="B56839" t="s">
        <v>35</v>
      </c>
    </row>
    <row r="56840" spans="1:4" x14ac:dyDescent="0.2">
      <c r="B56840" t="s">
        <v>17893</v>
      </c>
    </row>
    <row r="56841" spans="1:4" x14ac:dyDescent="0.2">
      <c r="B56841" t="s">
        <v>269</v>
      </c>
    </row>
    <row r="56843" spans="1:4" x14ac:dyDescent="0.2">
      <c r="A56843" t="s">
        <v>17892</v>
      </c>
      <c r="B56843" t="str">
        <f>HYPERLINK("https://lindat.mff.cuni.cz/services/teitok/pdtc10/index.php?action=vallex&amp;frame=v-w8008f2", "vykládat (v-w8008f2) - substituted with v-w8008f7_ZU")</f>
        <v>vykládat (v-w8008f2) - substituted with v-w8008f7_ZU</v>
      </c>
    </row>
    <row r="56844" spans="1:4" x14ac:dyDescent="0.2">
      <c r="B56844" t="s">
        <v>1</v>
      </c>
      <c r="D56844" t="s">
        <v>4634</v>
      </c>
    </row>
    <row r="56845" spans="1:4" x14ac:dyDescent="0.2">
      <c r="B56845" t="s">
        <v>35</v>
      </c>
      <c r="D56845" t="s">
        <v>18432</v>
      </c>
    </row>
    <row r="56846" spans="1:4" x14ac:dyDescent="0.2">
      <c r="B56846" t="s">
        <v>17893</v>
      </c>
      <c r="D56846" t="s">
        <v>24038</v>
      </c>
    </row>
    <row r="56847" spans="1:4" x14ac:dyDescent="0.2">
      <c r="B56847" t="s">
        <v>269</v>
      </c>
      <c r="D56847" t="s">
        <v>23883</v>
      </c>
    </row>
    <row r="56849" spans="1:4" x14ac:dyDescent="0.2">
      <c r="A56849" t="s">
        <v>17894</v>
      </c>
      <c r="B56849" t="str">
        <f>HYPERLINK("https://lindat.mff.cuni.cz/services/teitok/pdtc10/index.php?action=vallex&amp;frame=v-w8008f8_ZU", "vykládat (v-w8008f8_ZU)")</f>
        <v>vykládat (v-w8008f8_ZU)</v>
      </c>
    </row>
    <row r="56850" spans="1:4" x14ac:dyDescent="0.2">
      <c r="B56850" t="s">
        <v>1</v>
      </c>
    </row>
    <row r="56851" spans="1:4" x14ac:dyDescent="0.2">
      <c r="B56851" t="s">
        <v>8</v>
      </c>
    </row>
    <row r="56853" spans="1:4" x14ac:dyDescent="0.2">
      <c r="A56853" t="s">
        <v>17895</v>
      </c>
      <c r="B56853" t="str">
        <f>HYPERLINK("https://lindat.mff.cuni.cz/services/teitok/pdtc10/index.php?action=vallex&amp;frame=v-w8009f1", "vykládat si (v-w8009f1)")</f>
        <v>vykládat si (v-w8009f1)</v>
      </c>
    </row>
    <row r="56854" spans="1:4" x14ac:dyDescent="0.2">
      <c r="B56854" t="s">
        <v>1</v>
      </c>
      <c r="C56854" t="s">
        <v>109</v>
      </c>
      <c r="D56854" t="s">
        <v>24377</v>
      </c>
    </row>
    <row r="56855" spans="1:4" x14ac:dyDescent="0.2">
      <c r="B56855" t="s">
        <v>8</v>
      </c>
      <c r="C56855" t="s">
        <v>125</v>
      </c>
      <c r="D56855" t="s">
        <v>24378</v>
      </c>
    </row>
    <row r="56856" spans="1:4" x14ac:dyDescent="0.2">
      <c r="B56856" t="s">
        <v>1151</v>
      </c>
      <c r="D56856" t="s">
        <v>24379</v>
      </c>
    </row>
    <row r="56858" spans="1:4" x14ac:dyDescent="0.2">
      <c r="A56858" t="s">
        <v>17896</v>
      </c>
      <c r="B56858" t="str">
        <f>HYPERLINK("https://lindat.mff.cuni.cz/services/teitok/pdtc10/index.php?action=vallex&amp;frame=v-w8009hsa_1039", "vykládat si (v-w8009hsa_1039)")</f>
        <v>vykládat si (v-w8009hsa_1039)</v>
      </c>
    </row>
    <row r="56859" spans="1:4" x14ac:dyDescent="0.2">
      <c r="B56859" t="s">
        <v>1</v>
      </c>
    </row>
    <row r="56860" spans="1:4" x14ac:dyDescent="0.2">
      <c r="B56860" t="s">
        <v>153</v>
      </c>
    </row>
    <row r="56861" spans="1:4" x14ac:dyDescent="0.2">
      <c r="B56861" t="s">
        <v>17897</v>
      </c>
    </row>
    <row r="56862" spans="1:4" x14ac:dyDescent="0.2">
      <c r="B56862" t="s">
        <v>269</v>
      </c>
    </row>
    <row r="56864" spans="1:4" x14ac:dyDescent="0.2">
      <c r="A56864" t="s">
        <v>17898</v>
      </c>
      <c r="B56864" t="str">
        <f>HYPERLINK("https://lindat.mff.cuni.cz/services/teitok/pdtc10/index.php?action=vallex&amp;frame=v-w10756f2", "vyklízet (v-w10756f2)")</f>
        <v>vyklízet (v-w10756f2)</v>
      </c>
    </row>
    <row r="56865" spans="1:4" x14ac:dyDescent="0.2">
      <c r="B56865" t="s">
        <v>1</v>
      </c>
      <c r="C56865" t="s">
        <v>249</v>
      </c>
      <c r="D56865" t="s">
        <v>9938</v>
      </c>
    </row>
    <row r="56866" spans="1:4" x14ac:dyDescent="0.2">
      <c r="B56866" t="s">
        <v>17899</v>
      </c>
    </row>
    <row r="56868" spans="1:4" x14ac:dyDescent="0.2">
      <c r="A56868" t="s">
        <v>17900</v>
      </c>
      <c r="B56868" t="str">
        <f>HYPERLINK("https://lindat.mff.cuni.cz/services/teitok/pdtc10/index.php?action=vallex&amp;frame=v-w10756f3_ZU", "vyklízet (v-w10756f3_ZU)")</f>
        <v>vyklízet (v-w10756f3_ZU)</v>
      </c>
    </row>
    <row r="56869" spans="1:4" x14ac:dyDescent="0.2">
      <c r="B56869" t="s">
        <v>1</v>
      </c>
    </row>
    <row r="56870" spans="1:4" x14ac:dyDescent="0.2">
      <c r="B56870" t="s">
        <v>8</v>
      </c>
    </row>
    <row r="56872" spans="1:4" x14ac:dyDescent="0.2">
      <c r="A56872" t="s">
        <v>17901</v>
      </c>
      <c r="B56872" t="str">
        <f>HYPERLINK("https://lindat.mff.cuni.cz/services/teitok/pdtc10/index.php?action=vallex&amp;frame=v-w10756f5_ZU", "vyklízet (v-w10756f5_ZU)")</f>
        <v>vyklízet (v-w10756f5_ZU)</v>
      </c>
    </row>
    <row r="56873" spans="1:4" x14ac:dyDescent="0.2">
      <c r="B56873" t="s">
        <v>1</v>
      </c>
    </row>
    <row r="56874" spans="1:4" x14ac:dyDescent="0.2">
      <c r="B56874" t="s">
        <v>8</v>
      </c>
    </row>
    <row r="56875" spans="1:4" x14ac:dyDescent="0.2">
      <c r="B56875" t="s">
        <v>4622</v>
      </c>
    </row>
    <row r="56877" spans="1:4" x14ac:dyDescent="0.2">
      <c r="A56877" t="s">
        <v>17901</v>
      </c>
      <c r="B56877" t="str">
        <f>HYPERLINK("https://lindat.mff.cuni.cz/services/teitok/pdtc10/index.php?action=vallex&amp;frame=v-w10756f4_ZU", "vyklízet (v-w10756f4_ZU) - substituted with v-w10756f5_ZU")</f>
        <v>vyklízet (v-w10756f4_ZU) - substituted with v-w10756f5_ZU</v>
      </c>
    </row>
    <row r="56878" spans="1:4" x14ac:dyDescent="0.2">
      <c r="B56878" t="s">
        <v>1</v>
      </c>
    </row>
    <row r="56879" spans="1:4" x14ac:dyDescent="0.2">
      <c r="B56879" t="s">
        <v>8</v>
      </c>
    </row>
    <row r="56880" spans="1:4" x14ac:dyDescent="0.2">
      <c r="B56880" t="s">
        <v>4622</v>
      </c>
    </row>
    <row r="56882" spans="1:4" x14ac:dyDescent="0.2">
      <c r="A56882" t="s">
        <v>17902</v>
      </c>
      <c r="B56882" t="str">
        <f>HYPERLINK("https://lindat.mff.cuni.cz/services/teitok/pdtc10/index.php?action=vallex&amp;frame=v-w8017f1", "vykoledovat (v-w8017f1)")</f>
        <v>vykoledovat (v-w8017f1)</v>
      </c>
    </row>
    <row r="56883" spans="1:4" x14ac:dyDescent="0.2">
      <c r="B56883" t="s">
        <v>1</v>
      </c>
    </row>
    <row r="56884" spans="1:4" x14ac:dyDescent="0.2">
      <c r="B56884" t="s">
        <v>8</v>
      </c>
    </row>
    <row r="56886" spans="1:4" x14ac:dyDescent="0.2">
      <c r="A56886" t="s">
        <v>17903</v>
      </c>
      <c r="B56886" t="str">
        <f>HYPERLINK("https://lindat.mff.cuni.cz/services/teitok/pdtc10/index.php?action=vallex&amp;frame=v-w10944f2", "vykolejit (v-w10944f2)")</f>
        <v>vykolejit (v-w10944f2)</v>
      </c>
    </row>
    <row r="56887" spans="1:4" x14ac:dyDescent="0.2">
      <c r="B56887" t="s">
        <v>1</v>
      </c>
      <c r="C56887" t="s">
        <v>140</v>
      </c>
      <c r="D56887" t="s">
        <v>140</v>
      </c>
    </row>
    <row r="56888" spans="1:4" x14ac:dyDescent="0.2">
      <c r="B56888" t="s">
        <v>8</v>
      </c>
      <c r="C56888" t="s">
        <v>34</v>
      </c>
      <c r="D56888" t="s">
        <v>113</v>
      </c>
    </row>
    <row r="56890" spans="1:4" x14ac:dyDescent="0.2">
      <c r="A56890" t="s">
        <v>17904</v>
      </c>
      <c r="B56890" t="str">
        <f>HYPERLINK("https://lindat.mff.cuni.cz/services/teitok/pdtc10/index.php?action=vallex&amp;frame=v-w8018f1", "vykompenzovat (v-w8018f1)")</f>
        <v>vykompenzovat (v-w8018f1)</v>
      </c>
    </row>
    <row r="56891" spans="1:4" x14ac:dyDescent="0.2">
      <c r="B56891" t="s">
        <v>1</v>
      </c>
      <c r="C56891" t="s">
        <v>17905</v>
      </c>
      <c r="D56891" t="s">
        <v>4082</v>
      </c>
    </row>
    <row r="56892" spans="1:4" x14ac:dyDescent="0.2">
      <c r="B56892" t="s">
        <v>8</v>
      </c>
      <c r="C56892" t="s">
        <v>4631</v>
      </c>
      <c r="D56892" t="s">
        <v>23406</v>
      </c>
    </row>
    <row r="56894" spans="1:4" x14ac:dyDescent="0.2">
      <c r="A56894" t="s">
        <v>17906</v>
      </c>
      <c r="B56894" t="str">
        <f>HYPERLINK("https://lindat.mff.cuni.cz/services/teitok/pdtc10/index.php?action=vallex&amp;frame=v-w8021f1", "vykonat (v-w8021f1)")</f>
        <v>vykonat (v-w8021f1)</v>
      </c>
    </row>
    <row r="56895" spans="1:4" x14ac:dyDescent="0.2">
      <c r="B56895" t="s">
        <v>1</v>
      </c>
      <c r="C56895" t="s">
        <v>17907</v>
      </c>
      <c r="D56895" t="s">
        <v>1792</v>
      </c>
    </row>
    <row r="56896" spans="1:4" x14ac:dyDescent="0.2">
      <c r="B56896" t="s">
        <v>8</v>
      </c>
      <c r="C56896" t="s">
        <v>17908</v>
      </c>
      <c r="D56896" t="s">
        <v>24113</v>
      </c>
    </row>
    <row r="56898" spans="1:4" x14ac:dyDescent="0.2">
      <c r="A56898" t="s">
        <v>17909</v>
      </c>
      <c r="B56898" t="str">
        <f>HYPERLINK("https://lindat.mff.cuni.cz/services/teitok/pdtc10/index.php?action=vallex&amp;frame=v-w8021f4_ZU", "vykonat (v-w8021f4_ZU)")</f>
        <v>vykonat (v-w8021f4_ZU)</v>
      </c>
    </row>
    <row r="56899" spans="1:4" x14ac:dyDescent="0.2">
      <c r="B56899" t="s">
        <v>1</v>
      </c>
      <c r="D56899" t="s">
        <v>1792</v>
      </c>
    </row>
    <row r="56900" spans="1:4" x14ac:dyDescent="0.2">
      <c r="B56900" t="s">
        <v>17910</v>
      </c>
      <c r="D56900" t="s">
        <v>23804</v>
      </c>
    </row>
    <row r="56902" spans="1:4" x14ac:dyDescent="0.2">
      <c r="A56902" t="s">
        <v>17909</v>
      </c>
      <c r="B56902" t="str">
        <f>HYPERLINK("https://lindat.mff.cuni.cz/services/teitok/pdtc10/index.php?action=vallex&amp;frame=v-w8021f2", "vykonat (v-w8021f2) - substituted with v-w8021f4_ZU")</f>
        <v>vykonat (v-w8021f2) - substituted with v-w8021f4_ZU</v>
      </c>
    </row>
    <row r="56903" spans="1:4" x14ac:dyDescent="0.2">
      <c r="B56903" t="s">
        <v>1</v>
      </c>
    </row>
    <row r="56904" spans="1:4" x14ac:dyDescent="0.2">
      <c r="B56904" t="s">
        <v>17910</v>
      </c>
    </row>
    <row r="56906" spans="1:4" x14ac:dyDescent="0.2">
      <c r="A56906" t="s">
        <v>17911</v>
      </c>
      <c r="B56906" t="str">
        <f>HYPERLINK("https://lindat.mff.cuni.cz/services/teitok/pdtc10/index.php?action=vallex&amp;frame=v-w8021f3", "vykonat (v-w8021f3)")</f>
        <v>vykonat (v-w8021f3)</v>
      </c>
    </row>
    <row r="56907" spans="1:4" x14ac:dyDescent="0.2">
      <c r="B56907" t="s">
        <v>1</v>
      </c>
    </row>
    <row r="56908" spans="1:4" x14ac:dyDescent="0.2">
      <c r="B56908" t="s">
        <v>16861</v>
      </c>
    </row>
    <row r="56910" spans="1:4" x14ac:dyDescent="0.2">
      <c r="A56910" t="s">
        <v>17912</v>
      </c>
      <c r="B56910" t="str">
        <f>HYPERLINK("https://lindat.mff.cuni.cz/services/teitok/pdtc10/index.php?action=vallex&amp;frame=v-w8024f2", "vykonávat (v-w8024f2)")</f>
        <v>vykonávat (v-w8024f2)</v>
      </c>
    </row>
    <row r="56911" spans="1:4" x14ac:dyDescent="0.2">
      <c r="B56911" t="s">
        <v>1</v>
      </c>
      <c r="C56911" t="s">
        <v>17913</v>
      </c>
      <c r="D56911" t="s">
        <v>24380</v>
      </c>
    </row>
    <row r="56912" spans="1:4" x14ac:dyDescent="0.2">
      <c r="B56912" t="s">
        <v>8</v>
      </c>
      <c r="C56912" t="s">
        <v>17914</v>
      </c>
      <c r="D56912" t="s">
        <v>24381</v>
      </c>
    </row>
    <row r="56914" spans="1:3" x14ac:dyDescent="0.2">
      <c r="A56914" t="s">
        <v>17915</v>
      </c>
      <c r="B56914" t="str">
        <f>HYPERLINK("https://lindat.mff.cuni.cz/services/teitok/pdtc10/index.php?action=vallex&amp;frame=v-w8024f3", "vykonávat (v-w8024f3)")</f>
        <v>vykonávat (v-w8024f3)</v>
      </c>
    </row>
    <row r="56915" spans="1:3" x14ac:dyDescent="0.2">
      <c r="B56915" t="s">
        <v>1</v>
      </c>
    </row>
    <row r="56916" spans="1:3" x14ac:dyDescent="0.2">
      <c r="B56916" t="s">
        <v>8</v>
      </c>
    </row>
    <row r="56918" spans="1:3" x14ac:dyDescent="0.2">
      <c r="A56918" t="s">
        <v>17916</v>
      </c>
      <c r="B56918" t="str">
        <f>HYPERLINK("https://lindat.mff.cuni.cz/services/teitok/pdtc10/index.php?action=vallex&amp;frame=v-w8024f12_ZU", "vykonávat (v-w8024f12_ZU)")</f>
        <v>vykonávat (v-w8024f12_ZU)</v>
      </c>
    </row>
    <row r="56919" spans="1:3" x14ac:dyDescent="0.2">
      <c r="B56919" t="s">
        <v>1</v>
      </c>
    </row>
    <row r="56920" spans="1:3" x14ac:dyDescent="0.2">
      <c r="B56920" t="s">
        <v>17917</v>
      </c>
    </row>
    <row r="56922" spans="1:3" x14ac:dyDescent="0.2">
      <c r="A56922" t="s">
        <v>17916</v>
      </c>
      <c r="B56922" t="str">
        <f>HYPERLINK("https://lindat.mff.cuni.cz/services/teitok/pdtc10/index.php?action=vallex&amp;frame=v-w8024f1", "vykonávat (v-w8024f1) - substituted with v-w8024f12_ZU")</f>
        <v>vykonávat (v-w8024f1) - substituted with v-w8024f12_ZU</v>
      </c>
    </row>
    <row r="56923" spans="1:3" x14ac:dyDescent="0.2">
      <c r="B56923" t="s">
        <v>1</v>
      </c>
      <c r="C56923" t="s">
        <v>5590</v>
      </c>
    </row>
    <row r="56924" spans="1:3" x14ac:dyDescent="0.2">
      <c r="B56924" t="s">
        <v>17917</v>
      </c>
      <c r="C56924" t="s">
        <v>17918</v>
      </c>
    </row>
    <row r="56926" spans="1:3" x14ac:dyDescent="0.2">
      <c r="A56926" t="s">
        <v>17916</v>
      </c>
      <c r="B56926" t="str">
        <f>HYPERLINK("https://lindat.mff.cuni.cz/services/teitok/pdtc10/index.php?action=vallex&amp;frame=v-w8024f10_ZU", "vykonávat (v-w8024f10_ZU) - substituted with v-w8024f12_ZU")</f>
        <v>vykonávat (v-w8024f10_ZU) - substituted with v-w8024f12_ZU</v>
      </c>
    </row>
    <row r="56927" spans="1:3" x14ac:dyDescent="0.2">
      <c r="B56927" t="s">
        <v>1</v>
      </c>
    </row>
    <row r="56928" spans="1:3" x14ac:dyDescent="0.2">
      <c r="B56928" t="s">
        <v>17917</v>
      </c>
    </row>
    <row r="56930" spans="1:3" x14ac:dyDescent="0.2">
      <c r="A56930" t="s">
        <v>17916</v>
      </c>
      <c r="B56930" t="str">
        <f>HYPERLINK("https://lindat.mff.cuni.cz/services/teitok/pdtc10/index.php?action=vallex&amp;frame=v-w8024f11_ZU", "vykonávat (v-w8024f11_ZU) - substituted with v-w8024f12_ZU")</f>
        <v>vykonávat (v-w8024f11_ZU) - substituted with v-w8024f12_ZU</v>
      </c>
    </row>
    <row r="56931" spans="1:3" x14ac:dyDescent="0.2">
      <c r="B56931" t="s">
        <v>1</v>
      </c>
    </row>
    <row r="56932" spans="1:3" x14ac:dyDescent="0.2">
      <c r="B56932" t="s">
        <v>17917</v>
      </c>
    </row>
    <row r="56934" spans="1:3" x14ac:dyDescent="0.2">
      <c r="A56934" t="s">
        <v>17916</v>
      </c>
      <c r="B56934" t="str">
        <f>HYPERLINK("https://lindat.mff.cuni.cz/services/teitok/pdtc10/index.php?action=vallex&amp;frame=v-w8024f4_ZU", "vykonávat (v-w8024f4_ZU) - substituted with v-w8024f12_ZU")</f>
        <v>vykonávat (v-w8024f4_ZU) - substituted with v-w8024f12_ZU</v>
      </c>
    </row>
    <row r="56935" spans="1:3" x14ac:dyDescent="0.2">
      <c r="B56935" t="s">
        <v>1</v>
      </c>
      <c r="C56935" t="s">
        <v>306</v>
      </c>
    </row>
    <row r="56936" spans="1:3" x14ac:dyDescent="0.2">
      <c r="B56936" t="s">
        <v>17917</v>
      </c>
    </row>
    <row r="56938" spans="1:3" x14ac:dyDescent="0.2">
      <c r="A56938" t="s">
        <v>17916</v>
      </c>
      <c r="B56938" t="str">
        <f>HYPERLINK("https://lindat.mff.cuni.cz/services/teitok/pdtc10/index.php?action=vallex&amp;frame=v-w8024f5_ZU", "vykonávat (v-w8024f5_ZU) - substituted with v-w8024f12_ZU")</f>
        <v>vykonávat (v-w8024f5_ZU) - substituted with v-w8024f12_ZU</v>
      </c>
    </row>
    <row r="56939" spans="1:3" x14ac:dyDescent="0.2">
      <c r="B56939" t="s">
        <v>1</v>
      </c>
    </row>
    <row r="56940" spans="1:3" x14ac:dyDescent="0.2">
      <c r="B56940" t="s">
        <v>17917</v>
      </c>
    </row>
    <row r="56942" spans="1:3" x14ac:dyDescent="0.2">
      <c r="A56942" t="s">
        <v>17916</v>
      </c>
      <c r="B56942" t="str">
        <f>HYPERLINK("https://lindat.mff.cuni.cz/services/teitok/pdtc10/index.php?action=vallex&amp;frame=v-w8024f6_ZU", "vykonávat (v-w8024f6_ZU) - substituted with v-w8024f12_ZU")</f>
        <v>vykonávat (v-w8024f6_ZU) - substituted with v-w8024f12_ZU</v>
      </c>
    </row>
    <row r="56943" spans="1:3" x14ac:dyDescent="0.2">
      <c r="B56943" t="s">
        <v>1</v>
      </c>
      <c r="C56943" t="s">
        <v>17919</v>
      </c>
    </row>
    <row r="56944" spans="1:3" x14ac:dyDescent="0.2">
      <c r="B56944" t="s">
        <v>17917</v>
      </c>
      <c r="C56944" t="s">
        <v>17920</v>
      </c>
    </row>
    <row r="56946" spans="1:4" x14ac:dyDescent="0.2">
      <c r="A56946" t="s">
        <v>17916</v>
      </c>
      <c r="B56946" t="str">
        <f>HYPERLINK("https://lindat.mff.cuni.cz/services/teitok/pdtc10/index.php?action=vallex&amp;frame=v-w8024f7_ZU", "vykonávat (v-w8024f7_ZU) - substituted with v-w8024f12_ZU")</f>
        <v>vykonávat (v-w8024f7_ZU) - substituted with v-w8024f12_ZU</v>
      </c>
    </row>
    <row r="56947" spans="1:4" x14ac:dyDescent="0.2">
      <c r="B56947" t="s">
        <v>1</v>
      </c>
      <c r="C56947" t="s">
        <v>109</v>
      </c>
      <c r="D56947" t="s">
        <v>24382</v>
      </c>
    </row>
    <row r="56948" spans="1:4" x14ac:dyDescent="0.2">
      <c r="B56948" t="s">
        <v>17917</v>
      </c>
      <c r="C56948" t="s">
        <v>10940</v>
      </c>
      <c r="D56948" t="s">
        <v>24383</v>
      </c>
    </row>
    <row r="56950" spans="1:4" x14ac:dyDescent="0.2">
      <c r="A56950" t="s">
        <v>17916</v>
      </c>
      <c r="B56950" t="str">
        <f>HYPERLINK("https://lindat.mff.cuni.cz/services/teitok/pdtc10/index.php?action=vallex&amp;frame=v-w8024f8_ZU", "vykonávat (v-w8024f8_ZU) - substituted with v-w8024f12_ZU")</f>
        <v>vykonávat (v-w8024f8_ZU) - substituted with v-w8024f12_ZU</v>
      </c>
    </row>
    <row r="56951" spans="1:4" x14ac:dyDescent="0.2">
      <c r="B56951" t="s">
        <v>1</v>
      </c>
    </row>
    <row r="56952" spans="1:4" x14ac:dyDescent="0.2">
      <c r="B56952" t="s">
        <v>17917</v>
      </c>
    </row>
    <row r="56954" spans="1:4" x14ac:dyDescent="0.2">
      <c r="A56954" t="s">
        <v>17916</v>
      </c>
      <c r="B56954" t="str">
        <f>HYPERLINK("https://lindat.mff.cuni.cz/services/teitok/pdtc10/index.php?action=vallex&amp;frame=v-w8024f9_ZU", "vykonávat (v-w8024f9_ZU) - substituted with v-w8024f12_ZU")</f>
        <v>vykonávat (v-w8024f9_ZU) - substituted with v-w8024f12_ZU</v>
      </c>
    </row>
    <row r="56955" spans="1:4" x14ac:dyDescent="0.2">
      <c r="B56955" t="s">
        <v>1</v>
      </c>
    </row>
    <row r="56956" spans="1:4" x14ac:dyDescent="0.2">
      <c r="B56956" t="s">
        <v>17917</v>
      </c>
    </row>
    <row r="56958" spans="1:4" x14ac:dyDescent="0.2">
      <c r="A56958" t="s">
        <v>17916</v>
      </c>
      <c r="B56958" t="str">
        <f>HYPERLINK("https://lindat.mff.cuni.cz/services/teitok/pdtc10/index.php?action=vallex&amp;frame=v-w8024hsa_915", "vykonávat (v-w8024hsa_915) - substituted with v-w8024f12_ZU")</f>
        <v>vykonávat (v-w8024hsa_915) - substituted with v-w8024f12_ZU</v>
      </c>
    </row>
    <row r="56959" spans="1:4" x14ac:dyDescent="0.2">
      <c r="B56959" t="s">
        <v>1</v>
      </c>
      <c r="C56959" t="s">
        <v>2031</v>
      </c>
    </row>
    <row r="56960" spans="1:4" x14ac:dyDescent="0.2">
      <c r="B56960" t="s">
        <v>17917</v>
      </c>
      <c r="C56960" t="s">
        <v>2952</v>
      </c>
    </row>
    <row r="56962" spans="1:4" x14ac:dyDescent="0.2">
      <c r="A56962" t="s">
        <v>17921</v>
      </c>
      <c r="B56962" t="str">
        <f>HYPERLINK("https://lindat.mff.cuni.cz/services/teitok/pdtc10/index.php?action=vallex&amp;frame=v-w8026f2", "vykopat (v-w8026f2)")</f>
        <v>vykopat (v-w8026f2)</v>
      </c>
    </row>
    <row r="56963" spans="1:4" x14ac:dyDescent="0.2">
      <c r="B56963" t="s">
        <v>1</v>
      </c>
      <c r="C56963" t="s">
        <v>140</v>
      </c>
    </row>
    <row r="56964" spans="1:4" x14ac:dyDescent="0.2">
      <c r="B56964" t="s">
        <v>8</v>
      </c>
      <c r="C56964" t="s">
        <v>113</v>
      </c>
    </row>
    <row r="56966" spans="1:4" x14ac:dyDescent="0.2">
      <c r="A56966" t="s">
        <v>17922</v>
      </c>
      <c r="B56966" t="str">
        <f>HYPERLINK("https://lindat.mff.cuni.cz/services/teitok/pdtc10/index.php?action=vallex&amp;frame=v-w8026f1", "vykopat (v-w8026f1)")</f>
        <v>vykopat (v-w8026f1)</v>
      </c>
    </row>
    <row r="56967" spans="1:4" x14ac:dyDescent="0.2">
      <c r="B56967" t="s">
        <v>1</v>
      </c>
    </row>
    <row r="56968" spans="1:4" x14ac:dyDescent="0.2">
      <c r="B56968" t="s">
        <v>17923</v>
      </c>
    </row>
    <row r="56970" spans="1:4" x14ac:dyDescent="0.2">
      <c r="A56970" t="s">
        <v>17924</v>
      </c>
      <c r="B56970" t="str">
        <f>HYPERLINK("https://lindat.mff.cuni.cz/services/teitok/pdtc10/index.php?action=vallex&amp;frame=v-w8026hsa_595", "vykopat (v-w8026hsa_595)")</f>
        <v>vykopat (v-w8026hsa_595)</v>
      </c>
    </row>
    <row r="56971" spans="1:4" x14ac:dyDescent="0.2">
      <c r="B56971" t="s">
        <v>1</v>
      </c>
    </row>
    <row r="56972" spans="1:4" x14ac:dyDescent="0.2">
      <c r="B56972" t="s">
        <v>8</v>
      </c>
    </row>
    <row r="56974" spans="1:4" x14ac:dyDescent="0.2">
      <c r="A56974" t="s">
        <v>17925</v>
      </c>
      <c r="B56974" t="str">
        <f>HYPERLINK("https://lindat.mff.cuni.cz/services/teitok/pdtc10/index.php?action=vallex&amp;frame=v-w10937f2", "vykopávat (v-w10937f2)")</f>
        <v>vykopávat (v-w10937f2)</v>
      </c>
    </row>
    <row r="56975" spans="1:4" x14ac:dyDescent="0.2">
      <c r="B56975" t="s">
        <v>1</v>
      </c>
      <c r="C56975" t="s">
        <v>140</v>
      </c>
      <c r="D56975" t="s">
        <v>109</v>
      </c>
    </row>
    <row r="56976" spans="1:4" x14ac:dyDescent="0.2">
      <c r="B56976" t="s">
        <v>8</v>
      </c>
      <c r="C56976" t="s">
        <v>113</v>
      </c>
      <c r="D56976" t="s">
        <v>2755</v>
      </c>
    </row>
    <row r="56978" spans="1:2" x14ac:dyDescent="0.2">
      <c r="A56978" t="s">
        <v>17926</v>
      </c>
      <c r="B56978" t="str">
        <f>HYPERLINK("https://lindat.mff.cuni.cz/services/teitok/pdtc10/index.php?action=vallex&amp;frame=v-w10937f3_ZU", "vykopávat (v-w10937f3_ZU)")</f>
        <v>vykopávat (v-w10937f3_ZU)</v>
      </c>
    </row>
    <row r="56979" spans="1:2" x14ac:dyDescent="0.2">
      <c r="B56979" t="s">
        <v>1</v>
      </c>
    </row>
    <row r="56980" spans="1:2" x14ac:dyDescent="0.2">
      <c r="B56980" t="s">
        <v>8</v>
      </c>
    </row>
    <row r="56982" spans="1:2" x14ac:dyDescent="0.2">
      <c r="A56982" t="s">
        <v>17927</v>
      </c>
      <c r="B56982" t="str">
        <f>HYPERLINK("https://lindat.mff.cuni.cz/services/teitok/pdtc10/index.php?action=vallex&amp;frame=v-w11746_ZUf1_ZU", "vykopírovat (v-w11746_ZUf1_ZU)")</f>
        <v>vykopírovat (v-w11746_ZUf1_ZU)</v>
      </c>
    </row>
    <row r="56983" spans="1:2" x14ac:dyDescent="0.2">
      <c r="B56983" t="s">
        <v>1</v>
      </c>
    </row>
    <row r="56984" spans="1:2" x14ac:dyDescent="0.2">
      <c r="B56984" t="s">
        <v>8</v>
      </c>
    </row>
    <row r="56986" spans="1:2" x14ac:dyDescent="0.2">
      <c r="A56986" t="s">
        <v>17928</v>
      </c>
      <c r="B56986" t="str">
        <f>HYPERLINK("https://lindat.mff.cuni.cz/services/teitok/pdtc10/index.php?action=vallex&amp;frame=v-w12137_ZUf1_ZU", "vykorespondovat (v-w12137_ZUf1_ZU)")</f>
        <v>vykorespondovat (v-w12137_ZUf1_ZU)</v>
      </c>
    </row>
    <row r="56987" spans="1:2" x14ac:dyDescent="0.2">
      <c r="B56987" t="s">
        <v>1</v>
      </c>
    </row>
    <row r="56988" spans="1:2" x14ac:dyDescent="0.2">
      <c r="B56988" t="s">
        <v>8</v>
      </c>
    </row>
    <row r="56989" spans="1:2" x14ac:dyDescent="0.2">
      <c r="B56989" t="s">
        <v>2328</v>
      </c>
    </row>
    <row r="56991" spans="1:2" x14ac:dyDescent="0.2">
      <c r="A56991" t="s">
        <v>17929</v>
      </c>
      <c r="B56991" t="str">
        <f>HYPERLINK("https://lindat.mff.cuni.cz/services/teitok/pdtc10/index.php?action=vallex&amp;frame=v-whsa_1151hsa_1152", "vykostit (v-whsa_1151hsa_1152)")</f>
        <v>vykostit (v-whsa_1151hsa_1152)</v>
      </c>
    </row>
    <row r="56992" spans="1:2" x14ac:dyDescent="0.2">
      <c r="B56992" t="s">
        <v>1</v>
      </c>
    </row>
    <row r="56993" spans="1:4" x14ac:dyDescent="0.2">
      <c r="B56993" t="s">
        <v>8</v>
      </c>
    </row>
    <row r="56995" spans="1:4" x14ac:dyDescent="0.2">
      <c r="A56995" t="s">
        <v>17930</v>
      </c>
      <c r="B56995" t="str">
        <f>HYPERLINK("https://lindat.mff.cuni.cz/services/teitok/pdtc10/index.php?action=vallex&amp;frame=v-w8028f1", "vykouknout (v-w8028f1)")</f>
        <v>vykouknout (v-w8028f1)</v>
      </c>
    </row>
    <row r="56996" spans="1:4" x14ac:dyDescent="0.2">
      <c r="B56996" t="s">
        <v>1</v>
      </c>
    </row>
    <row r="56997" spans="1:4" x14ac:dyDescent="0.2">
      <c r="B56997" t="s">
        <v>333</v>
      </c>
    </row>
    <row r="56999" spans="1:4" x14ac:dyDescent="0.2">
      <c r="A56999" t="s">
        <v>17931</v>
      </c>
      <c r="B56999" t="str">
        <f>HYPERLINK("https://lindat.mff.cuni.cz/services/teitok/pdtc10/index.php?action=vallex&amp;frame=v-w12320_MMf1_MM", "vykoumat (v-w12320_MMf1_MM)")</f>
        <v>vykoumat (v-w12320_MMf1_MM)</v>
      </c>
    </row>
    <row r="57000" spans="1:4" x14ac:dyDescent="0.2">
      <c r="B57000" t="s">
        <v>1</v>
      </c>
    </row>
    <row r="57001" spans="1:4" x14ac:dyDescent="0.2">
      <c r="B57001" t="s">
        <v>8</v>
      </c>
    </row>
    <row r="57003" spans="1:4" x14ac:dyDescent="0.2">
      <c r="A57003" t="s">
        <v>17932</v>
      </c>
      <c r="B57003" t="str">
        <f>HYPERLINK("https://lindat.mff.cuni.cz/services/teitok/pdtc10/index.php?action=vallex&amp;frame=v-w8029f1", "vykoupat (v-w8029f1)")</f>
        <v>vykoupat (v-w8029f1)</v>
      </c>
    </row>
    <row r="57004" spans="1:4" x14ac:dyDescent="0.2">
      <c r="B57004" t="s">
        <v>1</v>
      </c>
      <c r="D57004" t="s">
        <v>22</v>
      </c>
    </row>
    <row r="57005" spans="1:4" x14ac:dyDescent="0.2">
      <c r="B57005" t="s">
        <v>8</v>
      </c>
      <c r="D57005" t="s">
        <v>23428</v>
      </c>
    </row>
    <row r="57007" spans="1:4" x14ac:dyDescent="0.2">
      <c r="A57007" t="s">
        <v>17933</v>
      </c>
      <c r="B57007" t="str">
        <f>HYPERLINK("https://lindat.mff.cuni.cz/services/teitok/pdtc10/index.php?action=vallex&amp;frame=v-w8030f1", "vykoupat se (v-w8030f1)")</f>
        <v>vykoupat se (v-w8030f1)</v>
      </c>
    </row>
    <row r="57008" spans="1:4" x14ac:dyDescent="0.2">
      <c r="B57008" t="s">
        <v>1</v>
      </c>
      <c r="D57008" t="s">
        <v>23429</v>
      </c>
    </row>
    <row r="57010" spans="1:4" x14ac:dyDescent="0.2">
      <c r="A57010" t="s">
        <v>17934</v>
      </c>
      <c r="B57010" t="str">
        <f>HYPERLINK("https://lindat.mff.cuni.cz/services/teitok/pdtc10/index.php?action=vallex&amp;frame=v-w8031f1", "vykoupit (v-w8031f1)")</f>
        <v>vykoupit (v-w8031f1)</v>
      </c>
    </row>
    <row r="57011" spans="1:4" x14ac:dyDescent="0.2">
      <c r="B57011" t="s">
        <v>1</v>
      </c>
      <c r="C57011" t="s">
        <v>17935</v>
      </c>
      <c r="D57011" t="s">
        <v>23430</v>
      </c>
    </row>
    <row r="57012" spans="1:4" x14ac:dyDescent="0.2">
      <c r="B57012" t="s">
        <v>8</v>
      </c>
      <c r="C57012" t="s">
        <v>17936</v>
      </c>
      <c r="D57012" t="s">
        <v>23431</v>
      </c>
    </row>
    <row r="57013" spans="1:4" x14ac:dyDescent="0.2">
      <c r="B57013" t="s">
        <v>321</v>
      </c>
      <c r="C57013" t="s">
        <v>5731</v>
      </c>
      <c r="D57013" t="s">
        <v>5731</v>
      </c>
    </row>
    <row r="57015" spans="1:4" x14ac:dyDescent="0.2">
      <c r="A57015" t="s">
        <v>17937</v>
      </c>
      <c r="B57015" t="str">
        <f>HYPERLINK("https://lindat.mff.cuni.cz/services/teitok/pdtc10/index.php?action=vallex&amp;frame=v-w8031f2", "vykoupit (v-w8031f2)")</f>
        <v>vykoupit (v-w8031f2)</v>
      </c>
    </row>
    <row r="57016" spans="1:4" x14ac:dyDescent="0.2">
      <c r="B57016" t="s">
        <v>1</v>
      </c>
    </row>
    <row r="57017" spans="1:4" x14ac:dyDescent="0.2">
      <c r="B57017" t="s">
        <v>8</v>
      </c>
      <c r="C57017" t="s">
        <v>23</v>
      </c>
    </row>
    <row r="57018" spans="1:4" x14ac:dyDescent="0.2">
      <c r="B57018" t="s">
        <v>5479</v>
      </c>
      <c r="C57018" t="s">
        <v>17938</v>
      </c>
    </row>
    <row r="57020" spans="1:4" x14ac:dyDescent="0.2">
      <c r="A57020" t="s">
        <v>17939</v>
      </c>
      <c r="B57020" t="str">
        <f>HYPERLINK("https://lindat.mff.cuni.cz/services/teitok/pdtc10/index.php?action=vallex&amp;frame=v-w8031f4_ZU", "vykoupit (v-w8031f4_ZU)")</f>
        <v>vykoupit (v-w8031f4_ZU)</v>
      </c>
    </row>
    <row r="57021" spans="1:4" x14ac:dyDescent="0.2">
      <c r="B57021" t="s">
        <v>1</v>
      </c>
    </row>
    <row r="57022" spans="1:4" x14ac:dyDescent="0.2">
      <c r="B57022" t="s">
        <v>8</v>
      </c>
    </row>
    <row r="57023" spans="1:4" x14ac:dyDescent="0.2">
      <c r="B57023" t="s">
        <v>17940</v>
      </c>
    </row>
    <row r="57025" spans="1:2" x14ac:dyDescent="0.2">
      <c r="A57025" t="s">
        <v>17939</v>
      </c>
      <c r="B57025" t="str">
        <f>HYPERLINK("https://lindat.mff.cuni.cz/services/teitok/pdtc10/index.php?action=vallex&amp;frame=v-w8031f3", "vykoupit (v-w8031f3) - substituted with v-w8031f4_ZU")</f>
        <v>vykoupit (v-w8031f3) - substituted with v-w8031f4_ZU</v>
      </c>
    </row>
    <row r="57026" spans="1:2" x14ac:dyDescent="0.2">
      <c r="B57026" t="s">
        <v>1</v>
      </c>
    </row>
    <row r="57027" spans="1:2" x14ac:dyDescent="0.2">
      <c r="B57027" t="s">
        <v>8</v>
      </c>
    </row>
    <row r="57028" spans="1:2" x14ac:dyDescent="0.2">
      <c r="B57028" t="s">
        <v>17940</v>
      </c>
    </row>
    <row r="57030" spans="1:2" x14ac:dyDescent="0.2">
      <c r="A57030" t="s">
        <v>17941</v>
      </c>
      <c r="B57030" t="str">
        <f>HYPERLINK("https://lindat.mff.cuni.cz/services/teitok/pdtc10/index.php?action=vallex&amp;frame=v-w8032f1", "vykouzlit (v-w8032f1)")</f>
        <v>vykouzlit (v-w8032f1)</v>
      </c>
    </row>
    <row r="57031" spans="1:2" x14ac:dyDescent="0.2">
      <c r="B57031" t="s">
        <v>1</v>
      </c>
    </row>
    <row r="57032" spans="1:2" x14ac:dyDescent="0.2">
      <c r="B57032" t="s">
        <v>8</v>
      </c>
    </row>
    <row r="57033" spans="1:2" x14ac:dyDescent="0.2">
      <c r="B57033" t="s">
        <v>1629</v>
      </c>
    </row>
    <row r="57034" spans="1:2" x14ac:dyDescent="0.2">
      <c r="B57034" t="s">
        <v>24</v>
      </c>
    </row>
    <row r="57036" spans="1:2" x14ac:dyDescent="0.2">
      <c r="A57036" t="s">
        <v>17942</v>
      </c>
      <c r="B57036" t="str">
        <f>HYPERLINK("https://lindat.mff.cuni.cz/services/teitok/pdtc10/index.php?action=vallex&amp;frame=v-whsa_775hsa_776", "vykouřit (v-whsa_775hsa_776)")</f>
        <v>vykouřit (v-whsa_775hsa_776)</v>
      </c>
    </row>
    <row r="57037" spans="1:2" x14ac:dyDescent="0.2">
      <c r="B57037" t="s">
        <v>1</v>
      </c>
    </row>
    <row r="57038" spans="1:2" x14ac:dyDescent="0.2">
      <c r="B57038" t="s">
        <v>8</v>
      </c>
    </row>
    <row r="57040" spans="1:2" x14ac:dyDescent="0.2">
      <c r="A57040" t="s">
        <v>17943</v>
      </c>
      <c r="B57040" t="str">
        <f>HYPERLINK("https://lindat.mff.cuni.cz/services/teitok/pdtc10/index.php?action=vallex&amp;frame=v-w12208_ZUf1_ZU", "vykovat (v-w12208_ZUf1_ZU)")</f>
        <v>vykovat (v-w12208_ZUf1_ZU)</v>
      </c>
    </row>
    <row r="57041" spans="1:3" x14ac:dyDescent="0.2">
      <c r="B57041" t="s">
        <v>1</v>
      </c>
    </row>
    <row r="57042" spans="1:3" x14ac:dyDescent="0.2">
      <c r="B57042" t="s">
        <v>8</v>
      </c>
    </row>
    <row r="57043" spans="1:3" x14ac:dyDescent="0.2">
      <c r="B57043" t="s">
        <v>24</v>
      </c>
    </row>
    <row r="57045" spans="1:3" x14ac:dyDescent="0.2">
      <c r="A57045" t="s">
        <v>17944</v>
      </c>
      <c r="B57045" t="str">
        <f>HYPERLINK("https://lindat.mff.cuni.cz/services/teitok/pdtc10/index.php?action=vallex&amp;frame=v-w8027f1", "vykořenit (v-w8027f1)")</f>
        <v>vykořenit (v-w8027f1)</v>
      </c>
    </row>
    <row r="57046" spans="1:3" x14ac:dyDescent="0.2">
      <c r="B57046" t="s">
        <v>1</v>
      </c>
    </row>
    <row r="57047" spans="1:3" x14ac:dyDescent="0.2">
      <c r="B57047" t="s">
        <v>8</v>
      </c>
    </row>
    <row r="57048" spans="1:3" x14ac:dyDescent="0.2">
      <c r="B57048" t="s">
        <v>333</v>
      </c>
    </row>
    <row r="57050" spans="1:3" x14ac:dyDescent="0.2">
      <c r="A57050" t="s">
        <v>17945</v>
      </c>
      <c r="B57050" t="str">
        <f>HYPERLINK("https://lindat.mff.cuni.cz/services/teitok/pdtc10/index.php?action=vallex&amp;frame=v-w10980f2", "vykořisťovat (v-w10980f2)")</f>
        <v>vykořisťovat (v-w10980f2)</v>
      </c>
    </row>
    <row r="57051" spans="1:3" x14ac:dyDescent="0.2">
      <c r="B57051" t="s">
        <v>1</v>
      </c>
      <c r="C57051" t="s">
        <v>249</v>
      </c>
    </row>
    <row r="57052" spans="1:3" x14ac:dyDescent="0.2">
      <c r="B57052" t="s">
        <v>8</v>
      </c>
      <c r="C57052" t="s">
        <v>1025</v>
      </c>
    </row>
    <row r="57054" spans="1:3" x14ac:dyDescent="0.2">
      <c r="A57054" t="s">
        <v>17946</v>
      </c>
      <c r="B57054" t="str">
        <f>HYPERLINK("https://lindat.mff.cuni.cz/services/teitok/pdtc10/index.php?action=vallex&amp;frame=v-w11621_ZUf1_ZU", "vykračovat si (v-w11621_ZUf1_ZU)")</f>
        <v>vykračovat si (v-w11621_ZUf1_ZU)</v>
      </c>
    </row>
    <row r="57055" spans="1:3" x14ac:dyDescent="0.2">
      <c r="B57055" t="s">
        <v>1</v>
      </c>
    </row>
    <row r="57057" spans="1:4" x14ac:dyDescent="0.2">
      <c r="A57057" t="s">
        <v>17947</v>
      </c>
      <c r="B57057" t="str">
        <f>HYPERLINK("https://lindat.mff.cuni.cz/services/teitok/pdtc10/index.php?action=vallex&amp;frame=v-w8035f3_ZU", "vykreslit (v-w8035f3_ZU)")</f>
        <v>vykreslit (v-w8035f3_ZU)</v>
      </c>
    </row>
    <row r="57058" spans="1:4" x14ac:dyDescent="0.2">
      <c r="B57058" t="s">
        <v>1</v>
      </c>
      <c r="C57058" t="s">
        <v>430</v>
      </c>
      <c r="D57058" t="s">
        <v>102</v>
      </c>
    </row>
    <row r="57059" spans="1:4" x14ac:dyDescent="0.2">
      <c r="B57059" t="s">
        <v>17948</v>
      </c>
      <c r="C57059" t="s">
        <v>1340</v>
      </c>
      <c r="D57059" t="s">
        <v>23046</v>
      </c>
    </row>
    <row r="57060" spans="1:4" x14ac:dyDescent="0.2">
      <c r="B57060" t="s">
        <v>35</v>
      </c>
    </row>
    <row r="57062" spans="1:4" x14ac:dyDescent="0.2">
      <c r="A57062" t="s">
        <v>17947</v>
      </c>
      <c r="B57062" t="str">
        <f>HYPERLINK("https://lindat.mff.cuni.cz/services/teitok/pdtc10/index.php?action=vallex&amp;frame=v-w8035f1", "vykreslit (v-w8035f1) - substituted with v-w8035f3_ZU")</f>
        <v>vykreslit (v-w8035f1) - substituted with v-w8035f3_ZU</v>
      </c>
    </row>
    <row r="57063" spans="1:4" x14ac:dyDescent="0.2">
      <c r="B57063" t="s">
        <v>1</v>
      </c>
      <c r="C57063" t="s">
        <v>3417</v>
      </c>
    </row>
    <row r="57064" spans="1:4" x14ac:dyDescent="0.2">
      <c r="B57064" t="s">
        <v>17948</v>
      </c>
      <c r="C57064" t="s">
        <v>1025</v>
      </c>
    </row>
    <row r="57065" spans="1:4" x14ac:dyDescent="0.2">
      <c r="B57065" t="s">
        <v>35</v>
      </c>
    </row>
    <row r="57067" spans="1:4" x14ac:dyDescent="0.2">
      <c r="A57067" t="s">
        <v>17949</v>
      </c>
      <c r="B57067" t="str">
        <f>HYPERLINK("https://lindat.mff.cuni.cz/services/teitok/pdtc10/index.php?action=vallex&amp;frame=v-w8035f2", "vykreslit (v-w8035f2)")</f>
        <v>vykreslit (v-w8035f2)</v>
      </c>
    </row>
    <row r="57068" spans="1:4" x14ac:dyDescent="0.2">
      <c r="B57068" t="s">
        <v>1</v>
      </c>
    </row>
    <row r="57069" spans="1:4" x14ac:dyDescent="0.2">
      <c r="B57069" t="s">
        <v>8</v>
      </c>
    </row>
    <row r="57071" spans="1:4" x14ac:dyDescent="0.2">
      <c r="A57071" t="s">
        <v>17950</v>
      </c>
      <c r="B57071" t="str">
        <f>HYPERLINK("https://lindat.mff.cuni.cz/services/teitok/pdtc10/index.php?action=vallex&amp;frame=v-w8036f1", "vykreslit se (v-w8036f1)")</f>
        <v>vykreslit se (v-w8036f1)</v>
      </c>
    </row>
    <row r="57072" spans="1:4" x14ac:dyDescent="0.2">
      <c r="B57072" t="s">
        <v>1</v>
      </c>
    </row>
    <row r="57074" spans="1:4" x14ac:dyDescent="0.2">
      <c r="A57074" t="s">
        <v>17951</v>
      </c>
      <c r="B57074" t="str">
        <f>HYPERLINK("https://lindat.mff.cuni.cz/services/teitok/pdtc10/index.php?action=vallex&amp;frame=v-w11622_ZUf2_ZU", "vykreslovat (v-w11622_ZUf2_ZU)")</f>
        <v>vykreslovat (v-w11622_ZUf2_ZU)</v>
      </c>
    </row>
    <row r="57075" spans="1:4" x14ac:dyDescent="0.2">
      <c r="B57075" t="s">
        <v>1</v>
      </c>
      <c r="C57075" t="s">
        <v>22</v>
      </c>
      <c r="D57075" t="s">
        <v>102</v>
      </c>
    </row>
    <row r="57076" spans="1:4" x14ac:dyDescent="0.2">
      <c r="B57076" t="s">
        <v>17948</v>
      </c>
      <c r="C57076" t="s">
        <v>354</v>
      </c>
      <c r="D57076" t="s">
        <v>23046</v>
      </c>
    </row>
    <row r="57077" spans="1:4" x14ac:dyDescent="0.2">
      <c r="B57077" t="s">
        <v>78</v>
      </c>
    </row>
    <row r="57079" spans="1:4" x14ac:dyDescent="0.2">
      <c r="A57079" t="s">
        <v>17951</v>
      </c>
      <c r="B57079" t="str">
        <f>HYPERLINK("https://lindat.mff.cuni.cz/services/teitok/pdtc10/index.php?action=vallex&amp;frame=v-w11622_ZUf1_ZU", "vykreslovat (v-w11622_ZUf1_ZU) - substituted with v-w11622_ZUf2_ZU")</f>
        <v>vykreslovat (v-w11622_ZUf1_ZU) - substituted with v-w11622_ZUf2_ZU</v>
      </c>
    </row>
    <row r="57080" spans="1:4" x14ac:dyDescent="0.2">
      <c r="B57080" t="s">
        <v>1</v>
      </c>
      <c r="C57080" t="s">
        <v>2347</v>
      </c>
    </row>
    <row r="57081" spans="1:4" x14ac:dyDescent="0.2">
      <c r="B57081" t="s">
        <v>17948</v>
      </c>
      <c r="C57081" t="s">
        <v>54</v>
      </c>
    </row>
    <row r="57082" spans="1:4" x14ac:dyDescent="0.2">
      <c r="B57082" t="s">
        <v>78</v>
      </c>
    </row>
    <row r="57084" spans="1:4" x14ac:dyDescent="0.2">
      <c r="A57084" t="s">
        <v>17952</v>
      </c>
      <c r="B57084" t="str">
        <f>HYPERLINK("https://lindat.mff.cuni.cz/services/teitok/pdtc10/index.php?action=vallex&amp;frame=v-w8037f1", "vykrmit (v-w8037f1)")</f>
        <v>vykrmit (v-w8037f1)</v>
      </c>
    </row>
    <row r="57085" spans="1:4" x14ac:dyDescent="0.2">
      <c r="B57085" t="s">
        <v>1</v>
      </c>
    </row>
    <row r="57086" spans="1:4" x14ac:dyDescent="0.2">
      <c r="B57086" t="s">
        <v>8</v>
      </c>
    </row>
    <row r="57088" spans="1:4" x14ac:dyDescent="0.2">
      <c r="A57088" t="s">
        <v>17953</v>
      </c>
      <c r="B57088" t="str">
        <f>HYPERLINK("https://lindat.mff.cuni.cz/services/teitok/pdtc10/index.php?action=vallex&amp;frame=v-w10878f2", "vykrmovat (v-w10878f2)")</f>
        <v>vykrmovat (v-w10878f2)</v>
      </c>
    </row>
    <row r="57089" spans="1:4" x14ac:dyDescent="0.2">
      <c r="B57089" t="s">
        <v>1</v>
      </c>
      <c r="C57089" t="s">
        <v>80</v>
      </c>
      <c r="D57089" t="s">
        <v>92</v>
      </c>
    </row>
    <row r="57090" spans="1:4" x14ac:dyDescent="0.2">
      <c r="B57090" t="s">
        <v>8</v>
      </c>
      <c r="C57090" t="s">
        <v>1340</v>
      </c>
      <c r="D57090" t="s">
        <v>2290</v>
      </c>
    </row>
    <row r="57092" spans="1:4" x14ac:dyDescent="0.2">
      <c r="A57092" t="s">
        <v>17954</v>
      </c>
      <c r="B57092" t="str">
        <f>HYPERLINK("https://lindat.mff.cuni.cz/services/teitok/pdtc10/index.php?action=vallex&amp;frame=v-whsa_335hsa_336", "vykroutit se (v-whsa_335hsa_336)")</f>
        <v>vykroutit se (v-whsa_335hsa_336)</v>
      </c>
    </row>
    <row r="57093" spans="1:4" x14ac:dyDescent="0.2">
      <c r="B57093" t="s">
        <v>1</v>
      </c>
      <c r="D57093" t="s">
        <v>6115</v>
      </c>
    </row>
    <row r="57094" spans="1:4" x14ac:dyDescent="0.2">
      <c r="B57094" t="s">
        <v>168</v>
      </c>
      <c r="D57094" t="s">
        <v>11560</v>
      </c>
    </row>
    <row r="57096" spans="1:4" x14ac:dyDescent="0.2">
      <c r="A57096" t="s">
        <v>17955</v>
      </c>
      <c r="B57096" t="str">
        <f>HYPERLINK("https://lindat.mff.cuni.cz/services/teitok/pdtc10/index.php?action=vallex&amp;frame=v-w8039f2", "vykročit (v-w8039f2)")</f>
        <v>vykročit (v-w8039f2)</v>
      </c>
    </row>
    <row r="57097" spans="1:4" x14ac:dyDescent="0.2">
      <c r="B57097" t="s">
        <v>1</v>
      </c>
      <c r="C57097" t="s">
        <v>2749</v>
      </c>
      <c r="D57097" t="s">
        <v>24384</v>
      </c>
    </row>
    <row r="57098" spans="1:4" x14ac:dyDescent="0.2">
      <c r="B57098" t="s">
        <v>90</v>
      </c>
      <c r="D57098" t="s">
        <v>14098</v>
      </c>
    </row>
    <row r="57100" spans="1:4" x14ac:dyDescent="0.2">
      <c r="A57100" t="s">
        <v>17956</v>
      </c>
      <c r="B57100" t="str">
        <f>HYPERLINK("https://lindat.mff.cuni.cz/services/teitok/pdtc10/index.php?action=vallex&amp;frame=v-w8039f1", "vykročit (v-w8039f1)")</f>
        <v>vykročit (v-w8039f1)</v>
      </c>
    </row>
    <row r="57101" spans="1:4" x14ac:dyDescent="0.2">
      <c r="B57101" t="s">
        <v>1</v>
      </c>
    </row>
    <row r="57103" spans="1:4" x14ac:dyDescent="0.2">
      <c r="A57103" t="s">
        <v>17957</v>
      </c>
      <c r="B57103" t="str">
        <f>HYPERLINK("https://lindat.mff.cuni.cz/services/teitok/pdtc10/index.php?action=vallex&amp;frame=v-w8040f1", "vykrvácet (v-w8040f1)")</f>
        <v>vykrvácet (v-w8040f1)</v>
      </c>
    </row>
    <row r="57104" spans="1:4" x14ac:dyDescent="0.2">
      <c r="B57104" t="s">
        <v>1</v>
      </c>
      <c r="C57104" t="s">
        <v>2698</v>
      </c>
      <c r="D57104" t="s">
        <v>133</v>
      </c>
    </row>
    <row r="57106" spans="1:4" x14ac:dyDescent="0.2">
      <c r="A57106" t="s">
        <v>17958</v>
      </c>
      <c r="B57106" t="str">
        <f>HYPERLINK("https://lindat.mff.cuni.cz/services/teitok/pdtc10/index.php?action=vallex&amp;frame=v-w8041f1", "vykrystalizovat (v-w8041f1)")</f>
        <v>vykrystalizovat (v-w8041f1)</v>
      </c>
    </row>
    <row r="57107" spans="1:4" x14ac:dyDescent="0.2">
      <c r="B57107" t="s">
        <v>1</v>
      </c>
      <c r="C57107" t="s">
        <v>186</v>
      </c>
      <c r="D57107" t="s">
        <v>24385</v>
      </c>
    </row>
    <row r="57109" spans="1:4" x14ac:dyDescent="0.2">
      <c r="A57109" t="s">
        <v>17959</v>
      </c>
      <c r="B57109" t="str">
        <f>HYPERLINK("https://lindat.mff.cuni.cz/services/teitok/pdtc10/index.php?action=vallex&amp;frame=v-w10549f3", "vykrádat (v-w10549f3)")</f>
        <v>vykrádat (v-w10549f3)</v>
      </c>
    </row>
    <row r="57110" spans="1:4" x14ac:dyDescent="0.2">
      <c r="B57110" t="s">
        <v>1</v>
      </c>
    </row>
    <row r="57111" spans="1:4" x14ac:dyDescent="0.2">
      <c r="B57111" t="s">
        <v>8</v>
      </c>
      <c r="D57111" t="s">
        <v>113</v>
      </c>
    </row>
    <row r="57113" spans="1:4" x14ac:dyDescent="0.2">
      <c r="A57113" t="s">
        <v>17960</v>
      </c>
      <c r="B57113" t="str">
        <f>HYPERLINK("https://lindat.mff.cuni.cz/services/teitok/pdtc10/index.php?action=vallex&amp;frame=v-w8034f1", "vykrást (v-w8034f1)")</f>
        <v>vykrást (v-w8034f1)</v>
      </c>
    </row>
    <row r="57114" spans="1:4" x14ac:dyDescent="0.2">
      <c r="B57114" t="s">
        <v>1</v>
      </c>
    </row>
    <row r="57115" spans="1:4" x14ac:dyDescent="0.2">
      <c r="B57115" t="s">
        <v>8</v>
      </c>
      <c r="D57115" t="s">
        <v>113</v>
      </c>
    </row>
    <row r="57117" spans="1:4" x14ac:dyDescent="0.2">
      <c r="A57117" t="s">
        <v>17961</v>
      </c>
      <c r="B57117" t="str">
        <f>HYPERLINK("https://lindat.mff.cuni.cz/services/teitok/pdtc10/index.php?action=vallex&amp;frame=v-w8042f1", "vykrýt (v-w8042f1)")</f>
        <v>vykrýt (v-w8042f1)</v>
      </c>
    </row>
    <row r="57118" spans="1:4" x14ac:dyDescent="0.2">
      <c r="B57118" t="s">
        <v>1</v>
      </c>
    </row>
    <row r="57119" spans="1:4" x14ac:dyDescent="0.2">
      <c r="B57119" t="s">
        <v>8</v>
      </c>
    </row>
    <row r="57121" spans="1:2" x14ac:dyDescent="0.2">
      <c r="A57121" t="s">
        <v>17962</v>
      </c>
      <c r="B57121" t="str">
        <f>HYPERLINK("https://lindat.mff.cuni.cz/services/teitok/pdtc10/index.php?action=vallex&amp;frame=v-whsa_1662hsa_1663", "vykuchat (v-whsa_1662hsa_1663)")</f>
        <v>vykuchat (v-whsa_1662hsa_1663)</v>
      </c>
    </row>
    <row r="57122" spans="1:2" x14ac:dyDescent="0.2">
      <c r="B57122" t="s">
        <v>1</v>
      </c>
    </row>
    <row r="57123" spans="1:2" x14ac:dyDescent="0.2">
      <c r="B57123" t="s">
        <v>8</v>
      </c>
    </row>
    <row r="57125" spans="1:2" x14ac:dyDescent="0.2">
      <c r="A57125" t="s">
        <v>17963</v>
      </c>
      <c r="B57125" t="str">
        <f>HYPERLINK("https://lindat.mff.cuni.cz/services/teitok/pdtc10/index.php?action=vallex&amp;frame=v-w8045f1", "vykukovat (v-w8045f1)")</f>
        <v>vykukovat (v-w8045f1)</v>
      </c>
    </row>
    <row r="57126" spans="1:2" x14ac:dyDescent="0.2">
      <c r="B57126" t="s">
        <v>1</v>
      </c>
    </row>
    <row r="57127" spans="1:2" x14ac:dyDescent="0.2">
      <c r="B57127" t="s">
        <v>333</v>
      </c>
    </row>
    <row r="57129" spans="1:2" x14ac:dyDescent="0.2">
      <c r="A57129" t="s">
        <v>17964</v>
      </c>
      <c r="B57129" t="str">
        <f>HYPERLINK("https://lindat.mff.cuni.cz/services/teitok/pdtc10/index.php?action=vallex&amp;frame=v-w8045f2_ZU", "vykukovat (v-w8045f2_ZU)")</f>
        <v>vykukovat (v-w8045f2_ZU)</v>
      </c>
    </row>
    <row r="57130" spans="1:2" x14ac:dyDescent="0.2">
      <c r="B57130" t="s">
        <v>1</v>
      </c>
    </row>
    <row r="57131" spans="1:2" x14ac:dyDescent="0.2">
      <c r="B57131" t="s">
        <v>4622</v>
      </c>
    </row>
    <row r="57133" spans="1:2" x14ac:dyDescent="0.2">
      <c r="A57133" t="s">
        <v>17965</v>
      </c>
      <c r="B57133" t="str">
        <f>HYPERLINK("https://lindat.mff.cuni.cz/services/teitok/pdtc10/index.php?action=vallex&amp;frame=v-w11214f2", "vykulminovat (v-w11214f2)")</f>
        <v>vykulminovat (v-w11214f2)</v>
      </c>
    </row>
    <row r="57134" spans="1:2" x14ac:dyDescent="0.2">
      <c r="B57134" t="s">
        <v>1</v>
      </c>
    </row>
    <row r="57136" spans="1:2" x14ac:dyDescent="0.2">
      <c r="A57136" t="s">
        <v>17966</v>
      </c>
      <c r="B57136" t="str">
        <f>HYPERLINK("https://lindat.mff.cuni.cz/services/teitok/pdtc10/index.php?action=vallex&amp;frame=v-w8048f1", "vykupovat (v-w8048f1)")</f>
        <v>vykupovat (v-w8048f1)</v>
      </c>
    </row>
    <row r="57137" spans="1:4" x14ac:dyDescent="0.2">
      <c r="B57137" t="s">
        <v>1</v>
      </c>
      <c r="C57137" t="s">
        <v>1566</v>
      </c>
      <c r="D57137" t="s">
        <v>23430</v>
      </c>
    </row>
    <row r="57138" spans="1:4" x14ac:dyDescent="0.2">
      <c r="B57138" t="s">
        <v>8</v>
      </c>
      <c r="C57138" t="s">
        <v>5674</v>
      </c>
      <c r="D57138" t="s">
        <v>23431</v>
      </c>
    </row>
    <row r="57139" spans="1:4" x14ac:dyDescent="0.2">
      <c r="B57139" t="s">
        <v>321</v>
      </c>
      <c r="C57139" t="s">
        <v>3656</v>
      </c>
      <c r="D57139" t="s">
        <v>5731</v>
      </c>
    </row>
    <row r="57141" spans="1:4" x14ac:dyDescent="0.2">
      <c r="A57141" t="s">
        <v>17967</v>
      </c>
      <c r="B57141" t="str">
        <f>HYPERLINK("https://lindat.mff.cuni.cz/services/teitok/pdtc10/index.php?action=vallex&amp;frame=v-w10054f2", "vykvasit (v-w10054f2)")</f>
        <v>vykvasit (v-w10054f2)</v>
      </c>
    </row>
    <row r="57142" spans="1:4" x14ac:dyDescent="0.2">
      <c r="B57142" t="s">
        <v>1</v>
      </c>
    </row>
    <row r="57144" spans="1:4" x14ac:dyDescent="0.2">
      <c r="A57144" t="s">
        <v>17968</v>
      </c>
      <c r="B57144" t="str">
        <f>HYPERLINK("https://lindat.mff.cuni.cz/services/teitok/pdtc10/index.php?action=vallex&amp;frame=v-w8049f1", "vykvést (v-w8049f1)")</f>
        <v>vykvést (v-w8049f1)</v>
      </c>
    </row>
    <row r="57145" spans="1:4" x14ac:dyDescent="0.2">
      <c r="B57145" t="s">
        <v>1</v>
      </c>
    </row>
    <row r="57146" spans="1:4" x14ac:dyDescent="0.2">
      <c r="B57146" t="s">
        <v>3202</v>
      </c>
    </row>
    <row r="57147" spans="1:4" x14ac:dyDescent="0.2">
      <c r="B57147" t="s">
        <v>24</v>
      </c>
    </row>
    <row r="57149" spans="1:4" x14ac:dyDescent="0.2">
      <c r="A57149" t="s">
        <v>17969</v>
      </c>
      <c r="B57149" t="str">
        <f>HYPERLINK("https://lindat.mff.cuni.cz/services/teitok/pdtc10/index.php?action=vallex&amp;frame=v-w8049f2", "vykvést (v-w8049f2)")</f>
        <v>vykvést (v-w8049f2)</v>
      </c>
    </row>
    <row r="57150" spans="1:4" x14ac:dyDescent="0.2">
      <c r="B57150" t="s">
        <v>1</v>
      </c>
    </row>
    <row r="57151" spans="1:4" x14ac:dyDescent="0.2">
      <c r="B57151" t="s">
        <v>438</v>
      </c>
    </row>
    <row r="57153" spans="1:4" x14ac:dyDescent="0.2">
      <c r="A57153" t="s">
        <v>17970</v>
      </c>
      <c r="B57153" t="str">
        <f>HYPERLINK("https://lindat.mff.cuni.cz/services/teitok/pdtc10/index.php?action=vallex&amp;frame=v-whsa_1850hsa_1851", "vykydat (v-whsa_1850hsa_1851)")</f>
        <v>vykydat (v-whsa_1850hsa_1851)</v>
      </c>
    </row>
    <row r="57154" spans="1:4" x14ac:dyDescent="0.2">
      <c r="B57154" t="s">
        <v>1</v>
      </c>
    </row>
    <row r="57155" spans="1:4" x14ac:dyDescent="0.2">
      <c r="B57155" t="s">
        <v>8</v>
      </c>
    </row>
    <row r="57157" spans="1:4" x14ac:dyDescent="0.2">
      <c r="A57157" t="s">
        <v>17971</v>
      </c>
      <c r="B57157" t="str">
        <f>HYPERLINK("https://lindat.mff.cuni.cz/services/teitok/pdtc10/index.php?action=vallex&amp;frame=v-w11764_ZUf1_ZU", "vykynout (v-w11764_ZUf1_ZU)")</f>
        <v>vykynout (v-w11764_ZUf1_ZU)</v>
      </c>
    </row>
    <row r="57158" spans="1:4" x14ac:dyDescent="0.2">
      <c r="B57158" t="s">
        <v>1</v>
      </c>
    </row>
    <row r="57160" spans="1:4" x14ac:dyDescent="0.2">
      <c r="A57160" t="s">
        <v>17972</v>
      </c>
      <c r="B57160" t="str">
        <f>HYPERLINK("https://lindat.mff.cuni.cz/services/teitok/pdtc10/index.php?action=vallex&amp;frame=v-whsa_1885hsa_1886", "vykácet (v-whsa_1885hsa_1886)")</f>
        <v>vykácet (v-whsa_1885hsa_1886)</v>
      </c>
    </row>
    <row r="57161" spans="1:4" x14ac:dyDescent="0.2">
      <c r="B57161" t="s">
        <v>1</v>
      </c>
    </row>
    <row r="57162" spans="1:4" x14ac:dyDescent="0.2">
      <c r="B57162" t="s">
        <v>8</v>
      </c>
    </row>
    <row r="57164" spans="1:4" x14ac:dyDescent="0.2">
      <c r="A57164" t="s">
        <v>17973</v>
      </c>
      <c r="B57164" t="str">
        <f>HYPERLINK("https://lindat.mff.cuni.cz/services/teitok/pdtc10/index.php?action=vallex&amp;frame=v-whsa_652hsa_653", "vykálet se (v-whsa_652hsa_653)")</f>
        <v>vykálet se (v-whsa_652hsa_653)</v>
      </c>
    </row>
    <row r="57165" spans="1:4" x14ac:dyDescent="0.2">
      <c r="B57165" t="s">
        <v>1</v>
      </c>
    </row>
    <row r="57167" spans="1:4" x14ac:dyDescent="0.2">
      <c r="A57167" t="s">
        <v>17974</v>
      </c>
      <c r="B57167" t="str">
        <f>HYPERLINK("https://lindat.mff.cuni.cz/services/teitok/pdtc10/index.php?action=vallex&amp;frame=v-w8000f1", "vykázat (v-w8000f1)")</f>
        <v>vykázat (v-w8000f1)</v>
      </c>
    </row>
    <row r="57168" spans="1:4" x14ac:dyDescent="0.2">
      <c r="B57168" t="s">
        <v>1</v>
      </c>
      <c r="C57168" t="s">
        <v>17975</v>
      </c>
      <c r="D57168" t="s">
        <v>294</v>
      </c>
    </row>
    <row r="57169" spans="1:4" x14ac:dyDescent="0.2">
      <c r="B57169" t="s">
        <v>7150</v>
      </c>
      <c r="C57169" t="s">
        <v>17976</v>
      </c>
      <c r="D57169" t="s">
        <v>5666</v>
      </c>
    </row>
    <row r="57170" spans="1:4" x14ac:dyDescent="0.2">
      <c r="B57170" t="s">
        <v>78</v>
      </c>
      <c r="C57170" t="s">
        <v>17977</v>
      </c>
    </row>
    <row r="57172" spans="1:4" x14ac:dyDescent="0.2">
      <c r="A57172" t="s">
        <v>17978</v>
      </c>
      <c r="B57172" t="str">
        <f>HYPERLINK("https://lindat.mff.cuni.cz/services/teitok/pdtc10/index.php?action=vallex&amp;frame=v-w8000f2", "vykázat (v-w8000f2)")</f>
        <v>vykázat (v-w8000f2)</v>
      </c>
    </row>
    <row r="57173" spans="1:4" x14ac:dyDescent="0.2">
      <c r="B57173" t="s">
        <v>1</v>
      </c>
      <c r="C57173" t="s">
        <v>5475</v>
      </c>
      <c r="D57173" t="s">
        <v>6131</v>
      </c>
    </row>
    <row r="57174" spans="1:4" x14ac:dyDescent="0.2">
      <c r="B57174" t="s">
        <v>8</v>
      </c>
      <c r="C57174" t="s">
        <v>17979</v>
      </c>
      <c r="D57174" t="s">
        <v>18247</v>
      </c>
    </row>
    <row r="57175" spans="1:4" x14ac:dyDescent="0.2">
      <c r="B57175" t="s">
        <v>333</v>
      </c>
      <c r="D57175" t="s">
        <v>23090</v>
      </c>
    </row>
    <row r="57177" spans="1:4" x14ac:dyDescent="0.2">
      <c r="A57177" t="s">
        <v>17980</v>
      </c>
      <c r="B57177" t="str">
        <f>HYPERLINK("https://lindat.mff.cuni.cz/services/teitok/pdtc10/index.php?action=vallex&amp;frame=v-w8001f1", "vykázat se (v-w8001f1)")</f>
        <v>vykázat se (v-w8001f1)</v>
      </c>
    </row>
    <row r="57178" spans="1:4" x14ac:dyDescent="0.2">
      <c r="B57178" t="s">
        <v>1</v>
      </c>
    </row>
    <row r="57179" spans="1:4" x14ac:dyDescent="0.2">
      <c r="B57179" t="s">
        <v>158</v>
      </c>
    </row>
    <row r="57181" spans="1:4" x14ac:dyDescent="0.2">
      <c r="A57181" t="s">
        <v>17981</v>
      </c>
      <c r="B57181" t="str">
        <f>HYPERLINK("https://lindat.mff.cuni.cz/services/teitok/pdtc10/index.php?action=vallex&amp;frame=v-w8043f1", "vykřiknout (v-w8043f1)")</f>
        <v>vykřiknout (v-w8043f1)</v>
      </c>
    </row>
    <row r="57182" spans="1:4" x14ac:dyDescent="0.2">
      <c r="B57182" t="s">
        <v>1</v>
      </c>
      <c r="C57182" t="s">
        <v>4110</v>
      </c>
      <c r="D57182" t="s">
        <v>2571</v>
      </c>
    </row>
    <row r="57183" spans="1:4" x14ac:dyDescent="0.2">
      <c r="B57183" t="s">
        <v>2158</v>
      </c>
      <c r="C57183" t="s">
        <v>969</v>
      </c>
      <c r="D57183" t="s">
        <v>338</v>
      </c>
    </row>
    <row r="57184" spans="1:4" x14ac:dyDescent="0.2">
      <c r="B57184" t="s">
        <v>3527</v>
      </c>
      <c r="C57184" t="s">
        <v>3728</v>
      </c>
      <c r="D57184" t="s">
        <v>3728</v>
      </c>
    </row>
    <row r="57186" spans="1:4" x14ac:dyDescent="0.2">
      <c r="A57186" t="s">
        <v>17982</v>
      </c>
      <c r="B57186" t="str">
        <f>HYPERLINK("https://lindat.mff.cuni.cz/services/teitok/pdtc10/index.php?action=vallex&amp;frame=v-w8044f1", "vykřikovat (v-w8044f1)")</f>
        <v>vykřikovat (v-w8044f1)</v>
      </c>
    </row>
    <row r="57187" spans="1:4" x14ac:dyDescent="0.2">
      <c r="B57187" t="s">
        <v>1</v>
      </c>
      <c r="C57187" t="s">
        <v>3307</v>
      </c>
      <c r="D57187" t="s">
        <v>2571</v>
      </c>
    </row>
    <row r="57188" spans="1:4" x14ac:dyDescent="0.2">
      <c r="B57188" t="s">
        <v>17983</v>
      </c>
      <c r="C57188" t="s">
        <v>3308</v>
      </c>
      <c r="D57188" t="s">
        <v>338</v>
      </c>
    </row>
    <row r="57189" spans="1:4" x14ac:dyDescent="0.2">
      <c r="B57189" t="s">
        <v>3527</v>
      </c>
      <c r="C57189" t="s">
        <v>9868</v>
      </c>
      <c r="D57189" t="s">
        <v>3728</v>
      </c>
    </row>
    <row r="57191" spans="1:4" x14ac:dyDescent="0.2">
      <c r="A57191" t="s">
        <v>17984</v>
      </c>
      <c r="B57191" t="str">
        <f>HYPERLINK("https://lindat.mff.cuni.cz/services/teitok/pdtc10/index.php?action=vallex&amp;frame=v-w8044hsa_238", "vykřikovat (v-w8044hsa_238)")</f>
        <v>vykřikovat (v-w8044hsa_238)</v>
      </c>
    </row>
    <row r="57192" spans="1:4" x14ac:dyDescent="0.2">
      <c r="B57192" t="s">
        <v>1</v>
      </c>
    </row>
    <row r="57193" spans="1:4" x14ac:dyDescent="0.2">
      <c r="B57193" t="s">
        <v>4749</v>
      </c>
    </row>
    <row r="57194" spans="1:4" x14ac:dyDescent="0.2">
      <c r="B57194" t="s">
        <v>269</v>
      </c>
    </row>
    <row r="57196" spans="1:4" x14ac:dyDescent="0.2">
      <c r="A57196" t="s">
        <v>17985</v>
      </c>
      <c r="B57196" t="str">
        <f>HYPERLINK("https://lindat.mff.cuni.cz/services/teitok/pdtc10/index.php?action=vallex&amp;frame=v-w10706f2", "vyladit (v-w10706f2)")</f>
        <v>vyladit (v-w10706f2)</v>
      </c>
    </row>
    <row r="57197" spans="1:4" x14ac:dyDescent="0.2">
      <c r="B57197" t="s">
        <v>1</v>
      </c>
    </row>
    <row r="57198" spans="1:4" x14ac:dyDescent="0.2">
      <c r="B57198" t="s">
        <v>8</v>
      </c>
    </row>
    <row r="57200" spans="1:4" x14ac:dyDescent="0.2">
      <c r="A57200" t="s">
        <v>17986</v>
      </c>
      <c r="B57200" t="str">
        <f>HYPERLINK("https://lindat.mff.cuni.cz/services/teitok/pdtc10/index.php?action=vallex&amp;frame=v-w8052f1", "vylamovat (v-w8052f1)")</f>
        <v>vylamovat (v-w8052f1)</v>
      </c>
    </row>
    <row r="57201" spans="1:2" x14ac:dyDescent="0.2">
      <c r="B57201" t="s">
        <v>1</v>
      </c>
    </row>
    <row r="57202" spans="1:2" x14ac:dyDescent="0.2">
      <c r="B57202" t="s">
        <v>8</v>
      </c>
    </row>
    <row r="57203" spans="1:2" x14ac:dyDescent="0.2">
      <c r="B57203" t="s">
        <v>333</v>
      </c>
    </row>
    <row r="57205" spans="1:2" x14ac:dyDescent="0.2">
      <c r="A57205" t="s">
        <v>17987</v>
      </c>
      <c r="B57205" t="str">
        <f>HYPERLINK("https://lindat.mff.cuni.cz/services/teitok/pdtc10/index.php?action=vallex&amp;frame=v-w8052f3", "vylamovat (v-w8052f3)")</f>
        <v>vylamovat (v-w8052f3)</v>
      </c>
    </row>
    <row r="57206" spans="1:2" x14ac:dyDescent="0.2">
      <c r="B57206" t="s">
        <v>1</v>
      </c>
    </row>
    <row r="57207" spans="1:2" x14ac:dyDescent="0.2">
      <c r="B57207" t="s">
        <v>8</v>
      </c>
    </row>
    <row r="57209" spans="1:2" x14ac:dyDescent="0.2">
      <c r="A57209" t="s">
        <v>17988</v>
      </c>
      <c r="B57209" t="str">
        <f>HYPERLINK("https://lindat.mff.cuni.cz/services/teitok/pdtc10/index.php?action=vallex&amp;frame=v-w8052f2", "vylamovat (v-w8052f2)")</f>
        <v>vylamovat (v-w8052f2)</v>
      </c>
    </row>
    <row r="57210" spans="1:2" x14ac:dyDescent="0.2">
      <c r="B57210" t="s">
        <v>1</v>
      </c>
    </row>
    <row r="57211" spans="1:2" x14ac:dyDescent="0.2">
      <c r="B57211" t="s">
        <v>8</v>
      </c>
    </row>
    <row r="57213" spans="1:2" x14ac:dyDescent="0.2">
      <c r="A57213" t="s">
        <v>17989</v>
      </c>
      <c r="B57213" t="str">
        <f>HYPERLINK("https://lindat.mff.cuni.cz/services/teitok/pdtc10/index.php?action=vallex&amp;frame=v-w8055f1", "vylekat (v-w8055f1)")</f>
        <v>vylekat (v-w8055f1)</v>
      </c>
    </row>
    <row r="57214" spans="1:2" x14ac:dyDescent="0.2">
      <c r="B57214" t="s">
        <v>1</v>
      </c>
    </row>
    <row r="57215" spans="1:2" x14ac:dyDescent="0.2">
      <c r="B57215" t="s">
        <v>8</v>
      </c>
    </row>
    <row r="57217" spans="1:4" x14ac:dyDescent="0.2">
      <c r="A57217" t="s">
        <v>17990</v>
      </c>
      <c r="B57217" t="str">
        <f>HYPERLINK("https://lindat.mff.cuni.cz/services/teitok/pdtc10/index.php?action=vallex&amp;frame=v-w11373f1", "vylekat se (v-w11373f1)")</f>
        <v>vylekat se (v-w11373f1)</v>
      </c>
    </row>
    <row r="57218" spans="1:4" x14ac:dyDescent="0.2">
      <c r="B57218" t="s">
        <v>1</v>
      </c>
    </row>
    <row r="57220" spans="1:4" x14ac:dyDescent="0.2">
      <c r="A57220" t="s">
        <v>17991</v>
      </c>
      <c r="B57220" t="str">
        <f>HYPERLINK("https://lindat.mff.cuni.cz/services/teitok/pdtc10/index.php?action=vallex&amp;frame=v-w8056f1", "vylepit (v-w8056f1)")</f>
        <v>vylepit (v-w8056f1)</v>
      </c>
    </row>
    <row r="57221" spans="1:4" x14ac:dyDescent="0.2">
      <c r="B57221" t="s">
        <v>1</v>
      </c>
    </row>
    <row r="57222" spans="1:4" x14ac:dyDescent="0.2">
      <c r="B57222" t="s">
        <v>41</v>
      </c>
    </row>
    <row r="57223" spans="1:4" x14ac:dyDescent="0.2">
      <c r="B57223" t="s">
        <v>5</v>
      </c>
    </row>
    <row r="57225" spans="1:4" x14ac:dyDescent="0.2">
      <c r="A57225" t="s">
        <v>17992</v>
      </c>
      <c r="B57225" t="str">
        <f>HYPERLINK("https://lindat.mff.cuni.cz/services/teitok/pdtc10/index.php?action=vallex&amp;frame=v-w8056f2", "vylepit (v-w8056f2)")</f>
        <v>vylepit (v-w8056f2)</v>
      </c>
    </row>
    <row r="57226" spans="1:4" x14ac:dyDescent="0.2">
      <c r="B57226" t="s">
        <v>1</v>
      </c>
    </row>
    <row r="57227" spans="1:4" x14ac:dyDescent="0.2">
      <c r="B57227" t="s">
        <v>41</v>
      </c>
    </row>
    <row r="57228" spans="1:4" x14ac:dyDescent="0.2">
      <c r="B57228" t="s">
        <v>90</v>
      </c>
    </row>
    <row r="57230" spans="1:4" x14ac:dyDescent="0.2">
      <c r="A57230" t="s">
        <v>17993</v>
      </c>
      <c r="B57230" t="str">
        <f>HYPERLINK("https://lindat.mff.cuni.cz/services/teitok/pdtc10/index.php?action=vallex&amp;frame=v-w8058f1", "vylepšit (v-w8058f1)")</f>
        <v>vylepšit (v-w8058f1)</v>
      </c>
    </row>
    <row r="57231" spans="1:4" x14ac:dyDescent="0.2">
      <c r="B57231" t="s">
        <v>1</v>
      </c>
      <c r="C57231" t="s">
        <v>17994</v>
      </c>
      <c r="D57231" t="s">
        <v>23442</v>
      </c>
    </row>
    <row r="57232" spans="1:4" x14ac:dyDescent="0.2">
      <c r="B57232" t="s">
        <v>8</v>
      </c>
      <c r="C57232" t="s">
        <v>16005</v>
      </c>
      <c r="D57232" t="s">
        <v>23443</v>
      </c>
    </row>
    <row r="57233" spans="1:4" x14ac:dyDescent="0.2">
      <c r="B57233" t="s">
        <v>24</v>
      </c>
      <c r="D57233" t="s">
        <v>24272</v>
      </c>
    </row>
    <row r="57234" spans="1:4" x14ac:dyDescent="0.2">
      <c r="B57234" t="s">
        <v>61</v>
      </c>
      <c r="C57234" t="s">
        <v>17995</v>
      </c>
      <c r="D57234" t="s">
        <v>21650</v>
      </c>
    </row>
    <row r="57236" spans="1:4" x14ac:dyDescent="0.2">
      <c r="A57236" t="s">
        <v>17996</v>
      </c>
      <c r="B57236" t="str">
        <f>HYPERLINK("https://lindat.mff.cuni.cz/services/teitok/pdtc10/index.php?action=vallex&amp;frame=v-w8059f1", "vylepšovat (v-w8059f1)")</f>
        <v>vylepšovat (v-w8059f1)</v>
      </c>
    </row>
    <row r="57237" spans="1:4" x14ac:dyDescent="0.2">
      <c r="B57237" t="s">
        <v>1</v>
      </c>
      <c r="C57237" t="s">
        <v>3542</v>
      </c>
      <c r="D57237" t="s">
        <v>23442</v>
      </c>
    </row>
    <row r="57238" spans="1:4" x14ac:dyDescent="0.2">
      <c r="B57238" t="s">
        <v>8</v>
      </c>
      <c r="C57238" t="s">
        <v>1362</v>
      </c>
      <c r="D57238" t="s">
        <v>23443</v>
      </c>
    </row>
    <row r="57239" spans="1:4" x14ac:dyDescent="0.2">
      <c r="B57239" t="s">
        <v>24</v>
      </c>
      <c r="D57239" t="s">
        <v>24272</v>
      </c>
    </row>
    <row r="57240" spans="1:4" x14ac:dyDescent="0.2">
      <c r="B57240" t="s">
        <v>61</v>
      </c>
      <c r="C57240" t="s">
        <v>5609</v>
      </c>
      <c r="D57240" t="s">
        <v>21650</v>
      </c>
    </row>
    <row r="57242" spans="1:4" x14ac:dyDescent="0.2">
      <c r="A57242" t="s">
        <v>17997</v>
      </c>
      <c r="B57242" t="str">
        <f>HYPERLINK("https://lindat.mff.cuni.cz/services/teitok/pdtc10/index.php?action=vallex&amp;frame=v-w8060f8_ZU", "vyletět (v-w8060f8_ZU)")</f>
        <v>vyletět (v-w8060f8_ZU)</v>
      </c>
    </row>
    <row r="57243" spans="1:4" x14ac:dyDescent="0.2">
      <c r="B57243" t="s">
        <v>1</v>
      </c>
      <c r="C57243" t="s">
        <v>12046</v>
      </c>
      <c r="D57243" t="s">
        <v>23510</v>
      </c>
    </row>
    <row r="57244" spans="1:4" x14ac:dyDescent="0.2">
      <c r="B57244" t="s">
        <v>46</v>
      </c>
      <c r="C57244" t="s">
        <v>17998</v>
      </c>
      <c r="D57244" t="s">
        <v>23393</v>
      </c>
    </row>
    <row r="57245" spans="1:4" x14ac:dyDescent="0.2">
      <c r="B57245" t="s">
        <v>24</v>
      </c>
      <c r="C57245" t="s">
        <v>17999</v>
      </c>
      <c r="D57245" t="s">
        <v>23394</v>
      </c>
    </row>
    <row r="57247" spans="1:4" x14ac:dyDescent="0.2">
      <c r="A57247" t="s">
        <v>17997</v>
      </c>
      <c r="B57247" t="str">
        <f>HYPERLINK("https://lindat.mff.cuni.cz/services/teitok/pdtc10/index.php?action=vallex&amp;frame=v-w8060f3_ZU", "vyletět (v-w8060f3_ZU) - substituted with v-w8060f8_ZU")</f>
        <v>vyletět (v-w8060f3_ZU) - substituted with v-w8060f8_ZU</v>
      </c>
    </row>
    <row r="57248" spans="1:4" x14ac:dyDescent="0.2">
      <c r="B57248" t="s">
        <v>1</v>
      </c>
      <c r="C57248" t="s">
        <v>18000</v>
      </c>
    </row>
    <row r="57249" spans="1:3" x14ac:dyDescent="0.2">
      <c r="B57249" t="s">
        <v>46</v>
      </c>
      <c r="C57249" t="s">
        <v>18001</v>
      </c>
    </row>
    <row r="57250" spans="1:3" x14ac:dyDescent="0.2">
      <c r="B57250" t="s">
        <v>24</v>
      </c>
      <c r="C57250" t="s">
        <v>18002</v>
      </c>
    </row>
    <row r="57252" spans="1:3" x14ac:dyDescent="0.2">
      <c r="A57252" t="s">
        <v>17997</v>
      </c>
      <c r="B57252" t="str">
        <f>HYPERLINK("https://lindat.mff.cuni.cz/services/teitok/pdtc10/index.php?action=vallex&amp;frame=v-w8060f7_ZU", "vyletět (v-w8060f7_ZU) - substituted with v-w8060f8_ZU")</f>
        <v>vyletět (v-w8060f7_ZU) - substituted with v-w8060f8_ZU</v>
      </c>
    </row>
    <row r="57253" spans="1:3" x14ac:dyDescent="0.2">
      <c r="B57253" t="s">
        <v>1</v>
      </c>
      <c r="C57253" t="s">
        <v>18003</v>
      </c>
    </row>
    <row r="57254" spans="1:3" x14ac:dyDescent="0.2">
      <c r="B57254" t="s">
        <v>46</v>
      </c>
      <c r="C57254" t="s">
        <v>14167</v>
      </c>
    </row>
    <row r="57255" spans="1:3" x14ac:dyDescent="0.2">
      <c r="B57255" t="s">
        <v>24</v>
      </c>
      <c r="C57255" t="s">
        <v>9544</v>
      </c>
    </row>
    <row r="57257" spans="1:3" x14ac:dyDescent="0.2">
      <c r="A57257" t="s">
        <v>18004</v>
      </c>
      <c r="B57257" t="str">
        <f>HYPERLINK("https://lindat.mff.cuni.cz/services/teitok/pdtc10/index.php?action=vallex&amp;frame=v-w8060f1", "vyletět (v-w8060f1)")</f>
        <v>vyletět (v-w8060f1)</v>
      </c>
    </row>
    <row r="57258" spans="1:3" x14ac:dyDescent="0.2">
      <c r="B57258" t="s">
        <v>1</v>
      </c>
    </row>
    <row r="57259" spans="1:3" x14ac:dyDescent="0.2">
      <c r="B57259" t="s">
        <v>28</v>
      </c>
    </row>
    <row r="57261" spans="1:3" x14ac:dyDescent="0.2">
      <c r="A57261" t="s">
        <v>18005</v>
      </c>
      <c r="B57261" t="str">
        <f>HYPERLINK("https://lindat.mff.cuni.cz/services/teitok/pdtc10/index.php?action=vallex&amp;frame=v-w8060f2", "vyletět (v-w8060f2)")</f>
        <v>vyletět (v-w8060f2)</v>
      </c>
    </row>
    <row r="57262" spans="1:3" x14ac:dyDescent="0.2">
      <c r="B57262" t="s">
        <v>1</v>
      </c>
    </row>
    <row r="57263" spans="1:3" x14ac:dyDescent="0.2">
      <c r="B57263" t="s">
        <v>333</v>
      </c>
    </row>
    <row r="57265" spans="1:4" x14ac:dyDescent="0.2">
      <c r="A57265" t="s">
        <v>18006</v>
      </c>
      <c r="B57265" t="str">
        <f>HYPERLINK("https://lindat.mff.cuni.cz/services/teitok/pdtc10/index.php?action=vallex&amp;frame=v-w8060f6_ZU", "vyletět (v-w8060f6_ZU)")</f>
        <v>vyletět (v-w8060f6_ZU)</v>
      </c>
    </row>
    <row r="57266" spans="1:4" x14ac:dyDescent="0.2">
      <c r="B57266" t="s">
        <v>1</v>
      </c>
      <c r="C57266" t="s">
        <v>18007</v>
      </c>
      <c r="D57266" t="s">
        <v>24386</v>
      </c>
    </row>
    <row r="57267" spans="1:4" x14ac:dyDescent="0.2">
      <c r="B57267" t="s">
        <v>252</v>
      </c>
      <c r="D57267" t="s">
        <v>24387</v>
      </c>
    </row>
    <row r="57269" spans="1:4" x14ac:dyDescent="0.2">
      <c r="A57269" t="s">
        <v>18006</v>
      </c>
      <c r="B57269" t="str">
        <f>HYPERLINK("https://lindat.mff.cuni.cz/services/teitok/pdtc10/index.php?action=vallex&amp;frame=v-w8060f4_ZU", "vyletět (v-w8060f4_ZU) - substituted with v-w8060f6_ZU")</f>
        <v>vyletět (v-w8060f4_ZU) - substituted with v-w8060f6_ZU</v>
      </c>
    </row>
    <row r="57270" spans="1:4" x14ac:dyDescent="0.2">
      <c r="B57270" t="s">
        <v>1</v>
      </c>
      <c r="C57270" t="s">
        <v>18007</v>
      </c>
    </row>
    <row r="57271" spans="1:4" x14ac:dyDescent="0.2">
      <c r="B57271" t="s">
        <v>252</v>
      </c>
    </row>
    <row r="57273" spans="1:4" x14ac:dyDescent="0.2">
      <c r="A57273" t="s">
        <v>18006</v>
      </c>
      <c r="B57273" t="str">
        <f>HYPERLINK("https://lindat.mff.cuni.cz/services/teitok/pdtc10/index.php?action=vallex&amp;frame=v-w8060f5_ZU", "vyletět (v-w8060f5_ZU) - substituted with v-w8060f6_ZU")</f>
        <v>vyletět (v-w8060f5_ZU) - substituted with v-w8060f6_ZU</v>
      </c>
    </row>
    <row r="57274" spans="1:4" x14ac:dyDescent="0.2">
      <c r="B57274" t="s">
        <v>1</v>
      </c>
    </row>
    <row r="57275" spans="1:4" x14ac:dyDescent="0.2">
      <c r="B57275" t="s">
        <v>252</v>
      </c>
    </row>
    <row r="57277" spans="1:4" x14ac:dyDescent="0.2">
      <c r="A57277" t="s">
        <v>18008</v>
      </c>
      <c r="B57277" t="str">
        <f>HYPERLINK("https://lindat.mff.cuni.cz/services/teitok/pdtc10/index.php?action=vallex&amp;frame=v-w8060hsa_1089", "vyletět (v-w8060hsa_1089)")</f>
        <v>vyletět (v-w8060hsa_1089)</v>
      </c>
    </row>
    <row r="57278" spans="1:4" x14ac:dyDescent="0.2">
      <c r="B57278" t="s">
        <v>1</v>
      </c>
    </row>
    <row r="57279" spans="1:4" x14ac:dyDescent="0.2">
      <c r="B57279" t="s">
        <v>333</v>
      </c>
    </row>
    <row r="57281" spans="1:2" x14ac:dyDescent="0.2">
      <c r="A57281" t="s">
        <v>18009</v>
      </c>
      <c r="B57281" t="str">
        <f>HYPERLINK("https://lindat.mff.cuni.cz/services/teitok/pdtc10/index.php?action=vallex&amp;frame=v-w8060f9_ZU", "vyletět (v-w8060f9_ZU)")</f>
        <v>vyletět (v-w8060f9_ZU)</v>
      </c>
    </row>
    <row r="57282" spans="1:2" x14ac:dyDescent="0.2">
      <c r="B57282" t="s">
        <v>1</v>
      </c>
    </row>
    <row r="57283" spans="1:2" x14ac:dyDescent="0.2">
      <c r="B57283" t="s">
        <v>252</v>
      </c>
    </row>
    <row r="57285" spans="1:2" x14ac:dyDescent="0.2">
      <c r="A57285" t="s">
        <v>18009</v>
      </c>
      <c r="B57285" t="str">
        <f>HYPERLINK("https://lindat.mff.cuni.cz/services/teitok/pdtc10/index.php?action=vallex&amp;frame=v-w8060hsa_1936", "vyletět (v-w8060hsa_1936) - substituted with v-w8060f9_ZU")</f>
        <v>vyletět (v-w8060hsa_1936) - substituted with v-w8060f9_ZU</v>
      </c>
    </row>
    <row r="57286" spans="1:2" x14ac:dyDescent="0.2">
      <c r="B57286" t="s">
        <v>1</v>
      </c>
    </row>
    <row r="57287" spans="1:2" x14ac:dyDescent="0.2">
      <c r="B57287" t="s">
        <v>252</v>
      </c>
    </row>
    <row r="57289" spans="1:2" x14ac:dyDescent="0.2">
      <c r="A57289" t="s">
        <v>18010</v>
      </c>
      <c r="B57289" t="str">
        <f>HYPERLINK("https://lindat.mff.cuni.cz/services/teitok/pdtc10/index.php?action=vallex&amp;frame=v-w8063f1", "vylhávat se (v-w8063f1)")</f>
        <v>vylhávat se (v-w8063f1)</v>
      </c>
    </row>
    <row r="57290" spans="1:2" x14ac:dyDescent="0.2">
      <c r="B57290" t="s">
        <v>1</v>
      </c>
    </row>
    <row r="57291" spans="1:2" x14ac:dyDescent="0.2">
      <c r="B57291" t="s">
        <v>438</v>
      </c>
    </row>
    <row r="57293" spans="1:2" x14ac:dyDescent="0.2">
      <c r="A57293" t="s">
        <v>18011</v>
      </c>
      <c r="B57293" t="str">
        <f>HYPERLINK("https://lindat.mff.cuni.cz/services/teitok/pdtc10/index.php?action=vallex&amp;frame=v-whsa_1032f1_ZU", "vylidnit (v-whsa_1032f1_ZU)")</f>
        <v>vylidnit (v-whsa_1032f1_ZU)</v>
      </c>
    </row>
    <row r="57294" spans="1:2" x14ac:dyDescent="0.2">
      <c r="B57294" t="s">
        <v>1</v>
      </c>
    </row>
    <row r="57295" spans="1:2" x14ac:dyDescent="0.2">
      <c r="B57295" t="s">
        <v>8</v>
      </c>
    </row>
    <row r="57297" spans="1:2" x14ac:dyDescent="0.2">
      <c r="A57297" t="s">
        <v>18011</v>
      </c>
      <c r="B57297" t="str">
        <f>HYPERLINK("https://lindat.mff.cuni.cz/services/teitok/pdtc10/index.php?action=vallex&amp;frame=v-whsa_1032hsa_1033", "vylidnit (v-whsa_1032hsa_1033) - substituted with v-whsa_1032f1_ZU")</f>
        <v>vylidnit (v-whsa_1032hsa_1033) - substituted with v-whsa_1032f1_ZU</v>
      </c>
    </row>
    <row r="57298" spans="1:2" x14ac:dyDescent="0.2">
      <c r="B57298" t="s">
        <v>1</v>
      </c>
    </row>
    <row r="57299" spans="1:2" x14ac:dyDescent="0.2">
      <c r="B57299" t="s">
        <v>8</v>
      </c>
    </row>
    <row r="57301" spans="1:2" x14ac:dyDescent="0.2">
      <c r="A57301" t="s">
        <v>18012</v>
      </c>
      <c r="B57301" t="str">
        <f>HYPERLINK("https://lindat.mff.cuni.cz/services/teitok/pdtc10/index.php?action=vallex&amp;frame=v-w8065f1", "vylidnit se (v-w8065f1)")</f>
        <v>vylidnit se (v-w8065f1)</v>
      </c>
    </row>
    <row r="57302" spans="1:2" x14ac:dyDescent="0.2">
      <c r="B57302" t="s">
        <v>1</v>
      </c>
    </row>
    <row r="57304" spans="1:2" x14ac:dyDescent="0.2">
      <c r="A57304" t="s">
        <v>18013</v>
      </c>
      <c r="B57304" t="str">
        <f>HYPERLINK("https://lindat.mff.cuni.cz/services/teitok/pdtc10/index.php?action=vallex&amp;frame=v-w8069f1", "vylodit (v-w8069f1)")</f>
        <v>vylodit (v-w8069f1)</v>
      </c>
    </row>
    <row r="57305" spans="1:2" x14ac:dyDescent="0.2">
      <c r="B57305" t="s">
        <v>1</v>
      </c>
    </row>
    <row r="57306" spans="1:2" x14ac:dyDescent="0.2">
      <c r="B57306" t="s">
        <v>8</v>
      </c>
    </row>
    <row r="57307" spans="1:2" x14ac:dyDescent="0.2">
      <c r="B57307" t="s">
        <v>333</v>
      </c>
    </row>
    <row r="57309" spans="1:2" x14ac:dyDescent="0.2">
      <c r="A57309" t="s">
        <v>18014</v>
      </c>
      <c r="B57309" t="str">
        <f>HYPERLINK("https://lindat.mff.cuni.cz/services/teitok/pdtc10/index.php?action=vallex&amp;frame=v-w8070f1", "vylodit se (v-w8070f1)")</f>
        <v>vylodit se (v-w8070f1)</v>
      </c>
    </row>
    <row r="57310" spans="1:2" x14ac:dyDescent="0.2">
      <c r="B57310" t="s">
        <v>1</v>
      </c>
    </row>
    <row r="57311" spans="1:2" x14ac:dyDescent="0.2">
      <c r="B57311" t="s">
        <v>5</v>
      </c>
    </row>
    <row r="57313" spans="1:3" x14ac:dyDescent="0.2">
      <c r="A57313" t="s">
        <v>18015</v>
      </c>
      <c r="B57313" t="str">
        <f>HYPERLINK("https://lindat.mff.cuni.cz/services/teitok/pdtc10/index.php?action=vallex&amp;frame=v-w8072f1", "vylomit (v-w8072f1)")</f>
        <v>vylomit (v-w8072f1)</v>
      </c>
    </row>
    <row r="57314" spans="1:3" x14ac:dyDescent="0.2">
      <c r="B57314" t="s">
        <v>1</v>
      </c>
    </row>
    <row r="57315" spans="1:3" x14ac:dyDescent="0.2">
      <c r="B57315" t="s">
        <v>8</v>
      </c>
    </row>
    <row r="57317" spans="1:3" x14ac:dyDescent="0.2">
      <c r="A57317" t="s">
        <v>18016</v>
      </c>
      <c r="B57317" t="str">
        <f>HYPERLINK("https://lindat.mff.cuni.cz/services/teitok/pdtc10/index.php?action=vallex&amp;frame=v-w11623_ZUf2_ZU", "vylomit se (v-w11623_ZUf2_ZU)")</f>
        <v>vylomit se (v-w11623_ZUf2_ZU)</v>
      </c>
    </row>
    <row r="57318" spans="1:3" x14ac:dyDescent="0.2">
      <c r="B57318" t="s">
        <v>1</v>
      </c>
    </row>
    <row r="57319" spans="1:3" x14ac:dyDescent="0.2">
      <c r="B57319" t="s">
        <v>46</v>
      </c>
    </row>
    <row r="57320" spans="1:3" x14ac:dyDescent="0.2">
      <c r="B57320" t="s">
        <v>24</v>
      </c>
    </row>
    <row r="57322" spans="1:3" x14ac:dyDescent="0.2">
      <c r="A57322" t="s">
        <v>18016</v>
      </c>
      <c r="B57322" t="str">
        <f>HYPERLINK("https://lindat.mff.cuni.cz/services/teitok/pdtc10/index.php?action=vallex&amp;frame=v-w11623_ZUf1_ZU", "vylomit se (v-w11623_ZUf1_ZU) - substituted with v-w11623_ZUf2_ZU")</f>
        <v>vylomit se (v-w11623_ZUf1_ZU) - substituted with v-w11623_ZUf2_ZU</v>
      </c>
    </row>
    <row r="57323" spans="1:3" x14ac:dyDescent="0.2">
      <c r="B57323" t="s">
        <v>1</v>
      </c>
      <c r="C57323" t="s">
        <v>33</v>
      </c>
    </row>
    <row r="57324" spans="1:3" x14ac:dyDescent="0.2">
      <c r="B57324" t="s">
        <v>46</v>
      </c>
    </row>
    <row r="57325" spans="1:3" x14ac:dyDescent="0.2">
      <c r="B57325" t="s">
        <v>24</v>
      </c>
    </row>
    <row r="57327" spans="1:3" x14ac:dyDescent="0.2">
      <c r="A57327" t="s">
        <v>18017</v>
      </c>
      <c r="B57327" t="str">
        <f>HYPERLINK("https://lindat.mff.cuni.cz/services/teitok/pdtc10/index.php?action=vallex&amp;frame=v-w8074f1", "vylosovat (v-w8074f1)")</f>
        <v>vylosovat (v-w8074f1)</v>
      </c>
    </row>
    <row r="57328" spans="1:3" x14ac:dyDescent="0.2">
      <c r="B57328" t="s">
        <v>1</v>
      </c>
    </row>
    <row r="57329" spans="1:4" x14ac:dyDescent="0.2">
      <c r="B57329" t="s">
        <v>8</v>
      </c>
    </row>
    <row r="57331" spans="1:4" x14ac:dyDescent="0.2">
      <c r="A57331" t="s">
        <v>18018</v>
      </c>
      <c r="B57331" t="str">
        <f>HYPERLINK("https://lindat.mff.cuni.cz/services/teitok/pdtc10/index.php?action=vallex&amp;frame=v-w8078f1", "vyloupit (v-w8078f1)")</f>
        <v>vyloupit (v-w8078f1)</v>
      </c>
    </row>
    <row r="57332" spans="1:4" x14ac:dyDescent="0.2">
      <c r="B57332" t="s">
        <v>1</v>
      </c>
      <c r="D57332" t="s">
        <v>2125</v>
      </c>
    </row>
    <row r="57333" spans="1:4" x14ac:dyDescent="0.2">
      <c r="B57333" t="s">
        <v>8</v>
      </c>
      <c r="C57333" t="s">
        <v>113</v>
      </c>
      <c r="D57333" t="s">
        <v>24388</v>
      </c>
    </row>
    <row r="57335" spans="1:4" x14ac:dyDescent="0.2">
      <c r="A57335" t="s">
        <v>18019</v>
      </c>
      <c r="B57335" t="str">
        <f>HYPERLINK("https://lindat.mff.cuni.cz/services/teitok/pdtc10/index.php?action=vallex&amp;frame=v-w8079f1", "vyloupnout (v-w8079f1)")</f>
        <v>vyloupnout (v-w8079f1)</v>
      </c>
    </row>
    <row r="57336" spans="1:4" x14ac:dyDescent="0.2">
      <c r="B57336" t="s">
        <v>1</v>
      </c>
      <c r="D57336" t="s">
        <v>230</v>
      </c>
    </row>
    <row r="57337" spans="1:4" x14ac:dyDescent="0.2">
      <c r="B57337" t="s">
        <v>8</v>
      </c>
      <c r="D57337" t="s">
        <v>7921</v>
      </c>
    </row>
    <row r="57338" spans="1:4" x14ac:dyDescent="0.2">
      <c r="B57338" t="s">
        <v>333</v>
      </c>
      <c r="D57338" t="s">
        <v>18417</v>
      </c>
    </row>
    <row r="57340" spans="1:4" x14ac:dyDescent="0.2">
      <c r="A57340" t="s">
        <v>18020</v>
      </c>
      <c r="B57340" t="str">
        <f>HYPERLINK("https://lindat.mff.cuni.cz/services/teitok/pdtc10/index.php?action=vallex&amp;frame=v-w8080f1", "vyloupnout se (v-w8080f1)")</f>
        <v>vyloupnout se (v-w8080f1)</v>
      </c>
    </row>
    <row r="57341" spans="1:4" x14ac:dyDescent="0.2">
      <c r="B57341" t="s">
        <v>1</v>
      </c>
      <c r="D57341" t="s">
        <v>24389</v>
      </c>
    </row>
    <row r="57342" spans="1:4" x14ac:dyDescent="0.2">
      <c r="B57342" t="s">
        <v>333</v>
      </c>
      <c r="D57342" t="s">
        <v>18417</v>
      </c>
    </row>
    <row r="57344" spans="1:4" x14ac:dyDescent="0.2">
      <c r="A57344" t="s">
        <v>18021</v>
      </c>
      <c r="B57344" t="str">
        <f>HYPERLINK("https://lindat.mff.cuni.cz/services/teitok/pdtc10/index.php?action=vallex&amp;frame=v-w8076f2", "vyloučit (v-w8076f2)")</f>
        <v>vyloučit (v-w8076f2)</v>
      </c>
    </row>
    <row r="57345" spans="1:4" x14ac:dyDescent="0.2">
      <c r="B57345" t="s">
        <v>1</v>
      </c>
      <c r="C57345" t="s">
        <v>9612</v>
      </c>
      <c r="D57345" t="s">
        <v>6131</v>
      </c>
    </row>
    <row r="57346" spans="1:4" x14ac:dyDescent="0.2">
      <c r="B57346" t="s">
        <v>8</v>
      </c>
      <c r="C57346" t="s">
        <v>1285</v>
      </c>
      <c r="D57346" t="s">
        <v>18247</v>
      </c>
    </row>
    <row r="57347" spans="1:4" x14ac:dyDescent="0.2">
      <c r="B57347" t="s">
        <v>333</v>
      </c>
      <c r="C57347" t="s">
        <v>18022</v>
      </c>
      <c r="D57347" t="s">
        <v>23090</v>
      </c>
    </row>
    <row r="57349" spans="1:4" x14ac:dyDescent="0.2">
      <c r="A57349" t="s">
        <v>18023</v>
      </c>
      <c r="B57349" t="str">
        <f>HYPERLINK("https://lindat.mff.cuni.cz/services/teitok/pdtc10/index.php?action=vallex&amp;frame=v-w8076f3_ZU", "vyloučit (v-w8076f3_ZU)")</f>
        <v>vyloučit (v-w8076f3_ZU)</v>
      </c>
    </row>
    <row r="57350" spans="1:4" x14ac:dyDescent="0.2">
      <c r="B57350" t="s">
        <v>1</v>
      </c>
      <c r="C57350" t="s">
        <v>140</v>
      </c>
      <c r="D57350" t="s">
        <v>6131</v>
      </c>
    </row>
    <row r="57351" spans="1:4" x14ac:dyDescent="0.2">
      <c r="B57351" t="s">
        <v>8</v>
      </c>
      <c r="C57351" t="s">
        <v>84</v>
      </c>
      <c r="D57351" t="s">
        <v>18247</v>
      </c>
    </row>
    <row r="57352" spans="1:4" x14ac:dyDescent="0.2">
      <c r="B57352" t="s">
        <v>4622</v>
      </c>
      <c r="D57352" t="s">
        <v>23090</v>
      </c>
    </row>
    <row r="57354" spans="1:4" x14ac:dyDescent="0.2">
      <c r="A57354" t="s">
        <v>18024</v>
      </c>
      <c r="B57354" t="str">
        <f>HYPERLINK("https://lindat.mff.cuni.cz/services/teitok/pdtc10/index.php?action=vallex&amp;frame=v-w8076f1", "vyloučit (v-w8076f1)")</f>
        <v>vyloučit (v-w8076f1)</v>
      </c>
    </row>
    <row r="57355" spans="1:4" x14ac:dyDescent="0.2">
      <c r="B57355" t="s">
        <v>1</v>
      </c>
      <c r="C57355" t="s">
        <v>381</v>
      </c>
      <c r="D57355" t="s">
        <v>230</v>
      </c>
    </row>
    <row r="57356" spans="1:4" x14ac:dyDescent="0.2">
      <c r="B57356" t="s">
        <v>41</v>
      </c>
      <c r="C57356" t="s">
        <v>9397</v>
      </c>
      <c r="D57356" t="s">
        <v>977</v>
      </c>
    </row>
    <row r="57358" spans="1:4" x14ac:dyDescent="0.2">
      <c r="A57358" t="s">
        <v>18025</v>
      </c>
      <c r="B57358" t="str">
        <f>HYPERLINK("https://lindat.mff.cuni.cz/services/teitok/pdtc10/index.php?action=vallex&amp;frame=v-w8077f1", "vyloučit se (v-w8077f1)")</f>
        <v>vyloučit se (v-w8077f1)</v>
      </c>
    </row>
    <row r="57359" spans="1:4" x14ac:dyDescent="0.2">
      <c r="B57359" t="s">
        <v>1</v>
      </c>
    </row>
    <row r="57361" spans="1:4" x14ac:dyDescent="0.2">
      <c r="A57361" t="s">
        <v>18026</v>
      </c>
      <c r="B57361" t="str">
        <f>HYPERLINK("https://lindat.mff.cuni.cz/services/teitok/pdtc10/index.php?action=vallex&amp;frame=v-w8081f1", "vylovit (v-w8081f1)")</f>
        <v>vylovit (v-w8081f1)</v>
      </c>
    </row>
    <row r="57362" spans="1:4" x14ac:dyDescent="0.2">
      <c r="B57362" t="s">
        <v>1</v>
      </c>
    </row>
    <row r="57363" spans="1:4" x14ac:dyDescent="0.2">
      <c r="B57363" t="s">
        <v>8</v>
      </c>
    </row>
    <row r="57364" spans="1:4" x14ac:dyDescent="0.2">
      <c r="B57364" t="s">
        <v>333</v>
      </c>
    </row>
    <row r="57366" spans="1:4" x14ac:dyDescent="0.2">
      <c r="A57366" t="s">
        <v>18027</v>
      </c>
      <c r="B57366" t="str">
        <f>HYPERLINK("https://lindat.mff.cuni.cz/services/teitok/pdtc10/index.php?action=vallex&amp;frame=v-w12132_ZUf1_ZU", "vyloďovat (v-w12132_ZUf1_ZU)")</f>
        <v>vyloďovat (v-w12132_ZUf1_ZU)</v>
      </c>
    </row>
    <row r="57367" spans="1:4" x14ac:dyDescent="0.2">
      <c r="B57367" t="s">
        <v>1</v>
      </c>
    </row>
    <row r="57368" spans="1:4" x14ac:dyDescent="0.2">
      <c r="B57368" t="s">
        <v>8</v>
      </c>
    </row>
    <row r="57369" spans="1:4" x14ac:dyDescent="0.2">
      <c r="B57369" t="s">
        <v>4622</v>
      </c>
    </row>
    <row r="57371" spans="1:4" x14ac:dyDescent="0.2">
      <c r="A57371" t="s">
        <v>18028</v>
      </c>
      <c r="B57371" t="str">
        <f>HYPERLINK("https://lindat.mff.cuni.cz/services/teitok/pdtc10/index.php?action=vallex&amp;frame=v-w8082f1", "vyložit (v-w8082f1)")</f>
        <v>vyložit (v-w8082f1)</v>
      </c>
    </row>
    <row r="57372" spans="1:4" x14ac:dyDescent="0.2">
      <c r="B57372" t="s">
        <v>1</v>
      </c>
      <c r="C57372" t="s">
        <v>4110</v>
      </c>
      <c r="D57372" t="s">
        <v>370</v>
      </c>
    </row>
    <row r="57373" spans="1:4" x14ac:dyDescent="0.2">
      <c r="B57373" t="s">
        <v>6701</v>
      </c>
      <c r="C57373" t="s">
        <v>1798</v>
      </c>
      <c r="D57373" t="s">
        <v>338</v>
      </c>
    </row>
    <row r="57374" spans="1:4" x14ac:dyDescent="0.2">
      <c r="B57374" t="s">
        <v>35</v>
      </c>
      <c r="D57374" t="s">
        <v>23792</v>
      </c>
    </row>
    <row r="57376" spans="1:4" x14ac:dyDescent="0.2">
      <c r="A57376" t="s">
        <v>18029</v>
      </c>
      <c r="B57376" t="str">
        <f>HYPERLINK("https://lindat.mff.cuni.cz/services/teitok/pdtc10/index.php?action=vallex&amp;frame=v-w8082f2", "vyložit (v-w8082f2)")</f>
        <v>vyložit (v-w8082f2)</v>
      </c>
    </row>
    <row r="57377" spans="1:4" x14ac:dyDescent="0.2">
      <c r="B57377" t="s">
        <v>1</v>
      </c>
    </row>
    <row r="57378" spans="1:4" x14ac:dyDescent="0.2">
      <c r="B57378" t="s">
        <v>8</v>
      </c>
    </row>
    <row r="57379" spans="1:4" x14ac:dyDescent="0.2">
      <c r="B57379" t="s">
        <v>333</v>
      </c>
    </row>
    <row r="57381" spans="1:4" x14ac:dyDescent="0.2">
      <c r="A57381" t="s">
        <v>18030</v>
      </c>
      <c r="B57381" t="str">
        <f>HYPERLINK("https://lindat.mff.cuni.cz/services/teitok/pdtc10/index.php?action=vallex&amp;frame=v-w8082f3_ZU", "vyložit (v-w8082f3_ZU)")</f>
        <v>vyložit (v-w8082f3_ZU)</v>
      </c>
    </row>
    <row r="57382" spans="1:4" x14ac:dyDescent="0.2">
      <c r="B57382" t="s">
        <v>1</v>
      </c>
      <c r="C57382" t="s">
        <v>22</v>
      </c>
      <c r="D57382" t="s">
        <v>22</v>
      </c>
    </row>
    <row r="57383" spans="1:4" x14ac:dyDescent="0.2">
      <c r="B57383" t="s">
        <v>18031</v>
      </c>
      <c r="C57383" t="s">
        <v>1114</v>
      </c>
    </row>
    <row r="57385" spans="1:4" x14ac:dyDescent="0.2">
      <c r="A57385" t="s">
        <v>18030</v>
      </c>
      <c r="B57385" t="str">
        <f>HYPERLINK("https://lindat.mff.cuni.cz/services/teitok/pdtc10/index.php?action=vallex&amp;frame=v-w8082hsa_332", "vyložit (v-w8082hsa_332) - substituted with v-w8082f3_ZU")</f>
        <v>vyložit (v-w8082hsa_332) - substituted with v-w8082f3_ZU</v>
      </c>
    </row>
    <row r="57386" spans="1:4" x14ac:dyDescent="0.2">
      <c r="B57386" t="s">
        <v>1</v>
      </c>
    </row>
    <row r="57387" spans="1:4" x14ac:dyDescent="0.2">
      <c r="B57387" t="s">
        <v>18031</v>
      </c>
    </row>
    <row r="57389" spans="1:4" x14ac:dyDescent="0.2">
      <c r="A57389" t="s">
        <v>18032</v>
      </c>
      <c r="B57389" t="str">
        <f>HYPERLINK("https://lindat.mff.cuni.cz/services/teitok/pdtc10/index.php?action=vallex&amp;frame=v-w11690_ZUf1_ZU", "vyluhovat se (v-w11690_ZUf1_ZU)")</f>
        <v>vyluhovat se (v-w11690_ZUf1_ZU)</v>
      </c>
    </row>
    <row r="57390" spans="1:4" x14ac:dyDescent="0.2">
      <c r="B57390" t="s">
        <v>1</v>
      </c>
    </row>
    <row r="57392" spans="1:4" x14ac:dyDescent="0.2">
      <c r="A57392" t="s">
        <v>18033</v>
      </c>
      <c r="B57392" t="str">
        <f>HYPERLINK("https://lindat.mff.cuni.cz/services/teitok/pdtc10/index.php?action=vallex&amp;frame=v-w8087f1", "vylustrovat (v-w8087f1)")</f>
        <v>vylustrovat (v-w8087f1)</v>
      </c>
    </row>
    <row r="57393" spans="1:4" x14ac:dyDescent="0.2">
      <c r="B57393" t="s">
        <v>1</v>
      </c>
    </row>
    <row r="57394" spans="1:4" x14ac:dyDescent="0.2">
      <c r="B57394" t="s">
        <v>8</v>
      </c>
    </row>
    <row r="57396" spans="1:4" x14ac:dyDescent="0.2">
      <c r="A57396" t="s">
        <v>18034</v>
      </c>
      <c r="B57396" t="str">
        <f>HYPERLINK("https://lindat.mff.cuni.cz/services/teitok/pdtc10/index.php?action=vallex&amp;frame=v-w8084f2", "vylučovat (v-w8084f2)")</f>
        <v>vylučovat (v-w8084f2)</v>
      </c>
    </row>
    <row r="57397" spans="1:4" x14ac:dyDescent="0.2">
      <c r="B57397" t="s">
        <v>1</v>
      </c>
    </row>
    <row r="57398" spans="1:4" x14ac:dyDescent="0.2">
      <c r="B57398" t="s">
        <v>8</v>
      </c>
    </row>
    <row r="57399" spans="1:4" x14ac:dyDescent="0.2">
      <c r="B57399" t="s">
        <v>333</v>
      </c>
    </row>
    <row r="57401" spans="1:4" x14ac:dyDescent="0.2">
      <c r="A57401" t="s">
        <v>18035</v>
      </c>
      <c r="B57401" t="str">
        <f>HYPERLINK("https://lindat.mff.cuni.cz/services/teitok/pdtc10/index.php?action=vallex&amp;frame=v-w8084f4_ZU", "vylučovat (v-w8084f4_ZU)")</f>
        <v>vylučovat (v-w8084f4_ZU)</v>
      </c>
    </row>
    <row r="57402" spans="1:4" x14ac:dyDescent="0.2">
      <c r="B57402" t="s">
        <v>1</v>
      </c>
      <c r="C57402" t="s">
        <v>990</v>
      </c>
      <c r="D57402" t="s">
        <v>230</v>
      </c>
    </row>
    <row r="57403" spans="1:4" x14ac:dyDescent="0.2">
      <c r="B57403" t="s">
        <v>5970</v>
      </c>
      <c r="C57403" t="s">
        <v>2240</v>
      </c>
      <c r="D57403" t="s">
        <v>977</v>
      </c>
    </row>
    <row r="57405" spans="1:4" x14ac:dyDescent="0.2">
      <c r="A57405" t="s">
        <v>18035</v>
      </c>
      <c r="B57405" t="str">
        <f>HYPERLINK("https://lindat.mff.cuni.cz/services/teitok/pdtc10/index.php?action=vallex&amp;frame=v-w8084f1", "vylučovat (v-w8084f1) - substituted with v-w8084f4_ZU")</f>
        <v>vylučovat (v-w8084f1) - substituted with v-w8084f4_ZU</v>
      </c>
    </row>
    <row r="57406" spans="1:4" x14ac:dyDescent="0.2">
      <c r="B57406" t="s">
        <v>1</v>
      </c>
      <c r="C57406" t="s">
        <v>3081</v>
      </c>
    </row>
    <row r="57407" spans="1:4" x14ac:dyDescent="0.2">
      <c r="B57407" t="s">
        <v>5970</v>
      </c>
      <c r="C57407" t="s">
        <v>1815</v>
      </c>
    </row>
    <row r="57409" spans="1:4" x14ac:dyDescent="0.2">
      <c r="A57409" t="s">
        <v>18035</v>
      </c>
      <c r="B57409" t="str">
        <f>HYPERLINK("https://lindat.mff.cuni.cz/services/teitok/pdtc10/index.php?action=vallex&amp;frame=v-w8084f3_ZU", "vylučovat (v-w8084f3_ZU) - substituted with v-w8084f4_ZU")</f>
        <v>vylučovat (v-w8084f3_ZU) - substituted with v-w8084f4_ZU</v>
      </c>
    </row>
    <row r="57410" spans="1:4" x14ac:dyDescent="0.2">
      <c r="B57410" t="s">
        <v>1</v>
      </c>
    </row>
    <row r="57411" spans="1:4" x14ac:dyDescent="0.2">
      <c r="B57411" t="s">
        <v>5970</v>
      </c>
    </row>
    <row r="57413" spans="1:4" x14ac:dyDescent="0.2">
      <c r="A57413" t="s">
        <v>18036</v>
      </c>
      <c r="B57413" t="str">
        <f>HYPERLINK("https://lindat.mff.cuni.cz/services/teitok/pdtc10/index.php?action=vallex&amp;frame=v-w8084hsa_988", "vylučovat (v-w8084hsa_988)")</f>
        <v>vylučovat (v-w8084hsa_988)</v>
      </c>
    </row>
    <row r="57414" spans="1:4" x14ac:dyDescent="0.2">
      <c r="B57414" t="s">
        <v>1</v>
      </c>
      <c r="D57414" t="s">
        <v>6131</v>
      </c>
    </row>
    <row r="57415" spans="1:4" x14ac:dyDescent="0.2">
      <c r="B57415" t="s">
        <v>8</v>
      </c>
      <c r="D57415" t="s">
        <v>18247</v>
      </c>
    </row>
    <row r="57416" spans="1:4" x14ac:dyDescent="0.2">
      <c r="B57416" t="s">
        <v>333</v>
      </c>
      <c r="D57416" t="s">
        <v>23090</v>
      </c>
    </row>
    <row r="57418" spans="1:4" x14ac:dyDescent="0.2">
      <c r="A57418" t="s">
        <v>18037</v>
      </c>
      <c r="B57418" t="str">
        <f>HYPERLINK("https://lindat.mff.cuni.cz/services/teitok/pdtc10/index.php?action=vallex&amp;frame=v-w8085f1", "vylučovat se (v-w8085f1)")</f>
        <v>vylučovat se (v-w8085f1)</v>
      </c>
    </row>
    <row r="57419" spans="1:4" x14ac:dyDescent="0.2">
      <c r="B57419" t="s">
        <v>1</v>
      </c>
    </row>
    <row r="57420" spans="1:4" x14ac:dyDescent="0.2">
      <c r="B57420" t="s">
        <v>411</v>
      </c>
    </row>
    <row r="57422" spans="1:4" x14ac:dyDescent="0.2">
      <c r="A57422" t="s">
        <v>18038</v>
      </c>
      <c r="B57422" t="str">
        <f>HYPERLINK("https://lindat.mff.cuni.cz/services/teitok/pdtc10/index.php?action=vallex&amp;frame=v-w8051f1", "vylákat (v-w8051f1)")</f>
        <v>vylákat (v-w8051f1)</v>
      </c>
    </row>
    <row r="57423" spans="1:4" x14ac:dyDescent="0.2">
      <c r="B57423" t="s">
        <v>1</v>
      </c>
    </row>
    <row r="57424" spans="1:4" x14ac:dyDescent="0.2">
      <c r="B57424" t="s">
        <v>8</v>
      </c>
    </row>
    <row r="57425" spans="1:4" x14ac:dyDescent="0.2">
      <c r="B57425" t="s">
        <v>18039</v>
      </c>
    </row>
    <row r="57427" spans="1:4" x14ac:dyDescent="0.2">
      <c r="A57427" t="s">
        <v>18040</v>
      </c>
      <c r="B57427" t="str">
        <f>HYPERLINK("https://lindat.mff.cuni.cz/services/teitok/pdtc10/index.php?action=vallex&amp;frame=v-whsa_1352hsa_1353", "vylámat (v-whsa_1352hsa_1353)")</f>
        <v>vylámat (v-whsa_1352hsa_1353)</v>
      </c>
    </row>
    <row r="57428" spans="1:4" x14ac:dyDescent="0.2">
      <c r="B57428" t="s">
        <v>1</v>
      </c>
    </row>
    <row r="57429" spans="1:4" x14ac:dyDescent="0.2">
      <c r="B57429" t="s">
        <v>8</v>
      </c>
    </row>
    <row r="57431" spans="1:4" x14ac:dyDescent="0.2">
      <c r="A57431" t="s">
        <v>18041</v>
      </c>
      <c r="B57431" t="str">
        <f>HYPERLINK("https://lindat.mff.cuni.cz/services/teitok/pdtc10/index.php?action=vallex&amp;frame=v-w8061f3_ZU", "vylétnout (v-w8061f3_ZU)")</f>
        <v>vylétnout (v-w8061f3_ZU)</v>
      </c>
    </row>
    <row r="57432" spans="1:4" x14ac:dyDescent="0.2">
      <c r="B57432" t="s">
        <v>1</v>
      </c>
      <c r="C57432" t="s">
        <v>18042</v>
      </c>
      <c r="D57432" t="s">
        <v>23510</v>
      </c>
    </row>
    <row r="57433" spans="1:4" x14ac:dyDescent="0.2">
      <c r="B57433" t="s">
        <v>46</v>
      </c>
      <c r="C57433" t="s">
        <v>18043</v>
      </c>
      <c r="D57433" t="s">
        <v>23393</v>
      </c>
    </row>
    <row r="57434" spans="1:4" x14ac:dyDescent="0.2">
      <c r="B57434" t="s">
        <v>24</v>
      </c>
      <c r="C57434" t="s">
        <v>18044</v>
      </c>
      <c r="D57434" t="s">
        <v>23394</v>
      </c>
    </row>
    <row r="57436" spans="1:4" x14ac:dyDescent="0.2">
      <c r="A57436" t="s">
        <v>18045</v>
      </c>
      <c r="B57436" t="str">
        <f>HYPERLINK("https://lindat.mff.cuni.cz/services/teitok/pdtc10/index.php?action=vallex&amp;frame=v-w8061f1", "vylétnout (v-w8061f1)")</f>
        <v>vylétnout (v-w8061f1)</v>
      </c>
    </row>
    <row r="57437" spans="1:4" x14ac:dyDescent="0.2">
      <c r="B57437" t="s">
        <v>1</v>
      </c>
    </row>
    <row r="57438" spans="1:4" x14ac:dyDescent="0.2">
      <c r="B57438" t="s">
        <v>333</v>
      </c>
    </row>
    <row r="57440" spans="1:4" x14ac:dyDescent="0.2">
      <c r="A57440" t="s">
        <v>18046</v>
      </c>
      <c r="B57440" t="str">
        <f>HYPERLINK("https://lindat.mff.cuni.cz/services/teitok/pdtc10/index.php?action=vallex&amp;frame=v-w8061f2", "vylétnout (v-w8061f2)")</f>
        <v>vylétnout (v-w8061f2)</v>
      </c>
    </row>
    <row r="57441" spans="1:3" x14ac:dyDescent="0.2">
      <c r="B57441" t="s">
        <v>1</v>
      </c>
    </row>
    <row r="57442" spans="1:3" x14ac:dyDescent="0.2">
      <c r="B57442" t="s">
        <v>90</v>
      </c>
    </row>
    <row r="57444" spans="1:3" x14ac:dyDescent="0.2">
      <c r="A57444" t="s">
        <v>18047</v>
      </c>
      <c r="B57444" t="str">
        <f>HYPERLINK("https://lindat.mff.cuni.cz/services/teitok/pdtc10/index.php?action=vallex&amp;frame=v-w8061f4_ZU", "vylétnout (v-w8061f4_ZU)")</f>
        <v>vylétnout (v-w8061f4_ZU)</v>
      </c>
    </row>
    <row r="57445" spans="1:3" x14ac:dyDescent="0.2">
      <c r="B57445" t="s">
        <v>1</v>
      </c>
      <c r="C57445" t="s">
        <v>4011</v>
      </c>
    </row>
    <row r="57446" spans="1:3" x14ac:dyDescent="0.2">
      <c r="B57446" t="s">
        <v>252</v>
      </c>
      <c r="C57446" t="s">
        <v>18048</v>
      </c>
    </row>
    <row r="57448" spans="1:3" x14ac:dyDescent="0.2">
      <c r="A57448" t="s">
        <v>18049</v>
      </c>
      <c r="B57448" t="str">
        <f>HYPERLINK("https://lindat.mff.cuni.cz/services/teitok/pdtc10/index.php?action=vallex&amp;frame=v-w8061f5_MM", "vylétnout (v-w8061f5_MM)")</f>
        <v>vylétnout (v-w8061f5_MM)</v>
      </c>
    </row>
    <row r="57449" spans="1:3" x14ac:dyDescent="0.2">
      <c r="B57449" t="s">
        <v>1</v>
      </c>
    </row>
    <row r="57451" spans="1:3" x14ac:dyDescent="0.2">
      <c r="A57451" t="s">
        <v>18050</v>
      </c>
      <c r="B57451" t="str">
        <f>HYPERLINK("https://lindat.mff.cuni.cz/services/teitok/pdtc10/index.php?action=vallex&amp;frame=v-whsa_14f1_ZU", "vylévat (v-whsa_14f1_ZU)")</f>
        <v>vylévat (v-whsa_14f1_ZU)</v>
      </c>
    </row>
    <row r="57452" spans="1:3" x14ac:dyDescent="0.2">
      <c r="B57452" t="s">
        <v>1</v>
      </c>
    </row>
    <row r="57453" spans="1:3" x14ac:dyDescent="0.2">
      <c r="B57453" t="s">
        <v>8</v>
      </c>
    </row>
    <row r="57455" spans="1:3" x14ac:dyDescent="0.2">
      <c r="A57455" t="s">
        <v>18050</v>
      </c>
      <c r="B57455" t="str">
        <f>HYPERLINK("https://lindat.mff.cuni.cz/services/teitok/pdtc10/index.php?action=vallex&amp;frame=v-whsa_14hsa_15", "vylévat (v-whsa_14hsa_15) - substituted with v-whsa_14f1_ZU")</f>
        <v>vylévat (v-whsa_14hsa_15) - substituted with v-whsa_14f1_ZU</v>
      </c>
    </row>
    <row r="57456" spans="1:3" x14ac:dyDescent="0.2">
      <c r="B57456" t="s">
        <v>1</v>
      </c>
    </row>
    <row r="57457" spans="1:4" x14ac:dyDescent="0.2">
      <c r="B57457" t="s">
        <v>8</v>
      </c>
    </row>
    <row r="57459" spans="1:4" x14ac:dyDescent="0.2">
      <c r="A57459" t="s">
        <v>18051</v>
      </c>
      <c r="B57459" t="str">
        <f>HYPERLINK("https://lindat.mff.cuni.cz/services/teitok/pdtc10/index.php?action=vallex&amp;frame=v-whsa_1840hsa_1841", "vylévat se (v-whsa_1840hsa_1841)")</f>
        <v>vylévat se (v-whsa_1840hsa_1841)</v>
      </c>
    </row>
    <row r="57460" spans="1:4" x14ac:dyDescent="0.2">
      <c r="B57460" t="s">
        <v>1</v>
      </c>
    </row>
    <row r="57461" spans="1:4" x14ac:dyDescent="0.2">
      <c r="B57461" t="s">
        <v>333</v>
      </c>
    </row>
    <row r="57463" spans="1:4" x14ac:dyDescent="0.2">
      <c r="A57463" t="s">
        <v>18052</v>
      </c>
      <c r="B57463" t="str">
        <f>HYPERLINK("https://lindat.mff.cuni.cz/services/teitok/pdtc10/index.php?action=vallex&amp;frame=v-whsa_396f1_ZU", "vylévat si (v-whsa_396f1_ZU)")</f>
        <v>vylévat si (v-whsa_396f1_ZU)</v>
      </c>
    </row>
    <row r="57464" spans="1:4" x14ac:dyDescent="0.2">
      <c r="B57464" t="s">
        <v>1</v>
      </c>
      <c r="C57464" t="s">
        <v>33</v>
      </c>
      <c r="D57464" t="s">
        <v>1524</v>
      </c>
    </row>
    <row r="57465" spans="1:4" x14ac:dyDescent="0.2">
      <c r="B57465" t="s">
        <v>2659</v>
      </c>
      <c r="D57465" t="s">
        <v>24390</v>
      </c>
    </row>
    <row r="57466" spans="1:4" x14ac:dyDescent="0.2">
      <c r="B57466" t="s">
        <v>103</v>
      </c>
      <c r="D57466" t="s">
        <v>3156</v>
      </c>
    </row>
    <row r="57468" spans="1:4" x14ac:dyDescent="0.2">
      <c r="A57468" t="s">
        <v>18052</v>
      </c>
      <c r="B57468" t="str">
        <f>HYPERLINK("https://lindat.mff.cuni.cz/services/teitok/pdtc10/index.php?action=vallex&amp;frame=v-whsa_396hsa_397", "vylévat si (v-whsa_396hsa_397) - substituted with v-whsa_396f1_ZU")</f>
        <v>vylévat si (v-whsa_396hsa_397) - substituted with v-whsa_396f1_ZU</v>
      </c>
    </row>
    <row r="57469" spans="1:4" x14ac:dyDescent="0.2">
      <c r="B57469" t="s">
        <v>1</v>
      </c>
    </row>
    <row r="57470" spans="1:4" x14ac:dyDescent="0.2">
      <c r="B57470" t="s">
        <v>2659</v>
      </c>
    </row>
    <row r="57471" spans="1:4" x14ac:dyDescent="0.2">
      <c r="B57471" t="s">
        <v>103</v>
      </c>
    </row>
    <row r="57473" spans="1:4" x14ac:dyDescent="0.2">
      <c r="A57473" t="s">
        <v>18053</v>
      </c>
      <c r="B57473" t="str">
        <f>HYPERLINK("https://lindat.mff.cuni.cz/services/teitok/pdtc10/index.php?action=vallex&amp;frame=v-w10407f2", "vylézat (v-w10407f2)")</f>
        <v>vylézat (v-w10407f2)</v>
      </c>
    </row>
    <row r="57474" spans="1:4" x14ac:dyDescent="0.2">
      <c r="B57474" t="s">
        <v>1</v>
      </c>
      <c r="C57474" t="s">
        <v>2264</v>
      </c>
    </row>
    <row r="57475" spans="1:4" x14ac:dyDescent="0.2">
      <c r="B57475" t="s">
        <v>333</v>
      </c>
    </row>
    <row r="57477" spans="1:4" x14ac:dyDescent="0.2">
      <c r="A57477" t="s">
        <v>18054</v>
      </c>
      <c r="B57477" t="str">
        <f>HYPERLINK("https://lindat.mff.cuni.cz/services/teitok/pdtc10/index.php?action=vallex&amp;frame=v-w8062f1", "vylézt (v-w8062f1)")</f>
        <v>vylézt (v-w8062f1)</v>
      </c>
    </row>
    <row r="57478" spans="1:4" x14ac:dyDescent="0.2">
      <c r="B57478" t="s">
        <v>1</v>
      </c>
    </row>
    <row r="57479" spans="1:4" x14ac:dyDescent="0.2">
      <c r="B57479" t="s">
        <v>8</v>
      </c>
    </row>
    <row r="57481" spans="1:4" x14ac:dyDescent="0.2">
      <c r="A57481" t="s">
        <v>18055</v>
      </c>
      <c r="B57481" t="str">
        <f>HYPERLINK("https://lindat.mff.cuni.cz/services/teitok/pdtc10/index.php?action=vallex&amp;frame=v-w8062f3", "vylézt (v-w8062f3)")</f>
        <v>vylézt (v-w8062f3)</v>
      </c>
    </row>
    <row r="57482" spans="1:4" x14ac:dyDescent="0.2">
      <c r="B57482" t="s">
        <v>1</v>
      </c>
      <c r="C57482" t="s">
        <v>83</v>
      </c>
      <c r="D57482" t="s">
        <v>23319</v>
      </c>
    </row>
    <row r="57483" spans="1:4" x14ac:dyDescent="0.2">
      <c r="B57483" t="s">
        <v>333</v>
      </c>
      <c r="D57483" t="s">
        <v>7666</v>
      </c>
    </row>
    <row r="57485" spans="1:4" x14ac:dyDescent="0.2">
      <c r="A57485" t="s">
        <v>18056</v>
      </c>
      <c r="B57485" t="str">
        <f>HYPERLINK("https://lindat.mff.cuni.cz/services/teitok/pdtc10/index.php?action=vallex&amp;frame=v-w8062f2", "vylézt (v-w8062f2)")</f>
        <v>vylézt (v-w8062f2)</v>
      </c>
    </row>
    <row r="57486" spans="1:4" x14ac:dyDescent="0.2">
      <c r="B57486" t="s">
        <v>1</v>
      </c>
    </row>
    <row r="57487" spans="1:4" x14ac:dyDescent="0.2">
      <c r="B57487" t="s">
        <v>90</v>
      </c>
    </row>
    <row r="57489" spans="1:2" x14ac:dyDescent="0.2">
      <c r="A57489" t="s">
        <v>18057</v>
      </c>
      <c r="B57489" t="str">
        <f>HYPERLINK("https://lindat.mff.cuni.cz/services/teitok/pdtc10/index.php?action=vallex&amp;frame=v-w8062f4_ZU", "vylézt (v-w8062f4_ZU)")</f>
        <v>vylézt (v-w8062f4_ZU)</v>
      </c>
    </row>
    <row r="57490" spans="1:2" x14ac:dyDescent="0.2">
      <c r="B57490" t="s">
        <v>1</v>
      </c>
    </row>
    <row r="57492" spans="1:2" x14ac:dyDescent="0.2">
      <c r="A57492" t="s">
        <v>18057</v>
      </c>
      <c r="B57492" t="str">
        <f>HYPERLINK("https://lindat.mff.cuni.cz/services/teitok/pdtc10/index.php?action=vallex&amp;frame=v-w8062hsa_1664", "vylézt (v-w8062hsa_1664) - substituted with v-w8062f4_ZU")</f>
        <v>vylézt (v-w8062hsa_1664) - substituted with v-w8062f4_ZU</v>
      </c>
    </row>
    <row r="57493" spans="1:2" x14ac:dyDescent="0.2">
      <c r="B57493" t="s">
        <v>1</v>
      </c>
    </row>
    <row r="57495" spans="1:2" x14ac:dyDescent="0.2">
      <c r="A57495" t="s">
        <v>18058</v>
      </c>
      <c r="B57495" t="str">
        <f>HYPERLINK("https://lindat.mff.cuni.cz/services/teitok/pdtc10/index.php?action=vallex&amp;frame=v-w8062f5_ZU", "vylézt (v-w8062f5_ZU)")</f>
        <v>vylézt (v-w8062f5_ZU)</v>
      </c>
    </row>
    <row r="57496" spans="1:2" x14ac:dyDescent="0.2">
      <c r="B57496" t="s">
        <v>1</v>
      </c>
    </row>
    <row r="57497" spans="1:2" x14ac:dyDescent="0.2">
      <c r="B57497" t="s">
        <v>4622</v>
      </c>
    </row>
    <row r="57499" spans="1:2" x14ac:dyDescent="0.2">
      <c r="A57499" t="s">
        <v>18059</v>
      </c>
      <c r="B57499" t="str">
        <f>HYPERLINK("https://lindat.mff.cuni.cz/services/teitok/pdtc10/index.php?action=vallex&amp;frame=v-w8062f6_ZU", "vylézt (v-w8062f6_ZU)")</f>
        <v>vylézt (v-w8062f6_ZU)</v>
      </c>
    </row>
    <row r="57500" spans="1:2" x14ac:dyDescent="0.2">
      <c r="B57500" t="s">
        <v>488</v>
      </c>
    </row>
    <row r="57501" spans="1:2" x14ac:dyDescent="0.2">
      <c r="B57501" t="s">
        <v>333</v>
      </c>
    </row>
    <row r="57503" spans="1:2" x14ac:dyDescent="0.2">
      <c r="A57503" t="s">
        <v>18060</v>
      </c>
      <c r="B57503" t="str">
        <f>HYPERLINK("https://lindat.mff.cuni.cz/services/teitok/pdtc10/index.php?action=vallex&amp;frame=v-w8062hsa_1665", "vylézt (v-w8062hsa_1665)")</f>
        <v>vylézt (v-w8062hsa_1665)</v>
      </c>
    </row>
    <row r="57504" spans="1:2" x14ac:dyDescent="0.2">
      <c r="B57504" t="s">
        <v>1</v>
      </c>
    </row>
    <row r="57505" spans="1:4" x14ac:dyDescent="0.2">
      <c r="B57505" t="s">
        <v>438</v>
      </c>
    </row>
    <row r="57507" spans="1:4" x14ac:dyDescent="0.2">
      <c r="A57507" t="s">
        <v>18061</v>
      </c>
      <c r="B57507" t="str">
        <f>HYPERLINK("https://lindat.mff.cuni.cz/services/teitok/pdtc10/index.php?action=vallex&amp;frame=v-w8053f1", "vyléčit (v-w8053f1)")</f>
        <v>vyléčit (v-w8053f1)</v>
      </c>
    </row>
    <row r="57508" spans="1:4" x14ac:dyDescent="0.2">
      <c r="B57508" t="s">
        <v>1</v>
      </c>
      <c r="C57508" t="s">
        <v>18062</v>
      </c>
      <c r="D57508" t="s">
        <v>23463</v>
      </c>
    </row>
    <row r="57509" spans="1:4" x14ac:dyDescent="0.2">
      <c r="B57509" t="s">
        <v>8</v>
      </c>
      <c r="C57509" t="s">
        <v>3156</v>
      </c>
      <c r="D57509" t="s">
        <v>23464</v>
      </c>
    </row>
    <row r="57511" spans="1:4" x14ac:dyDescent="0.2">
      <c r="A57511" t="s">
        <v>18063</v>
      </c>
      <c r="B57511" t="str">
        <f>HYPERLINK("https://lindat.mff.cuni.cz/services/teitok/pdtc10/index.php?action=vallex&amp;frame=v-w8053f2", "vyléčit (v-w8053f2)")</f>
        <v>vyléčit (v-w8053f2)</v>
      </c>
    </row>
    <row r="57512" spans="1:4" x14ac:dyDescent="0.2">
      <c r="B57512" t="s">
        <v>1</v>
      </c>
    </row>
    <row r="57513" spans="1:4" x14ac:dyDescent="0.2">
      <c r="B57513" t="s">
        <v>58</v>
      </c>
    </row>
    <row r="57514" spans="1:4" x14ac:dyDescent="0.2">
      <c r="B57514" t="s">
        <v>438</v>
      </c>
    </row>
    <row r="57516" spans="1:4" x14ac:dyDescent="0.2">
      <c r="A57516" t="s">
        <v>18064</v>
      </c>
      <c r="B57516" t="str">
        <f>HYPERLINK("https://lindat.mff.cuni.cz/services/teitok/pdtc10/index.php?action=vallex&amp;frame=v-w12016_ZUf1_ZU", "vyléčit se (v-w12016_ZUf1_ZU)")</f>
        <v>vyléčit se (v-w12016_ZUf1_ZU)</v>
      </c>
    </row>
    <row r="57517" spans="1:4" x14ac:dyDescent="0.2">
      <c r="B57517" t="s">
        <v>1</v>
      </c>
    </row>
    <row r="57518" spans="1:4" x14ac:dyDescent="0.2">
      <c r="B57518" t="s">
        <v>438</v>
      </c>
    </row>
    <row r="57520" spans="1:4" x14ac:dyDescent="0.2">
      <c r="A57520" t="s">
        <v>18065</v>
      </c>
      <c r="B57520" t="str">
        <f>HYPERLINK("https://lindat.mff.cuni.cz/services/teitok/pdtc10/index.php?action=vallex&amp;frame=v-w8066f1", "vylít (v-w8066f1)")</f>
        <v>vylít (v-w8066f1)</v>
      </c>
    </row>
    <row r="57521" spans="1:2" x14ac:dyDescent="0.2">
      <c r="B57521" t="s">
        <v>1</v>
      </c>
    </row>
    <row r="57522" spans="1:2" x14ac:dyDescent="0.2">
      <c r="B57522" t="s">
        <v>8</v>
      </c>
    </row>
    <row r="57523" spans="1:2" x14ac:dyDescent="0.2">
      <c r="B57523" t="s">
        <v>333</v>
      </c>
    </row>
    <row r="57525" spans="1:2" x14ac:dyDescent="0.2">
      <c r="A57525" t="s">
        <v>18066</v>
      </c>
      <c r="B57525" t="str">
        <f>HYPERLINK("https://lindat.mff.cuni.cz/services/teitok/pdtc10/index.php?action=vallex&amp;frame=v-w8066f2_ZU", "vylít (v-w8066f2_ZU)")</f>
        <v>vylít (v-w8066f2_ZU)</v>
      </c>
    </row>
    <row r="57526" spans="1:2" x14ac:dyDescent="0.2">
      <c r="B57526" t="s">
        <v>1</v>
      </c>
    </row>
    <row r="57527" spans="1:2" x14ac:dyDescent="0.2">
      <c r="B57527" t="s">
        <v>8</v>
      </c>
    </row>
    <row r="57529" spans="1:2" x14ac:dyDescent="0.2">
      <c r="A57529" t="s">
        <v>18067</v>
      </c>
      <c r="B57529" t="str">
        <f>HYPERLINK("https://lindat.mff.cuni.cz/services/teitok/pdtc10/index.php?action=vallex&amp;frame=v-whsa_1480hsa_1481", "vylítat (v-whsa_1480hsa_1481)")</f>
        <v>vylítat (v-whsa_1480hsa_1481)</v>
      </c>
    </row>
    <row r="57530" spans="1:2" x14ac:dyDescent="0.2">
      <c r="B57530" t="s">
        <v>1</v>
      </c>
    </row>
    <row r="57531" spans="1:2" x14ac:dyDescent="0.2">
      <c r="B57531" t="s">
        <v>333</v>
      </c>
    </row>
    <row r="57533" spans="1:2" x14ac:dyDescent="0.2">
      <c r="A57533" t="s">
        <v>18068</v>
      </c>
      <c r="B57533" t="str">
        <f>HYPERLINK("https://lindat.mff.cuni.cz/services/teitok/pdtc10/index.php?action=vallex&amp;frame=v-w11992_ZUf1_ZU", "vylítat (v-w11992_ZUf1_ZU)")</f>
        <v>vylítat (v-w11992_ZUf1_ZU)</v>
      </c>
    </row>
    <row r="57534" spans="1:2" x14ac:dyDescent="0.2">
      <c r="B57534" t="s">
        <v>1</v>
      </c>
    </row>
    <row r="57535" spans="1:2" x14ac:dyDescent="0.2">
      <c r="B57535" t="s">
        <v>8</v>
      </c>
    </row>
    <row r="57537" spans="1:2" x14ac:dyDescent="0.2">
      <c r="A57537" t="s">
        <v>18069</v>
      </c>
      <c r="B57537" t="str">
        <f>HYPERLINK("https://lindat.mff.cuni.cz/services/teitok/pdtc10/index.php?action=vallex&amp;frame=v-whsa_731f1_ZU", "vylítnout (v-whsa_731f1_ZU)")</f>
        <v>vylítnout (v-whsa_731f1_ZU)</v>
      </c>
    </row>
    <row r="57538" spans="1:2" x14ac:dyDescent="0.2">
      <c r="B57538" t="s">
        <v>1</v>
      </c>
    </row>
    <row r="57539" spans="1:2" x14ac:dyDescent="0.2">
      <c r="B57539" t="s">
        <v>46</v>
      </c>
    </row>
    <row r="57540" spans="1:2" x14ac:dyDescent="0.2">
      <c r="B57540" t="s">
        <v>24</v>
      </c>
    </row>
    <row r="57542" spans="1:2" x14ac:dyDescent="0.2">
      <c r="A57542" t="s">
        <v>18069</v>
      </c>
      <c r="B57542" t="str">
        <f>HYPERLINK("https://lindat.mff.cuni.cz/services/teitok/pdtc10/index.php?action=vallex&amp;frame=v-whsa_731hsa_733", "vylítnout (v-whsa_731hsa_733) - substituted with v-whsa_731f1_ZU")</f>
        <v>vylítnout (v-whsa_731hsa_733) - substituted with v-whsa_731f1_ZU</v>
      </c>
    </row>
    <row r="57543" spans="1:2" x14ac:dyDescent="0.2">
      <c r="B57543" t="s">
        <v>1</v>
      </c>
    </row>
    <row r="57544" spans="1:2" x14ac:dyDescent="0.2">
      <c r="B57544" t="s">
        <v>46</v>
      </c>
    </row>
    <row r="57545" spans="1:2" x14ac:dyDescent="0.2">
      <c r="B57545" t="s">
        <v>24</v>
      </c>
    </row>
    <row r="57547" spans="1:2" x14ac:dyDescent="0.2">
      <c r="A57547" t="s">
        <v>18070</v>
      </c>
      <c r="B57547" t="str">
        <f>HYPERLINK("https://lindat.mff.cuni.cz/services/teitok/pdtc10/index.php?action=vallex&amp;frame=v-whsa_731hsa_732", "vylítnout (v-whsa_731hsa_732)")</f>
        <v>vylítnout (v-whsa_731hsa_732)</v>
      </c>
    </row>
    <row r="57548" spans="1:2" x14ac:dyDescent="0.2">
      <c r="B57548" t="s">
        <v>1</v>
      </c>
    </row>
    <row r="57549" spans="1:2" x14ac:dyDescent="0.2">
      <c r="B57549" t="s">
        <v>333</v>
      </c>
    </row>
    <row r="57551" spans="1:2" x14ac:dyDescent="0.2">
      <c r="A57551" t="s">
        <v>18071</v>
      </c>
      <c r="B57551" t="str">
        <f>HYPERLINK("https://lindat.mff.cuni.cz/services/teitok/pdtc10/index.php?action=vallex&amp;frame=v-w12351_MMf1_MM", "vylítávat (v-w12351_MMf1_MM)")</f>
        <v>vylítávat (v-w12351_MMf1_MM)</v>
      </c>
    </row>
    <row r="57552" spans="1:2" x14ac:dyDescent="0.2">
      <c r="B57552" t="s">
        <v>1</v>
      </c>
    </row>
    <row r="57553" spans="1:4" x14ac:dyDescent="0.2">
      <c r="B57553" t="s">
        <v>333</v>
      </c>
    </row>
    <row r="57555" spans="1:4" x14ac:dyDescent="0.2">
      <c r="A57555" t="s">
        <v>18072</v>
      </c>
      <c r="B57555" t="str">
        <f>HYPERLINK("https://lindat.mff.cuni.cz/services/teitok/pdtc10/index.php?action=vallex&amp;frame=v-w11891_ZUf1_ZU", "vylízat (v-w11891_ZUf1_ZU)")</f>
        <v>vylízat (v-w11891_ZUf1_ZU)</v>
      </c>
    </row>
    <row r="57556" spans="1:4" x14ac:dyDescent="0.2">
      <c r="B57556" t="s">
        <v>1</v>
      </c>
    </row>
    <row r="57557" spans="1:4" x14ac:dyDescent="0.2">
      <c r="B57557" t="s">
        <v>8</v>
      </c>
    </row>
    <row r="57559" spans="1:4" x14ac:dyDescent="0.2">
      <c r="A57559" t="s">
        <v>18073</v>
      </c>
      <c r="B57559" t="str">
        <f>HYPERLINK("https://lindat.mff.cuni.cz/services/teitok/pdtc10/index.php?action=vallex&amp;frame=v-w8067f1", "vylízat se (v-w8067f1)")</f>
        <v>vylízat se (v-w8067f1)</v>
      </c>
    </row>
    <row r="57560" spans="1:4" x14ac:dyDescent="0.2">
      <c r="B57560" t="s">
        <v>1</v>
      </c>
    </row>
    <row r="57561" spans="1:4" x14ac:dyDescent="0.2">
      <c r="B57561" t="s">
        <v>438</v>
      </c>
    </row>
    <row r="57563" spans="1:4" x14ac:dyDescent="0.2">
      <c r="A57563" t="s">
        <v>18074</v>
      </c>
      <c r="B57563" t="str">
        <f>HYPERLINK("https://lindat.mff.cuni.cz/services/teitok/pdtc10/index.php?action=vallex&amp;frame=v-w8064f1", "vylíčit (v-w8064f1)")</f>
        <v>vylíčit (v-w8064f1)</v>
      </c>
    </row>
    <row r="57564" spans="1:4" x14ac:dyDescent="0.2">
      <c r="B57564" t="s">
        <v>1</v>
      </c>
      <c r="C57564" t="s">
        <v>430</v>
      </c>
      <c r="D57564" t="s">
        <v>102</v>
      </c>
    </row>
    <row r="57565" spans="1:4" x14ac:dyDescent="0.2">
      <c r="B57565" t="s">
        <v>17948</v>
      </c>
      <c r="C57565" t="s">
        <v>1340</v>
      </c>
      <c r="D57565" t="s">
        <v>23046</v>
      </c>
    </row>
    <row r="57566" spans="1:4" x14ac:dyDescent="0.2">
      <c r="B57566" t="s">
        <v>35</v>
      </c>
    </row>
    <row r="57568" spans="1:4" x14ac:dyDescent="0.2">
      <c r="A57568" t="s">
        <v>18075</v>
      </c>
      <c r="B57568" t="str">
        <f>HYPERLINK("https://lindat.mff.cuni.cz/services/teitok/pdtc10/index.php?action=vallex&amp;frame=v-w8092f1", "vymalovat (v-w8092f1)")</f>
        <v>vymalovat (v-w8092f1)</v>
      </c>
    </row>
    <row r="57569" spans="1:4" x14ac:dyDescent="0.2">
      <c r="B57569" t="s">
        <v>1</v>
      </c>
      <c r="C57569" t="s">
        <v>133</v>
      </c>
      <c r="D57569" t="s">
        <v>80</v>
      </c>
    </row>
    <row r="57570" spans="1:4" x14ac:dyDescent="0.2">
      <c r="B57570" t="s">
        <v>8</v>
      </c>
      <c r="C57570" t="s">
        <v>84</v>
      </c>
      <c r="D57570" t="s">
        <v>1510</v>
      </c>
    </row>
    <row r="57572" spans="1:4" x14ac:dyDescent="0.2">
      <c r="A57572" t="s">
        <v>18076</v>
      </c>
      <c r="B57572" t="str">
        <f>HYPERLINK("https://lindat.mff.cuni.cz/services/teitok/pdtc10/index.php?action=vallex&amp;frame=v-w8093f1", "vymanit (v-w8093f1)")</f>
        <v>vymanit (v-w8093f1)</v>
      </c>
    </row>
    <row r="57573" spans="1:4" x14ac:dyDescent="0.2">
      <c r="B57573" t="s">
        <v>1</v>
      </c>
    </row>
    <row r="57574" spans="1:4" x14ac:dyDescent="0.2">
      <c r="B57574" t="s">
        <v>8</v>
      </c>
    </row>
    <row r="57575" spans="1:4" x14ac:dyDescent="0.2">
      <c r="B57575" t="s">
        <v>333</v>
      </c>
    </row>
    <row r="57577" spans="1:4" x14ac:dyDescent="0.2">
      <c r="A57577" t="s">
        <v>18077</v>
      </c>
      <c r="B57577" t="str">
        <f>HYPERLINK("https://lindat.mff.cuni.cz/services/teitok/pdtc10/index.php?action=vallex&amp;frame=v-w8094f1", "vymanit se (v-w8094f1)")</f>
        <v>vymanit se (v-w8094f1)</v>
      </c>
    </row>
    <row r="57578" spans="1:4" x14ac:dyDescent="0.2">
      <c r="B57578" t="s">
        <v>1</v>
      </c>
      <c r="C57578" t="s">
        <v>18078</v>
      </c>
      <c r="D57578" t="s">
        <v>24369</v>
      </c>
    </row>
    <row r="57579" spans="1:4" x14ac:dyDescent="0.2">
      <c r="B57579" t="s">
        <v>333</v>
      </c>
      <c r="C57579" t="s">
        <v>18079</v>
      </c>
    </row>
    <row r="57581" spans="1:4" x14ac:dyDescent="0.2">
      <c r="A57581" t="s">
        <v>18080</v>
      </c>
      <c r="B57581" t="str">
        <f>HYPERLINK("https://lindat.mff.cuni.cz/services/teitok/pdtc10/index.php?action=vallex&amp;frame=v-w10325f2", "vymanévrovat (v-w10325f2)")</f>
        <v>vymanévrovat (v-w10325f2)</v>
      </c>
    </row>
    <row r="57582" spans="1:4" x14ac:dyDescent="0.2">
      <c r="B57582" t="s">
        <v>1</v>
      </c>
    </row>
    <row r="57583" spans="1:4" x14ac:dyDescent="0.2">
      <c r="B57583" t="s">
        <v>8</v>
      </c>
    </row>
    <row r="57585" spans="1:4" x14ac:dyDescent="0.2">
      <c r="A57585" t="s">
        <v>18081</v>
      </c>
      <c r="B57585" t="str">
        <f>HYPERLINK("https://lindat.mff.cuni.cz/services/teitok/pdtc10/index.php?action=vallex&amp;frame=v-w8095f1", "vymazat (v-w8095f1)")</f>
        <v>vymazat (v-w8095f1)</v>
      </c>
    </row>
    <row r="57586" spans="1:4" x14ac:dyDescent="0.2">
      <c r="B57586" t="s">
        <v>1</v>
      </c>
      <c r="C57586" t="s">
        <v>334</v>
      </c>
      <c r="D57586" t="s">
        <v>373</v>
      </c>
    </row>
    <row r="57587" spans="1:4" x14ac:dyDescent="0.2">
      <c r="B57587" t="s">
        <v>8</v>
      </c>
      <c r="C57587" t="s">
        <v>2886</v>
      </c>
      <c r="D57587" t="s">
        <v>23339</v>
      </c>
    </row>
    <row r="57588" spans="1:4" x14ac:dyDescent="0.2">
      <c r="B57588" t="s">
        <v>333</v>
      </c>
      <c r="C57588" t="s">
        <v>17677</v>
      </c>
      <c r="D57588" t="s">
        <v>23684</v>
      </c>
    </row>
    <row r="57590" spans="1:4" x14ac:dyDescent="0.2">
      <c r="A57590" t="s">
        <v>18082</v>
      </c>
      <c r="B57590" t="str">
        <f>HYPERLINK("https://lindat.mff.cuni.cz/services/teitok/pdtc10/index.php?action=vallex&amp;frame=v-w8095f3_ZU", "vymazat (v-w8095f3_ZU)")</f>
        <v>vymazat (v-w8095f3_ZU)</v>
      </c>
    </row>
    <row r="57591" spans="1:4" x14ac:dyDescent="0.2">
      <c r="B57591" t="s">
        <v>1</v>
      </c>
      <c r="C57591" t="s">
        <v>133</v>
      </c>
    </row>
    <row r="57592" spans="1:4" x14ac:dyDescent="0.2">
      <c r="B57592" t="s">
        <v>8</v>
      </c>
      <c r="C57592" t="s">
        <v>54</v>
      </c>
    </row>
    <row r="57594" spans="1:4" x14ac:dyDescent="0.2">
      <c r="A57594" t="s">
        <v>18082</v>
      </c>
      <c r="B57594" t="str">
        <f>HYPERLINK("https://lindat.mff.cuni.cz/services/teitok/pdtc10/index.php?action=vallex&amp;frame=v-w8095hsa_360", "vymazat (v-w8095hsa_360) - substituted with v-w8095f3_ZU")</f>
        <v>vymazat (v-w8095hsa_360) - substituted with v-w8095f3_ZU</v>
      </c>
    </row>
    <row r="57595" spans="1:4" x14ac:dyDescent="0.2">
      <c r="B57595" t="s">
        <v>1</v>
      </c>
    </row>
    <row r="57596" spans="1:4" x14ac:dyDescent="0.2">
      <c r="B57596" t="s">
        <v>8</v>
      </c>
    </row>
    <row r="57598" spans="1:4" x14ac:dyDescent="0.2">
      <c r="A57598" t="s">
        <v>18083</v>
      </c>
      <c r="B57598" t="str">
        <f>HYPERLINK("https://lindat.mff.cuni.cz/services/teitok/pdtc10/index.php?action=vallex&amp;frame=v-w8095f2_ZU", "vymazat (v-w8095f2_ZU)")</f>
        <v>vymazat (v-w8095f2_ZU)</v>
      </c>
    </row>
    <row r="57599" spans="1:4" x14ac:dyDescent="0.2">
      <c r="B57599" t="s">
        <v>1</v>
      </c>
      <c r="C57599" t="s">
        <v>83</v>
      </c>
      <c r="D57599" t="s">
        <v>373</v>
      </c>
    </row>
    <row r="57600" spans="1:4" x14ac:dyDescent="0.2">
      <c r="B57600" t="s">
        <v>8</v>
      </c>
      <c r="C57600" t="s">
        <v>56</v>
      </c>
      <c r="D57600" t="s">
        <v>23339</v>
      </c>
    </row>
    <row r="57602" spans="1:2" x14ac:dyDescent="0.2">
      <c r="A57602" t="s">
        <v>18084</v>
      </c>
      <c r="B57602" t="str">
        <f>HYPERLINK("https://lindat.mff.cuni.cz/services/teitok/pdtc10/index.php?action=vallex&amp;frame=v-w8095f4_ZU", "vymazat (v-w8095f4_ZU)")</f>
        <v>vymazat (v-w8095f4_ZU)</v>
      </c>
    </row>
    <row r="57603" spans="1:2" x14ac:dyDescent="0.2">
      <c r="B57603" t="s">
        <v>1</v>
      </c>
    </row>
    <row r="57604" spans="1:2" x14ac:dyDescent="0.2">
      <c r="B57604" t="s">
        <v>8</v>
      </c>
    </row>
    <row r="57605" spans="1:2" x14ac:dyDescent="0.2">
      <c r="B57605" t="s">
        <v>18085</v>
      </c>
    </row>
    <row r="57607" spans="1:2" x14ac:dyDescent="0.2">
      <c r="A57607" t="s">
        <v>18084</v>
      </c>
      <c r="B57607" t="str">
        <f>HYPERLINK("https://lindat.mff.cuni.cz/services/teitok/pdtc10/index.php?action=vallex&amp;frame=v-w8095hsa_267", "vymazat (v-w8095hsa_267) - substituted with v-w8095f4_ZU")</f>
        <v>vymazat (v-w8095hsa_267) - substituted with v-w8095f4_ZU</v>
      </c>
    </row>
    <row r="57608" spans="1:2" x14ac:dyDescent="0.2">
      <c r="B57608" t="s">
        <v>1</v>
      </c>
    </row>
    <row r="57609" spans="1:2" x14ac:dyDescent="0.2">
      <c r="B57609" t="s">
        <v>8</v>
      </c>
    </row>
    <row r="57610" spans="1:2" x14ac:dyDescent="0.2">
      <c r="B57610" t="s">
        <v>18085</v>
      </c>
    </row>
    <row r="57612" spans="1:2" x14ac:dyDescent="0.2">
      <c r="A57612" t="s">
        <v>18086</v>
      </c>
      <c r="B57612" t="str">
        <f>HYPERLINK("https://lindat.mff.cuni.cz/services/teitok/pdtc10/index.php?action=vallex&amp;frame=v-w10858f2", "vymačkat (v-w10858f2)")</f>
        <v>vymačkat (v-w10858f2)</v>
      </c>
    </row>
    <row r="57613" spans="1:2" x14ac:dyDescent="0.2">
      <c r="B57613" t="s">
        <v>1</v>
      </c>
    </row>
    <row r="57614" spans="1:2" x14ac:dyDescent="0.2">
      <c r="B57614" t="s">
        <v>8</v>
      </c>
    </row>
    <row r="57615" spans="1:2" x14ac:dyDescent="0.2">
      <c r="B57615" t="s">
        <v>1944</v>
      </c>
    </row>
    <row r="57617" spans="1:4" x14ac:dyDescent="0.2">
      <c r="A57617" t="s">
        <v>18087</v>
      </c>
      <c r="B57617" t="str">
        <f>HYPERLINK("https://lindat.mff.cuni.cz/services/teitok/pdtc10/index.php?action=vallex&amp;frame=v-w10858hsa_170", "vymačkat (v-w10858hsa_170)")</f>
        <v>vymačkat (v-w10858hsa_170)</v>
      </c>
    </row>
    <row r="57618" spans="1:4" x14ac:dyDescent="0.2">
      <c r="B57618" t="s">
        <v>1</v>
      </c>
    </row>
    <row r="57619" spans="1:4" x14ac:dyDescent="0.2">
      <c r="B57619" t="s">
        <v>8</v>
      </c>
    </row>
    <row r="57620" spans="1:4" x14ac:dyDescent="0.2">
      <c r="B57620" t="s">
        <v>333</v>
      </c>
    </row>
    <row r="57622" spans="1:4" x14ac:dyDescent="0.2">
      <c r="A57622" t="s">
        <v>18088</v>
      </c>
      <c r="B57622" t="str">
        <f>HYPERLINK("https://lindat.mff.cuni.cz/services/teitok/pdtc10/index.php?action=vallex&amp;frame=v-w8103f1", "vymetat (v-w8103f1)")</f>
        <v>vymetat (v-w8103f1)</v>
      </c>
    </row>
    <row r="57623" spans="1:4" x14ac:dyDescent="0.2">
      <c r="B57623" t="s">
        <v>1</v>
      </c>
    </row>
    <row r="57624" spans="1:4" x14ac:dyDescent="0.2">
      <c r="B57624" t="s">
        <v>8</v>
      </c>
    </row>
    <row r="57626" spans="1:4" x14ac:dyDescent="0.2">
      <c r="A57626" t="s">
        <v>18089</v>
      </c>
      <c r="B57626" t="str">
        <f>HYPERLINK("https://lindat.mff.cuni.cz/services/teitok/pdtc10/index.php?action=vallex&amp;frame=v-w8103hsa_722", "vymetat (v-w8103hsa_722)")</f>
        <v>vymetat (v-w8103hsa_722)</v>
      </c>
    </row>
    <row r="57627" spans="1:4" x14ac:dyDescent="0.2">
      <c r="B57627" t="s">
        <v>1</v>
      </c>
    </row>
    <row r="57628" spans="1:4" x14ac:dyDescent="0.2">
      <c r="B57628" t="s">
        <v>8</v>
      </c>
    </row>
    <row r="57630" spans="1:4" x14ac:dyDescent="0.2">
      <c r="A57630" t="s">
        <v>18090</v>
      </c>
      <c r="B57630" t="str">
        <f>HYPERLINK("https://lindat.mff.cuni.cz/services/teitok/pdtc10/index.php?action=vallex&amp;frame=v-w8106f1", "vymezit (v-w8106f1)")</f>
        <v>vymezit (v-w8106f1)</v>
      </c>
    </row>
    <row r="57631" spans="1:4" x14ac:dyDescent="0.2">
      <c r="B57631" t="s">
        <v>1</v>
      </c>
      <c r="C57631" t="s">
        <v>1275</v>
      </c>
      <c r="D57631" t="s">
        <v>23261</v>
      </c>
    </row>
    <row r="57632" spans="1:4" x14ac:dyDescent="0.2">
      <c r="B57632" t="s">
        <v>172</v>
      </c>
      <c r="C57632" t="s">
        <v>18091</v>
      </c>
      <c r="D57632" t="s">
        <v>9548</v>
      </c>
    </row>
    <row r="57634" spans="1:4" x14ac:dyDescent="0.2">
      <c r="A57634" t="s">
        <v>18092</v>
      </c>
      <c r="B57634" t="str">
        <f>HYPERLINK("https://lindat.mff.cuni.cz/services/teitok/pdtc10/index.php?action=vallex&amp;frame=v-w8109f1", "vymezovat (v-w8109f1)")</f>
        <v>vymezovat (v-w8109f1)</v>
      </c>
    </row>
    <row r="57635" spans="1:4" x14ac:dyDescent="0.2">
      <c r="B57635" t="s">
        <v>1</v>
      </c>
      <c r="C57635" t="s">
        <v>340</v>
      </c>
      <c r="D57635" t="s">
        <v>23261</v>
      </c>
    </row>
    <row r="57636" spans="1:4" x14ac:dyDescent="0.2">
      <c r="B57636" t="s">
        <v>172</v>
      </c>
      <c r="C57636" t="s">
        <v>18093</v>
      </c>
      <c r="D57636" t="s">
        <v>9548</v>
      </c>
    </row>
    <row r="57638" spans="1:4" x14ac:dyDescent="0.2">
      <c r="A57638" t="s">
        <v>18094</v>
      </c>
      <c r="B57638" t="str">
        <f>HYPERLINK("https://lindat.mff.cuni.cz/services/teitok/pdtc10/index.php?action=vallex&amp;frame=v-w8112f1", "vymizet (v-w8112f1)")</f>
        <v>vymizet (v-w8112f1)</v>
      </c>
    </row>
    <row r="57639" spans="1:4" x14ac:dyDescent="0.2">
      <c r="B57639" t="s">
        <v>1</v>
      </c>
      <c r="C57639" t="s">
        <v>4421</v>
      </c>
      <c r="D57639" t="s">
        <v>9222</v>
      </c>
    </row>
    <row r="57641" spans="1:4" x14ac:dyDescent="0.2">
      <c r="A57641" t="s">
        <v>18095</v>
      </c>
      <c r="B57641" t="str">
        <f>HYPERLINK("https://lindat.mff.cuni.cz/services/teitok/pdtc10/index.php?action=vallex&amp;frame=v-w8111f1", "vymiňovat si (v-w8111f1)")</f>
        <v>vymiňovat si (v-w8111f1)</v>
      </c>
    </row>
    <row r="57642" spans="1:4" x14ac:dyDescent="0.2">
      <c r="B57642" t="s">
        <v>1</v>
      </c>
    </row>
    <row r="57643" spans="1:4" x14ac:dyDescent="0.2">
      <c r="B57643" t="s">
        <v>8</v>
      </c>
    </row>
    <row r="57645" spans="1:4" x14ac:dyDescent="0.2">
      <c r="A57645" t="s">
        <v>18096</v>
      </c>
      <c r="B57645" t="str">
        <f>HYPERLINK("https://lindat.mff.cuni.cz/services/teitok/pdtc10/index.php?action=vallex&amp;frame=v-w8113f1", "vymknout se (v-w8113f1)")</f>
        <v>vymknout se (v-w8113f1)</v>
      </c>
    </row>
    <row r="57646" spans="1:4" x14ac:dyDescent="0.2">
      <c r="B57646" t="s">
        <v>1</v>
      </c>
      <c r="C57646" t="s">
        <v>18097</v>
      </c>
      <c r="D57646" t="s">
        <v>430</v>
      </c>
    </row>
    <row r="57647" spans="1:4" x14ac:dyDescent="0.2">
      <c r="B57647" t="s">
        <v>103</v>
      </c>
      <c r="C57647" t="s">
        <v>18098</v>
      </c>
      <c r="D57647" t="s">
        <v>1340</v>
      </c>
    </row>
    <row r="57649" spans="1:3" x14ac:dyDescent="0.2">
      <c r="A57649" t="s">
        <v>18099</v>
      </c>
      <c r="B57649" t="str">
        <f>HYPERLINK("https://lindat.mff.cuni.cz/services/teitok/pdtc10/index.php?action=vallex&amp;frame=v-w8113f3_ZU", "vymknout se (v-w8113f3_ZU)")</f>
        <v>vymknout se (v-w8113f3_ZU)</v>
      </c>
    </row>
    <row r="57650" spans="1:3" x14ac:dyDescent="0.2">
      <c r="B57650" t="s">
        <v>1</v>
      </c>
      <c r="C57650" t="s">
        <v>127</v>
      </c>
    </row>
    <row r="57651" spans="1:3" x14ac:dyDescent="0.2">
      <c r="B57651" t="s">
        <v>18100</v>
      </c>
      <c r="C57651" t="s">
        <v>661</v>
      </c>
    </row>
    <row r="57652" spans="1:3" x14ac:dyDescent="0.2">
      <c r="B57652" t="s">
        <v>103</v>
      </c>
    </row>
    <row r="57654" spans="1:3" x14ac:dyDescent="0.2">
      <c r="A57654" t="s">
        <v>18099</v>
      </c>
      <c r="B57654" t="str">
        <f>HYPERLINK("https://lindat.mff.cuni.cz/services/teitok/pdtc10/index.php?action=vallex&amp;frame=v-w8113f2", "vymknout se (v-w8113f2) - substituted with v-w8113f3_ZU")</f>
        <v>vymknout se (v-w8113f2) - substituted with v-w8113f3_ZU</v>
      </c>
    </row>
    <row r="57655" spans="1:3" x14ac:dyDescent="0.2">
      <c r="B57655" t="s">
        <v>1</v>
      </c>
      <c r="C57655" t="s">
        <v>3824</v>
      </c>
    </row>
    <row r="57656" spans="1:3" x14ac:dyDescent="0.2">
      <c r="B57656" t="s">
        <v>18100</v>
      </c>
    </row>
    <row r="57657" spans="1:3" x14ac:dyDescent="0.2">
      <c r="B57657" t="s">
        <v>103</v>
      </c>
    </row>
    <row r="57659" spans="1:3" x14ac:dyDescent="0.2">
      <c r="A57659" t="s">
        <v>18101</v>
      </c>
      <c r="B57659" t="str">
        <f>HYPERLINK("https://lindat.mff.cuni.cz/services/teitok/pdtc10/index.php?action=vallex&amp;frame=v-whsa_1436hsa_1437", "vymlouvat (v-whsa_1436hsa_1437)")</f>
        <v>vymlouvat (v-whsa_1436hsa_1437)</v>
      </c>
    </row>
    <row r="57660" spans="1:3" x14ac:dyDescent="0.2">
      <c r="B57660" t="s">
        <v>1</v>
      </c>
    </row>
    <row r="57661" spans="1:3" x14ac:dyDescent="0.2">
      <c r="B57661" t="s">
        <v>3526</v>
      </c>
    </row>
    <row r="57662" spans="1:3" x14ac:dyDescent="0.2">
      <c r="B57662" t="s">
        <v>35</v>
      </c>
    </row>
    <row r="57664" spans="1:3" x14ac:dyDescent="0.2">
      <c r="A57664" t="s">
        <v>18102</v>
      </c>
      <c r="B57664" t="str">
        <f>HYPERLINK("https://lindat.mff.cuni.cz/services/teitok/pdtc10/index.php?action=vallex&amp;frame=v-w8114f1", "vymlouvat se (v-w8114f1)")</f>
        <v>vymlouvat se (v-w8114f1)</v>
      </c>
    </row>
    <row r="57665" spans="1:4" x14ac:dyDescent="0.2">
      <c r="B57665" t="s">
        <v>1</v>
      </c>
      <c r="C57665" t="s">
        <v>1805</v>
      </c>
    </row>
    <row r="57666" spans="1:4" x14ac:dyDescent="0.2">
      <c r="B57666" t="s">
        <v>452</v>
      </c>
      <c r="C57666" t="s">
        <v>18103</v>
      </c>
    </row>
    <row r="57668" spans="1:4" x14ac:dyDescent="0.2">
      <c r="A57668" t="s">
        <v>18104</v>
      </c>
      <c r="B57668" t="str">
        <f>HYPERLINK("https://lindat.mff.cuni.cz/services/teitok/pdtc10/index.php?action=vallex&amp;frame=v-w8116f1", "vymluvit (v-w8116f1)")</f>
        <v>vymluvit (v-w8116f1)</v>
      </c>
    </row>
    <row r="57669" spans="1:4" x14ac:dyDescent="0.2">
      <c r="B57669" t="s">
        <v>1</v>
      </c>
      <c r="C57669" t="s">
        <v>140</v>
      </c>
      <c r="D57669" t="s">
        <v>140</v>
      </c>
    </row>
    <row r="57670" spans="1:4" x14ac:dyDescent="0.2">
      <c r="B57670" t="s">
        <v>3526</v>
      </c>
      <c r="C57670" t="s">
        <v>7577</v>
      </c>
      <c r="D57670" t="s">
        <v>7577</v>
      </c>
    </row>
    <row r="57671" spans="1:4" x14ac:dyDescent="0.2">
      <c r="B57671" t="s">
        <v>35</v>
      </c>
      <c r="C57671" t="s">
        <v>4016</v>
      </c>
      <c r="D57671" t="s">
        <v>4016</v>
      </c>
    </row>
    <row r="57673" spans="1:4" x14ac:dyDescent="0.2">
      <c r="A57673" t="s">
        <v>18105</v>
      </c>
      <c r="B57673" t="str">
        <f>HYPERLINK("https://lindat.mff.cuni.cz/services/teitok/pdtc10/index.php?action=vallex&amp;frame=v-w11859_ZUf1_ZU", "vymluvit se (v-w11859_ZUf1_ZU)")</f>
        <v>vymluvit se (v-w11859_ZUf1_ZU)</v>
      </c>
    </row>
    <row r="57674" spans="1:4" x14ac:dyDescent="0.2">
      <c r="B57674" t="s">
        <v>1</v>
      </c>
    </row>
    <row r="57675" spans="1:4" x14ac:dyDescent="0.2">
      <c r="B57675" t="s">
        <v>78</v>
      </c>
    </row>
    <row r="57676" spans="1:4" x14ac:dyDescent="0.2">
      <c r="B57676" t="s">
        <v>28</v>
      </c>
    </row>
    <row r="57678" spans="1:4" x14ac:dyDescent="0.2">
      <c r="A57678" t="s">
        <v>18106</v>
      </c>
      <c r="B57678" t="str">
        <f>HYPERLINK("https://lindat.mff.cuni.cz/services/teitok/pdtc10/index.php?action=vallex&amp;frame=v-w12012_ZUf2_ZU", "vymlátit (v-w12012_ZUf2_ZU)")</f>
        <v>vymlátit (v-w12012_ZUf2_ZU)</v>
      </c>
    </row>
    <row r="57679" spans="1:4" x14ac:dyDescent="0.2">
      <c r="B57679" t="s">
        <v>1</v>
      </c>
    </row>
    <row r="57680" spans="1:4" x14ac:dyDescent="0.2">
      <c r="B57680" t="s">
        <v>8</v>
      </c>
    </row>
    <row r="57682" spans="1:3" x14ac:dyDescent="0.2">
      <c r="A57682" t="s">
        <v>18106</v>
      </c>
      <c r="B57682" t="str">
        <f>HYPERLINK("https://lindat.mff.cuni.cz/services/teitok/pdtc10/index.php?action=vallex&amp;frame=v-w12012_ZUf1_ZU", "vymlátit (v-w12012_ZUf1_ZU) - substituted with v-w12012_ZUf2_ZU")</f>
        <v>vymlátit (v-w12012_ZUf1_ZU) - substituted with v-w12012_ZUf2_ZU</v>
      </c>
    </row>
    <row r="57683" spans="1:3" x14ac:dyDescent="0.2">
      <c r="B57683" t="s">
        <v>1</v>
      </c>
    </row>
    <row r="57684" spans="1:3" x14ac:dyDescent="0.2">
      <c r="B57684" t="s">
        <v>8</v>
      </c>
    </row>
    <row r="57686" spans="1:3" x14ac:dyDescent="0.2">
      <c r="A57686" t="s">
        <v>18107</v>
      </c>
      <c r="B57686" t="str">
        <f>HYPERLINK("https://lindat.mff.cuni.cz/services/teitok/pdtc10/index.php?action=vallex&amp;frame=v-w8117f2_ZU", "vymoci (v-w8117f2_ZU)")</f>
        <v>vymoci (v-w8117f2_ZU)</v>
      </c>
    </row>
    <row r="57687" spans="1:3" x14ac:dyDescent="0.2">
      <c r="B57687" t="s">
        <v>1</v>
      </c>
      <c r="C57687" t="s">
        <v>83</v>
      </c>
    </row>
    <row r="57688" spans="1:3" x14ac:dyDescent="0.2">
      <c r="B57688" t="s">
        <v>8</v>
      </c>
      <c r="C57688" t="s">
        <v>54</v>
      </c>
    </row>
    <row r="57689" spans="1:3" x14ac:dyDescent="0.2">
      <c r="B57689" t="s">
        <v>18108</v>
      </c>
    </row>
    <row r="57691" spans="1:3" x14ac:dyDescent="0.2">
      <c r="A57691" t="s">
        <v>18107</v>
      </c>
      <c r="B57691" t="str">
        <f>HYPERLINK("https://lindat.mff.cuni.cz/services/teitok/pdtc10/index.php?action=vallex&amp;frame=v-w8117f1", "vymoci (v-w8117f1) - substituted with v-w8117f2_ZU")</f>
        <v>vymoci (v-w8117f1) - substituted with v-w8117f2_ZU</v>
      </c>
    </row>
    <row r="57692" spans="1:3" x14ac:dyDescent="0.2">
      <c r="B57692" t="s">
        <v>1</v>
      </c>
      <c r="C57692" t="s">
        <v>3384</v>
      </c>
    </row>
    <row r="57693" spans="1:3" x14ac:dyDescent="0.2">
      <c r="B57693" t="s">
        <v>8</v>
      </c>
      <c r="C57693" t="s">
        <v>3233</v>
      </c>
    </row>
    <row r="57694" spans="1:3" x14ac:dyDescent="0.2">
      <c r="B57694" t="s">
        <v>18108</v>
      </c>
      <c r="C57694" t="s">
        <v>4604</v>
      </c>
    </row>
    <row r="57696" spans="1:3" x14ac:dyDescent="0.2">
      <c r="A57696" t="s">
        <v>18109</v>
      </c>
      <c r="B57696" t="str">
        <f>HYPERLINK("https://lindat.mff.cuni.cz/services/teitok/pdtc10/index.php?action=vallex&amp;frame=v-w8120f1", "vymodlit (v-w8120f1)")</f>
        <v>vymodlit (v-w8120f1)</v>
      </c>
    </row>
    <row r="57697" spans="1:2" x14ac:dyDescent="0.2">
      <c r="B57697" t="s">
        <v>1</v>
      </c>
    </row>
    <row r="57698" spans="1:2" x14ac:dyDescent="0.2">
      <c r="B57698" t="s">
        <v>8</v>
      </c>
    </row>
    <row r="57699" spans="1:2" x14ac:dyDescent="0.2">
      <c r="B57699" t="s">
        <v>442</v>
      </c>
    </row>
    <row r="57701" spans="1:2" x14ac:dyDescent="0.2">
      <c r="A57701" t="s">
        <v>18110</v>
      </c>
      <c r="B57701" t="str">
        <f>HYPERLINK("https://lindat.mff.cuni.cz/services/teitok/pdtc10/index.php?action=vallex&amp;frame=v-w8118f1", "vymočit se (v-w8118f1)")</f>
        <v>vymočit se (v-w8118f1)</v>
      </c>
    </row>
    <row r="57702" spans="1:2" x14ac:dyDescent="0.2">
      <c r="B57702" t="s">
        <v>1</v>
      </c>
    </row>
    <row r="57704" spans="1:2" x14ac:dyDescent="0.2">
      <c r="A57704" t="s">
        <v>18111</v>
      </c>
      <c r="B57704" t="str">
        <f>HYPERLINK("https://lindat.mff.cuni.cz/services/teitok/pdtc10/index.php?action=vallex&amp;frame=v-whsa_1865hsa_1866", "vymrdat (v-whsa_1865hsa_1866)")</f>
        <v>vymrdat (v-whsa_1865hsa_1866)</v>
      </c>
    </row>
    <row r="57705" spans="1:2" x14ac:dyDescent="0.2">
      <c r="B57705" t="s">
        <v>1</v>
      </c>
    </row>
    <row r="57706" spans="1:2" x14ac:dyDescent="0.2">
      <c r="B57706" t="s">
        <v>8</v>
      </c>
    </row>
    <row r="57708" spans="1:2" x14ac:dyDescent="0.2">
      <c r="A57708" t="s">
        <v>18112</v>
      </c>
      <c r="B57708" t="str">
        <f>HYPERLINK("https://lindat.mff.cuni.cz/services/teitok/pdtc10/index.php?action=vallex&amp;frame=v-whsa_1865hsa_1867", "vymrdat (v-whsa_1865hsa_1867)")</f>
        <v>vymrdat (v-whsa_1865hsa_1867)</v>
      </c>
    </row>
    <row r="57709" spans="1:2" x14ac:dyDescent="0.2">
      <c r="B57709" t="s">
        <v>1</v>
      </c>
    </row>
    <row r="57710" spans="1:2" x14ac:dyDescent="0.2">
      <c r="B57710" t="s">
        <v>8</v>
      </c>
    </row>
    <row r="57711" spans="1:2" x14ac:dyDescent="0.2">
      <c r="B57711" t="s">
        <v>333</v>
      </c>
    </row>
    <row r="57713" spans="1:4" x14ac:dyDescent="0.2">
      <c r="A57713" t="s">
        <v>18113</v>
      </c>
      <c r="B57713" t="str">
        <f>HYPERLINK("https://lindat.mff.cuni.cz/services/teitok/pdtc10/index.php?action=vallex&amp;frame=v-w8121f3", "vymrštit (v-w8121f3)")</f>
        <v>vymrštit (v-w8121f3)</v>
      </c>
    </row>
    <row r="57714" spans="1:4" x14ac:dyDescent="0.2">
      <c r="B57714" t="s">
        <v>1</v>
      </c>
      <c r="C57714" t="s">
        <v>5659</v>
      </c>
      <c r="D57714" t="s">
        <v>23523</v>
      </c>
    </row>
    <row r="57715" spans="1:4" x14ac:dyDescent="0.2">
      <c r="B57715" t="s">
        <v>8</v>
      </c>
      <c r="C57715" t="s">
        <v>6357</v>
      </c>
      <c r="D57715" t="s">
        <v>23524</v>
      </c>
    </row>
    <row r="57716" spans="1:4" x14ac:dyDescent="0.2">
      <c r="B57716" t="s">
        <v>24</v>
      </c>
      <c r="C57716" t="s">
        <v>18114</v>
      </c>
      <c r="D57716" t="s">
        <v>23525</v>
      </c>
    </row>
    <row r="57717" spans="1:4" x14ac:dyDescent="0.2">
      <c r="B57717" t="s">
        <v>4155</v>
      </c>
      <c r="C57717" t="s">
        <v>8837</v>
      </c>
      <c r="D57717" t="s">
        <v>23526</v>
      </c>
    </row>
    <row r="57719" spans="1:4" x14ac:dyDescent="0.2">
      <c r="A57719" t="s">
        <v>18115</v>
      </c>
      <c r="B57719" t="str">
        <f>HYPERLINK("https://lindat.mff.cuni.cz/services/teitok/pdtc10/index.php?action=vallex&amp;frame=v-w8121f1", "vymrštit (v-w8121f1)")</f>
        <v>vymrštit (v-w8121f1)</v>
      </c>
    </row>
    <row r="57720" spans="1:4" x14ac:dyDescent="0.2">
      <c r="B57720" t="s">
        <v>1</v>
      </c>
    </row>
    <row r="57721" spans="1:4" x14ac:dyDescent="0.2">
      <c r="B57721" t="s">
        <v>8</v>
      </c>
    </row>
    <row r="57722" spans="1:4" x14ac:dyDescent="0.2">
      <c r="B57722" t="s">
        <v>333</v>
      </c>
    </row>
    <row r="57724" spans="1:4" x14ac:dyDescent="0.2">
      <c r="A57724" t="s">
        <v>18116</v>
      </c>
      <c r="B57724" t="str">
        <f>HYPERLINK("https://lindat.mff.cuni.cz/services/teitok/pdtc10/index.php?action=vallex&amp;frame=v-w8121f2", "vymrštit (v-w8121f2)")</f>
        <v>vymrštit (v-w8121f2)</v>
      </c>
    </row>
    <row r="57725" spans="1:4" x14ac:dyDescent="0.2">
      <c r="B57725" t="s">
        <v>1</v>
      </c>
    </row>
    <row r="57726" spans="1:4" x14ac:dyDescent="0.2">
      <c r="B57726" t="s">
        <v>8</v>
      </c>
    </row>
    <row r="57727" spans="1:4" x14ac:dyDescent="0.2">
      <c r="B57727" t="s">
        <v>90</v>
      </c>
    </row>
    <row r="57729" spans="1:4" x14ac:dyDescent="0.2">
      <c r="A57729" t="s">
        <v>18117</v>
      </c>
      <c r="B57729" t="str">
        <f>HYPERLINK("https://lindat.mff.cuni.cz/services/teitok/pdtc10/index.php?action=vallex&amp;frame=v-w8124f1", "vymstít se (v-w8124f1)")</f>
        <v>vymstít se (v-w8124f1)</v>
      </c>
    </row>
    <row r="57730" spans="1:4" x14ac:dyDescent="0.2">
      <c r="B57730" t="s">
        <v>607</v>
      </c>
      <c r="C57730" t="s">
        <v>127</v>
      </c>
      <c r="D57730" t="s">
        <v>6317</v>
      </c>
    </row>
    <row r="57731" spans="1:4" x14ac:dyDescent="0.2">
      <c r="B57731" t="s">
        <v>103</v>
      </c>
    </row>
    <row r="57733" spans="1:4" x14ac:dyDescent="0.2">
      <c r="A57733" t="s">
        <v>18118</v>
      </c>
      <c r="B57733" t="str">
        <f>HYPERLINK("https://lindat.mff.cuni.cz/services/teitok/pdtc10/index.php?action=vallex&amp;frame=v-w8126f1", "vymykat se (v-w8126f1)")</f>
        <v>vymykat se (v-w8126f1)</v>
      </c>
    </row>
    <row r="57734" spans="1:4" x14ac:dyDescent="0.2">
      <c r="B57734" t="s">
        <v>1</v>
      </c>
      <c r="C57734" t="s">
        <v>430</v>
      </c>
      <c r="D57734" t="s">
        <v>430</v>
      </c>
    </row>
    <row r="57735" spans="1:4" x14ac:dyDescent="0.2">
      <c r="B57735" t="s">
        <v>103</v>
      </c>
      <c r="C57735" t="s">
        <v>1340</v>
      </c>
      <c r="D57735" t="s">
        <v>1340</v>
      </c>
    </row>
    <row r="57737" spans="1:4" x14ac:dyDescent="0.2">
      <c r="A57737" t="s">
        <v>18119</v>
      </c>
      <c r="B57737" t="str">
        <f>HYPERLINK("https://lindat.mff.cuni.cz/services/teitok/pdtc10/index.php?action=vallex&amp;frame=v-w8126f2", "vymykat se (v-w8126f2)")</f>
        <v>vymykat se (v-w8126f2)</v>
      </c>
    </row>
    <row r="57738" spans="1:4" x14ac:dyDescent="0.2">
      <c r="B57738" t="s">
        <v>1</v>
      </c>
      <c r="C57738" t="s">
        <v>127</v>
      </c>
    </row>
    <row r="57739" spans="1:4" x14ac:dyDescent="0.2">
      <c r="B57739" t="s">
        <v>333</v>
      </c>
      <c r="C57739" t="s">
        <v>16640</v>
      </c>
    </row>
    <row r="57741" spans="1:4" x14ac:dyDescent="0.2">
      <c r="A57741" t="s">
        <v>18120</v>
      </c>
      <c r="B57741" t="str">
        <f>HYPERLINK("https://lindat.mff.cuni.cz/services/teitok/pdtc10/index.php?action=vallex&amp;frame=v-w8128f3_MM", "vymyslet (v-w8128f3_MM)")</f>
        <v>vymyslet (v-w8128f3_MM)</v>
      </c>
    </row>
    <row r="57742" spans="1:4" x14ac:dyDescent="0.2">
      <c r="B57742" t="s">
        <v>1</v>
      </c>
    </row>
    <row r="57743" spans="1:4" x14ac:dyDescent="0.2">
      <c r="B57743" t="s">
        <v>18121</v>
      </c>
    </row>
    <row r="57745" spans="1:4" x14ac:dyDescent="0.2">
      <c r="A57745" t="s">
        <v>18120</v>
      </c>
      <c r="B57745" t="str">
        <f>HYPERLINK("https://lindat.mff.cuni.cz/services/teitok/pdtc10/index.php?action=vallex&amp;frame=v-w8128f1", "vymyslet (v-w8128f1) - substituted with v-w8128f3_MM")</f>
        <v>vymyslet (v-w8128f1) - substituted with v-w8128f3_MM</v>
      </c>
    </row>
    <row r="57746" spans="1:4" x14ac:dyDescent="0.2">
      <c r="B57746" t="s">
        <v>1</v>
      </c>
      <c r="C57746" t="s">
        <v>18122</v>
      </c>
      <c r="D57746" t="s">
        <v>14984</v>
      </c>
    </row>
    <row r="57747" spans="1:4" x14ac:dyDescent="0.2">
      <c r="B57747" t="s">
        <v>18121</v>
      </c>
      <c r="C57747" t="s">
        <v>18123</v>
      </c>
      <c r="D57747" t="s">
        <v>2750</v>
      </c>
    </row>
    <row r="57749" spans="1:4" x14ac:dyDescent="0.2">
      <c r="A57749" t="s">
        <v>18124</v>
      </c>
      <c r="B57749" t="str">
        <f>HYPERLINK("https://lindat.mff.cuni.cz/services/teitok/pdtc10/index.php?action=vallex&amp;frame=v-w8128f2", "vymyslet (v-w8128f2)")</f>
        <v>vymyslet (v-w8128f2)</v>
      </c>
    </row>
    <row r="57750" spans="1:4" x14ac:dyDescent="0.2">
      <c r="B57750" t="s">
        <v>1</v>
      </c>
      <c r="C57750" t="s">
        <v>2106</v>
      </c>
    </row>
    <row r="57751" spans="1:4" x14ac:dyDescent="0.2">
      <c r="B57751" t="s">
        <v>18125</v>
      </c>
      <c r="C57751" t="s">
        <v>18126</v>
      </c>
    </row>
    <row r="57752" spans="1:4" x14ac:dyDescent="0.2">
      <c r="B57752" t="s">
        <v>269</v>
      </c>
    </row>
    <row r="57754" spans="1:4" x14ac:dyDescent="0.2">
      <c r="A57754" t="s">
        <v>18127</v>
      </c>
      <c r="B57754" t="str">
        <f>HYPERLINK("https://lindat.mff.cuni.cz/services/teitok/pdtc10/index.php?action=vallex&amp;frame=v-w8129f1", "vymyslet si (v-w8129f1)")</f>
        <v>vymyslet si (v-w8129f1)</v>
      </c>
    </row>
    <row r="57755" spans="1:4" x14ac:dyDescent="0.2">
      <c r="B57755" t="s">
        <v>1</v>
      </c>
      <c r="C57755" t="s">
        <v>990</v>
      </c>
    </row>
    <row r="57756" spans="1:4" x14ac:dyDescent="0.2">
      <c r="B57756" t="s">
        <v>1284</v>
      </c>
      <c r="C57756" t="s">
        <v>1340</v>
      </c>
    </row>
    <row r="57758" spans="1:4" x14ac:dyDescent="0.2">
      <c r="A57758" t="s">
        <v>18128</v>
      </c>
      <c r="B57758" t="str">
        <f>HYPERLINK("https://lindat.mff.cuni.cz/services/teitok/pdtc10/index.php?action=vallex&amp;frame=v-w8129f2", "vymyslet si (v-w8129f2)")</f>
        <v>vymyslet si (v-w8129f2)</v>
      </c>
    </row>
    <row r="57759" spans="1:4" x14ac:dyDescent="0.2">
      <c r="B57759" t="s">
        <v>1</v>
      </c>
    </row>
    <row r="57760" spans="1:4" x14ac:dyDescent="0.2">
      <c r="B57760" t="s">
        <v>1609</v>
      </c>
    </row>
    <row r="57761" spans="1:2" x14ac:dyDescent="0.2">
      <c r="B57761" t="s">
        <v>269</v>
      </c>
    </row>
    <row r="57763" spans="1:2" x14ac:dyDescent="0.2">
      <c r="A57763" t="s">
        <v>18129</v>
      </c>
      <c r="B57763" t="str">
        <f>HYPERLINK("https://lindat.mff.cuni.cz/services/teitok/pdtc10/index.php?action=vallex&amp;frame=v-w8129f3_MM", "vymyslet si (v-w8129f3_MM)")</f>
        <v>vymyslet si (v-w8129f3_MM)</v>
      </c>
    </row>
    <row r="57764" spans="1:2" x14ac:dyDescent="0.2">
      <c r="B57764" t="s">
        <v>1</v>
      </c>
    </row>
    <row r="57765" spans="1:2" x14ac:dyDescent="0.2">
      <c r="B57765" t="s">
        <v>41</v>
      </c>
    </row>
    <row r="57767" spans="1:2" x14ac:dyDescent="0.2">
      <c r="A57767" t="s">
        <v>18130</v>
      </c>
      <c r="B57767" t="str">
        <f>HYPERLINK("https://lindat.mff.cuni.cz/services/teitok/pdtc10/index.php?action=vallex&amp;frame=v-w8130f1", "vymyslit (v-w8130f1)")</f>
        <v>vymyslit (v-w8130f1)</v>
      </c>
    </row>
    <row r="57768" spans="1:2" x14ac:dyDescent="0.2">
      <c r="B57768" t="s">
        <v>1</v>
      </c>
    </row>
    <row r="57769" spans="1:2" x14ac:dyDescent="0.2">
      <c r="B57769" t="s">
        <v>1284</v>
      </c>
    </row>
    <row r="57771" spans="1:2" x14ac:dyDescent="0.2">
      <c r="A57771" t="s">
        <v>18131</v>
      </c>
      <c r="B57771" t="str">
        <f>HYPERLINK("https://lindat.mff.cuni.cz/services/teitok/pdtc10/index.php?action=vallex&amp;frame=v-w8130f2", "vymyslit (v-w8130f2)")</f>
        <v>vymyslit (v-w8130f2)</v>
      </c>
    </row>
    <row r="57772" spans="1:2" x14ac:dyDescent="0.2">
      <c r="B57772" t="s">
        <v>1</v>
      </c>
    </row>
    <row r="57773" spans="1:2" x14ac:dyDescent="0.2">
      <c r="B57773" t="s">
        <v>18125</v>
      </c>
    </row>
    <row r="57774" spans="1:2" x14ac:dyDescent="0.2">
      <c r="B57774" t="s">
        <v>269</v>
      </c>
    </row>
    <row r="57776" spans="1:2" x14ac:dyDescent="0.2">
      <c r="A57776" t="s">
        <v>18132</v>
      </c>
      <c r="B57776" t="str">
        <f>HYPERLINK("https://lindat.mff.cuni.cz/services/teitok/pdtc10/index.php?action=vallex&amp;frame=v-w8131f1", "vymyslit si (v-w8131f1)")</f>
        <v>vymyslit si (v-w8131f1)</v>
      </c>
    </row>
    <row r="57777" spans="1:3" x14ac:dyDescent="0.2">
      <c r="B57777" t="s">
        <v>1</v>
      </c>
      <c r="C57777" t="s">
        <v>990</v>
      </c>
    </row>
    <row r="57778" spans="1:3" x14ac:dyDescent="0.2">
      <c r="B57778" t="s">
        <v>1284</v>
      </c>
      <c r="C57778" t="s">
        <v>18133</v>
      </c>
    </row>
    <row r="57780" spans="1:3" x14ac:dyDescent="0.2">
      <c r="A57780" t="s">
        <v>18134</v>
      </c>
      <c r="B57780" t="str">
        <f>HYPERLINK("https://lindat.mff.cuni.cz/services/teitok/pdtc10/index.php?action=vallex&amp;frame=v-w8131hsa_1395", "vymyslit si (v-w8131hsa_1395)")</f>
        <v>vymyslit si (v-w8131hsa_1395)</v>
      </c>
    </row>
    <row r="57781" spans="1:3" x14ac:dyDescent="0.2">
      <c r="B57781" t="s">
        <v>1</v>
      </c>
    </row>
    <row r="57782" spans="1:3" x14ac:dyDescent="0.2">
      <c r="B57782" t="s">
        <v>1609</v>
      </c>
    </row>
    <row r="57783" spans="1:3" x14ac:dyDescent="0.2">
      <c r="B57783" t="s">
        <v>18135</v>
      </c>
    </row>
    <row r="57785" spans="1:3" x14ac:dyDescent="0.2">
      <c r="A57785" t="s">
        <v>18134</v>
      </c>
      <c r="B57785" t="str">
        <f>HYPERLINK("https://lindat.mff.cuni.cz/services/teitok/pdtc10/index.php?action=vallex&amp;frame=v-w8131f2", "vymyslit si (v-w8131f2) - substituted with v-w8131hsa_1395")</f>
        <v>vymyslit si (v-w8131f2) - substituted with v-w8131hsa_1395</v>
      </c>
    </row>
    <row r="57786" spans="1:3" x14ac:dyDescent="0.2">
      <c r="B57786" t="s">
        <v>1</v>
      </c>
    </row>
    <row r="57787" spans="1:3" x14ac:dyDescent="0.2">
      <c r="B57787" t="s">
        <v>1609</v>
      </c>
    </row>
    <row r="57788" spans="1:3" x14ac:dyDescent="0.2">
      <c r="B57788" t="s">
        <v>18135</v>
      </c>
    </row>
    <row r="57790" spans="1:3" x14ac:dyDescent="0.2">
      <c r="A57790" t="s">
        <v>18136</v>
      </c>
      <c r="B57790" t="str">
        <f>HYPERLINK("https://lindat.mff.cuni.cz/services/teitok/pdtc10/index.php?action=vallex&amp;frame=v-whsa_1527hsa_1528", "vymáchat (v-whsa_1527hsa_1528)")</f>
        <v>vymáchat (v-whsa_1527hsa_1528)</v>
      </c>
    </row>
    <row r="57791" spans="1:3" x14ac:dyDescent="0.2">
      <c r="B57791" t="s">
        <v>1</v>
      </c>
    </row>
    <row r="57792" spans="1:3" x14ac:dyDescent="0.2">
      <c r="B57792" t="s">
        <v>8</v>
      </c>
    </row>
    <row r="57794" spans="1:4" x14ac:dyDescent="0.2">
      <c r="A57794" t="s">
        <v>18137</v>
      </c>
      <c r="B57794" t="str">
        <f>HYPERLINK("https://lindat.mff.cuni.cz/services/teitok/pdtc10/index.php?action=vallex&amp;frame=v-w8090f1", "vymáhat (v-w8090f1)")</f>
        <v>vymáhat (v-w8090f1)</v>
      </c>
    </row>
    <row r="57795" spans="1:4" x14ac:dyDescent="0.2">
      <c r="B57795" t="s">
        <v>1</v>
      </c>
    </row>
    <row r="57796" spans="1:4" x14ac:dyDescent="0.2">
      <c r="B57796" t="s">
        <v>8</v>
      </c>
    </row>
    <row r="57797" spans="1:4" x14ac:dyDescent="0.2">
      <c r="B57797" t="s">
        <v>18138</v>
      </c>
    </row>
    <row r="57799" spans="1:4" x14ac:dyDescent="0.2">
      <c r="A57799" t="s">
        <v>18139</v>
      </c>
      <c r="B57799" t="str">
        <f>HYPERLINK("https://lindat.mff.cuni.cz/services/teitok/pdtc10/index.php?action=vallex&amp;frame=v-w8088f1", "vymáčknout (v-w8088f1)")</f>
        <v>vymáčknout (v-w8088f1)</v>
      </c>
    </row>
    <row r="57800" spans="1:4" x14ac:dyDescent="0.2">
      <c r="B57800" t="s">
        <v>1</v>
      </c>
      <c r="C57800" t="s">
        <v>140</v>
      </c>
      <c r="D57800" t="s">
        <v>1504</v>
      </c>
    </row>
    <row r="57801" spans="1:4" x14ac:dyDescent="0.2">
      <c r="B57801" t="s">
        <v>8</v>
      </c>
      <c r="C57801" t="s">
        <v>84</v>
      </c>
      <c r="D57801" t="s">
        <v>10484</v>
      </c>
    </row>
    <row r="57802" spans="1:4" x14ac:dyDescent="0.2">
      <c r="B57802" t="s">
        <v>1944</v>
      </c>
      <c r="D57802" t="s">
        <v>24391</v>
      </c>
    </row>
    <row r="57804" spans="1:4" x14ac:dyDescent="0.2">
      <c r="A57804" t="s">
        <v>18140</v>
      </c>
      <c r="B57804" t="str">
        <f>HYPERLINK("https://lindat.mff.cuni.cz/services/teitok/pdtc10/index.php?action=vallex&amp;frame=v-w8088f2", "vymáčknout (v-w8088f2)")</f>
        <v>vymáčknout (v-w8088f2)</v>
      </c>
    </row>
    <row r="57805" spans="1:4" x14ac:dyDescent="0.2">
      <c r="B57805" t="s">
        <v>1</v>
      </c>
    </row>
    <row r="57806" spans="1:4" x14ac:dyDescent="0.2">
      <c r="B57806" t="s">
        <v>8</v>
      </c>
    </row>
    <row r="57807" spans="1:4" x14ac:dyDescent="0.2">
      <c r="B57807" t="s">
        <v>333</v>
      </c>
    </row>
    <row r="57809" spans="1:4" x14ac:dyDescent="0.2">
      <c r="A57809" t="s">
        <v>18141</v>
      </c>
      <c r="B57809" t="str">
        <f>HYPERLINK("https://lindat.mff.cuni.cz/services/teitok/pdtc10/index.php?action=vallex&amp;frame=v-w8102f1", "vymést (v-w8102f1)")</f>
        <v>vymést (v-w8102f1)</v>
      </c>
    </row>
    <row r="57810" spans="1:4" x14ac:dyDescent="0.2">
      <c r="B57810" t="s">
        <v>1</v>
      </c>
    </row>
    <row r="57811" spans="1:4" x14ac:dyDescent="0.2">
      <c r="B57811" t="s">
        <v>8</v>
      </c>
    </row>
    <row r="57813" spans="1:4" x14ac:dyDescent="0.2">
      <c r="A57813" t="s">
        <v>18142</v>
      </c>
      <c r="B57813" t="str">
        <f>HYPERLINK("https://lindat.mff.cuni.cz/services/teitok/pdtc10/index.php?action=vallex&amp;frame=v-w8102hsa_535", "vymést (v-w8102hsa_535)")</f>
        <v>vymést (v-w8102hsa_535)</v>
      </c>
    </row>
    <row r="57814" spans="1:4" x14ac:dyDescent="0.2">
      <c r="B57814" t="s">
        <v>1</v>
      </c>
    </row>
    <row r="57815" spans="1:4" x14ac:dyDescent="0.2">
      <c r="B57815" t="s">
        <v>8</v>
      </c>
    </row>
    <row r="57817" spans="1:4" x14ac:dyDescent="0.2">
      <c r="A57817" t="s">
        <v>18143</v>
      </c>
      <c r="B57817" t="str">
        <f>HYPERLINK("https://lindat.mff.cuni.cz/services/teitok/pdtc10/index.php?action=vallex&amp;frame=v-w8110f1", "vymínit si (v-w8110f1)")</f>
        <v>vymínit si (v-w8110f1)</v>
      </c>
    </row>
    <row r="57818" spans="1:4" x14ac:dyDescent="0.2">
      <c r="B57818" t="s">
        <v>1</v>
      </c>
    </row>
    <row r="57819" spans="1:4" x14ac:dyDescent="0.2">
      <c r="B57819" t="s">
        <v>8</v>
      </c>
    </row>
    <row r="57821" spans="1:4" x14ac:dyDescent="0.2">
      <c r="A57821" t="s">
        <v>18144</v>
      </c>
      <c r="B57821" t="str">
        <f>HYPERLINK("https://lindat.mff.cuni.cz/services/teitok/pdtc10/index.php?action=vallex&amp;frame=v-w10566f2", "vymírat (v-w10566f2)")</f>
        <v>vymírat (v-w10566f2)</v>
      </c>
    </row>
    <row r="57822" spans="1:4" x14ac:dyDescent="0.2">
      <c r="B57822" t="s">
        <v>1</v>
      </c>
      <c r="C57822" t="s">
        <v>7571</v>
      </c>
      <c r="D57822" t="s">
        <v>9222</v>
      </c>
    </row>
    <row r="57824" spans="1:4" x14ac:dyDescent="0.2">
      <c r="A57824" t="s">
        <v>18145</v>
      </c>
      <c r="B57824" t="str">
        <f>HYPERLINK("https://lindat.mff.cuni.cz/services/teitok/pdtc10/index.php?action=vallex&amp;frame=v-w12006_ZUf2_ZU", "vymýt (v-w12006_ZUf2_ZU)")</f>
        <v>vymýt (v-w12006_ZUf2_ZU)</v>
      </c>
    </row>
    <row r="57825" spans="1:4" x14ac:dyDescent="0.2">
      <c r="B57825" t="s">
        <v>1</v>
      </c>
    </row>
    <row r="57826" spans="1:4" x14ac:dyDescent="0.2">
      <c r="B57826" t="s">
        <v>8</v>
      </c>
    </row>
    <row r="57828" spans="1:4" x14ac:dyDescent="0.2">
      <c r="A57828" t="s">
        <v>18145</v>
      </c>
      <c r="B57828" t="str">
        <f>HYPERLINK("https://lindat.mff.cuni.cz/services/teitok/pdtc10/index.php?action=vallex&amp;frame=v-w12006_ZUf1_ZU", "vymýt (v-w12006_ZUf1_ZU) - substituted with v-w12006_ZUf2_ZU")</f>
        <v>vymýt (v-w12006_ZUf1_ZU) - substituted with v-w12006_ZUf2_ZU</v>
      </c>
    </row>
    <row r="57829" spans="1:4" x14ac:dyDescent="0.2">
      <c r="B57829" t="s">
        <v>1</v>
      </c>
    </row>
    <row r="57830" spans="1:4" x14ac:dyDescent="0.2">
      <c r="B57830" t="s">
        <v>8</v>
      </c>
    </row>
    <row r="57832" spans="1:4" x14ac:dyDescent="0.2">
      <c r="A57832" t="s">
        <v>18146</v>
      </c>
      <c r="B57832" t="str">
        <f>HYPERLINK("https://lindat.mff.cuni.cz/services/teitok/pdtc10/index.php?action=vallex&amp;frame=v-w8136f1", "vymýtit (v-w8136f1)")</f>
        <v>vymýtit (v-w8136f1)</v>
      </c>
    </row>
    <row r="57833" spans="1:4" x14ac:dyDescent="0.2">
      <c r="B57833" t="s">
        <v>1</v>
      </c>
      <c r="C57833" t="s">
        <v>83</v>
      </c>
      <c r="D57833" t="s">
        <v>23088</v>
      </c>
    </row>
    <row r="57834" spans="1:4" x14ac:dyDescent="0.2">
      <c r="B57834" t="s">
        <v>8</v>
      </c>
      <c r="C57834" t="s">
        <v>1109</v>
      </c>
      <c r="D57834" t="s">
        <v>986</v>
      </c>
    </row>
    <row r="57836" spans="1:4" x14ac:dyDescent="0.2">
      <c r="A57836" t="s">
        <v>18147</v>
      </c>
      <c r="B57836" t="str">
        <f>HYPERLINK("https://lindat.mff.cuni.cz/services/teitok/pdtc10/index.php?action=vallex&amp;frame=v-w8136f2_ZU", "vymýtit (v-w8136f2_ZU)")</f>
        <v>vymýtit (v-w8136f2_ZU)</v>
      </c>
    </row>
    <row r="57837" spans="1:4" x14ac:dyDescent="0.2">
      <c r="B57837" t="s">
        <v>1</v>
      </c>
    </row>
    <row r="57838" spans="1:4" x14ac:dyDescent="0.2">
      <c r="B57838" t="s">
        <v>8</v>
      </c>
    </row>
    <row r="57840" spans="1:4" x14ac:dyDescent="0.2">
      <c r="A57840" t="s">
        <v>18148</v>
      </c>
      <c r="B57840" t="str">
        <f>HYPERLINK("https://lindat.mff.cuni.cz/services/teitok/pdtc10/index.php?action=vallex&amp;frame=v-w8137f1", "vymývat (v-w8137f1)")</f>
        <v>vymývat (v-w8137f1)</v>
      </c>
    </row>
    <row r="57841" spans="1:4" x14ac:dyDescent="0.2">
      <c r="B57841" t="s">
        <v>1</v>
      </c>
      <c r="D57841" t="s">
        <v>80</v>
      </c>
    </row>
    <row r="57842" spans="1:4" x14ac:dyDescent="0.2">
      <c r="B57842" t="s">
        <v>8</v>
      </c>
      <c r="D57842" t="s">
        <v>23455</v>
      </c>
    </row>
    <row r="57844" spans="1:4" x14ac:dyDescent="0.2">
      <c r="A57844" t="s">
        <v>18149</v>
      </c>
      <c r="B57844" t="str">
        <f>HYPERLINK("https://lindat.mff.cuni.cz/services/teitok/pdtc10/index.php?action=vallex&amp;frame=v-w8133f1", "vymýšlet (v-w8133f1)")</f>
        <v>vymýšlet (v-w8133f1)</v>
      </c>
    </row>
    <row r="57845" spans="1:4" x14ac:dyDescent="0.2">
      <c r="B57845" t="s">
        <v>1</v>
      </c>
      <c r="C57845" t="s">
        <v>2303</v>
      </c>
      <c r="D57845" t="s">
        <v>14984</v>
      </c>
    </row>
    <row r="57846" spans="1:4" x14ac:dyDescent="0.2">
      <c r="B57846" t="s">
        <v>8</v>
      </c>
      <c r="C57846" t="s">
        <v>1025</v>
      </c>
      <c r="D57846" t="s">
        <v>2750</v>
      </c>
    </row>
    <row r="57848" spans="1:4" x14ac:dyDescent="0.2">
      <c r="A57848" t="s">
        <v>18150</v>
      </c>
      <c r="B57848" t="str">
        <f>HYPERLINK("https://lindat.mff.cuni.cz/services/teitok/pdtc10/index.php?action=vallex&amp;frame=v-w8133f2", "vymýšlet (v-w8133f2)")</f>
        <v>vymýšlet (v-w8133f2)</v>
      </c>
    </row>
    <row r="57849" spans="1:4" x14ac:dyDescent="0.2">
      <c r="B57849" t="s">
        <v>1</v>
      </c>
    </row>
    <row r="57850" spans="1:4" x14ac:dyDescent="0.2">
      <c r="B57850" t="s">
        <v>18125</v>
      </c>
    </row>
    <row r="57851" spans="1:4" x14ac:dyDescent="0.2">
      <c r="B57851" t="s">
        <v>269</v>
      </c>
    </row>
    <row r="57853" spans="1:4" x14ac:dyDescent="0.2">
      <c r="A57853" t="s">
        <v>18151</v>
      </c>
      <c r="B57853" t="str">
        <f>HYPERLINK("https://lindat.mff.cuni.cz/services/teitok/pdtc10/index.php?action=vallex&amp;frame=v-w8134f1", "vymýšlet si (v-w8134f1)")</f>
        <v>vymýšlet si (v-w8134f1)</v>
      </c>
    </row>
    <row r="57854" spans="1:4" x14ac:dyDescent="0.2">
      <c r="B57854" t="s">
        <v>1</v>
      </c>
      <c r="C57854" t="s">
        <v>140</v>
      </c>
    </row>
    <row r="57855" spans="1:4" x14ac:dyDescent="0.2">
      <c r="B57855" t="s">
        <v>1284</v>
      </c>
    </row>
    <row r="57857" spans="1:4" x14ac:dyDescent="0.2">
      <c r="A57857" t="s">
        <v>18152</v>
      </c>
      <c r="B57857" t="str">
        <f>HYPERLINK("https://lindat.mff.cuni.cz/services/teitok/pdtc10/index.php?action=vallex&amp;frame=v-w8134f2", "vymýšlet si (v-w8134f2)")</f>
        <v>vymýšlet si (v-w8134f2)</v>
      </c>
    </row>
    <row r="57858" spans="1:4" x14ac:dyDescent="0.2">
      <c r="B57858" t="s">
        <v>1</v>
      </c>
    </row>
    <row r="57859" spans="1:4" x14ac:dyDescent="0.2">
      <c r="B57859" t="s">
        <v>18125</v>
      </c>
    </row>
    <row r="57860" spans="1:4" x14ac:dyDescent="0.2">
      <c r="B57860" t="s">
        <v>269</v>
      </c>
    </row>
    <row r="57862" spans="1:4" x14ac:dyDescent="0.2">
      <c r="A57862" t="s">
        <v>18153</v>
      </c>
      <c r="B57862" t="str">
        <f>HYPERLINK("https://lindat.mff.cuni.cz/services/teitok/pdtc10/index.php?action=vallex&amp;frame=v-w8097f1", "vyměnit (v-w8097f1)")</f>
        <v>vyměnit (v-w8097f1)</v>
      </c>
    </row>
    <row r="57863" spans="1:4" x14ac:dyDescent="0.2">
      <c r="B57863" t="s">
        <v>1</v>
      </c>
      <c r="C57863" t="s">
        <v>18154</v>
      </c>
      <c r="D57863" t="s">
        <v>16642</v>
      </c>
    </row>
    <row r="57864" spans="1:4" x14ac:dyDescent="0.2">
      <c r="B57864" t="s">
        <v>8</v>
      </c>
      <c r="C57864" t="s">
        <v>18155</v>
      </c>
      <c r="D57864" t="s">
        <v>23503</v>
      </c>
    </row>
    <row r="57865" spans="1:4" x14ac:dyDescent="0.2">
      <c r="B57865" t="s">
        <v>2328</v>
      </c>
      <c r="C57865" t="s">
        <v>6378</v>
      </c>
      <c r="D57865" t="s">
        <v>6378</v>
      </c>
    </row>
    <row r="57866" spans="1:4" x14ac:dyDescent="0.2">
      <c r="B57866" t="s">
        <v>413</v>
      </c>
      <c r="C57866" t="s">
        <v>18156</v>
      </c>
      <c r="D57866" t="s">
        <v>23504</v>
      </c>
    </row>
    <row r="57868" spans="1:4" x14ac:dyDescent="0.2">
      <c r="A57868" t="s">
        <v>18157</v>
      </c>
      <c r="B57868" t="str">
        <f>HYPERLINK("https://lindat.mff.cuni.cz/services/teitok/pdtc10/index.php?action=vallex&amp;frame=v-w8097f2", "vyměnit (v-w8097f2)")</f>
        <v>vyměnit (v-w8097f2)</v>
      </c>
    </row>
    <row r="57869" spans="1:4" x14ac:dyDescent="0.2">
      <c r="B57869" t="s">
        <v>1</v>
      </c>
      <c r="C57869" t="s">
        <v>18158</v>
      </c>
      <c r="D57869" t="s">
        <v>23505</v>
      </c>
    </row>
    <row r="57870" spans="1:4" x14ac:dyDescent="0.2">
      <c r="B57870" t="s">
        <v>8</v>
      </c>
      <c r="C57870" t="s">
        <v>18159</v>
      </c>
      <c r="D57870" t="s">
        <v>8709</v>
      </c>
    </row>
    <row r="57871" spans="1:4" x14ac:dyDescent="0.2">
      <c r="B57871" t="s">
        <v>484</v>
      </c>
      <c r="C57871" t="s">
        <v>18160</v>
      </c>
      <c r="D57871" t="s">
        <v>5641</v>
      </c>
    </row>
    <row r="57873" spans="1:4" x14ac:dyDescent="0.2">
      <c r="A57873" t="s">
        <v>18161</v>
      </c>
      <c r="B57873" t="str">
        <f>HYPERLINK("https://lindat.mff.cuni.cz/services/teitok/pdtc10/index.php?action=vallex&amp;frame=v-w8098f1", "vyměňovat (v-w8098f1)")</f>
        <v>vyměňovat (v-w8098f1)</v>
      </c>
    </row>
    <row r="57874" spans="1:4" x14ac:dyDescent="0.2">
      <c r="B57874" t="s">
        <v>1</v>
      </c>
      <c r="C57874" t="s">
        <v>249</v>
      </c>
      <c r="D57874" t="s">
        <v>16642</v>
      </c>
    </row>
    <row r="57875" spans="1:4" x14ac:dyDescent="0.2">
      <c r="B57875" t="s">
        <v>8</v>
      </c>
      <c r="C57875" t="s">
        <v>1510</v>
      </c>
      <c r="D57875" t="s">
        <v>23503</v>
      </c>
    </row>
    <row r="57876" spans="1:4" x14ac:dyDescent="0.2">
      <c r="B57876" t="s">
        <v>18162</v>
      </c>
      <c r="C57876" t="s">
        <v>18163</v>
      </c>
      <c r="D57876" t="s">
        <v>6378</v>
      </c>
    </row>
    <row r="57877" spans="1:4" x14ac:dyDescent="0.2">
      <c r="B57877" t="s">
        <v>413</v>
      </c>
      <c r="C57877" t="s">
        <v>18164</v>
      </c>
      <c r="D57877" t="s">
        <v>23504</v>
      </c>
    </row>
    <row r="57879" spans="1:4" x14ac:dyDescent="0.2">
      <c r="A57879" t="s">
        <v>18165</v>
      </c>
      <c r="B57879" t="str">
        <f>HYPERLINK("https://lindat.mff.cuni.cz/services/teitok/pdtc10/index.php?action=vallex&amp;frame=v-w8098f2", "vyměňovat (v-w8098f2)")</f>
        <v>vyměňovat (v-w8098f2)</v>
      </c>
    </row>
    <row r="57880" spans="1:4" x14ac:dyDescent="0.2">
      <c r="B57880" t="s">
        <v>1</v>
      </c>
      <c r="C57880" t="s">
        <v>964</v>
      </c>
      <c r="D57880" t="s">
        <v>23505</v>
      </c>
    </row>
    <row r="57881" spans="1:4" x14ac:dyDescent="0.2">
      <c r="B57881" t="s">
        <v>8</v>
      </c>
      <c r="C57881" t="s">
        <v>5666</v>
      </c>
      <c r="D57881" t="s">
        <v>8709</v>
      </c>
    </row>
    <row r="57882" spans="1:4" x14ac:dyDescent="0.2">
      <c r="B57882" t="s">
        <v>484</v>
      </c>
      <c r="C57882" t="s">
        <v>18166</v>
      </c>
      <c r="D57882" t="s">
        <v>5641</v>
      </c>
    </row>
    <row r="57884" spans="1:4" x14ac:dyDescent="0.2">
      <c r="A57884" t="s">
        <v>18167</v>
      </c>
      <c r="B57884" t="str">
        <f>HYPERLINK("https://lindat.mff.cuni.cz/services/teitok/pdtc10/index.php?action=vallex&amp;frame=v-whsa_90hsa_91", "vyměňovat si (v-whsa_90hsa_91)")</f>
        <v>vyměňovat si (v-whsa_90hsa_91)</v>
      </c>
    </row>
    <row r="57885" spans="1:4" x14ac:dyDescent="0.2">
      <c r="B57885" t="s">
        <v>1</v>
      </c>
    </row>
    <row r="57886" spans="1:4" x14ac:dyDescent="0.2">
      <c r="B57886" t="s">
        <v>8</v>
      </c>
    </row>
    <row r="57887" spans="1:4" x14ac:dyDescent="0.2">
      <c r="B57887" t="s">
        <v>153</v>
      </c>
    </row>
    <row r="57889" spans="1:4" x14ac:dyDescent="0.2">
      <c r="A57889" t="s">
        <v>18168</v>
      </c>
      <c r="B57889" t="str">
        <f>HYPERLINK("https://lindat.mff.cuni.cz/services/teitok/pdtc10/index.php?action=vallex&amp;frame=v-w8100f1", "vyměřit (v-w8100f1)")</f>
        <v>vyměřit (v-w8100f1)</v>
      </c>
    </row>
    <row r="57890" spans="1:4" x14ac:dyDescent="0.2">
      <c r="B57890" t="s">
        <v>1</v>
      </c>
      <c r="C57890" t="s">
        <v>22</v>
      </c>
    </row>
    <row r="57891" spans="1:4" x14ac:dyDescent="0.2">
      <c r="B57891" t="s">
        <v>8</v>
      </c>
      <c r="C57891" t="s">
        <v>18169</v>
      </c>
    </row>
    <row r="57893" spans="1:4" x14ac:dyDescent="0.2">
      <c r="A57893" t="s">
        <v>18170</v>
      </c>
      <c r="B57893" t="str">
        <f>HYPERLINK("https://lindat.mff.cuni.cz/services/teitok/pdtc10/index.php?action=vallex&amp;frame=v-w8101f1", "vyměřovat (v-w8101f1)")</f>
        <v>vyměřovat (v-w8101f1)</v>
      </c>
    </row>
    <row r="57894" spans="1:4" x14ac:dyDescent="0.2">
      <c r="B57894" t="s">
        <v>1</v>
      </c>
      <c r="D57894" t="s">
        <v>23261</v>
      </c>
    </row>
    <row r="57895" spans="1:4" x14ac:dyDescent="0.2">
      <c r="B57895" t="s">
        <v>8</v>
      </c>
      <c r="D57895" t="s">
        <v>9548</v>
      </c>
    </row>
    <row r="57897" spans="1:4" x14ac:dyDescent="0.2">
      <c r="A57897" t="s">
        <v>18171</v>
      </c>
      <c r="B57897" t="str">
        <f>HYPERLINK("https://lindat.mff.cuni.cz/services/teitok/pdtc10/index.php?action=vallex&amp;frame=v-w8123f1", "vymřít (v-w8123f1)")</f>
        <v>vymřít (v-w8123f1)</v>
      </c>
    </row>
    <row r="57898" spans="1:4" x14ac:dyDescent="0.2">
      <c r="B57898" t="s">
        <v>1</v>
      </c>
      <c r="D57898" t="s">
        <v>9222</v>
      </c>
    </row>
    <row r="57900" spans="1:4" x14ac:dyDescent="0.2">
      <c r="A57900" t="s">
        <v>18172</v>
      </c>
      <c r="B57900" t="str">
        <f>HYPERLINK("https://lindat.mff.cuni.cz/services/teitok/pdtc10/index.php?action=vallex&amp;frame=v-whsa_1295hsa_1296", "vynachválit si (v-whsa_1295hsa_1296)")</f>
        <v>vynachválit si (v-whsa_1295hsa_1296)</v>
      </c>
    </row>
    <row r="57901" spans="1:4" x14ac:dyDescent="0.2">
      <c r="B57901" t="s">
        <v>1</v>
      </c>
    </row>
    <row r="57902" spans="1:4" x14ac:dyDescent="0.2">
      <c r="B57902" t="s">
        <v>18173</v>
      </c>
    </row>
    <row r="57904" spans="1:4" x14ac:dyDescent="0.2">
      <c r="A57904" t="s">
        <v>18174</v>
      </c>
      <c r="B57904" t="str">
        <f>HYPERLINK("https://lindat.mff.cuni.cz/services/teitok/pdtc10/index.php?action=vallex&amp;frame=v-w8140f1", "vynacházet se (v-w8140f1)")</f>
        <v>vynacházet se (v-w8140f1)</v>
      </c>
    </row>
    <row r="57905" spans="1:3" x14ac:dyDescent="0.2">
      <c r="B57905" t="s">
        <v>1</v>
      </c>
    </row>
    <row r="57907" spans="1:3" x14ac:dyDescent="0.2">
      <c r="A57907" t="s">
        <v>18175</v>
      </c>
      <c r="B57907" t="str">
        <f>HYPERLINK("https://lindat.mff.cuni.cz/services/teitok/pdtc10/index.php?action=vallex&amp;frame=v-w8138f1", "vynadat (v-w8138f1)")</f>
        <v>vynadat (v-w8138f1)</v>
      </c>
    </row>
    <row r="57908" spans="1:3" x14ac:dyDescent="0.2">
      <c r="B57908" t="s">
        <v>1</v>
      </c>
    </row>
    <row r="57909" spans="1:3" x14ac:dyDescent="0.2">
      <c r="B57909" t="s">
        <v>35</v>
      </c>
    </row>
    <row r="57910" spans="1:3" x14ac:dyDescent="0.2">
      <c r="B57910" t="s">
        <v>14739</v>
      </c>
    </row>
    <row r="57912" spans="1:3" x14ac:dyDescent="0.2">
      <c r="A57912" t="s">
        <v>18176</v>
      </c>
      <c r="B57912" t="str">
        <f>HYPERLINK("https://lindat.mff.cuni.cz/services/teitok/pdtc10/index.php?action=vallex&amp;frame=v-w8139f1", "vynahradit (v-w8139f1)")</f>
        <v>vynahradit (v-w8139f1)</v>
      </c>
    </row>
    <row r="57913" spans="1:3" x14ac:dyDescent="0.2">
      <c r="B57913" t="s">
        <v>1</v>
      </c>
      <c r="C57913" t="s">
        <v>17905</v>
      </c>
    </row>
    <row r="57914" spans="1:3" x14ac:dyDescent="0.2">
      <c r="B57914" t="s">
        <v>8</v>
      </c>
      <c r="C57914" t="s">
        <v>4631</v>
      </c>
    </row>
    <row r="57915" spans="1:3" x14ac:dyDescent="0.2">
      <c r="B57915" t="s">
        <v>35</v>
      </c>
    </row>
    <row r="57917" spans="1:3" x14ac:dyDescent="0.2">
      <c r="A57917" t="s">
        <v>18177</v>
      </c>
      <c r="B57917" t="str">
        <f>HYPERLINK("https://lindat.mff.cuni.cz/services/teitok/pdtc10/index.php?action=vallex&amp;frame=v-w11624_ZUf1_ZU", "vynahrazovat (v-w11624_ZUf1_ZU)")</f>
        <v>vynahrazovat (v-w11624_ZUf1_ZU)</v>
      </c>
    </row>
    <row r="57918" spans="1:3" x14ac:dyDescent="0.2">
      <c r="B57918" t="s">
        <v>1</v>
      </c>
      <c r="C57918" t="s">
        <v>669</v>
      </c>
    </row>
    <row r="57919" spans="1:3" x14ac:dyDescent="0.2">
      <c r="B57919" t="s">
        <v>8</v>
      </c>
      <c r="C57919" t="s">
        <v>354</v>
      </c>
    </row>
    <row r="57920" spans="1:3" x14ac:dyDescent="0.2">
      <c r="B57920" t="s">
        <v>35</v>
      </c>
    </row>
    <row r="57922" spans="1:4" x14ac:dyDescent="0.2">
      <c r="A57922" t="s">
        <v>18178</v>
      </c>
      <c r="B57922" t="str">
        <f>HYPERLINK("https://lindat.mff.cuni.cz/services/teitok/pdtc10/index.php?action=vallex&amp;frame=v-w8141f1", "vynakládat (v-w8141f1)")</f>
        <v>vynakládat (v-w8141f1)</v>
      </c>
    </row>
    <row r="57923" spans="1:4" x14ac:dyDescent="0.2">
      <c r="B57923" t="s">
        <v>1</v>
      </c>
      <c r="C57923" t="s">
        <v>18179</v>
      </c>
      <c r="D57923" t="s">
        <v>23066</v>
      </c>
    </row>
    <row r="57924" spans="1:4" x14ac:dyDescent="0.2">
      <c r="B57924" t="s">
        <v>8</v>
      </c>
      <c r="C57924" t="s">
        <v>18180</v>
      </c>
      <c r="D57924" t="s">
        <v>23067</v>
      </c>
    </row>
    <row r="57926" spans="1:4" x14ac:dyDescent="0.2">
      <c r="A57926" t="s">
        <v>18181</v>
      </c>
      <c r="B57926" t="str">
        <f>HYPERLINK("https://lindat.mff.cuni.cz/services/teitok/pdtc10/index.php?action=vallex&amp;frame=v-w8145f1", "vynaleznout (v-w8145f1)")</f>
        <v>vynaleznout (v-w8145f1)</v>
      </c>
    </row>
    <row r="57927" spans="1:4" x14ac:dyDescent="0.2">
      <c r="B57927" t="s">
        <v>1</v>
      </c>
      <c r="C57927" t="s">
        <v>8731</v>
      </c>
    </row>
    <row r="57928" spans="1:4" x14ac:dyDescent="0.2">
      <c r="B57928" t="s">
        <v>8</v>
      </c>
      <c r="C57928" t="s">
        <v>18182</v>
      </c>
    </row>
    <row r="57930" spans="1:4" x14ac:dyDescent="0.2">
      <c r="A57930" t="s">
        <v>18183</v>
      </c>
      <c r="B57930" t="str">
        <f>HYPERLINK("https://lindat.mff.cuni.cz/services/teitok/pdtc10/index.php?action=vallex&amp;frame=v-w8146f2", "vynaložit (v-w8146f2)")</f>
        <v>vynaložit (v-w8146f2)</v>
      </c>
    </row>
    <row r="57931" spans="1:4" x14ac:dyDescent="0.2">
      <c r="B57931" t="s">
        <v>1</v>
      </c>
      <c r="C57931" t="s">
        <v>5475</v>
      </c>
    </row>
    <row r="57932" spans="1:4" x14ac:dyDescent="0.2">
      <c r="B57932" t="s">
        <v>8</v>
      </c>
      <c r="C57932" t="s">
        <v>5674</v>
      </c>
    </row>
    <row r="57933" spans="1:4" x14ac:dyDescent="0.2">
      <c r="B57933" t="s">
        <v>413</v>
      </c>
      <c r="C57933" t="s">
        <v>3646</v>
      </c>
    </row>
    <row r="57935" spans="1:4" x14ac:dyDescent="0.2">
      <c r="A57935" t="s">
        <v>18184</v>
      </c>
      <c r="B57935" t="str">
        <f>HYPERLINK("https://lindat.mff.cuni.cz/services/teitok/pdtc10/index.php?action=vallex&amp;frame=v-w8146f1", "vynaložit (v-w8146f1)")</f>
        <v>vynaložit (v-w8146f1)</v>
      </c>
    </row>
    <row r="57936" spans="1:4" x14ac:dyDescent="0.2">
      <c r="B57936" t="s">
        <v>1</v>
      </c>
      <c r="C57936" t="s">
        <v>18185</v>
      </c>
      <c r="D57936" t="s">
        <v>23066</v>
      </c>
    </row>
    <row r="57937" spans="1:4" x14ac:dyDescent="0.2">
      <c r="B57937" t="s">
        <v>8</v>
      </c>
      <c r="C57937" t="s">
        <v>18186</v>
      </c>
      <c r="D57937" t="s">
        <v>23067</v>
      </c>
    </row>
    <row r="57939" spans="1:4" x14ac:dyDescent="0.2">
      <c r="A57939" t="s">
        <v>18187</v>
      </c>
      <c r="B57939" t="str">
        <f>HYPERLINK("https://lindat.mff.cuni.cz/services/teitok/pdtc10/index.php?action=vallex&amp;frame=v-w8146hsa_1021", "vynaložit (v-w8146hsa_1021)")</f>
        <v>vynaložit (v-w8146hsa_1021)</v>
      </c>
    </row>
    <row r="57940" spans="1:4" x14ac:dyDescent="0.2">
      <c r="B57940" t="s">
        <v>1</v>
      </c>
    </row>
    <row r="57941" spans="1:4" x14ac:dyDescent="0.2">
      <c r="B57941" t="s">
        <v>8</v>
      </c>
    </row>
    <row r="57943" spans="1:4" x14ac:dyDescent="0.2">
      <c r="A57943" t="s">
        <v>18188</v>
      </c>
      <c r="B57943" t="str">
        <f>HYPERLINK("https://lindat.mff.cuni.cz/services/teitok/pdtc10/index.php?action=vallex&amp;frame=v-w8144f1", "vynalézat (v-w8144f1)")</f>
        <v>vynalézat (v-w8144f1)</v>
      </c>
    </row>
    <row r="57944" spans="1:4" x14ac:dyDescent="0.2">
      <c r="B57944" t="s">
        <v>1</v>
      </c>
    </row>
    <row r="57945" spans="1:4" x14ac:dyDescent="0.2">
      <c r="B57945" t="s">
        <v>8</v>
      </c>
    </row>
    <row r="57947" spans="1:4" x14ac:dyDescent="0.2">
      <c r="A57947" t="s">
        <v>18189</v>
      </c>
      <c r="B57947" t="str">
        <f>HYPERLINK("https://lindat.mff.cuni.cz/services/teitok/pdtc10/index.php?action=vallex&amp;frame=v-w10105f2", "vynalézt (v-w10105f2)")</f>
        <v>vynalézt (v-w10105f2)</v>
      </c>
    </row>
    <row r="57948" spans="1:4" x14ac:dyDescent="0.2">
      <c r="B57948" t="s">
        <v>1</v>
      </c>
      <c r="C57948" t="s">
        <v>990</v>
      </c>
    </row>
    <row r="57949" spans="1:4" x14ac:dyDescent="0.2">
      <c r="B57949" t="s">
        <v>8</v>
      </c>
      <c r="C57949" t="s">
        <v>1340</v>
      </c>
    </row>
    <row r="57951" spans="1:4" x14ac:dyDescent="0.2">
      <c r="A57951" t="s">
        <v>18190</v>
      </c>
      <c r="B57951" t="str">
        <f>HYPERLINK("https://lindat.mff.cuni.cz/services/teitok/pdtc10/index.php?action=vallex&amp;frame=v-w8149f1", "vyndat (v-w8149f1)")</f>
        <v>vyndat (v-w8149f1)</v>
      </c>
    </row>
    <row r="57952" spans="1:4" x14ac:dyDescent="0.2">
      <c r="B57952" t="s">
        <v>1</v>
      </c>
      <c r="D57952" t="s">
        <v>230</v>
      </c>
    </row>
    <row r="57953" spans="1:4" x14ac:dyDescent="0.2">
      <c r="B57953" t="s">
        <v>8</v>
      </c>
      <c r="D57953" t="s">
        <v>7921</v>
      </c>
    </row>
    <row r="57954" spans="1:4" x14ac:dyDescent="0.2">
      <c r="B57954" t="s">
        <v>333</v>
      </c>
      <c r="D57954" t="s">
        <v>18417</v>
      </c>
    </row>
    <row r="57956" spans="1:4" x14ac:dyDescent="0.2">
      <c r="A57956" t="s">
        <v>18191</v>
      </c>
      <c r="B57956" t="str">
        <f>HYPERLINK("https://lindat.mff.cuni.cz/services/teitok/pdtc10/index.php?action=vallex&amp;frame=v-w8149f2_ZU", "vyndat (v-w8149f2_ZU)")</f>
        <v>vyndat (v-w8149f2_ZU)</v>
      </c>
    </row>
    <row r="57957" spans="1:4" x14ac:dyDescent="0.2">
      <c r="B57957" t="s">
        <v>1</v>
      </c>
    </row>
    <row r="57958" spans="1:4" x14ac:dyDescent="0.2">
      <c r="B57958" t="s">
        <v>8</v>
      </c>
    </row>
    <row r="57959" spans="1:4" x14ac:dyDescent="0.2">
      <c r="B57959" t="s">
        <v>4622</v>
      </c>
    </row>
    <row r="57961" spans="1:4" x14ac:dyDescent="0.2">
      <c r="A57961" t="s">
        <v>18192</v>
      </c>
      <c r="B57961" t="str">
        <f>HYPERLINK("https://lindat.mff.cuni.cz/services/teitok/pdtc10/index.php?action=vallex&amp;frame=v-w11808_ZUf1_ZU", "vyndavat (v-w11808_ZUf1_ZU)")</f>
        <v>vyndavat (v-w11808_ZUf1_ZU)</v>
      </c>
    </row>
    <row r="57962" spans="1:4" x14ac:dyDescent="0.2">
      <c r="B57962" t="s">
        <v>1</v>
      </c>
    </row>
    <row r="57963" spans="1:4" x14ac:dyDescent="0.2">
      <c r="B57963" t="s">
        <v>8</v>
      </c>
    </row>
    <row r="57964" spans="1:4" x14ac:dyDescent="0.2">
      <c r="B57964" t="s">
        <v>4622</v>
      </c>
    </row>
    <row r="57966" spans="1:4" x14ac:dyDescent="0.2">
      <c r="A57966" t="s">
        <v>18193</v>
      </c>
      <c r="B57966" t="str">
        <f>HYPERLINK("https://lindat.mff.cuni.cz/services/teitok/pdtc10/index.php?action=vallex&amp;frame=v-whsa_1132hsa_1133", "vyndávat (v-whsa_1132hsa_1133)")</f>
        <v>vyndávat (v-whsa_1132hsa_1133)</v>
      </c>
    </row>
    <row r="57967" spans="1:4" x14ac:dyDescent="0.2">
      <c r="B57967" t="s">
        <v>1</v>
      </c>
    </row>
    <row r="57968" spans="1:4" x14ac:dyDescent="0.2">
      <c r="B57968" t="s">
        <v>8</v>
      </c>
    </row>
    <row r="57969" spans="1:4" x14ac:dyDescent="0.2">
      <c r="B57969" t="s">
        <v>333</v>
      </c>
    </row>
    <row r="57971" spans="1:4" x14ac:dyDescent="0.2">
      <c r="A57971" t="s">
        <v>18194</v>
      </c>
      <c r="B57971" t="str">
        <f>HYPERLINK("https://lindat.mff.cuni.cz/services/teitok/pdtc10/index.php?action=vallex&amp;frame=v-whsa_2063hsa_2064", "vyndávat (v-whsa_2063hsa_2064)")</f>
        <v>vyndávat (v-whsa_2063hsa_2064)</v>
      </c>
    </row>
    <row r="57972" spans="1:4" x14ac:dyDescent="0.2">
      <c r="B57972" t="s">
        <v>1</v>
      </c>
    </row>
    <row r="57973" spans="1:4" x14ac:dyDescent="0.2">
      <c r="B57973" t="s">
        <v>8</v>
      </c>
    </row>
    <row r="57975" spans="1:4" x14ac:dyDescent="0.2">
      <c r="A57975" t="s">
        <v>18195</v>
      </c>
      <c r="B57975" t="str">
        <f>HYPERLINK("https://lindat.mff.cuni.cz/services/teitok/pdtc10/index.php?action=vallex&amp;frame=v-w8150f1", "vynechat (v-w8150f1)")</f>
        <v>vynechat (v-w8150f1)</v>
      </c>
    </row>
    <row r="57976" spans="1:4" x14ac:dyDescent="0.2">
      <c r="B57976" t="s">
        <v>1</v>
      </c>
      <c r="C57976" t="s">
        <v>7592</v>
      </c>
      <c r="D57976" t="s">
        <v>1366</v>
      </c>
    </row>
    <row r="57977" spans="1:4" x14ac:dyDescent="0.2">
      <c r="B57977" t="s">
        <v>8</v>
      </c>
      <c r="C57977" t="s">
        <v>3736</v>
      </c>
      <c r="D57977" t="s">
        <v>6566</v>
      </c>
    </row>
    <row r="57979" spans="1:4" x14ac:dyDescent="0.2">
      <c r="A57979" t="s">
        <v>18196</v>
      </c>
      <c r="B57979" t="str">
        <f>HYPERLINK("https://lindat.mff.cuni.cz/services/teitok/pdtc10/index.php?action=vallex&amp;frame=v-w8150hsa_198", "vynechat (v-w8150hsa_198)")</f>
        <v>vynechat (v-w8150hsa_198)</v>
      </c>
    </row>
    <row r="57980" spans="1:4" x14ac:dyDescent="0.2">
      <c r="B57980" t="s">
        <v>1</v>
      </c>
      <c r="D57980" t="s">
        <v>1366</v>
      </c>
    </row>
    <row r="57981" spans="1:4" x14ac:dyDescent="0.2">
      <c r="B57981" t="s">
        <v>8</v>
      </c>
      <c r="D57981" t="s">
        <v>6566</v>
      </c>
    </row>
    <row r="57983" spans="1:4" x14ac:dyDescent="0.2">
      <c r="A57983" t="s">
        <v>18197</v>
      </c>
      <c r="B57983" t="str">
        <f>HYPERLINK("https://lindat.mff.cuni.cz/services/teitok/pdtc10/index.php?action=vallex&amp;frame=v-w8151f1", "vynechávat (v-w8151f1)")</f>
        <v>vynechávat (v-w8151f1)</v>
      </c>
    </row>
    <row r="57984" spans="1:4" x14ac:dyDescent="0.2">
      <c r="B57984" t="s">
        <v>1</v>
      </c>
      <c r="D57984" t="s">
        <v>1366</v>
      </c>
    </row>
    <row r="57985" spans="1:4" x14ac:dyDescent="0.2">
      <c r="B57985" t="s">
        <v>8</v>
      </c>
      <c r="D57985" t="s">
        <v>6566</v>
      </c>
    </row>
    <row r="57987" spans="1:4" x14ac:dyDescent="0.2">
      <c r="A57987" t="s">
        <v>18198</v>
      </c>
      <c r="B57987" t="str">
        <f>HYPERLINK("https://lindat.mff.cuni.cz/services/teitok/pdtc10/index.php?action=vallex&amp;frame=v-w8151f2_MM", "vynechávat (v-w8151f2_MM)")</f>
        <v>vynechávat (v-w8151f2_MM)</v>
      </c>
    </row>
    <row r="57988" spans="1:4" x14ac:dyDescent="0.2">
      <c r="B57988" t="s">
        <v>1</v>
      </c>
    </row>
    <row r="57990" spans="1:4" x14ac:dyDescent="0.2">
      <c r="A57990" t="s">
        <v>18199</v>
      </c>
      <c r="B57990" t="str">
        <f>HYPERLINK("https://lindat.mff.cuni.cz/services/teitok/pdtc10/index.php?action=vallex&amp;frame=v-w8154f1", "vynikat (v-w8154f1)")</f>
        <v>vynikat (v-w8154f1)</v>
      </c>
    </row>
    <row r="57991" spans="1:4" x14ac:dyDescent="0.2">
      <c r="B57991" t="s">
        <v>1</v>
      </c>
    </row>
    <row r="57992" spans="1:4" x14ac:dyDescent="0.2">
      <c r="B57992" t="s">
        <v>3091</v>
      </c>
    </row>
    <row r="57994" spans="1:4" x14ac:dyDescent="0.2">
      <c r="A57994" t="s">
        <v>18200</v>
      </c>
      <c r="B57994" t="str">
        <f>HYPERLINK("https://lindat.mff.cuni.cz/services/teitok/pdtc10/index.php?action=vallex&amp;frame=v-w8155f1", "vyniknout (v-w8155f1)")</f>
        <v>vyniknout (v-w8155f1)</v>
      </c>
    </row>
    <row r="57995" spans="1:4" x14ac:dyDescent="0.2">
      <c r="B57995" t="s">
        <v>1</v>
      </c>
      <c r="C57995" t="s">
        <v>147</v>
      </c>
    </row>
    <row r="57996" spans="1:4" x14ac:dyDescent="0.2">
      <c r="B57996" t="s">
        <v>3091</v>
      </c>
    </row>
    <row r="57998" spans="1:4" x14ac:dyDescent="0.2">
      <c r="A57998" t="s">
        <v>18201</v>
      </c>
      <c r="B57998" t="str">
        <f>HYPERLINK("https://lindat.mff.cuni.cz/services/teitok/pdtc10/index.php?action=vallex&amp;frame=v-whsa_1468hsa_1469", "vynosit (v-whsa_1468hsa_1469)")</f>
        <v>vynosit (v-whsa_1468hsa_1469)</v>
      </c>
    </row>
    <row r="57999" spans="1:4" x14ac:dyDescent="0.2">
      <c r="B57999" t="s">
        <v>1</v>
      </c>
    </row>
    <row r="58000" spans="1:4" x14ac:dyDescent="0.2">
      <c r="B58000" t="s">
        <v>8</v>
      </c>
    </row>
    <row r="58001" spans="1:4" x14ac:dyDescent="0.2">
      <c r="B58001" t="s">
        <v>333</v>
      </c>
    </row>
    <row r="58003" spans="1:4" x14ac:dyDescent="0.2">
      <c r="A58003" t="s">
        <v>18202</v>
      </c>
      <c r="B58003" t="str">
        <f>HYPERLINK("https://lindat.mff.cuni.cz/services/teitok/pdtc10/index.php?action=vallex&amp;frame=v-w8156f1", "vynořit se (v-w8156f1)")</f>
        <v>vynořit se (v-w8156f1)</v>
      </c>
    </row>
    <row r="58004" spans="1:4" x14ac:dyDescent="0.2">
      <c r="B58004" t="s">
        <v>1</v>
      </c>
      <c r="C58004" t="s">
        <v>976</v>
      </c>
    </row>
    <row r="58005" spans="1:4" x14ac:dyDescent="0.2">
      <c r="B58005" t="s">
        <v>333</v>
      </c>
    </row>
    <row r="58007" spans="1:4" x14ac:dyDescent="0.2">
      <c r="A58007" t="s">
        <v>18203</v>
      </c>
      <c r="B58007" t="str">
        <f>HYPERLINK("https://lindat.mff.cuni.cz/services/teitok/pdtc10/index.php?action=vallex&amp;frame=v-w8156f2", "vynořit se (v-w8156f2)")</f>
        <v>vynořit se (v-w8156f2)</v>
      </c>
    </row>
    <row r="58008" spans="1:4" x14ac:dyDescent="0.2">
      <c r="B58008" t="s">
        <v>1</v>
      </c>
      <c r="C58008" t="s">
        <v>18204</v>
      </c>
      <c r="D58008" t="s">
        <v>7870</v>
      </c>
    </row>
    <row r="58010" spans="1:4" x14ac:dyDescent="0.2">
      <c r="A58010" t="s">
        <v>18205</v>
      </c>
      <c r="B58010" t="str">
        <f>HYPERLINK("https://lindat.mff.cuni.cz/services/teitok/pdtc10/index.php?action=vallex&amp;frame=v-w8156f3_MM", "vynořit se (v-w8156f3_MM)")</f>
        <v>vynořit se (v-w8156f3_MM)</v>
      </c>
    </row>
    <row r="58011" spans="1:4" x14ac:dyDescent="0.2">
      <c r="B58011" t="s">
        <v>1</v>
      </c>
    </row>
    <row r="58012" spans="1:4" x14ac:dyDescent="0.2">
      <c r="B58012" t="s">
        <v>333</v>
      </c>
    </row>
    <row r="58014" spans="1:4" x14ac:dyDescent="0.2">
      <c r="A58014" t="s">
        <v>18206</v>
      </c>
      <c r="B58014" t="str">
        <f>HYPERLINK("https://lindat.mff.cuni.cz/services/teitok/pdtc10/index.php?action=vallex&amp;frame=v-w8157f1", "vynořovat se (v-w8157f1)")</f>
        <v>vynořovat se (v-w8157f1)</v>
      </c>
    </row>
    <row r="58015" spans="1:4" x14ac:dyDescent="0.2">
      <c r="B58015" t="s">
        <v>1</v>
      </c>
    </row>
    <row r="58016" spans="1:4" x14ac:dyDescent="0.2">
      <c r="B58016" t="s">
        <v>333</v>
      </c>
    </row>
    <row r="58018" spans="1:4" x14ac:dyDescent="0.2">
      <c r="A58018" t="s">
        <v>18207</v>
      </c>
      <c r="B58018" t="str">
        <f>HYPERLINK("https://lindat.mff.cuni.cz/services/teitok/pdtc10/index.php?action=vallex&amp;frame=v-w8157f2", "vynořovat se (v-w8157f2)")</f>
        <v>vynořovat se (v-w8157f2)</v>
      </c>
    </row>
    <row r="58019" spans="1:4" x14ac:dyDescent="0.2">
      <c r="B58019" t="s">
        <v>1</v>
      </c>
      <c r="C58019" t="s">
        <v>7489</v>
      </c>
      <c r="D58019" t="s">
        <v>7870</v>
      </c>
    </row>
    <row r="58021" spans="1:4" x14ac:dyDescent="0.2">
      <c r="A58021" t="s">
        <v>18208</v>
      </c>
      <c r="B58021" t="str">
        <f>HYPERLINK("https://lindat.mff.cuni.cz/services/teitok/pdtc10/index.php?action=vallex&amp;frame=v-w8160f1", "vynucovat (v-w8160f1)")</f>
        <v>vynucovat (v-w8160f1)</v>
      </c>
    </row>
    <row r="58022" spans="1:4" x14ac:dyDescent="0.2">
      <c r="B58022" t="s">
        <v>1</v>
      </c>
      <c r="C58022" t="s">
        <v>249</v>
      </c>
      <c r="D58022" t="s">
        <v>23055</v>
      </c>
    </row>
    <row r="58023" spans="1:4" x14ac:dyDescent="0.2">
      <c r="B58023" t="s">
        <v>8</v>
      </c>
      <c r="C58023" t="s">
        <v>1510</v>
      </c>
      <c r="D58023" t="s">
        <v>23056</v>
      </c>
    </row>
    <row r="58024" spans="1:4" x14ac:dyDescent="0.2">
      <c r="B58024" t="s">
        <v>442</v>
      </c>
      <c r="C58024" t="s">
        <v>18209</v>
      </c>
      <c r="D58024" t="s">
        <v>23057</v>
      </c>
    </row>
    <row r="58026" spans="1:4" x14ac:dyDescent="0.2">
      <c r="A58026" t="s">
        <v>18210</v>
      </c>
      <c r="B58026" t="str">
        <f>HYPERLINK("https://lindat.mff.cuni.cz/services/teitok/pdtc10/index.php?action=vallex&amp;frame=v-w8161f2_ZU", "vynucovat si (v-w8161f2_ZU)")</f>
        <v>vynucovat si (v-w8161f2_ZU)</v>
      </c>
    </row>
    <row r="58027" spans="1:4" x14ac:dyDescent="0.2">
      <c r="B58027" t="s">
        <v>1</v>
      </c>
    </row>
    <row r="58028" spans="1:4" x14ac:dyDescent="0.2">
      <c r="B58028" t="s">
        <v>41</v>
      </c>
    </row>
    <row r="58029" spans="1:4" x14ac:dyDescent="0.2">
      <c r="B58029" t="s">
        <v>18039</v>
      </c>
    </row>
    <row r="58031" spans="1:4" x14ac:dyDescent="0.2">
      <c r="A58031" t="s">
        <v>18210</v>
      </c>
      <c r="B58031" t="str">
        <f>HYPERLINK("https://lindat.mff.cuni.cz/services/teitok/pdtc10/index.php?action=vallex&amp;frame=v-w8161f1", "vynucovat si (v-w8161f1) - substituted with v-w8161f2_ZU")</f>
        <v>vynucovat si (v-w8161f1) - substituted with v-w8161f2_ZU</v>
      </c>
    </row>
    <row r="58032" spans="1:4" x14ac:dyDescent="0.2">
      <c r="B58032" t="s">
        <v>1</v>
      </c>
      <c r="C58032" t="s">
        <v>249</v>
      </c>
      <c r="D58032" t="s">
        <v>23055</v>
      </c>
    </row>
    <row r="58033" spans="1:4" x14ac:dyDescent="0.2">
      <c r="B58033" t="s">
        <v>41</v>
      </c>
      <c r="C58033" t="s">
        <v>1510</v>
      </c>
      <c r="D58033" t="s">
        <v>23056</v>
      </c>
    </row>
    <row r="58034" spans="1:4" x14ac:dyDescent="0.2">
      <c r="B58034" t="s">
        <v>18039</v>
      </c>
      <c r="C58034" t="s">
        <v>18209</v>
      </c>
      <c r="D58034" t="s">
        <v>23057</v>
      </c>
    </row>
    <row r="58036" spans="1:4" x14ac:dyDescent="0.2">
      <c r="A58036" t="s">
        <v>18211</v>
      </c>
      <c r="B58036" t="str">
        <f>HYPERLINK("https://lindat.mff.cuni.cz/services/teitok/pdtc10/index.php?action=vallex&amp;frame=v-w8162f3_ZU", "vynulovat (v-w8162f3_ZU)")</f>
        <v>vynulovat (v-w8162f3_ZU)</v>
      </c>
    </row>
    <row r="58037" spans="1:4" x14ac:dyDescent="0.2">
      <c r="B58037" t="s">
        <v>1</v>
      </c>
    </row>
    <row r="58038" spans="1:4" x14ac:dyDescent="0.2">
      <c r="B58038" t="s">
        <v>8</v>
      </c>
    </row>
    <row r="58039" spans="1:4" x14ac:dyDescent="0.2">
      <c r="B58039" t="s">
        <v>61</v>
      </c>
    </row>
    <row r="58041" spans="1:4" x14ac:dyDescent="0.2">
      <c r="A58041" t="s">
        <v>18211</v>
      </c>
      <c r="B58041" t="str">
        <f>HYPERLINK("https://lindat.mff.cuni.cz/services/teitok/pdtc10/index.php?action=vallex&amp;frame=v-w8162f1", "vynulovat (v-w8162f1) - substituted with v-w8162f3_ZU")</f>
        <v>vynulovat (v-w8162f1) - substituted with v-w8162f3_ZU</v>
      </c>
    </row>
    <row r="58042" spans="1:4" x14ac:dyDescent="0.2">
      <c r="B58042" t="s">
        <v>1</v>
      </c>
    </row>
    <row r="58043" spans="1:4" x14ac:dyDescent="0.2">
      <c r="B58043" t="s">
        <v>8</v>
      </c>
    </row>
    <row r="58044" spans="1:4" x14ac:dyDescent="0.2">
      <c r="B58044" t="s">
        <v>61</v>
      </c>
    </row>
    <row r="58046" spans="1:4" x14ac:dyDescent="0.2">
      <c r="A58046" t="s">
        <v>18211</v>
      </c>
      <c r="B58046" t="str">
        <f>HYPERLINK("https://lindat.mff.cuni.cz/services/teitok/pdtc10/index.php?action=vallex&amp;frame=v-w8162f2_ZU", "vynulovat (v-w8162f2_ZU) - substituted with v-w8162f3_ZU")</f>
        <v>vynulovat (v-w8162f2_ZU) - substituted with v-w8162f3_ZU</v>
      </c>
    </row>
    <row r="58047" spans="1:4" x14ac:dyDescent="0.2">
      <c r="B58047" t="s">
        <v>1</v>
      </c>
    </row>
    <row r="58048" spans="1:4" x14ac:dyDescent="0.2">
      <c r="B58048" t="s">
        <v>8</v>
      </c>
    </row>
    <row r="58049" spans="1:3" x14ac:dyDescent="0.2">
      <c r="B58049" t="s">
        <v>61</v>
      </c>
    </row>
    <row r="58051" spans="1:3" x14ac:dyDescent="0.2">
      <c r="A58051" t="s">
        <v>18211</v>
      </c>
      <c r="B58051" t="str">
        <f>HYPERLINK("https://lindat.mff.cuni.cz/services/teitok/pdtc10/index.php?action=vallex&amp;frame=v-w8162hsa_28", "vynulovat (v-w8162hsa_28) - substituted with v-w8162f3_ZU")</f>
        <v>vynulovat (v-w8162hsa_28) - substituted with v-w8162f3_ZU</v>
      </c>
    </row>
    <row r="58052" spans="1:3" x14ac:dyDescent="0.2">
      <c r="B58052" t="s">
        <v>1</v>
      </c>
    </row>
    <row r="58053" spans="1:3" x14ac:dyDescent="0.2">
      <c r="B58053" t="s">
        <v>8</v>
      </c>
    </row>
    <row r="58054" spans="1:3" x14ac:dyDescent="0.2">
      <c r="B58054" t="s">
        <v>61</v>
      </c>
    </row>
    <row r="58056" spans="1:3" x14ac:dyDescent="0.2">
      <c r="A58056" t="s">
        <v>18212</v>
      </c>
      <c r="B58056" t="str">
        <f>HYPERLINK("https://lindat.mff.cuni.cz/services/teitok/pdtc10/index.php?action=vallex&amp;frame=v-w8163f1", "vynutit (v-w8163f1)")</f>
        <v>vynutit (v-w8163f1)</v>
      </c>
    </row>
    <row r="58057" spans="1:3" x14ac:dyDescent="0.2">
      <c r="B58057" t="s">
        <v>1</v>
      </c>
      <c r="C58057" t="s">
        <v>80</v>
      </c>
    </row>
    <row r="58058" spans="1:3" x14ac:dyDescent="0.2">
      <c r="B58058" t="s">
        <v>8</v>
      </c>
      <c r="C58058" t="s">
        <v>2439</v>
      </c>
    </row>
    <row r="58059" spans="1:3" x14ac:dyDescent="0.2">
      <c r="B58059" t="s">
        <v>442</v>
      </c>
    </row>
    <row r="58061" spans="1:3" x14ac:dyDescent="0.2">
      <c r="A58061" t="s">
        <v>18213</v>
      </c>
      <c r="B58061" t="str">
        <f>HYPERLINK("https://lindat.mff.cuni.cz/services/teitok/pdtc10/index.php?action=vallex&amp;frame=v-w8164hsa_740", "vynutit si (v-w8164hsa_740)")</f>
        <v>vynutit si (v-w8164hsa_740)</v>
      </c>
    </row>
    <row r="58062" spans="1:3" x14ac:dyDescent="0.2">
      <c r="B58062" t="s">
        <v>1</v>
      </c>
    </row>
    <row r="58063" spans="1:3" x14ac:dyDescent="0.2">
      <c r="B58063" t="s">
        <v>41</v>
      </c>
    </row>
    <row r="58064" spans="1:3" x14ac:dyDescent="0.2">
      <c r="B58064" t="s">
        <v>1396</v>
      </c>
    </row>
    <row r="58066" spans="1:4" x14ac:dyDescent="0.2">
      <c r="A58066" t="s">
        <v>18213</v>
      </c>
      <c r="B58066" t="str">
        <f>HYPERLINK("https://lindat.mff.cuni.cz/services/teitok/pdtc10/index.php?action=vallex&amp;frame=v-w8164f1", "vynutit si (v-w8164f1) - substituted with v-w8164hsa_740")</f>
        <v>vynutit si (v-w8164f1) - substituted with v-w8164hsa_740</v>
      </c>
    </row>
    <row r="58067" spans="1:4" x14ac:dyDescent="0.2">
      <c r="B58067" t="s">
        <v>1</v>
      </c>
      <c r="C58067" t="s">
        <v>2227</v>
      </c>
    </row>
    <row r="58068" spans="1:4" x14ac:dyDescent="0.2">
      <c r="B58068" t="s">
        <v>41</v>
      </c>
      <c r="C58068" t="s">
        <v>18214</v>
      </c>
    </row>
    <row r="58069" spans="1:4" x14ac:dyDescent="0.2">
      <c r="B58069" t="s">
        <v>1396</v>
      </c>
    </row>
    <row r="58071" spans="1:4" x14ac:dyDescent="0.2">
      <c r="A58071" t="s">
        <v>18215</v>
      </c>
      <c r="B58071" t="str">
        <f>HYPERLINK("https://lindat.mff.cuni.cz/services/teitok/pdtc10/index.php?action=vallex&amp;frame=v-w10435f2", "vynásobit (v-w10435f2)")</f>
        <v>vynásobit (v-w10435f2)</v>
      </c>
    </row>
    <row r="58072" spans="1:4" x14ac:dyDescent="0.2">
      <c r="B58072" t="s">
        <v>1</v>
      </c>
    </row>
    <row r="58073" spans="1:4" x14ac:dyDescent="0.2">
      <c r="B58073" t="s">
        <v>8</v>
      </c>
    </row>
    <row r="58075" spans="1:4" x14ac:dyDescent="0.2">
      <c r="A58075" t="s">
        <v>18216</v>
      </c>
      <c r="B58075" t="str">
        <f>HYPERLINK("https://lindat.mff.cuni.cz/services/teitok/pdtc10/index.php?action=vallex&amp;frame=v-w10213f3", "vynášet (v-w10213f3)")</f>
        <v>vynášet (v-w10213f3)</v>
      </c>
    </row>
    <row r="58076" spans="1:4" x14ac:dyDescent="0.2">
      <c r="B58076" t="s">
        <v>1</v>
      </c>
      <c r="C58076" t="s">
        <v>18217</v>
      </c>
      <c r="D58076" t="s">
        <v>23327</v>
      </c>
    </row>
    <row r="58077" spans="1:4" x14ac:dyDescent="0.2">
      <c r="B58077" t="s">
        <v>41</v>
      </c>
      <c r="C58077" t="s">
        <v>18218</v>
      </c>
      <c r="D58077" t="s">
        <v>23328</v>
      </c>
    </row>
    <row r="58078" spans="1:4" x14ac:dyDescent="0.2">
      <c r="B58078" t="s">
        <v>35</v>
      </c>
      <c r="C58078" t="s">
        <v>4440</v>
      </c>
      <c r="D58078" t="s">
        <v>24073</v>
      </c>
    </row>
    <row r="58080" spans="1:4" x14ac:dyDescent="0.2">
      <c r="A58080" t="s">
        <v>18219</v>
      </c>
      <c r="B58080" t="str">
        <f>HYPERLINK("https://lindat.mff.cuni.cz/services/teitok/pdtc10/index.php?action=vallex&amp;frame=v-w10213f5", "vynášet (v-w10213f5)")</f>
        <v>vynášet (v-w10213f5)</v>
      </c>
    </row>
    <row r="58081" spans="1:4" x14ac:dyDescent="0.2">
      <c r="B58081" t="s">
        <v>1</v>
      </c>
      <c r="C58081" t="s">
        <v>22</v>
      </c>
      <c r="D58081" t="s">
        <v>33</v>
      </c>
    </row>
    <row r="58082" spans="1:4" x14ac:dyDescent="0.2">
      <c r="B58082" t="s">
        <v>8</v>
      </c>
      <c r="C58082" t="s">
        <v>23</v>
      </c>
      <c r="D58082" t="s">
        <v>1128</v>
      </c>
    </row>
    <row r="58083" spans="1:4" x14ac:dyDescent="0.2">
      <c r="B58083" t="s">
        <v>333</v>
      </c>
    </row>
    <row r="58085" spans="1:4" x14ac:dyDescent="0.2">
      <c r="A58085" t="s">
        <v>18220</v>
      </c>
      <c r="B58085" t="str">
        <f>HYPERLINK("https://lindat.mff.cuni.cz/services/teitok/pdtc10/index.php?action=vallex&amp;frame=v-w10213f2", "vynášet (v-w10213f2)")</f>
        <v>vynášet (v-w10213f2)</v>
      </c>
    </row>
    <row r="58086" spans="1:4" x14ac:dyDescent="0.2">
      <c r="B58086" t="s">
        <v>1</v>
      </c>
    </row>
    <row r="58087" spans="1:4" x14ac:dyDescent="0.2">
      <c r="B58087" t="s">
        <v>124</v>
      </c>
    </row>
    <row r="58089" spans="1:4" x14ac:dyDescent="0.2">
      <c r="A58089" t="s">
        <v>18221</v>
      </c>
      <c r="B58089" t="str">
        <f>HYPERLINK("https://lindat.mff.cuni.cz/services/teitok/pdtc10/index.php?action=vallex&amp;frame=v-w10213f4", "vynášet (v-w10213f4)")</f>
        <v>vynášet (v-w10213f4)</v>
      </c>
    </row>
    <row r="58090" spans="1:4" x14ac:dyDescent="0.2">
      <c r="B58090" t="s">
        <v>1</v>
      </c>
    </row>
    <row r="58091" spans="1:4" x14ac:dyDescent="0.2">
      <c r="B58091" t="s">
        <v>35</v>
      </c>
    </row>
    <row r="58092" spans="1:4" x14ac:dyDescent="0.2">
      <c r="B58092" t="s">
        <v>11008</v>
      </c>
    </row>
    <row r="58093" spans="1:4" x14ac:dyDescent="0.2">
      <c r="B58093" t="s">
        <v>46</v>
      </c>
    </row>
    <row r="58095" spans="1:4" x14ac:dyDescent="0.2">
      <c r="A58095" t="s">
        <v>18222</v>
      </c>
      <c r="B58095" t="str">
        <f>HYPERLINK("https://lindat.mff.cuni.cz/services/teitok/pdtc10/index.php?action=vallex&amp;frame=v-w10213f6_ZU", "vynášet (v-w10213f6_ZU)")</f>
        <v>vynášet (v-w10213f6_ZU)</v>
      </c>
    </row>
    <row r="58096" spans="1:4" x14ac:dyDescent="0.2">
      <c r="B58096" t="s">
        <v>1</v>
      </c>
    </row>
    <row r="58097" spans="1:4" x14ac:dyDescent="0.2">
      <c r="B58097" t="s">
        <v>17852</v>
      </c>
    </row>
    <row r="58098" spans="1:4" x14ac:dyDescent="0.2">
      <c r="B58098" t="s">
        <v>8</v>
      </c>
    </row>
    <row r="58100" spans="1:4" x14ac:dyDescent="0.2">
      <c r="A58100" t="s">
        <v>18222</v>
      </c>
      <c r="B58100" t="str">
        <f>HYPERLINK("https://lindat.mff.cuni.cz/services/teitok/pdtc10/index.php?action=vallex&amp;frame=v-w10213hsa_515", "vynášet (v-w10213hsa_515) - substituted with v-w10213f6_ZU")</f>
        <v>vynášet (v-w10213hsa_515) - substituted with v-w10213f6_ZU</v>
      </c>
    </row>
    <row r="58101" spans="1:4" x14ac:dyDescent="0.2">
      <c r="B58101" t="s">
        <v>1</v>
      </c>
    </row>
    <row r="58102" spans="1:4" x14ac:dyDescent="0.2">
      <c r="B58102" t="s">
        <v>17852</v>
      </c>
    </row>
    <row r="58103" spans="1:4" x14ac:dyDescent="0.2">
      <c r="B58103" t="s">
        <v>8</v>
      </c>
    </row>
    <row r="58105" spans="1:4" x14ac:dyDescent="0.2">
      <c r="A58105" t="s">
        <v>18223</v>
      </c>
      <c r="B58105" t="str">
        <f>HYPERLINK("https://lindat.mff.cuni.cz/services/teitok/pdtc10/index.php?action=vallex&amp;frame=v-w8153f4", "vynést (v-w8153f4)")</f>
        <v>vynést (v-w8153f4)</v>
      </c>
    </row>
    <row r="58106" spans="1:4" x14ac:dyDescent="0.2">
      <c r="B58106" t="s">
        <v>1</v>
      </c>
    </row>
    <row r="58107" spans="1:4" x14ac:dyDescent="0.2">
      <c r="B58107" t="s">
        <v>8</v>
      </c>
    </row>
    <row r="58108" spans="1:4" x14ac:dyDescent="0.2">
      <c r="B58108" t="s">
        <v>333</v>
      </c>
    </row>
    <row r="58110" spans="1:4" x14ac:dyDescent="0.2">
      <c r="A58110" t="s">
        <v>18224</v>
      </c>
      <c r="B58110" t="str">
        <f>HYPERLINK("https://lindat.mff.cuni.cz/services/teitok/pdtc10/index.php?action=vallex&amp;frame=v-w8153f3", "vynést (v-w8153f3)")</f>
        <v>vynést (v-w8153f3)</v>
      </c>
    </row>
    <row r="58111" spans="1:4" x14ac:dyDescent="0.2">
      <c r="B58111" t="s">
        <v>1</v>
      </c>
      <c r="C58111" t="s">
        <v>18225</v>
      </c>
      <c r="D58111" t="s">
        <v>3292</v>
      </c>
    </row>
    <row r="58112" spans="1:4" x14ac:dyDescent="0.2">
      <c r="B58112" t="s">
        <v>8</v>
      </c>
      <c r="C58112" t="s">
        <v>18226</v>
      </c>
      <c r="D58112" t="s">
        <v>232</v>
      </c>
    </row>
    <row r="58113" spans="1:4" x14ac:dyDescent="0.2">
      <c r="B58113" t="s">
        <v>90</v>
      </c>
      <c r="C58113" t="s">
        <v>18227</v>
      </c>
    </row>
    <row r="58115" spans="1:4" x14ac:dyDescent="0.2">
      <c r="A58115" t="s">
        <v>18228</v>
      </c>
      <c r="B58115" t="str">
        <f>HYPERLINK("https://lindat.mff.cuni.cz/services/teitok/pdtc10/index.php?action=vallex&amp;frame=v-w8153f1", "vynést (v-w8153f1)")</f>
        <v>vynést (v-w8153f1)</v>
      </c>
    </row>
    <row r="58116" spans="1:4" x14ac:dyDescent="0.2">
      <c r="B58116" t="s">
        <v>1</v>
      </c>
      <c r="C58116" t="s">
        <v>18229</v>
      </c>
      <c r="D58116" t="s">
        <v>23327</v>
      </c>
    </row>
    <row r="58117" spans="1:4" x14ac:dyDescent="0.2">
      <c r="B58117" t="s">
        <v>8</v>
      </c>
      <c r="C58117" t="s">
        <v>18230</v>
      </c>
      <c r="D58117" t="s">
        <v>23328</v>
      </c>
    </row>
    <row r="58119" spans="1:4" x14ac:dyDescent="0.2">
      <c r="A58119" t="s">
        <v>18231</v>
      </c>
      <c r="B58119" t="str">
        <f>HYPERLINK("https://lindat.mff.cuni.cz/services/teitok/pdtc10/index.php?action=vallex&amp;frame=v-w8153f5", "vynést (v-w8153f5)")</f>
        <v>vynést (v-w8153f5)</v>
      </c>
    </row>
    <row r="58120" spans="1:4" x14ac:dyDescent="0.2">
      <c r="B58120" t="s">
        <v>1</v>
      </c>
    </row>
    <row r="58121" spans="1:4" x14ac:dyDescent="0.2">
      <c r="B58121" t="s">
        <v>8</v>
      </c>
    </row>
    <row r="58123" spans="1:4" x14ac:dyDescent="0.2">
      <c r="A58123" t="s">
        <v>18232</v>
      </c>
      <c r="B58123" t="str">
        <f>HYPERLINK("https://lindat.mff.cuni.cz/services/teitok/pdtc10/index.php?action=vallex&amp;frame=v-w8153f6_ZU", "vynést (v-w8153f6_ZU)")</f>
        <v>vynést (v-w8153f6_ZU)</v>
      </c>
    </row>
    <row r="58124" spans="1:4" x14ac:dyDescent="0.2">
      <c r="B58124" t="s">
        <v>1</v>
      </c>
      <c r="C58124" t="s">
        <v>18233</v>
      </c>
      <c r="D58124" t="s">
        <v>23327</v>
      </c>
    </row>
    <row r="58125" spans="1:4" x14ac:dyDescent="0.2">
      <c r="B58125" t="s">
        <v>17532</v>
      </c>
      <c r="C58125" t="s">
        <v>18234</v>
      </c>
      <c r="D58125" t="s">
        <v>24392</v>
      </c>
    </row>
    <row r="58127" spans="1:4" x14ac:dyDescent="0.2">
      <c r="A58127" t="s">
        <v>18235</v>
      </c>
      <c r="B58127" t="str">
        <f>HYPERLINK("https://lindat.mff.cuni.cz/services/teitok/pdtc10/index.php?action=vallex&amp;frame=v-w8153f7_ZU", "vynést (v-w8153f7_ZU)")</f>
        <v>vynést (v-w8153f7_ZU)</v>
      </c>
    </row>
    <row r="58128" spans="1:4" x14ac:dyDescent="0.2">
      <c r="B58128" t="s">
        <v>1</v>
      </c>
      <c r="C58128" t="s">
        <v>18236</v>
      </c>
      <c r="D58128" t="s">
        <v>24393</v>
      </c>
    </row>
    <row r="58129" spans="1:4" x14ac:dyDescent="0.2">
      <c r="B58129" t="s">
        <v>18237</v>
      </c>
      <c r="C58129" t="s">
        <v>18238</v>
      </c>
      <c r="D58129" t="s">
        <v>2955</v>
      </c>
    </row>
    <row r="58131" spans="1:4" x14ac:dyDescent="0.2">
      <c r="A58131" t="s">
        <v>18235</v>
      </c>
      <c r="B58131" t="str">
        <f>HYPERLINK("https://lindat.mff.cuni.cz/services/teitok/pdtc10/index.php?action=vallex&amp;frame=v-w8153f2", "vynést (v-w8153f2) - substituted with v-w8153f7_ZU")</f>
        <v>vynést (v-w8153f2) - substituted with v-w8153f7_ZU</v>
      </c>
    </row>
    <row r="58132" spans="1:4" x14ac:dyDescent="0.2">
      <c r="B58132" t="s">
        <v>1</v>
      </c>
      <c r="C58132" t="s">
        <v>2303</v>
      </c>
    </row>
    <row r="58133" spans="1:4" x14ac:dyDescent="0.2">
      <c r="B58133" t="s">
        <v>18237</v>
      </c>
      <c r="C58133" t="s">
        <v>4033</v>
      </c>
    </row>
    <row r="58135" spans="1:4" x14ac:dyDescent="0.2">
      <c r="A58135" t="s">
        <v>18235</v>
      </c>
      <c r="B58135" t="str">
        <f>HYPERLINK("https://lindat.mff.cuni.cz/services/teitok/pdtc10/index.php?action=vallex&amp;frame=v-w8153hsa_1006", "vynést (v-w8153hsa_1006) - substituted with v-w8153f7_ZU")</f>
        <v>vynést (v-w8153hsa_1006) - substituted with v-w8153f7_ZU</v>
      </c>
    </row>
    <row r="58136" spans="1:4" x14ac:dyDescent="0.2">
      <c r="B58136" t="s">
        <v>1</v>
      </c>
    </row>
    <row r="58137" spans="1:4" x14ac:dyDescent="0.2">
      <c r="B58137" t="s">
        <v>18237</v>
      </c>
    </row>
    <row r="58139" spans="1:4" x14ac:dyDescent="0.2">
      <c r="A58139" t="s">
        <v>18239</v>
      </c>
      <c r="B58139" t="str">
        <f>HYPERLINK("https://lindat.mff.cuni.cz/services/teitok/pdtc10/index.php?action=vallex&amp;frame=v-w8166f1", "vyobrazit (v-w8166f1)")</f>
        <v>vyobrazit (v-w8166f1)</v>
      </c>
    </row>
    <row r="58140" spans="1:4" x14ac:dyDescent="0.2">
      <c r="B58140" t="s">
        <v>1</v>
      </c>
    </row>
    <row r="58141" spans="1:4" x14ac:dyDescent="0.2">
      <c r="B58141" t="s">
        <v>18240</v>
      </c>
    </row>
    <row r="58143" spans="1:4" x14ac:dyDescent="0.2">
      <c r="A58143" t="s">
        <v>18241</v>
      </c>
      <c r="B58143" t="str">
        <f>HYPERLINK("https://lindat.mff.cuni.cz/services/teitok/pdtc10/index.php?action=vallex&amp;frame=v-whsa_1107hsa_1108", "vyoperovat (v-whsa_1107hsa_1108)")</f>
        <v>vyoperovat (v-whsa_1107hsa_1108)</v>
      </c>
    </row>
    <row r="58144" spans="1:4" x14ac:dyDescent="0.2">
      <c r="B58144" t="s">
        <v>1</v>
      </c>
    </row>
    <row r="58145" spans="1:4" x14ac:dyDescent="0.2">
      <c r="B58145" t="s">
        <v>8</v>
      </c>
    </row>
    <row r="58147" spans="1:4" x14ac:dyDescent="0.2">
      <c r="A58147" t="s">
        <v>18242</v>
      </c>
      <c r="B58147" t="str">
        <f>HYPERLINK("https://lindat.mff.cuni.cz/services/teitok/pdtc10/index.php?action=vallex&amp;frame=v-w8167f1", "vyostřit se (v-w8167f1)")</f>
        <v>vyostřit se (v-w8167f1)</v>
      </c>
    </row>
    <row r="58148" spans="1:4" x14ac:dyDescent="0.2">
      <c r="B58148" t="s">
        <v>1</v>
      </c>
      <c r="D58148" t="s">
        <v>23550</v>
      </c>
    </row>
    <row r="58150" spans="1:4" x14ac:dyDescent="0.2">
      <c r="A58150" t="s">
        <v>18243</v>
      </c>
      <c r="B58150" t="str">
        <f>HYPERLINK("https://lindat.mff.cuni.cz/services/teitok/pdtc10/index.php?action=vallex&amp;frame=v-w8168f1", "vyostřovat se (v-w8168f1)")</f>
        <v>vyostřovat se (v-w8168f1)</v>
      </c>
    </row>
    <row r="58151" spans="1:4" x14ac:dyDescent="0.2">
      <c r="B58151" t="s">
        <v>1</v>
      </c>
      <c r="D58151" t="s">
        <v>23550</v>
      </c>
    </row>
    <row r="58153" spans="1:4" x14ac:dyDescent="0.2">
      <c r="A58153" t="s">
        <v>18244</v>
      </c>
      <c r="B58153" t="str">
        <f>HYPERLINK("https://lindat.mff.cuni.cz/services/teitok/pdtc10/index.php?action=vallex&amp;frame=v-w8170f7_ZU", "vypadat (v-w8170f7_ZU)")</f>
        <v>vypadat (v-w8170f7_ZU)</v>
      </c>
    </row>
    <row r="58154" spans="1:4" x14ac:dyDescent="0.2">
      <c r="B58154" t="s">
        <v>1</v>
      </c>
    </row>
    <row r="58155" spans="1:4" x14ac:dyDescent="0.2">
      <c r="B58155" t="s">
        <v>18245</v>
      </c>
    </row>
    <row r="58157" spans="1:4" x14ac:dyDescent="0.2">
      <c r="A58157" t="s">
        <v>18244</v>
      </c>
      <c r="B58157" t="str">
        <f>HYPERLINK("https://lindat.mff.cuni.cz/services/teitok/pdtc10/index.php?action=vallex&amp;frame=v-w8170f5", "vypadat (v-w8170f5) - substituted with v-w8170f7_ZU")</f>
        <v>vypadat (v-w8170f5) - substituted with v-w8170f7_ZU</v>
      </c>
    </row>
    <row r="58158" spans="1:4" x14ac:dyDescent="0.2">
      <c r="B58158" t="s">
        <v>1</v>
      </c>
      <c r="C58158" t="s">
        <v>18246</v>
      </c>
      <c r="D58158" t="s">
        <v>23373</v>
      </c>
    </row>
    <row r="58159" spans="1:4" x14ac:dyDescent="0.2">
      <c r="B58159" t="s">
        <v>18245</v>
      </c>
      <c r="C58159" t="s">
        <v>18247</v>
      </c>
      <c r="D58159" t="s">
        <v>24394</v>
      </c>
    </row>
    <row r="58161" spans="1:4" x14ac:dyDescent="0.2">
      <c r="A58161" t="s">
        <v>18248</v>
      </c>
      <c r="B58161" t="str">
        <f>HYPERLINK("https://lindat.mff.cuni.cz/services/teitok/pdtc10/index.php?action=vallex&amp;frame=v-w8170f2", "vypadat (v-w8170f2)")</f>
        <v>vypadat (v-w8170f2)</v>
      </c>
    </row>
    <row r="58162" spans="1:4" x14ac:dyDescent="0.2">
      <c r="B58162" t="s">
        <v>1</v>
      </c>
      <c r="C58162" t="s">
        <v>18249</v>
      </c>
      <c r="D58162" t="s">
        <v>24075</v>
      </c>
    </row>
    <row r="58163" spans="1:4" x14ac:dyDescent="0.2">
      <c r="B58163" t="s">
        <v>7193</v>
      </c>
      <c r="C58163" t="s">
        <v>18250</v>
      </c>
      <c r="D58163" t="s">
        <v>24076</v>
      </c>
    </row>
    <row r="58165" spans="1:4" x14ac:dyDescent="0.2">
      <c r="A58165" t="s">
        <v>18251</v>
      </c>
      <c r="B58165" t="str">
        <f>HYPERLINK("https://lindat.mff.cuni.cz/services/teitok/pdtc10/index.php?action=vallex&amp;frame=v-w8170f10_ZU", "vypadat (v-w8170f10_ZU)")</f>
        <v>vypadat (v-w8170f10_ZU)</v>
      </c>
    </row>
    <row r="58166" spans="1:4" x14ac:dyDescent="0.2">
      <c r="B58166" t="s">
        <v>1</v>
      </c>
    </row>
    <row r="58167" spans="1:4" x14ac:dyDescent="0.2">
      <c r="B58167" t="s">
        <v>411</v>
      </c>
    </row>
    <row r="58168" spans="1:4" x14ac:dyDescent="0.2">
      <c r="B58168" t="s">
        <v>346</v>
      </c>
    </row>
    <row r="58169" spans="1:4" x14ac:dyDescent="0.2">
      <c r="B58169" t="s">
        <v>349</v>
      </c>
    </row>
    <row r="58170" spans="1:4" x14ac:dyDescent="0.2">
      <c r="B58170" t="s">
        <v>350</v>
      </c>
    </row>
    <row r="58171" spans="1:4" x14ac:dyDescent="0.2">
      <c r="B58171" t="s">
        <v>12913</v>
      </c>
    </row>
    <row r="58173" spans="1:4" x14ac:dyDescent="0.2">
      <c r="A58173" t="s">
        <v>18251</v>
      </c>
      <c r="B58173" t="str">
        <f>HYPERLINK("https://lindat.mff.cuni.cz/services/teitok/pdtc10/index.php?action=vallex&amp;frame=v-w8170f3", "vypadat (v-w8170f3) - substituted with v-w8170f10_ZU")</f>
        <v>vypadat (v-w8170f3) - substituted with v-w8170f10_ZU</v>
      </c>
    </row>
    <row r="58174" spans="1:4" x14ac:dyDescent="0.2">
      <c r="B58174" t="s">
        <v>1</v>
      </c>
    </row>
    <row r="58175" spans="1:4" x14ac:dyDescent="0.2">
      <c r="B58175" t="s">
        <v>411</v>
      </c>
    </row>
    <row r="58176" spans="1:4" x14ac:dyDescent="0.2">
      <c r="B58176" t="s">
        <v>346</v>
      </c>
    </row>
    <row r="58177" spans="1:4" x14ac:dyDescent="0.2">
      <c r="B58177" t="s">
        <v>349</v>
      </c>
    </row>
    <row r="58178" spans="1:4" x14ac:dyDescent="0.2">
      <c r="B58178" t="s">
        <v>350</v>
      </c>
    </row>
    <row r="58179" spans="1:4" x14ac:dyDescent="0.2">
      <c r="B58179" t="s">
        <v>12913</v>
      </c>
    </row>
    <row r="58181" spans="1:4" x14ac:dyDescent="0.2">
      <c r="A58181" t="s">
        <v>18252</v>
      </c>
      <c r="B58181" t="str">
        <f>HYPERLINK("https://lindat.mff.cuni.cz/services/teitok/pdtc10/index.php?action=vallex&amp;frame=v-w8170f9_ZU", "vypadat (v-w8170f9_ZU)")</f>
        <v>vypadat (v-w8170f9_ZU)</v>
      </c>
    </row>
    <row r="58182" spans="1:4" x14ac:dyDescent="0.2">
      <c r="B58182" t="s">
        <v>1</v>
      </c>
    </row>
    <row r="58183" spans="1:4" x14ac:dyDescent="0.2">
      <c r="B58183" t="s">
        <v>346</v>
      </c>
    </row>
    <row r="58184" spans="1:4" x14ac:dyDescent="0.2">
      <c r="B58184" t="s">
        <v>349</v>
      </c>
    </row>
    <row r="58185" spans="1:4" x14ac:dyDescent="0.2">
      <c r="B58185" t="s">
        <v>350</v>
      </c>
    </row>
    <row r="58186" spans="1:4" x14ac:dyDescent="0.2">
      <c r="B58186" t="s">
        <v>351</v>
      </c>
    </row>
    <row r="58187" spans="1:4" x14ac:dyDescent="0.2">
      <c r="B58187" t="s">
        <v>18253</v>
      </c>
    </row>
    <row r="58189" spans="1:4" x14ac:dyDescent="0.2">
      <c r="A58189" t="s">
        <v>18252</v>
      </c>
      <c r="B58189" t="str">
        <f>HYPERLINK("https://lindat.mff.cuni.cz/services/teitok/pdtc10/index.php?action=vallex&amp;frame=v-w8170f1", "vypadat (v-w8170f1) - substituted with v-w8170f9_ZU")</f>
        <v>vypadat (v-w8170f1) - substituted with v-w8170f9_ZU</v>
      </c>
    </row>
    <row r="58190" spans="1:4" x14ac:dyDescent="0.2">
      <c r="B58190" t="s">
        <v>1</v>
      </c>
      <c r="C58190" t="s">
        <v>18254</v>
      </c>
      <c r="D58190" t="s">
        <v>23373</v>
      </c>
    </row>
    <row r="58191" spans="1:4" x14ac:dyDescent="0.2">
      <c r="B58191" t="s">
        <v>346</v>
      </c>
      <c r="C58191" t="s">
        <v>18255</v>
      </c>
      <c r="D58191" t="s">
        <v>23378</v>
      </c>
    </row>
    <row r="58192" spans="1:4" x14ac:dyDescent="0.2">
      <c r="B58192" t="s">
        <v>349</v>
      </c>
      <c r="D58192" t="s">
        <v>23944</v>
      </c>
    </row>
    <row r="58193" spans="1:4" x14ac:dyDescent="0.2">
      <c r="B58193" t="s">
        <v>350</v>
      </c>
      <c r="D58193" t="s">
        <v>23947</v>
      </c>
    </row>
    <row r="58194" spans="1:4" x14ac:dyDescent="0.2">
      <c r="B58194" t="s">
        <v>351</v>
      </c>
      <c r="D58194" t="s">
        <v>23946</v>
      </c>
    </row>
    <row r="58195" spans="1:4" x14ac:dyDescent="0.2">
      <c r="B58195" t="s">
        <v>18253</v>
      </c>
      <c r="D58195" t="s">
        <v>24395</v>
      </c>
    </row>
    <row r="58197" spans="1:4" x14ac:dyDescent="0.2">
      <c r="A58197" t="s">
        <v>18252</v>
      </c>
      <c r="B58197" t="str">
        <f>HYPERLINK("https://lindat.mff.cuni.cz/services/teitok/pdtc10/index.php?action=vallex&amp;frame=v-w8170f8_ZU", "vypadat (v-w8170f8_ZU) - substituted with v-w8170f9_ZU")</f>
        <v>vypadat (v-w8170f8_ZU) - substituted with v-w8170f9_ZU</v>
      </c>
    </row>
    <row r="58198" spans="1:4" x14ac:dyDescent="0.2">
      <c r="B58198" t="s">
        <v>1</v>
      </c>
    </row>
    <row r="58199" spans="1:4" x14ac:dyDescent="0.2">
      <c r="B58199" t="s">
        <v>346</v>
      </c>
    </row>
    <row r="58200" spans="1:4" x14ac:dyDescent="0.2">
      <c r="B58200" t="s">
        <v>349</v>
      </c>
    </row>
    <row r="58201" spans="1:4" x14ac:dyDescent="0.2">
      <c r="B58201" t="s">
        <v>350</v>
      </c>
    </row>
    <row r="58202" spans="1:4" x14ac:dyDescent="0.2">
      <c r="B58202" t="s">
        <v>351</v>
      </c>
    </row>
    <row r="58203" spans="1:4" x14ac:dyDescent="0.2">
      <c r="B58203" t="s">
        <v>18253</v>
      </c>
    </row>
    <row r="58205" spans="1:4" x14ac:dyDescent="0.2">
      <c r="A58205" t="s">
        <v>18256</v>
      </c>
      <c r="B58205" t="str">
        <f>HYPERLINK("https://lindat.mff.cuni.cz/services/teitok/pdtc10/index.php?action=vallex&amp;frame=v-w8170f4", "vypadat (v-w8170f4)")</f>
        <v>vypadat (v-w8170f4)</v>
      </c>
    </row>
    <row r="58206" spans="1:4" x14ac:dyDescent="0.2">
      <c r="B58206" t="s">
        <v>1</v>
      </c>
    </row>
    <row r="58208" spans="1:4" x14ac:dyDescent="0.2">
      <c r="A58208" t="s">
        <v>18257</v>
      </c>
      <c r="B58208" t="str">
        <f>HYPERLINK("https://lindat.mff.cuni.cz/services/teitok/pdtc10/index.php?action=vallex&amp;frame=v-w8170f6_ZU", "vypadat (v-w8170f6_ZU)")</f>
        <v>vypadat (v-w8170f6_ZU)</v>
      </c>
    </row>
    <row r="58209" spans="1:4" x14ac:dyDescent="0.2">
      <c r="B58209" t="s">
        <v>1</v>
      </c>
      <c r="C58209" t="s">
        <v>7988</v>
      </c>
    </row>
    <row r="58210" spans="1:4" x14ac:dyDescent="0.2">
      <c r="B58210" t="s">
        <v>18258</v>
      </c>
      <c r="C58210" t="s">
        <v>18259</v>
      </c>
    </row>
    <row r="58212" spans="1:4" x14ac:dyDescent="0.2">
      <c r="A58212" t="s">
        <v>18260</v>
      </c>
      <c r="B58212" t="str">
        <f>HYPERLINK("https://lindat.mff.cuni.cz/services/teitok/pdtc10/index.php?action=vallex&amp;frame=v-w8173f1", "vypadnout (v-w8173f1)")</f>
        <v>vypadnout (v-w8173f1)</v>
      </c>
    </row>
    <row r="58213" spans="1:4" x14ac:dyDescent="0.2">
      <c r="B58213" t="s">
        <v>1</v>
      </c>
      <c r="C58213" t="s">
        <v>18261</v>
      </c>
    </row>
    <row r="58214" spans="1:4" x14ac:dyDescent="0.2">
      <c r="B58214" t="s">
        <v>333</v>
      </c>
      <c r="C58214" t="s">
        <v>18262</v>
      </c>
    </row>
    <row r="58216" spans="1:4" x14ac:dyDescent="0.2">
      <c r="A58216" t="s">
        <v>18263</v>
      </c>
      <c r="B58216" t="str">
        <f>HYPERLINK("https://lindat.mff.cuni.cz/services/teitok/pdtc10/index.php?action=vallex&amp;frame=v-w8173f2", "vypadnout (v-w8173f2)")</f>
        <v>vypadnout (v-w8173f2)</v>
      </c>
    </row>
    <row r="58217" spans="1:4" x14ac:dyDescent="0.2">
      <c r="B58217" t="s">
        <v>1</v>
      </c>
      <c r="D58217" t="s">
        <v>3043</v>
      </c>
    </row>
    <row r="58218" spans="1:4" x14ac:dyDescent="0.2">
      <c r="B58218" t="s">
        <v>333</v>
      </c>
    </row>
    <row r="58220" spans="1:4" x14ac:dyDescent="0.2">
      <c r="A58220" t="s">
        <v>18264</v>
      </c>
      <c r="B58220" t="str">
        <f>HYPERLINK("https://lindat.mff.cuni.cz/services/teitok/pdtc10/index.php?action=vallex&amp;frame=v-w8173f3_ZU", "vypadnout (v-w8173f3_ZU)")</f>
        <v>vypadnout (v-w8173f3_ZU)</v>
      </c>
    </row>
    <row r="58221" spans="1:4" x14ac:dyDescent="0.2">
      <c r="B58221" t="s">
        <v>1</v>
      </c>
    </row>
    <row r="58222" spans="1:4" x14ac:dyDescent="0.2">
      <c r="B58222" t="s">
        <v>333</v>
      </c>
    </row>
    <row r="58224" spans="1:4" x14ac:dyDescent="0.2">
      <c r="A58224" t="s">
        <v>18264</v>
      </c>
      <c r="B58224" t="str">
        <f>HYPERLINK("https://lindat.mff.cuni.cz/services/teitok/pdtc10/index.php?action=vallex&amp;frame=v-w8173hsa_601", "vypadnout (v-w8173hsa_601) - substituted with v-w8173f3_ZU")</f>
        <v>vypadnout (v-w8173hsa_601) - substituted with v-w8173f3_ZU</v>
      </c>
    </row>
    <row r="58225" spans="1:2" x14ac:dyDescent="0.2">
      <c r="B58225" t="s">
        <v>1</v>
      </c>
    </row>
    <row r="58226" spans="1:2" x14ac:dyDescent="0.2">
      <c r="B58226" t="s">
        <v>333</v>
      </c>
    </row>
    <row r="58228" spans="1:2" x14ac:dyDescent="0.2">
      <c r="A58228" t="s">
        <v>18265</v>
      </c>
      <c r="B58228" t="str">
        <f>HYPERLINK("https://lindat.mff.cuni.cz/services/teitok/pdtc10/index.php?action=vallex&amp;frame=v-w8173f4_ZU", "vypadnout (v-w8173f4_ZU)")</f>
        <v>vypadnout (v-w8173f4_ZU)</v>
      </c>
    </row>
    <row r="58229" spans="1:2" x14ac:dyDescent="0.2">
      <c r="B58229" t="s">
        <v>1</v>
      </c>
    </row>
    <row r="58230" spans="1:2" x14ac:dyDescent="0.2">
      <c r="B58230" t="s">
        <v>103</v>
      </c>
    </row>
    <row r="58231" spans="1:2" x14ac:dyDescent="0.2">
      <c r="B58231" t="s">
        <v>18085</v>
      </c>
    </row>
    <row r="58233" spans="1:2" x14ac:dyDescent="0.2">
      <c r="A58233" t="s">
        <v>18265</v>
      </c>
      <c r="B58233" t="str">
        <f>HYPERLINK("https://lindat.mff.cuni.cz/services/teitok/pdtc10/index.php?action=vallex&amp;frame=v-w8173hsa_521", "vypadnout (v-w8173hsa_521) - substituted with v-w8173f4_ZU")</f>
        <v>vypadnout (v-w8173hsa_521) - substituted with v-w8173f4_ZU</v>
      </c>
    </row>
    <row r="58234" spans="1:2" x14ac:dyDescent="0.2">
      <c r="B58234" t="s">
        <v>1</v>
      </c>
    </row>
    <row r="58235" spans="1:2" x14ac:dyDescent="0.2">
      <c r="B58235" t="s">
        <v>103</v>
      </c>
    </row>
    <row r="58236" spans="1:2" x14ac:dyDescent="0.2">
      <c r="B58236" t="s">
        <v>18085</v>
      </c>
    </row>
    <row r="58238" spans="1:2" x14ac:dyDescent="0.2">
      <c r="A58238" t="s">
        <v>18266</v>
      </c>
      <c r="B58238" t="str">
        <f>HYPERLINK("https://lindat.mff.cuni.cz/services/teitok/pdtc10/index.php?action=vallex&amp;frame=v-w8173f5_ZU", "vypadnout (v-w8173f5_ZU)")</f>
        <v>vypadnout (v-w8173f5_ZU)</v>
      </c>
    </row>
    <row r="58239" spans="1:2" x14ac:dyDescent="0.2">
      <c r="B58239" t="s">
        <v>488</v>
      </c>
    </row>
    <row r="58240" spans="1:2" x14ac:dyDescent="0.2">
      <c r="B58240" t="s">
        <v>4622</v>
      </c>
    </row>
    <row r="58242" spans="1:2" x14ac:dyDescent="0.2">
      <c r="A58242" t="s">
        <v>18267</v>
      </c>
      <c r="B58242" t="str">
        <f>HYPERLINK("https://lindat.mff.cuni.cz/services/teitok/pdtc10/index.php?action=vallex&amp;frame=v-w8173f6_ZU", "vypadnout (v-w8173f6_ZU)")</f>
        <v>vypadnout (v-w8173f6_ZU)</v>
      </c>
    </row>
    <row r="58243" spans="1:2" x14ac:dyDescent="0.2">
      <c r="B58243" t="s">
        <v>1</v>
      </c>
    </row>
    <row r="58245" spans="1:2" x14ac:dyDescent="0.2">
      <c r="A58245" t="s">
        <v>18268</v>
      </c>
      <c r="B58245" t="str">
        <f>HYPERLINK("https://lindat.mff.cuni.cz/services/teitok/pdtc10/index.php?action=vallex&amp;frame=v-w8173hsa_519", "vypadnout (v-w8173hsa_519)")</f>
        <v>vypadnout (v-w8173hsa_519)</v>
      </c>
    </row>
    <row r="58246" spans="1:2" x14ac:dyDescent="0.2">
      <c r="B58246" t="s">
        <v>1</v>
      </c>
    </row>
    <row r="58247" spans="1:2" x14ac:dyDescent="0.2">
      <c r="B58247" t="s">
        <v>103</v>
      </c>
    </row>
    <row r="58249" spans="1:2" x14ac:dyDescent="0.2">
      <c r="A58249" t="s">
        <v>18269</v>
      </c>
      <c r="B58249" t="str">
        <f>HYPERLINK("https://lindat.mff.cuni.cz/services/teitok/pdtc10/index.php?action=vallex&amp;frame=v-w8173hsa_520", "vypadnout (v-w8173hsa_520)")</f>
        <v>vypadnout (v-w8173hsa_520)</v>
      </c>
    </row>
    <row r="58250" spans="1:2" x14ac:dyDescent="0.2">
      <c r="B58250" t="s">
        <v>1</v>
      </c>
    </row>
    <row r="58251" spans="1:2" x14ac:dyDescent="0.2">
      <c r="B58251" t="s">
        <v>333</v>
      </c>
    </row>
    <row r="58253" spans="1:2" x14ac:dyDescent="0.2">
      <c r="A58253" t="s">
        <v>18270</v>
      </c>
      <c r="B58253" t="str">
        <f>HYPERLINK("https://lindat.mff.cuni.cz/services/teitok/pdtc10/index.php?action=vallex&amp;frame=v-w8171f1", "vypadávat (v-w8171f1)")</f>
        <v>vypadávat (v-w8171f1)</v>
      </c>
    </row>
    <row r="58254" spans="1:2" x14ac:dyDescent="0.2">
      <c r="B58254" t="s">
        <v>1</v>
      </c>
    </row>
    <row r="58256" spans="1:2" x14ac:dyDescent="0.2">
      <c r="A58256" t="s">
        <v>18271</v>
      </c>
      <c r="B58256" t="str">
        <f>HYPERLINK("https://lindat.mff.cuni.cz/services/teitok/pdtc10/index.php?action=vallex&amp;frame=v-w8171f2_MM", "vypadávat (v-w8171f2_MM)")</f>
        <v>vypadávat (v-w8171f2_MM)</v>
      </c>
    </row>
    <row r="58257" spans="1:2" x14ac:dyDescent="0.2">
      <c r="B58257" t="s">
        <v>1</v>
      </c>
    </row>
    <row r="58258" spans="1:2" x14ac:dyDescent="0.2">
      <c r="B58258" t="s">
        <v>103</v>
      </c>
    </row>
    <row r="58260" spans="1:2" x14ac:dyDescent="0.2">
      <c r="A58260" t="s">
        <v>18272</v>
      </c>
      <c r="B58260" t="str">
        <f>HYPERLINK("https://lindat.mff.cuni.cz/services/teitok/pdtc10/index.php?action=vallex&amp;frame=v-w11899_ZUf1_ZU", "vypalovat (v-w11899_ZUf1_ZU)")</f>
        <v>vypalovat (v-w11899_ZUf1_ZU)</v>
      </c>
    </row>
    <row r="58261" spans="1:2" x14ac:dyDescent="0.2">
      <c r="B58261" t="s">
        <v>1</v>
      </c>
    </row>
    <row r="58262" spans="1:2" x14ac:dyDescent="0.2">
      <c r="B58262" t="s">
        <v>8</v>
      </c>
    </row>
    <row r="58264" spans="1:2" x14ac:dyDescent="0.2">
      <c r="A58264" t="s">
        <v>18273</v>
      </c>
      <c r="B58264" t="str">
        <f>HYPERLINK("https://lindat.mff.cuni.cz/services/teitok/pdtc10/index.php?action=vallex&amp;frame=v-w11899_ZUf3_ZU", "vypalovat (v-w11899_ZUf3_ZU)")</f>
        <v>vypalovat (v-w11899_ZUf3_ZU)</v>
      </c>
    </row>
    <row r="58265" spans="1:2" x14ac:dyDescent="0.2">
      <c r="B58265" t="s">
        <v>1</v>
      </c>
    </row>
    <row r="58266" spans="1:2" x14ac:dyDescent="0.2">
      <c r="B58266" t="s">
        <v>8</v>
      </c>
    </row>
    <row r="58267" spans="1:2" x14ac:dyDescent="0.2">
      <c r="B58267" t="s">
        <v>252</v>
      </c>
    </row>
    <row r="58269" spans="1:2" x14ac:dyDescent="0.2">
      <c r="A58269" t="s">
        <v>18273</v>
      </c>
      <c r="B58269" t="str">
        <f>HYPERLINK("https://lindat.mff.cuni.cz/services/teitok/pdtc10/index.php?action=vallex&amp;frame=v-w11899_ZUf2_ZU", "vypalovat (v-w11899_ZUf2_ZU) - substituted with v-w11899_ZUf3_ZU")</f>
        <v>vypalovat (v-w11899_ZUf2_ZU) - substituted with v-w11899_ZUf3_ZU</v>
      </c>
    </row>
    <row r="58270" spans="1:2" x14ac:dyDescent="0.2">
      <c r="B58270" t="s">
        <v>1</v>
      </c>
    </row>
    <row r="58271" spans="1:2" x14ac:dyDescent="0.2">
      <c r="B58271" t="s">
        <v>8</v>
      </c>
    </row>
    <row r="58272" spans="1:2" x14ac:dyDescent="0.2">
      <c r="B58272" t="s">
        <v>252</v>
      </c>
    </row>
    <row r="58274" spans="1:2" x14ac:dyDescent="0.2">
      <c r="A58274" t="s">
        <v>18274</v>
      </c>
      <c r="B58274" t="str">
        <f>HYPERLINK("https://lindat.mff.cuni.cz/services/teitok/pdtc10/index.php?action=vallex&amp;frame=v-w11899_ZUf4_ZU", "vypalovat (v-w11899_ZUf4_ZU)")</f>
        <v>vypalovat (v-w11899_ZUf4_ZU)</v>
      </c>
    </row>
    <row r="58275" spans="1:2" x14ac:dyDescent="0.2">
      <c r="B58275" t="s">
        <v>1</v>
      </c>
    </row>
    <row r="58276" spans="1:2" x14ac:dyDescent="0.2">
      <c r="B58276" t="s">
        <v>8</v>
      </c>
    </row>
    <row r="58278" spans="1:2" x14ac:dyDescent="0.2">
      <c r="A58278" t="s">
        <v>18275</v>
      </c>
      <c r="B58278" t="str">
        <f>HYPERLINK("https://lindat.mff.cuni.cz/services/teitok/pdtc10/index.php?action=vallex&amp;frame=v-whsa_1098hsa_1099", "vypařit se (v-whsa_1098hsa_1099)")</f>
        <v>vypařit se (v-whsa_1098hsa_1099)</v>
      </c>
    </row>
    <row r="58279" spans="1:2" x14ac:dyDescent="0.2">
      <c r="B58279" t="s">
        <v>1</v>
      </c>
    </row>
    <row r="58281" spans="1:2" x14ac:dyDescent="0.2">
      <c r="A58281" t="s">
        <v>18276</v>
      </c>
      <c r="B58281" t="str">
        <f>HYPERLINK("https://lindat.mff.cuni.cz/services/teitok/pdtc10/index.php?action=vallex&amp;frame=v-whsa_297hsa_298", "vypařovat se (v-whsa_297hsa_298)")</f>
        <v>vypařovat se (v-whsa_297hsa_298)</v>
      </c>
    </row>
    <row r="58282" spans="1:2" x14ac:dyDescent="0.2">
      <c r="B58282" t="s">
        <v>1</v>
      </c>
    </row>
    <row r="58284" spans="1:2" x14ac:dyDescent="0.2">
      <c r="A58284" t="s">
        <v>18277</v>
      </c>
      <c r="B58284" t="str">
        <f>HYPERLINK("https://lindat.mff.cuni.cz/services/teitok/pdtc10/index.php?action=vallex&amp;frame=v-w8184f1", "vypisovat (v-w8184f1)")</f>
        <v>vypisovat (v-w8184f1)</v>
      </c>
    </row>
    <row r="58285" spans="1:2" x14ac:dyDescent="0.2">
      <c r="B58285" t="s">
        <v>1</v>
      </c>
    </row>
    <row r="58286" spans="1:2" x14ac:dyDescent="0.2">
      <c r="B58286" t="s">
        <v>41</v>
      </c>
    </row>
    <row r="58288" spans="1:2" x14ac:dyDescent="0.2">
      <c r="A58288" t="s">
        <v>18278</v>
      </c>
      <c r="B58288" t="str">
        <f>HYPERLINK("https://lindat.mff.cuni.cz/services/teitok/pdtc10/index.php?action=vallex&amp;frame=v-w8184f3_ZU", "vypisovat (v-w8184f3_ZU)")</f>
        <v>vypisovat (v-w8184f3_ZU)</v>
      </c>
    </row>
    <row r="58289" spans="1:2" x14ac:dyDescent="0.2">
      <c r="B58289" t="s">
        <v>1</v>
      </c>
    </row>
    <row r="58290" spans="1:2" x14ac:dyDescent="0.2">
      <c r="B58290" t="s">
        <v>8</v>
      </c>
    </row>
    <row r="58292" spans="1:2" x14ac:dyDescent="0.2">
      <c r="A58292" t="s">
        <v>18278</v>
      </c>
      <c r="B58292" t="str">
        <f>HYPERLINK("https://lindat.mff.cuni.cz/services/teitok/pdtc10/index.php?action=vallex&amp;frame=v-w8184f2_ZU", "vypisovat (v-w8184f2_ZU) - substituted with v-w8184f3_ZU")</f>
        <v>vypisovat (v-w8184f2_ZU) - substituted with v-w8184f3_ZU</v>
      </c>
    </row>
    <row r="58293" spans="1:2" x14ac:dyDescent="0.2">
      <c r="B58293" t="s">
        <v>1</v>
      </c>
    </row>
    <row r="58294" spans="1:2" x14ac:dyDescent="0.2">
      <c r="B58294" t="s">
        <v>8</v>
      </c>
    </row>
    <row r="58296" spans="1:2" x14ac:dyDescent="0.2">
      <c r="A58296" t="s">
        <v>18279</v>
      </c>
      <c r="B58296" t="str">
        <f>HYPERLINK("https://lindat.mff.cuni.cz/services/teitok/pdtc10/index.php?action=vallex&amp;frame=v-w8184f4_ZU", "vypisovat (v-w8184f4_ZU)")</f>
        <v>vypisovat (v-w8184f4_ZU)</v>
      </c>
    </row>
    <row r="58297" spans="1:2" x14ac:dyDescent="0.2">
      <c r="B58297" t="s">
        <v>1</v>
      </c>
    </row>
    <row r="58298" spans="1:2" x14ac:dyDescent="0.2">
      <c r="B58298" t="s">
        <v>8</v>
      </c>
    </row>
    <row r="58300" spans="1:2" x14ac:dyDescent="0.2">
      <c r="A58300" t="s">
        <v>18280</v>
      </c>
      <c r="B58300" t="str">
        <f>HYPERLINK("https://lindat.mff.cuni.cz/services/teitok/pdtc10/index.php?action=vallex&amp;frame=v-w8184hsa_1394", "vypisovat (v-w8184hsa_1394)")</f>
        <v>vypisovat (v-w8184hsa_1394)</v>
      </c>
    </row>
    <row r="58301" spans="1:2" x14ac:dyDescent="0.2">
      <c r="B58301" t="s">
        <v>1</v>
      </c>
    </row>
    <row r="58302" spans="1:2" x14ac:dyDescent="0.2">
      <c r="B58302" t="s">
        <v>8</v>
      </c>
    </row>
    <row r="58304" spans="1:2" x14ac:dyDescent="0.2">
      <c r="A58304" t="s">
        <v>18281</v>
      </c>
      <c r="B58304" t="str">
        <f>HYPERLINK("https://lindat.mff.cuni.cz/services/teitok/pdtc10/index.php?action=vallex&amp;frame=v-w8192f1", "vyplatit (v-w8192f1)")</f>
        <v>vyplatit (v-w8192f1)</v>
      </c>
    </row>
    <row r="58305" spans="1:4" x14ac:dyDescent="0.2">
      <c r="B58305" t="s">
        <v>1</v>
      </c>
      <c r="C58305" t="s">
        <v>18282</v>
      </c>
      <c r="D58305" t="s">
        <v>23350</v>
      </c>
    </row>
    <row r="58306" spans="1:4" x14ac:dyDescent="0.2">
      <c r="B58306" t="s">
        <v>8</v>
      </c>
      <c r="C58306" t="s">
        <v>18283</v>
      </c>
      <c r="D58306" t="s">
        <v>23351</v>
      </c>
    </row>
    <row r="58307" spans="1:4" x14ac:dyDescent="0.2">
      <c r="B58307" t="s">
        <v>78</v>
      </c>
      <c r="C58307" t="s">
        <v>18284</v>
      </c>
      <c r="D58307" t="s">
        <v>23352</v>
      </c>
    </row>
    <row r="58308" spans="1:4" x14ac:dyDescent="0.2">
      <c r="B58308" t="s">
        <v>413</v>
      </c>
      <c r="C58308" t="s">
        <v>18285</v>
      </c>
    </row>
    <row r="58310" spans="1:4" x14ac:dyDescent="0.2">
      <c r="A58310" t="s">
        <v>18286</v>
      </c>
      <c r="B58310" t="str">
        <f>HYPERLINK("https://lindat.mff.cuni.cz/services/teitok/pdtc10/index.php?action=vallex&amp;frame=v-w8192f4", "vyplatit (v-w8192f4)")</f>
        <v>vyplatit (v-w8192f4)</v>
      </c>
    </row>
    <row r="58311" spans="1:4" x14ac:dyDescent="0.2">
      <c r="B58311" t="s">
        <v>1</v>
      </c>
      <c r="C58311" t="s">
        <v>18287</v>
      </c>
    </row>
    <row r="58312" spans="1:4" x14ac:dyDescent="0.2">
      <c r="B58312" t="s">
        <v>8</v>
      </c>
      <c r="C58312" t="s">
        <v>18288</v>
      </c>
    </row>
    <row r="58313" spans="1:4" x14ac:dyDescent="0.2">
      <c r="B58313" t="s">
        <v>1944</v>
      </c>
    </row>
    <row r="58315" spans="1:4" x14ac:dyDescent="0.2">
      <c r="A58315" t="s">
        <v>18289</v>
      </c>
      <c r="B58315" t="str">
        <f>HYPERLINK("https://lindat.mff.cuni.cz/services/teitok/pdtc10/index.php?action=vallex&amp;frame=v-w8192f5_ZU", "vyplatit (v-w8192f5_ZU)")</f>
        <v>vyplatit (v-w8192f5_ZU)</v>
      </c>
    </row>
    <row r="58316" spans="1:4" x14ac:dyDescent="0.2">
      <c r="B58316" t="s">
        <v>1</v>
      </c>
    </row>
    <row r="58317" spans="1:4" x14ac:dyDescent="0.2">
      <c r="B58317" t="s">
        <v>11253</v>
      </c>
    </row>
    <row r="58319" spans="1:4" x14ac:dyDescent="0.2">
      <c r="A58319" t="s">
        <v>18289</v>
      </c>
      <c r="B58319" t="str">
        <f>HYPERLINK("https://lindat.mff.cuni.cz/services/teitok/pdtc10/index.php?action=vallex&amp;frame=v-w8192f3", "vyplatit (v-w8192f3) - substituted with v-w8192f5_ZU")</f>
        <v>vyplatit (v-w8192f3) - substituted with v-w8192f5_ZU</v>
      </c>
    </row>
    <row r="58320" spans="1:4" x14ac:dyDescent="0.2">
      <c r="B58320" t="s">
        <v>1</v>
      </c>
    </row>
    <row r="58321" spans="1:4" x14ac:dyDescent="0.2">
      <c r="B58321" t="s">
        <v>11253</v>
      </c>
    </row>
    <row r="58323" spans="1:4" x14ac:dyDescent="0.2">
      <c r="A58323" t="s">
        <v>18290</v>
      </c>
      <c r="B58323" t="str">
        <f>HYPERLINK("https://lindat.mff.cuni.cz/services/teitok/pdtc10/index.php?action=vallex&amp;frame=v-w8192f2", "vyplatit (v-w8192f2)")</f>
        <v>vyplatit (v-w8192f2)</v>
      </c>
    </row>
    <row r="58324" spans="1:4" x14ac:dyDescent="0.2">
      <c r="B58324" t="s">
        <v>1</v>
      </c>
      <c r="C58324" t="s">
        <v>18287</v>
      </c>
      <c r="D58324" t="s">
        <v>23350</v>
      </c>
    </row>
    <row r="58325" spans="1:4" x14ac:dyDescent="0.2">
      <c r="B58325" t="s">
        <v>524</v>
      </c>
      <c r="C58325" t="s">
        <v>18291</v>
      </c>
      <c r="D58325" t="s">
        <v>23783</v>
      </c>
    </row>
    <row r="58326" spans="1:4" x14ac:dyDescent="0.2">
      <c r="B58326" t="s">
        <v>1382</v>
      </c>
    </row>
    <row r="58327" spans="1:4" x14ac:dyDescent="0.2">
      <c r="B58327" t="s">
        <v>78</v>
      </c>
      <c r="C58327" t="s">
        <v>8546</v>
      </c>
      <c r="D58327" t="s">
        <v>23352</v>
      </c>
    </row>
    <row r="58329" spans="1:4" x14ac:dyDescent="0.2">
      <c r="A58329" t="s">
        <v>18292</v>
      </c>
      <c r="B58329" t="str">
        <f>HYPERLINK("https://lindat.mff.cuni.cz/services/teitok/pdtc10/index.php?action=vallex&amp;frame=v-w8192hsa_997", "vyplatit (v-w8192hsa_997)")</f>
        <v>vyplatit (v-w8192hsa_997)</v>
      </c>
    </row>
    <row r="58330" spans="1:4" x14ac:dyDescent="0.2">
      <c r="B58330" t="s">
        <v>1</v>
      </c>
      <c r="C58330" t="s">
        <v>12497</v>
      </c>
      <c r="D58330" t="s">
        <v>24396</v>
      </c>
    </row>
    <row r="58331" spans="1:4" x14ac:dyDescent="0.2">
      <c r="B58331" t="s">
        <v>8</v>
      </c>
      <c r="C58331" t="s">
        <v>18293</v>
      </c>
      <c r="D58331" t="s">
        <v>24397</v>
      </c>
    </row>
    <row r="58333" spans="1:4" x14ac:dyDescent="0.2">
      <c r="A58333" t="s">
        <v>18294</v>
      </c>
      <c r="B58333" t="str">
        <f>HYPERLINK("https://lindat.mff.cuni.cz/services/teitok/pdtc10/index.php?action=vallex&amp;frame=v-w8193f3_ZU", "vyplatit se (v-w8193f3_ZU)")</f>
        <v>vyplatit se (v-w8193f3_ZU)</v>
      </c>
    </row>
    <row r="58334" spans="1:4" x14ac:dyDescent="0.2">
      <c r="B58334" t="s">
        <v>18295</v>
      </c>
      <c r="D58334" t="s">
        <v>6317</v>
      </c>
    </row>
    <row r="58335" spans="1:4" x14ac:dyDescent="0.2">
      <c r="B58335" t="s">
        <v>103</v>
      </c>
    </row>
    <row r="58337" spans="1:3" x14ac:dyDescent="0.2">
      <c r="A58337" t="s">
        <v>18294</v>
      </c>
      <c r="B58337" t="str">
        <f>HYPERLINK("https://lindat.mff.cuni.cz/services/teitok/pdtc10/index.php?action=vallex&amp;frame=v-w8193f1", "vyplatit se (v-w8193f1) - substituted with v-w8193f3_ZU")</f>
        <v>vyplatit se (v-w8193f1) - substituted with v-w8193f3_ZU</v>
      </c>
    </row>
    <row r="58338" spans="1:3" x14ac:dyDescent="0.2">
      <c r="B58338" t="s">
        <v>18295</v>
      </c>
      <c r="C58338" t="s">
        <v>6317</v>
      </c>
    </row>
    <row r="58339" spans="1:3" x14ac:dyDescent="0.2">
      <c r="B58339" t="s">
        <v>103</v>
      </c>
    </row>
    <row r="58341" spans="1:3" x14ac:dyDescent="0.2">
      <c r="A58341" t="s">
        <v>18296</v>
      </c>
      <c r="B58341" t="str">
        <f>HYPERLINK("https://lindat.mff.cuni.cz/services/teitok/pdtc10/index.php?action=vallex&amp;frame=v-w8193f2", "vyplatit se (v-w8193f2)")</f>
        <v>vyplatit se (v-w8193f2)</v>
      </c>
    </row>
    <row r="58342" spans="1:3" x14ac:dyDescent="0.2">
      <c r="B58342" t="s">
        <v>1</v>
      </c>
    </row>
    <row r="58343" spans="1:3" x14ac:dyDescent="0.2">
      <c r="B58343" t="s">
        <v>438</v>
      </c>
    </row>
    <row r="58345" spans="1:3" x14ac:dyDescent="0.2">
      <c r="A58345" t="s">
        <v>18297</v>
      </c>
      <c r="B58345" t="str">
        <f>HYPERLINK("https://lindat.mff.cuni.cz/services/teitok/pdtc10/index.php?action=vallex&amp;frame=v-w11084f2", "vyplavat (v-w11084f2)")</f>
        <v>vyplavat (v-w11084f2)</v>
      </c>
    </row>
    <row r="58346" spans="1:3" x14ac:dyDescent="0.2">
      <c r="B58346" t="s">
        <v>1</v>
      </c>
    </row>
    <row r="58347" spans="1:3" x14ac:dyDescent="0.2">
      <c r="B58347" t="s">
        <v>17850</v>
      </c>
    </row>
    <row r="58349" spans="1:3" x14ac:dyDescent="0.2">
      <c r="A58349" t="s">
        <v>18298</v>
      </c>
      <c r="B58349" t="str">
        <f>HYPERLINK("https://lindat.mff.cuni.cz/services/teitok/pdtc10/index.php?action=vallex&amp;frame=v-w11084f3_ZU", "vyplavat (v-w11084f3_ZU)")</f>
        <v>vyplavat (v-w11084f3_ZU)</v>
      </c>
    </row>
    <row r="58350" spans="1:3" x14ac:dyDescent="0.2">
      <c r="B58350" t="s">
        <v>1</v>
      </c>
    </row>
    <row r="58351" spans="1:3" x14ac:dyDescent="0.2">
      <c r="B58351" t="s">
        <v>4622</v>
      </c>
    </row>
    <row r="58353" spans="1:2" x14ac:dyDescent="0.2">
      <c r="A58353" t="s">
        <v>18299</v>
      </c>
      <c r="B58353" t="str">
        <f>HYPERLINK("https://lindat.mff.cuni.cz/services/teitok/pdtc10/index.php?action=vallex&amp;frame=v-whsb_1023hsa_1024", "vyplavat se (v-whsb_1023hsa_1024)")</f>
        <v>vyplavat se (v-whsb_1023hsa_1024)</v>
      </c>
    </row>
    <row r="58354" spans="1:2" x14ac:dyDescent="0.2">
      <c r="B58354" t="s">
        <v>1</v>
      </c>
    </row>
    <row r="58356" spans="1:2" x14ac:dyDescent="0.2">
      <c r="A58356" t="s">
        <v>18300</v>
      </c>
      <c r="B58356" t="str">
        <f>HYPERLINK("https://lindat.mff.cuni.cz/services/teitok/pdtc10/index.php?action=vallex&amp;frame=v-w11066f2", "vyplavit (v-w11066f2)")</f>
        <v>vyplavit (v-w11066f2)</v>
      </c>
    </row>
    <row r="58357" spans="1:2" x14ac:dyDescent="0.2">
      <c r="B58357" t="s">
        <v>1</v>
      </c>
    </row>
    <row r="58358" spans="1:2" x14ac:dyDescent="0.2">
      <c r="B58358" t="s">
        <v>8</v>
      </c>
    </row>
    <row r="58359" spans="1:2" x14ac:dyDescent="0.2">
      <c r="B58359" t="s">
        <v>333</v>
      </c>
    </row>
    <row r="58361" spans="1:2" x14ac:dyDescent="0.2">
      <c r="A58361" t="s">
        <v>18301</v>
      </c>
      <c r="B58361" t="str">
        <f>HYPERLINK("https://lindat.mff.cuni.cz/services/teitok/pdtc10/index.php?action=vallex&amp;frame=v-w11066f3_ZU", "vyplavit (v-w11066f3_ZU)")</f>
        <v>vyplavit (v-w11066f3_ZU)</v>
      </c>
    </row>
    <row r="58362" spans="1:2" x14ac:dyDescent="0.2">
      <c r="B58362" t="s">
        <v>1</v>
      </c>
    </row>
    <row r="58363" spans="1:2" x14ac:dyDescent="0.2">
      <c r="B58363" t="s">
        <v>8</v>
      </c>
    </row>
    <row r="58365" spans="1:2" x14ac:dyDescent="0.2">
      <c r="A58365" t="s">
        <v>18302</v>
      </c>
      <c r="B58365" t="str">
        <f>HYPERLINK("https://lindat.mff.cuni.cz/services/teitok/pdtc10/index.php?action=vallex&amp;frame=v-w12107_ZUf1_ZU", "vyplazovat (v-w12107_ZUf1_ZU)")</f>
        <v>vyplazovat (v-w12107_ZUf1_ZU)</v>
      </c>
    </row>
    <row r="58366" spans="1:2" x14ac:dyDescent="0.2">
      <c r="B58366" t="s">
        <v>1</v>
      </c>
    </row>
    <row r="58367" spans="1:2" x14ac:dyDescent="0.2">
      <c r="B58367" t="s">
        <v>8</v>
      </c>
    </row>
    <row r="58368" spans="1:2" x14ac:dyDescent="0.2">
      <c r="B58368" t="s">
        <v>3527</v>
      </c>
    </row>
    <row r="58370" spans="1:4" x14ac:dyDescent="0.2">
      <c r="A58370" t="s">
        <v>18303</v>
      </c>
      <c r="B58370" t="str">
        <f>HYPERLINK("https://lindat.mff.cuni.cz/services/teitok/pdtc10/index.php?action=vallex&amp;frame=v-w8190f1", "vyplašit (v-w8190f1)")</f>
        <v>vyplašit (v-w8190f1)</v>
      </c>
    </row>
    <row r="58371" spans="1:4" x14ac:dyDescent="0.2">
      <c r="B58371" t="s">
        <v>1</v>
      </c>
      <c r="C58371" t="s">
        <v>990</v>
      </c>
      <c r="D58371" t="s">
        <v>23316</v>
      </c>
    </row>
    <row r="58372" spans="1:4" x14ac:dyDescent="0.2">
      <c r="B58372" t="s">
        <v>8</v>
      </c>
      <c r="C58372" t="s">
        <v>1066</v>
      </c>
      <c r="D58372" t="s">
        <v>2213</v>
      </c>
    </row>
    <row r="58374" spans="1:4" x14ac:dyDescent="0.2">
      <c r="A58374" t="s">
        <v>18304</v>
      </c>
      <c r="B58374" t="str">
        <f>HYPERLINK("https://lindat.mff.cuni.cz/services/teitok/pdtc10/index.php?action=vallex&amp;frame=v-w8194f1", "vyplenit (v-w8194f1)")</f>
        <v>vyplenit (v-w8194f1)</v>
      </c>
    </row>
    <row r="58375" spans="1:4" x14ac:dyDescent="0.2">
      <c r="B58375" t="s">
        <v>1</v>
      </c>
    </row>
    <row r="58376" spans="1:4" x14ac:dyDescent="0.2">
      <c r="B58376" t="s">
        <v>8</v>
      </c>
    </row>
    <row r="58378" spans="1:4" x14ac:dyDescent="0.2">
      <c r="A58378" t="s">
        <v>18305</v>
      </c>
      <c r="B58378" t="str">
        <f>HYPERLINK("https://lindat.mff.cuni.cz/services/teitok/pdtc10/index.php?action=vallex&amp;frame=v-w8195f1", "vyplivnout (v-w8195f1)")</f>
        <v>vyplivnout (v-w8195f1)</v>
      </c>
    </row>
    <row r="58379" spans="1:4" x14ac:dyDescent="0.2">
      <c r="B58379" t="s">
        <v>1</v>
      </c>
      <c r="D58379" t="s">
        <v>133</v>
      </c>
    </row>
    <row r="58380" spans="1:4" x14ac:dyDescent="0.2">
      <c r="B58380" t="s">
        <v>8</v>
      </c>
      <c r="D58380" t="s">
        <v>1128</v>
      </c>
    </row>
    <row r="58382" spans="1:4" x14ac:dyDescent="0.2">
      <c r="A58382" t="s">
        <v>18306</v>
      </c>
      <c r="B58382" t="str">
        <f>HYPERLINK("https://lindat.mff.cuni.cz/services/teitok/pdtc10/index.php?action=vallex&amp;frame=v-w11625_ZUf1_ZU", "vyplivovat (v-w11625_ZUf1_ZU)")</f>
        <v>vyplivovat (v-w11625_ZUf1_ZU)</v>
      </c>
    </row>
    <row r="58383" spans="1:4" x14ac:dyDescent="0.2">
      <c r="B58383" t="s">
        <v>1</v>
      </c>
      <c r="C58383" t="s">
        <v>33</v>
      </c>
      <c r="D58383" t="s">
        <v>133</v>
      </c>
    </row>
    <row r="58384" spans="1:4" x14ac:dyDescent="0.2">
      <c r="B58384" t="s">
        <v>8</v>
      </c>
      <c r="C58384" t="s">
        <v>84</v>
      </c>
      <c r="D58384" t="s">
        <v>1128</v>
      </c>
    </row>
    <row r="58386" spans="1:4" x14ac:dyDescent="0.2">
      <c r="A58386" t="s">
        <v>18307</v>
      </c>
      <c r="B58386" t="str">
        <f>HYPERLINK("https://lindat.mff.cuni.cz/services/teitok/pdtc10/index.php?action=vallex&amp;frame=v-w8197f2_ZU", "vyplnit (v-w8197f2_ZU)")</f>
        <v>vyplnit (v-w8197f2_ZU)</v>
      </c>
    </row>
    <row r="58387" spans="1:4" x14ac:dyDescent="0.2">
      <c r="B58387" t="s">
        <v>1</v>
      </c>
      <c r="C58387" t="s">
        <v>83</v>
      </c>
      <c r="D58387" t="s">
        <v>7907</v>
      </c>
    </row>
    <row r="58388" spans="1:4" x14ac:dyDescent="0.2">
      <c r="B58388" t="s">
        <v>8</v>
      </c>
      <c r="C58388" t="s">
        <v>113</v>
      </c>
      <c r="D58388" t="s">
        <v>23547</v>
      </c>
    </row>
    <row r="58389" spans="1:4" x14ac:dyDescent="0.2">
      <c r="B58389" t="s">
        <v>5479</v>
      </c>
      <c r="D58389" t="s">
        <v>23548</v>
      </c>
    </row>
    <row r="58391" spans="1:4" x14ac:dyDescent="0.2">
      <c r="A58391" t="s">
        <v>18308</v>
      </c>
      <c r="B58391" t="str">
        <f>HYPERLINK("https://lindat.mff.cuni.cz/services/teitok/pdtc10/index.php?action=vallex&amp;frame=v-w8197f1", "vyplnit (v-w8197f1)")</f>
        <v>vyplnit (v-w8197f1)</v>
      </c>
    </row>
    <row r="58392" spans="1:4" x14ac:dyDescent="0.2">
      <c r="B58392" t="s">
        <v>1</v>
      </c>
      <c r="C58392" t="s">
        <v>3081</v>
      </c>
    </row>
    <row r="58393" spans="1:4" x14ac:dyDescent="0.2">
      <c r="B58393" t="s">
        <v>8</v>
      </c>
      <c r="C58393" t="s">
        <v>1107</v>
      </c>
      <c r="D58393" t="s">
        <v>991</v>
      </c>
    </row>
    <row r="58395" spans="1:4" x14ac:dyDescent="0.2">
      <c r="A58395" t="s">
        <v>18309</v>
      </c>
      <c r="B58395" t="str">
        <f>HYPERLINK("https://lindat.mff.cuni.cz/services/teitok/pdtc10/index.php?action=vallex&amp;frame=v-w8197hsa_1284", "vyplnit (v-w8197hsa_1284)")</f>
        <v>vyplnit (v-w8197hsa_1284)</v>
      </c>
    </row>
    <row r="58396" spans="1:4" x14ac:dyDescent="0.2">
      <c r="B58396" t="s">
        <v>1</v>
      </c>
    </row>
    <row r="58397" spans="1:4" x14ac:dyDescent="0.2">
      <c r="B58397" t="s">
        <v>8</v>
      </c>
    </row>
    <row r="58399" spans="1:4" x14ac:dyDescent="0.2">
      <c r="A58399" t="s">
        <v>18310</v>
      </c>
      <c r="B58399" t="str">
        <f>HYPERLINK("https://lindat.mff.cuni.cz/services/teitok/pdtc10/index.php?action=vallex&amp;frame=v-w8198f1", "vyplnit se (v-w8198f1)")</f>
        <v>vyplnit se (v-w8198f1)</v>
      </c>
    </row>
    <row r="58400" spans="1:4" x14ac:dyDescent="0.2">
      <c r="B58400" t="s">
        <v>1</v>
      </c>
    </row>
    <row r="58402" spans="1:2" x14ac:dyDescent="0.2">
      <c r="A58402" t="s">
        <v>18311</v>
      </c>
      <c r="B58402" t="str">
        <f>HYPERLINK("https://lindat.mff.cuni.cz/services/teitok/pdtc10/index.php?action=vallex&amp;frame=v-w10312f2", "vyplodit (v-w10312f2)")</f>
        <v>vyplodit (v-w10312f2)</v>
      </c>
    </row>
    <row r="58403" spans="1:2" x14ac:dyDescent="0.2">
      <c r="B58403" t="s">
        <v>1</v>
      </c>
    </row>
    <row r="58404" spans="1:2" x14ac:dyDescent="0.2">
      <c r="B58404" t="s">
        <v>8</v>
      </c>
    </row>
    <row r="58406" spans="1:2" x14ac:dyDescent="0.2">
      <c r="A58406" t="s">
        <v>18312</v>
      </c>
      <c r="B58406" t="str">
        <f>HYPERLINK("https://lindat.mff.cuni.cz/services/teitok/pdtc10/index.php?action=vallex&amp;frame=v-w8202f1", "vyplout (v-w8202f1)")</f>
        <v>vyplout (v-w8202f1)</v>
      </c>
    </row>
    <row r="58407" spans="1:2" x14ac:dyDescent="0.2">
      <c r="B58407" t="s">
        <v>1</v>
      </c>
    </row>
    <row r="58408" spans="1:2" x14ac:dyDescent="0.2">
      <c r="B58408" t="s">
        <v>333</v>
      </c>
    </row>
    <row r="58410" spans="1:2" x14ac:dyDescent="0.2">
      <c r="A58410" t="s">
        <v>18313</v>
      </c>
      <c r="B58410" t="str">
        <f>HYPERLINK("https://lindat.mff.cuni.cz/services/teitok/pdtc10/index.php?action=vallex&amp;frame=v-w8203f1", "vyplouvat (v-w8203f1)")</f>
        <v>vyplouvat (v-w8203f1)</v>
      </c>
    </row>
    <row r="58411" spans="1:2" x14ac:dyDescent="0.2">
      <c r="B58411" t="s">
        <v>1</v>
      </c>
    </row>
    <row r="58412" spans="1:2" x14ac:dyDescent="0.2">
      <c r="B58412" t="s">
        <v>333</v>
      </c>
    </row>
    <row r="58414" spans="1:2" x14ac:dyDescent="0.2">
      <c r="A58414" t="s">
        <v>18314</v>
      </c>
      <c r="B58414" t="str">
        <f>HYPERLINK("https://lindat.mff.cuni.cz/services/teitok/pdtc10/index.php?action=vallex&amp;frame=v-w8203f2", "vyplouvat (v-w8203f2)")</f>
        <v>vyplouvat (v-w8203f2)</v>
      </c>
    </row>
    <row r="58415" spans="1:2" x14ac:dyDescent="0.2">
      <c r="B58415" t="s">
        <v>1</v>
      </c>
    </row>
    <row r="58416" spans="1:2" x14ac:dyDescent="0.2">
      <c r="B58416" t="s">
        <v>17850</v>
      </c>
    </row>
    <row r="58418" spans="1:4" x14ac:dyDescent="0.2">
      <c r="A58418" t="s">
        <v>18315</v>
      </c>
      <c r="B58418" t="str">
        <f>HYPERLINK("https://lindat.mff.cuni.cz/services/teitok/pdtc10/index.php?action=vallex&amp;frame=v-w8205f1", "vyplynout (v-w8205f1)")</f>
        <v>vyplynout (v-w8205f1)</v>
      </c>
    </row>
    <row r="58419" spans="1:4" x14ac:dyDescent="0.2">
      <c r="B58419" t="s">
        <v>488</v>
      </c>
      <c r="C58419" t="s">
        <v>18316</v>
      </c>
      <c r="D58419" t="s">
        <v>23789</v>
      </c>
    </row>
    <row r="58420" spans="1:4" x14ac:dyDescent="0.2">
      <c r="B58420" t="s">
        <v>168</v>
      </c>
      <c r="C58420" t="s">
        <v>18317</v>
      </c>
      <c r="D58420" t="s">
        <v>23790</v>
      </c>
    </row>
    <row r="58422" spans="1:4" x14ac:dyDescent="0.2">
      <c r="A58422" t="s">
        <v>18318</v>
      </c>
      <c r="B58422" t="str">
        <f>HYPERLINK("https://lindat.mff.cuni.cz/services/teitok/pdtc10/index.php?action=vallex&amp;frame=v-w11832_ZUf1_ZU", "vyplynovat (v-w11832_ZUf1_ZU)")</f>
        <v>vyplynovat (v-w11832_ZUf1_ZU)</v>
      </c>
    </row>
    <row r="58423" spans="1:4" x14ac:dyDescent="0.2">
      <c r="B58423" t="s">
        <v>1</v>
      </c>
    </row>
    <row r="58424" spans="1:4" x14ac:dyDescent="0.2">
      <c r="B58424" t="s">
        <v>8</v>
      </c>
    </row>
    <row r="58426" spans="1:4" x14ac:dyDescent="0.2">
      <c r="A58426" t="s">
        <v>18319</v>
      </c>
      <c r="B58426" t="str">
        <f>HYPERLINK("https://lindat.mff.cuni.cz/services/teitok/pdtc10/index.php?action=vallex&amp;frame=v-w8188f1", "vyplácet (v-w8188f1)")</f>
        <v>vyplácet (v-w8188f1)</v>
      </c>
    </row>
    <row r="58427" spans="1:4" x14ac:dyDescent="0.2">
      <c r="B58427" t="s">
        <v>1</v>
      </c>
      <c r="C58427" t="s">
        <v>18320</v>
      </c>
      <c r="D58427" t="s">
        <v>23781</v>
      </c>
    </row>
    <row r="58428" spans="1:4" x14ac:dyDescent="0.2">
      <c r="B58428" t="s">
        <v>8</v>
      </c>
      <c r="C58428" t="s">
        <v>18321</v>
      </c>
      <c r="D58428" t="s">
        <v>24398</v>
      </c>
    </row>
    <row r="58429" spans="1:4" x14ac:dyDescent="0.2">
      <c r="B58429" t="s">
        <v>35</v>
      </c>
      <c r="C58429" t="s">
        <v>3439</v>
      </c>
      <c r="D58429" t="s">
        <v>24399</v>
      </c>
    </row>
    <row r="58431" spans="1:4" x14ac:dyDescent="0.2">
      <c r="A58431" t="s">
        <v>18322</v>
      </c>
      <c r="B58431" t="str">
        <f>HYPERLINK("https://lindat.mff.cuni.cz/services/teitok/pdtc10/index.php?action=vallex&amp;frame=v-w8188f3_ZU", "vyplácet (v-w8188f3_ZU)")</f>
        <v>vyplácet (v-w8188f3_ZU)</v>
      </c>
    </row>
    <row r="58432" spans="1:4" x14ac:dyDescent="0.2">
      <c r="B58432" t="s">
        <v>1</v>
      </c>
      <c r="D58432" t="s">
        <v>33</v>
      </c>
    </row>
    <row r="58433" spans="1:4" x14ac:dyDescent="0.2">
      <c r="B58433" t="s">
        <v>8</v>
      </c>
      <c r="D58433" t="s">
        <v>3505</v>
      </c>
    </row>
    <row r="58435" spans="1:4" x14ac:dyDescent="0.2">
      <c r="A58435" t="s">
        <v>18323</v>
      </c>
      <c r="B58435" t="str">
        <f>HYPERLINK("https://lindat.mff.cuni.cz/services/teitok/pdtc10/index.php?action=vallex&amp;frame=v-w8188f2", "vyplácet (v-w8188f2)")</f>
        <v>vyplácet (v-w8188f2)</v>
      </c>
    </row>
    <row r="58436" spans="1:4" x14ac:dyDescent="0.2">
      <c r="B58436" t="s">
        <v>1</v>
      </c>
      <c r="C58436" t="s">
        <v>18324</v>
      </c>
      <c r="D58436" t="s">
        <v>23350</v>
      </c>
    </row>
    <row r="58437" spans="1:4" x14ac:dyDescent="0.2">
      <c r="B58437" t="s">
        <v>524</v>
      </c>
      <c r="C58437" t="s">
        <v>18325</v>
      </c>
      <c r="D58437" t="s">
        <v>23783</v>
      </c>
    </row>
    <row r="58438" spans="1:4" x14ac:dyDescent="0.2">
      <c r="B58438" t="s">
        <v>1382</v>
      </c>
      <c r="C58438" t="s">
        <v>6970</v>
      </c>
    </row>
    <row r="58439" spans="1:4" x14ac:dyDescent="0.2">
      <c r="B58439" t="s">
        <v>78</v>
      </c>
      <c r="C58439" t="s">
        <v>8546</v>
      </c>
      <c r="D58439" t="s">
        <v>23352</v>
      </c>
    </row>
    <row r="58441" spans="1:4" x14ac:dyDescent="0.2">
      <c r="A58441" t="s">
        <v>18326</v>
      </c>
      <c r="B58441" t="str">
        <f>HYPERLINK("https://lindat.mff.cuni.cz/services/teitok/pdtc10/index.php?action=vallex&amp;frame=v-w8188f4_ZU", "vyplácet (v-w8188f4_ZU)")</f>
        <v>vyplácet (v-w8188f4_ZU)</v>
      </c>
    </row>
    <row r="58442" spans="1:4" x14ac:dyDescent="0.2">
      <c r="B58442" t="s">
        <v>1</v>
      </c>
      <c r="D58442" t="s">
        <v>33</v>
      </c>
    </row>
    <row r="58443" spans="1:4" x14ac:dyDescent="0.2">
      <c r="B58443" t="s">
        <v>8</v>
      </c>
      <c r="D58443" t="s">
        <v>3505</v>
      </c>
    </row>
    <row r="58445" spans="1:4" x14ac:dyDescent="0.2">
      <c r="A58445" t="s">
        <v>18326</v>
      </c>
      <c r="B58445" t="str">
        <f>HYPERLINK("https://lindat.mff.cuni.cz/services/teitok/pdtc10/index.php?action=vallex&amp;frame=v-w8188hsa_240", "vyplácet (v-w8188hsa_240) - substituted with v-w8188f4_ZU")</f>
        <v>vyplácet (v-w8188hsa_240) - substituted with v-w8188f4_ZU</v>
      </c>
    </row>
    <row r="58446" spans="1:4" x14ac:dyDescent="0.2">
      <c r="B58446" t="s">
        <v>1</v>
      </c>
    </row>
    <row r="58447" spans="1:4" x14ac:dyDescent="0.2">
      <c r="B58447" t="s">
        <v>8</v>
      </c>
    </row>
    <row r="58449" spans="1:4" x14ac:dyDescent="0.2">
      <c r="A58449" t="s">
        <v>18327</v>
      </c>
      <c r="B58449" t="str">
        <f>HYPERLINK("https://lindat.mff.cuni.cz/services/teitok/pdtc10/index.php?action=vallex&amp;frame=v-w8188f6_ZU", "vyplácet (v-w8188f6_ZU)")</f>
        <v>vyplácet (v-w8188f6_ZU)</v>
      </c>
    </row>
    <row r="58450" spans="1:4" x14ac:dyDescent="0.2">
      <c r="B58450" t="s">
        <v>1</v>
      </c>
      <c r="C58450" t="s">
        <v>8543</v>
      </c>
      <c r="D58450" t="s">
        <v>23350</v>
      </c>
    </row>
    <row r="58451" spans="1:4" x14ac:dyDescent="0.2">
      <c r="B58451" t="s">
        <v>8</v>
      </c>
      <c r="C58451" t="s">
        <v>2065</v>
      </c>
      <c r="D58451" t="s">
        <v>23351</v>
      </c>
    </row>
    <row r="58452" spans="1:4" x14ac:dyDescent="0.2">
      <c r="B58452" t="s">
        <v>78</v>
      </c>
      <c r="C58452" t="s">
        <v>8546</v>
      </c>
      <c r="D58452" t="s">
        <v>23352</v>
      </c>
    </row>
    <row r="58453" spans="1:4" x14ac:dyDescent="0.2">
      <c r="B58453" t="s">
        <v>413</v>
      </c>
      <c r="C58453" t="s">
        <v>18328</v>
      </c>
    </row>
    <row r="58455" spans="1:4" x14ac:dyDescent="0.2">
      <c r="A58455" t="s">
        <v>18327</v>
      </c>
      <c r="B58455" t="str">
        <f>HYPERLINK("https://lindat.mff.cuni.cz/services/teitok/pdtc10/index.php?action=vallex&amp;frame=v-w8188f5_ZU", "vyplácet (v-w8188f5_ZU) - substituted with v-w8188f6_ZU")</f>
        <v>vyplácet (v-w8188f5_ZU) - substituted with v-w8188f6_ZU</v>
      </c>
    </row>
    <row r="58456" spans="1:4" x14ac:dyDescent="0.2">
      <c r="B58456" t="s">
        <v>1</v>
      </c>
    </row>
    <row r="58457" spans="1:4" x14ac:dyDescent="0.2">
      <c r="B58457" t="s">
        <v>8</v>
      </c>
    </row>
    <row r="58458" spans="1:4" x14ac:dyDescent="0.2">
      <c r="B58458" t="s">
        <v>78</v>
      </c>
    </row>
    <row r="58459" spans="1:4" x14ac:dyDescent="0.2">
      <c r="B58459" t="s">
        <v>413</v>
      </c>
    </row>
    <row r="58461" spans="1:4" x14ac:dyDescent="0.2">
      <c r="A58461" t="s">
        <v>18329</v>
      </c>
      <c r="B58461" t="str">
        <f>HYPERLINK("https://lindat.mff.cuni.cz/services/teitok/pdtc10/index.php?action=vallex&amp;frame=v-w8189f1", "vyplácet se (v-w8189f1)")</f>
        <v>vyplácet se (v-w8189f1)</v>
      </c>
    </row>
    <row r="58462" spans="1:4" x14ac:dyDescent="0.2">
      <c r="B58462" t="s">
        <v>479</v>
      </c>
      <c r="C58462" t="s">
        <v>2444</v>
      </c>
      <c r="D58462" t="s">
        <v>6317</v>
      </c>
    </row>
    <row r="58463" spans="1:4" x14ac:dyDescent="0.2">
      <c r="B58463" t="s">
        <v>103</v>
      </c>
    </row>
    <row r="58465" spans="1:4" x14ac:dyDescent="0.2">
      <c r="A58465" t="s">
        <v>18330</v>
      </c>
      <c r="B58465" t="str">
        <f>HYPERLINK("https://lindat.mff.cuni.cz/services/teitok/pdtc10/index.php?action=vallex&amp;frame=v-whsa_99hsa_100", "vypláchnout (v-whsa_99hsa_100)")</f>
        <v>vypláchnout (v-whsa_99hsa_100)</v>
      </c>
    </row>
    <row r="58466" spans="1:4" x14ac:dyDescent="0.2">
      <c r="B58466" t="s">
        <v>1</v>
      </c>
    </row>
    <row r="58467" spans="1:4" x14ac:dyDescent="0.2">
      <c r="B58467" t="s">
        <v>8</v>
      </c>
    </row>
    <row r="58469" spans="1:4" x14ac:dyDescent="0.2">
      <c r="A58469" t="s">
        <v>18331</v>
      </c>
      <c r="B58469" t="str">
        <f>HYPERLINK("https://lindat.mff.cuni.cz/services/teitok/pdtc10/index.php?action=vallex&amp;frame=v-w12254_ZUf1_ZU", "vyplétat (v-w12254_ZUf1_ZU)")</f>
        <v>vyplétat (v-w12254_ZUf1_ZU)</v>
      </c>
    </row>
    <row r="58470" spans="1:4" x14ac:dyDescent="0.2">
      <c r="B58470" t="s">
        <v>1</v>
      </c>
    </row>
    <row r="58471" spans="1:4" x14ac:dyDescent="0.2">
      <c r="B58471" t="s">
        <v>8</v>
      </c>
    </row>
    <row r="58473" spans="1:4" x14ac:dyDescent="0.2">
      <c r="A58473" t="s">
        <v>18332</v>
      </c>
      <c r="B58473" t="str">
        <f>HYPERLINK("https://lindat.mff.cuni.cz/services/teitok/pdtc10/index.php?action=vallex&amp;frame=v-w11029f2", "vyplísnit (v-w11029f2)")</f>
        <v>vyplísnit (v-w11029f2)</v>
      </c>
    </row>
    <row r="58474" spans="1:4" x14ac:dyDescent="0.2">
      <c r="B58474" t="s">
        <v>1</v>
      </c>
    </row>
    <row r="58475" spans="1:4" x14ac:dyDescent="0.2">
      <c r="B58475" t="s">
        <v>8</v>
      </c>
    </row>
    <row r="58477" spans="1:4" x14ac:dyDescent="0.2">
      <c r="A58477" t="s">
        <v>18333</v>
      </c>
      <c r="B58477" t="str">
        <f>HYPERLINK("https://lindat.mff.cuni.cz/services/teitok/pdtc10/index.php?action=vallex&amp;frame=v-whsa_792f1_ZU", "vyplýtvat (v-whsa_792f1_ZU)")</f>
        <v>vyplýtvat (v-whsa_792f1_ZU)</v>
      </c>
    </row>
    <row r="58478" spans="1:4" x14ac:dyDescent="0.2">
      <c r="B58478" t="s">
        <v>1</v>
      </c>
      <c r="C58478" t="s">
        <v>83</v>
      </c>
      <c r="D58478" t="s">
        <v>1065</v>
      </c>
    </row>
    <row r="58479" spans="1:4" x14ac:dyDescent="0.2">
      <c r="B58479" t="s">
        <v>8</v>
      </c>
      <c r="C58479" t="s">
        <v>54</v>
      </c>
      <c r="D58479" t="s">
        <v>116</v>
      </c>
    </row>
    <row r="58480" spans="1:4" x14ac:dyDescent="0.2">
      <c r="B58480" t="s">
        <v>10637</v>
      </c>
    </row>
    <row r="58482" spans="1:4" x14ac:dyDescent="0.2">
      <c r="A58482" t="s">
        <v>18333</v>
      </c>
      <c r="B58482" t="str">
        <f>HYPERLINK("https://lindat.mff.cuni.cz/services/teitok/pdtc10/index.php?action=vallex&amp;frame=v-whsa_792hsa_793", "vyplýtvat (v-whsa_792hsa_793) - substituted with v-whsa_792f1_ZU")</f>
        <v>vyplýtvat (v-whsa_792hsa_793) - substituted with v-whsa_792f1_ZU</v>
      </c>
    </row>
    <row r="58483" spans="1:4" x14ac:dyDescent="0.2">
      <c r="B58483" t="s">
        <v>1</v>
      </c>
    </row>
    <row r="58484" spans="1:4" x14ac:dyDescent="0.2">
      <c r="B58484" t="s">
        <v>8</v>
      </c>
    </row>
    <row r="58485" spans="1:4" x14ac:dyDescent="0.2">
      <c r="B58485" t="s">
        <v>10637</v>
      </c>
    </row>
    <row r="58487" spans="1:4" x14ac:dyDescent="0.2">
      <c r="A58487" t="s">
        <v>18334</v>
      </c>
      <c r="B58487" t="str">
        <f>HYPERLINK("https://lindat.mff.cuni.cz/services/teitok/pdtc10/index.php?action=vallex&amp;frame=v-w8207f1", "vyplývat (v-w8207f1)")</f>
        <v>vyplývat (v-w8207f1)</v>
      </c>
    </row>
    <row r="58488" spans="1:4" x14ac:dyDescent="0.2">
      <c r="B58488" t="s">
        <v>607</v>
      </c>
      <c r="C58488" t="s">
        <v>18335</v>
      </c>
      <c r="D58488" t="s">
        <v>23789</v>
      </c>
    </row>
    <row r="58489" spans="1:4" x14ac:dyDescent="0.2">
      <c r="B58489" t="s">
        <v>168</v>
      </c>
      <c r="C58489" t="s">
        <v>18336</v>
      </c>
      <c r="D58489" t="s">
        <v>23790</v>
      </c>
    </row>
    <row r="58491" spans="1:4" x14ac:dyDescent="0.2">
      <c r="A58491" t="s">
        <v>18337</v>
      </c>
      <c r="B58491" t="str">
        <f>HYPERLINK("https://lindat.mff.cuni.cz/services/teitok/pdtc10/index.php?action=vallex&amp;frame=v-w8200f1", "vyplňovat (v-w8200f1)")</f>
        <v>vyplňovat (v-w8200f1)</v>
      </c>
    </row>
    <row r="58492" spans="1:4" x14ac:dyDescent="0.2">
      <c r="B58492" t="s">
        <v>1</v>
      </c>
      <c r="C58492" t="s">
        <v>2717</v>
      </c>
    </row>
    <row r="58493" spans="1:4" x14ac:dyDescent="0.2">
      <c r="B58493" t="s">
        <v>8</v>
      </c>
      <c r="C58493" t="s">
        <v>18338</v>
      </c>
      <c r="D58493" t="s">
        <v>991</v>
      </c>
    </row>
    <row r="58495" spans="1:4" x14ac:dyDescent="0.2">
      <c r="A58495" t="s">
        <v>18339</v>
      </c>
      <c r="B58495" t="str">
        <f>HYPERLINK("https://lindat.mff.cuni.cz/services/teitok/pdtc10/index.php?action=vallex&amp;frame=v-w8200f2_ZU", "vyplňovat (v-w8200f2_ZU)")</f>
        <v>vyplňovat (v-w8200f2_ZU)</v>
      </c>
    </row>
    <row r="58496" spans="1:4" x14ac:dyDescent="0.2">
      <c r="B58496" t="s">
        <v>1</v>
      </c>
      <c r="D58496" t="s">
        <v>7907</v>
      </c>
    </row>
    <row r="58497" spans="1:4" x14ac:dyDescent="0.2">
      <c r="B58497" t="s">
        <v>8</v>
      </c>
      <c r="D58497" t="s">
        <v>23547</v>
      </c>
    </row>
    <row r="58498" spans="1:4" x14ac:dyDescent="0.2">
      <c r="B58498" t="s">
        <v>5479</v>
      </c>
      <c r="D58498" t="s">
        <v>23548</v>
      </c>
    </row>
    <row r="58500" spans="1:4" x14ac:dyDescent="0.2">
      <c r="A58500" t="s">
        <v>18339</v>
      </c>
      <c r="B58500" t="str">
        <f>HYPERLINK("https://lindat.mff.cuni.cz/services/teitok/pdtc10/index.php?action=vallex&amp;frame=v-w8200hsa_495", "vyplňovat (v-w8200hsa_495) - substituted with v-w8200f2_ZU")</f>
        <v>vyplňovat (v-w8200hsa_495) - substituted with v-w8200f2_ZU</v>
      </c>
    </row>
    <row r="58501" spans="1:4" x14ac:dyDescent="0.2">
      <c r="B58501" t="s">
        <v>1</v>
      </c>
    </row>
    <row r="58502" spans="1:4" x14ac:dyDescent="0.2">
      <c r="B58502" t="s">
        <v>8</v>
      </c>
    </row>
    <row r="58503" spans="1:4" x14ac:dyDescent="0.2">
      <c r="B58503" t="s">
        <v>5479</v>
      </c>
    </row>
    <row r="58505" spans="1:4" x14ac:dyDescent="0.2">
      <c r="A58505" t="s">
        <v>18340</v>
      </c>
      <c r="B58505" t="str">
        <f>HYPERLINK("https://lindat.mff.cuni.cz/services/teitok/pdtc10/index.php?action=vallex&amp;frame=v-w8208f1", "vypnout (v-w8208f1)")</f>
        <v>vypnout (v-w8208f1)</v>
      </c>
    </row>
    <row r="58506" spans="1:4" x14ac:dyDescent="0.2">
      <c r="B58506" t="s">
        <v>1</v>
      </c>
      <c r="C58506" t="s">
        <v>83</v>
      </c>
      <c r="D58506" t="s">
        <v>373</v>
      </c>
    </row>
    <row r="58507" spans="1:4" x14ac:dyDescent="0.2">
      <c r="B58507" t="s">
        <v>8</v>
      </c>
      <c r="C58507" t="s">
        <v>54</v>
      </c>
      <c r="D58507" t="s">
        <v>2240</v>
      </c>
    </row>
    <row r="58509" spans="1:4" x14ac:dyDescent="0.2">
      <c r="A58509" t="s">
        <v>18341</v>
      </c>
      <c r="B58509" t="str">
        <f>HYPERLINK("https://lindat.mff.cuni.cz/services/teitok/pdtc10/index.php?action=vallex&amp;frame=v-w8208f2_MM", "vypnout (v-w8208f2_MM)")</f>
        <v>vypnout (v-w8208f2_MM)</v>
      </c>
    </row>
    <row r="58510" spans="1:4" x14ac:dyDescent="0.2">
      <c r="B58510" t="s">
        <v>1</v>
      </c>
    </row>
    <row r="58512" spans="1:4" x14ac:dyDescent="0.2">
      <c r="A58512" t="s">
        <v>18342</v>
      </c>
      <c r="B58512" t="str">
        <f>HYPERLINK("https://lindat.mff.cuni.cz/services/teitok/pdtc10/index.php?action=vallex&amp;frame=v-w8209f1", "vypnout se (v-w8209f1)")</f>
        <v>vypnout se (v-w8209f1)</v>
      </c>
    </row>
    <row r="58513" spans="1:2" x14ac:dyDescent="0.2">
      <c r="B58513" t="s">
        <v>1</v>
      </c>
    </row>
    <row r="58514" spans="1:2" x14ac:dyDescent="0.2">
      <c r="B58514" t="s">
        <v>176</v>
      </c>
    </row>
    <row r="58516" spans="1:2" x14ac:dyDescent="0.2">
      <c r="A58516" t="s">
        <v>18343</v>
      </c>
      <c r="B58516" t="str">
        <f>HYPERLINK("https://lindat.mff.cuni.cz/services/teitok/pdtc10/index.php?action=vallex&amp;frame=v-w11889_ZUf2_ZU", "vypochodovat (v-w11889_ZUf2_ZU)")</f>
        <v>vypochodovat (v-w11889_ZUf2_ZU)</v>
      </c>
    </row>
    <row r="58517" spans="1:2" x14ac:dyDescent="0.2">
      <c r="B58517" t="s">
        <v>1</v>
      </c>
    </row>
    <row r="58518" spans="1:2" x14ac:dyDescent="0.2">
      <c r="B58518" t="s">
        <v>4622</v>
      </c>
    </row>
    <row r="58520" spans="1:2" x14ac:dyDescent="0.2">
      <c r="A58520" t="s">
        <v>18343</v>
      </c>
      <c r="B58520" t="str">
        <f>HYPERLINK("https://lindat.mff.cuni.cz/services/teitok/pdtc10/index.php?action=vallex&amp;frame=v-w11889_ZUf1_ZU", "vypochodovat (v-w11889_ZUf1_ZU) - substituted with v-w11889_ZUf2_ZU")</f>
        <v>vypochodovat (v-w11889_ZUf1_ZU) - substituted with v-w11889_ZUf2_ZU</v>
      </c>
    </row>
    <row r="58521" spans="1:2" x14ac:dyDescent="0.2">
      <c r="B58521" t="s">
        <v>1</v>
      </c>
    </row>
    <row r="58522" spans="1:2" x14ac:dyDescent="0.2">
      <c r="B58522" t="s">
        <v>4622</v>
      </c>
    </row>
    <row r="58524" spans="1:2" x14ac:dyDescent="0.2">
      <c r="A58524" t="s">
        <v>18344</v>
      </c>
      <c r="B58524" t="str">
        <f>HYPERLINK("https://lindat.mff.cuni.cz/services/teitok/pdtc10/index.php?action=vallex&amp;frame=v-w10201f2", "vypodobňovat (v-w10201f2)")</f>
        <v>vypodobňovat (v-w10201f2)</v>
      </c>
    </row>
    <row r="58525" spans="1:2" x14ac:dyDescent="0.2">
      <c r="B58525" t="s">
        <v>1</v>
      </c>
    </row>
    <row r="58526" spans="1:2" x14ac:dyDescent="0.2">
      <c r="B58526" t="s">
        <v>124</v>
      </c>
    </row>
    <row r="58527" spans="1:2" x14ac:dyDescent="0.2">
      <c r="B58527" t="s">
        <v>78</v>
      </c>
    </row>
    <row r="58529" spans="1:4" x14ac:dyDescent="0.2">
      <c r="A58529" t="s">
        <v>18345</v>
      </c>
      <c r="B58529" t="str">
        <f>HYPERLINK("https://lindat.mff.cuni.cz/services/teitok/pdtc10/index.php?action=vallex&amp;frame=v-w8216f1", "vypomoci (v-w8216f1)")</f>
        <v>vypomoci (v-w8216f1)</v>
      </c>
    </row>
    <row r="58530" spans="1:4" x14ac:dyDescent="0.2">
      <c r="B58530" t="s">
        <v>1</v>
      </c>
      <c r="C58530" t="s">
        <v>5928</v>
      </c>
      <c r="D58530" t="s">
        <v>23554</v>
      </c>
    </row>
    <row r="58531" spans="1:4" x14ac:dyDescent="0.2">
      <c r="B58531" t="s">
        <v>35</v>
      </c>
      <c r="C58531" t="s">
        <v>5929</v>
      </c>
      <c r="D58531" t="s">
        <v>23555</v>
      </c>
    </row>
    <row r="58532" spans="1:4" x14ac:dyDescent="0.2">
      <c r="B58532" t="s">
        <v>18346</v>
      </c>
      <c r="C58532" t="s">
        <v>5931</v>
      </c>
      <c r="D58532" t="s">
        <v>23556</v>
      </c>
    </row>
    <row r="58534" spans="1:4" x14ac:dyDescent="0.2">
      <c r="A58534" t="s">
        <v>18347</v>
      </c>
      <c r="B58534" t="str">
        <f>HYPERLINK("https://lindat.mff.cuni.cz/services/teitok/pdtc10/index.php?action=vallex&amp;frame=v-w8214f1", "vypomáhat (v-w8214f1)")</f>
        <v>vypomáhat (v-w8214f1)</v>
      </c>
    </row>
    <row r="58535" spans="1:4" x14ac:dyDescent="0.2">
      <c r="B58535" t="s">
        <v>1</v>
      </c>
      <c r="D58535" t="s">
        <v>23554</v>
      </c>
    </row>
    <row r="58536" spans="1:4" x14ac:dyDescent="0.2">
      <c r="B58536" t="s">
        <v>35</v>
      </c>
      <c r="D58536" t="s">
        <v>23555</v>
      </c>
    </row>
    <row r="58537" spans="1:4" x14ac:dyDescent="0.2">
      <c r="B58537" t="s">
        <v>18346</v>
      </c>
      <c r="D58537" t="s">
        <v>23556</v>
      </c>
    </row>
    <row r="58539" spans="1:4" x14ac:dyDescent="0.2">
      <c r="A58539" t="s">
        <v>18348</v>
      </c>
      <c r="B58539" t="str">
        <f>HYPERLINK("https://lindat.mff.cuni.cz/services/teitok/pdtc10/index.php?action=vallex&amp;frame=v-whsa_1203hsa_1204", "vyporážet (v-whsa_1203hsa_1204)")</f>
        <v>vyporážet (v-whsa_1203hsa_1204)</v>
      </c>
    </row>
    <row r="58540" spans="1:4" x14ac:dyDescent="0.2">
      <c r="B58540" t="s">
        <v>1</v>
      </c>
    </row>
    <row r="58541" spans="1:4" x14ac:dyDescent="0.2">
      <c r="B58541" t="s">
        <v>8</v>
      </c>
    </row>
    <row r="58543" spans="1:4" x14ac:dyDescent="0.2">
      <c r="A58543" t="s">
        <v>18349</v>
      </c>
      <c r="B58543" t="str">
        <f>HYPERLINK("https://lindat.mff.cuni.cz/services/teitok/pdtc10/index.php?action=vallex&amp;frame=v-w12039_ZUf1_ZU", "vyposlechnout (v-w12039_ZUf1_ZU)")</f>
        <v>vyposlechnout (v-w12039_ZUf1_ZU)</v>
      </c>
    </row>
    <row r="58544" spans="1:4" x14ac:dyDescent="0.2">
      <c r="B58544" t="s">
        <v>1</v>
      </c>
    </row>
    <row r="58545" spans="1:2" x14ac:dyDescent="0.2">
      <c r="B58545" t="s">
        <v>8</v>
      </c>
    </row>
    <row r="58547" spans="1:2" x14ac:dyDescent="0.2">
      <c r="A58547" t="s">
        <v>18350</v>
      </c>
      <c r="B58547" t="str">
        <f>HYPERLINK("https://lindat.mff.cuni.cz/services/teitok/pdtc10/index.php?action=vallex&amp;frame=v-w12003_ZUf1_ZU", "vypotit (v-w12003_ZUf1_ZU)")</f>
        <v>vypotit (v-w12003_ZUf1_ZU)</v>
      </c>
    </row>
    <row r="58548" spans="1:2" x14ac:dyDescent="0.2">
      <c r="B58548" t="s">
        <v>1</v>
      </c>
    </row>
    <row r="58549" spans="1:2" x14ac:dyDescent="0.2">
      <c r="B58549" t="s">
        <v>8</v>
      </c>
    </row>
    <row r="58551" spans="1:2" x14ac:dyDescent="0.2">
      <c r="A58551" t="s">
        <v>18351</v>
      </c>
      <c r="B58551" t="str">
        <f>HYPERLINK("https://lindat.mff.cuni.cz/services/teitok/pdtc10/index.php?action=vallex&amp;frame=v-w12003_ZUf2_ZU", "vypotit (v-w12003_ZUf2_ZU)")</f>
        <v>vypotit (v-w12003_ZUf2_ZU)</v>
      </c>
    </row>
    <row r="58552" spans="1:2" x14ac:dyDescent="0.2">
      <c r="B58552" t="s">
        <v>1</v>
      </c>
    </row>
    <row r="58553" spans="1:2" x14ac:dyDescent="0.2">
      <c r="B58553" t="s">
        <v>8</v>
      </c>
    </row>
    <row r="58555" spans="1:2" x14ac:dyDescent="0.2">
      <c r="A58555" t="s">
        <v>18352</v>
      </c>
      <c r="B58555" t="str">
        <f>HYPERLINK("https://lindat.mff.cuni.cz/services/teitok/pdtc10/index.php?action=vallex&amp;frame=v-w8225f1", "vypouštět (v-w8225f1)")</f>
        <v>vypouštět (v-w8225f1)</v>
      </c>
    </row>
    <row r="58556" spans="1:2" x14ac:dyDescent="0.2">
      <c r="B58556" t="s">
        <v>1</v>
      </c>
    </row>
    <row r="58557" spans="1:2" x14ac:dyDescent="0.2">
      <c r="B58557" t="s">
        <v>8</v>
      </c>
    </row>
    <row r="58558" spans="1:2" x14ac:dyDescent="0.2">
      <c r="B58558" t="s">
        <v>333</v>
      </c>
    </row>
    <row r="58560" spans="1:2" x14ac:dyDescent="0.2">
      <c r="A58560" t="s">
        <v>18353</v>
      </c>
      <c r="B58560" t="str">
        <f>HYPERLINK("https://lindat.mff.cuni.cz/services/teitok/pdtc10/index.php?action=vallex&amp;frame=v-w8225f2", "vypouštět (v-w8225f2)")</f>
        <v>vypouštět (v-w8225f2)</v>
      </c>
    </row>
    <row r="58561" spans="1:4" x14ac:dyDescent="0.2">
      <c r="B58561" t="s">
        <v>1</v>
      </c>
      <c r="C58561" t="s">
        <v>1680</v>
      </c>
    </row>
    <row r="58562" spans="1:4" x14ac:dyDescent="0.2">
      <c r="B58562" t="s">
        <v>8</v>
      </c>
      <c r="C58562" t="s">
        <v>3305</v>
      </c>
    </row>
    <row r="58564" spans="1:4" x14ac:dyDescent="0.2">
      <c r="A58564" t="s">
        <v>18354</v>
      </c>
      <c r="B58564" t="str">
        <f>HYPERLINK("https://lindat.mff.cuni.cz/services/teitok/pdtc10/index.php?action=vallex&amp;frame=v-w8232f6", "vypovídat (v-w8232f6)")</f>
        <v>vypovídat (v-w8232f6)</v>
      </c>
    </row>
    <row r="58565" spans="1:4" x14ac:dyDescent="0.2">
      <c r="B58565" t="s">
        <v>1</v>
      </c>
    </row>
    <row r="58566" spans="1:4" x14ac:dyDescent="0.2">
      <c r="B58566" t="s">
        <v>8</v>
      </c>
    </row>
    <row r="58567" spans="1:4" x14ac:dyDescent="0.2">
      <c r="B58567" t="s">
        <v>35</v>
      </c>
    </row>
    <row r="58569" spans="1:4" x14ac:dyDescent="0.2">
      <c r="A58569" t="s">
        <v>18355</v>
      </c>
      <c r="B58569" t="str">
        <f>HYPERLINK("https://lindat.mff.cuni.cz/services/teitok/pdtc10/index.php?action=vallex&amp;frame=v-w8232f3", "vypovídat (v-w8232f3)")</f>
        <v>vypovídat (v-w8232f3)</v>
      </c>
    </row>
    <row r="58570" spans="1:4" x14ac:dyDescent="0.2">
      <c r="B58570" t="s">
        <v>1</v>
      </c>
      <c r="C58570" t="s">
        <v>33</v>
      </c>
      <c r="D58570" t="s">
        <v>23558</v>
      </c>
    </row>
    <row r="58571" spans="1:4" x14ac:dyDescent="0.2">
      <c r="B58571" t="s">
        <v>955</v>
      </c>
      <c r="C58571" t="s">
        <v>84</v>
      </c>
      <c r="D58571" t="s">
        <v>23559</v>
      </c>
    </row>
    <row r="58572" spans="1:4" x14ac:dyDescent="0.2">
      <c r="B58572" t="s">
        <v>78</v>
      </c>
      <c r="D58572" t="s">
        <v>6378</v>
      </c>
    </row>
    <row r="58574" spans="1:4" x14ac:dyDescent="0.2">
      <c r="A58574" t="s">
        <v>18356</v>
      </c>
      <c r="B58574" t="str">
        <f>HYPERLINK("https://lindat.mff.cuni.cz/services/teitok/pdtc10/index.php?action=vallex&amp;frame=v-w8232f7", "vypovídat (v-w8232f7)")</f>
        <v>vypovídat (v-w8232f7)</v>
      </c>
    </row>
    <row r="58575" spans="1:4" x14ac:dyDescent="0.2">
      <c r="B58575" t="s">
        <v>1</v>
      </c>
      <c r="D58575" t="s">
        <v>6131</v>
      </c>
    </row>
    <row r="58576" spans="1:4" x14ac:dyDescent="0.2">
      <c r="B58576" t="s">
        <v>8</v>
      </c>
      <c r="D58576" t="s">
        <v>18247</v>
      </c>
    </row>
    <row r="58577" spans="1:4" x14ac:dyDescent="0.2">
      <c r="B58577" t="s">
        <v>333</v>
      </c>
      <c r="D58577" t="s">
        <v>23090</v>
      </c>
    </row>
    <row r="58579" spans="1:4" x14ac:dyDescent="0.2">
      <c r="A58579" t="s">
        <v>18357</v>
      </c>
      <c r="B58579" t="str">
        <f>HYPERLINK("https://lindat.mff.cuni.cz/services/teitok/pdtc10/index.php?action=vallex&amp;frame=v-w8232f1", "vypovídat (v-w8232f1)")</f>
        <v>vypovídat (v-w8232f1)</v>
      </c>
    </row>
    <row r="58580" spans="1:4" x14ac:dyDescent="0.2">
      <c r="B58580" t="s">
        <v>1</v>
      </c>
      <c r="D58580" t="s">
        <v>23598</v>
      </c>
    </row>
    <row r="58581" spans="1:4" x14ac:dyDescent="0.2">
      <c r="B58581" t="s">
        <v>8</v>
      </c>
      <c r="D58581" t="s">
        <v>23599</v>
      </c>
    </row>
    <row r="58583" spans="1:4" x14ac:dyDescent="0.2">
      <c r="A58583" t="s">
        <v>18358</v>
      </c>
      <c r="B58583" t="str">
        <f>HYPERLINK("https://lindat.mff.cuni.cz/services/teitok/pdtc10/index.php?action=vallex&amp;frame=v-w8232f8", "vypovídat (v-w8232f8)")</f>
        <v>vypovídat (v-w8232f8)</v>
      </c>
    </row>
    <row r="58584" spans="1:4" x14ac:dyDescent="0.2">
      <c r="B58584" t="s">
        <v>1</v>
      </c>
    </row>
    <row r="58585" spans="1:4" x14ac:dyDescent="0.2">
      <c r="B58585" t="s">
        <v>8</v>
      </c>
    </row>
    <row r="58587" spans="1:4" x14ac:dyDescent="0.2">
      <c r="A58587" t="s">
        <v>18359</v>
      </c>
      <c r="B58587" t="str">
        <f>HYPERLINK("https://lindat.mff.cuni.cz/services/teitok/pdtc10/index.php?action=vallex&amp;frame=v-w8232f5", "vypovídat (v-w8232f5)")</f>
        <v>vypovídat (v-w8232f5)</v>
      </c>
    </row>
    <row r="58588" spans="1:4" x14ac:dyDescent="0.2">
      <c r="B58588" t="s">
        <v>1</v>
      </c>
    </row>
    <row r="58589" spans="1:4" x14ac:dyDescent="0.2">
      <c r="B58589" t="s">
        <v>35</v>
      </c>
    </row>
    <row r="58590" spans="1:4" x14ac:dyDescent="0.2">
      <c r="B58590" t="s">
        <v>4742</v>
      </c>
    </row>
    <row r="58591" spans="1:4" x14ac:dyDescent="0.2">
      <c r="B58591" t="s">
        <v>269</v>
      </c>
    </row>
    <row r="58593" spans="1:4" x14ac:dyDescent="0.2">
      <c r="A58593" t="s">
        <v>18360</v>
      </c>
      <c r="B58593" t="str">
        <f>HYPERLINK("https://lindat.mff.cuni.cz/services/teitok/pdtc10/index.php?action=vallex&amp;frame=v-w8232f2", "vypovídat (v-w8232f2)")</f>
        <v>vypovídat (v-w8232f2)</v>
      </c>
    </row>
    <row r="58594" spans="1:4" x14ac:dyDescent="0.2">
      <c r="B58594" t="s">
        <v>1</v>
      </c>
      <c r="C58594" t="s">
        <v>2530</v>
      </c>
    </row>
    <row r="58595" spans="1:4" x14ac:dyDescent="0.2">
      <c r="B58595" t="s">
        <v>18361</v>
      </c>
    </row>
    <row r="58596" spans="1:4" x14ac:dyDescent="0.2">
      <c r="B58596" t="s">
        <v>269</v>
      </c>
      <c r="C58596" t="s">
        <v>1643</v>
      </c>
    </row>
    <row r="58597" spans="1:4" x14ac:dyDescent="0.2">
      <c r="B58597" t="s">
        <v>78</v>
      </c>
      <c r="C58597" t="s">
        <v>2546</v>
      </c>
    </row>
    <row r="58599" spans="1:4" x14ac:dyDescent="0.2">
      <c r="A58599" t="s">
        <v>18362</v>
      </c>
      <c r="B58599" t="str">
        <f>HYPERLINK("https://lindat.mff.cuni.cz/services/teitok/pdtc10/index.php?action=vallex&amp;frame=v-w8232f4", "vypovídat (v-w8232f4)")</f>
        <v>vypovídat (v-w8232f4)</v>
      </c>
    </row>
    <row r="58600" spans="1:4" x14ac:dyDescent="0.2">
      <c r="B58600" t="s">
        <v>1</v>
      </c>
      <c r="C58600" t="s">
        <v>109</v>
      </c>
      <c r="D58600" t="s">
        <v>109</v>
      </c>
    </row>
    <row r="58601" spans="1:4" x14ac:dyDescent="0.2">
      <c r="B58601" t="s">
        <v>4749</v>
      </c>
      <c r="D58601" t="s">
        <v>21383</v>
      </c>
    </row>
    <row r="58602" spans="1:4" x14ac:dyDescent="0.2">
      <c r="B58602" t="s">
        <v>269</v>
      </c>
      <c r="C58602" t="s">
        <v>1340</v>
      </c>
      <c r="D58602" t="s">
        <v>23348</v>
      </c>
    </row>
    <row r="58604" spans="1:4" x14ac:dyDescent="0.2">
      <c r="A58604" t="s">
        <v>18363</v>
      </c>
      <c r="B58604" t="str">
        <f>HYPERLINK("https://lindat.mff.cuni.cz/services/teitok/pdtc10/index.php?action=vallex&amp;frame=v-w8233f1", "vypovídat se (v-w8233f1)")</f>
        <v>vypovídat se (v-w8233f1)</v>
      </c>
    </row>
    <row r="58605" spans="1:4" x14ac:dyDescent="0.2">
      <c r="B58605" t="s">
        <v>1</v>
      </c>
    </row>
    <row r="58606" spans="1:4" x14ac:dyDescent="0.2">
      <c r="B58606" t="s">
        <v>168</v>
      </c>
    </row>
    <row r="58608" spans="1:4" x14ac:dyDescent="0.2">
      <c r="A58608" t="s">
        <v>18364</v>
      </c>
      <c r="B58608" t="str">
        <f>HYPERLINK("https://lindat.mff.cuni.cz/services/teitok/pdtc10/index.php?action=vallex&amp;frame=v-w8227f3", "vypovědět (v-w8227f3)")</f>
        <v>vypovědět (v-w8227f3)</v>
      </c>
    </row>
    <row r="58609" spans="1:4" x14ac:dyDescent="0.2">
      <c r="B58609" t="s">
        <v>1</v>
      </c>
      <c r="C58609" t="s">
        <v>140</v>
      </c>
    </row>
    <row r="58610" spans="1:4" x14ac:dyDescent="0.2">
      <c r="B58610" t="s">
        <v>8</v>
      </c>
      <c r="C58610" t="s">
        <v>84</v>
      </c>
    </row>
    <row r="58611" spans="1:4" x14ac:dyDescent="0.2">
      <c r="B58611" t="s">
        <v>333</v>
      </c>
    </row>
    <row r="58613" spans="1:4" x14ac:dyDescent="0.2">
      <c r="A58613" t="s">
        <v>18365</v>
      </c>
      <c r="B58613" t="str">
        <f>HYPERLINK("https://lindat.mff.cuni.cz/services/teitok/pdtc10/index.php?action=vallex&amp;frame=v-w8227f1", "vypovědět (v-w8227f1)")</f>
        <v>vypovědět (v-w8227f1)</v>
      </c>
    </row>
    <row r="58614" spans="1:4" x14ac:dyDescent="0.2">
      <c r="B58614" t="s">
        <v>1</v>
      </c>
      <c r="C58614" t="s">
        <v>990</v>
      </c>
      <c r="D58614" t="s">
        <v>23598</v>
      </c>
    </row>
    <row r="58615" spans="1:4" x14ac:dyDescent="0.2">
      <c r="B58615" t="s">
        <v>8</v>
      </c>
      <c r="C58615" t="s">
        <v>1066</v>
      </c>
      <c r="D58615" t="s">
        <v>23599</v>
      </c>
    </row>
    <row r="58617" spans="1:4" x14ac:dyDescent="0.2">
      <c r="A58617" t="s">
        <v>18366</v>
      </c>
      <c r="B58617" t="str">
        <f>HYPERLINK("https://lindat.mff.cuni.cz/services/teitok/pdtc10/index.php?action=vallex&amp;frame=v-w8227f2", "vypovědět (v-w8227f2)")</f>
        <v>vypovědět (v-w8227f2)</v>
      </c>
    </row>
    <row r="58618" spans="1:4" x14ac:dyDescent="0.2">
      <c r="B58618" t="s">
        <v>1</v>
      </c>
    </row>
    <row r="58619" spans="1:4" x14ac:dyDescent="0.2">
      <c r="B58619" t="s">
        <v>35</v>
      </c>
    </row>
    <row r="58620" spans="1:4" x14ac:dyDescent="0.2">
      <c r="B58620" t="s">
        <v>4742</v>
      </c>
    </row>
    <row r="58621" spans="1:4" x14ac:dyDescent="0.2">
      <c r="B58621" t="s">
        <v>269</v>
      </c>
    </row>
    <row r="58623" spans="1:4" x14ac:dyDescent="0.2">
      <c r="A58623" t="s">
        <v>18367</v>
      </c>
      <c r="B58623" t="str">
        <f>HYPERLINK("https://lindat.mff.cuni.cz/services/teitok/pdtc10/index.php?action=vallex&amp;frame=v-w8227f4", "vypovědět (v-w8227f4)")</f>
        <v>vypovědět (v-w8227f4)</v>
      </c>
    </row>
    <row r="58624" spans="1:4" x14ac:dyDescent="0.2">
      <c r="B58624" t="s">
        <v>1</v>
      </c>
      <c r="C58624" t="s">
        <v>9741</v>
      </c>
      <c r="D58624" t="s">
        <v>109</v>
      </c>
    </row>
    <row r="58625" spans="1:4" x14ac:dyDescent="0.2">
      <c r="B58625" t="s">
        <v>4749</v>
      </c>
      <c r="C58625" t="s">
        <v>18368</v>
      </c>
      <c r="D58625" t="s">
        <v>21383</v>
      </c>
    </row>
    <row r="58626" spans="1:4" x14ac:dyDescent="0.2">
      <c r="B58626" t="s">
        <v>269</v>
      </c>
      <c r="D58626" t="s">
        <v>23348</v>
      </c>
    </row>
    <row r="58628" spans="1:4" x14ac:dyDescent="0.2">
      <c r="A58628" t="s">
        <v>18369</v>
      </c>
      <c r="B58628" t="str">
        <f>HYPERLINK("https://lindat.mff.cuni.cz/services/teitok/pdtc10/index.php?action=vallex&amp;frame=v-w8227f5", "vypovědět (v-w8227f5)")</f>
        <v>vypovědět (v-w8227f5)</v>
      </c>
    </row>
    <row r="58629" spans="1:4" x14ac:dyDescent="0.2">
      <c r="B58629" t="s">
        <v>1</v>
      </c>
    </row>
    <row r="58631" spans="1:4" x14ac:dyDescent="0.2">
      <c r="A58631" t="s">
        <v>18370</v>
      </c>
      <c r="B58631" t="str">
        <f>HYPERLINK("https://lindat.mff.cuni.cz/services/teitok/pdtc10/index.php?action=vallex&amp;frame=v-w8227f6", "vypovědět (v-w8227f6)")</f>
        <v>vypovědět (v-w8227f6)</v>
      </c>
    </row>
    <row r="58632" spans="1:4" x14ac:dyDescent="0.2">
      <c r="B58632" t="s">
        <v>1</v>
      </c>
    </row>
    <row r="58633" spans="1:4" x14ac:dyDescent="0.2">
      <c r="B58633" t="s">
        <v>18371</v>
      </c>
    </row>
    <row r="58634" spans="1:4" x14ac:dyDescent="0.2">
      <c r="B58634" t="s">
        <v>35</v>
      </c>
    </row>
    <row r="58636" spans="1:4" x14ac:dyDescent="0.2">
      <c r="A58636" t="s">
        <v>18372</v>
      </c>
      <c r="B58636" t="str">
        <f>HYPERLINK("https://lindat.mff.cuni.cz/services/teitok/pdtc10/index.php?action=vallex&amp;frame=v-w8227f7_ZU", "vypovědět (v-w8227f7_ZU)")</f>
        <v>vypovědět (v-w8227f7_ZU)</v>
      </c>
    </row>
    <row r="58637" spans="1:4" x14ac:dyDescent="0.2">
      <c r="B58637" t="s">
        <v>1</v>
      </c>
    </row>
    <row r="58638" spans="1:4" x14ac:dyDescent="0.2">
      <c r="B58638" t="s">
        <v>18373</v>
      </c>
    </row>
    <row r="58639" spans="1:4" x14ac:dyDescent="0.2">
      <c r="B58639" t="s">
        <v>86</v>
      </c>
    </row>
    <row r="58641" spans="1:4" x14ac:dyDescent="0.2">
      <c r="A58641" t="s">
        <v>18374</v>
      </c>
      <c r="B58641" t="str">
        <f>HYPERLINK("https://lindat.mff.cuni.cz/services/teitok/pdtc10/index.php?action=vallex&amp;frame=v-w11997_ZUf2_MM", "vypozorovat (v-w11997_ZUf2_MM)")</f>
        <v>vypozorovat (v-w11997_ZUf2_MM)</v>
      </c>
    </row>
    <row r="58642" spans="1:4" x14ac:dyDescent="0.2">
      <c r="B58642" t="s">
        <v>1</v>
      </c>
    </row>
    <row r="58643" spans="1:4" x14ac:dyDescent="0.2">
      <c r="B58643" t="s">
        <v>124</v>
      </c>
    </row>
    <row r="58645" spans="1:4" x14ac:dyDescent="0.2">
      <c r="A58645" t="s">
        <v>18374</v>
      </c>
      <c r="B58645" t="str">
        <f>HYPERLINK("https://lindat.mff.cuni.cz/services/teitok/pdtc10/index.php?action=vallex&amp;frame=v-w11997_ZUf1_ZU", "vypozorovat (v-w11997_ZUf1_ZU) - substituted with v-w11997_ZUf2_MM")</f>
        <v>vypozorovat (v-w11997_ZUf1_ZU) - substituted with v-w11997_ZUf2_MM</v>
      </c>
    </row>
    <row r="58646" spans="1:4" x14ac:dyDescent="0.2">
      <c r="B58646" t="s">
        <v>1</v>
      </c>
    </row>
    <row r="58647" spans="1:4" x14ac:dyDescent="0.2">
      <c r="B58647" t="s">
        <v>124</v>
      </c>
    </row>
    <row r="58649" spans="1:4" x14ac:dyDescent="0.2">
      <c r="A58649" t="s">
        <v>18375</v>
      </c>
      <c r="B58649" t="str">
        <f>HYPERLINK("https://lindat.mff.cuni.cz/services/teitok/pdtc10/index.php?action=vallex&amp;frame=v-w8211f1", "vypočíst (v-w8211f1)")</f>
        <v>vypočíst (v-w8211f1)</v>
      </c>
    </row>
    <row r="58650" spans="1:4" x14ac:dyDescent="0.2">
      <c r="B58650" t="s">
        <v>1</v>
      </c>
      <c r="C58650" t="s">
        <v>3358</v>
      </c>
      <c r="D58650" t="s">
        <v>10633</v>
      </c>
    </row>
    <row r="58651" spans="1:4" x14ac:dyDescent="0.2">
      <c r="B58651" t="s">
        <v>1284</v>
      </c>
      <c r="C58651" t="s">
        <v>2344</v>
      </c>
      <c r="D58651" t="s">
        <v>93</v>
      </c>
    </row>
    <row r="58652" spans="1:4" x14ac:dyDescent="0.2">
      <c r="B58652" t="s">
        <v>24</v>
      </c>
    </row>
    <row r="58653" spans="1:4" x14ac:dyDescent="0.2">
      <c r="B58653" t="s">
        <v>61</v>
      </c>
      <c r="C58653" t="s">
        <v>1290</v>
      </c>
    </row>
    <row r="58655" spans="1:4" x14ac:dyDescent="0.2">
      <c r="A58655" t="s">
        <v>18376</v>
      </c>
      <c r="B58655" t="str">
        <f>HYPERLINK("https://lindat.mff.cuni.cz/services/teitok/pdtc10/index.php?action=vallex&amp;frame=v-w8212f1", "vypočítat (v-w8212f1)")</f>
        <v>vypočítat (v-w8212f1)</v>
      </c>
    </row>
    <row r="58656" spans="1:4" x14ac:dyDescent="0.2">
      <c r="B58656" t="s">
        <v>1</v>
      </c>
      <c r="C58656" t="s">
        <v>3307</v>
      </c>
      <c r="D58656" t="s">
        <v>10633</v>
      </c>
    </row>
    <row r="58657" spans="1:4" x14ac:dyDescent="0.2">
      <c r="B58657" t="s">
        <v>1284</v>
      </c>
      <c r="C58657" t="s">
        <v>2290</v>
      </c>
      <c r="D58657" t="s">
        <v>93</v>
      </c>
    </row>
    <row r="58658" spans="1:4" x14ac:dyDescent="0.2">
      <c r="B58658" t="s">
        <v>24</v>
      </c>
    </row>
    <row r="58660" spans="1:4" x14ac:dyDescent="0.2">
      <c r="A58660" t="s">
        <v>18377</v>
      </c>
      <c r="B58660" t="str">
        <f>HYPERLINK("https://lindat.mff.cuni.cz/services/teitok/pdtc10/index.php?action=vallex&amp;frame=v-w8213f2", "vypočítávat (v-w8213f2)")</f>
        <v>vypočítávat (v-w8213f2)</v>
      </c>
    </row>
    <row r="58661" spans="1:4" x14ac:dyDescent="0.2">
      <c r="B58661" t="s">
        <v>1</v>
      </c>
      <c r="C58661" t="s">
        <v>109</v>
      </c>
    </row>
    <row r="58662" spans="1:4" x14ac:dyDescent="0.2">
      <c r="B58662" t="s">
        <v>172</v>
      </c>
      <c r="C58662" t="s">
        <v>359</v>
      </c>
    </row>
    <row r="58663" spans="1:4" x14ac:dyDescent="0.2">
      <c r="B58663" t="s">
        <v>78</v>
      </c>
    </row>
    <row r="58665" spans="1:4" x14ac:dyDescent="0.2">
      <c r="A58665" t="s">
        <v>18378</v>
      </c>
      <c r="B58665" t="str">
        <f>HYPERLINK("https://lindat.mff.cuni.cz/services/teitok/pdtc10/index.php?action=vallex&amp;frame=v-w8213f1", "vypočítávat (v-w8213f1)")</f>
        <v>vypočítávat (v-w8213f1)</v>
      </c>
    </row>
    <row r="58666" spans="1:4" x14ac:dyDescent="0.2">
      <c r="B58666" t="s">
        <v>1</v>
      </c>
      <c r="C58666" t="s">
        <v>370</v>
      </c>
      <c r="D58666" t="s">
        <v>10633</v>
      </c>
    </row>
    <row r="58667" spans="1:4" x14ac:dyDescent="0.2">
      <c r="B58667" t="s">
        <v>1284</v>
      </c>
      <c r="C58667" t="s">
        <v>1750</v>
      </c>
      <c r="D58667" t="s">
        <v>93</v>
      </c>
    </row>
    <row r="58668" spans="1:4" x14ac:dyDescent="0.2">
      <c r="B58668" t="s">
        <v>24</v>
      </c>
    </row>
    <row r="58670" spans="1:4" x14ac:dyDescent="0.2">
      <c r="A58670" t="s">
        <v>18379</v>
      </c>
      <c r="B58670" t="str">
        <f>HYPERLINK("https://lindat.mff.cuni.cz/services/teitok/pdtc10/index.php?action=vallex&amp;frame=v-w8219f2", "vypořádat (v-w8219f2)")</f>
        <v>vypořádat (v-w8219f2)</v>
      </c>
    </row>
    <row r="58671" spans="1:4" x14ac:dyDescent="0.2">
      <c r="B58671" t="s">
        <v>1</v>
      </c>
      <c r="D58671" t="s">
        <v>10454</v>
      </c>
    </row>
    <row r="58672" spans="1:4" x14ac:dyDescent="0.2">
      <c r="B58672" t="s">
        <v>1557</v>
      </c>
      <c r="D58672" t="s">
        <v>24197</v>
      </c>
    </row>
    <row r="58673" spans="1:4" x14ac:dyDescent="0.2">
      <c r="B58673" t="s">
        <v>153</v>
      </c>
      <c r="D58673" t="s">
        <v>24400</v>
      </c>
    </row>
    <row r="58675" spans="1:4" x14ac:dyDescent="0.2">
      <c r="A58675" t="s">
        <v>18380</v>
      </c>
      <c r="B58675" t="str">
        <f>HYPERLINK("https://lindat.mff.cuni.cz/services/teitok/pdtc10/index.php?action=vallex&amp;frame=v-w8219f1", "vypořádat (v-w8219f1)")</f>
        <v>vypořádat (v-w8219f1)</v>
      </c>
    </row>
    <row r="58676" spans="1:4" x14ac:dyDescent="0.2">
      <c r="B58676" t="s">
        <v>1</v>
      </c>
      <c r="C58676" t="s">
        <v>2698</v>
      </c>
    </row>
    <row r="58677" spans="1:4" x14ac:dyDescent="0.2">
      <c r="B58677" t="s">
        <v>8</v>
      </c>
      <c r="C58677" t="s">
        <v>1340</v>
      </c>
    </row>
    <row r="58679" spans="1:4" x14ac:dyDescent="0.2">
      <c r="A58679" t="s">
        <v>18381</v>
      </c>
      <c r="B58679" t="str">
        <f>HYPERLINK("https://lindat.mff.cuni.cz/services/teitok/pdtc10/index.php?action=vallex&amp;frame=v-w8220f1", "vypořádat se (v-w8220f1)")</f>
        <v>vypořádat se (v-w8220f1)</v>
      </c>
    </row>
    <row r="58680" spans="1:4" x14ac:dyDescent="0.2">
      <c r="B58680" t="s">
        <v>1</v>
      </c>
      <c r="C58680" t="s">
        <v>7117</v>
      </c>
    </row>
    <row r="58681" spans="1:4" x14ac:dyDescent="0.2">
      <c r="B58681" t="s">
        <v>411</v>
      </c>
      <c r="C58681" t="s">
        <v>18382</v>
      </c>
    </row>
    <row r="58683" spans="1:4" x14ac:dyDescent="0.2">
      <c r="A58683" t="s">
        <v>18383</v>
      </c>
      <c r="B58683" t="str">
        <f>HYPERLINK("https://lindat.mff.cuni.cz/services/teitok/pdtc10/index.php?action=vallex&amp;frame=v-w8222f1", "vypořádávat (v-w8222f1)")</f>
        <v>vypořádávat (v-w8222f1)</v>
      </c>
    </row>
    <row r="58684" spans="1:4" x14ac:dyDescent="0.2">
      <c r="B58684" t="s">
        <v>1</v>
      </c>
      <c r="C58684" t="s">
        <v>1065</v>
      </c>
      <c r="D58684" t="s">
        <v>12786</v>
      </c>
    </row>
    <row r="58685" spans="1:4" x14ac:dyDescent="0.2">
      <c r="B58685" t="s">
        <v>8</v>
      </c>
      <c r="C58685" t="s">
        <v>11355</v>
      </c>
      <c r="D58685" t="s">
        <v>23772</v>
      </c>
    </row>
    <row r="58687" spans="1:4" x14ac:dyDescent="0.2">
      <c r="A58687" t="s">
        <v>18384</v>
      </c>
      <c r="B58687" t="str">
        <f>HYPERLINK("https://lindat.mff.cuni.cz/services/teitok/pdtc10/index.php?action=vallex&amp;frame=v-w8223f1", "vypořádávat se (v-w8223f1)")</f>
        <v>vypořádávat se (v-w8223f1)</v>
      </c>
    </row>
    <row r="58688" spans="1:4" x14ac:dyDescent="0.2">
      <c r="B58688" t="s">
        <v>1</v>
      </c>
      <c r="D58688" t="s">
        <v>14818</v>
      </c>
    </row>
    <row r="58689" spans="1:4" x14ac:dyDescent="0.2">
      <c r="B58689" t="s">
        <v>411</v>
      </c>
      <c r="D58689" t="s">
        <v>6043</v>
      </c>
    </row>
    <row r="58691" spans="1:4" x14ac:dyDescent="0.2">
      <c r="A58691" t="s">
        <v>18385</v>
      </c>
      <c r="B58691" t="str">
        <f>HYPERLINK("https://lindat.mff.cuni.cz/services/teitok/pdtc10/index.php?action=vallex&amp;frame=v-w8236f1", "vypracovat (v-w8236f1)")</f>
        <v>vypracovat (v-w8236f1)</v>
      </c>
    </row>
    <row r="58692" spans="1:4" x14ac:dyDescent="0.2">
      <c r="B58692" t="s">
        <v>1</v>
      </c>
      <c r="C58692" t="s">
        <v>18386</v>
      </c>
      <c r="D58692" t="s">
        <v>24401</v>
      </c>
    </row>
    <row r="58693" spans="1:4" x14ac:dyDescent="0.2">
      <c r="B58693" t="s">
        <v>8</v>
      </c>
      <c r="C58693" t="s">
        <v>18387</v>
      </c>
      <c r="D58693" t="s">
        <v>1750</v>
      </c>
    </row>
    <row r="58695" spans="1:4" x14ac:dyDescent="0.2">
      <c r="A58695" t="s">
        <v>18388</v>
      </c>
      <c r="B58695" t="str">
        <f>HYPERLINK("https://lindat.mff.cuni.cz/services/teitok/pdtc10/index.php?action=vallex&amp;frame=v-w8237hsa_1619", "vypracovat se (v-w8237hsa_1619)")</f>
        <v>vypracovat se (v-w8237hsa_1619)</v>
      </c>
    </row>
    <row r="58696" spans="1:4" x14ac:dyDescent="0.2">
      <c r="B58696" t="s">
        <v>1</v>
      </c>
    </row>
    <row r="58697" spans="1:4" x14ac:dyDescent="0.2">
      <c r="B58697" t="s">
        <v>18389</v>
      </c>
    </row>
    <row r="58698" spans="1:4" x14ac:dyDescent="0.2">
      <c r="B58698" t="s">
        <v>24</v>
      </c>
    </row>
    <row r="58700" spans="1:4" x14ac:dyDescent="0.2">
      <c r="A58700" t="s">
        <v>18388</v>
      </c>
      <c r="B58700" t="str">
        <f>HYPERLINK("https://lindat.mff.cuni.cz/services/teitok/pdtc10/index.php?action=vallex&amp;frame=v-w8237f1", "vypracovat se (v-w8237f1) - substituted with v-w8237hsa_1619")</f>
        <v>vypracovat se (v-w8237f1) - substituted with v-w8237hsa_1619</v>
      </c>
    </row>
    <row r="58701" spans="1:4" x14ac:dyDescent="0.2">
      <c r="B58701" t="s">
        <v>1</v>
      </c>
    </row>
    <row r="58702" spans="1:4" x14ac:dyDescent="0.2">
      <c r="B58702" t="s">
        <v>18389</v>
      </c>
    </row>
    <row r="58703" spans="1:4" x14ac:dyDescent="0.2">
      <c r="B58703" t="s">
        <v>24</v>
      </c>
    </row>
    <row r="58705" spans="1:4" x14ac:dyDescent="0.2">
      <c r="A58705" t="s">
        <v>18390</v>
      </c>
      <c r="B58705" t="str">
        <f>HYPERLINK("https://lindat.mff.cuni.cz/services/teitok/pdtc10/index.php?action=vallex&amp;frame=v-w8240f1", "vypracovávat (v-w8240f1)")</f>
        <v>vypracovávat (v-w8240f1)</v>
      </c>
    </row>
    <row r="58706" spans="1:4" x14ac:dyDescent="0.2">
      <c r="B58706" t="s">
        <v>1</v>
      </c>
      <c r="C58706" t="s">
        <v>18391</v>
      </c>
      <c r="D58706" t="s">
        <v>24401</v>
      </c>
    </row>
    <row r="58707" spans="1:4" x14ac:dyDescent="0.2">
      <c r="B58707" t="s">
        <v>8</v>
      </c>
      <c r="C58707" t="s">
        <v>1510</v>
      </c>
      <c r="D58707" t="s">
        <v>1750</v>
      </c>
    </row>
    <row r="58709" spans="1:4" x14ac:dyDescent="0.2">
      <c r="A58709" t="s">
        <v>18392</v>
      </c>
      <c r="B58709" t="str">
        <f>HYPERLINK("https://lindat.mff.cuni.cz/services/teitok/pdtc10/index.php?action=vallex&amp;frame=v-w11626_ZUf1_ZU", "vypracovávat se (v-w11626_ZUf1_ZU)")</f>
        <v>vypracovávat se (v-w11626_ZUf1_ZU)</v>
      </c>
    </row>
    <row r="58710" spans="1:4" x14ac:dyDescent="0.2">
      <c r="B58710" t="s">
        <v>1</v>
      </c>
    </row>
    <row r="58711" spans="1:4" x14ac:dyDescent="0.2">
      <c r="B58711" t="s">
        <v>3044</v>
      </c>
    </row>
    <row r="58712" spans="1:4" x14ac:dyDescent="0.2">
      <c r="B58712" t="s">
        <v>24</v>
      </c>
    </row>
    <row r="58714" spans="1:4" x14ac:dyDescent="0.2">
      <c r="A58714" t="s">
        <v>18393</v>
      </c>
      <c r="B58714" t="str">
        <f>HYPERLINK("https://lindat.mff.cuni.cz/services/teitok/pdtc10/index.php?action=vallex&amp;frame=v-w8241f1", "vyprat (v-w8241f1)")</f>
        <v>vyprat (v-w8241f1)</v>
      </c>
    </row>
    <row r="58715" spans="1:4" x14ac:dyDescent="0.2">
      <c r="B58715" t="s">
        <v>1</v>
      </c>
    </row>
    <row r="58716" spans="1:4" x14ac:dyDescent="0.2">
      <c r="B58716" t="s">
        <v>8</v>
      </c>
    </row>
    <row r="58718" spans="1:4" x14ac:dyDescent="0.2">
      <c r="A58718" t="s">
        <v>18394</v>
      </c>
      <c r="B58718" t="str">
        <f>HYPERLINK("https://lindat.mff.cuni.cz/services/teitok/pdtc10/index.php?action=vallex&amp;frame=v-w8241f2", "vyprat (v-w8241f2)")</f>
        <v>vyprat (v-w8241f2)</v>
      </c>
    </row>
    <row r="58719" spans="1:4" x14ac:dyDescent="0.2">
      <c r="B58719" t="s">
        <v>1</v>
      </c>
      <c r="C58719" t="s">
        <v>33</v>
      </c>
    </row>
    <row r="58720" spans="1:4" x14ac:dyDescent="0.2">
      <c r="B58720" t="s">
        <v>8</v>
      </c>
      <c r="C58720" t="s">
        <v>991</v>
      </c>
    </row>
    <row r="58722" spans="1:3" x14ac:dyDescent="0.2">
      <c r="A58722" t="s">
        <v>18395</v>
      </c>
      <c r="B58722" t="str">
        <f>HYPERLINK("https://lindat.mff.cuni.cz/services/teitok/pdtc10/index.php?action=vallex&amp;frame=v-w8247f3_ZU", "vypravit (v-w8247f3_ZU)")</f>
        <v>vypravit (v-w8247f3_ZU)</v>
      </c>
    </row>
    <row r="58723" spans="1:3" x14ac:dyDescent="0.2">
      <c r="B58723" t="s">
        <v>1</v>
      </c>
    </row>
    <row r="58724" spans="1:3" x14ac:dyDescent="0.2">
      <c r="B58724" t="s">
        <v>8</v>
      </c>
    </row>
    <row r="58726" spans="1:3" x14ac:dyDescent="0.2">
      <c r="A58726" t="s">
        <v>18395</v>
      </c>
      <c r="B58726" t="str">
        <f>HYPERLINK("https://lindat.mff.cuni.cz/services/teitok/pdtc10/index.php?action=vallex&amp;frame=v-w8247f1", "vypravit (v-w8247f1) - substituted with v-w8247f3_ZU")</f>
        <v>vypravit (v-w8247f1) - substituted with v-w8247f3_ZU</v>
      </c>
    </row>
    <row r="58727" spans="1:3" x14ac:dyDescent="0.2">
      <c r="B58727" t="s">
        <v>1</v>
      </c>
      <c r="C58727" t="s">
        <v>33</v>
      </c>
    </row>
    <row r="58728" spans="1:3" x14ac:dyDescent="0.2">
      <c r="B58728" t="s">
        <v>8</v>
      </c>
      <c r="C58728" t="s">
        <v>34</v>
      </c>
    </row>
    <row r="58730" spans="1:3" x14ac:dyDescent="0.2">
      <c r="A58730" t="s">
        <v>18396</v>
      </c>
      <c r="B58730" t="str">
        <f>HYPERLINK("https://lindat.mff.cuni.cz/services/teitok/pdtc10/index.php?action=vallex&amp;frame=v-w8247f2", "vypravit (v-w8247f2)")</f>
        <v>vypravit (v-w8247f2)</v>
      </c>
    </row>
    <row r="58731" spans="1:3" x14ac:dyDescent="0.2">
      <c r="B58731" t="s">
        <v>1</v>
      </c>
    </row>
    <row r="58732" spans="1:3" x14ac:dyDescent="0.2">
      <c r="B58732" t="s">
        <v>18397</v>
      </c>
    </row>
    <row r="58733" spans="1:3" x14ac:dyDescent="0.2">
      <c r="B58733" t="s">
        <v>8</v>
      </c>
    </row>
    <row r="58735" spans="1:3" x14ac:dyDescent="0.2">
      <c r="A58735" t="s">
        <v>18398</v>
      </c>
      <c r="B58735" t="str">
        <f>HYPERLINK("https://lindat.mff.cuni.cz/services/teitok/pdtc10/index.php?action=vallex&amp;frame=v-w8248f1", "vypravit se (v-w8248f1)")</f>
        <v>vypravit se (v-w8248f1)</v>
      </c>
    </row>
    <row r="58736" spans="1:3" x14ac:dyDescent="0.2">
      <c r="B58736" t="s">
        <v>1</v>
      </c>
    </row>
    <row r="58737" spans="1:4" x14ac:dyDescent="0.2">
      <c r="B58737" t="s">
        <v>90</v>
      </c>
    </row>
    <row r="58739" spans="1:4" x14ac:dyDescent="0.2">
      <c r="A58739" t="s">
        <v>18399</v>
      </c>
      <c r="B58739" t="str">
        <f>HYPERLINK("https://lindat.mff.cuni.cz/services/teitok/pdtc10/index.php?action=vallex&amp;frame=v-w8249f3", "vypravovat (v-w8249f3)")</f>
        <v>vypravovat (v-w8249f3)</v>
      </c>
    </row>
    <row r="58740" spans="1:4" x14ac:dyDescent="0.2">
      <c r="B58740" t="s">
        <v>1</v>
      </c>
      <c r="D58740" t="s">
        <v>4634</v>
      </c>
    </row>
    <row r="58741" spans="1:4" x14ac:dyDescent="0.2">
      <c r="B58741" t="s">
        <v>183</v>
      </c>
    </row>
    <row r="58742" spans="1:4" x14ac:dyDescent="0.2">
      <c r="B58742" t="s">
        <v>35</v>
      </c>
      <c r="D58742" t="s">
        <v>18432</v>
      </c>
    </row>
    <row r="58744" spans="1:4" x14ac:dyDescent="0.2">
      <c r="A58744" t="s">
        <v>18400</v>
      </c>
      <c r="B58744" t="str">
        <f>HYPERLINK("https://lindat.mff.cuni.cz/services/teitok/pdtc10/index.php?action=vallex&amp;frame=v-w8249f1", "vypravovat (v-w8249f1)")</f>
        <v>vypravovat (v-w8249f1)</v>
      </c>
    </row>
    <row r="58745" spans="1:4" x14ac:dyDescent="0.2">
      <c r="B58745" t="s">
        <v>1</v>
      </c>
    </row>
    <row r="58746" spans="1:4" x14ac:dyDescent="0.2">
      <c r="B58746" t="s">
        <v>8</v>
      </c>
    </row>
    <row r="58748" spans="1:4" x14ac:dyDescent="0.2">
      <c r="A58748" t="s">
        <v>18401</v>
      </c>
      <c r="B58748" t="str">
        <f>HYPERLINK("https://lindat.mff.cuni.cz/services/teitok/pdtc10/index.php?action=vallex&amp;frame=v-w8249f2", "vypravovat (v-w8249f2)")</f>
        <v>vypravovat (v-w8249f2)</v>
      </c>
    </row>
    <row r="58749" spans="1:4" x14ac:dyDescent="0.2">
      <c r="B58749" t="s">
        <v>1</v>
      </c>
      <c r="D58749" t="s">
        <v>4634</v>
      </c>
    </row>
    <row r="58750" spans="1:4" x14ac:dyDescent="0.2">
      <c r="B58750" t="s">
        <v>35</v>
      </c>
      <c r="D58750" t="s">
        <v>18432</v>
      </c>
    </row>
    <row r="58751" spans="1:4" x14ac:dyDescent="0.2">
      <c r="B58751" t="s">
        <v>4749</v>
      </c>
      <c r="D58751" t="s">
        <v>24038</v>
      </c>
    </row>
    <row r="58752" spans="1:4" x14ac:dyDescent="0.2">
      <c r="B58752" t="s">
        <v>269</v>
      </c>
      <c r="D58752" t="s">
        <v>23883</v>
      </c>
    </row>
    <row r="58754" spans="1:4" x14ac:dyDescent="0.2">
      <c r="A58754" t="s">
        <v>18402</v>
      </c>
      <c r="B58754" t="str">
        <f>HYPERLINK("https://lindat.mff.cuni.cz/services/teitok/pdtc10/index.php?action=vallex&amp;frame=v-w11780_ZUf1_ZU", "vypravovat se (v-w11780_ZUf1_ZU)")</f>
        <v>vypravovat se (v-w11780_ZUf1_ZU)</v>
      </c>
    </row>
    <row r="58755" spans="1:4" x14ac:dyDescent="0.2">
      <c r="B58755" t="s">
        <v>1</v>
      </c>
    </row>
    <row r="58756" spans="1:4" x14ac:dyDescent="0.2">
      <c r="B58756" t="s">
        <v>252</v>
      </c>
    </row>
    <row r="58758" spans="1:4" x14ac:dyDescent="0.2">
      <c r="A58758" t="s">
        <v>18403</v>
      </c>
      <c r="B58758" t="str">
        <f>HYPERLINK("https://lindat.mff.cuni.cz/services/teitok/pdtc10/index.php?action=vallex&amp;frame=v-w8251f1", "vyprazdňovat (v-w8251f1)")</f>
        <v>vyprazdňovat (v-w8251f1)</v>
      </c>
    </row>
    <row r="58759" spans="1:4" x14ac:dyDescent="0.2">
      <c r="B58759" t="s">
        <v>1</v>
      </c>
      <c r="C58759" t="s">
        <v>140</v>
      </c>
      <c r="D58759" t="s">
        <v>140</v>
      </c>
    </row>
    <row r="58760" spans="1:4" x14ac:dyDescent="0.2">
      <c r="B58760" t="s">
        <v>8</v>
      </c>
      <c r="C58760" t="s">
        <v>991</v>
      </c>
      <c r="D58760" t="s">
        <v>84</v>
      </c>
    </row>
    <row r="58762" spans="1:4" x14ac:dyDescent="0.2">
      <c r="A58762" t="s">
        <v>18404</v>
      </c>
      <c r="B58762" t="str">
        <f>HYPERLINK("https://lindat.mff.cuni.cz/services/teitok/pdtc10/index.php?action=vallex&amp;frame=v-w8252f1", "vyprchat (v-w8252f1)")</f>
        <v>vyprchat (v-w8252f1)</v>
      </c>
    </row>
    <row r="58763" spans="1:4" x14ac:dyDescent="0.2">
      <c r="B58763" t="s">
        <v>1</v>
      </c>
      <c r="C58763" t="s">
        <v>2444</v>
      </c>
      <c r="D58763" t="s">
        <v>9222</v>
      </c>
    </row>
    <row r="58765" spans="1:4" x14ac:dyDescent="0.2">
      <c r="A58765" t="s">
        <v>18405</v>
      </c>
      <c r="B58765" t="str">
        <f>HYPERLINK("https://lindat.mff.cuni.cz/services/teitok/pdtc10/index.php?action=vallex&amp;frame=v-w8253f1", "vyprodat (v-w8253f1)")</f>
        <v>vyprodat (v-w8253f1)</v>
      </c>
    </row>
    <row r="58766" spans="1:4" x14ac:dyDescent="0.2">
      <c r="B58766" t="s">
        <v>1</v>
      </c>
      <c r="D58766" t="s">
        <v>23665</v>
      </c>
    </row>
    <row r="58767" spans="1:4" x14ac:dyDescent="0.2">
      <c r="B58767" t="s">
        <v>8</v>
      </c>
      <c r="C58767" t="s">
        <v>18406</v>
      </c>
      <c r="D58767" t="s">
        <v>23666</v>
      </c>
    </row>
    <row r="58769" spans="1:4" x14ac:dyDescent="0.2">
      <c r="A58769" t="s">
        <v>18407</v>
      </c>
      <c r="B58769" t="str">
        <f>HYPERLINK("https://lindat.mff.cuni.cz/services/teitok/pdtc10/index.php?action=vallex&amp;frame=v-w8256f1", "vyprodukovat (v-w8256f1)")</f>
        <v>vyprodukovat (v-w8256f1)</v>
      </c>
    </row>
    <row r="58770" spans="1:4" x14ac:dyDescent="0.2">
      <c r="B58770" t="s">
        <v>1</v>
      </c>
      <c r="C58770" t="s">
        <v>18408</v>
      </c>
      <c r="D58770" t="s">
        <v>23418</v>
      </c>
    </row>
    <row r="58771" spans="1:4" x14ac:dyDescent="0.2">
      <c r="B58771" t="s">
        <v>8</v>
      </c>
      <c r="C58771" t="s">
        <v>18409</v>
      </c>
      <c r="D58771" t="s">
        <v>23419</v>
      </c>
    </row>
    <row r="58772" spans="1:4" x14ac:dyDescent="0.2">
      <c r="B58772" t="s">
        <v>24</v>
      </c>
      <c r="C58772" t="s">
        <v>7352</v>
      </c>
      <c r="D58772" t="s">
        <v>10345</v>
      </c>
    </row>
    <row r="58774" spans="1:4" x14ac:dyDescent="0.2">
      <c r="A58774" t="s">
        <v>18410</v>
      </c>
      <c r="B58774" t="str">
        <f>HYPERLINK("https://lindat.mff.cuni.cz/services/teitok/pdtc10/index.php?action=vallex&amp;frame=v-w8254f1", "vyprodávat (v-w8254f1)")</f>
        <v>vyprodávat (v-w8254f1)</v>
      </c>
    </row>
    <row r="58775" spans="1:4" x14ac:dyDescent="0.2">
      <c r="B58775" t="s">
        <v>1</v>
      </c>
      <c r="C58775" t="s">
        <v>18411</v>
      </c>
    </row>
    <row r="58776" spans="1:4" x14ac:dyDescent="0.2">
      <c r="B58776" t="s">
        <v>8</v>
      </c>
      <c r="C58776" t="s">
        <v>18412</v>
      </c>
    </row>
    <row r="58778" spans="1:4" x14ac:dyDescent="0.2">
      <c r="A58778" t="s">
        <v>18413</v>
      </c>
      <c r="B58778" t="str">
        <f>HYPERLINK("https://lindat.mff.cuni.cz/services/teitok/pdtc10/index.php?action=vallex&amp;frame=v-w8257f1", "vyprofilovat se (v-w8257f1)")</f>
        <v>vyprofilovat se (v-w8257f1)</v>
      </c>
    </row>
    <row r="58779" spans="1:4" x14ac:dyDescent="0.2">
      <c r="B58779" t="s">
        <v>1</v>
      </c>
    </row>
    <row r="58780" spans="1:4" x14ac:dyDescent="0.2">
      <c r="B58780" t="s">
        <v>18414</v>
      </c>
    </row>
    <row r="58781" spans="1:4" x14ac:dyDescent="0.2">
      <c r="B58781" t="s">
        <v>24</v>
      </c>
    </row>
    <row r="58783" spans="1:4" x14ac:dyDescent="0.2">
      <c r="A58783" t="s">
        <v>18415</v>
      </c>
      <c r="B58783" t="str">
        <f>HYPERLINK("https://lindat.mff.cuni.cz/services/teitok/pdtc10/index.php?action=vallex&amp;frame=v-w8258f1", "vyprojektovat (v-w8258f1)")</f>
        <v>vyprojektovat (v-w8258f1)</v>
      </c>
    </row>
    <row r="58784" spans="1:4" x14ac:dyDescent="0.2">
      <c r="B58784" t="s">
        <v>1</v>
      </c>
      <c r="D58784" t="s">
        <v>24402</v>
      </c>
    </row>
    <row r="58785" spans="1:4" x14ac:dyDescent="0.2">
      <c r="B58785" t="s">
        <v>8</v>
      </c>
      <c r="D58785" t="s">
        <v>24118</v>
      </c>
    </row>
    <row r="58786" spans="1:4" x14ac:dyDescent="0.2">
      <c r="B58786" t="s">
        <v>24</v>
      </c>
      <c r="D58786" t="s">
        <v>3656</v>
      </c>
    </row>
    <row r="58788" spans="1:4" x14ac:dyDescent="0.2">
      <c r="A58788" t="s">
        <v>18416</v>
      </c>
      <c r="B58788" t="str">
        <f>HYPERLINK("https://lindat.mff.cuni.cz/services/teitok/pdtc10/index.php?action=vallex&amp;frame=v-w11299f3_ZU", "vyprostit (v-w11299f3_ZU)")</f>
        <v>vyprostit (v-w11299f3_ZU)</v>
      </c>
    </row>
    <row r="58789" spans="1:4" x14ac:dyDescent="0.2">
      <c r="B58789" t="s">
        <v>1</v>
      </c>
      <c r="C58789" t="s">
        <v>140</v>
      </c>
      <c r="D58789" t="s">
        <v>33</v>
      </c>
    </row>
    <row r="58790" spans="1:4" x14ac:dyDescent="0.2">
      <c r="B58790" t="s">
        <v>8</v>
      </c>
      <c r="C58790" t="s">
        <v>84</v>
      </c>
      <c r="D58790" t="s">
        <v>1128</v>
      </c>
    </row>
    <row r="58791" spans="1:4" x14ac:dyDescent="0.2">
      <c r="B58791" t="s">
        <v>333</v>
      </c>
      <c r="C58791" t="s">
        <v>18417</v>
      </c>
    </row>
    <row r="58793" spans="1:4" x14ac:dyDescent="0.2">
      <c r="A58793" t="s">
        <v>18416</v>
      </c>
      <c r="B58793" t="str">
        <f>HYPERLINK("https://lindat.mff.cuni.cz/services/teitok/pdtc10/index.php?action=vallex&amp;frame=v-w11299f1", "vyprostit (v-w11299f1) - substituted with v-w11299f3_ZU")</f>
        <v>vyprostit (v-w11299f1) - substituted with v-w11299f3_ZU</v>
      </c>
    </row>
    <row r="58794" spans="1:4" x14ac:dyDescent="0.2">
      <c r="B58794" t="s">
        <v>1</v>
      </c>
    </row>
    <row r="58795" spans="1:4" x14ac:dyDescent="0.2">
      <c r="B58795" t="s">
        <v>8</v>
      </c>
    </row>
    <row r="58796" spans="1:4" x14ac:dyDescent="0.2">
      <c r="B58796" t="s">
        <v>333</v>
      </c>
    </row>
    <row r="58798" spans="1:4" x14ac:dyDescent="0.2">
      <c r="A58798" t="s">
        <v>18416</v>
      </c>
      <c r="B58798" t="str">
        <f>HYPERLINK("https://lindat.mff.cuni.cz/services/teitok/pdtc10/index.php?action=vallex&amp;frame=v-w11299f2_ZU", "vyprostit (v-w11299f2_ZU) - substituted with v-w11299f3_ZU")</f>
        <v>vyprostit (v-w11299f2_ZU) - substituted with v-w11299f3_ZU</v>
      </c>
    </row>
    <row r="58799" spans="1:4" x14ac:dyDescent="0.2">
      <c r="B58799" t="s">
        <v>1</v>
      </c>
    </row>
    <row r="58800" spans="1:4" x14ac:dyDescent="0.2">
      <c r="B58800" t="s">
        <v>8</v>
      </c>
    </row>
    <row r="58801" spans="1:4" x14ac:dyDescent="0.2">
      <c r="B58801" t="s">
        <v>333</v>
      </c>
    </row>
    <row r="58803" spans="1:4" x14ac:dyDescent="0.2">
      <c r="A58803" t="s">
        <v>18418</v>
      </c>
      <c r="B58803" t="str">
        <f>HYPERLINK("https://lindat.mff.cuni.cz/services/teitok/pdtc10/index.php?action=vallex&amp;frame=v-w11299hsa_201", "vyprostit (v-w11299hsa_201)")</f>
        <v>vyprostit (v-w11299hsa_201)</v>
      </c>
    </row>
    <row r="58804" spans="1:4" x14ac:dyDescent="0.2">
      <c r="B58804" t="s">
        <v>1</v>
      </c>
    </row>
    <row r="58805" spans="1:4" x14ac:dyDescent="0.2">
      <c r="B58805" t="s">
        <v>8</v>
      </c>
    </row>
    <row r="58806" spans="1:4" x14ac:dyDescent="0.2">
      <c r="B58806" t="s">
        <v>333</v>
      </c>
    </row>
    <row r="58808" spans="1:4" x14ac:dyDescent="0.2">
      <c r="A58808" t="s">
        <v>18419</v>
      </c>
      <c r="B58808" t="str">
        <f>HYPERLINK("https://lindat.mff.cuni.cz/services/teitok/pdtc10/index.php?action=vallex&amp;frame=v-w8259f1", "vyprostit se (v-w8259f1)")</f>
        <v>vyprostit se (v-w8259f1)</v>
      </c>
    </row>
    <row r="58809" spans="1:4" x14ac:dyDescent="0.2">
      <c r="B58809" t="s">
        <v>1</v>
      </c>
      <c r="D58809" t="s">
        <v>23204</v>
      </c>
    </row>
    <row r="58810" spans="1:4" x14ac:dyDescent="0.2">
      <c r="B58810" t="s">
        <v>333</v>
      </c>
      <c r="C58810" t="s">
        <v>7105</v>
      </c>
      <c r="D58810" t="s">
        <v>23205</v>
      </c>
    </row>
    <row r="58812" spans="1:4" x14ac:dyDescent="0.2">
      <c r="A58812" t="s">
        <v>18420</v>
      </c>
      <c r="B58812" t="str">
        <f>HYPERLINK("https://lindat.mff.cuni.cz/services/teitok/pdtc10/index.php?action=vallex&amp;frame=v-w8263f1", "vyprovodit (v-w8263f1)")</f>
        <v>vyprovodit (v-w8263f1)</v>
      </c>
    </row>
    <row r="58813" spans="1:4" x14ac:dyDescent="0.2">
      <c r="B58813" t="s">
        <v>1</v>
      </c>
    </row>
    <row r="58814" spans="1:4" x14ac:dyDescent="0.2">
      <c r="B58814" t="s">
        <v>8</v>
      </c>
    </row>
    <row r="58816" spans="1:4" x14ac:dyDescent="0.2">
      <c r="A58816" t="s">
        <v>18421</v>
      </c>
      <c r="B58816" t="str">
        <f>HYPERLINK("https://lindat.mff.cuni.cz/services/teitok/pdtc10/index.php?action=vallex&amp;frame=v-w8265f1", "vyprovokovat (v-w8265f1)")</f>
        <v>vyprovokovat (v-w8265f1)</v>
      </c>
    </row>
    <row r="58817" spans="1:4" x14ac:dyDescent="0.2">
      <c r="B58817" t="s">
        <v>1</v>
      </c>
      <c r="C58817" t="s">
        <v>18422</v>
      </c>
    </row>
    <row r="58818" spans="1:4" x14ac:dyDescent="0.2">
      <c r="B58818" t="s">
        <v>8</v>
      </c>
      <c r="C58818" t="s">
        <v>110</v>
      </c>
    </row>
    <row r="58820" spans="1:4" x14ac:dyDescent="0.2">
      <c r="A58820" t="s">
        <v>18423</v>
      </c>
      <c r="B58820" t="str">
        <f>HYPERLINK("https://lindat.mff.cuni.cz/services/teitok/pdtc10/index.php?action=vallex&amp;frame=v-w8265f2", "vyprovokovat (v-w8265f2)")</f>
        <v>vyprovokovat (v-w8265f2)</v>
      </c>
    </row>
    <row r="58821" spans="1:4" x14ac:dyDescent="0.2">
      <c r="B58821" t="s">
        <v>1</v>
      </c>
      <c r="C58821" t="s">
        <v>33</v>
      </c>
      <c r="D58821" t="s">
        <v>23152</v>
      </c>
    </row>
    <row r="58822" spans="1:4" x14ac:dyDescent="0.2">
      <c r="B58822" t="s">
        <v>58</v>
      </c>
      <c r="C58822" t="s">
        <v>18424</v>
      </c>
      <c r="D58822" t="s">
        <v>23154</v>
      </c>
    </row>
    <row r="58823" spans="1:4" x14ac:dyDescent="0.2">
      <c r="B58823" t="s">
        <v>14959</v>
      </c>
      <c r="C58823" t="s">
        <v>5754</v>
      </c>
      <c r="D58823" t="s">
        <v>23153</v>
      </c>
    </row>
    <row r="58825" spans="1:4" x14ac:dyDescent="0.2">
      <c r="A58825" t="s">
        <v>18425</v>
      </c>
      <c r="B58825" t="str">
        <f>HYPERLINK("https://lindat.mff.cuni.cz/services/teitok/pdtc10/index.php?action=vallex&amp;frame=v-w8262f1", "vyprovázet (v-w8262f1)")</f>
        <v>vyprovázet (v-w8262f1)</v>
      </c>
    </row>
    <row r="58826" spans="1:4" x14ac:dyDescent="0.2">
      <c r="B58826" t="s">
        <v>1</v>
      </c>
      <c r="D58826" t="s">
        <v>7313</v>
      </c>
    </row>
    <row r="58827" spans="1:4" x14ac:dyDescent="0.2">
      <c r="B58827" t="s">
        <v>8</v>
      </c>
      <c r="D58827" t="s">
        <v>5971</v>
      </c>
    </row>
    <row r="58829" spans="1:4" x14ac:dyDescent="0.2">
      <c r="A58829" t="s">
        <v>18426</v>
      </c>
      <c r="B58829" t="str">
        <f>HYPERLINK("https://lindat.mff.cuni.cz/services/teitok/pdtc10/index.php?action=vallex&amp;frame=v-w8261f1", "vyprošťovat (v-w8261f1)")</f>
        <v>vyprošťovat (v-w8261f1)</v>
      </c>
    </row>
    <row r="58830" spans="1:4" x14ac:dyDescent="0.2">
      <c r="B58830" t="s">
        <v>1</v>
      </c>
      <c r="C58830" t="s">
        <v>33</v>
      </c>
      <c r="D58830" t="s">
        <v>33</v>
      </c>
    </row>
    <row r="58831" spans="1:4" x14ac:dyDescent="0.2">
      <c r="B58831" t="s">
        <v>8</v>
      </c>
      <c r="C58831" t="s">
        <v>1128</v>
      </c>
      <c r="D58831" t="s">
        <v>1128</v>
      </c>
    </row>
    <row r="58832" spans="1:4" x14ac:dyDescent="0.2">
      <c r="B58832" t="s">
        <v>333</v>
      </c>
    </row>
    <row r="58834" spans="1:4" x14ac:dyDescent="0.2">
      <c r="A58834" t="s">
        <v>18427</v>
      </c>
      <c r="B58834" t="str">
        <f>HYPERLINK("https://lindat.mff.cuni.cz/services/teitok/pdtc10/index.php?action=vallex&amp;frame=v-w8246f2", "vyprávět (v-w8246f2)")</f>
        <v>vyprávět (v-w8246f2)</v>
      </c>
    </row>
    <row r="58835" spans="1:4" x14ac:dyDescent="0.2">
      <c r="B58835" t="s">
        <v>1</v>
      </c>
      <c r="C58835" t="s">
        <v>18428</v>
      </c>
      <c r="D58835" t="s">
        <v>4634</v>
      </c>
    </row>
    <row r="58836" spans="1:4" x14ac:dyDescent="0.2">
      <c r="B58836" t="s">
        <v>183</v>
      </c>
      <c r="C58836" t="s">
        <v>1750</v>
      </c>
      <c r="D58836" t="s">
        <v>23883</v>
      </c>
    </row>
    <row r="58837" spans="1:4" x14ac:dyDescent="0.2">
      <c r="B58837" t="s">
        <v>35</v>
      </c>
      <c r="C58837" t="s">
        <v>5453</v>
      </c>
      <c r="D58837" t="s">
        <v>18432</v>
      </c>
    </row>
    <row r="58839" spans="1:4" x14ac:dyDescent="0.2">
      <c r="A58839" t="s">
        <v>18429</v>
      </c>
      <c r="B58839" t="str">
        <f>HYPERLINK("https://lindat.mff.cuni.cz/services/teitok/pdtc10/index.php?action=vallex&amp;frame=v-w8246hsa_903", "vyprávět (v-w8246hsa_903)")</f>
        <v>vyprávět (v-w8246hsa_903)</v>
      </c>
    </row>
    <row r="58840" spans="1:4" x14ac:dyDescent="0.2">
      <c r="B58840" t="s">
        <v>1</v>
      </c>
    </row>
    <row r="58841" spans="1:4" x14ac:dyDescent="0.2">
      <c r="B58841" t="s">
        <v>35</v>
      </c>
    </row>
    <row r="58842" spans="1:4" x14ac:dyDescent="0.2">
      <c r="B58842" t="s">
        <v>18430</v>
      </c>
    </row>
    <row r="58843" spans="1:4" x14ac:dyDescent="0.2">
      <c r="B58843" t="s">
        <v>269</v>
      </c>
    </row>
    <row r="58845" spans="1:4" x14ac:dyDescent="0.2">
      <c r="A58845" t="s">
        <v>18429</v>
      </c>
      <c r="B58845" t="str">
        <f>HYPERLINK("https://lindat.mff.cuni.cz/services/teitok/pdtc10/index.php?action=vallex&amp;frame=v-w8246f1", "vyprávět (v-w8246f1) - substituted with v-w8246hsa_903")</f>
        <v>vyprávět (v-w8246f1) - substituted with v-w8246hsa_903</v>
      </c>
    </row>
    <row r="58846" spans="1:4" x14ac:dyDescent="0.2">
      <c r="B58846" t="s">
        <v>1</v>
      </c>
      <c r="C58846" t="s">
        <v>18431</v>
      </c>
      <c r="D58846" t="s">
        <v>4634</v>
      </c>
    </row>
    <row r="58847" spans="1:4" x14ac:dyDescent="0.2">
      <c r="B58847" t="s">
        <v>35</v>
      </c>
      <c r="C58847" t="s">
        <v>18432</v>
      </c>
      <c r="D58847" t="s">
        <v>18432</v>
      </c>
    </row>
    <row r="58848" spans="1:4" x14ac:dyDescent="0.2">
      <c r="B58848" t="s">
        <v>18430</v>
      </c>
      <c r="C58848" t="s">
        <v>18433</v>
      </c>
      <c r="D58848" t="s">
        <v>24038</v>
      </c>
    </row>
    <row r="58849" spans="1:4" x14ac:dyDescent="0.2">
      <c r="B58849" t="s">
        <v>269</v>
      </c>
      <c r="C58849" t="s">
        <v>1472</v>
      </c>
      <c r="D58849" t="s">
        <v>23883</v>
      </c>
    </row>
    <row r="58851" spans="1:4" x14ac:dyDescent="0.2">
      <c r="A58851" t="s">
        <v>18434</v>
      </c>
      <c r="B58851" t="str">
        <f>HYPERLINK("https://lindat.mff.cuni.cz/services/teitok/pdtc10/index.php?action=vallex&amp;frame=v-w11045f2", "vyprázdnit (v-w11045f2)")</f>
        <v>vyprázdnit (v-w11045f2)</v>
      </c>
    </row>
    <row r="58852" spans="1:4" x14ac:dyDescent="0.2">
      <c r="B58852" t="s">
        <v>1</v>
      </c>
      <c r="D58852" t="s">
        <v>140</v>
      </c>
    </row>
    <row r="58853" spans="1:4" x14ac:dyDescent="0.2">
      <c r="B58853" t="s">
        <v>8</v>
      </c>
      <c r="D58853" t="s">
        <v>84</v>
      </c>
    </row>
    <row r="58855" spans="1:4" x14ac:dyDescent="0.2">
      <c r="A58855" t="s">
        <v>18435</v>
      </c>
      <c r="B58855" t="str">
        <f>HYPERLINK("https://lindat.mff.cuni.cz/services/teitok/pdtc10/index.php?action=vallex&amp;frame=v-whsa_580f1_ZU", "vyprázdnit se (v-whsa_580f1_ZU)")</f>
        <v>vyprázdnit se (v-whsa_580f1_ZU)</v>
      </c>
    </row>
    <row r="58856" spans="1:4" x14ac:dyDescent="0.2">
      <c r="B58856" t="s">
        <v>1</v>
      </c>
    </row>
    <row r="58858" spans="1:4" x14ac:dyDescent="0.2">
      <c r="A58858" t="s">
        <v>18435</v>
      </c>
      <c r="B58858" t="str">
        <f>HYPERLINK("https://lindat.mff.cuni.cz/services/teitok/pdtc10/index.php?action=vallex&amp;frame=v-whsa_580hsa_581", "vyprázdnit se (v-whsa_580hsa_581) - substituted with v-whsa_580f1_ZU")</f>
        <v>vyprázdnit se (v-whsa_580hsa_581) - substituted with v-whsa_580f1_ZU</v>
      </c>
    </row>
    <row r="58859" spans="1:4" x14ac:dyDescent="0.2">
      <c r="B58859" t="s">
        <v>1</v>
      </c>
    </row>
    <row r="58861" spans="1:4" x14ac:dyDescent="0.2">
      <c r="A58861" t="s">
        <v>18436</v>
      </c>
      <c r="B58861" t="str">
        <f>HYPERLINK("https://lindat.mff.cuni.cz/services/teitok/pdtc10/index.php?action=vallex&amp;frame=v-w12215_ZUf1_ZU", "vyprášit (v-w12215_ZUf1_ZU)")</f>
        <v>vyprášit (v-w12215_ZUf1_ZU)</v>
      </c>
    </row>
    <row r="58862" spans="1:4" x14ac:dyDescent="0.2">
      <c r="B58862" t="s">
        <v>1</v>
      </c>
    </row>
    <row r="58863" spans="1:4" x14ac:dyDescent="0.2">
      <c r="B58863" t="s">
        <v>8</v>
      </c>
    </row>
    <row r="58865" spans="1:4" x14ac:dyDescent="0.2">
      <c r="A58865" t="s">
        <v>18437</v>
      </c>
      <c r="B58865" t="str">
        <f>HYPERLINK("https://lindat.mff.cuni.cz/services/teitok/pdtc10/index.php?action=vallex&amp;frame=v-w8267f1", "vypršet (v-w8267f1)")</f>
        <v>vypršet (v-w8267f1)</v>
      </c>
    </row>
    <row r="58866" spans="1:4" x14ac:dyDescent="0.2">
      <c r="B58866" t="s">
        <v>1</v>
      </c>
      <c r="C58866" t="s">
        <v>18438</v>
      </c>
      <c r="D58866" t="s">
        <v>24403</v>
      </c>
    </row>
    <row r="58868" spans="1:4" x14ac:dyDescent="0.2">
      <c r="A58868" t="s">
        <v>18439</v>
      </c>
      <c r="B58868" t="str">
        <f>HYPERLINK("https://lindat.mff.cuni.cz/services/teitok/pdtc10/index.php?action=vallex&amp;frame=v-w8270f1", "vypsat (v-w8270f1)")</f>
        <v>vypsat (v-w8270f1)</v>
      </c>
    </row>
    <row r="58869" spans="1:4" x14ac:dyDescent="0.2">
      <c r="B58869" t="s">
        <v>1</v>
      </c>
      <c r="C58869" t="s">
        <v>18440</v>
      </c>
      <c r="D58869" t="s">
        <v>23261</v>
      </c>
    </row>
    <row r="58870" spans="1:4" x14ac:dyDescent="0.2">
      <c r="B58870" t="s">
        <v>41</v>
      </c>
      <c r="C58870" t="s">
        <v>18441</v>
      </c>
      <c r="D58870" t="s">
        <v>9548</v>
      </c>
    </row>
    <row r="58872" spans="1:4" x14ac:dyDescent="0.2">
      <c r="A58872" t="s">
        <v>18442</v>
      </c>
      <c r="B58872" t="str">
        <f>HYPERLINK("https://lindat.mff.cuni.cz/services/teitok/pdtc10/index.php?action=vallex&amp;frame=v-w8270hsa_2035", "vypsat (v-w8270hsa_2035)")</f>
        <v>vypsat (v-w8270hsa_2035)</v>
      </c>
    </row>
    <row r="58873" spans="1:4" x14ac:dyDescent="0.2">
      <c r="B58873" t="s">
        <v>1</v>
      </c>
    </row>
    <row r="58874" spans="1:4" x14ac:dyDescent="0.2">
      <c r="B58874" t="s">
        <v>8</v>
      </c>
    </row>
    <row r="58876" spans="1:4" x14ac:dyDescent="0.2">
      <c r="A58876" t="s">
        <v>18443</v>
      </c>
      <c r="B58876" t="str">
        <f>HYPERLINK("https://lindat.mff.cuni.cz/services/teitok/pdtc10/index.php?action=vallex&amp;frame=v-w8271f1", "vyptat se (v-w8271f1)")</f>
        <v>vyptat se (v-w8271f1)</v>
      </c>
    </row>
    <row r="58877" spans="1:4" x14ac:dyDescent="0.2">
      <c r="B58877" t="s">
        <v>1</v>
      </c>
      <c r="D58877" t="s">
        <v>23213</v>
      </c>
    </row>
    <row r="58878" spans="1:4" x14ac:dyDescent="0.2">
      <c r="B58878" t="s">
        <v>2129</v>
      </c>
      <c r="D58878" t="s">
        <v>23214</v>
      </c>
    </row>
    <row r="58879" spans="1:4" x14ac:dyDescent="0.2">
      <c r="B58879" t="s">
        <v>2131</v>
      </c>
      <c r="D58879" t="s">
        <v>23215</v>
      </c>
    </row>
    <row r="58881" spans="1:4" x14ac:dyDescent="0.2">
      <c r="A58881" t="s">
        <v>18444</v>
      </c>
      <c r="B58881" t="str">
        <f>HYPERLINK("https://lindat.mff.cuni.cz/services/teitok/pdtc10/index.php?action=vallex&amp;frame=v-w8273f1", "vyptávat se (v-w8273f1)")</f>
        <v>vyptávat se (v-w8273f1)</v>
      </c>
    </row>
    <row r="58882" spans="1:4" x14ac:dyDescent="0.2">
      <c r="B58882" t="s">
        <v>1</v>
      </c>
      <c r="C58882" t="s">
        <v>133</v>
      </c>
      <c r="D58882" t="s">
        <v>23213</v>
      </c>
    </row>
    <row r="58883" spans="1:4" x14ac:dyDescent="0.2">
      <c r="B58883" t="s">
        <v>2129</v>
      </c>
      <c r="C58883" t="s">
        <v>84</v>
      </c>
      <c r="D58883" t="s">
        <v>23214</v>
      </c>
    </row>
    <row r="58884" spans="1:4" x14ac:dyDescent="0.2">
      <c r="B58884" t="s">
        <v>2131</v>
      </c>
      <c r="C58884" t="s">
        <v>18445</v>
      </c>
      <c r="D58884" t="s">
        <v>23215</v>
      </c>
    </row>
    <row r="58886" spans="1:4" x14ac:dyDescent="0.2">
      <c r="A58886" t="s">
        <v>18446</v>
      </c>
      <c r="B58886" t="str">
        <f>HYPERLINK("https://lindat.mff.cuni.cz/services/teitok/pdtc10/index.php?action=vallex&amp;frame=v-w12023_ZUf1_ZU", "vypucovat (v-w12023_ZUf1_ZU)")</f>
        <v>vypucovat (v-w12023_ZUf1_ZU)</v>
      </c>
    </row>
    <row r="58887" spans="1:4" x14ac:dyDescent="0.2">
      <c r="B58887" t="s">
        <v>1</v>
      </c>
    </row>
    <row r="58888" spans="1:4" x14ac:dyDescent="0.2">
      <c r="B58888" t="s">
        <v>8</v>
      </c>
    </row>
    <row r="58890" spans="1:4" x14ac:dyDescent="0.2">
      <c r="A58890" t="s">
        <v>18447</v>
      </c>
      <c r="B58890" t="str">
        <f>HYPERLINK("https://lindat.mff.cuni.cz/services/teitok/pdtc10/index.php?action=vallex&amp;frame=v-w8274f1", "vypudit (v-w8274f1)")</f>
        <v>vypudit (v-w8274f1)</v>
      </c>
    </row>
    <row r="58891" spans="1:4" x14ac:dyDescent="0.2">
      <c r="B58891" t="s">
        <v>1</v>
      </c>
      <c r="C58891" t="s">
        <v>9239</v>
      </c>
      <c r="D58891" t="s">
        <v>6131</v>
      </c>
    </row>
    <row r="58892" spans="1:4" x14ac:dyDescent="0.2">
      <c r="B58892" t="s">
        <v>8</v>
      </c>
      <c r="C58892" t="s">
        <v>6891</v>
      </c>
      <c r="D58892" t="s">
        <v>18247</v>
      </c>
    </row>
    <row r="58893" spans="1:4" x14ac:dyDescent="0.2">
      <c r="B58893" t="s">
        <v>333</v>
      </c>
      <c r="C58893" t="s">
        <v>7510</v>
      </c>
      <c r="D58893" t="s">
        <v>23090</v>
      </c>
    </row>
    <row r="58895" spans="1:4" x14ac:dyDescent="0.2">
      <c r="A58895" t="s">
        <v>18448</v>
      </c>
      <c r="B58895" t="str">
        <f>HYPERLINK("https://lindat.mff.cuni.cz/services/teitok/pdtc10/index.php?action=vallex&amp;frame=v-w8279f1", "vypuknout (v-w8279f1)")</f>
        <v>vypuknout (v-w8279f1)</v>
      </c>
    </row>
    <row r="58896" spans="1:4" x14ac:dyDescent="0.2">
      <c r="B58896" t="s">
        <v>1</v>
      </c>
      <c r="C58896" t="s">
        <v>18449</v>
      </c>
      <c r="D58896" t="s">
        <v>23959</v>
      </c>
    </row>
    <row r="58898" spans="1:4" x14ac:dyDescent="0.2">
      <c r="A58898" t="s">
        <v>18450</v>
      </c>
      <c r="B58898" t="str">
        <f>HYPERLINK("https://lindat.mff.cuni.cz/services/teitok/pdtc10/index.php?action=vallex&amp;frame=v-w8281f1", "vypumpovat (v-w8281f1)")</f>
        <v>vypumpovat (v-w8281f1)</v>
      </c>
    </row>
    <row r="58899" spans="1:4" x14ac:dyDescent="0.2">
      <c r="B58899" t="s">
        <v>1</v>
      </c>
      <c r="D58899" t="s">
        <v>1566</v>
      </c>
    </row>
    <row r="58900" spans="1:4" x14ac:dyDescent="0.2">
      <c r="B58900" t="s">
        <v>8</v>
      </c>
      <c r="C58900" t="s">
        <v>113</v>
      </c>
      <c r="D58900" t="s">
        <v>338</v>
      </c>
    </row>
    <row r="58902" spans="1:4" x14ac:dyDescent="0.2">
      <c r="A58902" t="s">
        <v>18451</v>
      </c>
      <c r="B58902" t="str">
        <f>HYPERLINK("https://lindat.mff.cuni.cz/services/teitok/pdtc10/index.php?action=vallex&amp;frame=v-w8282f7_ZU", "vypustit (v-w8282f7_ZU)")</f>
        <v>vypustit (v-w8282f7_ZU)</v>
      </c>
    </row>
    <row r="58903" spans="1:4" x14ac:dyDescent="0.2">
      <c r="B58903" t="s">
        <v>1</v>
      </c>
    </row>
    <row r="58904" spans="1:4" x14ac:dyDescent="0.2">
      <c r="B58904" t="s">
        <v>8</v>
      </c>
    </row>
    <row r="58905" spans="1:4" x14ac:dyDescent="0.2">
      <c r="B58905" t="s">
        <v>333</v>
      </c>
    </row>
    <row r="58907" spans="1:4" x14ac:dyDescent="0.2">
      <c r="A58907" t="s">
        <v>18451</v>
      </c>
      <c r="B58907" t="str">
        <f>HYPERLINK("https://lindat.mff.cuni.cz/services/teitok/pdtc10/index.php?action=vallex&amp;frame=v-w8282f5_ZU", "vypustit (v-w8282f5_ZU) - substituted with v-w8282f7_ZU")</f>
        <v>vypustit (v-w8282f5_ZU) - substituted with v-w8282f7_ZU</v>
      </c>
    </row>
    <row r="58908" spans="1:4" x14ac:dyDescent="0.2">
      <c r="B58908" t="s">
        <v>1</v>
      </c>
    </row>
    <row r="58909" spans="1:4" x14ac:dyDescent="0.2">
      <c r="B58909" t="s">
        <v>8</v>
      </c>
    </row>
    <row r="58910" spans="1:4" x14ac:dyDescent="0.2">
      <c r="B58910" t="s">
        <v>333</v>
      </c>
    </row>
    <row r="58912" spans="1:4" x14ac:dyDescent="0.2">
      <c r="A58912" t="s">
        <v>18452</v>
      </c>
      <c r="B58912" t="str">
        <f>HYPERLINK("https://lindat.mff.cuni.cz/services/teitok/pdtc10/index.php?action=vallex&amp;frame=v-w8282f6_ZU", "vypustit (v-w8282f6_ZU)")</f>
        <v>vypustit (v-w8282f6_ZU)</v>
      </c>
    </row>
    <row r="58913" spans="1:3" x14ac:dyDescent="0.2">
      <c r="B58913" t="s">
        <v>1</v>
      </c>
    </row>
    <row r="58914" spans="1:3" x14ac:dyDescent="0.2">
      <c r="B58914" t="s">
        <v>8</v>
      </c>
    </row>
    <row r="58915" spans="1:3" x14ac:dyDescent="0.2">
      <c r="B58915" t="s">
        <v>333</v>
      </c>
    </row>
    <row r="58917" spans="1:3" x14ac:dyDescent="0.2">
      <c r="A58917" t="s">
        <v>18452</v>
      </c>
      <c r="B58917" t="str">
        <f>HYPERLINK("https://lindat.mff.cuni.cz/services/teitok/pdtc10/index.php?action=vallex&amp;frame=v-w8282f3", "vypustit (v-w8282f3) - substituted with v-w8282f6_ZU")</f>
        <v>vypustit (v-w8282f3) - substituted with v-w8282f6_ZU</v>
      </c>
    </row>
    <row r="58918" spans="1:3" x14ac:dyDescent="0.2">
      <c r="B58918" t="s">
        <v>1</v>
      </c>
      <c r="C58918" t="s">
        <v>7126</v>
      </c>
    </row>
    <row r="58919" spans="1:3" x14ac:dyDescent="0.2">
      <c r="B58919" t="s">
        <v>8</v>
      </c>
      <c r="C58919" t="s">
        <v>18453</v>
      </c>
    </row>
    <row r="58920" spans="1:3" x14ac:dyDescent="0.2">
      <c r="B58920" t="s">
        <v>333</v>
      </c>
    </row>
    <row r="58922" spans="1:3" x14ac:dyDescent="0.2">
      <c r="A58922" t="s">
        <v>18452</v>
      </c>
      <c r="B58922" t="str">
        <f>HYPERLINK("https://lindat.mff.cuni.cz/services/teitok/pdtc10/index.php?action=vallex&amp;frame=v-w8282f4_ZU", "vypustit (v-w8282f4_ZU) - substituted with v-w8282f6_ZU")</f>
        <v>vypustit (v-w8282f4_ZU) - substituted with v-w8282f6_ZU</v>
      </c>
    </row>
    <row r="58923" spans="1:3" x14ac:dyDescent="0.2">
      <c r="B58923" t="s">
        <v>1</v>
      </c>
    </row>
    <row r="58924" spans="1:3" x14ac:dyDescent="0.2">
      <c r="B58924" t="s">
        <v>8</v>
      </c>
    </row>
    <row r="58925" spans="1:3" x14ac:dyDescent="0.2">
      <c r="B58925" t="s">
        <v>333</v>
      </c>
    </row>
    <row r="58927" spans="1:3" x14ac:dyDescent="0.2">
      <c r="A58927" t="s">
        <v>18454</v>
      </c>
      <c r="B58927" t="str">
        <f>HYPERLINK("https://lindat.mff.cuni.cz/services/teitok/pdtc10/index.php?action=vallex&amp;frame=v-w8282f9_ZU", "vypustit (v-w8282f9_ZU)")</f>
        <v>vypustit (v-w8282f9_ZU)</v>
      </c>
    </row>
    <row r="58928" spans="1:3" x14ac:dyDescent="0.2">
      <c r="B58928" t="s">
        <v>1</v>
      </c>
      <c r="C58928" t="s">
        <v>1232</v>
      </c>
    </row>
    <row r="58929" spans="1:3" x14ac:dyDescent="0.2">
      <c r="B58929" t="s">
        <v>8</v>
      </c>
      <c r="C58929" t="s">
        <v>1643</v>
      </c>
    </row>
    <row r="58930" spans="1:3" x14ac:dyDescent="0.2">
      <c r="B58930" t="s">
        <v>90</v>
      </c>
    </row>
    <row r="58932" spans="1:3" x14ac:dyDescent="0.2">
      <c r="A58932" t="s">
        <v>18454</v>
      </c>
      <c r="B58932" t="str">
        <f>HYPERLINK("https://lindat.mff.cuni.cz/services/teitok/pdtc10/index.php?action=vallex&amp;frame=v-w8282f8_ZU", "vypustit (v-w8282f8_ZU) - substituted with v-w8282f9_ZU")</f>
        <v>vypustit (v-w8282f8_ZU) - substituted with v-w8282f9_ZU</v>
      </c>
    </row>
    <row r="58933" spans="1:3" x14ac:dyDescent="0.2">
      <c r="B58933" t="s">
        <v>1</v>
      </c>
    </row>
    <row r="58934" spans="1:3" x14ac:dyDescent="0.2">
      <c r="B58934" t="s">
        <v>8</v>
      </c>
    </row>
    <row r="58935" spans="1:3" x14ac:dyDescent="0.2">
      <c r="B58935" t="s">
        <v>90</v>
      </c>
    </row>
    <row r="58937" spans="1:3" x14ac:dyDescent="0.2">
      <c r="A58937" t="s">
        <v>18455</v>
      </c>
      <c r="B58937" t="str">
        <f>HYPERLINK("https://lindat.mff.cuni.cz/services/teitok/pdtc10/index.php?action=vallex&amp;frame=v-w8282f1", "vypustit (v-w8282f1)")</f>
        <v>vypustit (v-w8282f1)</v>
      </c>
    </row>
    <row r="58938" spans="1:3" x14ac:dyDescent="0.2">
      <c r="B58938" t="s">
        <v>1</v>
      </c>
      <c r="C58938" t="s">
        <v>133</v>
      </c>
    </row>
    <row r="58939" spans="1:3" x14ac:dyDescent="0.2">
      <c r="B58939" t="s">
        <v>8</v>
      </c>
      <c r="C58939" t="s">
        <v>54</v>
      </c>
    </row>
    <row r="58941" spans="1:3" x14ac:dyDescent="0.2">
      <c r="A58941" t="s">
        <v>18456</v>
      </c>
      <c r="B58941" t="str">
        <f>HYPERLINK("https://lindat.mff.cuni.cz/services/teitok/pdtc10/index.php?action=vallex&amp;frame=v-w8282f2", "vypustit (v-w8282f2)")</f>
        <v>vypustit (v-w8282f2)</v>
      </c>
    </row>
    <row r="58942" spans="1:3" x14ac:dyDescent="0.2">
      <c r="B58942" t="s">
        <v>1</v>
      </c>
      <c r="C58942" t="s">
        <v>133</v>
      </c>
    </row>
    <row r="58943" spans="1:3" x14ac:dyDescent="0.2">
      <c r="B58943" t="s">
        <v>8</v>
      </c>
      <c r="C58943" t="s">
        <v>23</v>
      </c>
    </row>
    <row r="58945" spans="1:4" x14ac:dyDescent="0.2">
      <c r="A58945" t="s">
        <v>18457</v>
      </c>
      <c r="B58945" t="str">
        <f>HYPERLINK("https://lindat.mff.cuni.cz/services/teitok/pdtc10/index.php?action=vallex&amp;frame=v-w8285f1", "vypuzovat (v-w8285f1)")</f>
        <v>vypuzovat (v-w8285f1)</v>
      </c>
    </row>
    <row r="58946" spans="1:4" x14ac:dyDescent="0.2">
      <c r="B58946" t="s">
        <v>1</v>
      </c>
      <c r="D58946" t="s">
        <v>6131</v>
      </c>
    </row>
    <row r="58947" spans="1:4" x14ac:dyDescent="0.2">
      <c r="B58947" t="s">
        <v>8</v>
      </c>
      <c r="D58947" t="s">
        <v>18247</v>
      </c>
    </row>
    <row r="58948" spans="1:4" x14ac:dyDescent="0.2">
      <c r="B58948" t="s">
        <v>333</v>
      </c>
      <c r="D58948" t="s">
        <v>23090</v>
      </c>
    </row>
    <row r="58950" spans="1:4" x14ac:dyDescent="0.2">
      <c r="A58950" t="s">
        <v>18458</v>
      </c>
      <c r="B58950" t="str">
        <f>HYPERLINK("https://lindat.mff.cuni.cz/services/teitok/pdtc10/index.php?action=vallex&amp;frame=v-w8174f1", "vypálit (v-w8174f1)")</f>
        <v>vypálit (v-w8174f1)</v>
      </c>
    </row>
    <row r="58951" spans="1:4" x14ac:dyDescent="0.2">
      <c r="B58951" t="s">
        <v>1</v>
      </c>
    </row>
    <row r="58952" spans="1:4" x14ac:dyDescent="0.2">
      <c r="B58952" t="s">
        <v>8</v>
      </c>
    </row>
    <row r="58954" spans="1:4" x14ac:dyDescent="0.2">
      <c r="A58954" t="s">
        <v>18459</v>
      </c>
      <c r="B58954" t="str">
        <f>HYPERLINK("https://lindat.mff.cuni.cz/services/teitok/pdtc10/index.php?action=vallex&amp;frame=v-w8174f2", "vypálit (v-w8174f2)")</f>
        <v>vypálit (v-w8174f2)</v>
      </c>
    </row>
    <row r="58955" spans="1:4" x14ac:dyDescent="0.2">
      <c r="B58955" t="s">
        <v>1</v>
      </c>
      <c r="C58955" t="s">
        <v>334</v>
      </c>
    </row>
    <row r="58956" spans="1:4" x14ac:dyDescent="0.2">
      <c r="B58956" t="s">
        <v>18460</v>
      </c>
      <c r="C58956" t="s">
        <v>18461</v>
      </c>
    </row>
    <row r="58957" spans="1:4" x14ac:dyDescent="0.2">
      <c r="B58957" t="s">
        <v>103</v>
      </c>
      <c r="C58957" t="s">
        <v>1331</v>
      </c>
    </row>
    <row r="58959" spans="1:4" x14ac:dyDescent="0.2">
      <c r="A58959" t="s">
        <v>18462</v>
      </c>
      <c r="B58959" t="str">
        <f>HYPERLINK("https://lindat.mff.cuni.cz/services/teitok/pdtc10/index.php?action=vallex&amp;frame=v-w8174f3_ZU", "vypálit (v-w8174f3_ZU)")</f>
        <v>vypálit (v-w8174f3_ZU)</v>
      </c>
    </row>
    <row r="58960" spans="1:4" x14ac:dyDescent="0.2">
      <c r="B58960" t="s">
        <v>1</v>
      </c>
    </row>
    <row r="58961" spans="1:2" x14ac:dyDescent="0.2">
      <c r="B58961" t="s">
        <v>8</v>
      </c>
    </row>
    <row r="58963" spans="1:2" x14ac:dyDescent="0.2">
      <c r="A58963" t="s">
        <v>18462</v>
      </c>
      <c r="B58963" t="str">
        <f>HYPERLINK("https://lindat.mff.cuni.cz/services/teitok/pdtc10/index.php?action=vallex&amp;frame=v-w8174hsa_514", "vypálit (v-w8174hsa_514) - substituted with v-w8174f3_ZU")</f>
        <v>vypálit (v-w8174hsa_514) - substituted with v-w8174f3_ZU</v>
      </c>
    </row>
    <row r="58964" spans="1:2" x14ac:dyDescent="0.2">
      <c r="B58964" t="s">
        <v>1</v>
      </c>
    </row>
    <row r="58965" spans="1:2" x14ac:dyDescent="0.2">
      <c r="B58965" t="s">
        <v>8</v>
      </c>
    </row>
    <row r="58967" spans="1:2" x14ac:dyDescent="0.2">
      <c r="A58967" t="s">
        <v>18463</v>
      </c>
      <c r="B58967" t="str">
        <f>HYPERLINK("https://lindat.mff.cuni.cz/services/teitok/pdtc10/index.php?action=vallex&amp;frame=v-w8174f4_ZU", "vypálit (v-w8174f4_ZU)")</f>
        <v>vypálit (v-w8174f4_ZU)</v>
      </c>
    </row>
    <row r="58968" spans="1:2" x14ac:dyDescent="0.2">
      <c r="B58968" t="s">
        <v>1</v>
      </c>
    </row>
    <row r="58969" spans="1:2" x14ac:dyDescent="0.2">
      <c r="B58969" t="s">
        <v>8</v>
      </c>
    </row>
    <row r="58970" spans="1:2" x14ac:dyDescent="0.2">
      <c r="B58970" t="s">
        <v>252</v>
      </c>
    </row>
    <row r="58972" spans="1:2" x14ac:dyDescent="0.2">
      <c r="A58972" t="s">
        <v>18464</v>
      </c>
      <c r="B58972" t="str">
        <f>HYPERLINK("https://lindat.mff.cuni.cz/services/teitok/pdtc10/index.php?action=vallex&amp;frame=v-w12310_MMf1_MM", "vypárat (v-w12310_MMf1_MM)")</f>
        <v>vypárat (v-w12310_MMf1_MM)</v>
      </c>
    </row>
    <row r="58973" spans="1:2" x14ac:dyDescent="0.2">
      <c r="B58973" t="s">
        <v>1</v>
      </c>
    </row>
    <row r="58974" spans="1:2" x14ac:dyDescent="0.2">
      <c r="B58974" t="s">
        <v>8</v>
      </c>
    </row>
    <row r="58975" spans="1:2" x14ac:dyDescent="0.2">
      <c r="B58975" t="s">
        <v>333</v>
      </c>
    </row>
    <row r="58977" spans="1:2" x14ac:dyDescent="0.2">
      <c r="A58977" t="s">
        <v>18465</v>
      </c>
      <c r="B58977" t="str">
        <f>HYPERLINK("https://lindat.mff.cuni.cz/services/teitok/pdtc10/index.php?action=vallex&amp;frame=v-whsa_200hsa_201", "vypást (v-whsa_200hsa_201)")</f>
        <v>vypást (v-whsa_200hsa_201)</v>
      </c>
    </row>
    <row r="58978" spans="1:2" x14ac:dyDescent="0.2">
      <c r="B58978" t="s">
        <v>1</v>
      </c>
    </row>
    <row r="58979" spans="1:2" x14ac:dyDescent="0.2">
      <c r="B58979" t="s">
        <v>8</v>
      </c>
    </row>
    <row r="58981" spans="1:2" x14ac:dyDescent="0.2">
      <c r="A58981" t="s">
        <v>18466</v>
      </c>
      <c r="B58981" t="str">
        <f>HYPERLINK("https://lindat.mff.cuni.cz/services/teitok/pdtc10/index.php?action=vallex&amp;frame=v-whsa_200hsa_202", "vypást (v-whsa_200hsa_202)")</f>
        <v>vypást (v-whsa_200hsa_202)</v>
      </c>
    </row>
    <row r="58982" spans="1:2" x14ac:dyDescent="0.2">
      <c r="B58982" t="s">
        <v>1</v>
      </c>
    </row>
    <row r="58983" spans="1:2" x14ac:dyDescent="0.2">
      <c r="B58983" t="s">
        <v>8</v>
      </c>
    </row>
    <row r="58985" spans="1:2" x14ac:dyDescent="0.2">
      <c r="A58985" t="s">
        <v>18467</v>
      </c>
      <c r="B58985" t="str">
        <f>HYPERLINK("https://lindat.mff.cuni.cz/services/teitok/pdtc10/index.php?action=vallex&amp;frame=v-w8176f1", "vypátrat (v-w8176f1)")</f>
        <v>vypátrat (v-w8176f1)</v>
      </c>
    </row>
    <row r="58986" spans="1:2" x14ac:dyDescent="0.2">
      <c r="B58986" t="s">
        <v>1</v>
      </c>
    </row>
    <row r="58987" spans="1:2" x14ac:dyDescent="0.2">
      <c r="B58987" t="s">
        <v>1284</v>
      </c>
    </row>
    <row r="58989" spans="1:2" x14ac:dyDescent="0.2">
      <c r="A58989" t="s">
        <v>18468</v>
      </c>
      <c r="B58989" t="str">
        <f>HYPERLINK("https://lindat.mff.cuni.cz/services/teitok/pdtc10/index.php?action=vallex&amp;frame=v-w8178f1", "vypíchnout (v-w8178f1)")</f>
        <v>vypíchnout (v-w8178f1)</v>
      </c>
    </row>
    <row r="58990" spans="1:2" x14ac:dyDescent="0.2">
      <c r="B58990" t="s">
        <v>1</v>
      </c>
    </row>
    <row r="58991" spans="1:2" x14ac:dyDescent="0.2">
      <c r="B58991" t="s">
        <v>124</v>
      </c>
    </row>
    <row r="58993" spans="1:4" x14ac:dyDescent="0.2">
      <c r="A58993" t="s">
        <v>18469</v>
      </c>
      <c r="B58993" t="str">
        <f>HYPERLINK("https://lindat.mff.cuni.cz/services/teitok/pdtc10/index.php?action=vallex&amp;frame=v-w8178f2", "vypíchnout (v-w8178f2)")</f>
        <v>vypíchnout (v-w8178f2)</v>
      </c>
    </row>
    <row r="58994" spans="1:4" x14ac:dyDescent="0.2">
      <c r="B58994" t="s">
        <v>1</v>
      </c>
    </row>
    <row r="58995" spans="1:4" x14ac:dyDescent="0.2">
      <c r="B58995" t="s">
        <v>8</v>
      </c>
    </row>
    <row r="58997" spans="1:4" x14ac:dyDescent="0.2">
      <c r="A58997" t="s">
        <v>18470</v>
      </c>
      <c r="B58997" t="str">
        <f>HYPERLINK("https://lindat.mff.cuni.cz/services/teitok/pdtc10/index.php?action=vallex&amp;frame=v-w10721f2", "vypínat (v-w10721f2)")</f>
        <v>vypínat (v-w10721f2)</v>
      </c>
    </row>
    <row r="58998" spans="1:4" x14ac:dyDescent="0.2">
      <c r="B58998" t="s">
        <v>1</v>
      </c>
      <c r="C58998" t="s">
        <v>430</v>
      </c>
      <c r="D58998" t="s">
        <v>373</v>
      </c>
    </row>
    <row r="58999" spans="1:4" x14ac:dyDescent="0.2">
      <c r="B58999" t="s">
        <v>8</v>
      </c>
      <c r="C58999" t="s">
        <v>56</v>
      </c>
      <c r="D58999" t="s">
        <v>2240</v>
      </c>
    </row>
    <row r="59001" spans="1:4" x14ac:dyDescent="0.2">
      <c r="A59001" t="s">
        <v>18471</v>
      </c>
      <c r="B59001" t="str">
        <f>HYPERLINK("https://lindat.mff.cuni.cz/services/teitok/pdtc10/index.php?action=vallex&amp;frame=v-w8182f1", "vypískat (v-w8182f1)")</f>
        <v>vypískat (v-w8182f1)</v>
      </c>
    </row>
    <row r="59002" spans="1:4" x14ac:dyDescent="0.2">
      <c r="B59002" t="s">
        <v>1</v>
      </c>
    </row>
    <row r="59003" spans="1:4" x14ac:dyDescent="0.2">
      <c r="B59003" t="s">
        <v>8</v>
      </c>
    </row>
    <row r="59005" spans="1:4" x14ac:dyDescent="0.2">
      <c r="A59005" t="s">
        <v>18472</v>
      </c>
      <c r="B59005" t="str">
        <f>HYPERLINK("https://lindat.mff.cuni.cz/services/teitok/pdtc10/index.php?action=vallex&amp;frame=v-w10524f2", "vypískávat (v-w10524f2)")</f>
        <v>vypískávat (v-w10524f2)</v>
      </c>
    </row>
    <row r="59006" spans="1:4" x14ac:dyDescent="0.2">
      <c r="B59006" t="s">
        <v>1</v>
      </c>
    </row>
    <row r="59007" spans="1:4" x14ac:dyDescent="0.2">
      <c r="B59007" t="s">
        <v>8</v>
      </c>
    </row>
    <row r="59009" spans="1:3" x14ac:dyDescent="0.2">
      <c r="A59009" t="s">
        <v>18473</v>
      </c>
      <c r="B59009" t="str">
        <f>HYPERLINK("https://lindat.mff.cuni.cz/services/teitok/pdtc10/index.php?action=vallex&amp;frame=v-w8185f1", "vypít (v-w8185f1)")</f>
        <v>vypít (v-w8185f1)</v>
      </c>
    </row>
    <row r="59010" spans="1:3" x14ac:dyDescent="0.2">
      <c r="B59010" t="s">
        <v>1</v>
      </c>
    </row>
    <row r="59011" spans="1:3" x14ac:dyDescent="0.2">
      <c r="B59011" t="s">
        <v>8</v>
      </c>
    </row>
    <row r="59013" spans="1:3" x14ac:dyDescent="0.2">
      <c r="A59013" t="s">
        <v>18474</v>
      </c>
      <c r="B59013" t="str">
        <f>HYPERLINK("https://lindat.mff.cuni.cz/services/teitok/pdtc10/index.php?action=vallex&amp;frame=v-w10393f2", "vypěnit (v-w10393f2)")</f>
        <v>vypěnit (v-w10393f2)</v>
      </c>
    </row>
    <row r="59014" spans="1:3" x14ac:dyDescent="0.2">
      <c r="B59014" t="s">
        <v>1</v>
      </c>
    </row>
    <row r="59016" spans="1:3" x14ac:dyDescent="0.2">
      <c r="A59016" t="s">
        <v>18475</v>
      </c>
      <c r="B59016" t="str">
        <f>HYPERLINK("https://lindat.mff.cuni.cz/services/teitok/pdtc10/index.php?action=vallex&amp;frame=v-w10393f3_ZU", "vypěnit (v-w10393f3_ZU)")</f>
        <v>vypěnit (v-w10393f3_ZU)</v>
      </c>
    </row>
    <row r="59017" spans="1:3" x14ac:dyDescent="0.2">
      <c r="B59017" t="s">
        <v>1</v>
      </c>
      <c r="C59017" t="s">
        <v>147</v>
      </c>
    </row>
    <row r="59019" spans="1:3" x14ac:dyDescent="0.2">
      <c r="A59019" t="s">
        <v>18476</v>
      </c>
      <c r="B59019" t="str">
        <f>HYPERLINK("https://lindat.mff.cuni.cz/services/teitok/pdtc10/index.php?action=vallex&amp;frame=v-w8177f1", "vypěstovat (v-w8177f1)")</f>
        <v>vypěstovat (v-w8177f1)</v>
      </c>
    </row>
    <row r="59020" spans="1:3" x14ac:dyDescent="0.2">
      <c r="B59020" t="s">
        <v>1</v>
      </c>
      <c r="C59020" t="s">
        <v>109</v>
      </c>
    </row>
    <row r="59021" spans="1:3" x14ac:dyDescent="0.2">
      <c r="B59021" t="s">
        <v>8</v>
      </c>
      <c r="C59021" t="s">
        <v>2213</v>
      </c>
    </row>
    <row r="59022" spans="1:3" x14ac:dyDescent="0.2">
      <c r="B59022" t="s">
        <v>24</v>
      </c>
      <c r="C59022" t="s">
        <v>7352</v>
      </c>
    </row>
    <row r="59024" spans="1:3" x14ac:dyDescent="0.2">
      <c r="A59024" t="s">
        <v>18477</v>
      </c>
      <c r="B59024" t="str">
        <f>HYPERLINK("https://lindat.mff.cuni.cz/services/teitok/pdtc10/index.php?action=vallex&amp;frame=v-w8177f2", "vypěstovat (v-w8177f2)")</f>
        <v>vypěstovat (v-w8177f2)</v>
      </c>
    </row>
    <row r="59025" spans="1:3" x14ac:dyDescent="0.2">
      <c r="B59025" t="s">
        <v>1</v>
      </c>
      <c r="C59025" t="s">
        <v>317</v>
      </c>
    </row>
    <row r="59026" spans="1:3" x14ac:dyDescent="0.2">
      <c r="B59026" t="s">
        <v>8</v>
      </c>
      <c r="C59026" t="s">
        <v>3270</v>
      </c>
    </row>
    <row r="59028" spans="1:3" x14ac:dyDescent="0.2">
      <c r="A59028" t="s">
        <v>18478</v>
      </c>
      <c r="B59028" t="str">
        <f>HYPERLINK("https://lindat.mff.cuni.cz/services/teitok/pdtc10/index.php?action=vallex&amp;frame=v-w12025_ZUf2_ZU", "vypřáhnout (v-w12025_ZUf2_ZU)")</f>
        <v>vypřáhnout (v-w12025_ZUf2_ZU)</v>
      </c>
    </row>
    <row r="59029" spans="1:3" x14ac:dyDescent="0.2">
      <c r="B59029" t="s">
        <v>1</v>
      </c>
    </row>
    <row r="59030" spans="1:3" x14ac:dyDescent="0.2">
      <c r="B59030" t="s">
        <v>8</v>
      </c>
    </row>
    <row r="59032" spans="1:3" x14ac:dyDescent="0.2">
      <c r="A59032" t="s">
        <v>18478</v>
      </c>
      <c r="B59032" t="str">
        <f>HYPERLINK("https://lindat.mff.cuni.cz/services/teitok/pdtc10/index.php?action=vallex&amp;frame=v-w12025_ZUf1_ZU", "vypřáhnout (v-w12025_ZUf1_ZU) - substituted with v-w12025_ZUf2_ZU")</f>
        <v>vypřáhnout (v-w12025_ZUf1_ZU) - substituted with v-w12025_ZUf2_ZU</v>
      </c>
    </row>
    <row r="59033" spans="1:3" x14ac:dyDescent="0.2">
      <c r="B59033" t="s">
        <v>1</v>
      </c>
    </row>
    <row r="59034" spans="1:3" x14ac:dyDescent="0.2">
      <c r="B59034" t="s">
        <v>8</v>
      </c>
    </row>
    <row r="59036" spans="1:3" x14ac:dyDescent="0.2">
      <c r="A59036" t="s">
        <v>18479</v>
      </c>
      <c r="B59036" t="str">
        <f>HYPERLINK("https://lindat.mff.cuni.cz/services/teitok/pdtc10/index.php?action=vallex&amp;frame=v-w8276f1", "vypůjčit (v-w8276f1)")</f>
        <v>vypůjčit (v-w8276f1)</v>
      </c>
    </row>
    <row r="59037" spans="1:3" x14ac:dyDescent="0.2">
      <c r="B59037" t="s">
        <v>1</v>
      </c>
    </row>
    <row r="59038" spans="1:3" x14ac:dyDescent="0.2">
      <c r="B59038" t="s">
        <v>8</v>
      </c>
    </row>
    <row r="59039" spans="1:3" x14ac:dyDescent="0.2">
      <c r="B59039" t="s">
        <v>35</v>
      </c>
    </row>
    <row r="59041" spans="1:4" x14ac:dyDescent="0.2">
      <c r="A59041" t="s">
        <v>18480</v>
      </c>
      <c r="B59041" t="str">
        <f>HYPERLINK("https://lindat.mff.cuni.cz/services/teitok/pdtc10/index.php?action=vallex&amp;frame=v-w8277f1", "vypůjčit si (v-w8277f1)")</f>
        <v>vypůjčit si (v-w8277f1)</v>
      </c>
    </row>
    <row r="59042" spans="1:4" x14ac:dyDescent="0.2">
      <c r="B59042" t="s">
        <v>1</v>
      </c>
      <c r="C59042" t="s">
        <v>230</v>
      </c>
      <c r="D59042" t="s">
        <v>3307</v>
      </c>
    </row>
    <row r="59043" spans="1:4" x14ac:dyDescent="0.2">
      <c r="B59043" t="s">
        <v>8</v>
      </c>
      <c r="C59043" t="s">
        <v>110</v>
      </c>
      <c r="D59043" t="s">
        <v>125</v>
      </c>
    </row>
    <row r="59044" spans="1:4" x14ac:dyDescent="0.2">
      <c r="B59044" t="s">
        <v>1142</v>
      </c>
      <c r="C59044" t="s">
        <v>12892</v>
      </c>
      <c r="D59044" t="s">
        <v>12892</v>
      </c>
    </row>
    <row r="59046" spans="1:4" x14ac:dyDescent="0.2">
      <c r="A59046" t="s">
        <v>18481</v>
      </c>
      <c r="B59046" t="str">
        <f>HYPERLINK("https://lindat.mff.cuni.cz/services/teitok/pdtc10/index.php?action=vallex&amp;frame=v-w8278f1", "vypůjčovat si (v-w8278f1)")</f>
        <v>vypůjčovat si (v-w8278f1)</v>
      </c>
    </row>
    <row r="59047" spans="1:4" x14ac:dyDescent="0.2">
      <c r="B59047" t="s">
        <v>1</v>
      </c>
      <c r="D59047" t="s">
        <v>3307</v>
      </c>
    </row>
    <row r="59048" spans="1:4" x14ac:dyDescent="0.2">
      <c r="B59048" t="s">
        <v>8</v>
      </c>
      <c r="D59048" t="s">
        <v>125</v>
      </c>
    </row>
    <row r="59049" spans="1:4" x14ac:dyDescent="0.2">
      <c r="B59049" t="s">
        <v>1142</v>
      </c>
      <c r="D59049" t="s">
        <v>12892</v>
      </c>
    </row>
    <row r="59051" spans="1:4" x14ac:dyDescent="0.2">
      <c r="A59051" t="s">
        <v>18482</v>
      </c>
      <c r="B59051" t="str">
        <f>HYPERLINK("https://lindat.mff.cuni.cz/services/teitok/pdtc10/index.php?action=vallex&amp;frame=v-w8290f2", "vyrazit (v-w8290f2)")</f>
        <v>vyrazit (v-w8290f2)</v>
      </c>
    </row>
    <row r="59052" spans="1:4" x14ac:dyDescent="0.2">
      <c r="B59052" t="s">
        <v>1</v>
      </c>
    </row>
    <row r="59053" spans="1:4" x14ac:dyDescent="0.2">
      <c r="B59053" t="s">
        <v>8</v>
      </c>
    </row>
    <row r="59054" spans="1:4" x14ac:dyDescent="0.2">
      <c r="B59054" t="s">
        <v>333</v>
      </c>
    </row>
    <row r="59056" spans="1:4" x14ac:dyDescent="0.2">
      <c r="A59056" t="s">
        <v>18483</v>
      </c>
      <c r="B59056" t="str">
        <f>HYPERLINK("https://lindat.mff.cuni.cz/services/teitok/pdtc10/index.php?action=vallex&amp;frame=v-w8290f4", "vyrazit (v-w8290f4)")</f>
        <v>vyrazit (v-w8290f4)</v>
      </c>
    </row>
    <row r="59057" spans="1:4" x14ac:dyDescent="0.2">
      <c r="B59057" t="s">
        <v>1</v>
      </c>
      <c r="C59057" t="s">
        <v>140</v>
      </c>
    </row>
    <row r="59058" spans="1:4" x14ac:dyDescent="0.2">
      <c r="B59058" t="s">
        <v>8</v>
      </c>
      <c r="C59058" t="s">
        <v>113</v>
      </c>
    </row>
    <row r="59060" spans="1:4" x14ac:dyDescent="0.2">
      <c r="A59060" t="s">
        <v>18484</v>
      </c>
      <c r="B59060" t="str">
        <f>HYPERLINK("https://lindat.mff.cuni.cz/services/teitok/pdtc10/index.php?action=vallex&amp;frame=v-w8290f3", "vyrazit (v-w8290f3)")</f>
        <v>vyrazit (v-w8290f3)</v>
      </c>
    </row>
    <row r="59061" spans="1:4" x14ac:dyDescent="0.2">
      <c r="B59061" t="s">
        <v>1</v>
      </c>
    </row>
    <row r="59062" spans="1:4" x14ac:dyDescent="0.2">
      <c r="B59062" t="s">
        <v>8</v>
      </c>
    </row>
    <row r="59064" spans="1:4" x14ac:dyDescent="0.2">
      <c r="A59064" t="s">
        <v>18485</v>
      </c>
      <c r="B59064" t="str">
        <f>HYPERLINK("https://lindat.mff.cuni.cz/services/teitok/pdtc10/index.php?action=vallex&amp;frame=v-w8290f1", "vyrazit (v-w8290f1)")</f>
        <v>vyrazit (v-w8290f1)</v>
      </c>
    </row>
    <row r="59065" spans="1:4" x14ac:dyDescent="0.2">
      <c r="B59065" t="s">
        <v>1</v>
      </c>
      <c r="C59065" t="s">
        <v>18486</v>
      </c>
      <c r="D59065" t="s">
        <v>23091</v>
      </c>
    </row>
    <row r="59066" spans="1:4" x14ac:dyDescent="0.2">
      <c r="B59066" t="s">
        <v>90</v>
      </c>
      <c r="C59066" t="s">
        <v>12439</v>
      </c>
    </row>
    <row r="59068" spans="1:4" x14ac:dyDescent="0.2">
      <c r="A59068" t="s">
        <v>18487</v>
      </c>
      <c r="B59068" t="str">
        <f>HYPERLINK("https://lindat.mff.cuni.cz/services/teitok/pdtc10/index.php?action=vallex&amp;frame=v-w8290f5_ZU", "vyrazit (v-w8290f5_ZU)")</f>
        <v>vyrazit (v-w8290f5_ZU)</v>
      </c>
    </row>
    <row r="59069" spans="1:4" x14ac:dyDescent="0.2">
      <c r="B59069" t="s">
        <v>811</v>
      </c>
    </row>
    <row r="59070" spans="1:4" x14ac:dyDescent="0.2">
      <c r="B59070" t="s">
        <v>9394</v>
      </c>
    </row>
    <row r="59071" spans="1:4" x14ac:dyDescent="0.2">
      <c r="B59071" t="s">
        <v>103</v>
      </c>
    </row>
    <row r="59073" spans="1:2" x14ac:dyDescent="0.2">
      <c r="A59073" t="s">
        <v>18488</v>
      </c>
      <c r="B59073" t="str">
        <f>HYPERLINK("https://lindat.mff.cuni.cz/services/teitok/pdtc10/index.php?action=vallex&amp;frame=v-w8290f6_ZU", "vyrazit (v-w8290f6_ZU)")</f>
        <v>vyrazit (v-w8290f6_ZU)</v>
      </c>
    </row>
    <row r="59074" spans="1:2" x14ac:dyDescent="0.2">
      <c r="B59074" t="s">
        <v>1</v>
      </c>
    </row>
    <row r="59075" spans="1:2" x14ac:dyDescent="0.2">
      <c r="B59075" t="s">
        <v>46</v>
      </c>
    </row>
    <row r="59076" spans="1:2" x14ac:dyDescent="0.2">
      <c r="B59076" t="s">
        <v>24</v>
      </c>
    </row>
    <row r="59078" spans="1:2" x14ac:dyDescent="0.2">
      <c r="A59078" t="s">
        <v>18488</v>
      </c>
      <c r="B59078" t="str">
        <f>HYPERLINK("https://lindat.mff.cuni.cz/services/teitok/pdtc10/index.php?action=vallex&amp;frame=v-w8290hsa_162", "vyrazit (v-w8290hsa_162) - substituted with v-w8290f6_ZU")</f>
        <v>vyrazit (v-w8290hsa_162) - substituted with v-w8290f6_ZU</v>
      </c>
    </row>
    <row r="59079" spans="1:2" x14ac:dyDescent="0.2">
      <c r="B59079" t="s">
        <v>1</v>
      </c>
    </row>
    <row r="59080" spans="1:2" x14ac:dyDescent="0.2">
      <c r="B59080" t="s">
        <v>46</v>
      </c>
    </row>
    <row r="59081" spans="1:2" x14ac:dyDescent="0.2">
      <c r="B59081" t="s">
        <v>24</v>
      </c>
    </row>
    <row r="59083" spans="1:2" x14ac:dyDescent="0.2">
      <c r="A59083" t="s">
        <v>18489</v>
      </c>
      <c r="B59083" t="str">
        <f>HYPERLINK("https://lindat.mff.cuni.cz/services/teitok/pdtc10/index.php?action=vallex&amp;frame=v-w8290f7_MM", "vyrazit (v-w8290f7_MM)")</f>
        <v>vyrazit (v-w8290f7_MM)</v>
      </c>
    </row>
    <row r="59084" spans="1:2" x14ac:dyDescent="0.2">
      <c r="B59084" t="s">
        <v>1</v>
      </c>
    </row>
    <row r="59085" spans="1:2" x14ac:dyDescent="0.2">
      <c r="B59085" t="s">
        <v>8</v>
      </c>
    </row>
    <row r="59087" spans="1:2" x14ac:dyDescent="0.2">
      <c r="A59087" t="s">
        <v>18490</v>
      </c>
      <c r="B59087" t="str">
        <f>HYPERLINK("https://lindat.mff.cuni.cz/services/teitok/pdtc10/index.php?action=vallex&amp;frame=v-w11935_ZUf2_ZU", "vyrazit si (v-w11935_ZUf2_ZU)")</f>
        <v>vyrazit si (v-w11935_ZUf2_ZU)</v>
      </c>
    </row>
    <row r="59088" spans="1:2" x14ac:dyDescent="0.2">
      <c r="B59088" t="s">
        <v>1</v>
      </c>
    </row>
    <row r="59089" spans="1:2" x14ac:dyDescent="0.2">
      <c r="B59089" t="s">
        <v>252</v>
      </c>
    </row>
    <row r="59091" spans="1:2" x14ac:dyDescent="0.2">
      <c r="A59091" t="s">
        <v>18490</v>
      </c>
      <c r="B59091" t="str">
        <f>HYPERLINK("https://lindat.mff.cuni.cz/services/teitok/pdtc10/index.php?action=vallex&amp;frame=v-w11935_ZUf1_ZU", "vyrazit si (v-w11935_ZUf1_ZU) - substituted with v-w11935_ZUf2_ZU")</f>
        <v>vyrazit si (v-w11935_ZUf1_ZU) - substituted with v-w11935_ZUf2_ZU</v>
      </c>
    </row>
    <row r="59092" spans="1:2" x14ac:dyDescent="0.2">
      <c r="B59092" t="s">
        <v>1</v>
      </c>
    </row>
    <row r="59093" spans="1:2" x14ac:dyDescent="0.2">
      <c r="B59093" t="s">
        <v>252</v>
      </c>
    </row>
    <row r="59095" spans="1:2" x14ac:dyDescent="0.2">
      <c r="A59095" t="s">
        <v>18491</v>
      </c>
      <c r="B59095" t="str">
        <f>HYPERLINK("https://lindat.mff.cuni.cz/services/teitok/pdtc10/index.php?action=vallex&amp;frame=v-w10802f2", "vyrašit (v-w10802f2)")</f>
        <v>vyrašit (v-w10802f2)</v>
      </c>
    </row>
    <row r="59096" spans="1:2" x14ac:dyDescent="0.2">
      <c r="B59096" t="s">
        <v>1</v>
      </c>
    </row>
    <row r="59098" spans="1:2" x14ac:dyDescent="0.2">
      <c r="A59098" t="s">
        <v>18492</v>
      </c>
      <c r="B59098" t="str">
        <f>HYPERLINK("https://lindat.mff.cuni.cz/services/teitok/pdtc10/index.php?action=vallex&amp;frame=v-w10802f3_ZU", "vyrašit (v-w10802f3_ZU)")</f>
        <v>vyrašit (v-w10802f3_ZU)</v>
      </c>
    </row>
    <row r="59099" spans="1:2" x14ac:dyDescent="0.2">
      <c r="B59099" t="s">
        <v>1</v>
      </c>
    </row>
    <row r="59100" spans="1:2" x14ac:dyDescent="0.2">
      <c r="B59100" t="s">
        <v>8</v>
      </c>
    </row>
    <row r="59102" spans="1:2" x14ac:dyDescent="0.2">
      <c r="A59102" t="s">
        <v>18493</v>
      </c>
      <c r="B59102" t="str">
        <f>HYPERLINK("https://lindat.mff.cuni.cz/services/teitok/pdtc10/index.php?action=vallex&amp;frame=v-w12373_MMf1_MM", "vyreklamovat (v-w12373_MMf1_MM)")</f>
        <v>vyreklamovat (v-w12373_MMf1_MM)</v>
      </c>
    </row>
    <row r="59103" spans="1:2" x14ac:dyDescent="0.2">
      <c r="B59103" t="s">
        <v>1</v>
      </c>
    </row>
    <row r="59104" spans="1:2" x14ac:dyDescent="0.2">
      <c r="B59104" t="s">
        <v>8</v>
      </c>
    </row>
    <row r="59106" spans="1:4" x14ac:dyDescent="0.2">
      <c r="A59106" t="s">
        <v>18494</v>
      </c>
      <c r="B59106" t="str">
        <f>HYPERLINK("https://lindat.mff.cuni.cz/services/teitok/pdtc10/index.php?action=vallex&amp;frame=v-w12167_ZUf1_ZU", "vyretušovat (v-w12167_ZUf1_ZU)")</f>
        <v>vyretušovat (v-w12167_ZUf1_ZU)</v>
      </c>
    </row>
    <row r="59107" spans="1:4" x14ac:dyDescent="0.2">
      <c r="B59107" t="s">
        <v>1</v>
      </c>
    </row>
    <row r="59108" spans="1:4" x14ac:dyDescent="0.2">
      <c r="B59108" t="s">
        <v>8</v>
      </c>
    </row>
    <row r="59110" spans="1:4" x14ac:dyDescent="0.2">
      <c r="A59110" t="s">
        <v>18495</v>
      </c>
      <c r="B59110" t="str">
        <f>HYPERLINK("https://lindat.mff.cuni.cz/services/teitok/pdtc10/index.php?action=vallex&amp;frame=v-w8298f1", "vyrobit (v-w8298f1)")</f>
        <v>vyrobit (v-w8298f1)</v>
      </c>
    </row>
    <row r="59111" spans="1:4" x14ac:dyDescent="0.2">
      <c r="B59111" t="s">
        <v>1</v>
      </c>
      <c r="C59111" t="s">
        <v>18496</v>
      </c>
      <c r="D59111" t="s">
        <v>23418</v>
      </c>
    </row>
    <row r="59112" spans="1:4" x14ac:dyDescent="0.2">
      <c r="B59112" t="s">
        <v>8</v>
      </c>
      <c r="C59112" t="s">
        <v>18497</v>
      </c>
      <c r="D59112" t="s">
        <v>23419</v>
      </c>
    </row>
    <row r="59113" spans="1:4" x14ac:dyDescent="0.2">
      <c r="B59113" t="s">
        <v>24</v>
      </c>
      <c r="C59113" t="s">
        <v>18498</v>
      </c>
      <c r="D59113" t="s">
        <v>10345</v>
      </c>
    </row>
    <row r="59115" spans="1:4" x14ac:dyDescent="0.2">
      <c r="A59115" t="s">
        <v>18499</v>
      </c>
      <c r="B59115" t="str">
        <f>HYPERLINK("https://lindat.mff.cuni.cz/services/teitok/pdtc10/index.php?action=vallex&amp;frame=v-whsb_1267hsa_1268", "vyrojit se (v-whsb_1267hsa_1268)")</f>
        <v>vyrojit se (v-whsb_1267hsa_1268)</v>
      </c>
    </row>
    <row r="59116" spans="1:4" x14ac:dyDescent="0.2">
      <c r="B59116" t="s">
        <v>1</v>
      </c>
    </row>
    <row r="59118" spans="1:4" x14ac:dyDescent="0.2">
      <c r="A59118" t="s">
        <v>18500</v>
      </c>
      <c r="B59118" t="str">
        <f>HYPERLINK("https://lindat.mff.cuni.cz/services/teitok/pdtc10/index.php?action=vallex&amp;frame=v-w8305f2", "vyrovnat (v-w8305f2)")</f>
        <v>vyrovnat (v-w8305f2)</v>
      </c>
    </row>
    <row r="59119" spans="1:4" x14ac:dyDescent="0.2">
      <c r="B59119" t="s">
        <v>1</v>
      </c>
      <c r="C59119" t="s">
        <v>1065</v>
      </c>
      <c r="D59119" t="s">
        <v>23164</v>
      </c>
    </row>
    <row r="59120" spans="1:4" x14ac:dyDescent="0.2">
      <c r="B59120" t="s">
        <v>8</v>
      </c>
      <c r="C59120" t="s">
        <v>18501</v>
      </c>
      <c r="D59120" t="s">
        <v>23165</v>
      </c>
    </row>
    <row r="59121" spans="1:4" x14ac:dyDescent="0.2">
      <c r="B59121" t="s">
        <v>78</v>
      </c>
      <c r="D59121" t="s">
        <v>23166</v>
      </c>
    </row>
    <row r="59122" spans="1:4" x14ac:dyDescent="0.2">
      <c r="B59122" t="s">
        <v>413</v>
      </c>
    </row>
    <row r="59124" spans="1:4" x14ac:dyDescent="0.2">
      <c r="A59124" t="s">
        <v>18502</v>
      </c>
      <c r="B59124" t="str">
        <f>HYPERLINK("https://lindat.mff.cuni.cz/services/teitok/pdtc10/index.php?action=vallex&amp;frame=v-w8305f1", "vyrovnat (v-w8305f1)")</f>
        <v>vyrovnat (v-w8305f1)</v>
      </c>
    </row>
    <row r="59125" spans="1:4" x14ac:dyDescent="0.2">
      <c r="B59125" t="s">
        <v>1</v>
      </c>
    </row>
    <row r="59126" spans="1:4" x14ac:dyDescent="0.2">
      <c r="B59126" t="s">
        <v>8</v>
      </c>
    </row>
    <row r="59127" spans="1:4" x14ac:dyDescent="0.2">
      <c r="B59127" t="s">
        <v>24</v>
      </c>
    </row>
    <row r="59128" spans="1:4" x14ac:dyDescent="0.2">
      <c r="B59128" t="s">
        <v>61</v>
      </c>
    </row>
    <row r="59130" spans="1:4" x14ac:dyDescent="0.2">
      <c r="A59130" t="s">
        <v>18503</v>
      </c>
      <c r="B59130" t="str">
        <f>HYPERLINK("https://lindat.mff.cuni.cz/services/teitok/pdtc10/index.php?action=vallex&amp;frame=v-w8305f3", "vyrovnat (v-w8305f3)")</f>
        <v>vyrovnat (v-w8305f3)</v>
      </c>
    </row>
    <row r="59131" spans="1:4" x14ac:dyDescent="0.2">
      <c r="B59131" t="s">
        <v>1</v>
      </c>
      <c r="C59131" t="s">
        <v>140</v>
      </c>
      <c r="D59131" t="s">
        <v>140</v>
      </c>
    </row>
    <row r="59132" spans="1:4" x14ac:dyDescent="0.2">
      <c r="B59132" t="s">
        <v>8</v>
      </c>
      <c r="C59132" t="s">
        <v>56</v>
      </c>
      <c r="D59132" t="s">
        <v>56</v>
      </c>
    </row>
    <row r="59133" spans="1:4" x14ac:dyDescent="0.2">
      <c r="B59133" t="s">
        <v>2604</v>
      </c>
    </row>
    <row r="59135" spans="1:4" x14ac:dyDescent="0.2">
      <c r="A59135" t="s">
        <v>18504</v>
      </c>
      <c r="B59135" t="str">
        <f>HYPERLINK("https://lindat.mff.cuni.cz/services/teitok/pdtc10/index.php?action=vallex&amp;frame=v-w8305f4", "vyrovnat (v-w8305f4)")</f>
        <v>vyrovnat (v-w8305f4)</v>
      </c>
    </row>
    <row r="59136" spans="1:4" x14ac:dyDescent="0.2">
      <c r="B59136" t="s">
        <v>1</v>
      </c>
      <c r="C59136" t="s">
        <v>5817</v>
      </c>
    </row>
    <row r="59137" spans="1:4" x14ac:dyDescent="0.2">
      <c r="B59137" t="s">
        <v>8</v>
      </c>
      <c r="C59137" t="s">
        <v>1128</v>
      </c>
    </row>
    <row r="59138" spans="1:4" x14ac:dyDescent="0.2">
      <c r="B59138" t="s">
        <v>25</v>
      </c>
    </row>
    <row r="59140" spans="1:4" x14ac:dyDescent="0.2">
      <c r="A59140" t="s">
        <v>18505</v>
      </c>
      <c r="B59140" t="str">
        <f>HYPERLINK("https://lindat.mff.cuni.cz/services/teitok/pdtc10/index.php?action=vallex&amp;frame=v-w8305f5", "vyrovnat (v-w8305f5)")</f>
        <v>vyrovnat (v-w8305f5)</v>
      </c>
    </row>
    <row r="59141" spans="1:4" x14ac:dyDescent="0.2">
      <c r="B59141" t="s">
        <v>1</v>
      </c>
      <c r="C59141" t="s">
        <v>18506</v>
      </c>
      <c r="D59141" t="s">
        <v>4082</v>
      </c>
    </row>
    <row r="59142" spans="1:4" x14ac:dyDescent="0.2">
      <c r="B59142" t="s">
        <v>8</v>
      </c>
      <c r="C59142" t="s">
        <v>18507</v>
      </c>
      <c r="D59142" t="s">
        <v>23406</v>
      </c>
    </row>
    <row r="59144" spans="1:4" x14ac:dyDescent="0.2">
      <c r="A59144" t="s">
        <v>18508</v>
      </c>
      <c r="B59144" t="str">
        <f>HYPERLINK("https://lindat.mff.cuni.cz/services/teitok/pdtc10/index.php?action=vallex&amp;frame=v-w8305f7", "vyrovnat (v-w8305f7)")</f>
        <v>vyrovnat (v-w8305f7)</v>
      </c>
    </row>
    <row r="59145" spans="1:4" x14ac:dyDescent="0.2">
      <c r="B59145" t="s">
        <v>1</v>
      </c>
      <c r="C59145" t="s">
        <v>18509</v>
      </c>
      <c r="D59145" t="s">
        <v>4082</v>
      </c>
    </row>
    <row r="59146" spans="1:4" x14ac:dyDescent="0.2">
      <c r="B59146" t="s">
        <v>8</v>
      </c>
      <c r="C59146" t="s">
        <v>18510</v>
      </c>
      <c r="D59146" t="s">
        <v>23406</v>
      </c>
    </row>
    <row r="59148" spans="1:4" x14ac:dyDescent="0.2">
      <c r="A59148" t="s">
        <v>18511</v>
      </c>
      <c r="B59148" t="str">
        <f>HYPERLINK("https://lindat.mff.cuni.cz/services/teitok/pdtc10/index.php?action=vallex&amp;frame=v-w8305f6", "vyrovnat (v-w8305f6)")</f>
        <v>vyrovnat (v-w8305f6)</v>
      </c>
    </row>
    <row r="59149" spans="1:4" x14ac:dyDescent="0.2">
      <c r="B59149" t="s">
        <v>1</v>
      </c>
    </row>
    <row r="59150" spans="1:4" x14ac:dyDescent="0.2">
      <c r="B59150" t="s">
        <v>524</v>
      </c>
    </row>
    <row r="59151" spans="1:4" x14ac:dyDescent="0.2">
      <c r="B59151" t="s">
        <v>1382</v>
      </c>
    </row>
    <row r="59152" spans="1:4" x14ac:dyDescent="0.2">
      <c r="B59152" t="s">
        <v>78</v>
      </c>
    </row>
    <row r="59154" spans="1:4" x14ac:dyDescent="0.2">
      <c r="A59154" t="s">
        <v>18512</v>
      </c>
      <c r="B59154" t="str">
        <f>HYPERLINK("https://lindat.mff.cuni.cz/services/teitok/pdtc10/index.php?action=vallex&amp;frame=v-w8305hsa_345", "vyrovnat (v-w8305hsa_345)")</f>
        <v>vyrovnat (v-w8305hsa_345)</v>
      </c>
    </row>
    <row r="59155" spans="1:4" x14ac:dyDescent="0.2">
      <c r="B59155" t="s">
        <v>1</v>
      </c>
    </row>
    <row r="59156" spans="1:4" x14ac:dyDescent="0.2">
      <c r="B59156" t="s">
        <v>18513</v>
      </c>
    </row>
    <row r="59157" spans="1:4" x14ac:dyDescent="0.2">
      <c r="B59157" t="s">
        <v>411</v>
      </c>
    </row>
    <row r="59158" spans="1:4" x14ac:dyDescent="0.2">
      <c r="B59158" t="s">
        <v>413</v>
      </c>
    </row>
    <row r="59160" spans="1:4" x14ac:dyDescent="0.2">
      <c r="A59160" t="s">
        <v>18514</v>
      </c>
      <c r="B59160" t="str">
        <f>HYPERLINK("https://lindat.mff.cuni.cz/services/teitok/pdtc10/index.php?action=vallex&amp;frame=v-w8306f2", "vyrovnat se (v-w8306f2)")</f>
        <v>vyrovnat se (v-w8306f2)</v>
      </c>
    </row>
    <row r="59161" spans="1:4" x14ac:dyDescent="0.2">
      <c r="B59161" t="s">
        <v>1</v>
      </c>
      <c r="C59161" t="s">
        <v>18515</v>
      </c>
      <c r="D59161" t="s">
        <v>24404</v>
      </c>
    </row>
    <row r="59162" spans="1:4" x14ac:dyDescent="0.2">
      <c r="B59162" t="s">
        <v>103</v>
      </c>
      <c r="C59162" t="s">
        <v>18516</v>
      </c>
      <c r="D59162" t="s">
        <v>24405</v>
      </c>
    </row>
    <row r="59164" spans="1:4" x14ac:dyDescent="0.2">
      <c r="A59164" t="s">
        <v>18517</v>
      </c>
      <c r="B59164" t="str">
        <f>HYPERLINK("https://lindat.mff.cuni.cz/services/teitok/pdtc10/index.php?action=vallex&amp;frame=v-w8306f1", "vyrovnat se (v-w8306f1)")</f>
        <v>vyrovnat se (v-w8306f1)</v>
      </c>
    </row>
    <row r="59165" spans="1:4" x14ac:dyDescent="0.2">
      <c r="B59165" t="s">
        <v>1</v>
      </c>
      <c r="C59165" t="s">
        <v>3064</v>
      </c>
      <c r="D59165" t="s">
        <v>24406</v>
      </c>
    </row>
    <row r="59166" spans="1:4" x14ac:dyDescent="0.2">
      <c r="B59166" t="s">
        <v>411</v>
      </c>
      <c r="C59166" t="s">
        <v>18518</v>
      </c>
      <c r="D59166" t="s">
        <v>24407</v>
      </c>
    </row>
    <row r="59168" spans="1:4" x14ac:dyDescent="0.2">
      <c r="A59168" t="s">
        <v>18519</v>
      </c>
      <c r="B59168" t="str">
        <f>HYPERLINK("https://lindat.mff.cuni.cz/services/teitok/pdtc10/index.php?action=vallex&amp;frame=v-w8306f3", "vyrovnat se (v-w8306f3)")</f>
        <v>vyrovnat se (v-w8306f3)</v>
      </c>
    </row>
    <row r="59169" spans="1:4" x14ac:dyDescent="0.2">
      <c r="B59169" t="s">
        <v>1</v>
      </c>
      <c r="C59169" t="s">
        <v>83</v>
      </c>
      <c r="D59169" t="s">
        <v>10454</v>
      </c>
    </row>
    <row r="59170" spans="1:4" x14ac:dyDescent="0.2">
      <c r="B59170" t="s">
        <v>411</v>
      </c>
      <c r="C59170" t="s">
        <v>202</v>
      </c>
      <c r="D59170" t="s">
        <v>7244</v>
      </c>
    </row>
    <row r="59172" spans="1:4" x14ac:dyDescent="0.2">
      <c r="A59172" t="s">
        <v>18520</v>
      </c>
      <c r="B59172" t="str">
        <f>HYPERLINK("https://lindat.mff.cuni.cz/services/teitok/pdtc10/index.php?action=vallex&amp;frame=v-w8306f4", "vyrovnat se (v-w8306f4)")</f>
        <v>vyrovnat se (v-w8306f4)</v>
      </c>
    </row>
    <row r="59173" spans="1:4" x14ac:dyDescent="0.2">
      <c r="B59173" t="s">
        <v>1</v>
      </c>
    </row>
    <row r="59175" spans="1:4" x14ac:dyDescent="0.2">
      <c r="A59175" t="s">
        <v>18521</v>
      </c>
      <c r="B59175" t="str">
        <f>HYPERLINK("https://lindat.mff.cuni.cz/services/teitok/pdtc10/index.php?action=vallex&amp;frame=v-w11671_ZUf1_ZU", "vyrovnat si (v-w11671_ZUf1_ZU)")</f>
        <v>vyrovnat si (v-w11671_ZUf1_ZU)</v>
      </c>
    </row>
    <row r="59176" spans="1:4" x14ac:dyDescent="0.2">
      <c r="B59176" t="s">
        <v>1</v>
      </c>
      <c r="D59176" t="s">
        <v>10454</v>
      </c>
    </row>
    <row r="59177" spans="1:4" x14ac:dyDescent="0.2">
      <c r="B59177" t="s">
        <v>124</v>
      </c>
      <c r="D59177" t="s">
        <v>24197</v>
      </c>
    </row>
    <row r="59178" spans="1:4" x14ac:dyDescent="0.2">
      <c r="B59178" t="s">
        <v>153</v>
      </c>
      <c r="C59178" t="s">
        <v>2810</v>
      </c>
      <c r="D59178" t="s">
        <v>24400</v>
      </c>
    </row>
    <row r="59180" spans="1:4" x14ac:dyDescent="0.2">
      <c r="A59180" t="s">
        <v>18522</v>
      </c>
      <c r="B59180" t="str">
        <f>HYPERLINK("https://lindat.mff.cuni.cz/services/teitok/pdtc10/index.php?action=vallex&amp;frame=v-w8308f2", "vyrovnávat (v-w8308f2)")</f>
        <v>vyrovnávat (v-w8308f2)</v>
      </c>
    </row>
    <row r="59181" spans="1:4" x14ac:dyDescent="0.2">
      <c r="B59181" t="s">
        <v>1</v>
      </c>
      <c r="C59181" t="s">
        <v>3384</v>
      </c>
    </row>
    <row r="59182" spans="1:4" x14ac:dyDescent="0.2">
      <c r="B59182" t="s">
        <v>8</v>
      </c>
      <c r="C59182" t="s">
        <v>1107</v>
      </c>
    </row>
    <row r="59183" spans="1:4" x14ac:dyDescent="0.2">
      <c r="B59183" t="s">
        <v>24</v>
      </c>
    </row>
    <row r="59184" spans="1:4" x14ac:dyDescent="0.2">
      <c r="B59184" t="s">
        <v>61</v>
      </c>
    </row>
    <row r="59186" spans="1:4" x14ac:dyDescent="0.2">
      <c r="A59186" t="s">
        <v>18523</v>
      </c>
      <c r="B59186" t="str">
        <f>HYPERLINK("https://lindat.mff.cuni.cz/services/teitok/pdtc10/index.php?action=vallex&amp;frame=v-w8308f1", "vyrovnávat (v-w8308f1)")</f>
        <v>vyrovnávat (v-w8308f1)</v>
      </c>
    </row>
    <row r="59187" spans="1:4" x14ac:dyDescent="0.2">
      <c r="B59187" t="s">
        <v>1</v>
      </c>
      <c r="C59187" t="s">
        <v>18524</v>
      </c>
      <c r="D59187" t="s">
        <v>4082</v>
      </c>
    </row>
    <row r="59188" spans="1:4" x14ac:dyDescent="0.2">
      <c r="B59188" t="s">
        <v>8</v>
      </c>
      <c r="C59188" t="s">
        <v>1863</v>
      </c>
      <c r="D59188" t="s">
        <v>23406</v>
      </c>
    </row>
    <row r="59190" spans="1:4" x14ac:dyDescent="0.2">
      <c r="A59190" t="s">
        <v>18525</v>
      </c>
      <c r="B59190" t="str">
        <f>HYPERLINK("https://lindat.mff.cuni.cz/services/teitok/pdtc10/index.php?action=vallex&amp;frame=v-w8309f1", "vyrovnávat se (v-w8309f1)")</f>
        <v>vyrovnávat se (v-w8309f1)</v>
      </c>
    </row>
    <row r="59191" spans="1:4" x14ac:dyDescent="0.2">
      <c r="B59191" t="s">
        <v>1</v>
      </c>
      <c r="C59191" t="s">
        <v>964</v>
      </c>
    </row>
    <row r="59192" spans="1:4" x14ac:dyDescent="0.2">
      <c r="B59192" t="s">
        <v>411</v>
      </c>
      <c r="C59192" t="s">
        <v>6560</v>
      </c>
    </row>
    <row r="59194" spans="1:4" x14ac:dyDescent="0.2">
      <c r="A59194" t="s">
        <v>18526</v>
      </c>
      <c r="B59194" t="str">
        <f>HYPERLINK("https://lindat.mff.cuni.cz/services/teitok/pdtc10/index.php?action=vallex&amp;frame=v-w8310f1", "vyrozumět (v-w8310f1)")</f>
        <v>vyrozumět (v-w8310f1)</v>
      </c>
    </row>
    <row r="59195" spans="1:4" x14ac:dyDescent="0.2">
      <c r="B59195" t="s">
        <v>1</v>
      </c>
      <c r="C59195" t="s">
        <v>3358</v>
      </c>
      <c r="D59195" t="s">
        <v>22967</v>
      </c>
    </row>
    <row r="59196" spans="1:4" x14ac:dyDescent="0.2">
      <c r="B59196" t="s">
        <v>18527</v>
      </c>
      <c r="C59196" t="s">
        <v>5783</v>
      </c>
      <c r="D59196" t="s">
        <v>22968</v>
      </c>
    </row>
    <row r="59197" spans="1:4" x14ac:dyDescent="0.2">
      <c r="B59197" t="s">
        <v>58</v>
      </c>
      <c r="C59197" t="s">
        <v>14456</v>
      </c>
      <c r="D59197" t="s">
        <v>22969</v>
      </c>
    </row>
    <row r="59199" spans="1:4" x14ac:dyDescent="0.2">
      <c r="A59199" t="s">
        <v>18528</v>
      </c>
      <c r="B59199" t="str">
        <f>HYPERLINK("https://lindat.mff.cuni.cz/services/teitok/pdtc10/index.php?action=vallex&amp;frame=v-w8310f2_ZU", "vyrozumět (v-w8310f2_ZU)")</f>
        <v>vyrozumět (v-w8310f2_ZU)</v>
      </c>
    </row>
    <row r="59200" spans="1:4" x14ac:dyDescent="0.2">
      <c r="B59200" t="s">
        <v>1</v>
      </c>
    </row>
    <row r="59201" spans="1:3" x14ac:dyDescent="0.2">
      <c r="B59201" t="s">
        <v>41</v>
      </c>
    </row>
    <row r="59202" spans="1:3" x14ac:dyDescent="0.2">
      <c r="B59202" t="s">
        <v>24</v>
      </c>
    </row>
    <row r="59204" spans="1:3" x14ac:dyDescent="0.2">
      <c r="A59204" t="s">
        <v>18529</v>
      </c>
      <c r="B59204" t="str">
        <f>HYPERLINK("https://lindat.mff.cuni.cz/services/teitok/pdtc10/index.php?action=vallex&amp;frame=v-whsa_1464hsa_1465", "vyrubat (v-whsa_1464hsa_1465)")</f>
        <v>vyrubat (v-whsa_1464hsa_1465)</v>
      </c>
    </row>
    <row r="59205" spans="1:3" x14ac:dyDescent="0.2">
      <c r="B59205" t="s">
        <v>1</v>
      </c>
    </row>
    <row r="59206" spans="1:3" x14ac:dyDescent="0.2">
      <c r="B59206" t="s">
        <v>8</v>
      </c>
    </row>
    <row r="59207" spans="1:3" x14ac:dyDescent="0.2">
      <c r="B59207" t="s">
        <v>333</v>
      </c>
    </row>
    <row r="59209" spans="1:3" x14ac:dyDescent="0.2">
      <c r="A59209" t="s">
        <v>18530</v>
      </c>
      <c r="B59209" t="str">
        <f>HYPERLINK("https://lindat.mff.cuni.cz/services/teitok/pdtc10/index.php?action=vallex&amp;frame=v-w8311f1", "vyrukovat (v-w8311f1)")</f>
        <v>vyrukovat (v-w8311f1)</v>
      </c>
    </row>
    <row r="59210" spans="1:3" x14ac:dyDescent="0.2">
      <c r="B59210" t="s">
        <v>1</v>
      </c>
      <c r="C59210" t="s">
        <v>140</v>
      </c>
    </row>
    <row r="59211" spans="1:3" x14ac:dyDescent="0.2">
      <c r="B59211" t="s">
        <v>411</v>
      </c>
      <c r="C59211" t="s">
        <v>991</v>
      </c>
    </row>
    <row r="59212" spans="1:3" x14ac:dyDescent="0.2">
      <c r="B59212" t="s">
        <v>3527</v>
      </c>
    </row>
    <row r="59214" spans="1:3" x14ac:dyDescent="0.2">
      <c r="A59214" t="s">
        <v>18531</v>
      </c>
      <c r="B59214" t="str">
        <f>HYPERLINK("https://lindat.mff.cuni.cz/services/teitok/pdtc10/index.php?action=vallex&amp;frame=v-w8316f1", "vyrušit (v-w8316f1)")</f>
        <v>vyrušit (v-w8316f1)</v>
      </c>
    </row>
    <row r="59215" spans="1:3" x14ac:dyDescent="0.2">
      <c r="B59215" t="s">
        <v>1</v>
      </c>
    </row>
    <row r="59216" spans="1:3" x14ac:dyDescent="0.2">
      <c r="B59216" t="s">
        <v>8</v>
      </c>
    </row>
    <row r="59217" spans="1:4" x14ac:dyDescent="0.2">
      <c r="B59217" t="s">
        <v>1944</v>
      </c>
    </row>
    <row r="59219" spans="1:4" x14ac:dyDescent="0.2">
      <c r="A59219" t="s">
        <v>18532</v>
      </c>
      <c r="B59219" t="str">
        <f>HYPERLINK("https://lindat.mff.cuni.cz/services/teitok/pdtc10/index.php?action=vallex&amp;frame=v-whsa_1532hsa_1533", "vyrušovat (v-whsa_1532hsa_1533)")</f>
        <v>vyrušovat (v-whsa_1532hsa_1533)</v>
      </c>
    </row>
    <row r="59220" spans="1:4" x14ac:dyDescent="0.2">
      <c r="B59220" t="s">
        <v>1</v>
      </c>
    </row>
    <row r="59221" spans="1:4" x14ac:dyDescent="0.2">
      <c r="B59221" t="s">
        <v>8</v>
      </c>
    </row>
    <row r="59223" spans="1:4" x14ac:dyDescent="0.2">
      <c r="A59223" t="s">
        <v>18533</v>
      </c>
      <c r="B59223" t="str">
        <f>HYPERLINK("https://lindat.mff.cuni.cz/services/teitok/pdtc10/index.php?action=vallex&amp;frame=v-w8317f1", "vyrvat (v-w8317f1)")</f>
        <v>vyrvat (v-w8317f1)</v>
      </c>
    </row>
    <row r="59224" spans="1:4" x14ac:dyDescent="0.2">
      <c r="B59224" t="s">
        <v>1</v>
      </c>
    </row>
    <row r="59225" spans="1:4" x14ac:dyDescent="0.2">
      <c r="B59225" t="s">
        <v>8</v>
      </c>
    </row>
    <row r="59226" spans="1:4" x14ac:dyDescent="0.2">
      <c r="B59226" t="s">
        <v>333</v>
      </c>
    </row>
    <row r="59228" spans="1:4" x14ac:dyDescent="0.2">
      <c r="A59228" t="s">
        <v>18534</v>
      </c>
      <c r="B59228" t="str">
        <f>HYPERLINK("https://lindat.mff.cuni.cz/services/teitok/pdtc10/index.php?action=vallex&amp;frame=v-w8288f1", "vyrábět (v-w8288f1)")</f>
        <v>vyrábět (v-w8288f1)</v>
      </c>
    </row>
    <row r="59229" spans="1:4" x14ac:dyDescent="0.2">
      <c r="B59229" t="s">
        <v>1</v>
      </c>
      <c r="C59229" t="s">
        <v>18535</v>
      </c>
      <c r="D59229" t="s">
        <v>23418</v>
      </c>
    </row>
    <row r="59230" spans="1:4" x14ac:dyDescent="0.2">
      <c r="B59230" t="s">
        <v>172</v>
      </c>
      <c r="C59230" t="s">
        <v>18536</v>
      </c>
      <c r="D59230" t="s">
        <v>23419</v>
      </c>
    </row>
    <row r="59231" spans="1:4" x14ac:dyDescent="0.2">
      <c r="B59231" t="s">
        <v>24</v>
      </c>
      <c r="C59231" t="s">
        <v>15554</v>
      </c>
      <c r="D59231" t="s">
        <v>10345</v>
      </c>
    </row>
    <row r="59233" spans="1:2" x14ac:dyDescent="0.2">
      <c r="A59233" t="s">
        <v>18537</v>
      </c>
      <c r="B59233" t="str">
        <f>HYPERLINK("https://lindat.mff.cuni.cz/services/teitok/pdtc10/index.php?action=vallex&amp;frame=v-w8292f2", "vyrážet (v-w8292f2)")</f>
        <v>vyrážet (v-w8292f2)</v>
      </c>
    </row>
    <row r="59234" spans="1:2" x14ac:dyDescent="0.2">
      <c r="B59234" t="s">
        <v>1</v>
      </c>
    </row>
    <row r="59235" spans="1:2" x14ac:dyDescent="0.2">
      <c r="B59235" t="s">
        <v>8</v>
      </c>
    </row>
    <row r="59236" spans="1:2" x14ac:dyDescent="0.2">
      <c r="B59236" t="s">
        <v>333</v>
      </c>
    </row>
    <row r="59238" spans="1:2" x14ac:dyDescent="0.2">
      <c r="A59238" t="s">
        <v>18538</v>
      </c>
      <c r="B59238" t="str">
        <f>HYPERLINK("https://lindat.mff.cuni.cz/services/teitok/pdtc10/index.php?action=vallex&amp;frame=v-w8292f1", "vyrážet (v-w8292f1)")</f>
        <v>vyrážet (v-w8292f1)</v>
      </c>
    </row>
    <row r="59239" spans="1:2" x14ac:dyDescent="0.2">
      <c r="B59239" t="s">
        <v>1</v>
      </c>
    </row>
    <row r="59240" spans="1:2" x14ac:dyDescent="0.2">
      <c r="B59240" t="s">
        <v>90</v>
      </c>
    </row>
    <row r="59242" spans="1:2" x14ac:dyDescent="0.2">
      <c r="A59242" t="s">
        <v>18539</v>
      </c>
      <c r="B59242" t="str">
        <f>HYPERLINK("https://lindat.mff.cuni.cz/services/teitok/pdtc10/index.php?action=vallex&amp;frame=v-w8292f3", "vyrážet (v-w8292f3)")</f>
        <v>vyrážet (v-w8292f3)</v>
      </c>
    </row>
    <row r="59243" spans="1:2" x14ac:dyDescent="0.2">
      <c r="B59243" t="s">
        <v>1</v>
      </c>
    </row>
    <row r="59244" spans="1:2" x14ac:dyDescent="0.2">
      <c r="B59244" t="s">
        <v>9394</v>
      </c>
    </row>
    <row r="59245" spans="1:2" x14ac:dyDescent="0.2">
      <c r="B59245" t="s">
        <v>103</v>
      </c>
    </row>
    <row r="59247" spans="1:2" x14ac:dyDescent="0.2">
      <c r="A59247" t="s">
        <v>18540</v>
      </c>
      <c r="B59247" t="str">
        <f>HYPERLINK("https://lindat.mff.cuni.cz/services/teitok/pdtc10/index.php?action=vallex&amp;frame=v-w8318f1", "vyrýt (v-w8318f1)")</f>
        <v>vyrýt (v-w8318f1)</v>
      </c>
    </row>
    <row r="59248" spans="1:2" x14ac:dyDescent="0.2">
      <c r="B59248" t="s">
        <v>1</v>
      </c>
    </row>
    <row r="59249" spans="1:4" x14ac:dyDescent="0.2">
      <c r="B59249" t="s">
        <v>8</v>
      </c>
    </row>
    <row r="59251" spans="1:4" x14ac:dyDescent="0.2">
      <c r="A59251" t="s">
        <v>18541</v>
      </c>
      <c r="B59251" t="str">
        <f>HYPERLINK("https://lindat.mff.cuni.cz/services/teitok/pdtc10/index.php?action=vallex&amp;frame=v-w8318f2_ZU", "vyrýt (v-w8318f2_ZU)")</f>
        <v>vyrýt (v-w8318f2_ZU)</v>
      </c>
    </row>
    <row r="59252" spans="1:4" x14ac:dyDescent="0.2">
      <c r="B59252" t="s">
        <v>1</v>
      </c>
    </row>
    <row r="59253" spans="1:4" x14ac:dyDescent="0.2">
      <c r="B59253" t="s">
        <v>8</v>
      </c>
    </row>
    <row r="59254" spans="1:4" x14ac:dyDescent="0.2">
      <c r="B59254" t="s">
        <v>4622</v>
      </c>
    </row>
    <row r="59256" spans="1:4" x14ac:dyDescent="0.2">
      <c r="A59256" t="s">
        <v>18542</v>
      </c>
      <c r="B59256" t="str">
        <f>HYPERLINK("https://lindat.mff.cuni.cz/services/teitok/pdtc10/index.php?action=vallex&amp;frame=v-w8312f5_ZU", "vyrůst (v-w8312f5_ZU)")</f>
        <v>vyrůst (v-w8312f5_ZU)</v>
      </c>
    </row>
    <row r="59257" spans="1:4" x14ac:dyDescent="0.2">
      <c r="B59257" t="s">
        <v>1</v>
      </c>
      <c r="C59257" t="s">
        <v>18543</v>
      </c>
      <c r="D59257" t="s">
        <v>23510</v>
      </c>
    </row>
    <row r="59258" spans="1:4" x14ac:dyDescent="0.2">
      <c r="B59258" t="s">
        <v>18544</v>
      </c>
      <c r="C59258" t="s">
        <v>18545</v>
      </c>
      <c r="D59258" t="s">
        <v>23393</v>
      </c>
    </row>
    <row r="59259" spans="1:4" x14ac:dyDescent="0.2">
      <c r="B59259" t="s">
        <v>24</v>
      </c>
      <c r="C59259" t="s">
        <v>18546</v>
      </c>
      <c r="D59259" t="s">
        <v>23394</v>
      </c>
    </row>
    <row r="59261" spans="1:4" x14ac:dyDescent="0.2">
      <c r="A59261" t="s">
        <v>18542</v>
      </c>
      <c r="B59261" t="str">
        <f>HYPERLINK("https://lindat.mff.cuni.cz/services/teitok/pdtc10/index.php?action=vallex&amp;frame=v-w8312f3", "vyrůst (v-w8312f3) - substituted with v-w8312f5_ZU")</f>
        <v>vyrůst (v-w8312f3) - substituted with v-w8312f5_ZU</v>
      </c>
    </row>
    <row r="59262" spans="1:4" x14ac:dyDescent="0.2">
      <c r="B59262" t="s">
        <v>1</v>
      </c>
      <c r="C59262" t="s">
        <v>1895</v>
      </c>
    </row>
    <row r="59263" spans="1:4" x14ac:dyDescent="0.2">
      <c r="B59263" t="s">
        <v>18544</v>
      </c>
      <c r="C59263" t="s">
        <v>10671</v>
      </c>
    </row>
    <row r="59264" spans="1:4" x14ac:dyDescent="0.2">
      <c r="B59264" t="s">
        <v>24</v>
      </c>
      <c r="C59264" t="s">
        <v>1289</v>
      </c>
    </row>
    <row r="59266" spans="1:4" x14ac:dyDescent="0.2">
      <c r="A59266" t="s">
        <v>18547</v>
      </c>
      <c r="B59266" t="str">
        <f>HYPERLINK("https://lindat.mff.cuni.cz/services/teitok/pdtc10/index.php?action=vallex&amp;frame=v-w8312f4_ZU", "vyrůst (v-w8312f4_ZU)")</f>
        <v>vyrůst (v-w8312f4_ZU)</v>
      </c>
    </row>
    <row r="59267" spans="1:4" x14ac:dyDescent="0.2">
      <c r="B59267" t="s">
        <v>1</v>
      </c>
    </row>
    <row r="59268" spans="1:4" x14ac:dyDescent="0.2">
      <c r="B59268" t="s">
        <v>168</v>
      </c>
    </row>
    <row r="59270" spans="1:4" x14ac:dyDescent="0.2">
      <c r="A59270" t="s">
        <v>18547</v>
      </c>
      <c r="B59270" t="str">
        <f>HYPERLINK("https://lindat.mff.cuni.cz/services/teitok/pdtc10/index.php?action=vallex&amp;frame=v-w8312f2", "vyrůst (v-w8312f2) - substituted with v-w8312f4_ZU")</f>
        <v>vyrůst (v-w8312f2) - substituted with v-w8312f4_ZU</v>
      </c>
    </row>
    <row r="59271" spans="1:4" x14ac:dyDescent="0.2">
      <c r="B59271" t="s">
        <v>1</v>
      </c>
      <c r="C59271" t="s">
        <v>186</v>
      </c>
    </row>
    <row r="59272" spans="1:4" x14ac:dyDescent="0.2">
      <c r="B59272" t="s">
        <v>168</v>
      </c>
      <c r="C59272" t="s">
        <v>3156</v>
      </c>
    </row>
    <row r="59274" spans="1:4" x14ac:dyDescent="0.2">
      <c r="A59274" t="s">
        <v>18548</v>
      </c>
      <c r="B59274" t="str">
        <f>HYPERLINK("https://lindat.mff.cuni.cz/services/teitok/pdtc10/index.php?action=vallex&amp;frame=v-w8312f7_ZU", "vyrůst (v-w8312f7_ZU)")</f>
        <v>vyrůst (v-w8312f7_ZU)</v>
      </c>
    </row>
    <row r="59275" spans="1:4" x14ac:dyDescent="0.2">
      <c r="B59275" t="s">
        <v>1</v>
      </c>
    </row>
    <row r="59277" spans="1:4" x14ac:dyDescent="0.2">
      <c r="A59277" t="s">
        <v>18548</v>
      </c>
      <c r="B59277" t="str">
        <f>HYPERLINK("https://lindat.mff.cuni.cz/services/teitok/pdtc10/index.php?action=vallex&amp;frame=v-w8312f1", "vyrůst (v-w8312f1) - substituted with v-w8312f7_ZU")</f>
        <v>vyrůst (v-w8312f1) - substituted with v-w8312f7_ZU</v>
      </c>
    </row>
    <row r="59278" spans="1:4" x14ac:dyDescent="0.2">
      <c r="B59278" t="s">
        <v>1</v>
      </c>
      <c r="C59278" t="s">
        <v>18549</v>
      </c>
      <c r="D59278" t="s">
        <v>127</v>
      </c>
    </row>
    <row r="59280" spans="1:4" x14ac:dyDescent="0.2">
      <c r="A59280" t="s">
        <v>18550</v>
      </c>
      <c r="B59280" t="str">
        <f>HYPERLINK("https://lindat.mff.cuni.cz/services/teitok/pdtc10/index.php?action=vallex&amp;frame=v-w8312f6_ZU", "vyrůst (v-w8312f6_ZU)")</f>
        <v>vyrůst (v-w8312f6_ZU)</v>
      </c>
    </row>
    <row r="59281" spans="1:3" x14ac:dyDescent="0.2">
      <c r="B59281" t="s">
        <v>1</v>
      </c>
      <c r="C59281" t="s">
        <v>127</v>
      </c>
    </row>
    <row r="59283" spans="1:3" x14ac:dyDescent="0.2">
      <c r="A59283" t="s">
        <v>18551</v>
      </c>
      <c r="B59283" t="str">
        <f>HYPERLINK("https://lindat.mff.cuni.cz/services/teitok/pdtc10/index.php?action=vallex&amp;frame=v-w8312hsa_27", "vyrůst (v-w8312hsa_27)")</f>
        <v>vyrůst (v-w8312hsa_27)</v>
      </c>
    </row>
    <row r="59284" spans="1:3" x14ac:dyDescent="0.2">
      <c r="B59284" t="s">
        <v>1</v>
      </c>
    </row>
    <row r="59285" spans="1:3" x14ac:dyDescent="0.2">
      <c r="B59285" t="s">
        <v>168</v>
      </c>
    </row>
    <row r="59287" spans="1:3" x14ac:dyDescent="0.2">
      <c r="A59287" t="s">
        <v>18552</v>
      </c>
      <c r="B59287" t="str">
        <f>HYPERLINK("https://lindat.mff.cuni.cz/services/teitok/pdtc10/index.php?action=vallex&amp;frame=v-w8314f3", "vyrůstat (v-w8314f3)")</f>
        <v>vyrůstat (v-w8314f3)</v>
      </c>
    </row>
    <row r="59288" spans="1:3" x14ac:dyDescent="0.2">
      <c r="B59288" t="s">
        <v>1</v>
      </c>
    </row>
    <row r="59289" spans="1:3" x14ac:dyDescent="0.2">
      <c r="B59289" t="s">
        <v>1859</v>
      </c>
    </row>
    <row r="59290" spans="1:3" x14ac:dyDescent="0.2">
      <c r="B59290" t="s">
        <v>24</v>
      </c>
    </row>
    <row r="59292" spans="1:3" x14ac:dyDescent="0.2">
      <c r="A59292" t="s">
        <v>18553</v>
      </c>
      <c r="B59292" t="str">
        <f>HYPERLINK("https://lindat.mff.cuni.cz/services/teitok/pdtc10/index.php?action=vallex&amp;frame=v-w8314f2", "vyrůstat (v-w8314f2)")</f>
        <v>vyrůstat (v-w8314f2)</v>
      </c>
    </row>
    <row r="59293" spans="1:3" x14ac:dyDescent="0.2">
      <c r="B59293" t="s">
        <v>1</v>
      </c>
    </row>
    <row r="59294" spans="1:3" x14ac:dyDescent="0.2">
      <c r="B59294" t="s">
        <v>168</v>
      </c>
    </row>
    <row r="59296" spans="1:3" x14ac:dyDescent="0.2">
      <c r="A59296" t="s">
        <v>18554</v>
      </c>
      <c r="B59296" t="str">
        <f>HYPERLINK("https://lindat.mff.cuni.cz/services/teitok/pdtc10/index.php?action=vallex&amp;frame=v-w8314f1", "vyrůstat (v-w8314f1)")</f>
        <v>vyrůstat (v-w8314f1)</v>
      </c>
    </row>
    <row r="59297" spans="1:3" x14ac:dyDescent="0.2">
      <c r="B59297" t="s">
        <v>1</v>
      </c>
      <c r="C59297" t="s">
        <v>127</v>
      </c>
    </row>
    <row r="59299" spans="1:3" x14ac:dyDescent="0.2">
      <c r="A59299" t="s">
        <v>18555</v>
      </c>
      <c r="B59299" t="str">
        <f>HYPERLINK("https://lindat.mff.cuni.cz/services/teitok/pdtc10/index.php?action=vallex&amp;frame=v-w8314f4_ZU", "vyrůstat (v-w8314f4_ZU)")</f>
        <v>vyrůstat (v-w8314f4_ZU)</v>
      </c>
    </row>
    <row r="59300" spans="1:3" x14ac:dyDescent="0.2">
      <c r="B59300" t="s">
        <v>1</v>
      </c>
    </row>
    <row r="59302" spans="1:3" x14ac:dyDescent="0.2">
      <c r="A59302" t="s">
        <v>18556</v>
      </c>
      <c r="B59302" t="str">
        <f>HYPERLINK("https://lindat.mff.cuni.cz/services/teitok/pdtc10/index.php?action=vallex&amp;frame=v-w8334f3_ZU", "vysadit (v-w8334f3_ZU)")</f>
        <v>vysadit (v-w8334f3_ZU)</v>
      </c>
    </row>
    <row r="59303" spans="1:3" x14ac:dyDescent="0.2">
      <c r="B59303" t="s">
        <v>1</v>
      </c>
      <c r="C59303" t="s">
        <v>2530</v>
      </c>
    </row>
    <row r="59304" spans="1:3" x14ac:dyDescent="0.2">
      <c r="B59304" t="s">
        <v>8</v>
      </c>
      <c r="C59304" t="s">
        <v>2826</v>
      </c>
    </row>
    <row r="59305" spans="1:3" x14ac:dyDescent="0.2">
      <c r="B59305" t="s">
        <v>252</v>
      </c>
    </row>
    <row r="59307" spans="1:3" x14ac:dyDescent="0.2">
      <c r="A59307" t="s">
        <v>18557</v>
      </c>
      <c r="B59307" t="str">
        <f>HYPERLINK("https://lindat.mff.cuni.cz/services/teitok/pdtc10/index.php?action=vallex&amp;frame=v-w8334f1", "vysadit (v-w8334f1)")</f>
        <v>vysadit (v-w8334f1)</v>
      </c>
    </row>
    <row r="59308" spans="1:3" x14ac:dyDescent="0.2">
      <c r="B59308" t="s">
        <v>1</v>
      </c>
    </row>
    <row r="59309" spans="1:3" x14ac:dyDescent="0.2">
      <c r="B59309" t="s">
        <v>8</v>
      </c>
    </row>
    <row r="59311" spans="1:3" x14ac:dyDescent="0.2">
      <c r="A59311" t="s">
        <v>18558</v>
      </c>
      <c r="B59311" t="str">
        <f>HYPERLINK("https://lindat.mff.cuni.cz/services/teitok/pdtc10/index.php?action=vallex&amp;frame=v-w8334f2_ZU", "vysadit (v-w8334f2_ZU)")</f>
        <v>vysadit (v-w8334f2_ZU)</v>
      </c>
    </row>
    <row r="59312" spans="1:3" x14ac:dyDescent="0.2">
      <c r="B59312" t="s">
        <v>1</v>
      </c>
    </row>
    <row r="59313" spans="1:3" x14ac:dyDescent="0.2">
      <c r="B59313" t="s">
        <v>8</v>
      </c>
      <c r="C59313" t="s">
        <v>1343</v>
      </c>
    </row>
    <row r="59315" spans="1:3" x14ac:dyDescent="0.2">
      <c r="A59315" t="s">
        <v>18559</v>
      </c>
      <c r="B59315" t="str">
        <f>HYPERLINK("https://lindat.mff.cuni.cz/services/teitok/pdtc10/index.php?action=vallex&amp;frame=v-w8334f4_ZU", "vysadit (v-w8334f4_ZU)")</f>
        <v>vysadit (v-w8334f4_ZU)</v>
      </c>
    </row>
    <row r="59316" spans="1:3" x14ac:dyDescent="0.2">
      <c r="B59316" t="s">
        <v>1</v>
      </c>
    </row>
    <row r="59318" spans="1:3" x14ac:dyDescent="0.2">
      <c r="A59318" t="s">
        <v>18560</v>
      </c>
      <c r="B59318" t="str">
        <f>HYPERLINK("https://lindat.mff.cuni.cz/services/teitok/pdtc10/index.php?action=vallex&amp;frame=v-w8334hsa_349", "vysadit (v-w8334hsa_349)")</f>
        <v>vysadit (v-w8334hsa_349)</v>
      </c>
    </row>
    <row r="59319" spans="1:3" x14ac:dyDescent="0.2">
      <c r="B59319" t="s">
        <v>1</v>
      </c>
    </row>
    <row r="59320" spans="1:3" x14ac:dyDescent="0.2">
      <c r="B59320" t="s">
        <v>8</v>
      </c>
    </row>
    <row r="59321" spans="1:3" x14ac:dyDescent="0.2">
      <c r="B59321" t="s">
        <v>5</v>
      </c>
    </row>
    <row r="59323" spans="1:3" x14ac:dyDescent="0.2">
      <c r="A59323" t="s">
        <v>18561</v>
      </c>
      <c r="B59323" t="str">
        <f>HYPERLINK("https://lindat.mff.cuni.cz/services/teitok/pdtc10/index.php?action=vallex&amp;frame=v-w8334hsa_350", "vysadit (v-w8334hsa_350)")</f>
        <v>vysadit (v-w8334hsa_350)</v>
      </c>
    </row>
    <row r="59324" spans="1:3" x14ac:dyDescent="0.2">
      <c r="B59324" t="s">
        <v>1</v>
      </c>
    </row>
    <row r="59325" spans="1:3" x14ac:dyDescent="0.2">
      <c r="B59325" t="s">
        <v>8</v>
      </c>
    </row>
    <row r="59326" spans="1:3" x14ac:dyDescent="0.2">
      <c r="B59326" t="s">
        <v>333</v>
      </c>
    </row>
    <row r="59328" spans="1:3" x14ac:dyDescent="0.2">
      <c r="A59328" t="s">
        <v>18562</v>
      </c>
      <c r="B59328" t="str">
        <f>HYPERLINK("https://lindat.mff.cuni.cz/services/teitok/pdtc10/index.php?action=vallex&amp;frame=v-w8337f1", "vysazovat (v-w8337f1)")</f>
        <v>vysazovat (v-w8337f1)</v>
      </c>
    </row>
    <row r="59329" spans="1:4" x14ac:dyDescent="0.2">
      <c r="B59329" t="s">
        <v>1</v>
      </c>
    </row>
    <row r="59330" spans="1:4" x14ac:dyDescent="0.2">
      <c r="B59330" t="s">
        <v>8</v>
      </c>
    </row>
    <row r="59331" spans="1:4" x14ac:dyDescent="0.2">
      <c r="B59331" t="s">
        <v>90</v>
      </c>
    </row>
    <row r="59333" spans="1:4" x14ac:dyDescent="0.2">
      <c r="A59333" t="s">
        <v>18563</v>
      </c>
      <c r="B59333" t="str">
        <f>HYPERLINK("https://lindat.mff.cuni.cz/services/teitok/pdtc10/index.php?action=vallex&amp;frame=v-w8337f2_ZU", "vysazovat (v-w8337f2_ZU)")</f>
        <v>vysazovat (v-w8337f2_ZU)</v>
      </c>
    </row>
    <row r="59334" spans="1:4" x14ac:dyDescent="0.2">
      <c r="B59334" t="s">
        <v>1</v>
      </c>
      <c r="C59334" t="s">
        <v>2239</v>
      </c>
    </row>
    <row r="59335" spans="1:4" x14ac:dyDescent="0.2">
      <c r="B59335" t="s">
        <v>8</v>
      </c>
      <c r="C59335" t="s">
        <v>1066</v>
      </c>
    </row>
    <row r="59337" spans="1:4" x14ac:dyDescent="0.2">
      <c r="A59337" t="s">
        <v>18564</v>
      </c>
      <c r="B59337" t="str">
        <f>HYPERLINK("https://lindat.mff.cuni.cz/services/teitok/pdtc10/index.php?action=vallex&amp;frame=v-w8341f1", "vyschnout (v-w8341f1)")</f>
        <v>vyschnout (v-w8341f1)</v>
      </c>
    </row>
    <row r="59338" spans="1:4" x14ac:dyDescent="0.2">
      <c r="B59338" t="s">
        <v>1</v>
      </c>
      <c r="C59338" t="s">
        <v>201</v>
      </c>
      <c r="D59338" t="s">
        <v>553</v>
      </c>
    </row>
    <row r="59340" spans="1:4" x14ac:dyDescent="0.2">
      <c r="A59340" t="s">
        <v>18565</v>
      </c>
      <c r="B59340" t="str">
        <f>HYPERLINK("https://lindat.mff.cuni.cz/services/teitok/pdtc10/index.php?action=vallex&amp;frame=v-w8341f2", "vyschnout (v-w8341f2)")</f>
        <v>vyschnout (v-w8341f2)</v>
      </c>
    </row>
    <row r="59341" spans="1:4" x14ac:dyDescent="0.2">
      <c r="B59341" t="s">
        <v>1</v>
      </c>
      <c r="C59341" t="s">
        <v>201</v>
      </c>
      <c r="D59341" t="s">
        <v>553</v>
      </c>
    </row>
    <row r="59343" spans="1:4" x14ac:dyDescent="0.2">
      <c r="A59343" t="s">
        <v>18566</v>
      </c>
      <c r="B59343" t="str">
        <f>HYPERLINK("https://lindat.mff.cuni.cz/services/teitok/pdtc10/index.php?action=vallex&amp;frame=v-w8341f4_ZU", "vyschnout (v-w8341f4_ZU)")</f>
        <v>vyschnout (v-w8341f4_ZU)</v>
      </c>
    </row>
    <row r="59344" spans="1:4" x14ac:dyDescent="0.2">
      <c r="B59344" t="s">
        <v>1</v>
      </c>
    </row>
    <row r="59346" spans="1:2" x14ac:dyDescent="0.2">
      <c r="A59346" t="s">
        <v>18566</v>
      </c>
      <c r="B59346" t="str">
        <f>HYPERLINK("https://lindat.mff.cuni.cz/services/teitok/pdtc10/index.php?action=vallex&amp;frame=v-w8341f3_ZU", "vyschnout (v-w8341f3_ZU) - substituted with v-w8341f4_ZU")</f>
        <v>vyschnout (v-w8341f3_ZU) - substituted with v-w8341f4_ZU</v>
      </c>
    </row>
    <row r="59347" spans="1:2" x14ac:dyDescent="0.2">
      <c r="B59347" t="s">
        <v>1</v>
      </c>
    </row>
    <row r="59349" spans="1:2" x14ac:dyDescent="0.2">
      <c r="A59349" t="s">
        <v>18567</v>
      </c>
      <c r="B59349" t="str">
        <f>HYPERLINK("https://lindat.mff.cuni.cz/services/teitok/pdtc10/index.php?action=vallex&amp;frame=v-w8338f1", "vysedat (v-w8338f1)")</f>
        <v>vysedat (v-w8338f1)</v>
      </c>
    </row>
    <row r="59350" spans="1:2" x14ac:dyDescent="0.2">
      <c r="B59350" t="s">
        <v>1</v>
      </c>
    </row>
    <row r="59351" spans="1:2" x14ac:dyDescent="0.2">
      <c r="B59351" t="s">
        <v>333</v>
      </c>
    </row>
    <row r="59353" spans="1:2" x14ac:dyDescent="0.2">
      <c r="A59353" t="s">
        <v>18568</v>
      </c>
      <c r="B59353" t="str">
        <f>HYPERLINK("https://lindat.mff.cuni.cz/services/teitok/pdtc10/index.php?action=vallex&amp;frame=v-w12069_ZUf1_ZU", "vysednout (v-w12069_ZUf1_ZU)")</f>
        <v>vysednout (v-w12069_ZUf1_ZU)</v>
      </c>
    </row>
    <row r="59354" spans="1:2" x14ac:dyDescent="0.2">
      <c r="B59354" t="s">
        <v>1</v>
      </c>
    </row>
    <row r="59355" spans="1:2" x14ac:dyDescent="0.2">
      <c r="B59355" t="s">
        <v>4622</v>
      </c>
    </row>
    <row r="59357" spans="1:2" x14ac:dyDescent="0.2">
      <c r="A59357" t="s">
        <v>18569</v>
      </c>
      <c r="B59357" t="str">
        <f>HYPERLINK("https://lindat.mff.cuni.cz/services/teitok/pdtc10/index.php?action=vallex&amp;frame=v-w8339f1", "vysedávat (v-w8339f1)")</f>
        <v>vysedávat (v-w8339f1)</v>
      </c>
    </row>
    <row r="59358" spans="1:2" x14ac:dyDescent="0.2">
      <c r="B59358" t="s">
        <v>1</v>
      </c>
    </row>
    <row r="59359" spans="1:2" x14ac:dyDescent="0.2">
      <c r="B59359" t="s">
        <v>5</v>
      </c>
    </row>
    <row r="59361" spans="1:4" x14ac:dyDescent="0.2">
      <c r="A59361" t="s">
        <v>18570</v>
      </c>
      <c r="B59361" t="str">
        <f>HYPERLINK("https://lindat.mff.cuni.cz/services/teitok/pdtc10/index.php?action=vallex&amp;frame=v-whsa_1289hsa_1290", "vysedět (v-whsa_1289hsa_1290)")</f>
        <v>vysedět (v-whsa_1289hsa_1290)</v>
      </c>
    </row>
    <row r="59362" spans="1:4" x14ac:dyDescent="0.2">
      <c r="B59362" t="s">
        <v>1</v>
      </c>
    </row>
    <row r="59363" spans="1:4" x14ac:dyDescent="0.2">
      <c r="B59363" t="s">
        <v>8</v>
      </c>
    </row>
    <row r="59365" spans="1:4" x14ac:dyDescent="0.2">
      <c r="A59365" t="s">
        <v>18571</v>
      </c>
      <c r="B59365" t="str">
        <f>HYPERLINK("https://lindat.mff.cuni.cz/services/teitok/pdtc10/index.php?action=vallex&amp;frame=v-whsa_738hsa_739", "vysekávat (v-whsa_738hsa_739)")</f>
        <v>vysekávat (v-whsa_738hsa_739)</v>
      </c>
    </row>
    <row r="59366" spans="1:4" x14ac:dyDescent="0.2">
      <c r="B59366" t="s">
        <v>1</v>
      </c>
    </row>
    <row r="59367" spans="1:4" x14ac:dyDescent="0.2">
      <c r="B59367" t="s">
        <v>8</v>
      </c>
    </row>
    <row r="59369" spans="1:4" x14ac:dyDescent="0.2">
      <c r="A59369" t="s">
        <v>18572</v>
      </c>
      <c r="B59369" t="str">
        <f>HYPERLINK("https://lindat.mff.cuni.cz/services/teitok/pdtc10/index.php?action=vallex&amp;frame=v-w12087_ZUf1_ZU", "vysemenit se (v-w12087_ZUf1_ZU)")</f>
        <v>vysemenit se (v-w12087_ZUf1_ZU)</v>
      </c>
    </row>
    <row r="59370" spans="1:4" x14ac:dyDescent="0.2">
      <c r="B59370" t="s">
        <v>1</v>
      </c>
    </row>
    <row r="59372" spans="1:4" x14ac:dyDescent="0.2">
      <c r="A59372" t="s">
        <v>18573</v>
      </c>
      <c r="B59372" t="str">
        <f>HYPERLINK("https://lindat.mff.cuni.cz/services/teitok/pdtc10/index.php?action=vallex&amp;frame=v-w10500f2", "vysilovat (v-w10500f2)")</f>
        <v>vysilovat (v-w10500f2)</v>
      </c>
    </row>
    <row r="59373" spans="1:4" x14ac:dyDescent="0.2">
      <c r="B59373" t="s">
        <v>1</v>
      </c>
      <c r="C59373" t="s">
        <v>33</v>
      </c>
      <c r="D59373" t="s">
        <v>24222</v>
      </c>
    </row>
    <row r="59374" spans="1:4" x14ac:dyDescent="0.2">
      <c r="B59374" t="s">
        <v>8</v>
      </c>
      <c r="C59374" t="s">
        <v>34</v>
      </c>
      <c r="D59374" t="s">
        <v>5975</v>
      </c>
    </row>
    <row r="59376" spans="1:4" x14ac:dyDescent="0.2">
      <c r="A59376" t="s">
        <v>18574</v>
      </c>
      <c r="B59376" t="str">
        <f>HYPERLINK("https://lindat.mff.cuni.cz/services/teitok/pdtc10/index.php?action=vallex&amp;frame=v-w8346f3_ZU", "vyskočit (v-w8346f3_ZU)")</f>
        <v>vyskočit (v-w8346f3_ZU)</v>
      </c>
    </row>
    <row r="59377" spans="1:4" x14ac:dyDescent="0.2">
      <c r="B59377" t="s">
        <v>1</v>
      </c>
      <c r="C59377" t="s">
        <v>18575</v>
      </c>
      <c r="D59377" t="s">
        <v>23510</v>
      </c>
    </row>
    <row r="59378" spans="1:4" x14ac:dyDescent="0.2">
      <c r="B59378" t="s">
        <v>46</v>
      </c>
      <c r="C59378" t="s">
        <v>18576</v>
      </c>
      <c r="D59378" t="s">
        <v>23393</v>
      </c>
    </row>
    <row r="59379" spans="1:4" x14ac:dyDescent="0.2">
      <c r="B59379" t="s">
        <v>24</v>
      </c>
      <c r="C59379" t="s">
        <v>18577</v>
      </c>
      <c r="D59379" t="s">
        <v>23394</v>
      </c>
    </row>
    <row r="59381" spans="1:4" x14ac:dyDescent="0.2">
      <c r="A59381" t="s">
        <v>18578</v>
      </c>
      <c r="B59381" t="str">
        <f>HYPERLINK("https://lindat.mff.cuni.cz/services/teitok/pdtc10/index.php?action=vallex&amp;frame=v-w8346f2", "vyskočit (v-w8346f2)")</f>
        <v>vyskočit (v-w8346f2)</v>
      </c>
    </row>
    <row r="59382" spans="1:4" x14ac:dyDescent="0.2">
      <c r="B59382" t="s">
        <v>1</v>
      </c>
      <c r="C59382" t="s">
        <v>14166</v>
      </c>
    </row>
    <row r="59383" spans="1:4" x14ac:dyDescent="0.2">
      <c r="B59383" t="s">
        <v>333</v>
      </c>
    </row>
    <row r="59385" spans="1:4" x14ac:dyDescent="0.2">
      <c r="A59385" t="s">
        <v>18579</v>
      </c>
      <c r="B59385" t="str">
        <f>HYPERLINK("https://lindat.mff.cuni.cz/services/teitok/pdtc10/index.php?action=vallex&amp;frame=v-w8346f1", "vyskočit (v-w8346f1)")</f>
        <v>vyskočit (v-w8346f1)</v>
      </c>
    </row>
    <row r="59386" spans="1:4" x14ac:dyDescent="0.2">
      <c r="B59386" t="s">
        <v>1</v>
      </c>
      <c r="C59386" t="s">
        <v>18580</v>
      </c>
      <c r="D59386" t="s">
        <v>140</v>
      </c>
    </row>
    <row r="59388" spans="1:4" x14ac:dyDescent="0.2">
      <c r="A59388" t="s">
        <v>18581</v>
      </c>
      <c r="B59388" t="str">
        <f>HYPERLINK("https://lindat.mff.cuni.cz/services/teitok/pdtc10/index.php?action=vallex&amp;frame=v-w8348f2", "vyskytnout se (v-w8348f2)")</f>
        <v>vyskytnout se (v-w8348f2)</v>
      </c>
    </row>
    <row r="59389" spans="1:4" x14ac:dyDescent="0.2">
      <c r="B59389" t="s">
        <v>1</v>
      </c>
      <c r="C59389" t="s">
        <v>18582</v>
      </c>
      <c r="D59389" t="s">
        <v>23609</v>
      </c>
    </row>
    <row r="59390" spans="1:4" x14ac:dyDescent="0.2">
      <c r="B59390" t="s">
        <v>5</v>
      </c>
      <c r="C59390" t="s">
        <v>18583</v>
      </c>
    </row>
    <row r="59392" spans="1:4" x14ac:dyDescent="0.2">
      <c r="A59392" t="s">
        <v>18584</v>
      </c>
      <c r="B59392" t="str">
        <f>HYPERLINK("https://lindat.mff.cuni.cz/services/teitok/pdtc10/index.php?action=vallex&amp;frame=v-w8348f1", "vyskytnout se (v-w8348f1)")</f>
        <v>vyskytnout se (v-w8348f1)</v>
      </c>
    </row>
    <row r="59393" spans="1:4" x14ac:dyDescent="0.2">
      <c r="B59393" t="s">
        <v>1</v>
      </c>
      <c r="C59393" t="s">
        <v>570</v>
      </c>
      <c r="D59393" t="s">
        <v>23031</v>
      </c>
    </row>
    <row r="59395" spans="1:4" x14ac:dyDescent="0.2">
      <c r="A59395" t="s">
        <v>18585</v>
      </c>
      <c r="B59395" t="str">
        <f>HYPERLINK("https://lindat.mff.cuni.cz/services/teitok/pdtc10/index.php?action=vallex&amp;frame=v-w8349f1", "vyskytovat se (v-w8349f1)")</f>
        <v>vyskytovat se (v-w8349f1)</v>
      </c>
    </row>
    <row r="59396" spans="1:4" x14ac:dyDescent="0.2">
      <c r="B59396" t="s">
        <v>1</v>
      </c>
      <c r="C59396" t="s">
        <v>18586</v>
      </c>
      <c r="D59396" t="s">
        <v>23609</v>
      </c>
    </row>
    <row r="59397" spans="1:4" x14ac:dyDescent="0.2">
      <c r="B59397" t="s">
        <v>5</v>
      </c>
      <c r="C59397" t="s">
        <v>18587</v>
      </c>
    </row>
    <row r="59399" spans="1:4" x14ac:dyDescent="0.2">
      <c r="A59399" t="s">
        <v>18588</v>
      </c>
      <c r="B59399" t="str">
        <f>HYPERLINK("https://lindat.mff.cuni.cz/services/teitok/pdtc10/index.php?action=vallex&amp;frame=v-w8349f2", "vyskytovat se (v-w8349f2)")</f>
        <v>vyskytovat se (v-w8349f2)</v>
      </c>
    </row>
    <row r="59400" spans="1:4" x14ac:dyDescent="0.2">
      <c r="B59400" t="s">
        <v>1</v>
      </c>
      <c r="C59400" t="s">
        <v>18589</v>
      </c>
    </row>
    <row r="59402" spans="1:4" x14ac:dyDescent="0.2">
      <c r="A59402" t="s">
        <v>18590</v>
      </c>
      <c r="B59402" t="str">
        <f>HYPERLINK("https://lindat.mff.cuni.cz/services/teitok/pdtc10/index.php?action=vallex&amp;frame=v-whsb_825hsa_826", "vyskákat (v-whsb_825hsa_826)")</f>
        <v>vyskákat (v-whsb_825hsa_826)</v>
      </c>
    </row>
    <row r="59403" spans="1:4" x14ac:dyDescent="0.2">
      <c r="B59403" t="s">
        <v>1</v>
      </c>
    </row>
    <row r="59404" spans="1:4" x14ac:dyDescent="0.2">
      <c r="B59404" t="s">
        <v>333</v>
      </c>
    </row>
    <row r="59406" spans="1:4" x14ac:dyDescent="0.2">
      <c r="A59406" t="s">
        <v>18591</v>
      </c>
      <c r="B59406" t="str">
        <f>HYPERLINK("https://lindat.mff.cuni.cz/services/teitok/pdtc10/index.php?action=vallex&amp;frame=v-w8351f2", "vyslat (v-w8351f2)")</f>
        <v>vyslat (v-w8351f2)</v>
      </c>
    </row>
    <row r="59407" spans="1:4" x14ac:dyDescent="0.2">
      <c r="B59407" t="s">
        <v>1</v>
      </c>
      <c r="C59407" t="s">
        <v>4807</v>
      </c>
    </row>
    <row r="59408" spans="1:4" x14ac:dyDescent="0.2">
      <c r="B59408" t="s">
        <v>8</v>
      </c>
      <c r="C59408" t="s">
        <v>5714</v>
      </c>
    </row>
    <row r="59409" spans="1:4" x14ac:dyDescent="0.2">
      <c r="B59409" t="s">
        <v>35</v>
      </c>
      <c r="C59409" t="s">
        <v>13179</v>
      </c>
    </row>
    <row r="59411" spans="1:4" x14ac:dyDescent="0.2">
      <c r="A59411" t="s">
        <v>18592</v>
      </c>
      <c r="B59411" t="str">
        <f>HYPERLINK("https://lindat.mff.cuni.cz/services/teitok/pdtc10/index.php?action=vallex&amp;frame=v-w8351f1", "vyslat (v-w8351f1)")</f>
        <v>vyslat (v-w8351f1)</v>
      </c>
    </row>
    <row r="59412" spans="1:4" x14ac:dyDescent="0.2">
      <c r="B59412" t="s">
        <v>1</v>
      </c>
      <c r="C59412" t="s">
        <v>9603</v>
      </c>
      <c r="D59412" t="s">
        <v>8003</v>
      </c>
    </row>
    <row r="59413" spans="1:4" x14ac:dyDescent="0.2">
      <c r="B59413" t="s">
        <v>8</v>
      </c>
      <c r="C59413" t="s">
        <v>14833</v>
      </c>
      <c r="D59413" t="s">
        <v>23102</v>
      </c>
    </row>
    <row r="59414" spans="1:4" x14ac:dyDescent="0.2">
      <c r="B59414" t="s">
        <v>90</v>
      </c>
      <c r="C59414" t="s">
        <v>9605</v>
      </c>
      <c r="D59414" t="s">
        <v>23177</v>
      </c>
    </row>
    <row r="59416" spans="1:4" x14ac:dyDescent="0.2">
      <c r="A59416" t="s">
        <v>18593</v>
      </c>
      <c r="B59416" t="str">
        <f>HYPERLINK("https://lindat.mff.cuni.cz/services/teitok/pdtc10/index.php?action=vallex&amp;frame=v-w8355f1", "vyslechnout (v-w8355f1)")</f>
        <v>vyslechnout (v-w8355f1)</v>
      </c>
    </row>
    <row r="59417" spans="1:4" x14ac:dyDescent="0.2">
      <c r="B59417" t="s">
        <v>1</v>
      </c>
      <c r="C59417" t="s">
        <v>43</v>
      </c>
      <c r="D59417" t="s">
        <v>92</v>
      </c>
    </row>
    <row r="59418" spans="1:4" x14ac:dyDescent="0.2">
      <c r="B59418" t="s">
        <v>1284</v>
      </c>
      <c r="C59418" t="s">
        <v>18594</v>
      </c>
      <c r="D59418" t="s">
        <v>359</v>
      </c>
    </row>
    <row r="59420" spans="1:4" x14ac:dyDescent="0.2">
      <c r="A59420" t="s">
        <v>18595</v>
      </c>
      <c r="B59420" t="str">
        <f>HYPERLINK("https://lindat.mff.cuni.cz/services/teitok/pdtc10/index.php?action=vallex&amp;frame=v-w8355hsa_1097", "vyslechnout (v-w8355hsa_1097)")</f>
        <v>vyslechnout (v-w8355hsa_1097)</v>
      </c>
    </row>
    <row r="59421" spans="1:4" x14ac:dyDescent="0.2">
      <c r="B59421" t="s">
        <v>1</v>
      </c>
      <c r="C59421" t="s">
        <v>2303</v>
      </c>
    </row>
    <row r="59422" spans="1:4" x14ac:dyDescent="0.2">
      <c r="B59422" t="s">
        <v>8</v>
      </c>
      <c r="C59422" t="s">
        <v>1109</v>
      </c>
    </row>
    <row r="59424" spans="1:4" x14ac:dyDescent="0.2">
      <c r="A59424" t="s">
        <v>18596</v>
      </c>
      <c r="B59424" t="str">
        <f>HYPERLINK("https://lindat.mff.cuni.cz/services/teitok/pdtc10/index.php?action=vallex&amp;frame=v-w8356f1", "vyslechnout si (v-w8356f1)")</f>
        <v>vyslechnout si (v-w8356f1)</v>
      </c>
    </row>
    <row r="59425" spans="1:4" x14ac:dyDescent="0.2">
      <c r="B59425" t="s">
        <v>1</v>
      </c>
      <c r="C59425" t="s">
        <v>6902</v>
      </c>
      <c r="D59425" t="s">
        <v>92</v>
      </c>
    </row>
    <row r="59426" spans="1:4" x14ac:dyDescent="0.2">
      <c r="B59426" t="s">
        <v>1284</v>
      </c>
      <c r="C59426" t="s">
        <v>18597</v>
      </c>
      <c r="D59426" t="s">
        <v>359</v>
      </c>
    </row>
    <row r="59428" spans="1:4" x14ac:dyDescent="0.2">
      <c r="A59428" t="s">
        <v>18598</v>
      </c>
      <c r="B59428" t="str">
        <f>HYPERLINK("https://lindat.mff.cuni.cz/services/teitok/pdtc10/index.php?action=vallex&amp;frame=v-w8353f1", "vysledovat (v-w8353f1)")</f>
        <v>vysledovat (v-w8353f1)</v>
      </c>
    </row>
    <row r="59429" spans="1:4" x14ac:dyDescent="0.2">
      <c r="B59429" t="s">
        <v>1</v>
      </c>
    </row>
    <row r="59430" spans="1:4" x14ac:dyDescent="0.2">
      <c r="B59430" t="s">
        <v>8</v>
      </c>
    </row>
    <row r="59432" spans="1:4" x14ac:dyDescent="0.2">
      <c r="A59432" t="s">
        <v>18599</v>
      </c>
      <c r="B59432" t="str">
        <f>HYPERLINK("https://lindat.mff.cuni.cz/services/teitok/pdtc10/index.php?action=vallex&amp;frame=v-whsa_884hsa_885", "vysloužit (v-whsa_884hsa_885)")</f>
        <v>vysloužit (v-whsa_884hsa_885)</v>
      </c>
    </row>
    <row r="59433" spans="1:4" x14ac:dyDescent="0.2">
      <c r="B59433" t="s">
        <v>1</v>
      </c>
    </row>
    <row r="59434" spans="1:4" x14ac:dyDescent="0.2">
      <c r="B59434" t="s">
        <v>8</v>
      </c>
    </row>
    <row r="59435" spans="1:4" x14ac:dyDescent="0.2">
      <c r="B59435" t="s">
        <v>35</v>
      </c>
    </row>
    <row r="59437" spans="1:4" x14ac:dyDescent="0.2">
      <c r="A59437" t="s">
        <v>18600</v>
      </c>
      <c r="B59437" t="str">
        <f>HYPERLINK("https://lindat.mff.cuni.cz/services/teitok/pdtc10/index.php?action=vallex&amp;frame=v-w8357f1", "vysloužit si (v-w8357f1)")</f>
        <v>vysloužit si (v-w8357f1)</v>
      </c>
    </row>
    <row r="59438" spans="1:4" x14ac:dyDescent="0.2">
      <c r="B59438" t="s">
        <v>1</v>
      </c>
      <c r="C59438" t="s">
        <v>2702</v>
      </c>
    </row>
    <row r="59439" spans="1:4" x14ac:dyDescent="0.2">
      <c r="B59439" t="s">
        <v>1921</v>
      </c>
      <c r="C59439" t="s">
        <v>1109</v>
      </c>
    </row>
    <row r="59440" spans="1:4" x14ac:dyDescent="0.2">
      <c r="B59440" t="s">
        <v>321</v>
      </c>
      <c r="C59440" t="s">
        <v>5408</v>
      </c>
    </row>
    <row r="59442" spans="1:2" x14ac:dyDescent="0.2">
      <c r="A59442" t="s">
        <v>18601</v>
      </c>
      <c r="B59442" t="str">
        <f>HYPERLINK("https://lindat.mff.cuni.cz/services/teitok/pdtc10/index.php?action=vallex&amp;frame=v-w8359f5_ZU", "vyslovit (v-w8359f5_ZU)")</f>
        <v>vyslovit (v-w8359f5_ZU)</v>
      </c>
    </row>
    <row r="59443" spans="1:2" x14ac:dyDescent="0.2">
      <c r="B59443" t="s">
        <v>1</v>
      </c>
    </row>
    <row r="59444" spans="1:2" x14ac:dyDescent="0.2">
      <c r="B59444" t="s">
        <v>8</v>
      </c>
    </row>
    <row r="59445" spans="1:2" x14ac:dyDescent="0.2">
      <c r="B59445" t="s">
        <v>35</v>
      </c>
    </row>
    <row r="59447" spans="1:2" x14ac:dyDescent="0.2">
      <c r="A59447" t="s">
        <v>18602</v>
      </c>
      <c r="B59447" t="str">
        <f>HYPERLINK("https://lindat.mff.cuni.cz/services/teitok/pdtc10/index.php?action=vallex&amp;frame=v-w8359f2", "vyslovit (v-w8359f2)")</f>
        <v>vyslovit (v-w8359f2)</v>
      </c>
    </row>
    <row r="59448" spans="1:2" x14ac:dyDescent="0.2">
      <c r="B59448" t="s">
        <v>1</v>
      </c>
    </row>
    <row r="59449" spans="1:2" x14ac:dyDescent="0.2">
      <c r="B59449" t="s">
        <v>273</v>
      </c>
    </row>
    <row r="59451" spans="1:2" x14ac:dyDescent="0.2">
      <c r="A59451" t="s">
        <v>18603</v>
      </c>
      <c r="B59451" t="str">
        <f>HYPERLINK("https://lindat.mff.cuni.cz/services/teitok/pdtc10/index.php?action=vallex&amp;frame=v-w8359f3", "vyslovit (v-w8359f3)")</f>
        <v>vyslovit (v-w8359f3)</v>
      </c>
    </row>
    <row r="59452" spans="1:2" x14ac:dyDescent="0.2">
      <c r="B59452" t="s">
        <v>1</v>
      </c>
    </row>
    <row r="59453" spans="1:2" x14ac:dyDescent="0.2">
      <c r="B59453" t="s">
        <v>18604</v>
      </c>
    </row>
    <row r="59454" spans="1:2" x14ac:dyDescent="0.2">
      <c r="B59454" t="s">
        <v>35</v>
      </c>
    </row>
    <row r="59456" spans="1:2" x14ac:dyDescent="0.2">
      <c r="A59456" t="s">
        <v>18605</v>
      </c>
      <c r="B59456" t="str">
        <f>HYPERLINK("https://lindat.mff.cuni.cz/services/teitok/pdtc10/index.php?action=vallex&amp;frame=v-w8359f4_ZU", "vyslovit (v-w8359f4_ZU)")</f>
        <v>vyslovit (v-w8359f4_ZU)</v>
      </c>
    </row>
    <row r="59457" spans="1:4" x14ac:dyDescent="0.2">
      <c r="B59457" t="s">
        <v>1</v>
      </c>
      <c r="C59457" t="s">
        <v>18606</v>
      </c>
      <c r="D59457" t="s">
        <v>24408</v>
      </c>
    </row>
    <row r="59458" spans="1:4" x14ac:dyDescent="0.2">
      <c r="B59458" t="s">
        <v>18607</v>
      </c>
      <c r="C59458" t="s">
        <v>18608</v>
      </c>
      <c r="D59458" t="s">
        <v>24409</v>
      </c>
    </row>
    <row r="59460" spans="1:4" x14ac:dyDescent="0.2">
      <c r="A59460" t="s">
        <v>18605</v>
      </c>
      <c r="B59460" t="str">
        <f>HYPERLINK("https://lindat.mff.cuni.cz/services/teitok/pdtc10/index.php?action=vallex&amp;frame=v-w8359f1", "vyslovit (v-w8359f1) - substituted with v-w8359f4_ZU")</f>
        <v>vyslovit (v-w8359f1) - substituted with v-w8359f4_ZU</v>
      </c>
    </row>
    <row r="59461" spans="1:4" x14ac:dyDescent="0.2">
      <c r="B59461" t="s">
        <v>1</v>
      </c>
      <c r="C59461" t="s">
        <v>18609</v>
      </c>
    </row>
    <row r="59462" spans="1:4" x14ac:dyDescent="0.2">
      <c r="B59462" t="s">
        <v>18607</v>
      </c>
      <c r="C59462" t="s">
        <v>18610</v>
      </c>
    </row>
    <row r="59464" spans="1:4" x14ac:dyDescent="0.2">
      <c r="A59464" t="s">
        <v>18611</v>
      </c>
      <c r="B59464" t="str">
        <f>HYPERLINK("https://lindat.mff.cuni.cz/services/teitok/pdtc10/index.php?action=vallex&amp;frame=v-w8360f2", "vyslovit se (v-w8360f2)")</f>
        <v>vyslovit se (v-w8360f2)</v>
      </c>
    </row>
    <row r="59465" spans="1:4" x14ac:dyDescent="0.2">
      <c r="B59465" t="s">
        <v>1</v>
      </c>
      <c r="D59465" t="s">
        <v>2237</v>
      </c>
    </row>
    <row r="59466" spans="1:4" x14ac:dyDescent="0.2">
      <c r="B59466" t="s">
        <v>18612</v>
      </c>
      <c r="D59466" t="s">
        <v>341</v>
      </c>
    </row>
    <row r="59468" spans="1:4" x14ac:dyDescent="0.2">
      <c r="A59468" t="s">
        <v>18613</v>
      </c>
      <c r="B59468" t="str">
        <f>HYPERLINK("https://lindat.mff.cuni.cz/services/teitok/pdtc10/index.php?action=vallex&amp;frame=v-w8360f1", "vyslovit se (v-w8360f1)")</f>
        <v>vyslovit se (v-w8360f1)</v>
      </c>
    </row>
    <row r="59469" spans="1:4" x14ac:dyDescent="0.2">
      <c r="B59469" t="s">
        <v>1</v>
      </c>
      <c r="C59469" t="s">
        <v>133</v>
      </c>
      <c r="D59469" t="s">
        <v>2237</v>
      </c>
    </row>
    <row r="59470" spans="1:4" x14ac:dyDescent="0.2">
      <c r="B59470" t="s">
        <v>18614</v>
      </c>
      <c r="D59470" t="s">
        <v>341</v>
      </c>
    </row>
    <row r="59472" spans="1:4" x14ac:dyDescent="0.2">
      <c r="A59472" t="s">
        <v>18615</v>
      </c>
      <c r="B59472" t="str">
        <f>HYPERLINK("https://lindat.mff.cuni.cz/services/teitok/pdtc10/index.php?action=vallex&amp;frame=v-w8362f2", "vyslovovat (v-w8362f2)")</f>
        <v>vyslovovat (v-w8362f2)</v>
      </c>
    </row>
    <row r="59473" spans="1:4" x14ac:dyDescent="0.2">
      <c r="B59473" t="s">
        <v>1</v>
      </c>
    </row>
    <row r="59474" spans="1:4" x14ac:dyDescent="0.2">
      <c r="B59474" t="s">
        <v>273</v>
      </c>
    </row>
    <row r="59476" spans="1:4" x14ac:dyDescent="0.2">
      <c r="A59476" t="s">
        <v>18616</v>
      </c>
      <c r="B59476" t="str">
        <f>HYPERLINK("https://lindat.mff.cuni.cz/services/teitok/pdtc10/index.php?action=vallex&amp;frame=v-w8362f3", "vyslovovat (v-w8362f3)")</f>
        <v>vyslovovat (v-w8362f3)</v>
      </c>
    </row>
    <row r="59477" spans="1:4" x14ac:dyDescent="0.2">
      <c r="B59477" t="s">
        <v>1</v>
      </c>
    </row>
    <row r="59478" spans="1:4" x14ac:dyDescent="0.2">
      <c r="B59478" t="s">
        <v>18604</v>
      </c>
    </row>
    <row r="59479" spans="1:4" x14ac:dyDescent="0.2">
      <c r="B59479" t="s">
        <v>35</v>
      </c>
    </row>
    <row r="59481" spans="1:4" x14ac:dyDescent="0.2">
      <c r="A59481" t="s">
        <v>18617</v>
      </c>
      <c r="B59481" t="str">
        <f>HYPERLINK("https://lindat.mff.cuni.cz/services/teitok/pdtc10/index.php?action=vallex&amp;frame=v-w8362f4_ZU", "vyslovovat (v-w8362f4_ZU)")</f>
        <v>vyslovovat (v-w8362f4_ZU)</v>
      </c>
    </row>
    <row r="59482" spans="1:4" x14ac:dyDescent="0.2">
      <c r="B59482" t="s">
        <v>1</v>
      </c>
      <c r="D59482" t="s">
        <v>23552</v>
      </c>
    </row>
    <row r="59483" spans="1:4" x14ac:dyDescent="0.2">
      <c r="B59483" t="s">
        <v>18618</v>
      </c>
    </row>
    <row r="59485" spans="1:4" x14ac:dyDescent="0.2">
      <c r="A59485" t="s">
        <v>18617</v>
      </c>
      <c r="B59485" t="str">
        <f>HYPERLINK("https://lindat.mff.cuni.cz/services/teitok/pdtc10/index.php?action=vallex&amp;frame=v-w8362f1", "vyslovovat (v-w8362f1) - substituted with v-w8362f4_ZU")</f>
        <v>vyslovovat (v-w8362f1) - substituted with v-w8362f4_ZU</v>
      </c>
    </row>
    <row r="59486" spans="1:4" x14ac:dyDescent="0.2">
      <c r="B59486" t="s">
        <v>1</v>
      </c>
    </row>
    <row r="59487" spans="1:4" x14ac:dyDescent="0.2">
      <c r="B59487" t="s">
        <v>18618</v>
      </c>
    </row>
    <row r="59489" spans="1:4" x14ac:dyDescent="0.2">
      <c r="A59489" t="s">
        <v>18619</v>
      </c>
      <c r="B59489" t="str">
        <f>HYPERLINK("https://lindat.mff.cuni.cz/services/teitok/pdtc10/index.php?action=vallex&amp;frame=v-w8363f1", "vyslovovat se (v-w8363f1)")</f>
        <v>vyslovovat se (v-w8363f1)</v>
      </c>
    </row>
    <row r="59490" spans="1:4" x14ac:dyDescent="0.2">
      <c r="B59490" t="s">
        <v>1</v>
      </c>
      <c r="D59490" t="s">
        <v>2237</v>
      </c>
    </row>
    <row r="59491" spans="1:4" x14ac:dyDescent="0.2">
      <c r="B59491" t="s">
        <v>18612</v>
      </c>
      <c r="D59491" t="s">
        <v>341</v>
      </c>
    </row>
    <row r="59493" spans="1:4" x14ac:dyDescent="0.2">
      <c r="A59493" t="s">
        <v>18620</v>
      </c>
      <c r="B59493" t="str">
        <f>HYPERLINK("https://lindat.mff.cuni.cz/services/teitok/pdtc10/index.php?action=vallex&amp;frame=v-w8363f2", "vyslovovat se (v-w8363f2)")</f>
        <v>vyslovovat se (v-w8363f2)</v>
      </c>
    </row>
    <row r="59494" spans="1:4" x14ac:dyDescent="0.2">
      <c r="B59494" t="s">
        <v>1</v>
      </c>
      <c r="C59494" t="s">
        <v>33</v>
      </c>
      <c r="D59494" t="s">
        <v>2237</v>
      </c>
    </row>
    <row r="59495" spans="1:4" x14ac:dyDescent="0.2">
      <c r="B59495" t="s">
        <v>18621</v>
      </c>
      <c r="C59495" t="s">
        <v>34</v>
      </c>
      <c r="D59495" t="s">
        <v>341</v>
      </c>
    </row>
    <row r="59497" spans="1:4" x14ac:dyDescent="0.2">
      <c r="A59497" t="s">
        <v>18622</v>
      </c>
      <c r="B59497" t="str">
        <f>HYPERLINK("https://lindat.mff.cuni.cz/services/teitok/pdtc10/index.php?action=vallex&amp;frame=v-w8367f1", "vyslyšet (v-w8367f1)")</f>
        <v>vyslyšet (v-w8367f1)</v>
      </c>
    </row>
    <row r="59498" spans="1:4" x14ac:dyDescent="0.2">
      <c r="B59498" t="s">
        <v>1</v>
      </c>
      <c r="C59498" t="s">
        <v>13012</v>
      </c>
      <c r="D59498" t="s">
        <v>23549</v>
      </c>
    </row>
    <row r="59499" spans="1:4" x14ac:dyDescent="0.2">
      <c r="B59499" t="s">
        <v>8</v>
      </c>
      <c r="C59499" t="s">
        <v>18623</v>
      </c>
      <c r="D59499" t="s">
        <v>15577</v>
      </c>
    </row>
    <row r="59501" spans="1:4" x14ac:dyDescent="0.2">
      <c r="A59501" t="s">
        <v>18624</v>
      </c>
      <c r="B59501" t="str">
        <f>HYPERLINK("https://lindat.mff.cuni.cz/services/teitok/pdtc10/index.php?action=vallex&amp;frame=v-w8365f1", "vyslýchat (v-w8365f1)")</f>
        <v>vyslýchat (v-w8365f1)</v>
      </c>
    </row>
    <row r="59502" spans="1:4" x14ac:dyDescent="0.2">
      <c r="B59502" t="s">
        <v>1</v>
      </c>
      <c r="C59502" t="s">
        <v>3583</v>
      </c>
      <c r="D59502" t="s">
        <v>23213</v>
      </c>
    </row>
    <row r="59503" spans="1:4" x14ac:dyDescent="0.2">
      <c r="B59503" t="s">
        <v>8</v>
      </c>
      <c r="C59503" t="s">
        <v>1750</v>
      </c>
      <c r="D59503" t="s">
        <v>24410</v>
      </c>
    </row>
    <row r="59505" spans="1:4" x14ac:dyDescent="0.2">
      <c r="A59505" t="s">
        <v>18625</v>
      </c>
      <c r="B59505" t="str">
        <f>HYPERLINK("https://lindat.mff.cuni.cz/services/teitok/pdtc10/index.php?action=vallex&amp;frame=v-w8368f1", "vysmát se (v-w8368f1)")</f>
        <v>vysmát se (v-w8368f1)</v>
      </c>
    </row>
    <row r="59506" spans="1:4" x14ac:dyDescent="0.2">
      <c r="B59506" t="s">
        <v>1</v>
      </c>
      <c r="D59506" t="s">
        <v>22</v>
      </c>
    </row>
    <row r="59507" spans="1:4" x14ac:dyDescent="0.2">
      <c r="B59507" t="s">
        <v>103</v>
      </c>
      <c r="D59507" t="s">
        <v>54</v>
      </c>
    </row>
    <row r="59509" spans="1:4" x14ac:dyDescent="0.2">
      <c r="A59509" t="s">
        <v>18626</v>
      </c>
      <c r="B59509" t="str">
        <f>HYPERLINK("https://lindat.mff.cuni.cz/services/teitok/pdtc10/index.php?action=vallex&amp;frame=v-w8370f1", "vysmívat se (v-w8370f1)")</f>
        <v>vysmívat se (v-w8370f1)</v>
      </c>
    </row>
    <row r="59510" spans="1:4" x14ac:dyDescent="0.2">
      <c r="B59510" t="s">
        <v>1</v>
      </c>
      <c r="C59510" t="s">
        <v>22</v>
      </c>
      <c r="D59510" t="s">
        <v>22</v>
      </c>
    </row>
    <row r="59511" spans="1:4" x14ac:dyDescent="0.2">
      <c r="B59511" t="s">
        <v>103</v>
      </c>
      <c r="C59511" t="s">
        <v>54</v>
      </c>
      <c r="D59511" t="s">
        <v>54</v>
      </c>
    </row>
    <row r="59513" spans="1:4" x14ac:dyDescent="0.2">
      <c r="A59513" t="s">
        <v>18627</v>
      </c>
      <c r="B59513" t="str">
        <f>HYPERLINK("https://lindat.mff.cuni.cz/services/teitok/pdtc10/index.php?action=vallex&amp;frame=v-w10920f2", "vysnít (v-w10920f2)")</f>
        <v>vysnít (v-w10920f2)</v>
      </c>
    </row>
    <row r="59514" spans="1:4" x14ac:dyDescent="0.2">
      <c r="B59514" t="s">
        <v>1</v>
      </c>
    </row>
    <row r="59515" spans="1:4" x14ac:dyDescent="0.2">
      <c r="B59515" t="s">
        <v>124</v>
      </c>
    </row>
    <row r="59517" spans="1:4" x14ac:dyDescent="0.2">
      <c r="A59517" t="s">
        <v>18628</v>
      </c>
      <c r="B59517" t="str">
        <f>HYPERLINK("https://lindat.mff.cuni.cz/services/teitok/pdtc10/index.php?action=vallex&amp;frame=v-w8371f1", "vysnívat si (v-w8371f1)")</f>
        <v>vysnívat si (v-w8371f1)</v>
      </c>
    </row>
    <row r="59518" spans="1:4" x14ac:dyDescent="0.2">
      <c r="B59518" t="s">
        <v>1</v>
      </c>
    </row>
    <row r="59519" spans="1:4" x14ac:dyDescent="0.2">
      <c r="B59519" t="s">
        <v>124</v>
      </c>
    </row>
    <row r="59521" spans="1:4" x14ac:dyDescent="0.2">
      <c r="A59521" t="s">
        <v>18629</v>
      </c>
      <c r="B59521" t="str">
        <f>HYPERLINK("https://lindat.mff.cuni.cz/services/teitok/pdtc10/index.php?action=vallex&amp;frame=v-w8371f2", "vysnívat si (v-w8371f2)")</f>
        <v>vysnívat si (v-w8371f2)</v>
      </c>
    </row>
    <row r="59522" spans="1:4" x14ac:dyDescent="0.2">
      <c r="B59522" t="s">
        <v>1</v>
      </c>
    </row>
    <row r="59523" spans="1:4" x14ac:dyDescent="0.2">
      <c r="B59523" t="s">
        <v>18125</v>
      </c>
    </row>
    <row r="59524" spans="1:4" x14ac:dyDescent="0.2">
      <c r="B59524" t="s">
        <v>269</v>
      </c>
    </row>
    <row r="59526" spans="1:4" x14ac:dyDescent="0.2">
      <c r="A59526" t="s">
        <v>18630</v>
      </c>
      <c r="B59526" t="str">
        <f>HYPERLINK("https://lindat.mff.cuni.cz/services/teitok/pdtc10/index.php?action=vallex&amp;frame=v-whsa_1449hsa_1450", "vysochat (v-whsa_1449hsa_1450)")</f>
        <v>vysochat (v-whsa_1449hsa_1450)</v>
      </c>
    </row>
    <row r="59527" spans="1:4" x14ac:dyDescent="0.2">
      <c r="B59527" t="s">
        <v>1</v>
      </c>
    </row>
    <row r="59528" spans="1:4" x14ac:dyDescent="0.2">
      <c r="B59528" t="s">
        <v>8</v>
      </c>
    </row>
    <row r="59530" spans="1:4" x14ac:dyDescent="0.2">
      <c r="A59530" t="s">
        <v>18631</v>
      </c>
      <c r="B59530" t="str">
        <f>HYPERLINK("https://lindat.mff.cuni.cz/services/teitok/pdtc10/index.php?action=vallex&amp;frame=v-w11038f2", "vysolit (v-w11038f2)")</f>
        <v>vysolit (v-w11038f2)</v>
      </c>
    </row>
    <row r="59531" spans="1:4" x14ac:dyDescent="0.2">
      <c r="B59531" t="s">
        <v>1</v>
      </c>
      <c r="C59531" t="s">
        <v>140</v>
      </c>
      <c r="D59531" t="s">
        <v>23066</v>
      </c>
    </row>
    <row r="59532" spans="1:4" x14ac:dyDescent="0.2">
      <c r="B59532" t="s">
        <v>8</v>
      </c>
      <c r="C59532" t="s">
        <v>8502</v>
      </c>
      <c r="D59532" t="s">
        <v>23067</v>
      </c>
    </row>
    <row r="59533" spans="1:4" x14ac:dyDescent="0.2">
      <c r="B59533" t="s">
        <v>35</v>
      </c>
      <c r="D59533" t="s">
        <v>24411</v>
      </c>
    </row>
    <row r="59535" spans="1:4" x14ac:dyDescent="0.2">
      <c r="A59535" t="s">
        <v>18632</v>
      </c>
      <c r="B59535" t="str">
        <f>HYPERLINK("https://lindat.mff.cuni.cz/services/teitok/pdtc10/index.php?action=vallex&amp;frame=v-w8372f1", "vysouvat se (v-w8372f1)")</f>
        <v>vysouvat se (v-w8372f1)</v>
      </c>
    </row>
    <row r="59536" spans="1:4" x14ac:dyDescent="0.2">
      <c r="B59536" t="s">
        <v>1</v>
      </c>
    </row>
    <row r="59537" spans="1:2" x14ac:dyDescent="0.2">
      <c r="B59537" t="s">
        <v>333</v>
      </c>
    </row>
    <row r="59539" spans="1:2" x14ac:dyDescent="0.2">
      <c r="A59539" t="s">
        <v>18633</v>
      </c>
      <c r="B59539" t="str">
        <f>HYPERLINK("https://lindat.mff.cuni.cz/services/teitok/pdtc10/index.php?action=vallex&amp;frame=v-whsa_492f1_ZU", "vysoušet (v-whsa_492f1_ZU)")</f>
        <v>vysoušet (v-whsa_492f1_ZU)</v>
      </c>
    </row>
    <row r="59540" spans="1:2" x14ac:dyDescent="0.2">
      <c r="B59540" t="s">
        <v>1</v>
      </c>
    </row>
    <row r="59541" spans="1:2" x14ac:dyDescent="0.2">
      <c r="B59541" t="s">
        <v>8</v>
      </c>
    </row>
    <row r="59543" spans="1:2" x14ac:dyDescent="0.2">
      <c r="A59543" t="s">
        <v>18633</v>
      </c>
      <c r="B59543" t="str">
        <f>HYPERLINK("https://lindat.mff.cuni.cz/services/teitok/pdtc10/index.php?action=vallex&amp;frame=v-whsa_492hsa_493", "vysoušet (v-whsa_492hsa_493) - substituted with v-whsa_492f1_ZU")</f>
        <v>vysoušet (v-whsa_492hsa_493) - substituted with v-whsa_492f1_ZU</v>
      </c>
    </row>
    <row r="59544" spans="1:2" x14ac:dyDescent="0.2">
      <c r="B59544" t="s">
        <v>1</v>
      </c>
    </row>
    <row r="59545" spans="1:2" x14ac:dyDescent="0.2">
      <c r="B59545" t="s">
        <v>8</v>
      </c>
    </row>
    <row r="59547" spans="1:2" x14ac:dyDescent="0.2">
      <c r="A59547" t="s">
        <v>18634</v>
      </c>
      <c r="B59547" t="str">
        <f>HYPERLINK("https://lindat.mff.cuni.cz/services/teitok/pdtc10/index.php?action=vallex&amp;frame=v-w11628_ZUf1_ZU", "vyspat se (v-w11628_ZUf1_ZU)")</f>
        <v>vyspat se (v-w11628_ZUf1_ZU)</v>
      </c>
    </row>
    <row r="59548" spans="1:2" x14ac:dyDescent="0.2">
      <c r="B59548" t="s">
        <v>1</v>
      </c>
    </row>
    <row r="59550" spans="1:2" x14ac:dyDescent="0.2">
      <c r="A59550" t="s">
        <v>18635</v>
      </c>
      <c r="B59550" t="str">
        <f>HYPERLINK("https://lindat.mff.cuni.cz/services/teitok/pdtc10/index.php?action=vallex&amp;frame=v-w8374f1", "vyspravit (v-w8374f1)")</f>
        <v>vyspravit (v-w8374f1)</v>
      </c>
    </row>
    <row r="59551" spans="1:2" x14ac:dyDescent="0.2">
      <c r="B59551" t="s">
        <v>1</v>
      </c>
    </row>
    <row r="59552" spans="1:2" x14ac:dyDescent="0.2">
      <c r="B59552" t="s">
        <v>8</v>
      </c>
    </row>
    <row r="59554" spans="1:3" x14ac:dyDescent="0.2">
      <c r="A59554" t="s">
        <v>18636</v>
      </c>
      <c r="B59554" t="str">
        <f>HYPERLINK("https://lindat.mff.cuni.cz/services/teitok/pdtc10/index.php?action=vallex&amp;frame=v-w8373f3", "vyspět (v-w8373f3)")</f>
        <v>vyspět (v-w8373f3)</v>
      </c>
    </row>
    <row r="59555" spans="1:3" x14ac:dyDescent="0.2">
      <c r="B59555" t="s">
        <v>1</v>
      </c>
    </row>
    <row r="59556" spans="1:3" x14ac:dyDescent="0.2">
      <c r="B59556" t="s">
        <v>1889</v>
      </c>
    </row>
    <row r="59557" spans="1:3" x14ac:dyDescent="0.2">
      <c r="B59557" t="s">
        <v>24</v>
      </c>
    </row>
    <row r="59559" spans="1:3" x14ac:dyDescent="0.2">
      <c r="A59559" t="s">
        <v>18637</v>
      </c>
      <c r="B59559" t="str">
        <f>HYPERLINK("https://lindat.mff.cuni.cz/services/teitok/pdtc10/index.php?action=vallex&amp;frame=v-w8373f1", "vyspět (v-w8373f1)")</f>
        <v>vyspět (v-w8373f1)</v>
      </c>
    </row>
    <row r="59560" spans="1:3" x14ac:dyDescent="0.2">
      <c r="B59560" t="s">
        <v>1</v>
      </c>
    </row>
    <row r="59561" spans="1:3" x14ac:dyDescent="0.2">
      <c r="B59561" t="s">
        <v>168</v>
      </c>
    </row>
    <row r="59563" spans="1:3" x14ac:dyDescent="0.2">
      <c r="A59563" t="s">
        <v>18638</v>
      </c>
      <c r="B59563" t="str">
        <f>HYPERLINK("https://lindat.mff.cuni.cz/services/teitok/pdtc10/index.php?action=vallex&amp;frame=v-w8373f2", "vyspět (v-w8373f2)")</f>
        <v>vyspět (v-w8373f2)</v>
      </c>
    </row>
    <row r="59564" spans="1:3" x14ac:dyDescent="0.2">
      <c r="B59564" t="s">
        <v>1</v>
      </c>
    </row>
    <row r="59566" spans="1:3" x14ac:dyDescent="0.2">
      <c r="A59566" t="s">
        <v>18639</v>
      </c>
      <c r="B59566" t="str">
        <f>HYPERLINK("https://lindat.mff.cuni.cz/services/teitok/pdtc10/index.php?action=vallex&amp;frame=v-whsa_747hsa_748", "vystartovat (v-whsa_747hsa_748)")</f>
        <v>vystartovat (v-whsa_747hsa_748)</v>
      </c>
    </row>
    <row r="59567" spans="1:3" x14ac:dyDescent="0.2">
      <c r="B59567" t="s">
        <v>1</v>
      </c>
      <c r="C59567" t="s">
        <v>249</v>
      </c>
    </row>
    <row r="59568" spans="1:3" x14ac:dyDescent="0.2">
      <c r="B59568" t="s">
        <v>8012</v>
      </c>
      <c r="C59568" t="s">
        <v>84</v>
      </c>
    </row>
    <row r="59570" spans="1:4" x14ac:dyDescent="0.2">
      <c r="A59570" t="s">
        <v>18640</v>
      </c>
      <c r="B59570" t="str">
        <f>HYPERLINK("https://lindat.mff.cuni.cz/services/teitok/pdtc10/index.php?action=vallex&amp;frame=v-whsa_747f1_ZU", "vystartovat (v-whsa_747f1_ZU)")</f>
        <v>vystartovat (v-whsa_747f1_ZU)</v>
      </c>
    </row>
    <row r="59571" spans="1:4" x14ac:dyDescent="0.2">
      <c r="B59571" t="s">
        <v>1</v>
      </c>
    </row>
    <row r="59572" spans="1:4" x14ac:dyDescent="0.2">
      <c r="B59572" t="s">
        <v>4622</v>
      </c>
    </row>
    <row r="59574" spans="1:4" x14ac:dyDescent="0.2">
      <c r="A59574" t="s">
        <v>18641</v>
      </c>
      <c r="B59574" t="str">
        <f>HYPERLINK("https://lindat.mff.cuni.cz/services/teitok/pdtc10/index.php?action=vallex&amp;frame=v-w8384f2", "vystavit (v-w8384f2)")</f>
        <v>vystavit (v-w8384f2)</v>
      </c>
    </row>
    <row r="59575" spans="1:4" x14ac:dyDescent="0.2">
      <c r="B59575" t="s">
        <v>1</v>
      </c>
      <c r="C59575" t="s">
        <v>9239</v>
      </c>
      <c r="D59575" t="s">
        <v>80</v>
      </c>
    </row>
    <row r="59576" spans="1:4" x14ac:dyDescent="0.2">
      <c r="B59576" t="s">
        <v>103</v>
      </c>
      <c r="C59576" t="s">
        <v>18642</v>
      </c>
      <c r="D59576" t="s">
        <v>23809</v>
      </c>
    </row>
    <row r="59577" spans="1:4" x14ac:dyDescent="0.2">
      <c r="B59577" t="s">
        <v>58</v>
      </c>
      <c r="C59577" t="s">
        <v>18643</v>
      </c>
      <c r="D59577" t="s">
        <v>23810</v>
      </c>
    </row>
    <row r="59579" spans="1:4" x14ac:dyDescent="0.2">
      <c r="A59579" t="s">
        <v>18644</v>
      </c>
      <c r="B59579" t="str">
        <f>HYPERLINK("https://lindat.mff.cuni.cz/services/teitok/pdtc10/index.php?action=vallex&amp;frame=v-w8384f4", "vystavit (v-w8384f4)")</f>
        <v>vystavit (v-w8384f4)</v>
      </c>
    </row>
    <row r="59580" spans="1:4" x14ac:dyDescent="0.2">
      <c r="B59580" t="s">
        <v>1</v>
      </c>
      <c r="C59580" t="s">
        <v>2239</v>
      </c>
    </row>
    <row r="59581" spans="1:4" x14ac:dyDescent="0.2">
      <c r="B59581" t="s">
        <v>8</v>
      </c>
      <c r="C59581" t="s">
        <v>18645</v>
      </c>
    </row>
    <row r="59582" spans="1:4" x14ac:dyDescent="0.2">
      <c r="B59582" t="s">
        <v>35</v>
      </c>
      <c r="C59582" t="s">
        <v>6457</v>
      </c>
    </row>
    <row r="59584" spans="1:4" x14ac:dyDescent="0.2">
      <c r="A59584" t="s">
        <v>18646</v>
      </c>
      <c r="B59584" t="str">
        <f>HYPERLINK("https://lindat.mff.cuni.cz/services/teitok/pdtc10/index.php?action=vallex&amp;frame=v-w8384f3", "vystavit (v-w8384f3)")</f>
        <v>vystavit (v-w8384f3)</v>
      </c>
    </row>
    <row r="59585" spans="1:4" x14ac:dyDescent="0.2">
      <c r="B59585" t="s">
        <v>1</v>
      </c>
    </row>
    <row r="59586" spans="1:4" x14ac:dyDescent="0.2">
      <c r="B59586" t="s">
        <v>8</v>
      </c>
    </row>
    <row r="59587" spans="1:4" x14ac:dyDescent="0.2">
      <c r="B59587" t="s">
        <v>24</v>
      </c>
    </row>
    <row r="59589" spans="1:4" x14ac:dyDescent="0.2">
      <c r="A59589" t="s">
        <v>18647</v>
      </c>
      <c r="B59589" t="str">
        <f>HYPERLINK("https://lindat.mff.cuni.cz/services/teitok/pdtc10/index.php?action=vallex&amp;frame=v-w8384f1", "vystavit (v-w8384f1)")</f>
        <v>vystavit (v-w8384f1)</v>
      </c>
    </row>
    <row r="59590" spans="1:4" x14ac:dyDescent="0.2">
      <c r="B59590" t="s">
        <v>1</v>
      </c>
      <c r="C59590" t="s">
        <v>2530</v>
      </c>
      <c r="D59590" t="s">
        <v>24412</v>
      </c>
    </row>
    <row r="59591" spans="1:4" x14ac:dyDescent="0.2">
      <c r="B59591" t="s">
        <v>8</v>
      </c>
      <c r="C59591" t="s">
        <v>18648</v>
      </c>
      <c r="D59591" t="s">
        <v>24413</v>
      </c>
    </row>
    <row r="59593" spans="1:4" x14ac:dyDescent="0.2">
      <c r="A59593" t="s">
        <v>18649</v>
      </c>
      <c r="B59593" t="str">
        <f>HYPERLINK("https://lindat.mff.cuni.cz/services/teitok/pdtc10/index.php?action=vallex&amp;frame=v-w8386f2", "vystavovat (v-w8386f2)")</f>
        <v>vystavovat (v-w8386f2)</v>
      </c>
    </row>
    <row r="59594" spans="1:4" x14ac:dyDescent="0.2">
      <c r="B59594" t="s">
        <v>1</v>
      </c>
      <c r="C59594" t="s">
        <v>18650</v>
      </c>
      <c r="D59594" t="s">
        <v>80</v>
      </c>
    </row>
    <row r="59595" spans="1:4" x14ac:dyDescent="0.2">
      <c r="B59595" t="s">
        <v>103</v>
      </c>
      <c r="C59595" t="s">
        <v>18651</v>
      </c>
      <c r="D59595" t="s">
        <v>23809</v>
      </c>
    </row>
    <row r="59596" spans="1:4" x14ac:dyDescent="0.2">
      <c r="B59596" t="s">
        <v>58</v>
      </c>
      <c r="C59596" t="s">
        <v>18652</v>
      </c>
      <c r="D59596" t="s">
        <v>23810</v>
      </c>
    </row>
    <row r="59598" spans="1:4" x14ac:dyDescent="0.2">
      <c r="A59598" t="s">
        <v>18653</v>
      </c>
      <c r="B59598" t="str">
        <f>HYPERLINK("https://lindat.mff.cuni.cz/services/teitok/pdtc10/index.php?action=vallex&amp;frame=v-w8386f3", "vystavovat (v-w8386f3)")</f>
        <v>vystavovat (v-w8386f3)</v>
      </c>
    </row>
    <row r="59599" spans="1:4" x14ac:dyDescent="0.2">
      <c r="B59599" t="s">
        <v>1</v>
      </c>
    </row>
    <row r="59600" spans="1:4" x14ac:dyDescent="0.2">
      <c r="B59600" t="s">
        <v>8</v>
      </c>
    </row>
    <row r="59601" spans="1:4" x14ac:dyDescent="0.2">
      <c r="B59601" t="s">
        <v>24</v>
      </c>
    </row>
    <row r="59603" spans="1:4" x14ac:dyDescent="0.2">
      <c r="A59603" t="s">
        <v>18654</v>
      </c>
      <c r="B59603" t="str">
        <f>HYPERLINK("https://lindat.mff.cuni.cz/services/teitok/pdtc10/index.php?action=vallex&amp;frame=v-w8386f1", "vystavovat (v-w8386f1)")</f>
        <v>vystavovat (v-w8386f1)</v>
      </c>
    </row>
    <row r="59604" spans="1:4" x14ac:dyDescent="0.2">
      <c r="B59604" t="s">
        <v>1</v>
      </c>
      <c r="C59604" t="s">
        <v>18655</v>
      </c>
      <c r="D59604" t="s">
        <v>24412</v>
      </c>
    </row>
    <row r="59605" spans="1:4" x14ac:dyDescent="0.2">
      <c r="B59605" t="s">
        <v>8</v>
      </c>
      <c r="C59605" t="s">
        <v>359</v>
      </c>
      <c r="D59605" t="s">
        <v>24413</v>
      </c>
    </row>
    <row r="59607" spans="1:4" x14ac:dyDescent="0.2">
      <c r="A59607" t="s">
        <v>18656</v>
      </c>
      <c r="B59607" t="str">
        <f>HYPERLINK("https://lindat.mff.cuni.cz/services/teitok/pdtc10/index.php?action=vallex&amp;frame=v-whsa_1990hsa_1991", "vystavovat se (v-whsa_1990hsa_1991)")</f>
        <v>vystavovat se (v-whsa_1990hsa_1991)</v>
      </c>
    </row>
    <row r="59608" spans="1:4" x14ac:dyDescent="0.2">
      <c r="B59608" t="s">
        <v>1</v>
      </c>
    </row>
    <row r="59609" spans="1:4" x14ac:dyDescent="0.2">
      <c r="B59609" t="s">
        <v>1186</v>
      </c>
    </row>
    <row r="59611" spans="1:4" x14ac:dyDescent="0.2">
      <c r="A59611" t="s">
        <v>18657</v>
      </c>
      <c r="B59611" t="str">
        <f>HYPERLINK("https://lindat.mff.cuni.cz/services/teitok/pdtc10/index.php?action=vallex&amp;frame=v-w8383f1", "vystavět (v-w8383f1)")</f>
        <v>vystavět (v-w8383f1)</v>
      </c>
    </row>
    <row r="59612" spans="1:4" x14ac:dyDescent="0.2">
      <c r="B59612" t="s">
        <v>1</v>
      </c>
      <c r="C59612" t="s">
        <v>381</v>
      </c>
      <c r="D59612" t="s">
        <v>24355</v>
      </c>
    </row>
    <row r="59613" spans="1:4" x14ac:dyDescent="0.2">
      <c r="B59613" t="s">
        <v>8</v>
      </c>
      <c r="C59613" t="s">
        <v>4132</v>
      </c>
      <c r="D59613" t="s">
        <v>24356</v>
      </c>
    </row>
    <row r="59614" spans="1:4" x14ac:dyDescent="0.2">
      <c r="B59614" t="s">
        <v>226</v>
      </c>
      <c r="C59614" t="s">
        <v>4687</v>
      </c>
      <c r="D59614" t="s">
        <v>24357</v>
      </c>
    </row>
    <row r="59616" spans="1:4" x14ac:dyDescent="0.2">
      <c r="A59616" t="s">
        <v>18658</v>
      </c>
      <c r="B59616" t="str">
        <f>HYPERLINK("https://lindat.mff.cuni.cz/services/teitok/pdtc10/index.php?action=vallex&amp;frame=v-w8383f2_ZU", "vystavět (v-w8383f2_ZU)")</f>
        <v>vystavět (v-w8383f2_ZU)</v>
      </c>
    </row>
    <row r="59617" spans="1:4" x14ac:dyDescent="0.2">
      <c r="B59617" t="s">
        <v>1</v>
      </c>
      <c r="C59617" t="s">
        <v>381</v>
      </c>
      <c r="D59617" t="s">
        <v>23418</v>
      </c>
    </row>
    <row r="59618" spans="1:4" x14ac:dyDescent="0.2">
      <c r="B59618" t="s">
        <v>8</v>
      </c>
      <c r="C59618" t="s">
        <v>4132</v>
      </c>
      <c r="D59618" t="s">
        <v>23419</v>
      </c>
    </row>
    <row r="59619" spans="1:4" x14ac:dyDescent="0.2">
      <c r="B59619" t="s">
        <v>24</v>
      </c>
      <c r="C59619" t="s">
        <v>4687</v>
      </c>
      <c r="D59619" t="s">
        <v>10345</v>
      </c>
    </row>
    <row r="59621" spans="1:4" x14ac:dyDescent="0.2">
      <c r="A59621" t="s">
        <v>18658</v>
      </c>
      <c r="B59621" t="str">
        <f>HYPERLINK("https://lindat.mff.cuni.cz/services/teitok/pdtc10/index.php?action=vallex&amp;frame=v-w8383hsa_1197", "vystavět (v-w8383hsa_1197) - substituted with v-w8383f2_ZU")</f>
        <v>vystavět (v-w8383hsa_1197) - substituted with v-w8383f2_ZU</v>
      </c>
    </row>
    <row r="59622" spans="1:4" x14ac:dyDescent="0.2">
      <c r="B59622" t="s">
        <v>1</v>
      </c>
    </row>
    <row r="59623" spans="1:4" x14ac:dyDescent="0.2">
      <c r="B59623" t="s">
        <v>8</v>
      </c>
    </row>
    <row r="59624" spans="1:4" x14ac:dyDescent="0.2">
      <c r="B59624" t="s">
        <v>24</v>
      </c>
    </row>
    <row r="59626" spans="1:4" x14ac:dyDescent="0.2">
      <c r="A59626" t="s">
        <v>18659</v>
      </c>
      <c r="B59626" t="str">
        <f>HYPERLINK("https://lindat.mff.cuni.cz/services/teitok/pdtc10/index.php?action=vallex&amp;frame=v-w8375f2", "vystačit (v-w8375f2)")</f>
        <v>vystačit (v-w8375f2)</v>
      </c>
    </row>
    <row r="59627" spans="1:4" x14ac:dyDescent="0.2">
      <c r="B59627" t="s">
        <v>2045</v>
      </c>
    </row>
    <row r="59628" spans="1:4" x14ac:dyDescent="0.2">
      <c r="B59628" t="s">
        <v>103</v>
      </c>
    </row>
    <row r="59630" spans="1:4" x14ac:dyDescent="0.2">
      <c r="A59630" t="s">
        <v>18660</v>
      </c>
      <c r="B59630" t="str">
        <f>HYPERLINK("https://lindat.mff.cuni.cz/services/teitok/pdtc10/index.php?action=vallex&amp;frame=v-w8375f1", "vystačit (v-w8375f1)")</f>
        <v>vystačit (v-w8375f1)</v>
      </c>
    </row>
    <row r="59631" spans="1:4" x14ac:dyDescent="0.2">
      <c r="B59631" t="s">
        <v>1</v>
      </c>
    </row>
    <row r="59632" spans="1:4" x14ac:dyDescent="0.2">
      <c r="B59632" t="s">
        <v>411</v>
      </c>
    </row>
    <row r="59634" spans="1:4" x14ac:dyDescent="0.2">
      <c r="A59634" t="s">
        <v>18661</v>
      </c>
      <c r="B59634" t="str">
        <f>HYPERLINK("https://lindat.mff.cuni.cz/services/teitok/pdtc10/index.php?action=vallex&amp;frame=v-w8376f1", "vystačit si (v-w8376f1)")</f>
        <v>vystačit si (v-w8376f1)</v>
      </c>
    </row>
    <row r="59635" spans="1:4" x14ac:dyDescent="0.2">
      <c r="B59635" t="s">
        <v>1</v>
      </c>
      <c r="C59635" t="s">
        <v>33</v>
      </c>
      <c r="D59635" t="s">
        <v>133</v>
      </c>
    </row>
    <row r="59636" spans="1:4" x14ac:dyDescent="0.2">
      <c r="B59636" t="s">
        <v>411</v>
      </c>
      <c r="C59636" t="s">
        <v>991</v>
      </c>
      <c r="D59636" t="s">
        <v>7745</v>
      </c>
    </row>
    <row r="59638" spans="1:4" x14ac:dyDescent="0.2">
      <c r="A59638" t="s">
        <v>18662</v>
      </c>
      <c r="B59638" t="str">
        <f>HYPERLINK("https://lindat.mff.cuni.cz/services/teitok/pdtc10/index.php?action=vallex&amp;frame=v-w8376f2", "vystačit si (v-w8376f2)")</f>
        <v>vystačit si (v-w8376f2)</v>
      </c>
    </row>
    <row r="59639" spans="1:4" x14ac:dyDescent="0.2">
      <c r="B59639" t="s">
        <v>1</v>
      </c>
    </row>
    <row r="59640" spans="1:4" x14ac:dyDescent="0.2">
      <c r="B59640" t="s">
        <v>46</v>
      </c>
    </row>
    <row r="59642" spans="1:4" x14ac:dyDescent="0.2">
      <c r="A59642" t="s">
        <v>18663</v>
      </c>
      <c r="B59642" t="str">
        <f>HYPERLINK("https://lindat.mff.cuni.cz/services/teitok/pdtc10/index.php?action=vallex&amp;frame=v-w8391f1", "vystihnout (v-w8391f1)")</f>
        <v>vystihnout (v-w8391f1)</v>
      </c>
    </row>
    <row r="59643" spans="1:4" x14ac:dyDescent="0.2">
      <c r="B59643" t="s">
        <v>1</v>
      </c>
      <c r="C59643" t="s">
        <v>1425</v>
      </c>
    </row>
    <row r="59644" spans="1:4" x14ac:dyDescent="0.2">
      <c r="B59644" t="s">
        <v>9688</v>
      </c>
      <c r="C59644" t="s">
        <v>991</v>
      </c>
    </row>
    <row r="59646" spans="1:4" x14ac:dyDescent="0.2">
      <c r="A59646" t="s">
        <v>18664</v>
      </c>
      <c r="B59646" t="str">
        <f>HYPERLINK("https://lindat.mff.cuni.cz/services/teitok/pdtc10/index.php?action=vallex&amp;frame=v-w8392f1", "vystihovat (v-w8392f1)")</f>
        <v>vystihovat (v-w8392f1)</v>
      </c>
    </row>
    <row r="59647" spans="1:4" x14ac:dyDescent="0.2">
      <c r="B59647" t="s">
        <v>1</v>
      </c>
      <c r="C59647" t="s">
        <v>7426</v>
      </c>
    </row>
    <row r="59648" spans="1:4" x14ac:dyDescent="0.2">
      <c r="B59648" t="s">
        <v>8</v>
      </c>
      <c r="C59648" t="s">
        <v>7427</v>
      </c>
    </row>
    <row r="59650" spans="1:4" x14ac:dyDescent="0.2">
      <c r="A59650" t="s">
        <v>18665</v>
      </c>
      <c r="B59650" t="str">
        <f>HYPERLINK("https://lindat.mff.cuni.cz/services/teitok/pdtc10/index.php?action=vallex&amp;frame=v-w10065f2", "vystlat (v-w10065f2)")</f>
        <v>vystlat (v-w10065f2)</v>
      </c>
    </row>
    <row r="59651" spans="1:4" x14ac:dyDescent="0.2">
      <c r="B59651" t="s">
        <v>1</v>
      </c>
    </row>
    <row r="59652" spans="1:4" x14ac:dyDescent="0.2">
      <c r="B59652" t="s">
        <v>8</v>
      </c>
    </row>
    <row r="59653" spans="1:4" x14ac:dyDescent="0.2">
      <c r="B59653" t="s">
        <v>5479</v>
      </c>
    </row>
    <row r="59655" spans="1:4" x14ac:dyDescent="0.2">
      <c r="A59655" t="s">
        <v>18666</v>
      </c>
      <c r="B59655" t="str">
        <f>HYPERLINK("https://lindat.mff.cuni.cz/services/teitok/pdtc10/index.php?action=vallex&amp;frame=v-w8394f1", "vystopovat (v-w8394f1)")</f>
        <v>vystopovat (v-w8394f1)</v>
      </c>
    </row>
    <row r="59656" spans="1:4" x14ac:dyDescent="0.2">
      <c r="B59656" t="s">
        <v>1</v>
      </c>
      <c r="C59656" t="s">
        <v>7346</v>
      </c>
      <c r="D59656" t="s">
        <v>23513</v>
      </c>
    </row>
    <row r="59657" spans="1:4" x14ac:dyDescent="0.2">
      <c r="B59657" t="s">
        <v>124</v>
      </c>
      <c r="C59657" t="s">
        <v>6566</v>
      </c>
      <c r="D59657" t="s">
        <v>23514</v>
      </c>
    </row>
    <row r="59659" spans="1:4" x14ac:dyDescent="0.2">
      <c r="A59659" t="s">
        <v>18667</v>
      </c>
      <c r="B59659" t="str">
        <f>HYPERLINK("https://lindat.mff.cuni.cz/services/teitok/pdtc10/index.php?action=vallex&amp;frame=v-w11117f3", "vystoupat (v-w11117f3)")</f>
        <v>vystoupat (v-w11117f3)</v>
      </c>
    </row>
    <row r="59660" spans="1:4" x14ac:dyDescent="0.2">
      <c r="B59660" t="s">
        <v>1</v>
      </c>
      <c r="C59660" t="s">
        <v>18668</v>
      </c>
      <c r="D59660" t="s">
        <v>23510</v>
      </c>
    </row>
    <row r="59661" spans="1:4" x14ac:dyDescent="0.2">
      <c r="B59661" t="s">
        <v>46</v>
      </c>
      <c r="C59661" t="s">
        <v>18669</v>
      </c>
      <c r="D59661" t="s">
        <v>23393</v>
      </c>
    </row>
    <row r="59662" spans="1:4" x14ac:dyDescent="0.2">
      <c r="B59662" t="s">
        <v>24</v>
      </c>
      <c r="C59662" t="s">
        <v>18670</v>
      </c>
      <c r="D59662" t="s">
        <v>23394</v>
      </c>
    </row>
    <row r="59664" spans="1:4" x14ac:dyDescent="0.2">
      <c r="A59664" t="s">
        <v>18671</v>
      </c>
      <c r="B59664" t="str">
        <f>HYPERLINK("https://lindat.mff.cuni.cz/services/teitok/pdtc10/index.php?action=vallex&amp;frame=v-w11117f2", "vystoupat (v-w11117f2)")</f>
        <v>vystoupat (v-w11117f2)</v>
      </c>
    </row>
    <row r="59665" spans="1:4" x14ac:dyDescent="0.2">
      <c r="B59665" t="s">
        <v>1</v>
      </c>
      <c r="C59665" t="s">
        <v>18672</v>
      </c>
      <c r="D59665" t="s">
        <v>3742</v>
      </c>
    </row>
    <row r="59666" spans="1:4" x14ac:dyDescent="0.2">
      <c r="B59666" t="s">
        <v>90</v>
      </c>
      <c r="C59666" t="s">
        <v>18673</v>
      </c>
    </row>
    <row r="59668" spans="1:4" x14ac:dyDescent="0.2">
      <c r="A59668" t="s">
        <v>18674</v>
      </c>
      <c r="B59668" t="str">
        <f>HYPERLINK("https://lindat.mff.cuni.cz/services/teitok/pdtc10/index.php?action=vallex&amp;frame=v-w11117hsa_503", "vystoupat (v-w11117hsa_503)")</f>
        <v>vystoupat (v-w11117hsa_503)</v>
      </c>
    </row>
    <row r="59669" spans="1:4" x14ac:dyDescent="0.2">
      <c r="B59669" t="s">
        <v>1</v>
      </c>
    </row>
    <row r="59670" spans="1:4" x14ac:dyDescent="0.2">
      <c r="B59670" t="s">
        <v>90</v>
      </c>
    </row>
    <row r="59672" spans="1:4" x14ac:dyDescent="0.2">
      <c r="A59672" t="s">
        <v>18675</v>
      </c>
      <c r="B59672" t="str">
        <f>HYPERLINK("https://lindat.mff.cuni.cz/services/teitok/pdtc10/index.php?action=vallex&amp;frame=v-w8396f4", "vystoupit (v-w8396f4)")</f>
        <v>vystoupit (v-w8396f4)</v>
      </c>
    </row>
    <row r="59673" spans="1:4" x14ac:dyDescent="0.2">
      <c r="B59673" t="s">
        <v>1</v>
      </c>
      <c r="D59673" t="s">
        <v>9341</v>
      </c>
    </row>
    <row r="59674" spans="1:4" x14ac:dyDescent="0.2">
      <c r="B59674" t="s">
        <v>12902</v>
      </c>
      <c r="D59674" t="s">
        <v>6702</v>
      </c>
    </row>
    <row r="59676" spans="1:4" x14ac:dyDescent="0.2">
      <c r="A59676" t="s">
        <v>18676</v>
      </c>
      <c r="B59676" t="str">
        <f>HYPERLINK("https://lindat.mff.cuni.cz/services/teitok/pdtc10/index.php?action=vallex&amp;frame=v-w8396f3", "vystoupit (v-w8396f3)")</f>
        <v>vystoupit (v-w8396f3)</v>
      </c>
    </row>
    <row r="59677" spans="1:4" x14ac:dyDescent="0.2">
      <c r="B59677" t="s">
        <v>1</v>
      </c>
      <c r="C59677" t="s">
        <v>18677</v>
      </c>
    </row>
    <row r="59678" spans="1:4" x14ac:dyDescent="0.2">
      <c r="B59678" t="s">
        <v>411</v>
      </c>
      <c r="C59678" t="s">
        <v>6702</v>
      </c>
    </row>
    <row r="59680" spans="1:4" x14ac:dyDescent="0.2">
      <c r="A59680" t="s">
        <v>18678</v>
      </c>
      <c r="B59680" t="str">
        <f>HYPERLINK("https://lindat.mff.cuni.cz/services/teitok/pdtc10/index.php?action=vallex&amp;frame=v-w8396f1", "vystoupit (v-w8396f1)")</f>
        <v>vystoupit (v-w8396f1)</v>
      </c>
    </row>
    <row r="59681" spans="1:4" x14ac:dyDescent="0.2">
      <c r="B59681" t="s">
        <v>1</v>
      </c>
      <c r="C59681" t="s">
        <v>12481</v>
      </c>
      <c r="D59681" t="s">
        <v>22</v>
      </c>
    </row>
    <row r="59682" spans="1:4" x14ac:dyDescent="0.2">
      <c r="B59682" t="s">
        <v>5</v>
      </c>
    </row>
    <row r="59684" spans="1:4" x14ac:dyDescent="0.2">
      <c r="A59684" t="s">
        <v>18679</v>
      </c>
      <c r="B59684" t="str">
        <f>HYPERLINK("https://lindat.mff.cuni.cz/services/teitok/pdtc10/index.php?action=vallex&amp;frame=v-w8396f8_ZU", "vystoupit (v-w8396f8_ZU)")</f>
        <v>vystoupit (v-w8396f8_ZU)</v>
      </c>
    </row>
    <row r="59685" spans="1:4" x14ac:dyDescent="0.2">
      <c r="B59685" t="s">
        <v>1</v>
      </c>
    </row>
    <row r="59686" spans="1:4" x14ac:dyDescent="0.2">
      <c r="B59686" t="s">
        <v>333</v>
      </c>
    </row>
    <row r="59688" spans="1:4" x14ac:dyDescent="0.2">
      <c r="A59688" t="s">
        <v>18679</v>
      </c>
      <c r="B59688" t="str">
        <f>HYPERLINK("https://lindat.mff.cuni.cz/services/teitok/pdtc10/index.php?action=vallex&amp;frame=v-w8396f2", "vystoupit (v-w8396f2) - substituted with v-w8396f8_ZU")</f>
        <v>vystoupit (v-w8396f2) - substituted with v-w8396f8_ZU</v>
      </c>
    </row>
    <row r="59689" spans="1:4" x14ac:dyDescent="0.2">
      <c r="B59689" t="s">
        <v>1</v>
      </c>
      <c r="C59689" t="s">
        <v>18680</v>
      </c>
    </row>
    <row r="59690" spans="1:4" x14ac:dyDescent="0.2">
      <c r="B59690" t="s">
        <v>333</v>
      </c>
      <c r="C59690" t="s">
        <v>7666</v>
      </c>
    </row>
    <row r="59692" spans="1:4" x14ac:dyDescent="0.2">
      <c r="A59692" t="s">
        <v>18681</v>
      </c>
      <c r="B59692" t="str">
        <f>HYPERLINK("https://lindat.mff.cuni.cz/services/teitok/pdtc10/index.php?action=vallex&amp;frame=v-w8396f6", "vystoupit (v-w8396f6)")</f>
        <v>vystoupit (v-w8396f6)</v>
      </c>
    </row>
    <row r="59693" spans="1:4" x14ac:dyDescent="0.2">
      <c r="B59693" t="s">
        <v>1</v>
      </c>
    </row>
    <row r="59694" spans="1:4" x14ac:dyDescent="0.2">
      <c r="B59694" t="s">
        <v>90</v>
      </c>
    </row>
    <row r="59696" spans="1:4" x14ac:dyDescent="0.2">
      <c r="A59696" t="s">
        <v>18682</v>
      </c>
      <c r="B59696" t="str">
        <f>HYPERLINK("https://lindat.mff.cuni.cz/services/teitok/pdtc10/index.php?action=vallex&amp;frame=v-w8396f5", "vystoupit (v-w8396f5)")</f>
        <v>vystoupit (v-w8396f5)</v>
      </c>
    </row>
    <row r="59697" spans="1:4" x14ac:dyDescent="0.2">
      <c r="B59697" t="s">
        <v>1</v>
      </c>
      <c r="C59697" t="s">
        <v>18683</v>
      </c>
    </row>
    <row r="59699" spans="1:4" x14ac:dyDescent="0.2">
      <c r="A59699" t="s">
        <v>18684</v>
      </c>
      <c r="B59699" t="str">
        <f>HYPERLINK("https://lindat.mff.cuni.cz/services/teitok/pdtc10/index.php?action=vallex&amp;frame=v-w8396f7", "vystoupit (v-w8396f7)")</f>
        <v>vystoupit (v-w8396f7)</v>
      </c>
    </row>
    <row r="59700" spans="1:4" x14ac:dyDescent="0.2">
      <c r="B59700" t="s">
        <v>1</v>
      </c>
    </row>
    <row r="59701" spans="1:4" x14ac:dyDescent="0.2">
      <c r="B59701" t="s">
        <v>415</v>
      </c>
    </row>
    <row r="59702" spans="1:4" x14ac:dyDescent="0.2">
      <c r="B59702" t="s">
        <v>346</v>
      </c>
    </row>
    <row r="59703" spans="1:4" x14ac:dyDescent="0.2">
      <c r="B59703" t="s">
        <v>348</v>
      </c>
    </row>
    <row r="59704" spans="1:4" x14ac:dyDescent="0.2">
      <c r="B59704" t="s">
        <v>349</v>
      </c>
    </row>
    <row r="59705" spans="1:4" x14ac:dyDescent="0.2">
      <c r="B59705" t="s">
        <v>350</v>
      </c>
    </row>
    <row r="59706" spans="1:4" x14ac:dyDescent="0.2">
      <c r="B59706" t="s">
        <v>351</v>
      </c>
    </row>
    <row r="59708" spans="1:4" x14ac:dyDescent="0.2">
      <c r="A59708" t="s">
        <v>18685</v>
      </c>
      <c r="B59708" t="str">
        <f>HYPERLINK("https://lindat.mff.cuni.cz/services/teitok/pdtc10/index.php?action=vallex&amp;frame=v-w8396hsa_1005", "vystoupit (v-w8396hsa_1005)")</f>
        <v>vystoupit (v-w8396hsa_1005)</v>
      </c>
    </row>
    <row r="59709" spans="1:4" x14ac:dyDescent="0.2">
      <c r="B59709" t="s">
        <v>1</v>
      </c>
      <c r="C59709" t="s">
        <v>9702</v>
      </c>
      <c r="D59709" t="s">
        <v>23510</v>
      </c>
    </row>
    <row r="59710" spans="1:4" x14ac:dyDescent="0.2">
      <c r="B59710" t="s">
        <v>46</v>
      </c>
      <c r="C59710" t="s">
        <v>18686</v>
      </c>
      <c r="D59710" t="s">
        <v>23393</v>
      </c>
    </row>
    <row r="59711" spans="1:4" x14ac:dyDescent="0.2">
      <c r="B59711" t="s">
        <v>24</v>
      </c>
      <c r="C59711" t="s">
        <v>18687</v>
      </c>
      <c r="D59711" t="s">
        <v>23394</v>
      </c>
    </row>
    <row r="59713" spans="1:4" x14ac:dyDescent="0.2">
      <c r="A59713" t="s">
        <v>18688</v>
      </c>
      <c r="B59713" t="str">
        <f>HYPERLINK("https://lindat.mff.cuni.cz/services/teitok/pdtc10/index.php?action=vallex&amp;frame=v-w8396hsa_874", "vystoupit (v-w8396hsa_874)")</f>
        <v>vystoupit (v-w8396hsa_874)</v>
      </c>
    </row>
    <row r="59714" spans="1:4" x14ac:dyDescent="0.2">
      <c r="B59714" t="s">
        <v>1</v>
      </c>
    </row>
    <row r="59715" spans="1:4" x14ac:dyDescent="0.2">
      <c r="B59715" t="s">
        <v>333</v>
      </c>
    </row>
    <row r="59717" spans="1:4" x14ac:dyDescent="0.2">
      <c r="A59717" t="s">
        <v>18689</v>
      </c>
      <c r="B59717" t="str">
        <f>HYPERLINK("https://lindat.mff.cuni.cz/services/teitok/pdtc10/index.php?action=vallex&amp;frame=v-w8396hsa_1004", "vystoupit (v-w8396hsa_1004)")</f>
        <v>vystoupit (v-w8396hsa_1004)</v>
      </c>
    </row>
    <row r="59718" spans="1:4" x14ac:dyDescent="0.2">
      <c r="B59718" t="s">
        <v>1</v>
      </c>
    </row>
    <row r="59719" spans="1:4" x14ac:dyDescent="0.2">
      <c r="B59719" t="s">
        <v>1924</v>
      </c>
    </row>
    <row r="59721" spans="1:4" x14ac:dyDescent="0.2">
      <c r="A59721" t="s">
        <v>18690</v>
      </c>
      <c r="B59721" t="str">
        <f>HYPERLINK("https://lindat.mff.cuni.cz/services/teitok/pdtc10/index.php?action=vallex&amp;frame=v-w8398f1", "vystrašit (v-w8398f1)")</f>
        <v>vystrašit (v-w8398f1)</v>
      </c>
    </row>
    <row r="59722" spans="1:4" x14ac:dyDescent="0.2">
      <c r="B59722" t="s">
        <v>1</v>
      </c>
      <c r="C59722" t="s">
        <v>18691</v>
      </c>
      <c r="D59722" t="s">
        <v>23316</v>
      </c>
    </row>
    <row r="59723" spans="1:4" x14ac:dyDescent="0.2">
      <c r="B59723" t="s">
        <v>8</v>
      </c>
      <c r="C59723" t="s">
        <v>335</v>
      </c>
      <c r="D59723" t="s">
        <v>2213</v>
      </c>
    </row>
    <row r="59725" spans="1:4" x14ac:dyDescent="0.2">
      <c r="A59725" t="s">
        <v>18692</v>
      </c>
      <c r="B59725" t="str">
        <f>HYPERLINK("https://lindat.mff.cuni.cz/services/teitok/pdtc10/index.php?action=vallex&amp;frame=v-w8400f2", "vystrkovat (v-w8400f2)")</f>
        <v>vystrkovat (v-w8400f2)</v>
      </c>
    </row>
    <row r="59726" spans="1:4" x14ac:dyDescent="0.2">
      <c r="B59726" t="s">
        <v>1</v>
      </c>
      <c r="C59726" t="s">
        <v>140</v>
      </c>
      <c r="D59726" t="s">
        <v>140</v>
      </c>
    </row>
    <row r="59727" spans="1:4" x14ac:dyDescent="0.2">
      <c r="B59727" t="s">
        <v>8</v>
      </c>
      <c r="C59727" t="s">
        <v>34</v>
      </c>
      <c r="D59727" t="s">
        <v>34</v>
      </c>
    </row>
    <row r="59728" spans="1:4" x14ac:dyDescent="0.2">
      <c r="B59728" t="s">
        <v>333</v>
      </c>
    </row>
    <row r="59730" spans="1:4" x14ac:dyDescent="0.2">
      <c r="A59730" t="s">
        <v>18693</v>
      </c>
      <c r="B59730" t="str">
        <f>HYPERLINK("https://lindat.mff.cuni.cz/services/teitok/pdtc10/index.php?action=vallex&amp;frame=v-w8400f3", "vystrkovat (v-w8400f3)")</f>
        <v>vystrkovat (v-w8400f3)</v>
      </c>
    </row>
    <row r="59731" spans="1:4" x14ac:dyDescent="0.2">
      <c r="B59731" t="s">
        <v>1</v>
      </c>
    </row>
    <row r="59732" spans="1:4" x14ac:dyDescent="0.2">
      <c r="B59732" t="s">
        <v>18694</v>
      </c>
      <c r="C59732" t="s">
        <v>397</v>
      </c>
    </row>
    <row r="59734" spans="1:4" x14ac:dyDescent="0.2">
      <c r="A59734" t="s">
        <v>18693</v>
      </c>
      <c r="B59734" t="str">
        <f>HYPERLINK("https://lindat.mff.cuni.cz/services/teitok/pdtc10/index.php?action=vallex&amp;frame=v-w8400f1", "vystrkovat (v-w8400f1) - substituted with v-w8400f3")</f>
        <v>vystrkovat (v-w8400f1) - substituted with v-w8400f3</v>
      </c>
    </row>
    <row r="59735" spans="1:4" x14ac:dyDescent="0.2">
      <c r="B59735" t="s">
        <v>1</v>
      </c>
    </row>
    <row r="59736" spans="1:4" x14ac:dyDescent="0.2">
      <c r="B59736" t="s">
        <v>18694</v>
      </c>
    </row>
    <row r="59738" spans="1:4" x14ac:dyDescent="0.2">
      <c r="A59738" t="s">
        <v>18695</v>
      </c>
      <c r="B59738" t="str">
        <f>HYPERLINK("https://lindat.mff.cuni.cz/services/teitok/pdtc10/index.php?action=vallex&amp;frame=v-w10449f2", "vystrnadit (v-w10449f2)")</f>
        <v>vystrnadit (v-w10449f2)</v>
      </c>
    </row>
    <row r="59739" spans="1:4" x14ac:dyDescent="0.2">
      <c r="B59739" t="s">
        <v>1</v>
      </c>
    </row>
    <row r="59740" spans="1:4" x14ac:dyDescent="0.2">
      <c r="B59740" t="s">
        <v>8</v>
      </c>
    </row>
    <row r="59741" spans="1:4" x14ac:dyDescent="0.2">
      <c r="B59741" t="s">
        <v>333</v>
      </c>
    </row>
    <row r="59743" spans="1:4" x14ac:dyDescent="0.2">
      <c r="A59743" t="s">
        <v>18696</v>
      </c>
      <c r="B59743" t="str">
        <f>HYPERLINK("https://lindat.mff.cuni.cz/services/teitok/pdtc10/index.php?action=vallex&amp;frame=v-w8399f1", "vystrčit (v-w8399f1)")</f>
        <v>vystrčit (v-w8399f1)</v>
      </c>
    </row>
    <row r="59744" spans="1:4" x14ac:dyDescent="0.2">
      <c r="B59744" t="s">
        <v>1</v>
      </c>
      <c r="D59744" t="s">
        <v>140</v>
      </c>
    </row>
    <row r="59745" spans="1:4" x14ac:dyDescent="0.2">
      <c r="B59745" t="s">
        <v>8</v>
      </c>
      <c r="D59745" t="s">
        <v>34</v>
      </c>
    </row>
    <row r="59746" spans="1:4" x14ac:dyDescent="0.2">
      <c r="B59746" t="s">
        <v>333</v>
      </c>
    </row>
    <row r="59748" spans="1:4" x14ac:dyDescent="0.2">
      <c r="A59748" t="s">
        <v>18697</v>
      </c>
      <c r="B59748" t="str">
        <f>HYPERLINK("https://lindat.mff.cuni.cz/services/teitok/pdtc10/index.php?action=vallex&amp;frame=v-w8399f2", "vystrčit (v-w8399f2)")</f>
        <v>vystrčit (v-w8399f2)</v>
      </c>
    </row>
    <row r="59749" spans="1:4" x14ac:dyDescent="0.2">
      <c r="B59749" t="s">
        <v>1</v>
      </c>
      <c r="D59749" t="s">
        <v>140</v>
      </c>
    </row>
    <row r="59750" spans="1:4" x14ac:dyDescent="0.2">
      <c r="B59750" t="s">
        <v>8</v>
      </c>
      <c r="D59750" t="s">
        <v>34</v>
      </c>
    </row>
    <row r="59751" spans="1:4" x14ac:dyDescent="0.2">
      <c r="B59751" t="s">
        <v>90</v>
      </c>
    </row>
    <row r="59753" spans="1:4" x14ac:dyDescent="0.2">
      <c r="A59753" t="s">
        <v>18698</v>
      </c>
      <c r="B59753" t="str">
        <f>HYPERLINK("https://lindat.mff.cuni.cz/services/teitok/pdtc10/index.php?action=vallex&amp;frame=v-w8410f2_ZU", "vystudovat (v-w8410f2_ZU)")</f>
        <v>vystudovat (v-w8410f2_ZU)</v>
      </c>
    </row>
    <row r="59754" spans="1:4" x14ac:dyDescent="0.2">
      <c r="B59754" t="s">
        <v>1</v>
      </c>
    </row>
    <row r="59755" spans="1:4" x14ac:dyDescent="0.2">
      <c r="B59755" t="s">
        <v>8</v>
      </c>
    </row>
    <row r="59757" spans="1:4" x14ac:dyDescent="0.2">
      <c r="A59757" t="s">
        <v>18698</v>
      </c>
      <c r="B59757" t="str">
        <f>HYPERLINK("https://lindat.mff.cuni.cz/services/teitok/pdtc10/index.php?action=vallex&amp;frame=v-w8410f1", "vystudovat (v-w8410f1) - substituted with v-w8410f2_ZU")</f>
        <v>vystudovat (v-w8410f1) - substituted with v-w8410f2_ZU</v>
      </c>
    </row>
    <row r="59758" spans="1:4" x14ac:dyDescent="0.2">
      <c r="B59758" t="s">
        <v>1</v>
      </c>
      <c r="C59758" t="s">
        <v>6911</v>
      </c>
      <c r="D59758" t="s">
        <v>51</v>
      </c>
    </row>
    <row r="59759" spans="1:4" x14ac:dyDescent="0.2">
      <c r="B59759" t="s">
        <v>8</v>
      </c>
      <c r="D59759" t="s">
        <v>3789</v>
      </c>
    </row>
    <row r="59761" spans="1:4" x14ac:dyDescent="0.2">
      <c r="A59761" t="s">
        <v>18699</v>
      </c>
      <c r="B59761" t="str">
        <f>HYPERLINK("https://lindat.mff.cuni.cz/services/teitok/pdtc10/index.php?action=vallex&amp;frame=v-w8415f9_ZU", "vystupovat (v-w8415f9_ZU)")</f>
        <v>vystupovat (v-w8415f9_ZU)</v>
      </c>
    </row>
    <row r="59762" spans="1:4" x14ac:dyDescent="0.2">
      <c r="B59762" t="s">
        <v>1</v>
      </c>
    </row>
    <row r="59763" spans="1:4" x14ac:dyDescent="0.2">
      <c r="B59763" t="s">
        <v>18700</v>
      </c>
    </row>
    <row r="59765" spans="1:4" x14ac:dyDescent="0.2">
      <c r="A59765" t="s">
        <v>18699</v>
      </c>
      <c r="B59765" t="str">
        <f>HYPERLINK("https://lindat.mff.cuni.cz/services/teitok/pdtc10/index.php?action=vallex&amp;frame=v-w8415f3", "vystupovat (v-w8415f3) - substituted with v-w8415f9_ZU")</f>
        <v>vystupovat (v-w8415f3) - substituted with v-w8415f9_ZU</v>
      </c>
    </row>
    <row r="59766" spans="1:4" x14ac:dyDescent="0.2">
      <c r="B59766" t="s">
        <v>1</v>
      </c>
      <c r="C59766" t="s">
        <v>18701</v>
      </c>
      <c r="D59766" t="s">
        <v>9341</v>
      </c>
    </row>
    <row r="59767" spans="1:4" x14ac:dyDescent="0.2">
      <c r="B59767" t="s">
        <v>18700</v>
      </c>
      <c r="C59767" t="s">
        <v>7921</v>
      </c>
      <c r="D59767" t="s">
        <v>6702</v>
      </c>
    </row>
    <row r="59769" spans="1:4" x14ac:dyDescent="0.2">
      <c r="A59769" t="s">
        <v>18702</v>
      </c>
      <c r="B59769" t="str">
        <f>HYPERLINK("https://lindat.mff.cuni.cz/services/teitok/pdtc10/index.php?action=vallex&amp;frame=v-w8415f2", "vystupovat (v-w8415f2)")</f>
        <v>vystupovat (v-w8415f2)</v>
      </c>
    </row>
    <row r="59770" spans="1:4" x14ac:dyDescent="0.2">
      <c r="B59770" t="s">
        <v>1</v>
      </c>
      <c r="C59770" t="s">
        <v>18703</v>
      </c>
      <c r="D59770" t="s">
        <v>24414</v>
      </c>
    </row>
    <row r="59771" spans="1:4" x14ac:dyDescent="0.2">
      <c r="B59771" t="s">
        <v>5</v>
      </c>
      <c r="C59771" t="s">
        <v>6719</v>
      </c>
      <c r="D59771" t="s">
        <v>24415</v>
      </c>
    </row>
    <row r="59773" spans="1:4" x14ac:dyDescent="0.2">
      <c r="A59773" t="s">
        <v>18704</v>
      </c>
      <c r="B59773" t="str">
        <f>HYPERLINK("https://lindat.mff.cuni.cz/services/teitok/pdtc10/index.php?action=vallex&amp;frame=v-w8415f5", "vystupovat (v-w8415f5)")</f>
        <v>vystupovat (v-w8415f5)</v>
      </c>
    </row>
    <row r="59774" spans="1:4" x14ac:dyDescent="0.2">
      <c r="B59774" t="s">
        <v>1</v>
      </c>
      <c r="C59774" t="s">
        <v>6204</v>
      </c>
      <c r="D59774" t="s">
        <v>23091</v>
      </c>
    </row>
    <row r="59775" spans="1:4" x14ac:dyDescent="0.2">
      <c r="B59775" t="s">
        <v>333</v>
      </c>
      <c r="D59775" t="s">
        <v>7666</v>
      </c>
    </row>
    <row r="59777" spans="1:4" x14ac:dyDescent="0.2">
      <c r="A59777" t="s">
        <v>18705</v>
      </c>
      <c r="B59777" t="str">
        <f>HYPERLINK("https://lindat.mff.cuni.cz/services/teitok/pdtc10/index.php?action=vallex&amp;frame=v-w8415f1", "vystupovat (v-w8415f1)")</f>
        <v>vystupovat (v-w8415f1)</v>
      </c>
    </row>
    <row r="59778" spans="1:4" x14ac:dyDescent="0.2">
      <c r="B59778" t="s">
        <v>1</v>
      </c>
      <c r="C59778" t="s">
        <v>18706</v>
      </c>
    </row>
    <row r="59780" spans="1:4" x14ac:dyDescent="0.2">
      <c r="A59780" t="s">
        <v>18707</v>
      </c>
      <c r="B59780" t="str">
        <f>HYPERLINK("https://lindat.mff.cuni.cz/services/teitok/pdtc10/index.php?action=vallex&amp;frame=v-w8415f4", "vystupovat (v-w8415f4)")</f>
        <v>vystupovat (v-w8415f4)</v>
      </c>
    </row>
    <row r="59781" spans="1:4" x14ac:dyDescent="0.2">
      <c r="B59781" t="s">
        <v>1</v>
      </c>
      <c r="C59781" t="s">
        <v>140</v>
      </c>
      <c r="D59781" t="s">
        <v>23372</v>
      </c>
    </row>
    <row r="59782" spans="1:4" x14ac:dyDescent="0.2">
      <c r="B59782" t="s">
        <v>415</v>
      </c>
    </row>
    <row r="59783" spans="1:4" x14ac:dyDescent="0.2">
      <c r="B59783" t="s">
        <v>346</v>
      </c>
    </row>
    <row r="59784" spans="1:4" x14ac:dyDescent="0.2">
      <c r="B59784" t="s">
        <v>349</v>
      </c>
    </row>
    <row r="59785" spans="1:4" x14ac:dyDescent="0.2">
      <c r="B59785" t="s">
        <v>350</v>
      </c>
    </row>
    <row r="59786" spans="1:4" x14ac:dyDescent="0.2">
      <c r="B59786" t="s">
        <v>351</v>
      </c>
    </row>
    <row r="59788" spans="1:4" x14ac:dyDescent="0.2">
      <c r="A59788" t="s">
        <v>18708</v>
      </c>
      <c r="B59788" t="str">
        <f>HYPERLINK("https://lindat.mff.cuni.cz/services/teitok/pdtc10/index.php?action=vallex&amp;frame=v-w8415f7", "vystupovat (v-w8415f7)")</f>
        <v>vystupovat (v-w8415f7)</v>
      </c>
    </row>
    <row r="59789" spans="1:4" x14ac:dyDescent="0.2">
      <c r="B59789" t="s">
        <v>1</v>
      </c>
    </row>
    <row r="59790" spans="1:4" x14ac:dyDescent="0.2">
      <c r="B59790" t="s">
        <v>18709</v>
      </c>
    </row>
    <row r="59792" spans="1:4" x14ac:dyDescent="0.2">
      <c r="A59792" t="s">
        <v>18710</v>
      </c>
      <c r="B59792" t="str">
        <f>HYPERLINK("https://lindat.mff.cuni.cz/services/teitok/pdtc10/index.php?action=vallex&amp;frame=v-w8415f6", "vystupovat (v-w8415f6)")</f>
        <v>vystupovat (v-w8415f6)</v>
      </c>
    </row>
    <row r="59793" spans="1:2" x14ac:dyDescent="0.2">
      <c r="B59793" t="s">
        <v>1</v>
      </c>
    </row>
    <row r="59794" spans="1:2" x14ac:dyDescent="0.2">
      <c r="B59794" t="s">
        <v>17850</v>
      </c>
    </row>
    <row r="59796" spans="1:2" x14ac:dyDescent="0.2">
      <c r="A59796" t="s">
        <v>18711</v>
      </c>
      <c r="B59796" t="str">
        <f>HYPERLINK("https://lindat.mff.cuni.cz/services/teitok/pdtc10/index.php?action=vallex&amp;frame=v-w8415hsa_712", "vystupovat (v-w8415hsa_712)")</f>
        <v>vystupovat (v-w8415hsa_712)</v>
      </c>
    </row>
    <row r="59797" spans="1:2" x14ac:dyDescent="0.2">
      <c r="B59797" t="s">
        <v>1</v>
      </c>
    </row>
    <row r="59798" spans="1:2" x14ac:dyDescent="0.2">
      <c r="B59798" t="s">
        <v>5</v>
      </c>
    </row>
    <row r="59800" spans="1:2" x14ac:dyDescent="0.2">
      <c r="A59800" t="s">
        <v>18712</v>
      </c>
      <c r="B59800" t="str">
        <f>HYPERLINK("https://lindat.mff.cuni.cz/services/teitok/pdtc10/index.php?action=vallex&amp;frame=v-w8415hsa_713", "vystupovat (v-w8415hsa_713)")</f>
        <v>vystupovat (v-w8415hsa_713)</v>
      </c>
    </row>
    <row r="59801" spans="1:2" x14ac:dyDescent="0.2">
      <c r="B59801" t="s">
        <v>1</v>
      </c>
    </row>
    <row r="59802" spans="1:2" x14ac:dyDescent="0.2">
      <c r="B59802" t="s">
        <v>90</v>
      </c>
    </row>
    <row r="59804" spans="1:2" x14ac:dyDescent="0.2">
      <c r="A59804" t="s">
        <v>18713</v>
      </c>
      <c r="B59804" t="str">
        <f>HYPERLINK("https://lindat.mff.cuni.cz/services/teitok/pdtc10/index.php?action=vallex&amp;frame=v-w8415f8_ZU", "vystupovat (v-w8415f8_ZU)")</f>
        <v>vystupovat (v-w8415f8_ZU)</v>
      </c>
    </row>
    <row r="59805" spans="1:2" x14ac:dyDescent="0.2">
      <c r="B59805" t="s">
        <v>1</v>
      </c>
    </row>
    <row r="59806" spans="1:2" x14ac:dyDescent="0.2">
      <c r="B59806" t="s">
        <v>18714</v>
      </c>
    </row>
    <row r="59808" spans="1:2" x14ac:dyDescent="0.2">
      <c r="A59808" t="s">
        <v>18713</v>
      </c>
      <c r="B59808" t="str">
        <f>HYPERLINK("https://lindat.mff.cuni.cz/services/teitok/pdtc10/index.php?action=vallex&amp;frame=v-w8415hsa_714", "vystupovat (v-w8415hsa_714) - substituted with v-w8415f8_ZU")</f>
        <v>vystupovat (v-w8415hsa_714) - substituted with v-w8415f8_ZU</v>
      </c>
    </row>
    <row r="59809" spans="1:4" x14ac:dyDescent="0.2">
      <c r="B59809" t="s">
        <v>1</v>
      </c>
    </row>
    <row r="59810" spans="1:4" x14ac:dyDescent="0.2">
      <c r="B59810" t="s">
        <v>18714</v>
      </c>
    </row>
    <row r="59812" spans="1:4" x14ac:dyDescent="0.2">
      <c r="A59812" t="s">
        <v>18715</v>
      </c>
      <c r="B59812" t="str">
        <f>HYPERLINK("https://lindat.mff.cuni.cz/services/teitok/pdtc10/index.php?action=vallex&amp;frame=v-w8413f1", "vystupňovat (v-w8413f1)")</f>
        <v>vystupňovat (v-w8413f1)</v>
      </c>
    </row>
    <row r="59813" spans="1:4" x14ac:dyDescent="0.2">
      <c r="B59813" t="s">
        <v>1</v>
      </c>
      <c r="C59813" t="s">
        <v>370</v>
      </c>
      <c r="D59813" t="s">
        <v>23523</v>
      </c>
    </row>
    <row r="59814" spans="1:4" x14ac:dyDescent="0.2">
      <c r="B59814" t="s">
        <v>8</v>
      </c>
      <c r="C59814" t="s">
        <v>125</v>
      </c>
      <c r="D59814" t="s">
        <v>23524</v>
      </c>
    </row>
    <row r="59816" spans="1:4" x14ac:dyDescent="0.2">
      <c r="A59816" t="s">
        <v>18716</v>
      </c>
      <c r="B59816" t="str">
        <f>HYPERLINK("https://lindat.mff.cuni.cz/services/teitok/pdtc10/index.php?action=vallex&amp;frame=v-whsa_370hsa_371", "vystupňovat se (v-whsa_370hsa_371)")</f>
        <v>vystupňovat se (v-whsa_370hsa_371)</v>
      </c>
    </row>
    <row r="59817" spans="1:4" x14ac:dyDescent="0.2">
      <c r="B59817" t="s">
        <v>1</v>
      </c>
      <c r="C59817" t="s">
        <v>147</v>
      </c>
      <c r="D59817" t="s">
        <v>23550</v>
      </c>
    </row>
    <row r="59819" spans="1:4" x14ac:dyDescent="0.2">
      <c r="A59819" t="s">
        <v>18717</v>
      </c>
      <c r="B59819" t="str">
        <f>HYPERLINK("https://lindat.mff.cuni.cz/services/teitok/pdtc10/index.php?action=vallex&amp;frame=v-w12005_ZUf1_ZU", "vystydnout (v-w12005_ZUf1_ZU)")</f>
        <v>vystydnout (v-w12005_ZUf1_ZU)</v>
      </c>
    </row>
    <row r="59820" spans="1:4" x14ac:dyDescent="0.2">
      <c r="B59820" t="s">
        <v>1</v>
      </c>
    </row>
    <row r="59822" spans="1:4" x14ac:dyDescent="0.2">
      <c r="A59822" t="s">
        <v>18718</v>
      </c>
      <c r="B59822" t="str">
        <f>HYPERLINK("https://lindat.mff.cuni.cz/services/teitok/pdtc10/index.php?action=vallex&amp;frame=v-w10378f2", "vystát (v-w10378f2)")</f>
        <v>vystát (v-w10378f2)</v>
      </c>
    </row>
    <row r="59823" spans="1:4" x14ac:dyDescent="0.2">
      <c r="B59823" t="s">
        <v>1</v>
      </c>
      <c r="C59823" t="s">
        <v>430</v>
      </c>
      <c r="D59823" t="s">
        <v>430</v>
      </c>
    </row>
    <row r="59824" spans="1:4" x14ac:dyDescent="0.2">
      <c r="B59824" t="s">
        <v>8</v>
      </c>
      <c r="C59824" t="s">
        <v>1128</v>
      </c>
      <c r="D59824" t="s">
        <v>1128</v>
      </c>
    </row>
    <row r="59826" spans="1:4" x14ac:dyDescent="0.2">
      <c r="A59826" t="s">
        <v>18719</v>
      </c>
      <c r="B59826" t="str">
        <f>HYPERLINK("https://lindat.mff.cuni.cz/services/teitok/pdtc10/index.php?action=vallex&amp;frame=v-w10378f3_ZU", "vystát (v-w10378f3_ZU)")</f>
        <v>vystát (v-w10378f3_ZU)</v>
      </c>
    </row>
    <row r="59827" spans="1:4" x14ac:dyDescent="0.2">
      <c r="B59827" t="s">
        <v>1</v>
      </c>
    </row>
    <row r="59828" spans="1:4" x14ac:dyDescent="0.2">
      <c r="B59828" t="s">
        <v>8</v>
      </c>
    </row>
    <row r="59830" spans="1:4" x14ac:dyDescent="0.2">
      <c r="A59830" t="s">
        <v>18720</v>
      </c>
      <c r="B59830" t="str">
        <f>HYPERLINK("https://lindat.mff.cuni.cz/services/teitok/pdtc10/index.php?action=vallex&amp;frame=v-w8388f1", "vystěhovat (v-w8388f1)")</f>
        <v>vystěhovat (v-w8388f1)</v>
      </c>
    </row>
    <row r="59831" spans="1:4" x14ac:dyDescent="0.2">
      <c r="B59831" t="s">
        <v>1</v>
      </c>
    </row>
    <row r="59832" spans="1:4" x14ac:dyDescent="0.2">
      <c r="B59832" t="s">
        <v>8</v>
      </c>
    </row>
    <row r="59833" spans="1:4" x14ac:dyDescent="0.2">
      <c r="B59833" t="s">
        <v>333</v>
      </c>
    </row>
    <row r="59835" spans="1:4" x14ac:dyDescent="0.2">
      <c r="A59835" t="s">
        <v>18721</v>
      </c>
      <c r="B59835" t="str">
        <f>HYPERLINK("https://lindat.mff.cuni.cz/services/teitok/pdtc10/index.php?action=vallex&amp;frame=v-w8389f1", "vystěhovat se (v-w8389f1)")</f>
        <v>vystěhovat se (v-w8389f1)</v>
      </c>
    </row>
    <row r="59836" spans="1:4" x14ac:dyDescent="0.2">
      <c r="B59836" t="s">
        <v>1</v>
      </c>
      <c r="C59836" t="s">
        <v>3303</v>
      </c>
      <c r="D59836" t="s">
        <v>23091</v>
      </c>
    </row>
    <row r="59837" spans="1:4" x14ac:dyDescent="0.2">
      <c r="B59837" t="s">
        <v>333</v>
      </c>
      <c r="D59837" t="s">
        <v>7666</v>
      </c>
    </row>
    <row r="59839" spans="1:4" x14ac:dyDescent="0.2">
      <c r="A59839" t="s">
        <v>18722</v>
      </c>
      <c r="B59839" t="str">
        <f>HYPERLINK("https://lindat.mff.cuni.cz/services/teitok/pdtc10/index.php?action=vallex&amp;frame=v-w11769_ZUf2_ZU", "vystěhovávat (v-w11769_ZUf2_ZU)")</f>
        <v>vystěhovávat (v-w11769_ZUf2_ZU)</v>
      </c>
    </row>
    <row r="59840" spans="1:4" x14ac:dyDescent="0.2">
      <c r="B59840" t="s">
        <v>1</v>
      </c>
    </row>
    <row r="59841" spans="1:4" x14ac:dyDescent="0.2">
      <c r="B59841" t="s">
        <v>8</v>
      </c>
    </row>
    <row r="59842" spans="1:4" x14ac:dyDescent="0.2">
      <c r="B59842" t="s">
        <v>4622</v>
      </c>
    </row>
    <row r="59844" spans="1:4" x14ac:dyDescent="0.2">
      <c r="A59844" t="s">
        <v>18722</v>
      </c>
      <c r="B59844" t="str">
        <f>HYPERLINK("https://lindat.mff.cuni.cz/services/teitok/pdtc10/index.php?action=vallex&amp;frame=v-w11769_ZUf1_ZU", "vystěhovávat (v-w11769_ZUf1_ZU) - substituted with v-w11769_ZUf2_ZU")</f>
        <v>vystěhovávat (v-w11769_ZUf1_ZU) - substituted with v-w11769_ZUf2_ZU</v>
      </c>
    </row>
    <row r="59845" spans="1:4" x14ac:dyDescent="0.2">
      <c r="B59845" t="s">
        <v>1</v>
      </c>
    </row>
    <row r="59846" spans="1:4" x14ac:dyDescent="0.2">
      <c r="B59846" t="s">
        <v>8</v>
      </c>
    </row>
    <row r="59847" spans="1:4" x14ac:dyDescent="0.2">
      <c r="B59847" t="s">
        <v>4622</v>
      </c>
    </row>
    <row r="59849" spans="1:4" x14ac:dyDescent="0.2">
      <c r="A59849" t="s">
        <v>18723</v>
      </c>
      <c r="B59849" t="str">
        <f>HYPERLINK("https://lindat.mff.cuni.cz/services/teitok/pdtc10/index.php?action=vallex&amp;frame=v-w8401f1", "vystřelit (v-w8401f1)")</f>
        <v>vystřelit (v-w8401f1)</v>
      </c>
    </row>
    <row r="59850" spans="1:4" x14ac:dyDescent="0.2">
      <c r="B59850" t="s">
        <v>1</v>
      </c>
      <c r="C59850" t="s">
        <v>133</v>
      </c>
      <c r="D59850" t="s">
        <v>133</v>
      </c>
    </row>
    <row r="59851" spans="1:4" x14ac:dyDescent="0.2">
      <c r="B59851" t="s">
        <v>8</v>
      </c>
      <c r="C59851" t="s">
        <v>84</v>
      </c>
      <c r="D59851" t="s">
        <v>84</v>
      </c>
    </row>
    <row r="59853" spans="1:4" x14ac:dyDescent="0.2">
      <c r="A59853" t="s">
        <v>18724</v>
      </c>
      <c r="B59853" t="str">
        <f>HYPERLINK("https://lindat.mff.cuni.cz/services/teitok/pdtc10/index.php?action=vallex&amp;frame=v-w8401f3", "vystřelit (v-w8401f3)")</f>
        <v>vystřelit (v-w8401f3)</v>
      </c>
    </row>
    <row r="59854" spans="1:4" x14ac:dyDescent="0.2">
      <c r="B59854" t="s">
        <v>1</v>
      </c>
      <c r="C59854" t="s">
        <v>140</v>
      </c>
    </row>
    <row r="59855" spans="1:4" x14ac:dyDescent="0.2">
      <c r="B59855" t="s">
        <v>8</v>
      </c>
      <c r="C59855" t="s">
        <v>113</v>
      </c>
    </row>
    <row r="59857" spans="1:4" x14ac:dyDescent="0.2">
      <c r="A59857" t="s">
        <v>18725</v>
      </c>
      <c r="B59857" t="str">
        <f>HYPERLINK("https://lindat.mff.cuni.cz/services/teitok/pdtc10/index.php?action=vallex&amp;frame=v-w8401f2", "vystřelit (v-w8401f2)")</f>
        <v>vystřelit (v-w8401f2)</v>
      </c>
    </row>
    <row r="59858" spans="1:4" x14ac:dyDescent="0.2">
      <c r="B59858" t="s">
        <v>1</v>
      </c>
      <c r="C59858" t="s">
        <v>12153</v>
      </c>
    </row>
    <row r="59859" spans="1:4" x14ac:dyDescent="0.2">
      <c r="B59859" t="s">
        <v>90</v>
      </c>
    </row>
    <row r="59861" spans="1:4" x14ac:dyDescent="0.2">
      <c r="A59861" t="s">
        <v>18726</v>
      </c>
      <c r="B59861" t="str">
        <f>HYPERLINK("https://lindat.mff.cuni.cz/services/teitok/pdtc10/index.php?action=vallex&amp;frame=v-w8401hsa_556", "vystřelit (v-w8401hsa_556)")</f>
        <v>vystřelit (v-w8401hsa_556)</v>
      </c>
    </row>
    <row r="59862" spans="1:4" x14ac:dyDescent="0.2">
      <c r="B59862" t="s">
        <v>1</v>
      </c>
      <c r="C59862" t="s">
        <v>127</v>
      </c>
      <c r="D59862" t="s">
        <v>23510</v>
      </c>
    </row>
    <row r="59863" spans="1:4" x14ac:dyDescent="0.2">
      <c r="B59863" t="s">
        <v>46</v>
      </c>
      <c r="D59863" t="s">
        <v>23393</v>
      </c>
    </row>
    <row r="59864" spans="1:4" x14ac:dyDescent="0.2">
      <c r="B59864" t="s">
        <v>24</v>
      </c>
      <c r="D59864" t="s">
        <v>23394</v>
      </c>
    </row>
    <row r="59866" spans="1:4" x14ac:dyDescent="0.2">
      <c r="A59866" t="s">
        <v>18727</v>
      </c>
      <c r="B59866" t="str">
        <f>HYPERLINK("https://lindat.mff.cuni.cz/services/teitok/pdtc10/index.php?action=vallex&amp;frame=v-w8402f1", "vystřelovat (v-w8402f1)")</f>
        <v>vystřelovat (v-w8402f1)</v>
      </c>
    </row>
    <row r="59867" spans="1:4" x14ac:dyDescent="0.2">
      <c r="B59867" t="s">
        <v>1</v>
      </c>
      <c r="D59867" t="s">
        <v>133</v>
      </c>
    </row>
    <row r="59868" spans="1:4" x14ac:dyDescent="0.2">
      <c r="B59868" t="s">
        <v>8</v>
      </c>
      <c r="D59868" t="s">
        <v>84</v>
      </c>
    </row>
    <row r="59870" spans="1:4" x14ac:dyDescent="0.2">
      <c r="A59870" t="s">
        <v>18728</v>
      </c>
      <c r="B59870" t="str">
        <f>HYPERLINK("https://lindat.mff.cuni.cz/services/teitok/pdtc10/index.php?action=vallex&amp;frame=v-w8407f2", "vystřihnout (v-w8407f2)")</f>
        <v>vystřihnout (v-w8407f2)</v>
      </c>
    </row>
    <row r="59871" spans="1:4" x14ac:dyDescent="0.2">
      <c r="B59871" t="s">
        <v>1</v>
      </c>
      <c r="C59871" t="s">
        <v>140</v>
      </c>
      <c r="D59871" t="s">
        <v>140</v>
      </c>
    </row>
    <row r="59872" spans="1:4" x14ac:dyDescent="0.2">
      <c r="B59872" t="s">
        <v>8</v>
      </c>
      <c r="C59872" t="s">
        <v>113</v>
      </c>
      <c r="D59872" t="s">
        <v>113</v>
      </c>
    </row>
    <row r="59873" spans="1:4" x14ac:dyDescent="0.2">
      <c r="B59873" t="s">
        <v>333</v>
      </c>
      <c r="C59873" t="s">
        <v>7105</v>
      </c>
      <c r="D59873" t="s">
        <v>7105</v>
      </c>
    </row>
    <row r="59875" spans="1:4" x14ac:dyDescent="0.2">
      <c r="A59875" t="s">
        <v>18729</v>
      </c>
      <c r="B59875" t="str">
        <f>HYPERLINK("https://lindat.mff.cuni.cz/services/teitok/pdtc10/index.php?action=vallex&amp;frame=v-w8407f1", "vystřihnout (v-w8407f1)")</f>
        <v>vystřihnout (v-w8407f1)</v>
      </c>
    </row>
    <row r="59876" spans="1:4" x14ac:dyDescent="0.2">
      <c r="B59876" t="s">
        <v>1</v>
      </c>
      <c r="C59876" t="s">
        <v>140</v>
      </c>
    </row>
    <row r="59877" spans="1:4" x14ac:dyDescent="0.2">
      <c r="B59877" t="s">
        <v>8</v>
      </c>
      <c r="C59877" t="s">
        <v>991</v>
      </c>
    </row>
    <row r="59879" spans="1:4" x14ac:dyDescent="0.2">
      <c r="A59879" t="s">
        <v>18730</v>
      </c>
      <c r="B59879" t="str">
        <f>HYPERLINK("https://lindat.mff.cuni.cz/services/teitok/pdtc10/index.php?action=vallex&amp;frame=v-w8406f2", "vystřihávat (v-w8406f2)")</f>
        <v>vystřihávat (v-w8406f2)</v>
      </c>
    </row>
    <row r="59880" spans="1:4" x14ac:dyDescent="0.2">
      <c r="B59880" t="s">
        <v>1</v>
      </c>
    </row>
    <row r="59881" spans="1:4" x14ac:dyDescent="0.2">
      <c r="B59881" t="s">
        <v>8</v>
      </c>
    </row>
    <row r="59882" spans="1:4" x14ac:dyDescent="0.2">
      <c r="B59882" t="s">
        <v>24</v>
      </c>
    </row>
    <row r="59884" spans="1:4" x14ac:dyDescent="0.2">
      <c r="A59884" t="s">
        <v>18731</v>
      </c>
      <c r="B59884" t="str">
        <f>HYPERLINK("https://lindat.mff.cuni.cz/services/teitok/pdtc10/index.php?action=vallex&amp;frame=v-w8406f1", "vystřihávat (v-w8406f1)")</f>
        <v>vystřihávat (v-w8406f1)</v>
      </c>
    </row>
    <row r="59885" spans="1:4" x14ac:dyDescent="0.2">
      <c r="B59885" t="s">
        <v>1</v>
      </c>
    </row>
    <row r="59886" spans="1:4" x14ac:dyDescent="0.2">
      <c r="B59886" t="s">
        <v>8</v>
      </c>
    </row>
    <row r="59887" spans="1:4" x14ac:dyDescent="0.2">
      <c r="B59887" t="s">
        <v>333</v>
      </c>
    </row>
    <row r="59889" spans="1:4" x14ac:dyDescent="0.2">
      <c r="A59889" t="s">
        <v>18732</v>
      </c>
      <c r="B59889" t="str">
        <f>HYPERLINK("https://lindat.mff.cuni.cz/services/teitok/pdtc10/index.php?action=vallex&amp;frame=v-w8406f3", "vystřihávat (v-w8406f3)")</f>
        <v>vystřihávat (v-w8406f3)</v>
      </c>
    </row>
    <row r="59890" spans="1:4" x14ac:dyDescent="0.2">
      <c r="B59890" t="s">
        <v>1</v>
      </c>
    </row>
    <row r="59891" spans="1:4" x14ac:dyDescent="0.2">
      <c r="B59891" t="s">
        <v>8</v>
      </c>
    </row>
    <row r="59893" spans="1:4" x14ac:dyDescent="0.2">
      <c r="A59893" t="s">
        <v>18733</v>
      </c>
      <c r="B59893" t="str">
        <f>HYPERLINK("https://lindat.mff.cuni.cz/services/teitok/pdtc10/index.php?action=vallex&amp;frame=v-w8404f2", "vystřídat (v-w8404f2)")</f>
        <v>vystřídat (v-w8404f2)</v>
      </c>
    </row>
    <row r="59894" spans="1:4" x14ac:dyDescent="0.2">
      <c r="B59894" t="s">
        <v>1</v>
      </c>
    </row>
    <row r="59895" spans="1:4" x14ac:dyDescent="0.2">
      <c r="B59895" t="s">
        <v>8</v>
      </c>
    </row>
    <row r="59896" spans="1:4" x14ac:dyDescent="0.2">
      <c r="B59896" t="s">
        <v>15164</v>
      </c>
    </row>
    <row r="59898" spans="1:4" x14ac:dyDescent="0.2">
      <c r="A59898" t="s">
        <v>18734</v>
      </c>
      <c r="B59898" t="str">
        <f>HYPERLINK("https://lindat.mff.cuni.cz/services/teitok/pdtc10/index.php?action=vallex&amp;frame=v-w8404f1", "vystřídat (v-w8404f1)")</f>
        <v>vystřídat (v-w8404f1)</v>
      </c>
    </row>
    <row r="59899" spans="1:4" x14ac:dyDescent="0.2">
      <c r="B59899" t="s">
        <v>1</v>
      </c>
      <c r="C59899" t="s">
        <v>18735</v>
      </c>
      <c r="D59899" t="s">
        <v>23529</v>
      </c>
    </row>
    <row r="59900" spans="1:4" x14ac:dyDescent="0.2">
      <c r="B59900" t="s">
        <v>8</v>
      </c>
      <c r="C59900" t="s">
        <v>18736</v>
      </c>
      <c r="D59900" t="s">
        <v>23530</v>
      </c>
    </row>
    <row r="59902" spans="1:4" x14ac:dyDescent="0.2">
      <c r="A59902" t="s">
        <v>18737</v>
      </c>
      <c r="B59902" t="str">
        <f>HYPERLINK("https://lindat.mff.cuni.cz/services/teitok/pdtc10/index.php?action=vallex&amp;frame=v-w8405f1", "vystřídat se (v-w8405f1)")</f>
        <v>vystřídat se (v-w8405f1)</v>
      </c>
    </row>
    <row r="59903" spans="1:4" x14ac:dyDescent="0.2">
      <c r="B59903" t="s">
        <v>1</v>
      </c>
    </row>
    <row r="59904" spans="1:4" x14ac:dyDescent="0.2">
      <c r="B59904" t="s">
        <v>411</v>
      </c>
    </row>
    <row r="59906" spans="1:2" x14ac:dyDescent="0.2">
      <c r="A59906" t="s">
        <v>18738</v>
      </c>
      <c r="B59906" t="str">
        <f>HYPERLINK("https://lindat.mff.cuni.cz/services/teitok/pdtc10/index.php?action=vallex&amp;frame=v-whsa_1068f1_ZU", "vystříkat (v-whsa_1068f1_ZU)")</f>
        <v>vystříkat (v-whsa_1068f1_ZU)</v>
      </c>
    </row>
    <row r="59907" spans="1:2" x14ac:dyDescent="0.2">
      <c r="B59907" t="s">
        <v>1</v>
      </c>
    </row>
    <row r="59908" spans="1:2" x14ac:dyDescent="0.2">
      <c r="B59908" t="s">
        <v>8</v>
      </c>
    </row>
    <row r="59910" spans="1:2" x14ac:dyDescent="0.2">
      <c r="A59910" t="s">
        <v>18739</v>
      </c>
      <c r="B59910" t="str">
        <f>HYPERLINK("https://lindat.mff.cuni.cz/services/teitok/pdtc10/index.php?action=vallex&amp;frame=v-whsa_1068f2_ZU", "vystříkat (v-whsa_1068f2_ZU)")</f>
        <v>vystříkat (v-whsa_1068f2_ZU)</v>
      </c>
    </row>
    <row r="59911" spans="1:2" x14ac:dyDescent="0.2">
      <c r="B59911" t="s">
        <v>1</v>
      </c>
    </row>
    <row r="59912" spans="1:2" x14ac:dyDescent="0.2">
      <c r="B59912" t="s">
        <v>8</v>
      </c>
    </row>
    <row r="59914" spans="1:2" x14ac:dyDescent="0.2">
      <c r="A59914" t="s">
        <v>18740</v>
      </c>
      <c r="B59914" t="str">
        <f>HYPERLINK("https://lindat.mff.cuni.cz/services/teitok/pdtc10/index.php?action=vallex&amp;frame=v-w8408f1", "vystřílet (v-w8408f1)")</f>
        <v>vystřílet (v-w8408f1)</v>
      </c>
    </row>
    <row r="59915" spans="1:2" x14ac:dyDescent="0.2">
      <c r="B59915" t="s">
        <v>1</v>
      </c>
    </row>
    <row r="59916" spans="1:2" x14ac:dyDescent="0.2">
      <c r="B59916" t="s">
        <v>8</v>
      </c>
    </row>
    <row r="59918" spans="1:2" x14ac:dyDescent="0.2">
      <c r="A59918" t="s">
        <v>18741</v>
      </c>
      <c r="B59918" t="str">
        <f>HYPERLINK("https://lindat.mff.cuni.cz/services/teitok/pdtc10/index.php?action=vallex&amp;frame=v-w8409f1", "vystřízlivět (v-w8409f1)")</f>
        <v>vystřízlivět (v-w8409f1)</v>
      </c>
    </row>
    <row r="59919" spans="1:2" x14ac:dyDescent="0.2">
      <c r="B59919" t="s">
        <v>1</v>
      </c>
    </row>
    <row r="59920" spans="1:2" x14ac:dyDescent="0.2">
      <c r="B59920" t="s">
        <v>438</v>
      </c>
    </row>
    <row r="59922" spans="1:4" x14ac:dyDescent="0.2">
      <c r="A59922" t="s">
        <v>18742</v>
      </c>
      <c r="B59922" t="str">
        <f>HYPERLINK("https://lindat.mff.cuni.cz/services/teitok/pdtc10/index.php?action=vallex&amp;frame=v-w8409hsa_1317", "vystřízlivět (v-w8409hsa_1317)")</f>
        <v>vystřízlivět (v-w8409hsa_1317)</v>
      </c>
    </row>
    <row r="59923" spans="1:4" x14ac:dyDescent="0.2">
      <c r="B59923" t="s">
        <v>1</v>
      </c>
      <c r="C59923" t="s">
        <v>140</v>
      </c>
      <c r="D59923" t="s">
        <v>33</v>
      </c>
    </row>
    <row r="59924" spans="1:4" x14ac:dyDescent="0.2">
      <c r="B59924" t="s">
        <v>58</v>
      </c>
      <c r="C59924" t="s">
        <v>2810</v>
      </c>
      <c r="D59924" t="s">
        <v>1672</v>
      </c>
    </row>
    <row r="59925" spans="1:4" x14ac:dyDescent="0.2">
      <c r="B59925" t="s">
        <v>438</v>
      </c>
    </row>
    <row r="59927" spans="1:4" x14ac:dyDescent="0.2">
      <c r="A59927" t="s">
        <v>18743</v>
      </c>
      <c r="B59927" t="str">
        <f>HYPERLINK("https://lindat.mff.cuni.cz/services/teitok/pdtc10/index.php?action=vallex&amp;frame=v-w8416f1", "vysunout se (v-w8416f1)")</f>
        <v>vysunout se (v-w8416f1)</v>
      </c>
    </row>
    <row r="59928" spans="1:4" x14ac:dyDescent="0.2">
      <c r="B59928" t="s">
        <v>1</v>
      </c>
    </row>
    <row r="59929" spans="1:4" x14ac:dyDescent="0.2">
      <c r="B59929" t="s">
        <v>333</v>
      </c>
    </row>
    <row r="59931" spans="1:4" x14ac:dyDescent="0.2">
      <c r="A59931" t="s">
        <v>18744</v>
      </c>
      <c r="B59931" t="str">
        <f>HYPERLINK("https://lindat.mff.cuni.cz/services/teitok/pdtc10/index.php?action=vallex&amp;frame=v-w10800f2", "vysušit (v-w10800f2)")</f>
        <v>vysušit (v-w10800f2)</v>
      </c>
    </row>
    <row r="59932" spans="1:4" x14ac:dyDescent="0.2">
      <c r="B59932" t="s">
        <v>1</v>
      </c>
      <c r="C59932" t="s">
        <v>140</v>
      </c>
    </row>
    <row r="59933" spans="1:4" x14ac:dyDescent="0.2">
      <c r="B59933" t="s">
        <v>8</v>
      </c>
      <c r="C59933" t="s">
        <v>113</v>
      </c>
    </row>
    <row r="59935" spans="1:4" x14ac:dyDescent="0.2">
      <c r="A59935" t="s">
        <v>18745</v>
      </c>
      <c r="B59935" t="str">
        <f>HYPERLINK("https://lindat.mff.cuni.cz/services/teitok/pdtc10/index.php?action=vallex&amp;frame=v-w12067_ZUf1_ZU", "vysušovat (v-w12067_ZUf1_ZU)")</f>
        <v>vysušovat (v-w12067_ZUf1_ZU)</v>
      </c>
    </row>
    <row r="59936" spans="1:4" x14ac:dyDescent="0.2">
      <c r="B59936" t="s">
        <v>1</v>
      </c>
    </row>
    <row r="59937" spans="1:2" x14ac:dyDescent="0.2">
      <c r="B59937" t="s">
        <v>8</v>
      </c>
    </row>
    <row r="59939" spans="1:2" x14ac:dyDescent="0.2">
      <c r="A59939" t="s">
        <v>18746</v>
      </c>
      <c r="B59939" t="str">
        <f>HYPERLINK("https://lindat.mff.cuni.cz/services/teitok/pdtc10/index.php?action=vallex&amp;frame=v-w11869_ZUf1_ZU", "vysvléci (v-w11869_ZUf1_ZU)")</f>
        <v>vysvléci (v-w11869_ZUf1_ZU)</v>
      </c>
    </row>
    <row r="59940" spans="1:2" x14ac:dyDescent="0.2">
      <c r="B59940" t="s">
        <v>1</v>
      </c>
    </row>
    <row r="59941" spans="1:2" x14ac:dyDescent="0.2">
      <c r="B59941" t="s">
        <v>8</v>
      </c>
    </row>
    <row r="59942" spans="1:2" x14ac:dyDescent="0.2">
      <c r="B59942" t="s">
        <v>24</v>
      </c>
    </row>
    <row r="59944" spans="1:2" x14ac:dyDescent="0.2">
      <c r="A59944" t="s">
        <v>18747</v>
      </c>
      <c r="B59944" t="str">
        <f>HYPERLINK("https://lindat.mff.cuni.cz/services/teitok/pdtc10/index.php?action=vallex&amp;frame=v-whsa_1834hsa_1835", "vysvlíknout (v-whsa_1834hsa_1835)")</f>
        <v>vysvlíknout (v-whsa_1834hsa_1835)</v>
      </c>
    </row>
    <row r="59945" spans="1:2" x14ac:dyDescent="0.2">
      <c r="B59945" t="s">
        <v>1</v>
      </c>
    </row>
    <row r="59946" spans="1:2" x14ac:dyDescent="0.2">
      <c r="B59946" t="s">
        <v>8</v>
      </c>
    </row>
    <row r="59947" spans="1:2" x14ac:dyDescent="0.2">
      <c r="B59947" t="s">
        <v>24</v>
      </c>
    </row>
    <row r="59949" spans="1:2" x14ac:dyDescent="0.2">
      <c r="A59949" t="s">
        <v>18748</v>
      </c>
      <c r="B59949" t="str">
        <f>HYPERLINK("https://lindat.mff.cuni.cz/services/teitok/pdtc10/index.php?action=vallex&amp;frame=v-w8426f1", "vysvobodit (v-w8426f1)")</f>
        <v>vysvobodit (v-w8426f1)</v>
      </c>
    </row>
    <row r="59950" spans="1:2" x14ac:dyDescent="0.2">
      <c r="B59950" t="s">
        <v>1</v>
      </c>
    </row>
    <row r="59951" spans="1:2" x14ac:dyDescent="0.2">
      <c r="B59951" t="s">
        <v>8</v>
      </c>
    </row>
    <row r="59952" spans="1:2" x14ac:dyDescent="0.2">
      <c r="B59952" t="s">
        <v>7530</v>
      </c>
    </row>
    <row r="59954" spans="1:4" x14ac:dyDescent="0.2">
      <c r="A59954" t="s">
        <v>18749</v>
      </c>
      <c r="B59954" t="str">
        <f>HYPERLINK("https://lindat.mff.cuni.cz/services/teitok/pdtc10/index.php?action=vallex&amp;frame=v-w8427f1", "vysvobozovat (v-w8427f1)")</f>
        <v>vysvobozovat (v-w8427f1)</v>
      </c>
    </row>
    <row r="59955" spans="1:4" x14ac:dyDescent="0.2">
      <c r="B59955" t="s">
        <v>1</v>
      </c>
    </row>
    <row r="59956" spans="1:4" x14ac:dyDescent="0.2">
      <c r="B59956" t="s">
        <v>8</v>
      </c>
    </row>
    <row r="59957" spans="1:4" x14ac:dyDescent="0.2">
      <c r="B59957" t="s">
        <v>308</v>
      </c>
    </row>
    <row r="59959" spans="1:4" x14ac:dyDescent="0.2">
      <c r="A59959" t="s">
        <v>18750</v>
      </c>
      <c r="B59959" t="str">
        <f>HYPERLINK("https://lindat.mff.cuni.cz/services/teitok/pdtc10/index.php?action=vallex&amp;frame=v-w8425f1", "vysvítat (v-w8425f1)")</f>
        <v>vysvítat (v-w8425f1)</v>
      </c>
    </row>
    <row r="59960" spans="1:4" x14ac:dyDescent="0.2">
      <c r="B59960" t="s">
        <v>488</v>
      </c>
    </row>
    <row r="59961" spans="1:4" x14ac:dyDescent="0.2">
      <c r="B59961" t="s">
        <v>168</v>
      </c>
    </row>
    <row r="59963" spans="1:4" x14ac:dyDescent="0.2">
      <c r="A59963" t="s">
        <v>18751</v>
      </c>
      <c r="B59963" t="str">
        <f>HYPERLINK("https://lindat.mff.cuni.cz/services/teitok/pdtc10/index.php?action=vallex&amp;frame=v-whsa_303hsa_304", "vysvětit (v-whsa_303hsa_304)")</f>
        <v>vysvětit (v-whsa_303hsa_304)</v>
      </c>
    </row>
    <row r="59964" spans="1:4" x14ac:dyDescent="0.2">
      <c r="B59964" t="s">
        <v>1</v>
      </c>
    </row>
    <row r="59965" spans="1:4" x14ac:dyDescent="0.2">
      <c r="B59965" t="s">
        <v>8</v>
      </c>
    </row>
    <row r="59967" spans="1:4" x14ac:dyDescent="0.2">
      <c r="A59967" t="s">
        <v>18752</v>
      </c>
      <c r="B59967" t="str">
        <f>HYPERLINK("https://lindat.mff.cuni.cz/services/teitok/pdtc10/index.php?action=vallex&amp;frame=v-w8418f1", "vysvětlit (v-w8418f1)")</f>
        <v>vysvětlit (v-w8418f1)</v>
      </c>
    </row>
    <row r="59968" spans="1:4" x14ac:dyDescent="0.2">
      <c r="B59968" t="s">
        <v>1</v>
      </c>
      <c r="C59968" t="s">
        <v>18753</v>
      </c>
      <c r="D59968" t="s">
        <v>6700</v>
      </c>
    </row>
    <row r="59969" spans="1:4" x14ac:dyDescent="0.2">
      <c r="B59969" t="s">
        <v>6701</v>
      </c>
      <c r="C59969" t="s">
        <v>1453</v>
      </c>
      <c r="D59969" t="s">
        <v>9067</v>
      </c>
    </row>
    <row r="59970" spans="1:4" x14ac:dyDescent="0.2">
      <c r="B59970" t="s">
        <v>35</v>
      </c>
      <c r="C59970" t="s">
        <v>18754</v>
      </c>
      <c r="D59970" t="s">
        <v>3185</v>
      </c>
    </row>
    <row r="59972" spans="1:4" x14ac:dyDescent="0.2">
      <c r="A59972" t="s">
        <v>18755</v>
      </c>
      <c r="B59972" t="str">
        <f>HYPERLINK("https://lindat.mff.cuni.cz/services/teitok/pdtc10/index.php?action=vallex&amp;frame=v-w8418hsa_544", "vysvětlit (v-w8418hsa_544)")</f>
        <v>vysvětlit (v-w8418hsa_544)</v>
      </c>
    </row>
    <row r="59973" spans="1:4" x14ac:dyDescent="0.2">
      <c r="B59973" t="s">
        <v>1</v>
      </c>
    </row>
    <row r="59974" spans="1:4" x14ac:dyDescent="0.2">
      <c r="B59974" t="s">
        <v>35</v>
      </c>
    </row>
    <row r="59975" spans="1:4" x14ac:dyDescent="0.2">
      <c r="B59975" t="s">
        <v>4751</v>
      </c>
    </row>
    <row r="59976" spans="1:4" x14ac:dyDescent="0.2">
      <c r="B59976" t="s">
        <v>269</v>
      </c>
    </row>
    <row r="59978" spans="1:4" x14ac:dyDescent="0.2">
      <c r="A59978" t="s">
        <v>18756</v>
      </c>
      <c r="B59978" t="str">
        <f>HYPERLINK("https://lindat.mff.cuni.cz/services/teitok/pdtc10/index.php?action=vallex&amp;frame=v-w8419f1", "vysvětlit si (v-w8419f1)")</f>
        <v>vysvětlit si (v-w8419f1)</v>
      </c>
    </row>
    <row r="59979" spans="1:4" x14ac:dyDescent="0.2">
      <c r="B59979" t="s">
        <v>1</v>
      </c>
      <c r="C59979" t="s">
        <v>109</v>
      </c>
      <c r="D59979" t="s">
        <v>23008</v>
      </c>
    </row>
    <row r="59980" spans="1:4" x14ac:dyDescent="0.2">
      <c r="B59980" t="s">
        <v>8</v>
      </c>
      <c r="C59980" t="s">
        <v>125</v>
      </c>
      <c r="D59980" t="s">
        <v>17729</v>
      </c>
    </row>
    <row r="59981" spans="1:4" x14ac:dyDescent="0.2">
      <c r="B59981" t="s">
        <v>415</v>
      </c>
      <c r="D59981" t="s">
        <v>23527</v>
      </c>
    </row>
    <row r="59982" spans="1:4" x14ac:dyDescent="0.2">
      <c r="B59982" t="s">
        <v>346</v>
      </c>
      <c r="D59982" t="s">
        <v>23309</v>
      </c>
    </row>
    <row r="59983" spans="1:4" x14ac:dyDescent="0.2">
      <c r="B59983" t="s">
        <v>348</v>
      </c>
      <c r="D59983" t="s">
        <v>23528</v>
      </c>
    </row>
    <row r="59984" spans="1:4" x14ac:dyDescent="0.2">
      <c r="B59984" t="s">
        <v>349</v>
      </c>
      <c r="D59984" t="s">
        <v>23310</v>
      </c>
    </row>
    <row r="59985" spans="1:4" x14ac:dyDescent="0.2">
      <c r="B59985" t="s">
        <v>350</v>
      </c>
      <c r="D59985" t="s">
        <v>23311</v>
      </c>
    </row>
    <row r="59986" spans="1:4" x14ac:dyDescent="0.2">
      <c r="B59986" t="s">
        <v>351</v>
      </c>
      <c r="D59986" t="s">
        <v>23312</v>
      </c>
    </row>
    <row r="59988" spans="1:4" x14ac:dyDescent="0.2">
      <c r="A59988" t="s">
        <v>18757</v>
      </c>
      <c r="B59988" t="str">
        <f>HYPERLINK("https://lindat.mff.cuni.cz/services/teitok/pdtc10/index.php?action=vallex&amp;frame=v-w8422f2_ZU", "vysvětlovat (v-w8422f2_ZU)")</f>
        <v>vysvětlovat (v-w8422f2_ZU)</v>
      </c>
    </row>
    <row r="59989" spans="1:4" x14ac:dyDescent="0.2">
      <c r="B59989" t="s">
        <v>1</v>
      </c>
      <c r="D59989" t="s">
        <v>6700</v>
      </c>
    </row>
    <row r="59990" spans="1:4" x14ac:dyDescent="0.2">
      <c r="B59990" t="s">
        <v>6701</v>
      </c>
      <c r="D59990" t="s">
        <v>9067</v>
      </c>
    </row>
    <row r="59991" spans="1:4" x14ac:dyDescent="0.2">
      <c r="B59991" t="s">
        <v>35</v>
      </c>
      <c r="D59991" t="s">
        <v>3185</v>
      </c>
    </row>
    <row r="59993" spans="1:4" x14ac:dyDescent="0.2">
      <c r="A59993" t="s">
        <v>18757</v>
      </c>
      <c r="B59993" t="str">
        <f>HYPERLINK("https://lindat.mff.cuni.cz/services/teitok/pdtc10/index.php?action=vallex&amp;frame=v-w8422f1", "vysvětlovat (v-w8422f1) - substituted with v-w8422f2_ZU")</f>
        <v>vysvětlovat (v-w8422f1) - substituted with v-w8422f2_ZU</v>
      </c>
    </row>
    <row r="59994" spans="1:4" x14ac:dyDescent="0.2">
      <c r="B59994" t="s">
        <v>1</v>
      </c>
      <c r="C59994" t="s">
        <v>18758</v>
      </c>
    </row>
    <row r="59995" spans="1:4" x14ac:dyDescent="0.2">
      <c r="B59995" t="s">
        <v>6701</v>
      </c>
      <c r="C59995" t="s">
        <v>18759</v>
      </c>
    </row>
    <row r="59996" spans="1:4" x14ac:dyDescent="0.2">
      <c r="B59996" t="s">
        <v>35</v>
      </c>
      <c r="C59996" t="s">
        <v>554</v>
      </c>
    </row>
    <row r="59998" spans="1:4" x14ac:dyDescent="0.2">
      <c r="A59998" t="s">
        <v>18760</v>
      </c>
      <c r="B59998" t="str">
        <f>HYPERLINK("https://lindat.mff.cuni.cz/services/teitok/pdtc10/index.php?action=vallex&amp;frame=v-w8422hsa_492", "vysvětlovat (v-w8422hsa_492)")</f>
        <v>vysvětlovat (v-w8422hsa_492)</v>
      </c>
    </row>
    <row r="59999" spans="1:4" x14ac:dyDescent="0.2">
      <c r="B59999" t="s">
        <v>1</v>
      </c>
    </row>
    <row r="60000" spans="1:4" x14ac:dyDescent="0.2">
      <c r="B60000" t="s">
        <v>8</v>
      </c>
    </row>
    <row r="60001" spans="1:4" x14ac:dyDescent="0.2">
      <c r="B60001" t="s">
        <v>775</v>
      </c>
    </row>
    <row r="60003" spans="1:4" x14ac:dyDescent="0.2">
      <c r="A60003" t="s">
        <v>18761</v>
      </c>
      <c r="B60003" t="str">
        <f>HYPERLINK("https://lindat.mff.cuni.cz/services/teitok/pdtc10/index.php?action=vallex&amp;frame=v-w8423f1", "vysvětlovat si (v-w8423f1)")</f>
        <v>vysvětlovat si (v-w8423f1)</v>
      </c>
    </row>
    <row r="60004" spans="1:4" x14ac:dyDescent="0.2">
      <c r="B60004" t="s">
        <v>1</v>
      </c>
    </row>
    <row r="60005" spans="1:4" x14ac:dyDescent="0.2">
      <c r="B60005" t="s">
        <v>8</v>
      </c>
    </row>
    <row r="60006" spans="1:4" x14ac:dyDescent="0.2">
      <c r="B60006" t="s">
        <v>415</v>
      </c>
    </row>
    <row r="60007" spans="1:4" x14ac:dyDescent="0.2">
      <c r="B60007" t="s">
        <v>346</v>
      </c>
    </row>
    <row r="60008" spans="1:4" x14ac:dyDescent="0.2">
      <c r="B60008" t="s">
        <v>348</v>
      </c>
    </row>
    <row r="60009" spans="1:4" x14ac:dyDescent="0.2">
      <c r="B60009" t="s">
        <v>349</v>
      </c>
    </row>
    <row r="60010" spans="1:4" x14ac:dyDescent="0.2">
      <c r="B60010" t="s">
        <v>350</v>
      </c>
    </row>
    <row r="60011" spans="1:4" x14ac:dyDescent="0.2">
      <c r="B60011" t="s">
        <v>351</v>
      </c>
    </row>
    <row r="60013" spans="1:4" x14ac:dyDescent="0.2">
      <c r="A60013" t="s">
        <v>18762</v>
      </c>
      <c r="B60013" t="str">
        <f>HYPERLINK("https://lindat.mff.cuni.cz/services/teitok/pdtc10/index.php?action=vallex&amp;frame=v-w8428f1", "vysychat (v-w8428f1)")</f>
        <v>vysychat (v-w8428f1)</v>
      </c>
    </row>
    <row r="60014" spans="1:4" x14ac:dyDescent="0.2">
      <c r="B60014" t="s">
        <v>1</v>
      </c>
      <c r="C60014" t="s">
        <v>201</v>
      </c>
      <c r="D60014" t="s">
        <v>553</v>
      </c>
    </row>
    <row r="60016" spans="1:4" x14ac:dyDescent="0.2">
      <c r="A60016" t="s">
        <v>18763</v>
      </c>
      <c r="B60016" t="str">
        <f>HYPERLINK("https://lindat.mff.cuni.cz/services/teitok/pdtc10/index.php?action=vallex&amp;frame=v-w8428hsa_180", "vysychat (v-w8428hsa_180)")</f>
        <v>vysychat (v-w8428hsa_180)</v>
      </c>
    </row>
    <row r="60017" spans="1:4" x14ac:dyDescent="0.2">
      <c r="B60017" t="s">
        <v>1</v>
      </c>
    </row>
    <row r="60019" spans="1:4" x14ac:dyDescent="0.2">
      <c r="A60019" t="s">
        <v>18764</v>
      </c>
      <c r="B60019" t="str">
        <f>HYPERLINK("https://lindat.mff.cuni.cz/services/teitok/pdtc10/index.php?action=vallex&amp;frame=v-w8429f4", "vysypat (v-w8429f4)")</f>
        <v>vysypat (v-w8429f4)</v>
      </c>
    </row>
    <row r="60020" spans="1:4" x14ac:dyDescent="0.2">
      <c r="B60020" t="s">
        <v>1</v>
      </c>
    </row>
    <row r="60021" spans="1:4" x14ac:dyDescent="0.2">
      <c r="B60021" t="s">
        <v>8</v>
      </c>
    </row>
    <row r="60022" spans="1:4" x14ac:dyDescent="0.2">
      <c r="B60022" t="s">
        <v>333</v>
      </c>
    </row>
    <row r="60024" spans="1:4" x14ac:dyDescent="0.2">
      <c r="A60024" t="s">
        <v>18765</v>
      </c>
      <c r="B60024" t="str">
        <f>HYPERLINK("https://lindat.mff.cuni.cz/services/teitok/pdtc10/index.php?action=vallex&amp;frame=v-w8429f1", "vysypat (v-w8429f1)")</f>
        <v>vysypat (v-w8429f1)</v>
      </c>
    </row>
    <row r="60025" spans="1:4" x14ac:dyDescent="0.2">
      <c r="B60025" t="s">
        <v>1</v>
      </c>
      <c r="C60025" t="s">
        <v>964</v>
      </c>
      <c r="D60025" t="s">
        <v>1077</v>
      </c>
    </row>
    <row r="60026" spans="1:4" x14ac:dyDescent="0.2">
      <c r="B60026" t="s">
        <v>8</v>
      </c>
      <c r="C60026" t="s">
        <v>6123</v>
      </c>
      <c r="D60026" t="s">
        <v>3324</v>
      </c>
    </row>
    <row r="60027" spans="1:4" x14ac:dyDescent="0.2">
      <c r="B60027" t="s">
        <v>90</v>
      </c>
    </row>
    <row r="60029" spans="1:4" x14ac:dyDescent="0.2">
      <c r="A60029" t="s">
        <v>18766</v>
      </c>
      <c r="B60029" t="str">
        <f>HYPERLINK("https://lindat.mff.cuni.cz/services/teitok/pdtc10/index.php?action=vallex&amp;frame=v-w8429f3", "vysypat (v-w8429f3)")</f>
        <v>vysypat (v-w8429f3)</v>
      </c>
    </row>
    <row r="60030" spans="1:4" x14ac:dyDescent="0.2">
      <c r="B60030" t="s">
        <v>1</v>
      </c>
    </row>
    <row r="60031" spans="1:4" x14ac:dyDescent="0.2">
      <c r="B60031" t="s">
        <v>8</v>
      </c>
    </row>
    <row r="60033" spans="1:4" x14ac:dyDescent="0.2">
      <c r="A60033" t="s">
        <v>18767</v>
      </c>
      <c r="B60033" t="str">
        <f>HYPERLINK("https://lindat.mff.cuni.cz/services/teitok/pdtc10/index.php?action=vallex&amp;frame=v-w8429f2", "vysypat (v-w8429f2)")</f>
        <v>vysypat (v-w8429f2)</v>
      </c>
    </row>
    <row r="60034" spans="1:4" x14ac:dyDescent="0.2">
      <c r="B60034" t="s">
        <v>1</v>
      </c>
      <c r="D60034" t="s">
        <v>140</v>
      </c>
    </row>
    <row r="60035" spans="1:4" x14ac:dyDescent="0.2">
      <c r="B60035" t="s">
        <v>8</v>
      </c>
      <c r="C60035" t="s">
        <v>1128</v>
      </c>
      <c r="D60035" t="s">
        <v>84</v>
      </c>
    </row>
    <row r="60037" spans="1:4" x14ac:dyDescent="0.2">
      <c r="A60037" t="s">
        <v>18768</v>
      </c>
      <c r="B60037" t="str">
        <f>HYPERLINK("https://lindat.mff.cuni.cz/services/teitok/pdtc10/index.php?action=vallex&amp;frame=v-w8429f5_ZU", "vysypat (v-w8429f5_ZU)")</f>
        <v>vysypat (v-w8429f5_ZU)</v>
      </c>
    </row>
    <row r="60038" spans="1:4" x14ac:dyDescent="0.2">
      <c r="B60038" t="s">
        <v>1</v>
      </c>
    </row>
    <row r="60039" spans="1:4" x14ac:dyDescent="0.2">
      <c r="B60039" t="s">
        <v>35</v>
      </c>
    </row>
    <row r="60040" spans="1:4" x14ac:dyDescent="0.2">
      <c r="B60040" t="s">
        <v>4751</v>
      </c>
    </row>
    <row r="60041" spans="1:4" x14ac:dyDescent="0.2">
      <c r="B60041" t="s">
        <v>269</v>
      </c>
    </row>
    <row r="60043" spans="1:4" x14ac:dyDescent="0.2">
      <c r="A60043" t="s">
        <v>18768</v>
      </c>
      <c r="B60043" t="str">
        <f>HYPERLINK("https://lindat.mff.cuni.cz/services/teitok/pdtc10/index.php?action=vallex&amp;frame=v-w8429hsa_628", "vysypat (v-w8429hsa_628) - substituted with v-w8429f5_ZU")</f>
        <v>vysypat (v-w8429hsa_628) - substituted with v-w8429f5_ZU</v>
      </c>
    </row>
    <row r="60044" spans="1:4" x14ac:dyDescent="0.2">
      <c r="B60044" t="s">
        <v>1</v>
      </c>
    </row>
    <row r="60045" spans="1:4" x14ac:dyDescent="0.2">
      <c r="B60045" t="s">
        <v>35</v>
      </c>
    </row>
    <row r="60046" spans="1:4" x14ac:dyDescent="0.2">
      <c r="B60046" t="s">
        <v>4751</v>
      </c>
    </row>
    <row r="60047" spans="1:4" x14ac:dyDescent="0.2">
      <c r="B60047" t="s">
        <v>269</v>
      </c>
    </row>
    <row r="60049" spans="1:4" x14ac:dyDescent="0.2">
      <c r="A60049" t="s">
        <v>18769</v>
      </c>
      <c r="B60049" t="str">
        <f>HYPERLINK("https://lindat.mff.cuni.cz/services/teitok/pdtc10/index.php?action=vallex&amp;frame=v-w8430f1", "vysypat se (v-w8430f1)")</f>
        <v>vysypat se (v-w8430f1)</v>
      </c>
    </row>
    <row r="60050" spans="1:4" x14ac:dyDescent="0.2">
      <c r="B60050" t="s">
        <v>1</v>
      </c>
    </row>
    <row r="60052" spans="1:4" x14ac:dyDescent="0.2">
      <c r="A60052" t="s">
        <v>18770</v>
      </c>
      <c r="B60052" t="str">
        <f>HYPERLINK("https://lindat.mff.cuni.cz/services/teitok/pdtc10/index.php?action=vallex&amp;frame=v-w10436f2", "vysypávat (v-w10436f2)")</f>
        <v>vysypávat (v-w10436f2)</v>
      </c>
    </row>
    <row r="60053" spans="1:4" x14ac:dyDescent="0.2">
      <c r="B60053" t="s">
        <v>1</v>
      </c>
      <c r="D60053" t="s">
        <v>1077</v>
      </c>
    </row>
    <row r="60054" spans="1:4" x14ac:dyDescent="0.2">
      <c r="B60054" t="s">
        <v>8</v>
      </c>
      <c r="C60054" t="s">
        <v>23</v>
      </c>
      <c r="D60054" t="s">
        <v>3324</v>
      </c>
    </row>
    <row r="60055" spans="1:4" x14ac:dyDescent="0.2">
      <c r="B60055" t="s">
        <v>90</v>
      </c>
    </row>
    <row r="60057" spans="1:4" x14ac:dyDescent="0.2">
      <c r="A60057" t="s">
        <v>18771</v>
      </c>
      <c r="B60057" t="str">
        <f>HYPERLINK("https://lindat.mff.cuni.cz/services/teitok/pdtc10/index.php?action=vallex&amp;frame=v-w10436f3", "vysypávat (v-w10436f3)")</f>
        <v>vysypávat (v-w10436f3)</v>
      </c>
    </row>
    <row r="60058" spans="1:4" x14ac:dyDescent="0.2">
      <c r="B60058" t="s">
        <v>1</v>
      </c>
      <c r="C60058" t="s">
        <v>140</v>
      </c>
      <c r="D60058" t="s">
        <v>140</v>
      </c>
    </row>
    <row r="60059" spans="1:4" x14ac:dyDescent="0.2">
      <c r="B60059" t="s">
        <v>8</v>
      </c>
      <c r="C60059" t="s">
        <v>991</v>
      </c>
      <c r="D60059" t="s">
        <v>84</v>
      </c>
    </row>
    <row r="60061" spans="1:4" x14ac:dyDescent="0.2">
      <c r="A60061" t="s">
        <v>18772</v>
      </c>
      <c r="B60061" t="str">
        <f>HYPERLINK("https://lindat.mff.cuni.cz/services/teitok/pdtc10/index.php?action=vallex&amp;frame=v-w10436f4_ZU", "vysypávat (v-w10436f4_ZU)")</f>
        <v>vysypávat (v-w10436f4_ZU)</v>
      </c>
    </row>
    <row r="60062" spans="1:4" x14ac:dyDescent="0.2">
      <c r="B60062" t="s">
        <v>1</v>
      </c>
    </row>
    <row r="60063" spans="1:4" x14ac:dyDescent="0.2">
      <c r="B60063" t="s">
        <v>8</v>
      </c>
    </row>
    <row r="60065" spans="1:4" x14ac:dyDescent="0.2">
      <c r="A60065" t="s">
        <v>18772</v>
      </c>
      <c r="B60065" t="str">
        <f>HYPERLINK("https://lindat.mff.cuni.cz/services/teitok/pdtc10/index.php?action=vallex&amp;frame=v-w10436hsa_1229", "vysypávat (v-w10436hsa_1229) - substituted with v-w10436f4_ZU")</f>
        <v>vysypávat (v-w10436hsa_1229) - substituted with v-w10436f4_ZU</v>
      </c>
    </row>
    <row r="60066" spans="1:4" x14ac:dyDescent="0.2">
      <c r="B60066" t="s">
        <v>1</v>
      </c>
    </row>
    <row r="60067" spans="1:4" x14ac:dyDescent="0.2">
      <c r="B60067" t="s">
        <v>8</v>
      </c>
    </row>
    <row r="60069" spans="1:4" x14ac:dyDescent="0.2">
      <c r="A60069" t="s">
        <v>18773</v>
      </c>
      <c r="B60069" t="str">
        <f>HYPERLINK("https://lindat.mff.cuni.cz/services/teitok/pdtc10/index.php?action=vallex&amp;frame=v-w11313f1", "vysypávat se (v-w11313f1)")</f>
        <v>vysypávat se (v-w11313f1)</v>
      </c>
    </row>
    <row r="60070" spans="1:4" x14ac:dyDescent="0.2">
      <c r="B60070" t="s">
        <v>1</v>
      </c>
    </row>
    <row r="60072" spans="1:4" x14ac:dyDescent="0.2">
      <c r="A60072" t="s">
        <v>18774</v>
      </c>
      <c r="B60072" t="str">
        <f>HYPERLINK("https://lindat.mff.cuni.cz/services/teitok/pdtc10/index.php?action=vallex&amp;frame=v-w10307f2", "vysát (v-w10307f2)")</f>
        <v>vysát (v-w10307f2)</v>
      </c>
    </row>
    <row r="60073" spans="1:4" x14ac:dyDescent="0.2">
      <c r="B60073" t="s">
        <v>1</v>
      </c>
      <c r="C60073" t="s">
        <v>140</v>
      </c>
      <c r="D60073" t="s">
        <v>140</v>
      </c>
    </row>
    <row r="60074" spans="1:4" x14ac:dyDescent="0.2">
      <c r="B60074" t="s">
        <v>8</v>
      </c>
      <c r="C60074" t="s">
        <v>34</v>
      </c>
      <c r="D60074" t="s">
        <v>20757</v>
      </c>
    </row>
    <row r="60075" spans="1:4" x14ac:dyDescent="0.2">
      <c r="B60075" t="s">
        <v>333</v>
      </c>
    </row>
    <row r="60077" spans="1:4" x14ac:dyDescent="0.2">
      <c r="A60077" t="s">
        <v>18775</v>
      </c>
      <c r="B60077" t="str">
        <f>HYPERLINK("https://lindat.mff.cuni.cz/services/teitok/pdtc10/index.php?action=vallex&amp;frame=v-w10307f3", "vysát (v-w10307f3)")</f>
        <v>vysát (v-w10307f3)</v>
      </c>
    </row>
    <row r="60078" spans="1:4" x14ac:dyDescent="0.2">
      <c r="B60078" t="s">
        <v>1</v>
      </c>
      <c r="C60078" t="s">
        <v>249</v>
      </c>
      <c r="D60078" t="s">
        <v>115</v>
      </c>
    </row>
    <row r="60079" spans="1:4" x14ac:dyDescent="0.2">
      <c r="B60079" t="s">
        <v>8</v>
      </c>
      <c r="C60079" t="s">
        <v>3086</v>
      </c>
      <c r="D60079" t="s">
        <v>2213</v>
      </c>
    </row>
    <row r="60081" spans="1:4" x14ac:dyDescent="0.2">
      <c r="A60081" t="s">
        <v>18776</v>
      </c>
      <c r="B60081" t="str">
        <f>HYPERLINK("https://lindat.mff.cuni.cz/services/teitok/pdtc10/index.php?action=vallex&amp;frame=v-w8336f1", "vysávat (v-w8336f1)")</f>
        <v>vysávat (v-w8336f1)</v>
      </c>
    </row>
    <row r="60082" spans="1:4" x14ac:dyDescent="0.2">
      <c r="B60082" t="s">
        <v>1</v>
      </c>
    </row>
    <row r="60083" spans="1:4" x14ac:dyDescent="0.2">
      <c r="B60083" t="s">
        <v>8</v>
      </c>
    </row>
    <row r="60084" spans="1:4" x14ac:dyDescent="0.2">
      <c r="B60084" t="s">
        <v>333</v>
      </c>
    </row>
    <row r="60086" spans="1:4" x14ac:dyDescent="0.2">
      <c r="A60086" t="s">
        <v>18777</v>
      </c>
      <c r="B60086" t="str">
        <f>HYPERLINK("https://lindat.mff.cuni.cz/services/teitok/pdtc10/index.php?action=vallex&amp;frame=v-w8336f3", "vysávat (v-w8336f3)")</f>
        <v>vysávat (v-w8336f3)</v>
      </c>
    </row>
    <row r="60087" spans="1:4" x14ac:dyDescent="0.2">
      <c r="B60087" t="s">
        <v>1</v>
      </c>
      <c r="D60087" t="s">
        <v>115</v>
      </c>
    </row>
    <row r="60088" spans="1:4" x14ac:dyDescent="0.2">
      <c r="B60088" t="s">
        <v>8</v>
      </c>
      <c r="D60088" t="s">
        <v>2213</v>
      </c>
    </row>
    <row r="60090" spans="1:4" x14ac:dyDescent="0.2">
      <c r="A60090" t="s">
        <v>18778</v>
      </c>
      <c r="B60090" t="str">
        <f>HYPERLINK("https://lindat.mff.cuni.cz/services/teitok/pdtc10/index.php?action=vallex&amp;frame=v-w8336f4", "vysávat (v-w8336f4)")</f>
        <v>vysávat (v-w8336f4)</v>
      </c>
    </row>
    <row r="60091" spans="1:4" x14ac:dyDescent="0.2">
      <c r="B60091" t="s">
        <v>1</v>
      </c>
      <c r="D60091" t="s">
        <v>115</v>
      </c>
    </row>
    <row r="60092" spans="1:4" x14ac:dyDescent="0.2">
      <c r="B60092" t="s">
        <v>8</v>
      </c>
      <c r="C60092" t="s">
        <v>113</v>
      </c>
      <c r="D60092" t="s">
        <v>2213</v>
      </c>
    </row>
    <row r="60094" spans="1:4" x14ac:dyDescent="0.2">
      <c r="A60094" t="s">
        <v>18779</v>
      </c>
      <c r="B60094" t="str">
        <f>HYPERLINK("https://lindat.mff.cuni.cz/services/teitok/pdtc10/index.php?action=vallex&amp;frame=v-w11168f3", "vysázet (v-w11168f3)")</f>
        <v>vysázet (v-w11168f3)</v>
      </c>
    </row>
    <row r="60095" spans="1:4" x14ac:dyDescent="0.2">
      <c r="B60095" t="s">
        <v>1</v>
      </c>
      <c r="C60095" t="s">
        <v>140</v>
      </c>
      <c r="D60095" t="s">
        <v>23781</v>
      </c>
    </row>
    <row r="60096" spans="1:4" x14ac:dyDescent="0.2">
      <c r="B60096" t="s">
        <v>8</v>
      </c>
      <c r="C60096" t="s">
        <v>113</v>
      </c>
      <c r="D60096" t="s">
        <v>24398</v>
      </c>
    </row>
    <row r="60097" spans="1:4" x14ac:dyDescent="0.2">
      <c r="B60097" t="s">
        <v>35</v>
      </c>
      <c r="D60097" t="s">
        <v>24399</v>
      </c>
    </row>
    <row r="60099" spans="1:4" x14ac:dyDescent="0.2">
      <c r="A60099" t="s">
        <v>18780</v>
      </c>
      <c r="B60099" t="str">
        <f>HYPERLINK("https://lindat.mff.cuni.cz/services/teitok/pdtc10/index.php?action=vallex&amp;frame=v-w11168f2", "vysázet (v-w11168f2)")</f>
        <v>vysázet (v-w11168f2)</v>
      </c>
    </row>
    <row r="60100" spans="1:4" x14ac:dyDescent="0.2">
      <c r="B60100" t="s">
        <v>1</v>
      </c>
      <c r="C60100" t="s">
        <v>2239</v>
      </c>
    </row>
    <row r="60101" spans="1:4" x14ac:dyDescent="0.2">
      <c r="B60101" t="s">
        <v>8</v>
      </c>
      <c r="C60101" t="s">
        <v>1066</v>
      </c>
    </row>
    <row r="60103" spans="1:4" x14ac:dyDescent="0.2">
      <c r="A60103" t="s">
        <v>18781</v>
      </c>
      <c r="B60103" t="str">
        <f>HYPERLINK("https://lindat.mff.cuni.cz/services/teitok/pdtc10/index.php?action=vallex&amp;frame=v-w8345f4_ZU", "vysílat (v-w8345f4_ZU)")</f>
        <v>vysílat (v-w8345f4_ZU)</v>
      </c>
    </row>
    <row r="60104" spans="1:4" x14ac:dyDescent="0.2">
      <c r="B60104" t="s">
        <v>1</v>
      </c>
      <c r="C60104" t="s">
        <v>18782</v>
      </c>
    </row>
    <row r="60105" spans="1:4" x14ac:dyDescent="0.2">
      <c r="B60105" t="s">
        <v>8</v>
      </c>
      <c r="C60105" t="s">
        <v>18783</v>
      </c>
    </row>
    <row r="60106" spans="1:4" x14ac:dyDescent="0.2">
      <c r="B60106" t="s">
        <v>35</v>
      </c>
      <c r="C60106" t="s">
        <v>2488</v>
      </c>
    </row>
    <row r="60108" spans="1:4" x14ac:dyDescent="0.2">
      <c r="A60108" t="s">
        <v>18784</v>
      </c>
      <c r="B60108" t="str">
        <f>HYPERLINK("https://lindat.mff.cuni.cz/services/teitok/pdtc10/index.php?action=vallex&amp;frame=v-w8345f2", "vysílat (v-w8345f2)")</f>
        <v>vysílat (v-w8345f2)</v>
      </c>
    </row>
    <row r="60109" spans="1:4" x14ac:dyDescent="0.2">
      <c r="B60109" t="s">
        <v>1</v>
      </c>
      <c r="C60109" t="s">
        <v>7346</v>
      </c>
      <c r="D60109" t="s">
        <v>8003</v>
      </c>
    </row>
    <row r="60110" spans="1:4" x14ac:dyDescent="0.2">
      <c r="B60110" t="s">
        <v>8</v>
      </c>
      <c r="C60110" t="s">
        <v>93</v>
      </c>
      <c r="D60110" t="s">
        <v>23102</v>
      </c>
    </row>
    <row r="60111" spans="1:4" x14ac:dyDescent="0.2">
      <c r="B60111" t="s">
        <v>90</v>
      </c>
      <c r="C60111" t="s">
        <v>7123</v>
      </c>
      <c r="D60111" t="s">
        <v>23177</v>
      </c>
    </row>
    <row r="60113" spans="1:4" x14ac:dyDescent="0.2">
      <c r="A60113" t="s">
        <v>18785</v>
      </c>
      <c r="B60113" t="str">
        <f>HYPERLINK("https://lindat.mff.cuni.cz/services/teitok/pdtc10/index.php?action=vallex&amp;frame=v-w8345f1", "vysílat (v-w8345f1)")</f>
        <v>vysílat (v-w8345f1)</v>
      </c>
    </row>
    <row r="60114" spans="1:4" x14ac:dyDescent="0.2">
      <c r="B60114" t="s">
        <v>1</v>
      </c>
      <c r="C60114" t="s">
        <v>18786</v>
      </c>
      <c r="D60114" t="s">
        <v>23690</v>
      </c>
    </row>
    <row r="60115" spans="1:4" x14ac:dyDescent="0.2">
      <c r="B60115" t="s">
        <v>8</v>
      </c>
      <c r="C60115" t="s">
        <v>18787</v>
      </c>
      <c r="D60115" t="s">
        <v>1798</v>
      </c>
    </row>
    <row r="60117" spans="1:4" x14ac:dyDescent="0.2">
      <c r="A60117" t="s">
        <v>18788</v>
      </c>
      <c r="B60117" t="str">
        <f>HYPERLINK("https://lindat.mff.cuni.cz/services/teitok/pdtc10/index.php?action=vallex&amp;frame=v-w8345f3", "vysílat (v-w8345f3)")</f>
        <v>vysílat (v-w8345f3)</v>
      </c>
    </row>
    <row r="60118" spans="1:4" x14ac:dyDescent="0.2">
      <c r="B60118" t="s">
        <v>1</v>
      </c>
      <c r="C60118" t="s">
        <v>230</v>
      </c>
    </row>
    <row r="60119" spans="1:4" x14ac:dyDescent="0.2">
      <c r="B60119" t="s">
        <v>8</v>
      </c>
      <c r="C60119" t="s">
        <v>3040</v>
      </c>
    </row>
    <row r="60121" spans="1:4" x14ac:dyDescent="0.2">
      <c r="A60121" t="s">
        <v>18789</v>
      </c>
      <c r="B60121" t="str">
        <f>HYPERLINK("https://lindat.mff.cuni.cz/services/teitok/pdtc10/index.php?action=vallex&amp;frame=v-whsa_1999hsa_2000", "vysýpat (v-whsa_1999hsa_2000)")</f>
        <v>vysýpat (v-whsa_1999hsa_2000)</v>
      </c>
    </row>
    <row r="60122" spans="1:4" x14ac:dyDescent="0.2">
      <c r="B60122" t="s">
        <v>1</v>
      </c>
    </row>
    <row r="60123" spans="1:4" x14ac:dyDescent="0.2">
      <c r="B60123" t="s">
        <v>8</v>
      </c>
    </row>
    <row r="60125" spans="1:4" x14ac:dyDescent="0.2">
      <c r="A60125" t="s">
        <v>18790</v>
      </c>
      <c r="B60125" t="str">
        <f>HYPERLINK("https://lindat.mff.cuni.cz/services/teitok/pdtc10/index.php?action=vallex&amp;frame=v-w8455f1", "vytahat (v-w8455f1)")</f>
        <v>vytahat (v-w8455f1)</v>
      </c>
    </row>
    <row r="60126" spans="1:4" x14ac:dyDescent="0.2">
      <c r="B60126" t="s">
        <v>1</v>
      </c>
    </row>
    <row r="60127" spans="1:4" x14ac:dyDescent="0.2">
      <c r="B60127" t="s">
        <v>8</v>
      </c>
    </row>
    <row r="60128" spans="1:4" x14ac:dyDescent="0.2">
      <c r="B60128" t="s">
        <v>333</v>
      </c>
    </row>
    <row r="60130" spans="1:4" x14ac:dyDescent="0.2">
      <c r="A60130" t="s">
        <v>18791</v>
      </c>
      <c r="B60130" t="str">
        <f>HYPERLINK("https://lindat.mff.cuni.cz/services/teitok/pdtc10/index.php?action=vallex&amp;frame=v-w8458f4_ZU", "vytahovat (v-w8458f4_ZU)")</f>
        <v>vytahovat (v-w8458f4_ZU)</v>
      </c>
    </row>
    <row r="60131" spans="1:4" x14ac:dyDescent="0.2">
      <c r="B60131" t="s">
        <v>1</v>
      </c>
    </row>
    <row r="60132" spans="1:4" x14ac:dyDescent="0.2">
      <c r="B60132" t="s">
        <v>8</v>
      </c>
    </row>
    <row r="60133" spans="1:4" x14ac:dyDescent="0.2">
      <c r="B60133" t="s">
        <v>333</v>
      </c>
    </row>
    <row r="60135" spans="1:4" x14ac:dyDescent="0.2">
      <c r="A60135" t="s">
        <v>18791</v>
      </c>
      <c r="B60135" t="str">
        <f>HYPERLINK("https://lindat.mff.cuni.cz/services/teitok/pdtc10/index.php?action=vallex&amp;frame=v-w8458f1", "vytahovat (v-w8458f1) - substituted with v-w8458f4_ZU")</f>
        <v>vytahovat (v-w8458f1) - substituted with v-w8458f4_ZU</v>
      </c>
    </row>
    <row r="60136" spans="1:4" x14ac:dyDescent="0.2">
      <c r="B60136" t="s">
        <v>1</v>
      </c>
      <c r="C60136" t="s">
        <v>2303</v>
      </c>
      <c r="D60136" t="s">
        <v>7346</v>
      </c>
    </row>
    <row r="60137" spans="1:4" x14ac:dyDescent="0.2">
      <c r="B60137" t="s">
        <v>8</v>
      </c>
      <c r="C60137" t="s">
        <v>125</v>
      </c>
      <c r="D60137" t="s">
        <v>5975</v>
      </c>
    </row>
    <row r="60138" spans="1:4" x14ac:dyDescent="0.2">
      <c r="B60138" t="s">
        <v>333</v>
      </c>
      <c r="C60138" t="s">
        <v>7105</v>
      </c>
      <c r="D60138" t="s">
        <v>24416</v>
      </c>
    </row>
    <row r="60140" spans="1:4" x14ac:dyDescent="0.2">
      <c r="A60140" t="s">
        <v>18792</v>
      </c>
      <c r="B60140" t="str">
        <f>HYPERLINK("https://lindat.mff.cuni.cz/services/teitok/pdtc10/index.php?action=vallex&amp;frame=v-w8458f2", "vytahovat (v-w8458f2)")</f>
        <v>vytahovat (v-w8458f2)</v>
      </c>
    </row>
    <row r="60141" spans="1:4" x14ac:dyDescent="0.2">
      <c r="B60141" t="s">
        <v>1</v>
      </c>
    </row>
    <row r="60142" spans="1:4" x14ac:dyDescent="0.2">
      <c r="B60142" t="s">
        <v>41</v>
      </c>
    </row>
    <row r="60144" spans="1:4" x14ac:dyDescent="0.2">
      <c r="A60144" t="s">
        <v>18793</v>
      </c>
      <c r="B60144" t="str">
        <f>HYPERLINK("https://lindat.mff.cuni.cz/services/teitok/pdtc10/index.php?action=vallex&amp;frame=v-w8458f3_ZU", "vytahovat (v-w8458f3_ZU)")</f>
        <v>vytahovat (v-w8458f3_ZU)</v>
      </c>
    </row>
    <row r="60145" spans="1:2" x14ac:dyDescent="0.2">
      <c r="B60145" t="s">
        <v>1</v>
      </c>
    </row>
    <row r="60146" spans="1:2" x14ac:dyDescent="0.2">
      <c r="B60146" t="s">
        <v>8</v>
      </c>
    </row>
    <row r="60147" spans="1:2" x14ac:dyDescent="0.2">
      <c r="B60147" t="s">
        <v>2918</v>
      </c>
    </row>
    <row r="60149" spans="1:2" x14ac:dyDescent="0.2">
      <c r="A60149" t="s">
        <v>18794</v>
      </c>
      <c r="B60149" t="str">
        <f>HYPERLINK("https://lindat.mff.cuni.cz/services/teitok/pdtc10/index.php?action=vallex&amp;frame=v-w8458f5_ZU", "vytahovat (v-w8458f5_ZU)")</f>
        <v>vytahovat (v-w8458f5_ZU)</v>
      </c>
    </row>
    <row r="60150" spans="1:2" x14ac:dyDescent="0.2">
      <c r="B60150" t="s">
        <v>1</v>
      </c>
    </row>
    <row r="60151" spans="1:2" x14ac:dyDescent="0.2">
      <c r="B60151" t="s">
        <v>8</v>
      </c>
    </row>
    <row r="60152" spans="1:2" x14ac:dyDescent="0.2">
      <c r="B60152" t="s">
        <v>252</v>
      </c>
    </row>
    <row r="60154" spans="1:2" x14ac:dyDescent="0.2">
      <c r="A60154" t="s">
        <v>18795</v>
      </c>
      <c r="B60154" t="str">
        <f>HYPERLINK("https://lindat.mff.cuni.cz/services/teitok/pdtc10/index.php?action=vallex&amp;frame=v-whsa_1260f1_ZU", "vytahovat se (v-whsa_1260f1_ZU)")</f>
        <v>vytahovat se (v-whsa_1260f1_ZU)</v>
      </c>
    </row>
    <row r="60155" spans="1:2" x14ac:dyDescent="0.2">
      <c r="B60155" t="s">
        <v>1</v>
      </c>
    </row>
    <row r="60156" spans="1:2" x14ac:dyDescent="0.2">
      <c r="B60156" t="s">
        <v>215</v>
      </c>
    </row>
    <row r="60157" spans="1:2" x14ac:dyDescent="0.2">
      <c r="B60157" t="s">
        <v>216</v>
      </c>
    </row>
    <row r="60159" spans="1:2" x14ac:dyDescent="0.2">
      <c r="A60159" t="s">
        <v>18795</v>
      </c>
      <c r="B60159" t="str">
        <f>HYPERLINK("https://lindat.mff.cuni.cz/services/teitok/pdtc10/index.php?action=vallex&amp;frame=v-whsb_1260hsa_1261", "vytahovat se (v-whsb_1260hsa_1261) - substituted with v-whsa_1260f1_ZU")</f>
        <v>vytahovat se (v-whsb_1260hsa_1261) - substituted with v-whsa_1260f1_ZU</v>
      </c>
    </row>
    <row r="60160" spans="1:2" x14ac:dyDescent="0.2">
      <c r="B60160" t="s">
        <v>1</v>
      </c>
    </row>
    <row r="60161" spans="1:2" x14ac:dyDescent="0.2">
      <c r="B60161" t="s">
        <v>215</v>
      </c>
    </row>
    <row r="60162" spans="1:2" x14ac:dyDescent="0.2">
      <c r="B60162" t="s">
        <v>216</v>
      </c>
    </row>
    <row r="60164" spans="1:2" x14ac:dyDescent="0.2">
      <c r="A60164" t="s">
        <v>18796</v>
      </c>
      <c r="B60164" t="str">
        <f>HYPERLINK("https://lindat.mff.cuni.cz/services/teitok/pdtc10/index.php?action=vallex&amp;frame=v-whsb_896hsa_897", "vytancovat se (v-whsb_896hsa_897)")</f>
        <v>vytancovat se (v-whsb_896hsa_897)</v>
      </c>
    </row>
    <row r="60165" spans="1:2" x14ac:dyDescent="0.2">
      <c r="B60165" t="s">
        <v>1</v>
      </c>
    </row>
    <row r="60167" spans="1:2" x14ac:dyDescent="0.2">
      <c r="A60167" t="s">
        <v>18797</v>
      </c>
      <c r="B60167" t="str">
        <f>HYPERLINK("https://lindat.mff.cuni.cz/services/teitok/pdtc10/index.php?action=vallex&amp;frame=v-w8459f1", "vytanout (v-w8459f1)")</f>
        <v>vytanout (v-w8459f1)</v>
      </c>
    </row>
    <row r="60168" spans="1:2" x14ac:dyDescent="0.2">
      <c r="B60168" t="s">
        <v>488</v>
      </c>
    </row>
    <row r="60169" spans="1:2" x14ac:dyDescent="0.2">
      <c r="B60169" t="s">
        <v>5060</v>
      </c>
    </row>
    <row r="60170" spans="1:2" x14ac:dyDescent="0.2">
      <c r="B60170" t="s">
        <v>103</v>
      </c>
    </row>
    <row r="60172" spans="1:2" x14ac:dyDescent="0.2">
      <c r="A60172" t="s">
        <v>18798</v>
      </c>
      <c r="B60172" t="str">
        <f>HYPERLINK("https://lindat.mff.cuni.cz/services/teitok/pdtc10/index.php?action=vallex&amp;frame=v-w8459f2", "vytanout (v-w8459f2)")</f>
        <v>vytanout (v-w8459f2)</v>
      </c>
    </row>
    <row r="60173" spans="1:2" x14ac:dyDescent="0.2">
      <c r="B60173" t="s">
        <v>488</v>
      </c>
    </row>
    <row r="60174" spans="1:2" x14ac:dyDescent="0.2">
      <c r="B60174" t="s">
        <v>18799</v>
      </c>
    </row>
    <row r="60175" spans="1:2" x14ac:dyDescent="0.2">
      <c r="B60175" t="s">
        <v>103</v>
      </c>
    </row>
    <row r="60177" spans="1:2" x14ac:dyDescent="0.2">
      <c r="A60177" t="s">
        <v>18800</v>
      </c>
      <c r="B60177" t="str">
        <f>HYPERLINK("https://lindat.mff.cuni.cz/services/teitok/pdtc10/index.php?action=vallex&amp;frame=v-w8462f1", "vytasit (v-w8462f1)")</f>
        <v>vytasit (v-w8462f1)</v>
      </c>
    </row>
    <row r="60178" spans="1:2" x14ac:dyDescent="0.2">
      <c r="B60178" t="s">
        <v>1</v>
      </c>
    </row>
    <row r="60179" spans="1:2" x14ac:dyDescent="0.2">
      <c r="B60179" t="s">
        <v>8</v>
      </c>
    </row>
    <row r="60180" spans="1:2" x14ac:dyDescent="0.2">
      <c r="B60180" t="s">
        <v>333</v>
      </c>
    </row>
    <row r="60182" spans="1:2" x14ac:dyDescent="0.2">
      <c r="A60182" t="s">
        <v>18801</v>
      </c>
      <c r="B60182" t="str">
        <f>HYPERLINK("https://lindat.mff.cuni.cz/services/teitok/pdtc10/index.php?action=vallex&amp;frame=v-w8463f1", "vytasit se (v-w8463f1)")</f>
        <v>vytasit se (v-w8463f1)</v>
      </c>
    </row>
    <row r="60183" spans="1:2" x14ac:dyDescent="0.2">
      <c r="B60183" t="s">
        <v>1</v>
      </c>
    </row>
    <row r="60184" spans="1:2" x14ac:dyDescent="0.2">
      <c r="B60184" t="s">
        <v>411</v>
      </c>
    </row>
    <row r="60186" spans="1:2" x14ac:dyDescent="0.2">
      <c r="A60186" t="s">
        <v>18802</v>
      </c>
      <c r="B60186" t="str">
        <f>HYPERLINK("https://lindat.mff.cuni.cz/services/teitok/pdtc10/index.php?action=vallex&amp;frame=v-w8467f1", "vytempovat (v-w8467f1)")</f>
        <v>vytempovat (v-w8467f1)</v>
      </c>
    </row>
    <row r="60187" spans="1:2" x14ac:dyDescent="0.2">
      <c r="B60187" t="s">
        <v>1</v>
      </c>
    </row>
    <row r="60188" spans="1:2" x14ac:dyDescent="0.2">
      <c r="B60188" t="s">
        <v>8</v>
      </c>
    </row>
    <row r="60190" spans="1:2" x14ac:dyDescent="0.2">
      <c r="A60190" t="s">
        <v>18803</v>
      </c>
      <c r="B60190" t="str">
        <f>HYPERLINK("https://lindat.mff.cuni.cz/services/teitok/pdtc10/index.php?action=vallex&amp;frame=v-w8468f1", "vytesat (v-w8468f1)")</f>
        <v>vytesat (v-w8468f1)</v>
      </c>
    </row>
    <row r="60191" spans="1:2" x14ac:dyDescent="0.2">
      <c r="B60191" t="s">
        <v>1</v>
      </c>
    </row>
    <row r="60192" spans="1:2" x14ac:dyDescent="0.2">
      <c r="B60192" t="s">
        <v>8</v>
      </c>
    </row>
    <row r="60193" spans="1:2" x14ac:dyDescent="0.2">
      <c r="B60193" t="s">
        <v>24</v>
      </c>
    </row>
    <row r="60195" spans="1:2" x14ac:dyDescent="0.2">
      <c r="A60195" t="s">
        <v>18804</v>
      </c>
      <c r="B60195" t="str">
        <f>HYPERLINK("https://lindat.mff.cuni.cz/services/teitok/pdtc10/index.php?action=vallex&amp;frame=v-w8469f1", "vytesávat (v-w8469f1)")</f>
        <v>vytesávat (v-w8469f1)</v>
      </c>
    </row>
    <row r="60196" spans="1:2" x14ac:dyDescent="0.2">
      <c r="B60196" t="s">
        <v>1</v>
      </c>
    </row>
    <row r="60197" spans="1:2" x14ac:dyDescent="0.2">
      <c r="B60197" t="s">
        <v>8</v>
      </c>
    </row>
    <row r="60198" spans="1:2" x14ac:dyDescent="0.2">
      <c r="B60198" t="s">
        <v>24</v>
      </c>
    </row>
    <row r="60200" spans="1:2" x14ac:dyDescent="0.2">
      <c r="A60200" t="s">
        <v>18805</v>
      </c>
      <c r="B60200" t="str">
        <f>HYPERLINK("https://lindat.mff.cuni.cz/services/teitok/pdtc10/index.php?action=vallex&amp;frame=v-w8471f1", "vytetovat (v-w8471f1)")</f>
        <v>vytetovat (v-w8471f1)</v>
      </c>
    </row>
    <row r="60201" spans="1:2" x14ac:dyDescent="0.2">
      <c r="B60201" t="s">
        <v>1</v>
      </c>
    </row>
    <row r="60202" spans="1:2" x14ac:dyDescent="0.2">
      <c r="B60202" t="s">
        <v>8</v>
      </c>
    </row>
    <row r="60204" spans="1:2" x14ac:dyDescent="0.2">
      <c r="A60204" t="s">
        <v>18806</v>
      </c>
      <c r="B60204" t="str">
        <f>HYPERLINK("https://lindat.mff.cuni.cz/services/teitok/pdtc10/index.php?action=vallex&amp;frame=v-w8466f1", "vytečkovat (v-w8466f1)")</f>
        <v>vytečkovat (v-w8466f1)</v>
      </c>
    </row>
    <row r="60205" spans="1:2" x14ac:dyDescent="0.2">
      <c r="B60205" t="s">
        <v>1</v>
      </c>
    </row>
    <row r="60206" spans="1:2" x14ac:dyDescent="0.2">
      <c r="B60206" t="s">
        <v>8</v>
      </c>
    </row>
    <row r="60208" spans="1:2" x14ac:dyDescent="0.2">
      <c r="A60208" t="s">
        <v>18807</v>
      </c>
      <c r="B60208" t="str">
        <f>HYPERLINK("https://lindat.mff.cuni.cz/services/teitok/pdtc10/index.php?action=vallex&amp;frame=v-w8475hsa_524", "vytipovat (v-w8475hsa_524)")</f>
        <v>vytipovat (v-w8475hsa_524)</v>
      </c>
    </row>
    <row r="60209" spans="1:4" x14ac:dyDescent="0.2">
      <c r="B60209" t="s">
        <v>1</v>
      </c>
    </row>
    <row r="60210" spans="1:4" x14ac:dyDescent="0.2">
      <c r="B60210" t="s">
        <v>172</v>
      </c>
    </row>
    <row r="60212" spans="1:4" x14ac:dyDescent="0.2">
      <c r="A60212" t="s">
        <v>18807</v>
      </c>
      <c r="B60212" t="str">
        <f>HYPERLINK("https://lindat.mff.cuni.cz/services/teitok/pdtc10/index.php?action=vallex&amp;frame=v-w8475f1", "vytipovat (v-w8475f1) - substituted with v-w8475hsa_524")</f>
        <v>vytipovat (v-w8475f1) - substituted with v-w8475hsa_524</v>
      </c>
    </row>
    <row r="60213" spans="1:4" x14ac:dyDescent="0.2">
      <c r="B60213" t="s">
        <v>1</v>
      </c>
    </row>
    <row r="60214" spans="1:4" x14ac:dyDescent="0.2">
      <c r="B60214" t="s">
        <v>172</v>
      </c>
    </row>
    <row r="60216" spans="1:4" x14ac:dyDescent="0.2">
      <c r="A60216" t="s">
        <v>18808</v>
      </c>
      <c r="B60216" t="str">
        <f>HYPERLINK("https://lindat.mff.cuni.cz/services/teitok/pdtc10/index.php?action=vallex&amp;frame=v-w11144f2", "vytipovávat (v-w11144f2)")</f>
        <v>vytipovávat (v-w11144f2)</v>
      </c>
    </row>
    <row r="60217" spans="1:4" x14ac:dyDescent="0.2">
      <c r="B60217" t="s">
        <v>1</v>
      </c>
      <c r="C60217" t="s">
        <v>2303</v>
      </c>
    </row>
    <row r="60218" spans="1:4" x14ac:dyDescent="0.2">
      <c r="B60218" t="s">
        <v>8</v>
      </c>
      <c r="C60218" t="s">
        <v>14536</v>
      </c>
    </row>
    <row r="60220" spans="1:4" x14ac:dyDescent="0.2">
      <c r="A60220" t="s">
        <v>18809</v>
      </c>
      <c r="B60220" t="str">
        <f>HYPERLINK("https://lindat.mff.cuni.cz/services/teitok/pdtc10/index.php?action=vallex&amp;frame=v-w8477f1", "vytisknout (v-w8477f1)")</f>
        <v>vytisknout (v-w8477f1)</v>
      </c>
    </row>
    <row r="60221" spans="1:4" x14ac:dyDescent="0.2">
      <c r="B60221" t="s">
        <v>1</v>
      </c>
      <c r="C60221" t="s">
        <v>373</v>
      </c>
      <c r="D60221" t="s">
        <v>990</v>
      </c>
    </row>
    <row r="60222" spans="1:4" x14ac:dyDescent="0.2">
      <c r="B60222" t="s">
        <v>1284</v>
      </c>
      <c r="C60222" t="s">
        <v>1510</v>
      </c>
      <c r="D60222" t="s">
        <v>125</v>
      </c>
    </row>
    <row r="60224" spans="1:4" x14ac:dyDescent="0.2">
      <c r="A60224" t="s">
        <v>18810</v>
      </c>
      <c r="B60224" t="str">
        <f>HYPERLINK("https://lindat.mff.cuni.cz/services/teitok/pdtc10/index.php?action=vallex&amp;frame=v-w8482f2", "vytknout (v-w8482f2)")</f>
        <v>vytknout (v-w8482f2)</v>
      </c>
    </row>
    <row r="60225" spans="1:4" x14ac:dyDescent="0.2">
      <c r="B60225" t="s">
        <v>1</v>
      </c>
    </row>
    <row r="60226" spans="1:4" x14ac:dyDescent="0.2">
      <c r="B60226" t="s">
        <v>5069</v>
      </c>
    </row>
    <row r="60227" spans="1:4" x14ac:dyDescent="0.2">
      <c r="B60227" t="s">
        <v>78</v>
      </c>
    </row>
    <row r="60228" spans="1:4" x14ac:dyDescent="0.2">
      <c r="B60228" t="s">
        <v>2491</v>
      </c>
    </row>
    <row r="60230" spans="1:4" x14ac:dyDescent="0.2">
      <c r="A60230" t="s">
        <v>18811</v>
      </c>
      <c r="B60230" t="str">
        <f>HYPERLINK("https://lindat.mff.cuni.cz/services/teitok/pdtc10/index.php?action=vallex&amp;frame=v-w8482f1", "vytknout (v-w8482f1)")</f>
        <v>vytknout (v-w8482f1)</v>
      </c>
    </row>
    <row r="60231" spans="1:4" x14ac:dyDescent="0.2">
      <c r="B60231" t="s">
        <v>1</v>
      </c>
      <c r="C60231" t="s">
        <v>133</v>
      </c>
      <c r="D60231" t="s">
        <v>990</v>
      </c>
    </row>
    <row r="60232" spans="1:4" x14ac:dyDescent="0.2">
      <c r="B60232" t="s">
        <v>124</v>
      </c>
      <c r="D60232" t="s">
        <v>4141</v>
      </c>
    </row>
    <row r="60233" spans="1:4" x14ac:dyDescent="0.2">
      <c r="B60233" t="s">
        <v>35</v>
      </c>
      <c r="C60233" t="s">
        <v>4272</v>
      </c>
      <c r="D60233" t="s">
        <v>7520</v>
      </c>
    </row>
    <row r="60235" spans="1:4" x14ac:dyDescent="0.2">
      <c r="A60235" t="s">
        <v>18812</v>
      </c>
      <c r="B60235" t="str">
        <f>HYPERLINK("https://lindat.mff.cuni.cz/services/teitok/pdtc10/index.php?action=vallex&amp;frame=v-w8482f3", "vytknout (v-w8482f3)")</f>
        <v>vytknout (v-w8482f3)</v>
      </c>
    </row>
    <row r="60236" spans="1:4" x14ac:dyDescent="0.2">
      <c r="B60236" t="s">
        <v>1</v>
      </c>
    </row>
    <row r="60237" spans="1:4" x14ac:dyDescent="0.2">
      <c r="B60237" t="s">
        <v>8</v>
      </c>
    </row>
    <row r="60238" spans="1:4" x14ac:dyDescent="0.2">
      <c r="B60238" t="s">
        <v>90</v>
      </c>
    </row>
    <row r="60240" spans="1:4" x14ac:dyDescent="0.2">
      <c r="A60240" t="s">
        <v>18813</v>
      </c>
      <c r="B60240" t="str">
        <f>HYPERLINK("https://lindat.mff.cuni.cz/services/teitok/pdtc10/index.php?action=vallex&amp;frame=v-w8484f1", "vytlačit (v-w8484f1)")</f>
        <v>vytlačit (v-w8484f1)</v>
      </c>
    </row>
    <row r="60241" spans="1:4" x14ac:dyDescent="0.2">
      <c r="B60241" t="s">
        <v>1</v>
      </c>
      <c r="C60241" t="s">
        <v>967</v>
      </c>
      <c r="D60241" t="s">
        <v>6131</v>
      </c>
    </row>
    <row r="60242" spans="1:4" x14ac:dyDescent="0.2">
      <c r="B60242" t="s">
        <v>8</v>
      </c>
      <c r="C60242" t="s">
        <v>11355</v>
      </c>
      <c r="D60242" t="s">
        <v>18247</v>
      </c>
    </row>
    <row r="60243" spans="1:4" x14ac:dyDescent="0.2">
      <c r="B60243" t="s">
        <v>333</v>
      </c>
      <c r="C60243" t="s">
        <v>7510</v>
      </c>
      <c r="D60243" t="s">
        <v>23090</v>
      </c>
    </row>
    <row r="60245" spans="1:4" x14ac:dyDescent="0.2">
      <c r="A60245" t="s">
        <v>18814</v>
      </c>
      <c r="B60245" t="str">
        <f>HYPERLINK("https://lindat.mff.cuni.cz/services/teitok/pdtc10/index.php?action=vallex&amp;frame=v-w8484f3", "vytlačit (v-w8484f3)")</f>
        <v>vytlačit (v-w8484f3)</v>
      </c>
    </row>
    <row r="60246" spans="1:4" x14ac:dyDescent="0.2">
      <c r="B60246" t="s">
        <v>1</v>
      </c>
      <c r="D60246" t="s">
        <v>6131</v>
      </c>
    </row>
    <row r="60247" spans="1:4" x14ac:dyDescent="0.2">
      <c r="B60247" t="s">
        <v>8</v>
      </c>
      <c r="D60247" t="s">
        <v>18247</v>
      </c>
    </row>
    <row r="60248" spans="1:4" x14ac:dyDescent="0.2">
      <c r="B60248" t="s">
        <v>333</v>
      </c>
      <c r="D60248" t="s">
        <v>23090</v>
      </c>
    </row>
    <row r="60250" spans="1:4" x14ac:dyDescent="0.2">
      <c r="A60250" t="s">
        <v>18815</v>
      </c>
      <c r="B60250" t="str">
        <f>HYPERLINK("https://lindat.mff.cuni.cz/services/teitok/pdtc10/index.php?action=vallex&amp;frame=v-w8484f2", "vytlačit (v-w8484f2)")</f>
        <v>vytlačit (v-w8484f2)</v>
      </c>
    </row>
    <row r="60251" spans="1:4" x14ac:dyDescent="0.2">
      <c r="B60251" t="s">
        <v>1</v>
      </c>
      <c r="C60251" t="s">
        <v>5475</v>
      </c>
      <c r="D60251" t="s">
        <v>24417</v>
      </c>
    </row>
    <row r="60252" spans="1:4" x14ac:dyDescent="0.2">
      <c r="B60252" t="s">
        <v>8</v>
      </c>
      <c r="C60252" t="s">
        <v>977</v>
      </c>
      <c r="D60252" t="s">
        <v>24418</v>
      </c>
    </row>
    <row r="60253" spans="1:4" x14ac:dyDescent="0.2">
      <c r="B60253" t="s">
        <v>90</v>
      </c>
      <c r="D60253" t="s">
        <v>24371</v>
      </c>
    </row>
    <row r="60255" spans="1:4" x14ac:dyDescent="0.2">
      <c r="A60255" t="s">
        <v>18816</v>
      </c>
      <c r="B60255" t="str">
        <f>HYPERLINK("https://lindat.mff.cuni.cz/services/teitok/pdtc10/index.php?action=vallex&amp;frame=v-w8484f4", "vytlačit (v-w8484f4)")</f>
        <v>vytlačit (v-w8484f4)</v>
      </c>
    </row>
    <row r="60256" spans="1:4" x14ac:dyDescent="0.2">
      <c r="B60256" t="s">
        <v>1</v>
      </c>
      <c r="C60256" t="s">
        <v>80</v>
      </c>
      <c r="D60256" t="s">
        <v>23529</v>
      </c>
    </row>
    <row r="60257" spans="1:4" x14ac:dyDescent="0.2">
      <c r="B60257" t="s">
        <v>8</v>
      </c>
      <c r="C60257" t="s">
        <v>3773</v>
      </c>
      <c r="D60257" t="s">
        <v>23530</v>
      </c>
    </row>
    <row r="60259" spans="1:4" x14ac:dyDescent="0.2">
      <c r="A60259" t="s">
        <v>18817</v>
      </c>
      <c r="B60259" t="str">
        <f>HYPERLINK("https://lindat.mff.cuni.cz/services/teitok/pdtc10/index.php?action=vallex&amp;frame=v-w8484hsa_898", "vytlačit (v-w8484hsa_898)")</f>
        <v>vytlačit (v-w8484hsa_898)</v>
      </c>
    </row>
    <row r="60260" spans="1:4" x14ac:dyDescent="0.2">
      <c r="B60260" t="s">
        <v>1</v>
      </c>
    </row>
    <row r="60261" spans="1:4" x14ac:dyDescent="0.2">
      <c r="B60261" t="s">
        <v>8</v>
      </c>
    </row>
    <row r="60263" spans="1:4" x14ac:dyDescent="0.2">
      <c r="A60263" t="s">
        <v>18818</v>
      </c>
      <c r="B60263" t="str">
        <f>HYPERLINK("https://lindat.mff.cuni.cz/services/teitok/pdtc10/index.php?action=vallex&amp;frame=v-w8484f5_ZU", "vytlačit (v-w8484f5_ZU)")</f>
        <v>vytlačit (v-w8484f5_ZU)</v>
      </c>
    </row>
    <row r="60264" spans="1:4" x14ac:dyDescent="0.2">
      <c r="B60264" t="s">
        <v>1</v>
      </c>
      <c r="C60264" t="s">
        <v>83</v>
      </c>
      <c r="D60264" t="s">
        <v>23523</v>
      </c>
    </row>
    <row r="60265" spans="1:4" x14ac:dyDescent="0.2">
      <c r="B60265" t="s">
        <v>8</v>
      </c>
      <c r="C60265" t="s">
        <v>23</v>
      </c>
      <c r="D60265" t="s">
        <v>23524</v>
      </c>
    </row>
    <row r="60266" spans="1:4" x14ac:dyDescent="0.2">
      <c r="B60266" t="s">
        <v>24</v>
      </c>
      <c r="D60266" t="s">
        <v>23525</v>
      </c>
    </row>
    <row r="60267" spans="1:4" x14ac:dyDescent="0.2">
      <c r="B60267" t="s">
        <v>18819</v>
      </c>
      <c r="D60267" t="s">
        <v>23526</v>
      </c>
    </row>
    <row r="60269" spans="1:4" x14ac:dyDescent="0.2">
      <c r="A60269" t="s">
        <v>18818</v>
      </c>
      <c r="B60269" t="str">
        <f>HYPERLINK("https://lindat.mff.cuni.cz/services/teitok/pdtc10/index.php?action=vallex&amp;frame=v-w8484hsa_899", "vytlačit (v-w8484hsa_899) - substituted with v-w8484f5_ZU")</f>
        <v>vytlačit (v-w8484hsa_899) - substituted with v-w8484f5_ZU</v>
      </c>
    </row>
    <row r="60270" spans="1:4" x14ac:dyDescent="0.2">
      <c r="B60270" t="s">
        <v>1</v>
      </c>
    </row>
    <row r="60271" spans="1:4" x14ac:dyDescent="0.2">
      <c r="B60271" t="s">
        <v>8</v>
      </c>
    </row>
    <row r="60272" spans="1:4" x14ac:dyDescent="0.2">
      <c r="B60272" t="s">
        <v>24</v>
      </c>
    </row>
    <row r="60273" spans="1:4" x14ac:dyDescent="0.2">
      <c r="B60273" t="s">
        <v>18819</v>
      </c>
    </row>
    <row r="60275" spans="1:4" x14ac:dyDescent="0.2">
      <c r="A60275" t="s">
        <v>18820</v>
      </c>
      <c r="B60275" t="str">
        <f>HYPERLINK("https://lindat.mff.cuni.cz/services/teitok/pdtc10/index.php?action=vallex&amp;frame=v-w8486f1", "vytlačovat (v-w8486f1)")</f>
        <v>vytlačovat (v-w8486f1)</v>
      </c>
    </row>
    <row r="60276" spans="1:4" x14ac:dyDescent="0.2">
      <c r="B60276" t="s">
        <v>1</v>
      </c>
      <c r="C60276" t="s">
        <v>2571</v>
      </c>
      <c r="D60276" t="s">
        <v>6131</v>
      </c>
    </row>
    <row r="60277" spans="1:4" x14ac:dyDescent="0.2">
      <c r="B60277" t="s">
        <v>8</v>
      </c>
      <c r="C60277" t="s">
        <v>9714</v>
      </c>
      <c r="D60277" t="s">
        <v>18247</v>
      </c>
    </row>
    <row r="60278" spans="1:4" x14ac:dyDescent="0.2">
      <c r="B60278" t="s">
        <v>333</v>
      </c>
      <c r="D60278" t="s">
        <v>23090</v>
      </c>
    </row>
    <row r="60280" spans="1:4" x14ac:dyDescent="0.2">
      <c r="A60280" t="s">
        <v>18821</v>
      </c>
      <c r="B60280" t="str">
        <f>HYPERLINK("https://lindat.mff.cuni.cz/services/teitok/pdtc10/index.php?action=vallex&amp;frame=v-w8486f2", "vytlačovat (v-w8486f2)")</f>
        <v>vytlačovat (v-w8486f2)</v>
      </c>
    </row>
    <row r="60281" spans="1:4" x14ac:dyDescent="0.2">
      <c r="B60281" t="s">
        <v>1</v>
      </c>
      <c r="C60281" t="s">
        <v>140</v>
      </c>
      <c r="D60281" t="s">
        <v>23529</v>
      </c>
    </row>
    <row r="60282" spans="1:4" x14ac:dyDescent="0.2">
      <c r="B60282" t="s">
        <v>8</v>
      </c>
      <c r="C60282" t="s">
        <v>113</v>
      </c>
      <c r="D60282" t="s">
        <v>23530</v>
      </c>
    </row>
    <row r="60284" spans="1:4" x14ac:dyDescent="0.2">
      <c r="A60284" t="s">
        <v>18822</v>
      </c>
      <c r="B60284" t="str">
        <f>HYPERLINK("https://lindat.mff.cuni.cz/services/teitok/pdtc10/index.php?action=vallex&amp;frame=v-w10207f2", "vytlouci (v-w10207f2)")</f>
        <v>vytlouci (v-w10207f2)</v>
      </c>
    </row>
    <row r="60285" spans="1:4" x14ac:dyDescent="0.2">
      <c r="B60285" t="s">
        <v>1</v>
      </c>
      <c r="C60285" t="s">
        <v>6895</v>
      </c>
    </row>
    <row r="60286" spans="1:4" x14ac:dyDescent="0.2">
      <c r="B60286" t="s">
        <v>8</v>
      </c>
      <c r="C60286" t="s">
        <v>34</v>
      </c>
    </row>
    <row r="60287" spans="1:4" x14ac:dyDescent="0.2">
      <c r="B60287" t="s">
        <v>333</v>
      </c>
    </row>
    <row r="60289" spans="1:4" x14ac:dyDescent="0.2">
      <c r="A60289" t="s">
        <v>18823</v>
      </c>
      <c r="B60289" t="str">
        <f>HYPERLINK("https://lindat.mff.cuni.cz/services/teitok/pdtc10/index.php?action=vallex&amp;frame=v-w8487f1", "vytloukat (v-w8487f1)")</f>
        <v>vytloukat (v-w8487f1)</v>
      </c>
    </row>
    <row r="60290" spans="1:4" x14ac:dyDescent="0.2">
      <c r="B60290" t="s">
        <v>1</v>
      </c>
    </row>
    <row r="60291" spans="1:4" x14ac:dyDescent="0.2">
      <c r="B60291" t="s">
        <v>8</v>
      </c>
    </row>
    <row r="60292" spans="1:4" x14ac:dyDescent="0.2">
      <c r="B60292" t="s">
        <v>24</v>
      </c>
    </row>
    <row r="60294" spans="1:4" x14ac:dyDescent="0.2">
      <c r="A60294" t="s">
        <v>18824</v>
      </c>
      <c r="B60294" t="str">
        <f>HYPERLINK("https://lindat.mff.cuni.cz/services/teitok/pdtc10/index.php?action=vallex&amp;frame=v-whsa_745hsa_746", "vytopit (v-whsa_745hsa_746)")</f>
        <v>vytopit (v-whsa_745hsa_746)</v>
      </c>
    </row>
    <row r="60295" spans="1:4" x14ac:dyDescent="0.2">
      <c r="B60295" t="s">
        <v>1</v>
      </c>
    </row>
    <row r="60296" spans="1:4" x14ac:dyDescent="0.2">
      <c r="B60296" t="s">
        <v>8</v>
      </c>
    </row>
    <row r="60298" spans="1:4" x14ac:dyDescent="0.2">
      <c r="A60298" t="s">
        <v>18825</v>
      </c>
      <c r="B60298" t="str">
        <f>HYPERLINK("https://lindat.mff.cuni.cz/services/teitok/pdtc10/index.php?action=vallex&amp;frame=v-w8488f1", "vytočit (v-w8488f1)")</f>
        <v>vytočit (v-w8488f1)</v>
      </c>
    </row>
    <row r="60299" spans="1:4" x14ac:dyDescent="0.2">
      <c r="B60299" t="s">
        <v>1</v>
      </c>
      <c r="C60299" t="s">
        <v>2698</v>
      </c>
      <c r="D60299" t="s">
        <v>13118</v>
      </c>
    </row>
    <row r="60300" spans="1:4" x14ac:dyDescent="0.2">
      <c r="B60300" t="s">
        <v>8</v>
      </c>
      <c r="C60300" t="s">
        <v>7127</v>
      </c>
      <c r="D60300" t="s">
        <v>13080</v>
      </c>
    </row>
    <row r="60302" spans="1:4" x14ac:dyDescent="0.2">
      <c r="A60302" t="s">
        <v>18826</v>
      </c>
      <c r="B60302" t="str">
        <f>HYPERLINK("https://lindat.mff.cuni.cz/services/teitok/pdtc10/index.php?action=vallex&amp;frame=v-w8488hsa_124", "vytočit (v-w8488hsa_124)")</f>
        <v>vytočit (v-w8488hsa_124)</v>
      </c>
    </row>
    <row r="60303" spans="1:4" x14ac:dyDescent="0.2">
      <c r="B60303" t="s">
        <v>1</v>
      </c>
    </row>
    <row r="60304" spans="1:4" x14ac:dyDescent="0.2">
      <c r="B60304" t="s">
        <v>8</v>
      </c>
    </row>
    <row r="60306" spans="1:4" x14ac:dyDescent="0.2">
      <c r="A60306" t="s">
        <v>18827</v>
      </c>
      <c r="B60306" t="str">
        <f>HYPERLINK("https://lindat.mff.cuni.cz/services/teitok/pdtc10/index.php?action=vallex&amp;frame=v-w8488hsa_125", "vytočit (v-w8488hsa_125)")</f>
        <v>vytočit (v-w8488hsa_125)</v>
      </c>
    </row>
    <row r="60307" spans="1:4" x14ac:dyDescent="0.2">
      <c r="B60307" t="s">
        <v>1</v>
      </c>
    </row>
    <row r="60308" spans="1:4" x14ac:dyDescent="0.2">
      <c r="B60308" t="s">
        <v>8</v>
      </c>
    </row>
    <row r="60310" spans="1:4" x14ac:dyDescent="0.2">
      <c r="A60310" t="s">
        <v>18828</v>
      </c>
      <c r="B60310" t="str">
        <f>HYPERLINK("https://lindat.mff.cuni.cz/services/teitok/pdtc10/index.php?action=vallex&amp;frame=v-w8490f1", "vytratit se (v-w8490f1)")</f>
        <v>vytratit se (v-w8490f1)</v>
      </c>
    </row>
    <row r="60311" spans="1:4" x14ac:dyDescent="0.2">
      <c r="B60311" t="s">
        <v>1</v>
      </c>
      <c r="C60311" t="s">
        <v>18829</v>
      </c>
      <c r="D60311" t="s">
        <v>9222</v>
      </c>
    </row>
    <row r="60313" spans="1:4" x14ac:dyDescent="0.2">
      <c r="A60313" t="s">
        <v>18830</v>
      </c>
      <c r="B60313" t="str">
        <f>HYPERLINK("https://lindat.mff.cuni.cz/services/teitok/pdtc10/index.php?action=vallex&amp;frame=v-w8491f1", "vytrejdovat (v-w8491f1)")</f>
        <v>vytrejdovat (v-w8491f1)</v>
      </c>
    </row>
    <row r="60314" spans="1:4" x14ac:dyDescent="0.2">
      <c r="B60314" t="s">
        <v>1</v>
      </c>
    </row>
    <row r="60315" spans="1:4" x14ac:dyDescent="0.2">
      <c r="B60315" t="s">
        <v>8</v>
      </c>
    </row>
    <row r="60316" spans="1:4" x14ac:dyDescent="0.2">
      <c r="B60316" t="s">
        <v>2328</v>
      </c>
    </row>
    <row r="60317" spans="1:4" x14ac:dyDescent="0.2">
      <c r="B60317" t="s">
        <v>413</v>
      </c>
    </row>
    <row r="60319" spans="1:4" x14ac:dyDescent="0.2">
      <c r="A60319" t="s">
        <v>18831</v>
      </c>
      <c r="B60319" t="str">
        <f>HYPERLINK("https://lindat.mff.cuni.cz/services/teitok/pdtc10/index.php?action=vallex&amp;frame=v-w11145f2", "vytrhat (v-w11145f2)")</f>
        <v>vytrhat (v-w11145f2)</v>
      </c>
    </row>
    <row r="60320" spans="1:4" x14ac:dyDescent="0.2">
      <c r="B60320" t="s">
        <v>1</v>
      </c>
      <c r="C60320" t="s">
        <v>140</v>
      </c>
      <c r="D60320" t="s">
        <v>373</v>
      </c>
    </row>
    <row r="60321" spans="1:4" x14ac:dyDescent="0.2">
      <c r="B60321" t="s">
        <v>8</v>
      </c>
      <c r="C60321" t="s">
        <v>34</v>
      </c>
      <c r="D60321" t="s">
        <v>23339</v>
      </c>
    </row>
    <row r="60322" spans="1:4" x14ac:dyDescent="0.2">
      <c r="B60322" t="s">
        <v>333</v>
      </c>
      <c r="D60322" t="s">
        <v>23684</v>
      </c>
    </row>
    <row r="60324" spans="1:4" x14ac:dyDescent="0.2">
      <c r="A60324" t="s">
        <v>18832</v>
      </c>
      <c r="B60324" t="str">
        <f>HYPERLINK("https://lindat.mff.cuni.cz/services/teitok/pdtc10/index.php?action=vallex&amp;frame=v-w8493f2", "vytrhnout (v-w8493f2)")</f>
        <v>vytrhnout (v-w8493f2)</v>
      </c>
    </row>
    <row r="60325" spans="1:4" x14ac:dyDescent="0.2">
      <c r="B60325" t="s">
        <v>1</v>
      </c>
      <c r="C60325" t="s">
        <v>430</v>
      </c>
    </row>
    <row r="60326" spans="1:4" x14ac:dyDescent="0.2">
      <c r="B60326" t="s">
        <v>8</v>
      </c>
      <c r="C60326" t="s">
        <v>23</v>
      </c>
      <c r="D60326" t="s">
        <v>113</v>
      </c>
    </row>
    <row r="60327" spans="1:4" x14ac:dyDescent="0.2">
      <c r="B60327" t="s">
        <v>1944</v>
      </c>
    </row>
    <row r="60329" spans="1:4" x14ac:dyDescent="0.2">
      <c r="A60329" t="s">
        <v>18833</v>
      </c>
      <c r="B60329" t="str">
        <f>HYPERLINK("https://lindat.mff.cuni.cz/services/teitok/pdtc10/index.php?action=vallex&amp;frame=v-w8493f1", "vytrhnout (v-w8493f1)")</f>
        <v>vytrhnout (v-w8493f1)</v>
      </c>
    </row>
    <row r="60330" spans="1:4" x14ac:dyDescent="0.2">
      <c r="B60330" t="s">
        <v>1</v>
      </c>
      <c r="C60330" t="s">
        <v>22</v>
      </c>
      <c r="D60330" t="s">
        <v>140</v>
      </c>
    </row>
    <row r="60331" spans="1:4" x14ac:dyDescent="0.2">
      <c r="B60331" t="s">
        <v>8</v>
      </c>
      <c r="C60331" t="s">
        <v>354</v>
      </c>
      <c r="D60331" t="s">
        <v>34</v>
      </c>
    </row>
    <row r="60332" spans="1:4" x14ac:dyDescent="0.2">
      <c r="B60332" t="s">
        <v>333</v>
      </c>
    </row>
    <row r="60334" spans="1:4" x14ac:dyDescent="0.2">
      <c r="A60334" t="s">
        <v>18834</v>
      </c>
      <c r="B60334" t="str">
        <f>HYPERLINK("https://lindat.mff.cuni.cz/services/teitok/pdtc10/index.php?action=vallex&amp;frame=v-w8494f2", "vytrhovat (v-w8494f2)")</f>
        <v>vytrhovat (v-w8494f2)</v>
      </c>
    </row>
    <row r="60335" spans="1:4" x14ac:dyDescent="0.2">
      <c r="B60335" t="s">
        <v>1</v>
      </c>
    </row>
    <row r="60336" spans="1:4" x14ac:dyDescent="0.2">
      <c r="B60336" t="s">
        <v>8</v>
      </c>
      <c r="D60336" t="s">
        <v>113</v>
      </c>
    </row>
    <row r="60337" spans="1:4" x14ac:dyDescent="0.2">
      <c r="B60337" t="s">
        <v>1944</v>
      </c>
    </row>
    <row r="60339" spans="1:4" x14ac:dyDescent="0.2">
      <c r="A60339" t="s">
        <v>18835</v>
      </c>
      <c r="B60339" t="str">
        <f>HYPERLINK("https://lindat.mff.cuni.cz/services/teitok/pdtc10/index.php?action=vallex&amp;frame=v-w8494f1", "vytrhovat (v-w8494f1)")</f>
        <v>vytrhovat (v-w8494f1)</v>
      </c>
    </row>
    <row r="60340" spans="1:4" x14ac:dyDescent="0.2">
      <c r="B60340" t="s">
        <v>1</v>
      </c>
      <c r="D60340" t="s">
        <v>140</v>
      </c>
    </row>
    <row r="60341" spans="1:4" x14ac:dyDescent="0.2">
      <c r="B60341" t="s">
        <v>8</v>
      </c>
      <c r="D60341" t="s">
        <v>34</v>
      </c>
    </row>
    <row r="60342" spans="1:4" x14ac:dyDescent="0.2">
      <c r="B60342" t="s">
        <v>333</v>
      </c>
    </row>
    <row r="60344" spans="1:4" x14ac:dyDescent="0.2">
      <c r="A60344" t="s">
        <v>18836</v>
      </c>
      <c r="B60344" t="str">
        <f>HYPERLINK("https://lindat.mff.cuni.cz/services/teitok/pdtc10/index.php?action=vallex&amp;frame=v-w8492f1", "vytrhávat (v-w8492f1)")</f>
        <v>vytrhávat (v-w8492f1)</v>
      </c>
    </row>
    <row r="60345" spans="1:4" x14ac:dyDescent="0.2">
      <c r="B60345" t="s">
        <v>1</v>
      </c>
    </row>
    <row r="60346" spans="1:4" x14ac:dyDescent="0.2">
      <c r="B60346" t="s">
        <v>8</v>
      </c>
    </row>
    <row r="60347" spans="1:4" x14ac:dyDescent="0.2">
      <c r="B60347" t="s">
        <v>333</v>
      </c>
    </row>
    <row r="60349" spans="1:4" x14ac:dyDescent="0.2">
      <c r="A60349" t="s">
        <v>18837</v>
      </c>
      <c r="B60349" t="str">
        <f>HYPERLINK("https://lindat.mff.cuni.cz/services/teitok/pdtc10/index.php?action=vallex&amp;frame=v-w8492f2_ZU", "vytrhávat (v-w8492f2_ZU)")</f>
        <v>vytrhávat (v-w8492f2_ZU)</v>
      </c>
    </row>
    <row r="60350" spans="1:4" x14ac:dyDescent="0.2">
      <c r="B60350" t="s">
        <v>1</v>
      </c>
      <c r="C60350" t="s">
        <v>140</v>
      </c>
    </row>
    <row r="60351" spans="1:4" x14ac:dyDescent="0.2">
      <c r="B60351" t="s">
        <v>18838</v>
      </c>
    </row>
    <row r="60352" spans="1:4" x14ac:dyDescent="0.2">
      <c r="B60352" t="s">
        <v>8</v>
      </c>
      <c r="C60352" t="s">
        <v>113</v>
      </c>
    </row>
    <row r="60354" spans="1:4" x14ac:dyDescent="0.2">
      <c r="A60354" t="s">
        <v>18837</v>
      </c>
      <c r="B60354" t="str">
        <f>HYPERLINK("https://lindat.mff.cuni.cz/services/teitok/pdtc10/index.php?action=vallex&amp;frame=v-w8492hsa_611", "vytrhávat (v-w8492hsa_611) - substituted with v-w8492f2_ZU")</f>
        <v>vytrhávat (v-w8492hsa_611) - substituted with v-w8492f2_ZU</v>
      </c>
    </row>
    <row r="60355" spans="1:4" x14ac:dyDescent="0.2">
      <c r="B60355" t="s">
        <v>1</v>
      </c>
    </row>
    <row r="60356" spans="1:4" x14ac:dyDescent="0.2">
      <c r="B60356" t="s">
        <v>18838</v>
      </c>
    </row>
    <row r="60357" spans="1:4" x14ac:dyDescent="0.2">
      <c r="B60357" t="s">
        <v>8</v>
      </c>
    </row>
    <row r="60359" spans="1:4" x14ac:dyDescent="0.2">
      <c r="A60359" t="s">
        <v>18839</v>
      </c>
      <c r="B60359" t="str">
        <f>HYPERLINK("https://lindat.mff.cuni.cz/services/teitok/pdtc10/index.php?action=vallex&amp;frame=v-w11323f1", "vytrpět (v-w11323f1)")</f>
        <v>vytrpět (v-w11323f1)</v>
      </c>
    </row>
    <row r="60360" spans="1:4" x14ac:dyDescent="0.2">
      <c r="B60360" t="s">
        <v>1</v>
      </c>
    </row>
    <row r="60361" spans="1:4" x14ac:dyDescent="0.2">
      <c r="B60361" t="s">
        <v>8</v>
      </c>
    </row>
    <row r="60363" spans="1:4" x14ac:dyDescent="0.2">
      <c r="A60363" t="s">
        <v>18840</v>
      </c>
      <c r="B60363" t="str">
        <f>HYPERLINK("https://lindat.mff.cuni.cz/services/teitok/pdtc10/index.php?action=vallex&amp;frame=v-w8495f1", "vytrpět si (v-w8495f1)")</f>
        <v>vytrpět si (v-w8495f1)</v>
      </c>
    </row>
    <row r="60364" spans="1:4" x14ac:dyDescent="0.2">
      <c r="B60364" t="s">
        <v>1</v>
      </c>
      <c r="C60364" t="s">
        <v>3358</v>
      </c>
      <c r="D60364" t="s">
        <v>23167</v>
      </c>
    </row>
    <row r="60365" spans="1:4" x14ac:dyDescent="0.2">
      <c r="B60365" t="s">
        <v>8</v>
      </c>
      <c r="D60365" t="s">
        <v>23168</v>
      </c>
    </row>
    <row r="60367" spans="1:4" x14ac:dyDescent="0.2">
      <c r="A60367" t="s">
        <v>18841</v>
      </c>
      <c r="B60367" t="str">
        <f>HYPERLINK("https://lindat.mff.cuni.cz/services/teitok/pdtc10/index.php?action=vallex&amp;frame=v-w10961f2", "vytrubovat (v-w10961f2)")</f>
        <v>vytrubovat (v-w10961f2)</v>
      </c>
    </row>
    <row r="60368" spans="1:4" x14ac:dyDescent="0.2">
      <c r="B60368" t="s">
        <v>1</v>
      </c>
      <c r="C60368" t="s">
        <v>33</v>
      </c>
      <c r="D60368" t="s">
        <v>33</v>
      </c>
    </row>
    <row r="60369" spans="1:4" x14ac:dyDescent="0.2">
      <c r="B60369" t="s">
        <v>124</v>
      </c>
      <c r="C60369" t="s">
        <v>1044</v>
      </c>
      <c r="D60369" t="s">
        <v>1044</v>
      </c>
    </row>
    <row r="60371" spans="1:4" x14ac:dyDescent="0.2">
      <c r="A60371" t="s">
        <v>18842</v>
      </c>
      <c r="B60371" t="str">
        <f>HYPERLINK("https://lindat.mff.cuni.cz/services/teitok/pdtc10/index.php?action=vallex&amp;frame=v-w8496f1", "vytrucovat (v-w8496f1)")</f>
        <v>vytrucovat (v-w8496f1)</v>
      </c>
    </row>
    <row r="60372" spans="1:4" x14ac:dyDescent="0.2">
      <c r="B60372" t="s">
        <v>1</v>
      </c>
    </row>
    <row r="60373" spans="1:4" x14ac:dyDescent="0.2">
      <c r="B60373" t="s">
        <v>41</v>
      </c>
    </row>
    <row r="60374" spans="1:4" x14ac:dyDescent="0.2">
      <c r="B60374" t="s">
        <v>442</v>
      </c>
    </row>
    <row r="60376" spans="1:4" x14ac:dyDescent="0.2">
      <c r="A60376" t="s">
        <v>18843</v>
      </c>
      <c r="B60376" t="str">
        <f>HYPERLINK("https://lindat.mff.cuni.cz/services/teitok/pdtc10/index.php?action=vallex&amp;frame=v-w8497f1", "vytrvat (v-w8497f1)")</f>
        <v>vytrvat (v-w8497f1)</v>
      </c>
    </row>
    <row r="60377" spans="1:4" x14ac:dyDescent="0.2">
      <c r="B60377" t="s">
        <v>1</v>
      </c>
      <c r="C60377" t="s">
        <v>18844</v>
      </c>
      <c r="D60377" t="s">
        <v>24419</v>
      </c>
    </row>
    <row r="60378" spans="1:4" x14ac:dyDescent="0.2">
      <c r="B60378" t="s">
        <v>290</v>
      </c>
      <c r="C60378" t="s">
        <v>18845</v>
      </c>
      <c r="D60378" t="s">
        <v>7725</v>
      </c>
    </row>
    <row r="60380" spans="1:4" x14ac:dyDescent="0.2">
      <c r="A60380" t="s">
        <v>18846</v>
      </c>
      <c r="B60380" t="str">
        <f>HYPERLINK("https://lindat.mff.cuni.cz/services/teitok/pdtc10/index.php?action=vallex&amp;frame=v-w8497f2", "vytrvat (v-w8497f2)")</f>
        <v>vytrvat (v-w8497f2)</v>
      </c>
    </row>
    <row r="60381" spans="1:4" x14ac:dyDescent="0.2">
      <c r="B60381" t="s">
        <v>1</v>
      </c>
      <c r="C60381" t="s">
        <v>1125</v>
      </c>
      <c r="D60381" t="s">
        <v>1460</v>
      </c>
    </row>
    <row r="60383" spans="1:4" x14ac:dyDescent="0.2">
      <c r="A60383" t="s">
        <v>18847</v>
      </c>
      <c r="B60383" t="str">
        <f>HYPERLINK("https://lindat.mff.cuni.cz/services/teitok/pdtc10/index.php?action=vallex&amp;frame=v-w10179f2", "vytrvávat (v-w10179f2)")</f>
        <v>vytrvávat (v-w10179f2)</v>
      </c>
    </row>
    <row r="60384" spans="1:4" x14ac:dyDescent="0.2">
      <c r="B60384" t="s">
        <v>1</v>
      </c>
      <c r="C60384" t="s">
        <v>2444</v>
      </c>
      <c r="D60384" t="s">
        <v>1460</v>
      </c>
    </row>
    <row r="60386" spans="1:4" x14ac:dyDescent="0.2">
      <c r="A60386" t="s">
        <v>18848</v>
      </c>
      <c r="B60386" t="str">
        <f>HYPERLINK("https://lindat.mff.cuni.cz/services/teitok/pdtc10/index.php?action=vallex&amp;frame=v-w8489f1", "vytrácet se (v-w8489f1)")</f>
        <v>vytrácet se (v-w8489f1)</v>
      </c>
    </row>
    <row r="60387" spans="1:4" x14ac:dyDescent="0.2">
      <c r="B60387" t="s">
        <v>1</v>
      </c>
      <c r="C60387" t="s">
        <v>9513</v>
      </c>
      <c r="D60387" t="s">
        <v>9222</v>
      </c>
    </row>
    <row r="60389" spans="1:4" x14ac:dyDescent="0.2">
      <c r="A60389" t="s">
        <v>18849</v>
      </c>
      <c r="B60389" t="str">
        <f>HYPERLINK("https://lindat.mff.cuni.cz/services/teitok/pdtc10/index.php?action=vallex&amp;frame=v-w11630_ZUf1_ZU", "vytrénovat (v-w11630_ZUf1_ZU)")</f>
        <v>vytrénovat (v-w11630_ZUf1_ZU)</v>
      </c>
    </row>
    <row r="60390" spans="1:4" x14ac:dyDescent="0.2">
      <c r="B60390" t="s">
        <v>1</v>
      </c>
      <c r="C60390" t="s">
        <v>33</v>
      </c>
      <c r="D60390" t="s">
        <v>7522</v>
      </c>
    </row>
    <row r="60391" spans="1:4" x14ac:dyDescent="0.2">
      <c r="B60391" t="s">
        <v>8</v>
      </c>
      <c r="C60391" t="s">
        <v>84</v>
      </c>
      <c r="D60391" t="s">
        <v>3626</v>
      </c>
    </row>
    <row r="60393" spans="1:4" x14ac:dyDescent="0.2">
      <c r="A60393" t="s">
        <v>18850</v>
      </c>
      <c r="B60393" t="str">
        <f>HYPERLINK("https://lindat.mff.cuni.cz/services/teitok/pdtc10/index.php?action=vallex&amp;frame=v-w8500f1", "vytušit (v-w8500f1)")</f>
        <v>vytušit (v-w8500f1)</v>
      </c>
    </row>
    <row r="60394" spans="1:4" x14ac:dyDescent="0.2">
      <c r="B60394" t="s">
        <v>1</v>
      </c>
    </row>
    <row r="60395" spans="1:4" x14ac:dyDescent="0.2">
      <c r="B60395" t="s">
        <v>41</v>
      </c>
    </row>
    <row r="60397" spans="1:4" x14ac:dyDescent="0.2">
      <c r="A60397" t="s">
        <v>18851</v>
      </c>
      <c r="B60397" t="str">
        <f>HYPERLINK("https://lindat.mff.cuni.cz/services/teitok/pdtc10/index.php?action=vallex&amp;frame=v-w8501f1", "vytvarovat (v-w8501f1)")</f>
        <v>vytvarovat (v-w8501f1)</v>
      </c>
    </row>
    <row r="60398" spans="1:4" x14ac:dyDescent="0.2">
      <c r="B60398" t="s">
        <v>1</v>
      </c>
    </row>
    <row r="60399" spans="1:4" x14ac:dyDescent="0.2">
      <c r="B60399" t="s">
        <v>8</v>
      </c>
    </row>
    <row r="60400" spans="1:4" x14ac:dyDescent="0.2">
      <c r="B60400" t="s">
        <v>130</v>
      </c>
    </row>
    <row r="60402" spans="1:4" x14ac:dyDescent="0.2">
      <c r="A60402" t="s">
        <v>18852</v>
      </c>
      <c r="B60402" t="str">
        <f>HYPERLINK("https://lindat.mff.cuni.cz/services/teitok/pdtc10/index.php?action=vallex&amp;frame=v-w8510f1", "vytvořit (v-w8510f1)")</f>
        <v>vytvořit (v-w8510f1)</v>
      </c>
    </row>
    <row r="60403" spans="1:4" x14ac:dyDescent="0.2">
      <c r="B60403" t="s">
        <v>1</v>
      </c>
      <c r="C60403" t="s">
        <v>18853</v>
      </c>
      <c r="D60403" t="s">
        <v>24420</v>
      </c>
    </row>
    <row r="60404" spans="1:4" x14ac:dyDescent="0.2">
      <c r="B60404" t="s">
        <v>8</v>
      </c>
      <c r="C60404" t="s">
        <v>18854</v>
      </c>
      <c r="D60404" t="s">
        <v>24421</v>
      </c>
    </row>
    <row r="60405" spans="1:4" x14ac:dyDescent="0.2">
      <c r="B60405" t="s">
        <v>1629</v>
      </c>
      <c r="C60405" t="s">
        <v>18855</v>
      </c>
    </row>
    <row r="60406" spans="1:4" x14ac:dyDescent="0.2">
      <c r="B60406" t="s">
        <v>24</v>
      </c>
      <c r="C60406" t="s">
        <v>18856</v>
      </c>
      <c r="D60406" t="s">
        <v>3656</v>
      </c>
    </row>
    <row r="60408" spans="1:4" x14ac:dyDescent="0.2">
      <c r="A60408" t="s">
        <v>18857</v>
      </c>
      <c r="B60408" t="str">
        <f>HYPERLINK("https://lindat.mff.cuni.cz/services/teitok/pdtc10/index.php?action=vallex&amp;frame=v-w8510f4", "vytvořit (v-w8510f4)")</f>
        <v>vytvořit (v-w8510f4)</v>
      </c>
    </row>
    <row r="60409" spans="1:4" x14ac:dyDescent="0.2">
      <c r="B60409" t="s">
        <v>1</v>
      </c>
      <c r="C60409" t="s">
        <v>18858</v>
      </c>
      <c r="D60409" t="s">
        <v>24422</v>
      </c>
    </row>
    <row r="60410" spans="1:4" x14ac:dyDescent="0.2">
      <c r="B60410" t="s">
        <v>8</v>
      </c>
      <c r="C60410" t="s">
        <v>18859</v>
      </c>
      <c r="D60410" t="s">
        <v>24423</v>
      </c>
    </row>
    <row r="60411" spans="1:4" x14ac:dyDescent="0.2">
      <c r="B60411" t="s">
        <v>24</v>
      </c>
      <c r="C60411" t="s">
        <v>18860</v>
      </c>
      <c r="D60411" t="s">
        <v>24424</v>
      </c>
    </row>
    <row r="60413" spans="1:4" x14ac:dyDescent="0.2">
      <c r="A60413" t="s">
        <v>18861</v>
      </c>
      <c r="B60413" t="str">
        <f>HYPERLINK("https://lindat.mff.cuni.cz/services/teitok/pdtc10/index.php?action=vallex&amp;frame=v-w8510f2", "vytvořit (v-w8510f2)")</f>
        <v>vytvořit (v-w8510f2)</v>
      </c>
    </row>
    <row r="60414" spans="1:4" x14ac:dyDescent="0.2">
      <c r="B60414" t="s">
        <v>1</v>
      </c>
      <c r="C60414" t="s">
        <v>18862</v>
      </c>
      <c r="D60414" t="s">
        <v>23261</v>
      </c>
    </row>
    <row r="60415" spans="1:4" x14ac:dyDescent="0.2">
      <c r="B60415" t="s">
        <v>8</v>
      </c>
      <c r="C60415" t="s">
        <v>18863</v>
      </c>
      <c r="D60415" t="s">
        <v>9548</v>
      </c>
    </row>
    <row r="60417" spans="1:4" x14ac:dyDescent="0.2">
      <c r="A60417" t="s">
        <v>18864</v>
      </c>
      <c r="B60417" t="str">
        <f>HYPERLINK("https://lindat.mff.cuni.cz/services/teitok/pdtc10/index.php?action=vallex&amp;frame=v-w8510f3", "vytvořit (v-w8510f3)")</f>
        <v>vytvořit (v-w8510f3)</v>
      </c>
    </row>
    <row r="60418" spans="1:4" x14ac:dyDescent="0.2">
      <c r="B60418" t="s">
        <v>1</v>
      </c>
      <c r="C60418" t="s">
        <v>4807</v>
      </c>
      <c r="D60418" t="s">
        <v>23261</v>
      </c>
    </row>
    <row r="60419" spans="1:4" x14ac:dyDescent="0.2">
      <c r="B60419" t="s">
        <v>8</v>
      </c>
      <c r="C60419" t="s">
        <v>6702</v>
      </c>
      <c r="D60419" t="s">
        <v>9548</v>
      </c>
    </row>
    <row r="60421" spans="1:4" x14ac:dyDescent="0.2">
      <c r="A60421" t="s">
        <v>18865</v>
      </c>
      <c r="B60421" t="str">
        <f>HYPERLINK("https://lindat.mff.cuni.cz/services/teitok/pdtc10/index.php?action=vallex&amp;frame=v-w8510f5", "vytvořit (v-w8510f5)")</f>
        <v>vytvořit (v-w8510f5)</v>
      </c>
    </row>
    <row r="60422" spans="1:4" x14ac:dyDescent="0.2">
      <c r="B60422" t="s">
        <v>1</v>
      </c>
    </row>
    <row r="60423" spans="1:4" x14ac:dyDescent="0.2">
      <c r="B60423" t="s">
        <v>18866</v>
      </c>
    </row>
    <row r="60425" spans="1:4" x14ac:dyDescent="0.2">
      <c r="A60425" t="s">
        <v>18867</v>
      </c>
      <c r="B60425" t="str">
        <f>HYPERLINK("https://lindat.mff.cuni.cz/services/teitok/pdtc10/index.php?action=vallex&amp;frame=v-w8510hsa_720", "vytvořit (v-w8510hsa_720)")</f>
        <v>vytvořit (v-w8510hsa_720)</v>
      </c>
    </row>
    <row r="60426" spans="1:4" x14ac:dyDescent="0.2">
      <c r="B60426" t="s">
        <v>1</v>
      </c>
      <c r="C60426" t="s">
        <v>140</v>
      </c>
    </row>
    <row r="60427" spans="1:4" x14ac:dyDescent="0.2">
      <c r="B60427" t="s">
        <v>18868</v>
      </c>
      <c r="C60427" t="s">
        <v>2696</v>
      </c>
    </row>
    <row r="60429" spans="1:4" x14ac:dyDescent="0.2">
      <c r="A60429" t="s">
        <v>18869</v>
      </c>
      <c r="B60429" t="str">
        <f>HYPERLINK("https://lindat.mff.cuni.cz/services/teitok/pdtc10/index.php?action=vallex&amp;frame=v-w8511f1", "vytvořit se (v-w8511f1)")</f>
        <v>vytvořit se (v-w8511f1)</v>
      </c>
    </row>
    <row r="60430" spans="1:4" x14ac:dyDescent="0.2">
      <c r="B60430" t="s">
        <v>1</v>
      </c>
      <c r="C60430" t="s">
        <v>18870</v>
      </c>
    </row>
    <row r="60431" spans="1:4" x14ac:dyDescent="0.2">
      <c r="B60431" t="s">
        <v>438</v>
      </c>
      <c r="C60431" t="s">
        <v>2691</v>
      </c>
    </row>
    <row r="60433" spans="1:4" x14ac:dyDescent="0.2">
      <c r="A60433" t="s">
        <v>18871</v>
      </c>
      <c r="B60433" t="str">
        <f>HYPERLINK("https://lindat.mff.cuni.cz/services/teitok/pdtc10/index.php?action=vallex&amp;frame=v-w8505f2", "vytvářet (v-w8505f2)")</f>
        <v>vytvářet (v-w8505f2)</v>
      </c>
    </row>
    <row r="60434" spans="1:4" x14ac:dyDescent="0.2">
      <c r="B60434" t="s">
        <v>1</v>
      </c>
      <c r="C60434" t="s">
        <v>18872</v>
      </c>
      <c r="D60434" t="s">
        <v>24425</v>
      </c>
    </row>
    <row r="60435" spans="1:4" x14ac:dyDescent="0.2">
      <c r="B60435" t="s">
        <v>8</v>
      </c>
      <c r="C60435" t="s">
        <v>18873</v>
      </c>
      <c r="D60435" t="s">
        <v>24426</v>
      </c>
    </row>
    <row r="60436" spans="1:4" x14ac:dyDescent="0.2">
      <c r="B60436" t="s">
        <v>1629</v>
      </c>
      <c r="C60436" t="s">
        <v>18874</v>
      </c>
    </row>
    <row r="60437" spans="1:4" x14ac:dyDescent="0.2">
      <c r="B60437" t="s">
        <v>24</v>
      </c>
      <c r="C60437" t="s">
        <v>18875</v>
      </c>
      <c r="D60437" t="s">
        <v>10345</v>
      </c>
    </row>
    <row r="60439" spans="1:4" x14ac:dyDescent="0.2">
      <c r="A60439" t="s">
        <v>18876</v>
      </c>
      <c r="B60439" t="str">
        <f>HYPERLINK("https://lindat.mff.cuni.cz/services/teitok/pdtc10/index.php?action=vallex&amp;frame=v-w8505f3", "vytvářet (v-w8505f3)")</f>
        <v>vytvářet (v-w8505f3)</v>
      </c>
    </row>
    <row r="60440" spans="1:4" x14ac:dyDescent="0.2">
      <c r="B60440" t="s">
        <v>1</v>
      </c>
      <c r="C60440" t="s">
        <v>18877</v>
      </c>
      <c r="D60440" t="s">
        <v>24427</v>
      </c>
    </row>
    <row r="60441" spans="1:4" x14ac:dyDescent="0.2">
      <c r="B60441" t="s">
        <v>8</v>
      </c>
      <c r="C60441" t="s">
        <v>18878</v>
      </c>
      <c r="D60441" t="s">
        <v>24428</v>
      </c>
    </row>
    <row r="60442" spans="1:4" x14ac:dyDescent="0.2">
      <c r="B60442" t="s">
        <v>24</v>
      </c>
      <c r="C60442" t="s">
        <v>15554</v>
      </c>
      <c r="D60442" t="s">
        <v>24429</v>
      </c>
    </row>
    <row r="60444" spans="1:4" x14ac:dyDescent="0.2">
      <c r="A60444" t="s">
        <v>18879</v>
      </c>
      <c r="B60444" t="str">
        <f>HYPERLINK("https://lindat.mff.cuni.cz/services/teitok/pdtc10/index.php?action=vallex&amp;frame=v-w8505f1", "vytvářet (v-w8505f1)")</f>
        <v>vytvářet (v-w8505f1)</v>
      </c>
    </row>
    <row r="60445" spans="1:4" x14ac:dyDescent="0.2">
      <c r="B60445" t="s">
        <v>1</v>
      </c>
      <c r="C60445" t="s">
        <v>18880</v>
      </c>
    </row>
    <row r="60446" spans="1:4" x14ac:dyDescent="0.2">
      <c r="B60446" t="s">
        <v>8</v>
      </c>
      <c r="C60446" t="s">
        <v>18881</v>
      </c>
    </row>
    <row r="60448" spans="1:4" x14ac:dyDescent="0.2">
      <c r="A60448" t="s">
        <v>18882</v>
      </c>
      <c r="B60448" t="str">
        <f>HYPERLINK("https://lindat.mff.cuni.cz/services/teitok/pdtc10/index.php?action=vallex&amp;frame=v-w8505f4", "vytvářet (v-w8505f4)")</f>
        <v>vytvářet (v-w8505f4)</v>
      </c>
    </row>
    <row r="60449" spans="1:4" x14ac:dyDescent="0.2">
      <c r="B60449" t="s">
        <v>1</v>
      </c>
    </row>
    <row r="60450" spans="1:4" x14ac:dyDescent="0.2">
      <c r="B60450" t="s">
        <v>524</v>
      </c>
    </row>
    <row r="60452" spans="1:4" x14ac:dyDescent="0.2">
      <c r="A60452" t="s">
        <v>18883</v>
      </c>
      <c r="B60452" t="str">
        <f>HYPERLINK("https://lindat.mff.cuni.cz/services/teitok/pdtc10/index.php?action=vallex&amp;frame=v-w8506f1", "vytvářet se (v-w8506f1)")</f>
        <v>vytvářet se (v-w8506f1)</v>
      </c>
    </row>
    <row r="60453" spans="1:4" x14ac:dyDescent="0.2">
      <c r="B60453" t="s">
        <v>1</v>
      </c>
      <c r="C60453" t="s">
        <v>18884</v>
      </c>
    </row>
    <row r="60454" spans="1:4" x14ac:dyDescent="0.2">
      <c r="B60454" t="s">
        <v>438</v>
      </c>
      <c r="C60454" t="s">
        <v>1301</v>
      </c>
    </row>
    <row r="60456" spans="1:4" x14ac:dyDescent="0.2">
      <c r="A60456" t="s">
        <v>18885</v>
      </c>
      <c r="B60456" t="str">
        <f>HYPERLINK("https://lindat.mff.cuni.cz/services/teitok/pdtc10/index.php?action=vallex&amp;frame=v-whsa_1291hsa_1292", "vytypovat (v-whsa_1291hsa_1292)")</f>
        <v>vytypovat (v-whsa_1291hsa_1292)</v>
      </c>
    </row>
    <row r="60457" spans="1:4" x14ac:dyDescent="0.2">
      <c r="B60457" t="s">
        <v>1</v>
      </c>
    </row>
    <row r="60458" spans="1:4" x14ac:dyDescent="0.2">
      <c r="B60458" t="s">
        <v>8</v>
      </c>
    </row>
    <row r="60460" spans="1:4" x14ac:dyDescent="0.2">
      <c r="A60460" t="s">
        <v>18886</v>
      </c>
      <c r="B60460" t="str">
        <f>HYPERLINK("https://lindat.mff.cuni.cz/services/teitok/pdtc10/index.php?action=vallex&amp;frame=v-w8513f1", "vytyčit (v-w8513f1)")</f>
        <v>vytyčit (v-w8513f1)</v>
      </c>
    </row>
    <row r="60461" spans="1:4" x14ac:dyDescent="0.2">
      <c r="B60461" t="s">
        <v>1</v>
      </c>
      <c r="C60461" t="s">
        <v>3292</v>
      </c>
      <c r="D60461" t="s">
        <v>23261</v>
      </c>
    </row>
    <row r="60462" spans="1:4" x14ac:dyDescent="0.2">
      <c r="B60462" t="s">
        <v>124</v>
      </c>
      <c r="C60462" t="s">
        <v>2747</v>
      </c>
      <c r="D60462" t="s">
        <v>9548</v>
      </c>
    </row>
    <row r="60463" spans="1:4" x14ac:dyDescent="0.2">
      <c r="B60463" t="s">
        <v>78</v>
      </c>
    </row>
    <row r="60464" spans="1:4" x14ac:dyDescent="0.2">
      <c r="B60464" t="s">
        <v>71</v>
      </c>
    </row>
    <row r="60466" spans="1:4" x14ac:dyDescent="0.2">
      <c r="A60466" t="s">
        <v>18887</v>
      </c>
      <c r="B60466" t="str">
        <f>HYPERLINK("https://lindat.mff.cuni.cz/services/teitok/pdtc10/index.php?action=vallex&amp;frame=v-w8516f1", "vytyčovat (v-w8516f1)")</f>
        <v>vytyčovat (v-w8516f1)</v>
      </c>
    </row>
    <row r="60467" spans="1:4" x14ac:dyDescent="0.2">
      <c r="B60467" t="s">
        <v>1</v>
      </c>
      <c r="C60467" t="s">
        <v>33</v>
      </c>
      <c r="D60467" t="s">
        <v>23261</v>
      </c>
    </row>
    <row r="60468" spans="1:4" x14ac:dyDescent="0.2">
      <c r="B60468" t="s">
        <v>124</v>
      </c>
      <c r="C60468" t="s">
        <v>1128</v>
      </c>
      <c r="D60468" t="s">
        <v>9548</v>
      </c>
    </row>
    <row r="60470" spans="1:4" x14ac:dyDescent="0.2">
      <c r="A60470" t="s">
        <v>18888</v>
      </c>
      <c r="B60470" t="str">
        <f>HYPERLINK("https://lindat.mff.cuni.cz/services/teitok/pdtc10/index.php?action=vallex&amp;frame=v-w8456f1", "vytáhnout (v-w8456f1)")</f>
        <v>vytáhnout (v-w8456f1)</v>
      </c>
    </row>
    <row r="60471" spans="1:4" x14ac:dyDescent="0.2">
      <c r="B60471" t="s">
        <v>1</v>
      </c>
      <c r="C60471" t="s">
        <v>18889</v>
      </c>
      <c r="D60471" t="s">
        <v>7346</v>
      </c>
    </row>
    <row r="60472" spans="1:4" x14ac:dyDescent="0.2">
      <c r="B60472" t="s">
        <v>8</v>
      </c>
      <c r="C60472" t="s">
        <v>18890</v>
      </c>
      <c r="D60472" t="s">
        <v>5975</v>
      </c>
    </row>
    <row r="60473" spans="1:4" x14ac:dyDescent="0.2">
      <c r="B60473" t="s">
        <v>333</v>
      </c>
      <c r="C60473" t="s">
        <v>18891</v>
      </c>
      <c r="D60473" t="s">
        <v>24416</v>
      </c>
    </row>
    <row r="60475" spans="1:4" x14ac:dyDescent="0.2">
      <c r="A60475" t="s">
        <v>18892</v>
      </c>
      <c r="B60475" t="str">
        <f>HYPERLINK("https://lindat.mff.cuni.cz/services/teitok/pdtc10/index.php?action=vallex&amp;frame=v-w8456f4_ZU", "vytáhnout (v-w8456f4_ZU)")</f>
        <v>vytáhnout (v-w8456f4_ZU)</v>
      </c>
    </row>
    <row r="60476" spans="1:4" x14ac:dyDescent="0.2">
      <c r="B60476" t="s">
        <v>1</v>
      </c>
    </row>
    <row r="60477" spans="1:4" x14ac:dyDescent="0.2">
      <c r="B60477" t="s">
        <v>8</v>
      </c>
    </row>
    <row r="60478" spans="1:4" x14ac:dyDescent="0.2">
      <c r="B60478" t="s">
        <v>4622</v>
      </c>
    </row>
    <row r="60480" spans="1:4" x14ac:dyDescent="0.2">
      <c r="A60480" t="s">
        <v>18893</v>
      </c>
      <c r="B60480" t="str">
        <f>HYPERLINK("https://lindat.mff.cuni.cz/services/teitok/pdtc10/index.php?action=vallex&amp;frame=v-w8456f3_ZU", "vytáhnout (v-w8456f3_ZU)")</f>
        <v>vytáhnout (v-w8456f3_ZU)</v>
      </c>
    </row>
    <row r="60481" spans="1:4" x14ac:dyDescent="0.2">
      <c r="B60481" t="s">
        <v>1</v>
      </c>
    </row>
    <row r="60482" spans="1:4" x14ac:dyDescent="0.2">
      <c r="B60482" t="s">
        <v>24</v>
      </c>
    </row>
    <row r="60483" spans="1:4" x14ac:dyDescent="0.2">
      <c r="B60483" t="s">
        <v>61</v>
      </c>
    </row>
    <row r="60485" spans="1:4" x14ac:dyDescent="0.2">
      <c r="A60485" t="s">
        <v>18894</v>
      </c>
      <c r="B60485" t="str">
        <f>HYPERLINK("https://lindat.mff.cuni.cz/services/teitok/pdtc10/index.php?action=vallex&amp;frame=v-w8456f2", "vytáhnout (v-w8456f2)")</f>
        <v>vytáhnout (v-w8456f2)</v>
      </c>
    </row>
    <row r="60486" spans="1:4" x14ac:dyDescent="0.2">
      <c r="B60486" t="s">
        <v>1</v>
      </c>
    </row>
    <row r="60487" spans="1:4" x14ac:dyDescent="0.2">
      <c r="B60487" t="s">
        <v>90</v>
      </c>
    </row>
    <row r="60489" spans="1:4" x14ac:dyDescent="0.2">
      <c r="A60489" t="s">
        <v>18895</v>
      </c>
      <c r="B60489" t="str">
        <f>HYPERLINK("https://lindat.mff.cuni.cz/services/teitok/pdtc10/index.php?action=vallex&amp;frame=v-w8456hsa_1242", "vytáhnout (v-w8456hsa_1242)")</f>
        <v>vytáhnout (v-w8456hsa_1242)</v>
      </c>
    </row>
    <row r="60490" spans="1:4" x14ac:dyDescent="0.2">
      <c r="B60490" t="s">
        <v>1</v>
      </c>
      <c r="C60490" t="s">
        <v>2239</v>
      </c>
      <c r="D60490" t="s">
        <v>33</v>
      </c>
    </row>
    <row r="60491" spans="1:4" x14ac:dyDescent="0.2">
      <c r="B60491" t="s">
        <v>8</v>
      </c>
      <c r="C60491" t="s">
        <v>1510</v>
      </c>
      <c r="D60491" t="s">
        <v>3086</v>
      </c>
    </row>
    <row r="60492" spans="1:4" x14ac:dyDescent="0.2">
      <c r="B60492" t="s">
        <v>333</v>
      </c>
    </row>
    <row r="60494" spans="1:4" x14ac:dyDescent="0.2">
      <c r="A60494" t="s">
        <v>18896</v>
      </c>
      <c r="B60494" t="str">
        <f>HYPERLINK("https://lindat.mff.cuni.cz/services/teitok/pdtc10/index.php?action=vallex&amp;frame=v-w8456f5_ZU", "vytáhnout (v-w8456f5_ZU)")</f>
        <v>vytáhnout (v-w8456f5_ZU)</v>
      </c>
    </row>
    <row r="60495" spans="1:4" x14ac:dyDescent="0.2">
      <c r="B60495" t="s">
        <v>1</v>
      </c>
    </row>
    <row r="60496" spans="1:4" x14ac:dyDescent="0.2">
      <c r="B60496" t="s">
        <v>8</v>
      </c>
    </row>
    <row r="60497" spans="1:2" x14ac:dyDescent="0.2">
      <c r="B60497" t="s">
        <v>90</v>
      </c>
    </row>
    <row r="60499" spans="1:2" x14ac:dyDescent="0.2">
      <c r="A60499" t="s">
        <v>18896</v>
      </c>
      <c r="B60499" t="str">
        <f>HYPERLINK("https://lindat.mff.cuni.cz/services/teitok/pdtc10/index.php?action=vallex&amp;frame=v-w8456hsa_1058", "vytáhnout (v-w8456hsa_1058) - substituted with v-w8456f5_ZU")</f>
        <v>vytáhnout (v-w8456hsa_1058) - substituted with v-w8456f5_ZU</v>
      </c>
    </row>
    <row r="60500" spans="1:2" x14ac:dyDescent="0.2">
      <c r="B60500" t="s">
        <v>1</v>
      </c>
    </row>
    <row r="60501" spans="1:2" x14ac:dyDescent="0.2">
      <c r="B60501" t="s">
        <v>8</v>
      </c>
    </row>
    <row r="60502" spans="1:2" x14ac:dyDescent="0.2">
      <c r="B60502" t="s">
        <v>90</v>
      </c>
    </row>
    <row r="60504" spans="1:2" x14ac:dyDescent="0.2">
      <c r="A60504" t="s">
        <v>18897</v>
      </c>
      <c r="B60504" t="str">
        <f>HYPERLINK("https://lindat.mff.cuni.cz/services/teitok/pdtc10/index.php?action=vallex&amp;frame=v-w8456f8_ZU", "vytáhnout (v-w8456f8_ZU)")</f>
        <v>vytáhnout (v-w8456f8_ZU)</v>
      </c>
    </row>
    <row r="60505" spans="1:2" x14ac:dyDescent="0.2">
      <c r="B60505" t="s">
        <v>1</v>
      </c>
    </row>
    <row r="60506" spans="1:2" x14ac:dyDescent="0.2">
      <c r="B60506" t="s">
        <v>172</v>
      </c>
    </row>
    <row r="60507" spans="1:2" x14ac:dyDescent="0.2">
      <c r="B60507" t="s">
        <v>18898</v>
      </c>
    </row>
    <row r="60509" spans="1:2" x14ac:dyDescent="0.2">
      <c r="A60509" t="s">
        <v>18897</v>
      </c>
      <c r="B60509" t="str">
        <f>HYPERLINK("https://lindat.mff.cuni.cz/services/teitok/pdtc10/index.php?action=vallex&amp;frame=v-w8456f7_ZU", "vytáhnout (v-w8456f7_ZU) - substituted with v-w8456f8_ZU")</f>
        <v>vytáhnout (v-w8456f7_ZU) - substituted with v-w8456f8_ZU</v>
      </c>
    </row>
    <row r="60510" spans="1:2" x14ac:dyDescent="0.2">
      <c r="B60510" t="s">
        <v>1</v>
      </c>
    </row>
    <row r="60511" spans="1:2" x14ac:dyDescent="0.2">
      <c r="B60511" t="s">
        <v>172</v>
      </c>
    </row>
    <row r="60512" spans="1:2" x14ac:dyDescent="0.2">
      <c r="B60512" t="s">
        <v>18898</v>
      </c>
    </row>
    <row r="60514" spans="1:2" x14ac:dyDescent="0.2">
      <c r="A60514" t="s">
        <v>18897</v>
      </c>
      <c r="B60514" t="str">
        <f>HYPERLINK("https://lindat.mff.cuni.cz/services/teitok/pdtc10/index.php?action=vallex&amp;frame=v-w8456hsa_1059", "vytáhnout (v-w8456hsa_1059) - substituted with v-w8456f8_ZU")</f>
        <v>vytáhnout (v-w8456hsa_1059) - substituted with v-w8456f8_ZU</v>
      </c>
    </row>
    <row r="60515" spans="1:2" x14ac:dyDescent="0.2">
      <c r="B60515" t="s">
        <v>1</v>
      </c>
    </row>
    <row r="60516" spans="1:2" x14ac:dyDescent="0.2">
      <c r="B60516" t="s">
        <v>172</v>
      </c>
    </row>
    <row r="60517" spans="1:2" x14ac:dyDescent="0.2">
      <c r="B60517" t="s">
        <v>18898</v>
      </c>
    </row>
    <row r="60519" spans="1:2" x14ac:dyDescent="0.2">
      <c r="A60519" t="s">
        <v>18899</v>
      </c>
      <c r="B60519" t="str">
        <f>HYPERLINK("https://lindat.mff.cuni.cz/services/teitok/pdtc10/index.php?action=vallex&amp;frame=v-w8456f9_ZU", "vytáhnout (v-w8456f9_ZU)")</f>
        <v>vytáhnout (v-w8456f9_ZU)</v>
      </c>
    </row>
    <row r="60520" spans="1:2" x14ac:dyDescent="0.2">
      <c r="B60520" t="s">
        <v>1</v>
      </c>
    </row>
    <row r="60521" spans="1:2" x14ac:dyDescent="0.2">
      <c r="B60521" t="s">
        <v>8</v>
      </c>
    </row>
    <row r="60522" spans="1:2" x14ac:dyDescent="0.2">
      <c r="B60522" t="s">
        <v>90</v>
      </c>
    </row>
    <row r="60524" spans="1:2" x14ac:dyDescent="0.2">
      <c r="A60524" t="s">
        <v>18899</v>
      </c>
      <c r="B60524" t="str">
        <f>HYPERLINK("https://lindat.mff.cuni.cz/services/teitok/pdtc10/index.php?action=vallex&amp;frame=v-w8456f6_ZU", "vytáhnout (v-w8456f6_ZU) - substituted with v-w8456f9_ZU")</f>
        <v>vytáhnout (v-w8456f6_ZU) - substituted with v-w8456f9_ZU</v>
      </c>
    </row>
    <row r="60525" spans="1:2" x14ac:dyDescent="0.2">
      <c r="B60525" t="s">
        <v>1</v>
      </c>
    </row>
    <row r="60526" spans="1:2" x14ac:dyDescent="0.2">
      <c r="B60526" t="s">
        <v>8</v>
      </c>
    </row>
    <row r="60527" spans="1:2" x14ac:dyDescent="0.2">
      <c r="B60527" t="s">
        <v>90</v>
      </c>
    </row>
    <row r="60529" spans="1:4" x14ac:dyDescent="0.2">
      <c r="A60529" t="s">
        <v>18899</v>
      </c>
      <c r="B60529" t="str">
        <f>HYPERLINK("https://lindat.mff.cuni.cz/services/teitok/pdtc10/index.php?action=vallex&amp;frame=v-w8456hsa_1057", "vytáhnout (v-w8456hsa_1057) - substituted with v-w8456f9_ZU")</f>
        <v>vytáhnout (v-w8456hsa_1057) - substituted with v-w8456f9_ZU</v>
      </c>
    </row>
    <row r="60530" spans="1:4" x14ac:dyDescent="0.2">
      <c r="B60530" t="s">
        <v>1</v>
      </c>
    </row>
    <row r="60531" spans="1:4" x14ac:dyDescent="0.2">
      <c r="B60531" t="s">
        <v>8</v>
      </c>
    </row>
    <row r="60532" spans="1:4" x14ac:dyDescent="0.2">
      <c r="B60532" t="s">
        <v>90</v>
      </c>
    </row>
    <row r="60534" spans="1:4" x14ac:dyDescent="0.2">
      <c r="A60534" t="s">
        <v>18900</v>
      </c>
      <c r="B60534" t="str">
        <f>HYPERLINK("https://lindat.mff.cuni.cz/services/teitok/pdtc10/index.php?action=vallex&amp;frame=v-w8456hsa_1060", "vytáhnout (v-w8456hsa_1060)")</f>
        <v>vytáhnout (v-w8456hsa_1060)</v>
      </c>
    </row>
    <row r="60535" spans="1:4" x14ac:dyDescent="0.2">
      <c r="B60535" t="s">
        <v>1</v>
      </c>
    </row>
    <row r="60536" spans="1:4" x14ac:dyDescent="0.2">
      <c r="B60536" t="s">
        <v>8</v>
      </c>
    </row>
    <row r="60537" spans="1:4" x14ac:dyDescent="0.2">
      <c r="B60537" t="s">
        <v>88</v>
      </c>
    </row>
    <row r="60539" spans="1:4" x14ac:dyDescent="0.2">
      <c r="A60539" t="s">
        <v>18901</v>
      </c>
      <c r="B60539" t="str">
        <f>HYPERLINK("https://lindat.mff.cuni.cz/services/teitok/pdtc10/index.php?action=vallex&amp;frame=v-w8456hsa_1243", "vytáhnout (v-w8456hsa_1243)")</f>
        <v>vytáhnout (v-w8456hsa_1243)</v>
      </c>
    </row>
    <row r="60540" spans="1:4" x14ac:dyDescent="0.2">
      <c r="B60540" t="s">
        <v>1</v>
      </c>
      <c r="C60540" t="s">
        <v>133</v>
      </c>
      <c r="D60540" t="s">
        <v>23523</v>
      </c>
    </row>
    <row r="60541" spans="1:4" x14ac:dyDescent="0.2">
      <c r="B60541" t="s">
        <v>8</v>
      </c>
      <c r="C60541" t="s">
        <v>991</v>
      </c>
      <c r="D60541" t="s">
        <v>23524</v>
      </c>
    </row>
    <row r="60542" spans="1:4" x14ac:dyDescent="0.2">
      <c r="B60542" t="s">
        <v>24</v>
      </c>
      <c r="D60542" t="s">
        <v>23525</v>
      </c>
    </row>
    <row r="60543" spans="1:4" x14ac:dyDescent="0.2">
      <c r="B60543" t="s">
        <v>61</v>
      </c>
      <c r="D60543" t="s">
        <v>23526</v>
      </c>
    </row>
    <row r="60545" spans="1:4" x14ac:dyDescent="0.2">
      <c r="A60545" t="s">
        <v>18902</v>
      </c>
      <c r="B60545" t="str">
        <f>HYPERLINK("https://lindat.mff.cuni.cz/services/teitok/pdtc10/index.php?action=vallex&amp;frame=v-w8457f1", "vytáhnout se (v-w8457f1)")</f>
        <v>vytáhnout se (v-w8457f1)</v>
      </c>
    </row>
    <row r="60546" spans="1:4" x14ac:dyDescent="0.2">
      <c r="B60546" t="s">
        <v>1</v>
      </c>
    </row>
    <row r="60547" spans="1:4" x14ac:dyDescent="0.2">
      <c r="B60547" t="s">
        <v>215</v>
      </c>
    </row>
    <row r="60548" spans="1:4" x14ac:dyDescent="0.2">
      <c r="B60548" t="s">
        <v>3375</v>
      </c>
    </row>
    <row r="60550" spans="1:4" x14ac:dyDescent="0.2">
      <c r="A60550" t="s">
        <v>18903</v>
      </c>
      <c r="B60550" t="str">
        <f>HYPERLINK("https://lindat.mff.cuni.cz/services/teitok/pdtc10/index.php?action=vallex&amp;frame=v-w8461f1", "vytápět (v-w8461f1)")</f>
        <v>vytápět (v-w8461f1)</v>
      </c>
    </row>
    <row r="60551" spans="1:4" x14ac:dyDescent="0.2">
      <c r="B60551" t="s">
        <v>1</v>
      </c>
    </row>
    <row r="60552" spans="1:4" x14ac:dyDescent="0.2">
      <c r="B60552" t="s">
        <v>8</v>
      </c>
      <c r="C60552" t="s">
        <v>6585</v>
      </c>
    </row>
    <row r="60554" spans="1:4" x14ac:dyDescent="0.2">
      <c r="A60554" t="s">
        <v>18904</v>
      </c>
      <c r="B60554" t="str">
        <f>HYPERLINK("https://lindat.mff.cuni.cz/services/teitok/pdtc10/index.php?action=vallex&amp;frame=v-w8454f1", "vytáčet (v-w8454f1)")</f>
        <v>vytáčet (v-w8454f1)</v>
      </c>
    </row>
    <row r="60555" spans="1:4" x14ac:dyDescent="0.2">
      <c r="B60555" t="s">
        <v>1</v>
      </c>
      <c r="D60555" t="s">
        <v>13118</v>
      </c>
    </row>
    <row r="60556" spans="1:4" x14ac:dyDescent="0.2">
      <c r="B60556" t="s">
        <v>8</v>
      </c>
      <c r="D60556" t="s">
        <v>13080</v>
      </c>
    </row>
    <row r="60558" spans="1:4" x14ac:dyDescent="0.2">
      <c r="A60558" t="s">
        <v>18905</v>
      </c>
      <c r="B60558" t="str">
        <f>HYPERLINK("https://lindat.mff.cuni.cz/services/teitok/pdtc10/index.php?action=vallex&amp;frame=v-w8454f2", "vytáčet (v-w8454f2)")</f>
        <v>vytáčet (v-w8454f2)</v>
      </c>
    </row>
    <row r="60559" spans="1:4" x14ac:dyDescent="0.2">
      <c r="B60559" t="s">
        <v>1</v>
      </c>
    </row>
    <row r="60560" spans="1:4" x14ac:dyDescent="0.2">
      <c r="B60560" t="s">
        <v>8</v>
      </c>
    </row>
    <row r="60562" spans="1:4" x14ac:dyDescent="0.2">
      <c r="A60562" t="s">
        <v>18906</v>
      </c>
      <c r="B60562" t="str">
        <f>HYPERLINK("https://lindat.mff.cuni.cz/services/teitok/pdtc10/index.php?action=vallex&amp;frame=v-w8454f3_ZU", "vytáčet (v-w8454f3_ZU)")</f>
        <v>vytáčet (v-w8454f3_ZU)</v>
      </c>
    </row>
    <row r="60563" spans="1:4" x14ac:dyDescent="0.2">
      <c r="B60563" t="s">
        <v>1</v>
      </c>
    </row>
    <row r="60564" spans="1:4" x14ac:dyDescent="0.2">
      <c r="B60564" t="s">
        <v>8</v>
      </c>
    </row>
    <row r="60566" spans="1:4" x14ac:dyDescent="0.2">
      <c r="A60566" t="s">
        <v>18907</v>
      </c>
      <c r="B60566" t="str">
        <f>HYPERLINK("https://lindat.mff.cuni.cz/services/teitok/pdtc10/index.php?action=vallex&amp;frame=v-w8454f4_ZU", "vytáčet (v-w8454f4_ZU)")</f>
        <v>vytáčet (v-w8454f4_ZU)</v>
      </c>
    </row>
    <row r="60567" spans="1:4" x14ac:dyDescent="0.2">
      <c r="B60567" t="s">
        <v>1</v>
      </c>
    </row>
    <row r="60568" spans="1:4" x14ac:dyDescent="0.2">
      <c r="B60568" t="s">
        <v>8</v>
      </c>
    </row>
    <row r="60569" spans="1:4" x14ac:dyDescent="0.2">
      <c r="B60569" t="s">
        <v>4622</v>
      </c>
    </row>
    <row r="60571" spans="1:4" x14ac:dyDescent="0.2">
      <c r="A60571" t="s">
        <v>18908</v>
      </c>
      <c r="B60571" t="str">
        <f>HYPERLINK("https://lindat.mff.cuni.cz/services/teitok/pdtc10/index.php?action=vallex&amp;frame=v-w8465f1", "vytéci (v-w8465f1)")</f>
        <v>vytéci (v-w8465f1)</v>
      </c>
    </row>
    <row r="60572" spans="1:4" x14ac:dyDescent="0.2">
      <c r="B60572" t="s">
        <v>1</v>
      </c>
      <c r="C60572" t="s">
        <v>964</v>
      </c>
    </row>
    <row r="60573" spans="1:4" x14ac:dyDescent="0.2">
      <c r="B60573" t="s">
        <v>333</v>
      </c>
    </row>
    <row r="60575" spans="1:4" x14ac:dyDescent="0.2">
      <c r="A60575" t="s">
        <v>18909</v>
      </c>
      <c r="B60575" t="str">
        <f>HYPERLINK("https://lindat.mff.cuni.cz/services/teitok/pdtc10/index.php?action=vallex&amp;frame=v-w11114f2", "vytékat (v-w11114f2)")</f>
        <v>vytékat (v-w11114f2)</v>
      </c>
    </row>
    <row r="60576" spans="1:4" x14ac:dyDescent="0.2">
      <c r="B60576" t="s">
        <v>1</v>
      </c>
      <c r="C60576" t="s">
        <v>1168</v>
      </c>
      <c r="D60576" t="s">
        <v>23789</v>
      </c>
    </row>
    <row r="60577" spans="1:4" x14ac:dyDescent="0.2">
      <c r="B60577" t="s">
        <v>333</v>
      </c>
      <c r="D60577" t="s">
        <v>24240</v>
      </c>
    </row>
    <row r="60579" spans="1:4" x14ac:dyDescent="0.2">
      <c r="A60579" t="s">
        <v>18910</v>
      </c>
      <c r="B60579" t="str">
        <f>HYPERLINK("https://lindat.mff.cuni.cz/services/teitok/pdtc10/index.php?action=vallex&amp;frame=v-whsa_258hsa_259", "vytírat (v-whsa_258hsa_259)")</f>
        <v>vytírat (v-whsa_258hsa_259)</v>
      </c>
    </row>
    <row r="60580" spans="1:4" x14ac:dyDescent="0.2">
      <c r="B60580" t="s">
        <v>1</v>
      </c>
    </row>
    <row r="60581" spans="1:4" x14ac:dyDescent="0.2">
      <c r="B60581" t="s">
        <v>8</v>
      </c>
    </row>
    <row r="60583" spans="1:4" x14ac:dyDescent="0.2">
      <c r="A60583" t="s">
        <v>18911</v>
      </c>
      <c r="B60583" t="str">
        <f>HYPERLINK("https://lindat.mff.cuni.cz/services/teitok/pdtc10/index.php?action=vallex&amp;frame=v-w8480f1", "vytížit (v-w8480f1)")</f>
        <v>vytížit (v-w8480f1)</v>
      </c>
    </row>
    <row r="60584" spans="1:4" x14ac:dyDescent="0.2">
      <c r="B60584" t="s">
        <v>1</v>
      </c>
    </row>
    <row r="60585" spans="1:4" x14ac:dyDescent="0.2">
      <c r="B60585" t="s">
        <v>8</v>
      </c>
      <c r="C60585" t="s">
        <v>18912</v>
      </c>
    </row>
    <row r="60587" spans="1:4" x14ac:dyDescent="0.2">
      <c r="A60587" t="s">
        <v>18913</v>
      </c>
      <c r="B60587" t="str">
        <f>HYPERLINK("https://lindat.mff.cuni.cz/services/teitok/pdtc10/index.php?action=vallex&amp;frame=v-w8517f2", "vytýkat (v-w8517f2)")</f>
        <v>vytýkat (v-w8517f2)</v>
      </c>
    </row>
    <row r="60588" spans="1:4" x14ac:dyDescent="0.2">
      <c r="B60588" t="s">
        <v>1</v>
      </c>
    </row>
    <row r="60589" spans="1:4" x14ac:dyDescent="0.2">
      <c r="B60589" t="s">
        <v>5069</v>
      </c>
    </row>
    <row r="60590" spans="1:4" x14ac:dyDescent="0.2">
      <c r="B60590" t="s">
        <v>78</v>
      </c>
    </row>
    <row r="60591" spans="1:4" x14ac:dyDescent="0.2">
      <c r="B60591" t="s">
        <v>2491</v>
      </c>
    </row>
    <row r="60593" spans="1:4" x14ac:dyDescent="0.2">
      <c r="A60593" t="s">
        <v>18914</v>
      </c>
      <c r="B60593" t="str">
        <f>HYPERLINK("https://lindat.mff.cuni.cz/services/teitok/pdtc10/index.php?action=vallex&amp;frame=v-w8517f1", "vytýkat (v-w8517f1)")</f>
        <v>vytýkat (v-w8517f1)</v>
      </c>
    </row>
    <row r="60594" spans="1:4" x14ac:dyDescent="0.2">
      <c r="B60594" t="s">
        <v>1</v>
      </c>
      <c r="C60594" t="s">
        <v>990</v>
      </c>
      <c r="D60594" t="s">
        <v>990</v>
      </c>
    </row>
    <row r="60595" spans="1:4" x14ac:dyDescent="0.2">
      <c r="B60595" t="s">
        <v>124</v>
      </c>
      <c r="C60595" t="s">
        <v>1128</v>
      </c>
      <c r="D60595" t="s">
        <v>4141</v>
      </c>
    </row>
    <row r="60596" spans="1:4" x14ac:dyDescent="0.2">
      <c r="B60596" t="s">
        <v>35</v>
      </c>
      <c r="D60596" t="s">
        <v>7520</v>
      </c>
    </row>
    <row r="60598" spans="1:4" x14ac:dyDescent="0.2">
      <c r="A60598" t="s">
        <v>18915</v>
      </c>
      <c r="B60598" t="str">
        <f>HYPERLINK("https://lindat.mff.cuni.cz/services/teitok/pdtc10/index.php?action=vallex&amp;frame=v-w8514f1", "vytýčit (v-w8514f1)")</f>
        <v>vytýčit (v-w8514f1)</v>
      </c>
    </row>
    <row r="60599" spans="1:4" x14ac:dyDescent="0.2">
      <c r="B60599" t="s">
        <v>1</v>
      </c>
    </row>
    <row r="60600" spans="1:4" x14ac:dyDescent="0.2">
      <c r="B60600" t="s">
        <v>124</v>
      </c>
    </row>
    <row r="60602" spans="1:4" x14ac:dyDescent="0.2">
      <c r="A60602" t="s">
        <v>18916</v>
      </c>
      <c r="B60602" t="str">
        <f>HYPERLINK("https://lindat.mff.cuni.cz/services/teitok/pdtc10/index.php?action=vallex&amp;frame=v-w8470f1", "vytěsnit (v-w8470f1)")</f>
        <v>vytěsnit (v-w8470f1)</v>
      </c>
    </row>
    <row r="60603" spans="1:4" x14ac:dyDescent="0.2">
      <c r="B60603" t="s">
        <v>1</v>
      </c>
      <c r="C60603" t="s">
        <v>140</v>
      </c>
    </row>
    <row r="60604" spans="1:4" x14ac:dyDescent="0.2">
      <c r="B60604" t="s">
        <v>8</v>
      </c>
      <c r="C60604" t="s">
        <v>991</v>
      </c>
      <c r="D60604" t="s">
        <v>34</v>
      </c>
    </row>
    <row r="60605" spans="1:4" x14ac:dyDescent="0.2">
      <c r="B60605" t="s">
        <v>333</v>
      </c>
      <c r="C60605" t="s">
        <v>17677</v>
      </c>
      <c r="D60605" t="s">
        <v>17677</v>
      </c>
    </row>
    <row r="60607" spans="1:4" x14ac:dyDescent="0.2">
      <c r="A60607" t="s">
        <v>18917</v>
      </c>
      <c r="B60607" t="str">
        <f>HYPERLINK("https://lindat.mff.cuni.cz/services/teitok/pdtc10/index.php?action=vallex&amp;frame=v-w8473f2", "vytěžit (v-w8473f2)")</f>
        <v>vytěžit (v-w8473f2)</v>
      </c>
    </row>
    <row r="60608" spans="1:4" x14ac:dyDescent="0.2">
      <c r="B60608" t="s">
        <v>1</v>
      </c>
      <c r="C60608" t="s">
        <v>18918</v>
      </c>
      <c r="D60608" t="s">
        <v>23931</v>
      </c>
    </row>
    <row r="60609" spans="1:4" x14ac:dyDescent="0.2">
      <c r="B60609" t="s">
        <v>8</v>
      </c>
      <c r="C60609" t="s">
        <v>18919</v>
      </c>
    </row>
    <row r="60610" spans="1:4" x14ac:dyDescent="0.2">
      <c r="B60610" t="s">
        <v>24</v>
      </c>
      <c r="C60610" t="s">
        <v>18920</v>
      </c>
      <c r="D60610" t="s">
        <v>24301</v>
      </c>
    </row>
    <row r="60612" spans="1:4" x14ac:dyDescent="0.2">
      <c r="A60612" t="s">
        <v>18921</v>
      </c>
      <c r="B60612" t="str">
        <f>HYPERLINK("https://lindat.mff.cuni.cz/services/teitok/pdtc10/index.php?action=vallex&amp;frame=v-w8473f1", "vytěžit (v-w8473f1)")</f>
        <v>vytěžit (v-w8473f1)</v>
      </c>
    </row>
    <row r="60613" spans="1:4" x14ac:dyDescent="0.2">
      <c r="B60613" t="s">
        <v>1</v>
      </c>
    </row>
    <row r="60614" spans="1:4" x14ac:dyDescent="0.2">
      <c r="B60614" t="s">
        <v>8</v>
      </c>
    </row>
    <row r="60615" spans="1:4" x14ac:dyDescent="0.2">
      <c r="B60615" t="s">
        <v>333</v>
      </c>
    </row>
    <row r="60617" spans="1:4" x14ac:dyDescent="0.2">
      <c r="A60617" t="s">
        <v>18922</v>
      </c>
      <c r="B60617" t="str">
        <f>HYPERLINK("https://lindat.mff.cuni.cz/services/teitok/pdtc10/index.php?action=vallex&amp;frame=v-w11672_ZUf1_ZU", "vytřást (v-w11672_ZUf1_ZU)")</f>
        <v>vytřást (v-w11672_ZUf1_ZU)</v>
      </c>
    </row>
    <row r="60618" spans="1:4" x14ac:dyDescent="0.2">
      <c r="B60618" t="s">
        <v>1</v>
      </c>
      <c r="C60618" t="s">
        <v>140</v>
      </c>
    </row>
    <row r="60619" spans="1:4" x14ac:dyDescent="0.2">
      <c r="B60619" t="s">
        <v>8</v>
      </c>
      <c r="C60619" t="s">
        <v>113</v>
      </c>
    </row>
    <row r="60621" spans="1:4" x14ac:dyDescent="0.2">
      <c r="A60621" t="s">
        <v>18923</v>
      </c>
      <c r="B60621" t="str">
        <f>HYPERLINK("https://lindat.mff.cuni.cz/services/teitok/pdtc10/index.php?action=vallex&amp;frame=v-w11631_ZUf1_ZU", "vytříbit (v-w11631_ZUf1_ZU)")</f>
        <v>vytříbit (v-w11631_ZUf1_ZU)</v>
      </c>
    </row>
    <row r="60622" spans="1:4" x14ac:dyDescent="0.2">
      <c r="B60622" t="s">
        <v>1</v>
      </c>
      <c r="C60622" t="s">
        <v>33</v>
      </c>
    </row>
    <row r="60623" spans="1:4" x14ac:dyDescent="0.2">
      <c r="B60623" t="s">
        <v>8</v>
      </c>
      <c r="C60623" t="s">
        <v>56</v>
      </c>
    </row>
    <row r="60625" spans="1:2" x14ac:dyDescent="0.2">
      <c r="A60625" t="s">
        <v>18924</v>
      </c>
      <c r="B60625" t="str">
        <f>HYPERLINK("https://lindat.mff.cuni.cz/services/teitok/pdtc10/index.php?action=vallex&amp;frame=v-w8498f1", "vytříbit se (v-w8498f1)")</f>
        <v>vytříbit se (v-w8498f1)</v>
      </c>
    </row>
    <row r="60626" spans="1:2" x14ac:dyDescent="0.2">
      <c r="B60626" t="s">
        <v>1</v>
      </c>
    </row>
    <row r="60628" spans="1:2" x14ac:dyDescent="0.2">
      <c r="A60628" t="s">
        <v>18925</v>
      </c>
      <c r="B60628" t="str">
        <f>HYPERLINK("https://lindat.mff.cuni.cz/services/teitok/pdtc10/index.php?action=vallex&amp;frame=v-w8499f2", "vytřídit (v-w8499f2)")</f>
        <v>vytřídit (v-w8499f2)</v>
      </c>
    </row>
    <row r="60629" spans="1:2" x14ac:dyDescent="0.2">
      <c r="B60629" t="s">
        <v>1</v>
      </c>
    </row>
    <row r="60630" spans="1:2" x14ac:dyDescent="0.2">
      <c r="B60630" t="s">
        <v>8</v>
      </c>
    </row>
    <row r="60631" spans="1:2" x14ac:dyDescent="0.2">
      <c r="B60631" t="s">
        <v>333</v>
      </c>
    </row>
    <row r="60633" spans="1:2" x14ac:dyDescent="0.2">
      <c r="A60633" t="s">
        <v>18926</v>
      </c>
      <c r="B60633" t="str">
        <f>HYPERLINK("https://lindat.mff.cuni.cz/services/teitok/pdtc10/index.php?action=vallex&amp;frame=v-w8499f1", "vytřídit (v-w8499f1)")</f>
        <v>vytřídit (v-w8499f1)</v>
      </c>
    </row>
    <row r="60634" spans="1:2" x14ac:dyDescent="0.2">
      <c r="B60634" t="s">
        <v>1</v>
      </c>
    </row>
    <row r="60635" spans="1:2" x14ac:dyDescent="0.2">
      <c r="B60635" t="s">
        <v>8</v>
      </c>
    </row>
    <row r="60637" spans="1:2" x14ac:dyDescent="0.2">
      <c r="A60637" t="s">
        <v>18927</v>
      </c>
      <c r="B60637" t="str">
        <f>HYPERLINK("https://lindat.mff.cuni.cz/services/teitok/pdtc10/index.php?action=vallex&amp;frame=v-whsa_1379hsa_1380", "vytřít (v-whsa_1379hsa_1380)")</f>
        <v>vytřít (v-whsa_1379hsa_1380)</v>
      </c>
    </row>
    <row r="60638" spans="1:2" x14ac:dyDescent="0.2">
      <c r="B60638" t="s">
        <v>1</v>
      </c>
    </row>
    <row r="60639" spans="1:2" x14ac:dyDescent="0.2">
      <c r="B60639" t="s">
        <v>8</v>
      </c>
    </row>
    <row r="60641" spans="1:4" x14ac:dyDescent="0.2">
      <c r="A60641" t="s">
        <v>18928</v>
      </c>
      <c r="B60641" t="str">
        <f>HYPERLINK("https://lindat.mff.cuni.cz/services/teitok/pdtc10/index.php?action=vallex&amp;frame=v-w11807_ZUf1_ZU", "vyudit (v-w11807_ZUf1_ZU)")</f>
        <v>vyudit (v-w11807_ZUf1_ZU)</v>
      </c>
    </row>
    <row r="60642" spans="1:4" x14ac:dyDescent="0.2">
      <c r="B60642" t="s">
        <v>1</v>
      </c>
    </row>
    <row r="60643" spans="1:4" x14ac:dyDescent="0.2">
      <c r="B60643" t="s">
        <v>8</v>
      </c>
    </row>
    <row r="60645" spans="1:4" x14ac:dyDescent="0.2">
      <c r="A60645" t="s">
        <v>18929</v>
      </c>
      <c r="B60645" t="str">
        <f>HYPERLINK("https://lindat.mff.cuni.cz/services/teitok/pdtc10/index.php?action=vallex&amp;frame=v-w8519f2_ZU", "vyučit (v-w8519f2_ZU)")</f>
        <v>vyučit (v-w8519f2_ZU)</v>
      </c>
    </row>
    <row r="60646" spans="1:4" x14ac:dyDescent="0.2">
      <c r="B60646" t="s">
        <v>1</v>
      </c>
    </row>
    <row r="60647" spans="1:4" x14ac:dyDescent="0.2">
      <c r="B60647" t="s">
        <v>18930</v>
      </c>
    </row>
    <row r="60648" spans="1:4" x14ac:dyDescent="0.2">
      <c r="B60648" t="s">
        <v>58</v>
      </c>
    </row>
    <row r="60650" spans="1:4" x14ac:dyDescent="0.2">
      <c r="A60650" t="s">
        <v>18929</v>
      </c>
      <c r="B60650" t="str">
        <f>HYPERLINK("https://lindat.mff.cuni.cz/services/teitok/pdtc10/index.php?action=vallex&amp;frame=v-w8519f1", "vyučit (v-w8519f1) - substituted with v-w8519f2_ZU")</f>
        <v>vyučit (v-w8519f1) - substituted with v-w8519f2_ZU</v>
      </c>
    </row>
    <row r="60651" spans="1:4" x14ac:dyDescent="0.2">
      <c r="B60651" t="s">
        <v>1</v>
      </c>
      <c r="D60651" t="s">
        <v>1106</v>
      </c>
    </row>
    <row r="60652" spans="1:4" x14ac:dyDescent="0.2">
      <c r="B60652" t="s">
        <v>18930</v>
      </c>
      <c r="D60652" t="s">
        <v>23573</v>
      </c>
    </row>
    <row r="60653" spans="1:4" x14ac:dyDescent="0.2">
      <c r="B60653" t="s">
        <v>58</v>
      </c>
      <c r="D60653" t="s">
        <v>23574</v>
      </c>
    </row>
    <row r="60655" spans="1:4" x14ac:dyDescent="0.2">
      <c r="A60655" t="s">
        <v>18929</v>
      </c>
      <c r="B60655" t="str">
        <f>HYPERLINK("https://lindat.mff.cuni.cz/services/teitok/pdtc10/index.php?action=vallex&amp;frame=v-w8519hsa_777", "vyučit (v-w8519hsa_777) - substituted with v-w8519f2_ZU")</f>
        <v>vyučit (v-w8519hsa_777) - substituted with v-w8519f2_ZU</v>
      </c>
    </row>
    <row r="60656" spans="1:4" x14ac:dyDescent="0.2">
      <c r="B60656" t="s">
        <v>1</v>
      </c>
    </row>
    <row r="60657" spans="1:4" x14ac:dyDescent="0.2">
      <c r="B60657" t="s">
        <v>18930</v>
      </c>
    </row>
    <row r="60658" spans="1:4" x14ac:dyDescent="0.2">
      <c r="B60658" t="s">
        <v>58</v>
      </c>
    </row>
    <row r="60660" spans="1:4" x14ac:dyDescent="0.2">
      <c r="A60660" t="s">
        <v>18931</v>
      </c>
      <c r="B60660" t="str">
        <f>HYPERLINK("https://lindat.mff.cuni.cz/services/teitok/pdtc10/index.php?action=vallex&amp;frame=v-w8520f3_ZU", "vyučit se (v-w8520f3_ZU)")</f>
        <v>vyučit se (v-w8520f3_ZU)</v>
      </c>
    </row>
    <row r="60661" spans="1:4" x14ac:dyDescent="0.2">
      <c r="B60661" t="s">
        <v>1</v>
      </c>
    </row>
    <row r="60662" spans="1:4" x14ac:dyDescent="0.2">
      <c r="B60662" t="s">
        <v>18932</v>
      </c>
    </row>
    <row r="60664" spans="1:4" x14ac:dyDescent="0.2">
      <c r="A60664" t="s">
        <v>18931</v>
      </c>
      <c r="B60664" t="str">
        <f>HYPERLINK("https://lindat.mff.cuni.cz/services/teitok/pdtc10/index.php?action=vallex&amp;frame=v-w8520f1", "vyučit se (v-w8520f1) - substituted with v-w8520f3_ZU")</f>
        <v>vyučit se (v-w8520f1) - substituted with v-w8520f3_ZU</v>
      </c>
    </row>
    <row r="60665" spans="1:4" x14ac:dyDescent="0.2">
      <c r="B60665" t="s">
        <v>1</v>
      </c>
      <c r="D60665" t="s">
        <v>24430</v>
      </c>
    </row>
    <row r="60666" spans="1:4" x14ac:dyDescent="0.2">
      <c r="B60666" t="s">
        <v>18932</v>
      </c>
      <c r="D60666" t="s">
        <v>18623</v>
      </c>
    </row>
    <row r="60668" spans="1:4" x14ac:dyDescent="0.2">
      <c r="A60668" t="s">
        <v>18931</v>
      </c>
      <c r="B60668" t="str">
        <f>HYPERLINK("https://lindat.mff.cuni.cz/services/teitok/pdtc10/index.php?action=vallex&amp;frame=v-w8520f2_ZU", "vyučit se (v-w8520f2_ZU) - substituted with v-w8520f3_ZU")</f>
        <v>vyučit se (v-w8520f2_ZU) - substituted with v-w8520f3_ZU</v>
      </c>
    </row>
    <row r="60669" spans="1:4" x14ac:dyDescent="0.2">
      <c r="B60669" t="s">
        <v>1</v>
      </c>
    </row>
    <row r="60670" spans="1:4" x14ac:dyDescent="0.2">
      <c r="B60670" t="s">
        <v>18932</v>
      </c>
    </row>
    <row r="60672" spans="1:4" x14ac:dyDescent="0.2">
      <c r="A60672" t="s">
        <v>18931</v>
      </c>
      <c r="B60672" t="str">
        <f>HYPERLINK("https://lindat.mff.cuni.cz/services/teitok/pdtc10/index.php?action=vallex&amp;frame=v-w8520hsa_667", "vyučit se (v-w8520hsa_667) - substituted with v-w8520f3_ZU")</f>
        <v>vyučit se (v-w8520hsa_667) - substituted with v-w8520f3_ZU</v>
      </c>
    </row>
    <row r="60673" spans="1:4" x14ac:dyDescent="0.2">
      <c r="B60673" t="s">
        <v>1</v>
      </c>
    </row>
    <row r="60674" spans="1:4" x14ac:dyDescent="0.2">
      <c r="B60674" t="s">
        <v>18932</v>
      </c>
    </row>
    <row r="60676" spans="1:4" x14ac:dyDescent="0.2">
      <c r="A60676" t="s">
        <v>18933</v>
      </c>
      <c r="B60676" t="str">
        <f>HYPERLINK("https://lindat.mff.cuni.cz/services/teitok/pdtc10/index.php?action=vallex&amp;frame=v-w8522f1", "vyučovat (v-w8522f1)")</f>
        <v>vyučovat (v-w8522f1)</v>
      </c>
    </row>
    <row r="60677" spans="1:4" x14ac:dyDescent="0.2">
      <c r="B60677" t="s">
        <v>1</v>
      </c>
      <c r="C60677" t="s">
        <v>1366</v>
      </c>
      <c r="D60677" t="s">
        <v>1106</v>
      </c>
    </row>
    <row r="60678" spans="1:4" x14ac:dyDescent="0.2">
      <c r="B60678" t="s">
        <v>16866</v>
      </c>
      <c r="C60678" t="s">
        <v>6243</v>
      </c>
      <c r="D60678" t="s">
        <v>23573</v>
      </c>
    </row>
    <row r="60679" spans="1:4" x14ac:dyDescent="0.2">
      <c r="B60679" t="s">
        <v>2194</v>
      </c>
      <c r="C60679" t="s">
        <v>3041</v>
      </c>
      <c r="D60679" t="s">
        <v>23574</v>
      </c>
    </row>
    <row r="60681" spans="1:4" x14ac:dyDescent="0.2">
      <c r="A60681" t="s">
        <v>18934</v>
      </c>
      <c r="B60681" t="str">
        <f>HYPERLINK("https://lindat.mff.cuni.cz/services/teitok/pdtc10/index.php?action=vallex&amp;frame=v-w8528f1", "využít (v-w8528f1)")</f>
        <v>využít (v-w8528f1)</v>
      </c>
    </row>
    <row r="60682" spans="1:4" x14ac:dyDescent="0.2">
      <c r="B60682" t="s">
        <v>1</v>
      </c>
      <c r="C60682" t="s">
        <v>18935</v>
      </c>
      <c r="D60682" t="s">
        <v>22958</v>
      </c>
    </row>
    <row r="60683" spans="1:4" x14ac:dyDescent="0.2">
      <c r="B60683" t="s">
        <v>18936</v>
      </c>
      <c r="C60683" t="s">
        <v>18937</v>
      </c>
      <c r="D60683" t="s">
        <v>22959</v>
      </c>
    </row>
    <row r="60685" spans="1:4" x14ac:dyDescent="0.2">
      <c r="A60685" t="s">
        <v>18938</v>
      </c>
      <c r="B60685" t="str">
        <f>HYPERLINK("https://lindat.mff.cuni.cz/services/teitok/pdtc10/index.php?action=vallex&amp;frame=v-w8533f1", "využívat (v-w8533f1)")</f>
        <v>využívat (v-w8533f1)</v>
      </c>
    </row>
    <row r="60686" spans="1:4" x14ac:dyDescent="0.2">
      <c r="B60686" t="s">
        <v>1</v>
      </c>
      <c r="C60686" t="s">
        <v>18939</v>
      </c>
      <c r="D60686" t="s">
        <v>22958</v>
      </c>
    </row>
    <row r="60687" spans="1:4" x14ac:dyDescent="0.2">
      <c r="B60687" t="s">
        <v>968</v>
      </c>
      <c r="C60687" t="s">
        <v>18940</v>
      </c>
      <c r="D60687" t="s">
        <v>22959</v>
      </c>
    </row>
    <row r="60689" spans="1:2" x14ac:dyDescent="0.2">
      <c r="A60689" t="s">
        <v>18941</v>
      </c>
      <c r="B60689" t="str">
        <f>HYPERLINK("https://lindat.mff.cuni.cz/services/teitok/pdtc10/index.php?action=vallex&amp;frame=v-w8533f2", "využívat (v-w8533f2)")</f>
        <v>využívat (v-w8533f2)</v>
      </c>
    </row>
    <row r="60690" spans="1:2" x14ac:dyDescent="0.2">
      <c r="B60690" t="s">
        <v>1</v>
      </c>
    </row>
    <row r="60691" spans="1:2" x14ac:dyDescent="0.2">
      <c r="B60691" t="s">
        <v>8</v>
      </c>
    </row>
    <row r="60693" spans="1:2" x14ac:dyDescent="0.2">
      <c r="A60693" t="s">
        <v>18942</v>
      </c>
      <c r="B60693" t="str">
        <f>HYPERLINK("https://lindat.mff.cuni.cz/services/teitok/pdtc10/index.php?action=vallex&amp;frame=v-whsa_103hsa_104", "vyvalit (v-whsa_103hsa_104)")</f>
        <v>vyvalit (v-whsa_103hsa_104)</v>
      </c>
    </row>
    <row r="60694" spans="1:2" x14ac:dyDescent="0.2">
      <c r="B60694" t="s">
        <v>1</v>
      </c>
    </row>
    <row r="60695" spans="1:2" x14ac:dyDescent="0.2">
      <c r="B60695" t="s">
        <v>8</v>
      </c>
    </row>
    <row r="60697" spans="1:2" x14ac:dyDescent="0.2">
      <c r="A60697" t="s">
        <v>18943</v>
      </c>
      <c r="B60697" t="str">
        <f>HYPERLINK("https://lindat.mff.cuni.cz/services/teitok/pdtc10/index.php?action=vallex&amp;frame=v-w8534f1", "vyvalit se (v-w8534f1)")</f>
        <v>vyvalit se (v-w8534f1)</v>
      </c>
    </row>
    <row r="60698" spans="1:2" x14ac:dyDescent="0.2">
      <c r="B60698" t="s">
        <v>1</v>
      </c>
    </row>
    <row r="60699" spans="1:2" x14ac:dyDescent="0.2">
      <c r="B60699" t="s">
        <v>438</v>
      </c>
    </row>
    <row r="60701" spans="1:2" x14ac:dyDescent="0.2">
      <c r="A60701" t="s">
        <v>18944</v>
      </c>
      <c r="B60701" t="str">
        <f>HYPERLINK("https://lindat.mff.cuni.cz/services/teitok/pdtc10/index.php?action=vallex&amp;frame=v-w8534f2", "vyvalit se (v-w8534f2)")</f>
        <v>vyvalit se (v-w8534f2)</v>
      </c>
    </row>
    <row r="60702" spans="1:2" x14ac:dyDescent="0.2">
      <c r="B60702" t="s">
        <v>1</v>
      </c>
    </row>
    <row r="60703" spans="1:2" x14ac:dyDescent="0.2">
      <c r="B60703" t="s">
        <v>333</v>
      </c>
    </row>
    <row r="60705" spans="1:4" x14ac:dyDescent="0.2">
      <c r="A60705" t="s">
        <v>18945</v>
      </c>
      <c r="B60705" t="str">
        <f>HYPERLINK("https://lindat.mff.cuni.cz/services/teitok/pdtc10/index.php?action=vallex&amp;frame=v-w8536f1", "vyvarovat se (v-w8536f1)")</f>
        <v>vyvarovat se (v-w8536f1)</v>
      </c>
    </row>
    <row r="60706" spans="1:4" x14ac:dyDescent="0.2">
      <c r="B60706" t="s">
        <v>1</v>
      </c>
      <c r="C60706" t="s">
        <v>294</v>
      </c>
      <c r="D60706" t="s">
        <v>4807</v>
      </c>
    </row>
    <row r="60707" spans="1:4" x14ac:dyDescent="0.2">
      <c r="B60707" t="s">
        <v>18946</v>
      </c>
      <c r="C60707" t="s">
        <v>1815</v>
      </c>
      <c r="D60707" t="s">
        <v>384</v>
      </c>
    </row>
    <row r="60709" spans="1:4" x14ac:dyDescent="0.2">
      <c r="A60709" t="s">
        <v>18947</v>
      </c>
      <c r="B60709" t="str">
        <f>HYPERLINK("https://lindat.mff.cuni.cz/services/teitok/pdtc10/index.php?action=vallex&amp;frame=v-w11098f2", "vyvařit (v-w11098f2)")</f>
        <v>vyvařit (v-w11098f2)</v>
      </c>
    </row>
    <row r="60710" spans="1:4" x14ac:dyDescent="0.2">
      <c r="B60710" t="s">
        <v>1</v>
      </c>
    </row>
    <row r="60711" spans="1:4" x14ac:dyDescent="0.2">
      <c r="B60711" t="s">
        <v>8</v>
      </c>
    </row>
    <row r="60713" spans="1:4" x14ac:dyDescent="0.2">
      <c r="A60713" t="s">
        <v>18948</v>
      </c>
      <c r="B60713" t="str">
        <f>HYPERLINK("https://lindat.mff.cuni.cz/services/teitok/pdtc10/index.php?action=vallex&amp;frame=v-w11724_ZUf1_ZU", "vyvařovat (v-w11724_ZUf1_ZU)")</f>
        <v>vyvařovat (v-w11724_ZUf1_ZU)</v>
      </c>
    </row>
    <row r="60714" spans="1:4" x14ac:dyDescent="0.2">
      <c r="B60714" t="s">
        <v>1</v>
      </c>
    </row>
    <row r="60715" spans="1:4" x14ac:dyDescent="0.2">
      <c r="B60715" t="s">
        <v>8</v>
      </c>
    </row>
    <row r="60717" spans="1:4" x14ac:dyDescent="0.2">
      <c r="A60717" t="s">
        <v>18949</v>
      </c>
      <c r="B60717" t="str">
        <f>HYPERLINK("https://lindat.mff.cuni.cz/services/teitok/pdtc10/index.php?action=vallex&amp;frame=v-w8541f1", "vyvažovat (v-w8541f1)")</f>
        <v>vyvažovat (v-w8541f1)</v>
      </c>
    </row>
    <row r="60718" spans="1:4" x14ac:dyDescent="0.2">
      <c r="B60718" t="s">
        <v>1</v>
      </c>
      <c r="C60718" t="s">
        <v>18950</v>
      </c>
      <c r="D60718" t="s">
        <v>4082</v>
      </c>
    </row>
    <row r="60719" spans="1:4" x14ac:dyDescent="0.2">
      <c r="B60719" t="s">
        <v>8</v>
      </c>
      <c r="C60719" t="s">
        <v>7055</v>
      </c>
      <c r="D60719" t="s">
        <v>23406</v>
      </c>
    </row>
    <row r="60720" spans="1:4" x14ac:dyDescent="0.2">
      <c r="B60720" t="s">
        <v>5479</v>
      </c>
      <c r="D60720" t="s">
        <v>11467</v>
      </c>
    </row>
    <row r="60722" spans="1:4" x14ac:dyDescent="0.2">
      <c r="A60722" t="s">
        <v>18951</v>
      </c>
      <c r="B60722" t="str">
        <f>HYPERLINK("https://lindat.mff.cuni.cz/services/teitok/pdtc10/index.php?action=vallex&amp;frame=v-whsa_795hsa_796", "vyvdat (v-whsa_795hsa_796)")</f>
        <v>vyvdat (v-whsa_795hsa_796)</v>
      </c>
    </row>
    <row r="60723" spans="1:4" x14ac:dyDescent="0.2">
      <c r="B60723" t="s">
        <v>1</v>
      </c>
    </row>
    <row r="60724" spans="1:4" x14ac:dyDescent="0.2">
      <c r="B60724" t="s">
        <v>8</v>
      </c>
    </row>
    <row r="60725" spans="1:4" x14ac:dyDescent="0.2">
      <c r="B60725" t="s">
        <v>1944</v>
      </c>
    </row>
    <row r="60727" spans="1:4" x14ac:dyDescent="0.2">
      <c r="A60727" t="s">
        <v>18952</v>
      </c>
      <c r="B60727" t="str">
        <f>HYPERLINK("https://lindat.mff.cuni.cz/services/teitok/pdtc10/index.php?action=vallex&amp;frame=v-w8551f2", "vyvinout (v-w8551f2)")</f>
        <v>vyvinout (v-w8551f2)</v>
      </c>
    </row>
    <row r="60728" spans="1:4" x14ac:dyDescent="0.2">
      <c r="B60728" t="s">
        <v>1</v>
      </c>
      <c r="C60728" t="s">
        <v>8090</v>
      </c>
      <c r="D60728" t="s">
        <v>2363</v>
      </c>
    </row>
    <row r="60729" spans="1:4" x14ac:dyDescent="0.2">
      <c r="B60729" t="s">
        <v>8</v>
      </c>
      <c r="C60729" t="s">
        <v>8091</v>
      </c>
      <c r="D60729" t="s">
        <v>17592</v>
      </c>
    </row>
    <row r="60730" spans="1:4" x14ac:dyDescent="0.2">
      <c r="B60730" t="s">
        <v>24</v>
      </c>
      <c r="C60730" t="s">
        <v>4604</v>
      </c>
      <c r="D60730" t="s">
        <v>3656</v>
      </c>
    </row>
    <row r="60732" spans="1:4" x14ac:dyDescent="0.2">
      <c r="A60732" t="s">
        <v>18953</v>
      </c>
      <c r="B60732" t="str">
        <f>HYPERLINK("https://lindat.mff.cuni.cz/services/teitok/pdtc10/index.php?action=vallex&amp;frame=v-w8551f1", "vyvinout (v-w8551f1)")</f>
        <v>vyvinout (v-w8551f1)</v>
      </c>
    </row>
    <row r="60733" spans="1:4" x14ac:dyDescent="0.2">
      <c r="B60733" t="s">
        <v>1</v>
      </c>
      <c r="C60733" t="s">
        <v>18954</v>
      </c>
      <c r="D60733" t="s">
        <v>1792</v>
      </c>
    </row>
    <row r="60734" spans="1:4" x14ac:dyDescent="0.2">
      <c r="B60734" t="s">
        <v>18955</v>
      </c>
      <c r="C60734" t="s">
        <v>15884</v>
      </c>
      <c r="D60734" t="s">
        <v>23804</v>
      </c>
    </row>
    <row r="60736" spans="1:4" x14ac:dyDescent="0.2">
      <c r="A60736" t="s">
        <v>18956</v>
      </c>
      <c r="B60736" t="str">
        <f>HYPERLINK("https://lindat.mff.cuni.cz/services/teitok/pdtc10/index.php?action=vallex&amp;frame=v-w8552f1", "vyvinout se (v-w8552f1)")</f>
        <v>vyvinout se (v-w8552f1)</v>
      </c>
    </row>
    <row r="60737" spans="1:4" x14ac:dyDescent="0.2">
      <c r="B60737" t="s">
        <v>1</v>
      </c>
      <c r="C60737" t="s">
        <v>18957</v>
      </c>
      <c r="D60737" t="s">
        <v>23506</v>
      </c>
    </row>
    <row r="60738" spans="1:4" x14ac:dyDescent="0.2">
      <c r="B60738" t="s">
        <v>1859</v>
      </c>
      <c r="C60738" t="s">
        <v>18958</v>
      </c>
      <c r="D60738" t="s">
        <v>23507</v>
      </c>
    </row>
    <row r="60739" spans="1:4" x14ac:dyDescent="0.2">
      <c r="B60739" t="s">
        <v>24</v>
      </c>
      <c r="C60739" t="s">
        <v>5435</v>
      </c>
      <c r="D60739" t="s">
        <v>11827</v>
      </c>
    </row>
    <row r="60741" spans="1:4" x14ac:dyDescent="0.2">
      <c r="A60741" t="s">
        <v>18959</v>
      </c>
      <c r="B60741" t="str">
        <f>HYPERLINK("https://lindat.mff.cuni.cz/services/teitok/pdtc10/index.php?action=vallex&amp;frame=v-w8552f2", "vyvinout se (v-w8552f2)")</f>
        <v>vyvinout se (v-w8552f2)</v>
      </c>
    </row>
    <row r="60742" spans="1:4" x14ac:dyDescent="0.2">
      <c r="B60742" t="s">
        <v>1</v>
      </c>
      <c r="C60742" t="s">
        <v>18960</v>
      </c>
    </row>
    <row r="60743" spans="1:4" x14ac:dyDescent="0.2">
      <c r="B60743" t="s">
        <v>168</v>
      </c>
      <c r="C60743" t="s">
        <v>18961</v>
      </c>
    </row>
    <row r="60745" spans="1:4" x14ac:dyDescent="0.2">
      <c r="A60745" t="s">
        <v>18962</v>
      </c>
      <c r="B60745" t="str">
        <f>HYPERLINK("https://lindat.mff.cuni.cz/services/teitok/pdtc10/index.php?action=vallex&amp;frame=v-w8552f4_ZU", "vyvinout se (v-w8552f4_ZU)")</f>
        <v>vyvinout se (v-w8552f4_ZU)</v>
      </c>
    </row>
    <row r="60746" spans="1:4" x14ac:dyDescent="0.2">
      <c r="B60746" t="s">
        <v>1</v>
      </c>
      <c r="C60746" t="s">
        <v>18884</v>
      </c>
      <c r="D60746" t="s">
        <v>23449</v>
      </c>
    </row>
    <row r="60748" spans="1:4" x14ac:dyDescent="0.2">
      <c r="A60748" t="s">
        <v>18962</v>
      </c>
      <c r="B60748" t="str">
        <f>HYPERLINK("https://lindat.mff.cuni.cz/services/teitok/pdtc10/index.php?action=vallex&amp;frame=v-w8552f3_ZU", "vyvinout se (v-w8552f3_ZU) - substituted with v-w8552f4_ZU")</f>
        <v>vyvinout se (v-w8552f3_ZU) - substituted with v-w8552f4_ZU</v>
      </c>
    </row>
    <row r="60749" spans="1:4" x14ac:dyDescent="0.2">
      <c r="B60749" t="s">
        <v>1</v>
      </c>
      <c r="C60749" t="s">
        <v>1168</v>
      </c>
    </row>
    <row r="60751" spans="1:4" x14ac:dyDescent="0.2">
      <c r="A60751" t="s">
        <v>18963</v>
      </c>
      <c r="B60751" t="str">
        <f>HYPERLINK("https://lindat.mff.cuni.cz/services/teitok/pdtc10/index.php?action=vallex&amp;frame=v-w8552hsa_190", "vyvinout se (v-w8552hsa_190)")</f>
        <v>vyvinout se (v-w8552hsa_190)</v>
      </c>
    </row>
    <row r="60752" spans="1:4" x14ac:dyDescent="0.2">
      <c r="B60752" t="s">
        <v>1</v>
      </c>
    </row>
    <row r="60754" spans="1:4" x14ac:dyDescent="0.2">
      <c r="A60754" t="s">
        <v>18964</v>
      </c>
      <c r="B60754" t="str">
        <f>HYPERLINK("https://lindat.mff.cuni.cz/services/teitok/pdtc10/index.php?action=vallex&amp;frame=v-w8554f1", "vyvlastnit (v-w8554f1)")</f>
        <v>vyvlastnit (v-w8554f1)</v>
      </c>
    </row>
    <row r="60755" spans="1:4" x14ac:dyDescent="0.2">
      <c r="B60755" t="s">
        <v>1</v>
      </c>
      <c r="C60755" t="s">
        <v>140</v>
      </c>
      <c r="D60755" t="s">
        <v>2571</v>
      </c>
    </row>
    <row r="60756" spans="1:4" x14ac:dyDescent="0.2">
      <c r="B60756" t="s">
        <v>8</v>
      </c>
      <c r="C60756" t="s">
        <v>113</v>
      </c>
      <c r="D60756" t="s">
        <v>1996</v>
      </c>
    </row>
    <row r="60758" spans="1:4" x14ac:dyDescent="0.2">
      <c r="A60758" t="s">
        <v>18965</v>
      </c>
      <c r="B60758" t="str">
        <f>HYPERLINK("https://lindat.mff.cuni.cz/services/teitok/pdtc10/index.php?action=vallex&amp;frame=v-w8554f2_ZU", "vyvlastnit (v-w8554f2_ZU)")</f>
        <v>vyvlastnit (v-w8554f2_ZU)</v>
      </c>
    </row>
    <row r="60759" spans="1:4" x14ac:dyDescent="0.2">
      <c r="B60759" t="s">
        <v>1</v>
      </c>
    </row>
    <row r="60760" spans="1:4" x14ac:dyDescent="0.2">
      <c r="B60760" t="s">
        <v>8</v>
      </c>
    </row>
    <row r="60762" spans="1:4" x14ac:dyDescent="0.2">
      <c r="A60762" t="s">
        <v>18966</v>
      </c>
      <c r="B60762" t="str">
        <f>HYPERLINK("https://lindat.mff.cuni.cz/services/teitok/pdtc10/index.php?action=vallex&amp;frame=v-w11395f1", "vyvléci se (v-w11395f1)")</f>
        <v>vyvléci se (v-w11395f1)</v>
      </c>
    </row>
    <row r="60763" spans="1:4" x14ac:dyDescent="0.2">
      <c r="B60763" t="s">
        <v>1</v>
      </c>
      <c r="D60763" t="s">
        <v>6115</v>
      </c>
    </row>
    <row r="60764" spans="1:4" x14ac:dyDescent="0.2">
      <c r="B60764" t="s">
        <v>168</v>
      </c>
      <c r="D60764" t="s">
        <v>11560</v>
      </c>
    </row>
    <row r="60766" spans="1:4" x14ac:dyDescent="0.2">
      <c r="A60766" t="s">
        <v>18967</v>
      </c>
      <c r="B60766" t="str">
        <f>HYPERLINK("https://lindat.mff.cuni.cz/services/teitok/pdtc10/index.php?action=vallex&amp;frame=v-w8556f1", "vyvléknout se (v-w8556f1)")</f>
        <v>vyvléknout se (v-w8556f1)</v>
      </c>
    </row>
    <row r="60767" spans="1:4" x14ac:dyDescent="0.2">
      <c r="B60767" t="s">
        <v>1</v>
      </c>
    </row>
    <row r="60768" spans="1:4" x14ac:dyDescent="0.2">
      <c r="B60768" t="s">
        <v>168</v>
      </c>
    </row>
    <row r="60770" spans="1:4" x14ac:dyDescent="0.2">
      <c r="A60770" t="s">
        <v>18968</v>
      </c>
      <c r="B60770" t="str">
        <f>HYPERLINK("https://lindat.mff.cuni.cz/services/teitok/pdtc10/index.php?action=vallex&amp;frame=v-w8556f2", "vyvléknout se (v-w8556f2)")</f>
        <v>vyvléknout se (v-w8556f2)</v>
      </c>
    </row>
    <row r="60771" spans="1:4" x14ac:dyDescent="0.2">
      <c r="B60771" t="s">
        <v>1</v>
      </c>
    </row>
    <row r="60772" spans="1:4" x14ac:dyDescent="0.2">
      <c r="B60772" t="s">
        <v>333</v>
      </c>
    </row>
    <row r="60774" spans="1:4" x14ac:dyDescent="0.2">
      <c r="A60774" t="s">
        <v>18969</v>
      </c>
      <c r="B60774" t="str">
        <f>HYPERLINK("https://lindat.mff.cuni.cz/services/teitok/pdtc10/index.php?action=vallex&amp;frame=v-whsa_765hsa_766", "vyvlíknout se (v-whsa_765hsa_766)")</f>
        <v>vyvlíknout se (v-whsa_765hsa_766)</v>
      </c>
    </row>
    <row r="60775" spans="1:4" x14ac:dyDescent="0.2">
      <c r="B60775" t="s">
        <v>1</v>
      </c>
      <c r="C60775" t="s">
        <v>3824</v>
      </c>
    </row>
    <row r="60776" spans="1:4" x14ac:dyDescent="0.2">
      <c r="B60776" t="s">
        <v>333</v>
      </c>
    </row>
    <row r="60778" spans="1:4" x14ac:dyDescent="0.2">
      <c r="A60778" t="s">
        <v>18970</v>
      </c>
      <c r="B60778" t="str">
        <f>HYPERLINK("https://lindat.mff.cuni.cz/services/teitok/pdtc10/index.php?action=vallex&amp;frame=v-w8557f1", "vyvodit (v-w8557f1)")</f>
        <v>vyvodit (v-w8557f1)</v>
      </c>
    </row>
    <row r="60779" spans="1:4" x14ac:dyDescent="0.2">
      <c r="B60779" t="s">
        <v>1</v>
      </c>
      <c r="C60779" t="s">
        <v>8467</v>
      </c>
      <c r="D60779" t="s">
        <v>24297</v>
      </c>
    </row>
    <row r="60780" spans="1:4" x14ac:dyDescent="0.2">
      <c r="B60780" t="s">
        <v>12551</v>
      </c>
      <c r="C60780" t="s">
        <v>12206</v>
      </c>
      <c r="D60780" t="s">
        <v>24298</v>
      </c>
    </row>
    <row r="60781" spans="1:4" x14ac:dyDescent="0.2">
      <c r="B60781" t="s">
        <v>18971</v>
      </c>
    </row>
    <row r="60783" spans="1:4" x14ac:dyDescent="0.2">
      <c r="A60783" t="s">
        <v>18972</v>
      </c>
      <c r="B60783" t="str">
        <f>HYPERLINK("https://lindat.mff.cuni.cz/services/teitok/pdtc10/index.php?action=vallex&amp;frame=v-w8557f2", "vyvodit (v-w8557f2)")</f>
        <v>vyvodit (v-w8557f2)</v>
      </c>
    </row>
    <row r="60784" spans="1:4" x14ac:dyDescent="0.2">
      <c r="B60784" t="s">
        <v>1</v>
      </c>
      <c r="C60784" t="s">
        <v>51</v>
      </c>
      <c r="D60784" t="s">
        <v>23149</v>
      </c>
    </row>
    <row r="60785" spans="1:4" x14ac:dyDescent="0.2">
      <c r="B60785" t="s">
        <v>7587</v>
      </c>
      <c r="C60785" t="s">
        <v>14547</v>
      </c>
      <c r="D60785" t="s">
        <v>23150</v>
      </c>
    </row>
    <row r="60786" spans="1:4" x14ac:dyDescent="0.2">
      <c r="B60786" t="s">
        <v>269</v>
      </c>
      <c r="D60786" t="s">
        <v>23151</v>
      </c>
    </row>
    <row r="60788" spans="1:4" x14ac:dyDescent="0.2">
      <c r="A60788" t="s">
        <v>18973</v>
      </c>
      <c r="B60788" t="str">
        <f>HYPERLINK("https://lindat.mff.cuni.cz/services/teitok/pdtc10/index.php?action=vallex&amp;frame=v-w8561f12_ZU", "vyvolat (v-w8561f12_ZU)")</f>
        <v>vyvolat (v-w8561f12_ZU)</v>
      </c>
    </row>
    <row r="60789" spans="1:4" x14ac:dyDescent="0.2">
      <c r="B60789" t="s">
        <v>1</v>
      </c>
      <c r="C60789" t="s">
        <v>22</v>
      </c>
      <c r="D60789" t="s">
        <v>23017</v>
      </c>
    </row>
    <row r="60790" spans="1:4" x14ac:dyDescent="0.2">
      <c r="B60790" t="s">
        <v>8</v>
      </c>
      <c r="C60790" t="s">
        <v>56</v>
      </c>
      <c r="D60790" t="s">
        <v>23498</v>
      </c>
    </row>
    <row r="60792" spans="1:4" x14ac:dyDescent="0.2">
      <c r="A60792" t="s">
        <v>18973</v>
      </c>
      <c r="B60792" t="str">
        <f>HYPERLINK("https://lindat.mff.cuni.cz/services/teitok/pdtc10/index.php?action=vallex&amp;frame=v-w8561f1", "vyvolat (v-w8561f1) - substituted with v-w8561f12_ZU")</f>
        <v>vyvolat (v-w8561f1) - substituted with v-w8561f12_ZU</v>
      </c>
    </row>
    <row r="60793" spans="1:4" x14ac:dyDescent="0.2">
      <c r="B60793" t="s">
        <v>1</v>
      </c>
      <c r="C60793" t="s">
        <v>18974</v>
      </c>
    </row>
    <row r="60794" spans="1:4" x14ac:dyDescent="0.2">
      <c r="B60794" t="s">
        <v>8</v>
      </c>
      <c r="C60794" t="s">
        <v>18975</v>
      </c>
    </row>
    <row r="60796" spans="1:4" x14ac:dyDescent="0.2">
      <c r="A60796" t="s">
        <v>18976</v>
      </c>
      <c r="B60796" t="str">
        <f>HYPERLINK("https://lindat.mff.cuni.cz/services/teitok/pdtc10/index.php?action=vallex&amp;frame=v-w8561f3", "vyvolat (v-w8561f3)")</f>
        <v>vyvolat (v-w8561f3)</v>
      </c>
    </row>
    <row r="60797" spans="1:4" x14ac:dyDescent="0.2">
      <c r="B60797" t="s">
        <v>1</v>
      </c>
      <c r="C60797" t="s">
        <v>140</v>
      </c>
    </row>
    <row r="60798" spans="1:4" x14ac:dyDescent="0.2">
      <c r="B60798" t="s">
        <v>8</v>
      </c>
      <c r="C60798" t="s">
        <v>84</v>
      </c>
    </row>
    <row r="60800" spans="1:4" x14ac:dyDescent="0.2">
      <c r="A60800" t="s">
        <v>18977</v>
      </c>
      <c r="B60800" t="str">
        <f>HYPERLINK("https://lindat.mff.cuni.cz/services/teitok/pdtc10/index.php?action=vallex&amp;frame=v-w8561f4", "vyvolat (v-w8561f4)")</f>
        <v>vyvolat (v-w8561f4)</v>
      </c>
    </row>
    <row r="60801" spans="1:4" x14ac:dyDescent="0.2">
      <c r="B60801" t="s">
        <v>1</v>
      </c>
    </row>
    <row r="60802" spans="1:4" x14ac:dyDescent="0.2">
      <c r="B60802" t="s">
        <v>8</v>
      </c>
    </row>
    <row r="60804" spans="1:4" x14ac:dyDescent="0.2">
      <c r="A60804" t="s">
        <v>18978</v>
      </c>
      <c r="B60804" t="str">
        <f>HYPERLINK("https://lindat.mff.cuni.cz/services/teitok/pdtc10/index.php?action=vallex&amp;frame=v-w8561f13_ZU", "vyvolat (v-w8561f13_ZU)")</f>
        <v>vyvolat (v-w8561f13_ZU)</v>
      </c>
    </row>
    <row r="60805" spans="1:4" x14ac:dyDescent="0.2">
      <c r="B60805" t="s">
        <v>331</v>
      </c>
      <c r="C60805" t="s">
        <v>3583</v>
      </c>
      <c r="D60805" t="s">
        <v>23017</v>
      </c>
    </row>
    <row r="60806" spans="1:4" x14ac:dyDescent="0.2">
      <c r="B60806" t="s">
        <v>18979</v>
      </c>
      <c r="C60806" t="s">
        <v>18980</v>
      </c>
      <c r="D60806" t="s">
        <v>23018</v>
      </c>
    </row>
    <row r="60807" spans="1:4" x14ac:dyDescent="0.2">
      <c r="B60807" t="s">
        <v>5</v>
      </c>
      <c r="D60807" t="s">
        <v>23019</v>
      </c>
    </row>
    <row r="60809" spans="1:4" x14ac:dyDescent="0.2">
      <c r="A60809" t="s">
        <v>18978</v>
      </c>
      <c r="B60809" t="str">
        <f>HYPERLINK("https://lindat.mff.cuni.cz/services/teitok/pdtc10/index.php?action=vallex&amp;frame=v-w8561f10_ZU", "vyvolat (v-w8561f10_ZU) - substituted with v-w8561f13_ZU")</f>
        <v>vyvolat (v-w8561f10_ZU) - substituted with v-w8561f13_ZU</v>
      </c>
    </row>
    <row r="60810" spans="1:4" x14ac:dyDescent="0.2">
      <c r="B60810" t="s">
        <v>331</v>
      </c>
      <c r="C60810" t="s">
        <v>18981</v>
      </c>
    </row>
    <row r="60811" spans="1:4" x14ac:dyDescent="0.2">
      <c r="B60811" t="s">
        <v>18979</v>
      </c>
      <c r="C60811" t="s">
        <v>18982</v>
      </c>
    </row>
    <row r="60812" spans="1:4" x14ac:dyDescent="0.2">
      <c r="B60812" t="s">
        <v>5</v>
      </c>
    </row>
    <row r="60814" spans="1:4" x14ac:dyDescent="0.2">
      <c r="A60814" t="s">
        <v>18978</v>
      </c>
      <c r="B60814" t="str">
        <f>HYPERLINK("https://lindat.mff.cuni.cz/services/teitok/pdtc10/index.php?action=vallex&amp;frame=v-w8561f11_ZU", "vyvolat (v-w8561f11_ZU) - substituted with v-w8561f13_ZU")</f>
        <v>vyvolat (v-w8561f11_ZU) - substituted with v-w8561f13_ZU</v>
      </c>
    </row>
    <row r="60815" spans="1:4" x14ac:dyDescent="0.2">
      <c r="B60815" t="s">
        <v>331</v>
      </c>
      <c r="C60815" t="s">
        <v>18983</v>
      </c>
    </row>
    <row r="60816" spans="1:4" x14ac:dyDescent="0.2">
      <c r="B60816" t="s">
        <v>18979</v>
      </c>
      <c r="C60816" t="s">
        <v>18984</v>
      </c>
    </row>
    <row r="60817" spans="1:3" x14ac:dyDescent="0.2">
      <c r="B60817" t="s">
        <v>5</v>
      </c>
    </row>
    <row r="60819" spans="1:3" x14ac:dyDescent="0.2">
      <c r="A60819" t="s">
        <v>18978</v>
      </c>
      <c r="B60819" t="str">
        <f>HYPERLINK("https://lindat.mff.cuni.cz/services/teitok/pdtc10/index.php?action=vallex&amp;frame=v-w8561f2", "vyvolat (v-w8561f2) - substituted with v-w8561f13_ZU")</f>
        <v>vyvolat (v-w8561f2) - substituted with v-w8561f13_ZU</v>
      </c>
    </row>
    <row r="60820" spans="1:3" x14ac:dyDescent="0.2">
      <c r="B60820" t="s">
        <v>331</v>
      </c>
      <c r="C60820" t="s">
        <v>18985</v>
      </c>
    </row>
    <row r="60821" spans="1:3" x14ac:dyDescent="0.2">
      <c r="B60821" t="s">
        <v>18979</v>
      </c>
      <c r="C60821" t="s">
        <v>18986</v>
      </c>
    </row>
    <row r="60822" spans="1:3" x14ac:dyDescent="0.2">
      <c r="B60822" t="s">
        <v>5</v>
      </c>
    </row>
    <row r="60824" spans="1:3" x14ac:dyDescent="0.2">
      <c r="A60824" t="s">
        <v>18978</v>
      </c>
      <c r="B60824" t="str">
        <f>HYPERLINK("https://lindat.mff.cuni.cz/services/teitok/pdtc10/index.php?action=vallex&amp;frame=v-w8561f5_ZU", "vyvolat (v-w8561f5_ZU) - substituted with v-w8561f13_ZU")</f>
        <v>vyvolat (v-w8561f5_ZU) - substituted with v-w8561f13_ZU</v>
      </c>
    </row>
    <row r="60825" spans="1:3" x14ac:dyDescent="0.2">
      <c r="B60825" t="s">
        <v>331</v>
      </c>
    </row>
    <row r="60826" spans="1:3" x14ac:dyDescent="0.2">
      <c r="B60826" t="s">
        <v>18979</v>
      </c>
    </row>
    <row r="60827" spans="1:3" x14ac:dyDescent="0.2">
      <c r="B60827" t="s">
        <v>5</v>
      </c>
    </row>
    <row r="60829" spans="1:3" x14ac:dyDescent="0.2">
      <c r="A60829" t="s">
        <v>18978</v>
      </c>
      <c r="B60829" t="str">
        <f>HYPERLINK("https://lindat.mff.cuni.cz/services/teitok/pdtc10/index.php?action=vallex&amp;frame=v-w8561f6_ZU", "vyvolat (v-w8561f6_ZU) - substituted with v-w8561f13_ZU")</f>
        <v>vyvolat (v-w8561f6_ZU) - substituted with v-w8561f13_ZU</v>
      </c>
    </row>
    <row r="60830" spans="1:3" x14ac:dyDescent="0.2">
      <c r="B60830" t="s">
        <v>331</v>
      </c>
      <c r="C60830" t="s">
        <v>5570</v>
      </c>
    </row>
    <row r="60831" spans="1:3" x14ac:dyDescent="0.2">
      <c r="B60831" t="s">
        <v>18979</v>
      </c>
      <c r="C60831" t="s">
        <v>18987</v>
      </c>
    </row>
    <row r="60832" spans="1:3" x14ac:dyDescent="0.2">
      <c r="B60832" t="s">
        <v>5</v>
      </c>
    </row>
    <row r="60834" spans="1:3" x14ac:dyDescent="0.2">
      <c r="A60834" t="s">
        <v>18978</v>
      </c>
      <c r="B60834" t="str">
        <f>HYPERLINK("https://lindat.mff.cuni.cz/services/teitok/pdtc10/index.php?action=vallex&amp;frame=v-w8561f7_ZU", "vyvolat (v-w8561f7_ZU) - substituted with v-w8561f13_ZU")</f>
        <v>vyvolat (v-w8561f7_ZU) - substituted with v-w8561f13_ZU</v>
      </c>
    </row>
    <row r="60835" spans="1:3" x14ac:dyDescent="0.2">
      <c r="B60835" t="s">
        <v>331</v>
      </c>
      <c r="C60835" t="s">
        <v>18988</v>
      </c>
    </row>
    <row r="60836" spans="1:3" x14ac:dyDescent="0.2">
      <c r="B60836" t="s">
        <v>18979</v>
      </c>
      <c r="C60836" t="s">
        <v>18989</v>
      </c>
    </row>
    <row r="60837" spans="1:3" x14ac:dyDescent="0.2">
      <c r="B60837" t="s">
        <v>5</v>
      </c>
    </row>
    <row r="60839" spans="1:3" x14ac:dyDescent="0.2">
      <c r="A60839" t="s">
        <v>18978</v>
      </c>
      <c r="B60839" t="str">
        <f>HYPERLINK("https://lindat.mff.cuni.cz/services/teitok/pdtc10/index.php?action=vallex&amp;frame=v-w8561f8_ZU", "vyvolat (v-w8561f8_ZU) - substituted with v-w8561f13_ZU")</f>
        <v>vyvolat (v-w8561f8_ZU) - substituted with v-w8561f13_ZU</v>
      </c>
    </row>
    <row r="60840" spans="1:3" x14ac:dyDescent="0.2">
      <c r="B60840" t="s">
        <v>331</v>
      </c>
      <c r="C60840" t="s">
        <v>18990</v>
      </c>
    </row>
    <row r="60841" spans="1:3" x14ac:dyDescent="0.2">
      <c r="B60841" t="s">
        <v>18979</v>
      </c>
      <c r="C60841" t="s">
        <v>18991</v>
      </c>
    </row>
    <row r="60842" spans="1:3" x14ac:dyDescent="0.2">
      <c r="B60842" t="s">
        <v>5</v>
      </c>
    </row>
    <row r="60844" spans="1:3" x14ac:dyDescent="0.2">
      <c r="A60844" t="s">
        <v>18978</v>
      </c>
      <c r="B60844" t="str">
        <f>HYPERLINK("https://lindat.mff.cuni.cz/services/teitok/pdtc10/index.php?action=vallex&amp;frame=v-w8561f9_ZU", "vyvolat (v-w8561f9_ZU) - substituted with v-w8561f13_ZU")</f>
        <v>vyvolat (v-w8561f9_ZU) - substituted with v-w8561f13_ZU</v>
      </c>
    </row>
    <row r="60845" spans="1:3" x14ac:dyDescent="0.2">
      <c r="B60845" t="s">
        <v>331</v>
      </c>
      <c r="C60845" t="s">
        <v>18992</v>
      </c>
    </row>
    <row r="60846" spans="1:3" x14ac:dyDescent="0.2">
      <c r="B60846" t="s">
        <v>18979</v>
      </c>
      <c r="C60846" t="s">
        <v>18993</v>
      </c>
    </row>
    <row r="60847" spans="1:3" x14ac:dyDescent="0.2">
      <c r="B60847" t="s">
        <v>5</v>
      </c>
    </row>
    <row r="60849" spans="1:2" x14ac:dyDescent="0.2">
      <c r="A60849" t="s">
        <v>18978</v>
      </c>
      <c r="B60849" t="str">
        <f>HYPERLINK("https://lindat.mff.cuni.cz/services/teitok/pdtc10/index.php?action=vallex&amp;frame=v-w8561hsa_638", "vyvolat (v-w8561hsa_638) - substituted with v-w8561f13_ZU")</f>
        <v>vyvolat (v-w8561hsa_638) - substituted with v-w8561f13_ZU</v>
      </c>
    </row>
    <row r="60850" spans="1:2" x14ac:dyDescent="0.2">
      <c r="B60850" t="s">
        <v>331</v>
      </c>
    </row>
    <row r="60851" spans="1:2" x14ac:dyDescent="0.2">
      <c r="B60851" t="s">
        <v>18979</v>
      </c>
    </row>
    <row r="60852" spans="1:2" x14ac:dyDescent="0.2">
      <c r="B60852" t="s">
        <v>5</v>
      </c>
    </row>
    <row r="60854" spans="1:2" x14ac:dyDescent="0.2">
      <c r="A60854" t="s">
        <v>18994</v>
      </c>
      <c r="B60854" t="str">
        <f>HYPERLINK("https://lindat.mff.cuni.cz/services/teitok/pdtc10/index.php?action=vallex&amp;frame=v-w8561hsa_637", "vyvolat (v-w8561hsa_637)")</f>
        <v>vyvolat (v-w8561hsa_637)</v>
      </c>
    </row>
    <row r="60855" spans="1:2" x14ac:dyDescent="0.2">
      <c r="B60855" t="s">
        <v>1</v>
      </c>
    </row>
    <row r="60856" spans="1:2" x14ac:dyDescent="0.2">
      <c r="B60856" t="s">
        <v>8</v>
      </c>
    </row>
    <row r="60858" spans="1:2" x14ac:dyDescent="0.2">
      <c r="A60858" t="s">
        <v>18995</v>
      </c>
      <c r="B60858" t="str">
        <f>HYPERLINK("https://lindat.mff.cuni.cz/services/teitok/pdtc10/index.php?action=vallex&amp;frame=v-w8561f14_ZU", "vyvolat (v-w8561f14_ZU)")</f>
        <v>vyvolat (v-w8561f14_ZU)</v>
      </c>
    </row>
    <row r="60859" spans="1:2" x14ac:dyDescent="0.2">
      <c r="B60859" t="s">
        <v>1</v>
      </c>
    </row>
    <row r="60860" spans="1:2" x14ac:dyDescent="0.2">
      <c r="B60860" t="s">
        <v>41</v>
      </c>
    </row>
    <row r="60862" spans="1:2" x14ac:dyDescent="0.2">
      <c r="A60862" t="s">
        <v>18996</v>
      </c>
      <c r="B60862" t="str">
        <f>HYPERLINK("https://lindat.mff.cuni.cz/services/teitok/pdtc10/index.php?action=vallex&amp;frame=v-w8565f4", "vyvolávat (v-w8565f4)")</f>
        <v>vyvolávat (v-w8565f4)</v>
      </c>
    </row>
    <row r="60863" spans="1:2" x14ac:dyDescent="0.2">
      <c r="B60863" t="s">
        <v>331</v>
      </c>
    </row>
    <row r="60864" spans="1:2" x14ac:dyDescent="0.2">
      <c r="B60864" t="s">
        <v>8</v>
      </c>
    </row>
    <row r="60866" spans="1:4" x14ac:dyDescent="0.2">
      <c r="A60866" t="s">
        <v>18997</v>
      </c>
      <c r="B60866" t="str">
        <f>HYPERLINK("https://lindat.mff.cuni.cz/services/teitok/pdtc10/index.php?action=vallex&amp;frame=v-w8565f1", "vyvolávat (v-w8565f1)")</f>
        <v>vyvolávat (v-w8565f1)</v>
      </c>
    </row>
    <row r="60867" spans="1:4" x14ac:dyDescent="0.2">
      <c r="B60867" t="s">
        <v>1</v>
      </c>
      <c r="C60867" t="s">
        <v>18998</v>
      </c>
      <c r="D60867" t="s">
        <v>23017</v>
      </c>
    </row>
    <row r="60868" spans="1:4" x14ac:dyDescent="0.2">
      <c r="B60868" t="s">
        <v>8</v>
      </c>
      <c r="C60868" t="s">
        <v>18999</v>
      </c>
      <c r="D60868" t="s">
        <v>23498</v>
      </c>
    </row>
    <row r="60870" spans="1:4" x14ac:dyDescent="0.2">
      <c r="A60870" t="s">
        <v>19000</v>
      </c>
      <c r="B60870" t="str">
        <f>HYPERLINK("https://lindat.mff.cuni.cz/services/teitok/pdtc10/index.php?action=vallex&amp;frame=v-w8565f10_ZU", "vyvolávat (v-w8565f10_ZU)")</f>
        <v>vyvolávat (v-w8565f10_ZU)</v>
      </c>
    </row>
    <row r="60871" spans="1:4" x14ac:dyDescent="0.2">
      <c r="B60871" t="s">
        <v>331</v>
      </c>
    </row>
    <row r="60872" spans="1:4" x14ac:dyDescent="0.2">
      <c r="B60872" t="s">
        <v>19001</v>
      </c>
    </row>
    <row r="60873" spans="1:4" x14ac:dyDescent="0.2">
      <c r="B60873" t="s">
        <v>5</v>
      </c>
    </row>
    <row r="60875" spans="1:4" x14ac:dyDescent="0.2">
      <c r="A60875" t="s">
        <v>19000</v>
      </c>
      <c r="B60875" t="str">
        <f>HYPERLINK("https://lindat.mff.cuni.cz/services/teitok/pdtc10/index.php?action=vallex&amp;frame=v-w8565f2", "vyvolávat (v-w8565f2) - substituted with v-w8565f10_ZU")</f>
        <v>vyvolávat (v-w8565f2) - substituted with v-w8565f10_ZU</v>
      </c>
    </row>
    <row r="60876" spans="1:4" x14ac:dyDescent="0.2">
      <c r="B60876" t="s">
        <v>331</v>
      </c>
      <c r="C60876" t="s">
        <v>19002</v>
      </c>
    </row>
    <row r="60877" spans="1:4" x14ac:dyDescent="0.2">
      <c r="B60877" t="s">
        <v>19001</v>
      </c>
      <c r="C60877" t="s">
        <v>19003</v>
      </c>
    </row>
    <row r="60878" spans="1:4" x14ac:dyDescent="0.2">
      <c r="B60878" t="s">
        <v>5</v>
      </c>
    </row>
    <row r="60880" spans="1:4" x14ac:dyDescent="0.2">
      <c r="A60880" t="s">
        <v>19000</v>
      </c>
      <c r="B60880" t="str">
        <f>HYPERLINK("https://lindat.mff.cuni.cz/services/teitok/pdtc10/index.php?action=vallex&amp;frame=v-w8565f5_ZU", "vyvolávat (v-w8565f5_ZU) - substituted with v-w8565f10_ZU")</f>
        <v>vyvolávat (v-w8565f5_ZU) - substituted with v-w8565f10_ZU</v>
      </c>
    </row>
    <row r="60881" spans="1:4" x14ac:dyDescent="0.2">
      <c r="B60881" t="s">
        <v>331</v>
      </c>
      <c r="C60881" t="s">
        <v>5570</v>
      </c>
    </row>
    <row r="60882" spans="1:4" x14ac:dyDescent="0.2">
      <c r="B60882" t="s">
        <v>19001</v>
      </c>
      <c r="C60882" t="s">
        <v>18987</v>
      </c>
    </row>
    <row r="60883" spans="1:4" x14ac:dyDescent="0.2">
      <c r="B60883" t="s">
        <v>5</v>
      </c>
    </row>
    <row r="60885" spans="1:4" x14ac:dyDescent="0.2">
      <c r="A60885" t="s">
        <v>19000</v>
      </c>
      <c r="B60885" t="str">
        <f>HYPERLINK("https://lindat.mff.cuni.cz/services/teitok/pdtc10/index.php?action=vallex&amp;frame=v-w8565f6_ZU", "vyvolávat (v-w8565f6_ZU) - substituted with v-w8565f10_ZU")</f>
        <v>vyvolávat (v-w8565f6_ZU) - substituted with v-w8565f10_ZU</v>
      </c>
    </row>
    <row r="60886" spans="1:4" x14ac:dyDescent="0.2">
      <c r="B60886" t="s">
        <v>331</v>
      </c>
      <c r="C60886" t="s">
        <v>10543</v>
      </c>
    </row>
    <row r="60887" spans="1:4" x14ac:dyDescent="0.2">
      <c r="B60887" t="s">
        <v>19001</v>
      </c>
      <c r="C60887" t="s">
        <v>18987</v>
      </c>
    </row>
    <row r="60888" spans="1:4" x14ac:dyDescent="0.2">
      <c r="B60888" t="s">
        <v>5</v>
      </c>
    </row>
    <row r="60890" spans="1:4" x14ac:dyDescent="0.2">
      <c r="A60890" t="s">
        <v>19000</v>
      </c>
      <c r="B60890" t="str">
        <f>HYPERLINK("https://lindat.mff.cuni.cz/services/teitok/pdtc10/index.php?action=vallex&amp;frame=v-w8565f7_ZU", "vyvolávat (v-w8565f7_ZU) - substituted with v-w8565f10_ZU")</f>
        <v>vyvolávat (v-w8565f7_ZU) - substituted with v-w8565f10_ZU</v>
      </c>
    </row>
    <row r="60891" spans="1:4" x14ac:dyDescent="0.2">
      <c r="B60891" t="s">
        <v>331</v>
      </c>
      <c r="C60891" t="s">
        <v>19004</v>
      </c>
    </row>
    <row r="60892" spans="1:4" x14ac:dyDescent="0.2">
      <c r="B60892" t="s">
        <v>19001</v>
      </c>
      <c r="C60892" t="s">
        <v>19005</v>
      </c>
    </row>
    <row r="60893" spans="1:4" x14ac:dyDescent="0.2">
      <c r="B60893" t="s">
        <v>5</v>
      </c>
    </row>
    <row r="60895" spans="1:4" x14ac:dyDescent="0.2">
      <c r="A60895" t="s">
        <v>19000</v>
      </c>
      <c r="B60895" t="str">
        <f>HYPERLINK("https://lindat.mff.cuni.cz/services/teitok/pdtc10/index.php?action=vallex&amp;frame=v-w8565f8_ZU", "vyvolávat (v-w8565f8_ZU) - substituted with v-w8565f10_ZU")</f>
        <v>vyvolávat (v-w8565f8_ZU) - substituted with v-w8565f10_ZU</v>
      </c>
    </row>
    <row r="60896" spans="1:4" x14ac:dyDescent="0.2">
      <c r="B60896" t="s">
        <v>331</v>
      </c>
      <c r="C60896" t="s">
        <v>19006</v>
      </c>
      <c r="D60896" t="s">
        <v>23017</v>
      </c>
    </row>
    <row r="60897" spans="1:4" x14ac:dyDescent="0.2">
      <c r="B60897" t="s">
        <v>19001</v>
      </c>
      <c r="C60897" t="s">
        <v>19007</v>
      </c>
      <c r="D60897" t="s">
        <v>23018</v>
      </c>
    </row>
    <row r="60898" spans="1:4" x14ac:dyDescent="0.2">
      <c r="B60898" t="s">
        <v>5</v>
      </c>
      <c r="D60898" t="s">
        <v>23019</v>
      </c>
    </row>
    <row r="60900" spans="1:4" x14ac:dyDescent="0.2">
      <c r="A60900" t="s">
        <v>19000</v>
      </c>
      <c r="B60900" t="str">
        <f>HYPERLINK("https://lindat.mff.cuni.cz/services/teitok/pdtc10/index.php?action=vallex&amp;frame=v-w8565hsa_446", "vyvolávat (v-w8565hsa_446) - substituted with v-w8565f10_ZU")</f>
        <v>vyvolávat (v-w8565hsa_446) - substituted with v-w8565f10_ZU</v>
      </c>
    </row>
    <row r="60901" spans="1:4" x14ac:dyDescent="0.2">
      <c r="B60901" t="s">
        <v>331</v>
      </c>
    </row>
    <row r="60902" spans="1:4" x14ac:dyDescent="0.2">
      <c r="B60902" t="s">
        <v>19001</v>
      </c>
    </row>
    <row r="60903" spans="1:4" x14ac:dyDescent="0.2">
      <c r="B60903" t="s">
        <v>5</v>
      </c>
    </row>
    <row r="60905" spans="1:4" x14ac:dyDescent="0.2">
      <c r="A60905" t="s">
        <v>19000</v>
      </c>
      <c r="B60905" t="str">
        <f>HYPERLINK("https://lindat.mff.cuni.cz/services/teitok/pdtc10/index.php?action=vallex&amp;frame=v-w8565hsa_517", "vyvolávat (v-w8565hsa_517) - substituted with v-w8565f10_ZU")</f>
        <v>vyvolávat (v-w8565hsa_517) - substituted with v-w8565f10_ZU</v>
      </c>
    </row>
    <row r="60906" spans="1:4" x14ac:dyDescent="0.2">
      <c r="B60906" t="s">
        <v>331</v>
      </c>
    </row>
    <row r="60907" spans="1:4" x14ac:dyDescent="0.2">
      <c r="B60907" t="s">
        <v>19001</v>
      </c>
    </row>
    <row r="60908" spans="1:4" x14ac:dyDescent="0.2">
      <c r="B60908" t="s">
        <v>5</v>
      </c>
    </row>
    <row r="60910" spans="1:4" x14ac:dyDescent="0.2">
      <c r="A60910" t="s">
        <v>19008</v>
      </c>
      <c r="B60910" t="str">
        <f>HYPERLINK("https://lindat.mff.cuni.cz/services/teitok/pdtc10/index.php?action=vallex&amp;frame=v-w8565f3", "vyvolávat (v-w8565f3)")</f>
        <v>vyvolávat (v-w8565f3)</v>
      </c>
    </row>
    <row r="60911" spans="1:4" x14ac:dyDescent="0.2">
      <c r="B60911" t="s">
        <v>1</v>
      </c>
    </row>
    <row r="60912" spans="1:4" x14ac:dyDescent="0.2">
      <c r="B60912" t="s">
        <v>16685</v>
      </c>
    </row>
    <row r="60913" spans="1:2" x14ac:dyDescent="0.2">
      <c r="B60913" t="s">
        <v>8</v>
      </c>
    </row>
    <row r="60915" spans="1:2" x14ac:dyDescent="0.2">
      <c r="A60915" t="s">
        <v>19009</v>
      </c>
      <c r="B60915" t="str">
        <f>HYPERLINK("https://lindat.mff.cuni.cz/services/teitok/pdtc10/index.php?action=vallex&amp;frame=v-w8565f9_ZU", "vyvolávat (v-w8565f9_ZU)")</f>
        <v>vyvolávat (v-w8565f9_ZU)</v>
      </c>
    </row>
    <row r="60916" spans="1:2" x14ac:dyDescent="0.2">
      <c r="B60916" t="s">
        <v>1</v>
      </c>
    </row>
    <row r="60917" spans="1:2" x14ac:dyDescent="0.2">
      <c r="B60917" t="s">
        <v>8</v>
      </c>
    </row>
    <row r="60919" spans="1:2" x14ac:dyDescent="0.2">
      <c r="A60919" t="s">
        <v>19009</v>
      </c>
      <c r="B60919" t="str">
        <f>HYPERLINK("https://lindat.mff.cuni.cz/services/teitok/pdtc10/index.php?action=vallex&amp;frame=v-w8565hsa_445", "vyvolávat (v-w8565hsa_445) - substituted with v-w8565f9_ZU")</f>
        <v>vyvolávat (v-w8565hsa_445) - substituted with v-w8565f9_ZU</v>
      </c>
    </row>
    <row r="60920" spans="1:2" x14ac:dyDescent="0.2">
      <c r="B60920" t="s">
        <v>1</v>
      </c>
    </row>
    <row r="60921" spans="1:2" x14ac:dyDescent="0.2">
      <c r="B60921" t="s">
        <v>8</v>
      </c>
    </row>
    <row r="60923" spans="1:2" x14ac:dyDescent="0.2">
      <c r="A60923" t="s">
        <v>19010</v>
      </c>
      <c r="B60923" t="str">
        <f>HYPERLINK("https://lindat.mff.cuni.cz/services/teitok/pdtc10/index.php?action=vallex&amp;frame=v-whsa_512hsa_513", "vyvozit (v-whsa_512hsa_513)")</f>
        <v>vyvozit (v-whsa_512hsa_513)</v>
      </c>
    </row>
    <row r="60924" spans="1:2" x14ac:dyDescent="0.2">
      <c r="B60924" t="s">
        <v>1</v>
      </c>
    </row>
    <row r="60925" spans="1:2" x14ac:dyDescent="0.2">
      <c r="B60925" t="s">
        <v>8</v>
      </c>
    </row>
    <row r="60926" spans="1:2" x14ac:dyDescent="0.2">
      <c r="B60926" t="s">
        <v>333</v>
      </c>
    </row>
    <row r="60928" spans="1:2" x14ac:dyDescent="0.2">
      <c r="A60928" t="s">
        <v>19011</v>
      </c>
      <c r="B60928" t="str">
        <f>HYPERLINK("https://lindat.mff.cuni.cz/services/teitok/pdtc10/index.php?action=vallex&amp;frame=v-w8569f1", "vyvozovat (v-w8569f1)")</f>
        <v>vyvozovat (v-w8569f1)</v>
      </c>
    </row>
    <row r="60929" spans="1:4" x14ac:dyDescent="0.2">
      <c r="B60929" t="s">
        <v>1</v>
      </c>
      <c r="C60929" t="s">
        <v>1275</v>
      </c>
      <c r="D60929" t="s">
        <v>24297</v>
      </c>
    </row>
    <row r="60930" spans="1:4" x14ac:dyDescent="0.2">
      <c r="B60930" t="s">
        <v>12551</v>
      </c>
      <c r="C60930" t="s">
        <v>307</v>
      </c>
      <c r="D60930" t="s">
        <v>24298</v>
      </c>
    </row>
    <row r="60931" spans="1:4" x14ac:dyDescent="0.2">
      <c r="B60931" t="s">
        <v>18971</v>
      </c>
      <c r="C60931" t="s">
        <v>2079</v>
      </c>
    </row>
    <row r="60933" spans="1:4" x14ac:dyDescent="0.2">
      <c r="A60933" t="s">
        <v>19012</v>
      </c>
      <c r="B60933" t="str">
        <f>HYPERLINK("https://lindat.mff.cuni.cz/services/teitok/pdtc10/index.php?action=vallex&amp;frame=v-w8569f2", "vyvozovat (v-w8569f2)")</f>
        <v>vyvozovat (v-w8569f2)</v>
      </c>
    </row>
    <row r="60934" spans="1:4" x14ac:dyDescent="0.2">
      <c r="B60934" t="s">
        <v>1</v>
      </c>
      <c r="D60934" t="s">
        <v>23149</v>
      </c>
    </row>
    <row r="60935" spans="1:4" x14ac:dyDescent="0.2">
      <c r="B60935" t="s">
        <v>7587</v>
      </c>
      <c r="D60935" t="s">
        <v>23150</v>
      </c>
    </row>
    <row r="60936" spans="1:4" x14ac:dyDescent="0.2">
      <c r="B60936" t="s">
        <v>269</v>
      </c>
      <c r="D60936" t="s">
        <v>23151</v>
      </c>
    </row>
    <row r="60938" spans="1:4" x14ac:dyDescent="0.2">
      <c r="A60938" t="s">
        <v>19013</v>
      </c>
      <c r="B60938" t="str">
        <f>HYPERLINK("https://lindat.mff.cuni.cz/services/teitok/pdtc10/index.php?action=vallex&amp;frame=v-w8570f1", "vyvracet (v-w8570f1)")</f>
        <v>vyvracet (v-w8570f1)</v>
      </c>
    </row>
    <row r="60939" spans="1:4" x14ac:dyDescent="0.2">
      <c r="B60939" t="s">
        <v>1</v>
      </c>
      <c r="D60939" t="s">
        <v>33</v>
      </c>
    </row>
    <row r="60940" spans="1:4" x14ac:dyDescent="0.2">
      <c r="B60940" t="s">
        <v>41</v>
      </c>
      <c r="D60940" t="s">
        <v>84</v>
      </c>
    </row>
    <row r="60941" spans="1:4" x14ac:dyDescent="0.2">
      <c r="B60941" t="s">
        <v>78</v>
      </c>
    </row>
    <row r="60943" spans="1:4" x14ac:dyDescent="0.2">
      <c r="A60943" t="s">
        <v>19014</v>
      </c>
      <c r="B60943" t="str">
        <f>HYPERLINK("https://lindat.mff.cuni.cz/services/teitok/pdtc10/index.php?action=vallex&amp;frame=v-w12046_ZUf1_ZU", "vyvraždit (v-w12046_ZUf1_ZU)")</f>
        <v>vyvraždit (v-w12046_ZUf1_ZU)</v>
      </c>
    </row>
    <row r="60944" spans="1:4" x14ac:dyDescent="0.2">
      <c r="B60944" t="s">
        <v>1</v>
      </c>
    </row>
    <row r="60945" spans="1:4" x14ac:dyDescent="0.2">
      <c r="B60945" t="s">
        <v>8</v>
      </c>
    </row>
    <row r="60947" spans="1:4" x14ac:dyDescent="0.2">
      <c r="A60947" t="s">
        <v>19015</v>
      </c>
      <c r="B60947" t="str">
        <f>HYPERLINK("https://lindat.mff.cuni.cz/services/teitok/pdtc10/index.php?action=vallex&amp;frame=v-w8572f1", "vyvražďovat (v-w8572f1)")</f>
        <v>vyvražďovat (v-w8572f1)</v>
      </c>
    </row>
    <row r="60948" spans="1:4" x14ac:dyDescent="0.2">
      <c r="B60948" t="s">
        <v>1</v>
      </c>
    </row>
    <row r="60949" spans="1:4" x14ac:dyDescent="0.2">
      <c r="B60949" t="s">
        <v>8</v>
      </c>
    </row>
    <row r="60951" spans="1:4" x14ac:dyDescent="0.2">
      <c r="A60951" t="s">
        <v>19016</v>
      </c>
      <c r="B60951" t="str">
        <f>HYPERLINK("https://lindat.mff.cuni.cz/services/teitok/pdtc10/index.php?action=vallex&amp;frame=v-w8574f1", "vyvrcholit (v-w8574f1)")</f>
        <v>vyvrcholit (v-w8574f1)</v>
      </c>
    </row>
    <row r="60952" spans="1:4" x14ac:dyDescent="0.2">
      <c r="B60952" t="s">
        <v>1</v>
      </c>
      <c r="C60952" t="s">
        <v>2458</v>
      </c>
      <c r="D60952" t="s">
        <v>579</v>
      </c>
    </row>
    <row r="60954" spans="1:4" x14ac:dyDescent="0.2">
      <c r="A60954" t="s">
        <v>19017</v>
      </c>
      <c r="B60954" t="str">
        <f>HYPERLINK("https://lindat.mff.cuni.cz/services/teitok/pdtc10/index.php?action=vallex&amp;frame=v-w10529f3", "vyvrhnout (v-w10529f3)")</f>
        <v>vyvrhnout (v-w10529f3)</v>
      </c>
    </row>
    <row r="60955" spans="1:4" x14ac:dyDescent="0.2">
      <c r="B60955" t="s">
        <v>1</v>
      </c>
    </row>
    <row r="60956" spans="1:4" x14ac:dyDescent="0.2">
      <c r="B60956" t="s">
        <v>8</v>
      </c>
    </row>
    <row r="60957" spans="1:4" x14ac:dyDescent="0.2">
      <c r="B60957" t="s">
        <v>333</v>
      </c>
    </row>
    <row r="60959" spans="1:4" x14ac:dyDescent="0.2">
      <c r="A60959" t="s">
        <v>19018</v>
      </c>
      <c r="B60959" t="str">
        <f>HYPERLINK("https://lindat.mff.cuni.cz/services/teitok/pdtc10/index.php?action=vallex&amp;frame=v-w10529f2", "vyvrhnout (v-w10529f2)")</f>
        <v>vyvrhnout (v-w10529f2)</v>
      </c>
    </row>
    <row r="60960" spans="1:4" x14ac:dyDescent="0.2">
      <c r="B60960" t="s">
        <v>1</v>
      </c>
    </row>
    <row r="60961" spans="1:4" x14ac:dyDescent="0.2">
      <c r="B60961" t="s">
        <v>8</v>
      </c>
    </row>
    <row r="60963" spans="1:4" x14ac:dyDescent="0.2">
      <c r="A60963" t="s">
        <v>19019</v>
      </c>
      <c r="B60963" t="str">
        <f>HYPERLINK("https://lindat.mff.cuni.cz/services/teitok/pdtc10/index.php?action=vallex&amp;frame=v-w10529hsa_470", "vyvrhnout (v-w10529hsa_470)")</f>
        <v>vyvrhnout (v-w10529hsa_470)</v>
      </c>
    </row>
    <row r="60964" spans="1:4" x14ac:dyDescent="0.2">
      <c r="B60964" t="s">
        <v>1</v>
      </c>
    </row>
    <row r="60965" spans="1:4" x14ac:dyDescent="0.2">
      <c r="B60965" t="s">
        <v>8</v>
      </c>
    </row>
    <row r="60967" spans="1:4" x14ac:dyDescent="0.2">
      <c r="A60967" t="s">
        <v>19020</v>
      </c>
      <c r="B60967" t="str">
        <f>HYPERLINK("https://lindat.mff.cuni.cz/services/teitok/pdtc10/index.php?action=vallex&amp;frame=v-w11632_ZUf1_ZU", "vyvrtat (v-w11632_ZUf1_ZU)")</f>
        <v>vyvrtat (v-w11632_ZUf1_ZU)</v>
      </c>
    </row>
    <row r="60968" spans="1:4" x14ac:dyDescent="0.2">
      <c r="B60968" t="s">
        <v>1</v>
      </c>
    </row>
    <row r="60969" spans="1:4" x14ac:dyDescent="0.2">
      <c r="B60969" t="s">
        <v>8</v>
      </c>
    </row>
    <row r="60971" spans="1:4" x14ac:dyDescent="0.2">
      <c r="A60971" t="s">
        <v>19021</v>
      </c>
      <c r="B60971" t="str">
        <f>HYPERLINK("https://lindat.mff.cuni.cz/services/teitok/pdtc10/index.php?action=vallex&amp;frame=v-w8571f1", "vyvrátit (v-w8571f1)")</f>
        <v>vyvrátit (v-w8571f1)</v>
      </c>
    </row>
    <row r="60972" spans="1:4" x14ac:dyDescent="0.2">
      <c r="B60972" t="s">
        <v>1</v>
      </c>
      <c r="C60972" t="s">
        <v>19022</v>
      </c>
      <c r="D60972" t="s">
        <v>33</v>
      </c>
    </row>
    <row r="60973" spans="1:4" x14ac:dyDescent="0.2">
      <c r="B60973" t="s">
        <v>1636</v>
      </c>
      <c r="C60973" t="s">
        <v>7118</v>
      </c>
      <c r="D60973" t="s">
        <v>84</v>
      </c>
    </row>
    <row r="60974" spans="1:4" x14ac:dyDescent="0.2">
      <c r="B60974" t="s">
        <v>78</v>
      </c>
    </row>
    <row r="60976" spans="1:4" x14ac:dyDescent="0.2">
      <c r="A60976" t="s">
        <v>19023</v>
      </c>
      <c r="B60976" t="str">
        <f>HYPERLINK("https://lindat.mff.cuni.cz/services/teitok/pdtc10/index.php?action=vallex&amp;frame=v-w8575f1", "vyvstat (v-w8575f1)")</f>
        <v>vyvstat (v-w8575f1)</v>
      </c>
    </row>
    <row r="60977" spans="1:4" x14ac:dyDescent="0.2">
      <c r="B60977" t="s">
        <v>1</v>
      </c>
      <c r="C60977" t="s">
        <v>19024</v>
      </c>
      <c r="D60977" t="s">
        <v>8395</v>
      </c>
    </row>
    <row r="60979" spans="1:4" x14ac:dyDescent="0.2">
      <c r="A60979" t="s">
        <v>19025</v>
      </c>
      <c r="B60979" t="str">
        <f>HYPERLINK("https://lindat.mff.cuni.cz/services/teitok/pdtc10/index.php?action=vallex&amp;frame=v-w8576f1", "vyvstávat (v-w8576f1)")</f>
        <v>vyvstávat (v-w8576f1)</v>
      </c>
    </row>
    <row r="60980" spans="1:4" x14ac:dyDescent="0.2">
      <c r="B60980" t="s">
        <v>1</v>
      </c>
      <c r="C60980" t="s">
        <v>19026</v>
      </c>
      <c r="D60980" t="s">
        <v>8395</v>
      </c>
    </row>
    <row r="60982" spans="1:4" x14ac:dyDescent="0.2">
      <c r="A60982" t="s">
        <v>19027</v>
      </c>
      <c r="B60982" t="str">
        <f>HYPERLINK("https://lindat.mff.cuni.cz/services/teitok/pdtc10/index.php?action=vallex&amp;frame=v-whsa_671hsa_672", "vyvyšovat se (v-whsa_671hsa_672)")</f>
        <v>vyvyšovat se (v-whsa_671hsa_672)</v>
      </c>
    </row>
    <row r="60983" spans="1:4" x14ac:dyDescent="0.2">
      <c r="B60983" t="s">
        <v>1</v>
      </c>
      <c r="C60983" t="s">
        <v>140</v>
      </c>
    </row>
    <row r="60984" spans="1:4" x14ac:dyDescent="0.2">
      <c r="B60984" t="s">
        <v>19028</v>
      </c>
      <c r="C60984" t="s">
        <v>113</v>
      </c>
    </row>
    <row r="60986" spans="1:4" x14ac:dyDescent="0.2">
      <c r="A60986" t="s">
        <v>19029</v>
      </c>
      <c r="B60986" t="str">
        <f>HYPERLINK("https://lindat.mff.cuni.cz/services/teitok/pdtc10/index.php?action=vallex&amp;frame=v-w8577f1", "vyvzdorovat (v-w8577f1)")</f>
        <v>vyvzdorovat (v-w8577f1)</v>
      </c>
    </row>
    <row r="60987" spans="1:4" x14ac:dyDescent="0.2">
      <c r="B60987" t="s">
        <v>1</v>
      </c>
    </row>
    <row r="60988" spans="1:4" x14ac:dyDescent="0.2">
      <c r="B60988" t="s">
        <v>8</v>
      </c>
    </row>
    <row r="60989" spans="1:4" x14ac:dyDescent="0.2">
      <c r="B60989" t="s">
        <v>6411</v>
      </c>
    </row>
    <row r="60991" spans="1:4" x14ac:dyDescent="0.2">
      <c r="A60991" t="s">
        <v>19030</v>
      </c>
      <c r="B60991" t="str">
        <f>HYPERLINK("https://lindat.mff.cuni.cz/services/teitok/pdtc10/index.php?action=vallex&amp;frame=v-w11202f3", "vyvádět (v-w11202f3)")</f>
        <v>vyvádět (v-w11202f3)</v>
      </c>
    </row>
    <row r="60992" spans="1:4" x14ac:dyDescent="0.2">
      <c r="B60992" t="s">
        <v>1</v>
      </c>
    </row>
    <row r="60993" spans="1:4" x14ac:dyDescent="0.2">
      <c r="B60993" t="s">
        <v>8</v>
      </c>
    </row>
    <row r="60994" spans="1:4" x14ac:dyDescent="0.2">
      <c r="B60994" t="s">
        <v>333</v>
      </c>
    </row>
    <row r="60996" spans="1:4" x14ac:dyDescent="0.2">
      <c r="A60996" t="s">
        <v>19031</v>
      </c>
      <c r="B60996" t="str">
        <f>HYPERLINK("https://lindat.mff.cuni.cz/services/teitok/pdtc10/index.php?action=vallex&amp;frame=v-w11202f2", "vyvádět (v-w11202f2)")</f>
        <v>vyvádět (v-w11202f2)</v>
      </c>
    </row>
    <row r="60997" spans="1:4" x14ac:dyDescent="0.2">
      <c r="B60997" t="s">
        <v>1</v>
      </c>
      <c r="C60997" t="s">
        <v>22</v>
      </c>
      <c r="D60997" t="s">
        <v>24431</v>
      </c>
    </row>
    <row r="60998" spans="1:4" x14ac:dyDescent="0.2">
      <c r="B60998" t="s">
        <v>19032</v>
      </c>
      <c r="D60998" t="s">
        <v>24432</v>
      </c>
    </row>
    <row r="60999" spans="1:4" x14ac:dyDescent="0.2">
      <c r="B60999" t="s">
        <v>8</v>
      </c>
      <c r="C60999" t="s">
        <v>335</v>
      </c>
      <c r="D60999" t="s">
        <v>24433</v>
      </c>
    </row>
    <row r="61001" spans="1:4" x14ac:dyDescent="0.2">
      <c r="A61001" t="s">
        <v>19033</v>
      </c>
      <c r="B61001" t="str">
        <f>HYPERLINK("https://lindat.mff.cuni.cz/services/teitok/pdtc10/index.php?action=vallex&amp;frame=v-w11202f4_ZU", "vyvádět (v-w11202f4_ZU)")</f>
        <v>vyvádět (v-w11202f4_ZU)</v>
      </c>
    </row>
    <row r="61002" spans="1:4" x14ac:dyDescent="0.2">
      <c r="B61002" t="s">
        <v>1</v>
      </c>
    </row>
    <row r="61003" spans="1:4" x14ac:dyDescent="0.2">
      <c r="B61003" t="s">
        <v>220</v>
      </c>
    </row>
    <row r="61005" spans="1:4" x14ac:dyDescent="0.2">
      <c r="A61005" t="s">
        <v>19033</v>
      </c>
      <c r="B61005" t="str">
        <f>HYPERLINK("https://lindat.mff.cuni.cz/services/teitok/pdtc10/index.php?action=vallex&amp;frame=v-w11202hsa_1612", "vyvádět (v-w11202hsa_1612) - substituted with v-w11202f4_ZU")</f>
        <v>vyvádět (v-w11202hsa_1612) - substituted with v-w11202f4_ZU</v>
      </c>
    </row>
    <row r="61006" spans="1:4" x14ac:dyDescent="0.2">
      <c r="B61006" t="s">
        <v>1</v>
      </c>
    </row>
    <row r="61007" spans="1:4" x14ac:dyDescent="0.2">
      <c r="B61007" t="s">
        <v>220</v>
      </c>
    </row>
    <row r="61009" spans="1:3" x14ac:dyDescent="0.2">
      <c r="A61009" t="s">
        <v>19034</v>
      </c>
      <c r="B61009" t="str">
        <f>HYPERLINK("https://lindat.mff.cuni.cz/services/teitok/pdtc10/index.php?action=vallex&amp;frame=v-w11202f5_ZU", "vyvádět (v-w11202f5_ZU)")</f>
        <v>vyvádět (v-w11202f5_ZU)</v>
      </c>
    </row>
    <row r="61010" spans="1:3" x14ac:dyDescent="0.2">
      <c r="B61010" t="s">
        <v>1</v>
      </c>
    </row>
    <row r="61011" spans="1:3" x14ac:dyDescent="0.2">
      <c r="B61011" t="s">
        <v>8</v>
      </c>
    </row>
    <row r="61013" spans="1:3" x14ac:dyDescent="0.2">
      <c r="A61013" t="s">
        <v>19035</v>
      </c>
      <c r="B61013" t="str">
        <f>HYPERLINK("https://lindat.mff.cuni.cz/services/teitok/pdtc10/index.php?action=vallex&amp;frame=v-w12392_MMf1_MM", "vyválet (v-w12392_MMf1_MM)")</f>
        <v>vyválet (v-w12392_MMf1_MM)</v>
      </c>
    </row>
    <row r="61014" spans="1:3" x14ac:dyDescent="0.2">
      <c r="B61014" t="s">
        <v>1</v>
      </c>
    </row>
    <row r="61015" spans="1:3" x14ac:dyDescent="0.2">
      <c r="B61015" t="s">
        <v>8</v>
      </c>
    </row>
    <row r="61016" spans="1:3" x14ac:dyDescent="0.2">
      <c r="B61016" t="s">
        <v>24</v>
      </c>
    </row>
    <row r="61018" spans="1:3" x14ac:dyDescent="0.2">
      <c r="A61018" t="s">
        <v>19036</v>
      </c>
      <c r="B61018" t="str">
        <f>HYPERLINK("https://lindat.mff.cuni.cz/services/teitok/pdtc10/index.php?action=vallex&amp;frame=v-whsa_1369hsa_1370", "vyválet se (v-whsa_1369hsa_1370)")</f>
        <v>vyválet se (v-whsa_1369hsa_1370)</v>
      </c>
    </row>
    <row r="61019" spans="1:3" x14ac:dyDescent="0.2">
      <c r="B61019" t="s">
        <v>1</v>
      </c>
    </row>
    <row r="61021" spans="1:3" x14ac:dyDescent="0.2">
      <c r="A61021" t="s">
        <v>19037</v>
      </c>
      <c r="B61021" t="str">
        <f>HYPERLINK("https://lindat.mff.cuni.cz/services/teitok/pdtc10/index.php?action=vallex&amp;frame=v-w10862f2", "vyvázat (v-w10862f2)")</f>
        <v>vyvázat (v-w10862f2)</v>
      </c>
    </row>
    <row r="61022" spans="1:3" x14ac:dyDescent="0.2">
      <c r="B61022" t="s">
        <v>1</v>
      </c>
      <c r="C61022" t="s">
        <v>990</v>
      </c>
    </row>
    <row r="61023" spans="1:3" x14ac:dyDescent="0.2">
      <c r="B61023" t="s">
        <v>8</v>
      </c>
    </row>
    <row r="61024" spans="1:3" x14ac:dyDescent="0.2">
      <c r="B61024" t="s">
        <v>2918</v>
      </c>
      <c r="C61024" t="s">
        <v>19038</v>
      </c>
    </row>
    <row r="61026" spans="1:4" x14ac:dyDescent="0.2">
      <c r="A61026" t="s">
        <v>19039</v>
      </c>
      <c r="B61026" t="str">
        <f>HYPERLINK("https://lindat.mff.cuni.cz/services/teitok/pdtc10/index.php?action=vallex&amp;frame=v-w8538f1", "vyváznout (v-w8538f1)")</f>
        <v>vyváznout (v-w8538f1)</v>
      </c>
    </row>
    <row r="61027" spans="1:4" x14ac:dyDescent="0.2">
      <c r="B61027" t="s">
        <v>1</v>
      </c>
      <c r="C61027" t="s">
        <v>2303</v>
      </c>
      <c r="D61027" t="s">
        <v>23204</v>
      </c>
    </row>
    <row r="61028" spans="1:4" x14ac:dyDescent="0.2">
      <c r="B61028" t="s">
        <v>333</v>
      </c>
      <c r="C61028" t="s">
        <v>16171</v>
      </c>
      <c r="D61028" t="s">
        <v>23205</v>
      </c>
    </row>
    <row r="61030" spans="1:4" x14ac:dyDescent="0.2">
      <c r="A61030" t="s">
        <v>19040</v>
      </c>
      <c r="B61030" t="str">
        <f>HYPERLINK("https://lindat.mff.cuni.cz/services/teitok/pdtc10/index.php?action=vallex&amp;frame=v-w8538f2_ZU", "vyváznout (v-w8538f2_ZU)")</f>
        <v>vyváznout (v-w8538f2_ZU)</v>
      </c>
    </row>
    <row r="61031" spans="1:4" x14ac:dyDescent="0.2">
      <c r="B61031" t="s">
        <v>1</v>
      </c>
    </row>
    <row r="61032" spans="1:4" x14ac:dyDescent="0.2">
      <c r="B61032" t="s">
        <v>168</v>
      </c>
    </row>
    <row r="61034" spans="1:4" x14ac:dyDescent="0.2">
      <c r="A61034" t="s">
        <v>19041</v>
      </c>
      <c r="B61034" t="str">
        <f>HYPERLINK("https://lindat.mff.cuni.cz/services/teitok/pdtc10/index.php?action=vallex&amp;frame=v-w11723_ZUf1_ZU", "vyvářet (v-w11723_ZUf1_ZU)")</f>
        <v>vyvářet (v-w11723_ZUf1_ZU)</v>
      </c>
    </row>
    <row r="61035" spans="1:4" x14ac:dyDescent="0.2">
      <c r="B61035" t="s">
        <v>1</v>
      </c>
    </row>
    <row r="61036" spans="1:4" x14ac:dyDescent="0.2">
      <c r="B61036" t="s">
        <v>8</v>
      </c>
    </row>
    <row r="61038" spans="1:4" x14ac:dyDescent="0.2">
      <c r="A61038" t="s">
        <v>19042</v>
      </c>
      <c r="B61038" t="str">
        <f>HYPERLINK("https://lindat.mff.cuni.cz/services/teitok/pdtc10/index.php?action=vallex&amp;frame=v-w8539f1", "vyvážet (v-w8539f1)")</f>
        <v>vyvážet (v-w8539f1)</v>
      </c>
    </row>
    <row r="61039" spans="1:4" x14ac:dyDescent="0.2">
      <c r="B61039" t="s">
        <v>1</v>
      </c>
      <c r="C61039" t="s">
        <v>92</v>
      </c>
      <c r="D61039" t="s">
        <v>4110</v>
      </c>
    </row>
    <row r="61040" spans="1:4" x14ac:dyDescent="0.2">
      <c r="B61040" t="s">
        <v>8</v>
      </c>
      <c r="C61040" t="s">
        <v>19043</v>
      </c>
      <c r="D61040" t="s">
        <v>23780</v>
      </c>
    </row>
    <row r="61041" spans="1:4" x14ac:dyDescent="0.2">
      <c r="B61041" t="s">
        <v>333</v>
      </c>
    </row>
    <row r="61043" spans="1:4" x14ac:dyDescent="0.2">
      <c r="A61043" t="s">
        <v>19044</v>
      </c>
      <c r="B61043" t="str">
        <f>HYPERLINK("https://lindat.mff.cuni.cz/services/teitok/pdtc10/index.php?action=vallex&amp;frame=v-w8540f1", "vyvážit (v-w8540f1)")</f>
        <v>vyvážit (v-w8540f1)</v>
      </c>
    </row>
    <row r="61044" spans="1:4" x14ac:dyDescent="0.2">
      <c r="B61044" t="s">
        <v>1</v>
      </c>
      <c r="C61044" t="s">
        <v>80</v>
      </c>
      <c r="D61044" t="s">
        <v>4082</v>
      </c>
    </row>
    <row r="61045" spans="1:4" x14ac:dyDescent="0.2">
      <c r="B61045" t="s">
        <v>8</v>
      </c>
      <c r="C61045" t="s">
        <v>19045</v>
      </c>
      <c r="D61045" t="s">
        <v>23406</v>
      </c>
    </row>
    <row r="61046" spans="1:4" x14ac:dyDescent="0.2">
      <c r="B61046" t="s">
        <v>5479</v>
      </c>
      <c r="C61046" t="s">
        <v>19046</v>
      </c>
      <c r="D61046" t="s">
        <v>11467</v>
      </c>
    </row>
    <row r="61048" spans="1:4" x14ac:dyDescent="0.2">
      <c r="A61048" t="s">
        <v>19047</v>
      </c>
      <c r="B61048" t="str">
        <f>HYPERLINK("https://lindat.mff.cuni.cz/services/teitok/pdtc10/index.php?action=vallex&amp;frame=v-w8540f2_ZU", "vyvážit (v-w8540f2_ZU)")</f>
        <v>vyvážit (v-w8540f2_ZU)</v>
      </c>
    </row>
    <row r="61049" spans="1:4" x14ac:dyDescent="0.2">
      <c r="B61049" t="s">
        <v>1</v>
      </c>
      <c r="C61049" t="s">
        <v>17905</v>
      </c>
      <c r="D61049" t="s">
        <v>24434</v>
      </c>
    </row>
    <row r="61050" spans="1:4" x14ac:dyDescent="0.2">
      <c r="B61050" t="s">
        <v>8</v>
      </c>
      <c r="C61050" t="s">
        <v>4631</v>
      </c>
      <c r="D61050" t="s">
        <v>21184</v>
      </c>
    </row>
    <row r="61052" spans="1:4" x14ac:dyDescent="0.2">
      <c r="A61052" t="s">
        <v>19047</v>
      </c>
      <c r="B61052" t="str">
        <f>HYPERLINK("https://lindat.mff.cuni.cz/services/teitok/pdtc10/index.php?action=vallex&amp;frame=v-w8540hsa_1091", "vyvážit (v-w8540hsa_1091) - substituted with v-w8540f2_ZU")</f>
        <v>vyvážit (v-w8540hsa_1091) - substituted with v-w8540f2_ZU</v>
      </c>
    </row>
    <row r="61053" spans="1:4" x14ac:dyDescent="0.2">
      <c r="B61053" t="s">
        <v>1</v>
      </c>
    </row>
    <row r="61054" spans="1:4" x14ac:dyDescent="0.2">
      <c r="B61054" t="s">
        <v>8</v>
      </c>
    </row>
    <row r="61056" spans="1:4" x14ac:dyDescent="0.2">
      <c r="A61056" t="s">
        <v>19048</v>
      </c>
      <c r="B61056" t="str">
        <f>HYPERLINK("https://lindat.mff.cuni.cz/services/teitok/pdtc10/index.php?action=vallex&amp;frame=v-w8544f1", "vyvést (v-w8544f1)")</f>
        <v>vyvést (v-w8544f1)</v>
      </c>
    </row>
    <row r="61057" spans="1:4" x14ac:dyDescent="0.2">
      <c r="B61057" t="s">
        <v>1</v>
      </c>
      <c r="C61057" t="s">
        <v>2566</v>
      </c>
    </row>
    <row r="61058" spans="1:4" x14ac:dyDescent="0.2">
      <c r="B61058" t="s">
        <v>8</v>
      </c>
      <c r="C61058" t="s">
        <v>19049</v>
      </c>
    </row>
    <row r="61059" spans="1:4" x14ac:dyDescent="0.2">
      <c r="B61059" t="s">
        <v>24</v>
      </c>
      <c r="C61059" t="s">
        <v>19050</v>
      </c>
    </row>
    <row r="61061" spans="1:4" x14ac:dyDescent="0.2">
      <c r="A61061" t="s">
        <v>19051</v>
      </c>
      <c r="B61061" t="str">
        <f>HYPERLINK("https://lindat.mff.cuni.cz/services/teitok/pdtc10/index.php?action=vallex&amp;frame=v-w8544f3", "vyvést (v-w8544f3)")</f>
        <v>vyvést (v-w8544f3)</v>
      </c>
    </row>
    <row r="61062" spans="1:4" x14ac:dyDescent="0.2">
      <c r="B61062" t="s">
        <v>1</v>
      </c>
      <c r="C61062" t="s">
        <v>370</v>
      </c>
      <c r="D61062" t="s">
        <v>3292</v>
      </c>
    </row>
    <row r="61063" spans="1:4" x14ac:dyDescent="0.2">
      <c r="B61063" t="s">
        <v>8</v>
      </c>
      <c r="C61063" t="s">
        <v>1798</v>
      </c>
      <c r="D61063" t="s">
        <v>232</v>
      </c>
    </row>
    <row r="61064" spans="1:4" x14ac:dyDescent="0.2">
      <c r="B61064" t="s">
        <v>333</v>
      </c>
    </row>
    <row r="61066" spans="1:4" x14ac:dyDescent="0.2">
      <c r="A61066" t="s">
        <v>19052</v>
      </c>
      <c r="B61066" t="str">
        <f>HYPERLINK("https://lindat.mff.cuni.cz/services/teitok/pdtc10/index.php?action=vallex&amp;frame=v-w8544f2", "vyvést (v-w8544f2)")</f>
        <v>vyvést (v-w8544f2)</v>
      </c>
    </row>
    <row r="61067" spans="1:4" x14ac:dyDescent="0.2">
      <c r="B61067" t="s">
        <v>1</v>
      </c>
      <c r="C61067" t="s">
        <v>33</v>
      </c>
      <c r="D61067" t="s">
        <v>9266</v>
      </c>
    </row>
    <row r="61068" spans="1:4" x14ac:dyDescent="0.2">
      <c r="B61068" t="s">
        <v>19032</v>
      </c>
    </row>
    <row r="61069" spans="1:4" x14ac:dyDescent="0.2">
      <c r="B61069" t="s">
        <v>8</v>
      </c>
      <c r="C61069" t="s">
        <v>991</v>
      </c>
      <c r="D61069" t="s">
        <v>24133</v>
      </c>
    </row>
    <row r="61071" spans="1:4" x14ac:dyDescent="0.2">
      <c r="A61071" t="s">
        <v>19053</v>
      </c>
      <c r="B61071" t="str">
        <f>HYPERLINK("https://lindat.mff.cuni.cz/services/teitok/pdtc10/index.php?action=vallex&amp;frame=v-w8544f4_ZU", "vyvést (v-w8544f4_ZU)")</f>
        <v>vyvést (v-w8544f4_ZU)</v>
      </c>
    </row>
    <row r="61072" spans="1:4" x14ac:dyDescent="0.2">
      <c r="B61072" t="s">
        <v>1</v>
      </c>
      <c r="D61072" t="s">
        <v>9266</v>
      </c>
    </row>
    <row r="61073" spans="1:4" x14ac:dyDescent="0.2">
      <c r="B61073" t="s">
        <v>19054</v>
      </c>
    </row>
    <row r="61074" spans="1:4" x14ac:dyDescent="0.2">
      <c r="B61074" t="s">
        <v>8</v>
      </c>
      <c r="C61074" t="s">
        <v>113</v>
      </c>
      <c r="D61074" t="s">
        <v>24435</v>
      </c>
    </row>
    <row r="61076" spans="1:4" x14ac:dyDescent="0.2">
      <c r="A61076" t="s">
        <v>19053</v>
      </c>
      <c r="B61076" t="str">
        <f>HYPERLINK("https://lindat.mff.cuni.cz/services/teitok/pdtc10/index.php?action=vallex&amp;frame=v-w8544hsa_501", "vyvést (v-w8544hsa_501) - substituted with v-w8544f4_ZU")</f>
        <v>vyvést (v-w8544hsa_501) - substituted with v-w8544f4_ZU</v>
      </c>
    </row>
    <row r="61077" spans="1:4" x14ac:dyDescent="0.2">
      <c r="B61077" t="s">
        <v>1</v>
      </c>
    </row>
    <row r="61078" spans="1:4" x14ac:dyDescent="0.2">
      <c r="B61078" t="s">
        <v>19054</v>
      </c>
    </row>
    <row r="61079" spans="1:4" x14ac:dyDescent="0.2">
      <c r="B61079" t="s">
        <v>8</v>
      </c>
    </row>
    <row r="61081" spans="1:4" x14ac:dyDescent="0.2">
      <c r="A61081" t="s">
        <v>19055</v>
      </c>
      <c r="B61081" t="str">
        <f>HYPERLINK("https://lindat.mff.cuni.cz/services/teitok/pdtc10/index.php?action=vallex&amp;frame=v-w8544hsa_1504", "vyvést (v-w8544hsa_1504)")</f>
        <v>vyvést (v-w8544hsa_1504)</v>
      </c>
    </row>
    <row r="61082" spans="1:4" x14ac:dyDescent="0.2">
      <c r="B61082" t="s">
        <v>1</v>
      </c>
    </row>
    <row r="61083" spans="1:4" x14ac:dyDescent="0.2">
      <c r="B61083" t="s">
        <v>8</v>
      </c>
    </row>
    <row r="61085" spans="1:4" x14ac:dyDescent="0.2">
      <c r="A61085" t="s">
        <v>19056</v>
      </c>
      <c r="B61085" t="str">
        <f>HYPERLINK("https://lindat.mff.cuni.cz/services/teitok/pdtc10/index.php?action=vallex&amp;frame=v-w8545f1", "vyvést se (v-w8545f1)")</f>
        <v>vyvést se (v-w8545f1)</v>
      </c>
    </row>
    <row r="61086" spans="1:4" x14ac:dyDescent="0.2">
      <c r="B61086" t="s">
        <v>455</v>
      </c>
    </row>
    <row r="61087" spans="1:4" x14ac:dyDescent="0.2">
      <c r="B61087" t="s">
        <v>8742</v>
      </c>
    </row>
    <row r="61089" spans="1:4" x14ac:dyDescent="0.2">
      <c r="A61089" t="s">
        <v>19057</v>
      </c>
      <c r="B61089" t="str">
        <f>HYPERLINK("https://lindat.mff.cuni.cz/services/teitok/pdtc10/index.php?action=vallex&amp;frame=v-w8547f1", "vyvézt (v-w8547f1)")</f>
        <v>vyvézt (v-w8547f1)</v>
      </c>
    </row>
    <row r="61090" spans="1:4" x14ac:dyDescent="0.2">
      <c r="B61090" t="s">
        <v>1</v>
      </c>
      <c r="C61090" t="s">
        <v>92</v>
      </c>
      <c r="D61090" t="s">
        <v>4110</v>
      </c>
    </row>
    <row r="61091" spans="1:4" x14ac:dyDescent="0.2">
      <c r="B61091" t="s">
        <v>8</v>
      </c>
      <c r="C61091" t="s">
        <v>4676</v>
      </c>
      <c r="D61091" t="s">
        <v>23780</v>
      </c>
    </row>
    <row r="61092" spans="1:4" x14ac:dyDescent="0.2">
      <c r="B61092" t="s">
        <v>333</v>
      </c>
    </row>
    <row r="61094" spans="1:4" x14ac:dyDescent="0.2">
      <c r="A61094" t="s">
        <v>19058</v>
      </c>
      <c r="B61094" t="str">
        <f>HYPERLINK("https://lindat.mff.cuni.cz/services/teitok/pdtc10/index.php?action=vallex&amp;frame=v-w8547f2_ZU", "vyvézt (v-w8547f2_ZU)")</f>
        <v>vyvézt (v-w8547f2_ZU)</v>
      </c>
    </row>
    <row r="61095" spans="1:4" x14ac:dyDescent="0.2">
      <c r="B61095" t="s">
        <v>1</v>
      </c>
    </row>
    <row r="61096" spans="1:4" x14ac:dyDescent="0.2">
      <c r="B61096" t="s">
        <v>8</v>
      </c>
    </row>
    <row r="61097" spans="1:4" x14ac:dyDescent="0.2">
      <c r="B61097" t="s">
        <v>252</v>
      </c>
    </row>
    <row r="61099" spans="1:4" x14ac:dyDescent="0.2">
      <c r="A61099" t="s">
        <v>19059</v>
      </c>
      <c r="B61099" t="str">
        <f>HYPERLINK("https://lindat.mff.cuni.cz/services/teitok/pdtc10/index.php?action=vallex&amp;frame=v-w8549f2", "vyvíjet (v-w8549f2)")</f>
        <v>vyvíjet (v-w8549f2)</v>
      </c>
    </row>
    <row r="61100" spans="1:4" x14ac:dyDescent="0.2">
      <c r="B61100" t="s">
        <v>1</v>
      </c>
      <c r="C61100" t="s">
        <v>19060</v>
      </c>
      <c r="D61100" t="s">
        <v>2363</v>
      </c>
    </row>
    <row r="61101" spans="1:4" x14ac:dyDescent="0.2">
      <c r="B61101" t="s">
        <v>8</v>
      </c>
      <c r="C61101" t="s">
        <v>19061</v>
      </c>
      <c r="D61101" t="s">
        <v>17592</v>
      </c>
    </row>
    <row r="61102" spans="1:4" x14ac:dyDescent="0.2">
      <c r="B61102" t="s">
        <v>24</v>
      </c>
      <c r="C61102" t="s">
        <v>4604</v>
      </c>
      <c r="D61102" t="s">
        <v>3656</v>
      </c>
    </row>
    <row r="61104" spans="1:4" x14ac:dyDescent="0.2">
      <c r="A61104" t="s">
        <v>19062</v>
      </c>
      <c r="B61104" t="str">
        <f>HYPERLINK("https://lindat.mff.cuni.cz/services/teitok/pdtc10/index.php?action=vallex&amp;frame=v-w8549hsa_298", "vyvíjet (v-w8549hsa_298)")</f>
        <v>vyvíjet (v-w8549hsa_298)</v>
      </c>
    </row>
    <row r="61105" spans="1:4" x14ac:dyDescent="0.2">
      <c r="B61105" t="s">
        <v>1</v>
      </c>
      <c r="C61105" t="s">
        <v>3307</v>
      </c>
    </row>
    <row r="61106" spans="1:4" x14ac:dyDescent="0.2">
      <c r="B61106" t="s">
        <v>19063</v>
      </c>
      <c r="C61106" t="s">
        <v>10945</v>
      </c>
    </row>
    <row r="61108" spans="1:4" x14ac:dyDescent="0.2">
      <c r="A61108" t="s">
        <v>19062</v>
      </c>
      <c r="B61108" t="str">
        <f>HYPERLINK("https://lindat.mff.cuni.cz/services/teitok/pdtc10/index.php?action=vallex&amp;frame=v-w8549f1", "vyvíjet (v-w8549f1) - substituted with v-w8549hsa_298")</f>
        <v>vyvíjet (v-w8549f1) - substituted with v-w8549hsa_298</v>
      </c>
    </row>
    <row r="61109" spans="1:4" x14ac:dyDescent="0.2">
      <c r="B61109" t="s">
        <v>1</v>
      </c>
      <c r="C61109" t="s">
        <v>976</v>
      </c>
    </row>
    <row r="61110" spans="1:4" x14ac:dyDescent="0.2">
      <c r="B61110" t="s">
        <v>19063</v>
      </c>
      <c r="C61110" t="s">
        <v>19064</v>
      </c>
    </row>
    <row r="61112" spans="1:4" x14ac:dyDescent="0.2">
      <c r="A61112" t="s">
        <v>19062</v>
      </c>
      <c r="B61112" t="str">
        <f>HYPERLINK("https://lindat.mff.cuni.cz/services/teitok/pdtc10/index.php?action=vallex&amp;frame=v-w8549f3_ZU", "vyvíjet (v-w8549f3_ZU) - substituted with v-w8549hsa_298")</f>
        <v>vyvíjet (v-w8549f3_ZU) - substituted with v-w8549hsa_298</v>
      </c>
    </row>
    <row r="61113" spans="1:4" x14ac:dyDescent="0.2">
      <c r="B61113" t="s">
        <v>1</v>
      </c>
      <c r="C61113" t="s">
        <v>8467</v>
      </c>
    </row>
    <row r="61114" spans="1:4" x14ac:dyDescent="0.2">
      <c r="B61114" t="s">
        <v>19063</v>
      </c>
      <c r="C61114" t="s">
        <v>19065</v>
      </c>
    </row>
    <row r="61116" spans="1:4" x14ac:dyDescent="0.2">
      <c r="A61116" t="s">
        <v>19066</v>
      </c>
      <c r="B61116" t="str">
        <f>HYPERLINK("https://lindat.mff.cuni.cz/services/teitok/pdtc10/index.php?action=vallex&amp;frame=v-w8550f1", "vyvíjet se (v-w8550f1)")</f>
        <v>vyvíjet se (v-w8550f1)</v>
      </c>
    </row>
    <row r="61117" spans="1:4" x14ac:dyDescent="0.2">
      <c r="B61117" t="s">
        <v>1</v>
      </c>
      <c r="C61117" t="s">
        <v>19067</v>
      </c>
      <c r="D61117" t="s">
        <v>23449</v>
      </c>
    </row>
    <row r="61119" spans="1:4" x14ac:dyDescent="0.2">
      <c r="A61119" t="s">
        <v>19068</v>
      </c>
      <c r="B61119" t="str">
        <f>HYPERLINK("https://lindat.mff.cuni.cz/services/teitok/pdtc10/index.php?action=vallex&amp;frame=v-w10104f2", "vyvěrat (v-w10104f2)")</f>
        <v>vyvěrat (v-w10104f2)</v>
      </c>
    </row>
    <row r="61120" spans="1:4" x14ac:dyDescent="0.2">
      <c r="B61120" t="s">
        <v>1</v>
      </c>
      <c r="C61120" t="s">
        <v>18844</v>
      </c>
      <c r="D61120" t="s">
        <v>23789</v>
      </c>
    </row>
    <row r="61121" spans="1:4" x14ac:dyDescent="0.2">
      <c r="B61121" t="s">
        <v>168</v>
      </c>
      <c r="C61121" t="s">
        <v>19069</v>
      </c>
      <c r="D61121" t="s">
        <v>23790</v>
      </c>
    </row>
    <row r="61123" spans="1:4" x14ac:dyDescent="0.2">
      <c r="A61123" t="s">
        <v>19070</v>
      </c>
      <c r="B61123" t="str">
        <f>HYPERLINK("https://lindat.mff.cuni.cz/services/teitok/pdtc10/index.php?action=vallex&amp;frame=v-w10104hsa_1753", "vyvěrat (v-w10104hsa_1753)")</f>
        <v>vyvěrat (v-w10104hsa_1753)</v>
      </c>
    </row>
    <row r="61124" spans="1:4" x14ac:dyDescent="0.2">
      <c r="B61124" t="s">
        <v>1</v>
      </c>
    </row>
    <row r="61125" spans="1:4" x14ac:dyDescent="0.2">
      <c r="B61125" t="s">
        <v>333</v>
      </c>
    </row>
    <row r="61127" spans="1:4" x14ac:dyDescent="0.2">
      <c r="A61127" t="s">
        <v>19071</v>
      </c>
      <c r="B61127" t="str">
        <f>HYPERLINK("https://lindat.mff.cuni.cz/services/teitok/pdtc10/index.php?action=vallex&amp;frame=v-w8543f1", "vyvěsit (v-w8543f1)")</f>
        <v>vyvěsit (v-w8543f1)</v>
      </c>
    </row>
    <row r="61128" spans="1:4" x14ac:dyDescent="0.2">
      <c r="B61128" t="s">
        <v>1</v>
      </c>
      <c r="C61128" t="s">
        <v>133</v>
      </c>
      <c r="D61128" t="s">
        <v>23181</v>
      </c>
    </row>
    <row r="61129" spans="1:4" x14ac:dyDescent="0.2">
      <c r="B61129" t="s">
        <v>124</v>
      </c>
      <c r="C61129" t="s">
        <v>1128</v>
      </c>
      <c r="D61129" t="s">
        <v>23182</v>
      </c>
    </row>
    <row r="61131" spans="1:4" x14ac:dyDescent="0.2">
      <c r="A61131" t="s">
        <v>19072</v>
      </c>
      <c r="B61131" t="str">
        <f>HYPERLINK("https://lindat.mff.cuni.cz/services/teitok/pdtc10/index.php?action=vallex&amp;frame=v-w12321_MMf1_MM", "vyvětrat (v-w12321_MMf1_MM)")</f>
        <v>vyvětrat (v-w12321_MMf1_MM)</v>
      </c>
    </row>
    <row r="61132" spans="1:4" x14ac:dyDescent="0.2">
      <c r="B61132" t="s">
        <v>1</v>
      </c>
    </row>
    <row r="61133" spans="1:4" x14ac:dyDescent="0.2">
      <c r="B61133" t="s">
        <v>8</v>
      </c>
    </row>
    <row r="61135" spans="1:4" x14ac:dyDescent="0.2">
      <c r="A61135" t="s">
        <v>19073</v>
      </c>
      <c r="B61135" t="str">
        <f>HYPERLINK("https://lindat.mff.cuni.cz/services/teitok/pdtc10/index.php?action=vallex&amp;frame=v-w10904f2", "vyvěšovat (v-w10904f2)")</f>
        <v>vyvěšovat (v-w10904f2)</v>
      </c>
    </row>
    <row r="61136" spans="1:4" x14ac:dyDescent="0.2">
      <c r="B61136" t="s">
        <v>1</v>
      </c>
      <c r="C61136" t="s">
        <v>119</v>
      </c>
    </row>
    <row r="61137" spans="1:4" x14ac:dyDescent="0.2">
      <c r="B61137" t="s">
        <v>124</v>
      </c>
      <c r="C61137" t="s">
        <v>121</v>
      </c>
    </row>
    <row r="61139" spans="1:4" x14ac:dyDescent="0.2">
      <c r="A61139" t="s">
        <v>19074</v>
      </c>
      <c r="B61139" t="str">
        <f>HYPERLINK("https://lindat.mff.cuni.cz/services/teitok/pdtc10/index.php?action=vallex&amp;frame=v-w8578f2", "vyzařovat (v-w8578f2)")</f>
        <v>vyzařovat (v-w8578f2)</v>
      </c>
    </row>
    <row r="61140" spans="1:4" x14ac:dyDescent="0.2">
      <c r="B61140" t="s">
        <v>1</v>
      </c>
      <c r="C61140" t="s">
        <v>1077</v>
      </c>
      <c r="D61140" t="s">
        <v>24436</v>
      </c>
    </row>
    <row r="61141" spans="1:4" x14ac:dyDescent="0.2">
      <c r="B61141" t="s">
        <v>8</v>
      </c>
      <c r="C61141" t="s">
        <v>1681</v>
      </c>
      <c r="D61141" t="s">
        <v>24437</v>
      </c>
    </row>
    <row r="61143" spans="1:4" x14ac:dyDescent="0.2">
      <c r="A61143" t="s">
        <v>19075</v>
      </c>
      <c r="B61143" t="str">
        <f>HYPERLINK("https://lindat.mff.cuni.cz/services/teitok/pdtc10/index.php?action=vallex&amp;frame=v-w8578f1", "vyzařovat (v-w8578f1)")</f>
        <v>vyzařovat (v-w8578f1)</v>
      </c>
    </row>
    <row r="61144" spans="1:4" x14ac:dyDescent="0.2">
      <c r="B61144" t="s">
        <v>1</v>
      </c>
      <c r="C61144" t="s">
        <v>147</v>
      </c>
      <c r="D61144" t="s">
        <v>23789</v>
      </c>
    </row>
    <row r="61145" spans="1:4" x14ac:dyDescent="0.2">
      <c r="B61145" t="s">
        <v>333</v>
      </c>
      <c r="C61145" t="s">
        <v>19076</v>
      </c>
      <c r="D61145" t="s">
        <v>24240</v>
      </c>
    </row>
    <row r="61147" spans="1:4" x14ac:dyDescent="0.2">
      <c r="A61147" t="s">
        <v>19077</v>
      </c>
      <c r="B61147" t="str">
        <f>HYPERLINK("https://lindat.mff.cuni.cz/services/teitok/pdtc10/index.php?action=vallex&amp;frame=v-w8579f1", "vyzbrojit (v-w8579f1)")</f>
        <v>vyzbrojit (v-w8579f1)</v>
      </c>
    </row>
    <row r="61148" spans="1:4" x14ac:dyDescent="0.2">
      <c r="B61148" t="s">
        <v>1</v>
      </c>
      <c r="C61148" t="s">
        <v>140</v>
      </c>
      <c r="D61148" t="s">
        <v>23711</v>
      </c>
    </row>
    <row r="61149" spans="1:4" x14ac:dyDescent="0.2">
      <c r="B61149" t="s">
        <v>8</v>
      </c>
      <c r="C61149" t="s">
        <v>113</v>
      </c>
      <c r="D61149" t="s">
        <v>23712</v>
      </c>
    </row>
    <row r="61150" spans="1:4" x14ac:dyDescent="0.2">
      <c r="B61150" t="s">
        <v>5479</v>
      </c>
      <c r="D61150" t="s">
        <v>23713</v>
      </c>
    </row>
    <row r="61152" spans="1:4" x14ac:dyDescent="0.2">
      <c r="A61152" t="s">
        <v>19078</v>
      </c>
      <c r="B61152" t="str">
        <f>HYPERLINK("https://lindat.mff.cuni.cz/services/teitok/pdtc10/index.php?action=vallex&amp;frame=v-w11404f2_ZU", "vyzbrojit se (v-w11404f2_ZU)")</f>
        <v>vyzbrojit se (v-w11404f2_ZU)</v>
      </c>
    </row>
    <row r="61153" spans="1:4" x14ac:dyDescent="0.2">
      <c r="B61153" t="s">
        <v>1</v>
      </c>
    </row>
    <row r="61154" spans="1:4" x14ac:dyDescent="0.2">
      <c r="B61154" t="s">
        <v>3225</v>
      </c>
    </row>
    <row r="61156" spans="1:4" x14ac:dyDescent="0.2">
      <c r="A61156" t="s">
        <v>19078</v>
      </c>
      <c r="B61156" t="str">
        <f>HYPERLINK("https://lindat.mff.cuni.cz/services/teitok/pdtc10/index.php?action=vallex&amp;frame=v-w11404f1", "vyzbrojit se (v-w11404f1) - substituted with v-w11404f2_ZU")</f>
        <v>vyzbrojit se (v-w11404f1) - substituted with v-w11404f2_ZU</v>
      </c>
    </row>
    <row r="61157" spans="1:4" x14ac:dyDescent="0.2">
      <c r="B61157" t="s">
        <v>1</v>
      </c>
    </row>
    <row r="61158" spans="1:4" x14ac:dyDescent="0.2">
      <c r="B61158" t="s">
        <v>3225</v>
      </c>
    </row>
    <row r="61160" spans="1:4" x14ac:dyDescent="0.2">
      <c r="A61160" t="s">
        <v>19079</v>
      </c>
      <c r="B61160" t="str">
        <f>HYPERLINK("https://lindat.mff.cuni.cz/services/teitok/pdtc10/index.php?action=vallex&amp;frame=v-w8580f1", "vyzbrojovat (v-w8580f1)")</f>
        <v>vyzbrojovat (v-w8580f1)</v>
      </c>
    </row>
    <row r="61161" spans="1:4" x14ac:dyDescent="0.2">
      <c r="B61161" t="s">
        <v>1</v>
      </c>
    </row>
    <row r="61162" spans="1:4" x14ac:dyDescent="0.2">
      <c r="B61162" t="s">
        <v>8</v>
      </c>
    </row>
    <row r="61164" spans="1:4" x14ac:dyDescent="0.2">
      <c r="A61164" t="s">
        <v>19080</v>
      </c>
      <c r="B61164" t="str">
        <f>HYPERLINK("https://lindat.mff.cuni.cz/services/teitok/pdtc10/index.php?action=vallex&amp;frame=v-w8581f1", "vyzdobit (v-w8581f1)")</f>
        <v>vyzdobit (v-w8581f1)</v>
      </c>
    </row>
    <row r="61165" spans="1:4" x14ac:dyDescent="0.2">
      <c r="B61165" t="s">
        <v>1</v>
      </c>
      <c r="C61165" t="s">
        <v>140</v>
      </c>
      <c r="D61165" t="s">
        <v>430</v>
      </c>
    </row>
    <row r="61166" spans="1:4" x14ac:dyDescent="0.2">
      <c r="B61166" t="s">
        <v>8</v>
      </c>
      <c r="C61166" t="s">
        <v>113</v>
      </c>
      <c r="D61166" t="s">
        <v>335</v>
      </c>
    </row>
    <row r="61168" spans="1:4" x14ac:dyDescent="0.2">
      <c r="A61168" t="s">
        <v>19081</v>
      </c>
      <c r="B61168" t="str">
        <f>HYPERLINK("https://lindat.mff.cuni.cz/services/teitok/pdtc10/index.php?action=vallex&amp;frame=v-w8582f2", "vyzdvihnout (v-w8582f2)")</f>
        <v>vyzdvihnout (v-w8582f2)</v>
      </c>
    </row>
    <row r="61169" spans="1:4" x14ac:dyDescent="0.2">
      <c r="B61169" t="s">
        <v>1</v>
      </c>
    </row>
    <row r="61170" spans="1:4" x14ac:dyDescent="0.2">
      <c r="B61170" t="s">
        <v>8</v>
      </c>
    </row>
    <row r="61171" spans="1:4" x14ac:dyDescent="0.2">
      <c r="B61171" t="s">
        <v>333</v>
      </c>
    </row>
    <row r="61173" spans="1:4" x14ac:dyDescent="0.2">
      <c r="A61173" t="s">
        <v>19082</v>
      </c>
      <c r="B61173" t="str">
        <f>HYPERLINK("https://lindat.mff.cuni.cz/services/teitok/pdtc10/index.php?action=vallex&amp;frame=v-w8582f1", "vyzdvihnout (v-w8582f1)")</f>
        <v>vyzdvihnout (v-w8582f1)</v>
      </c>
    </row>
    <row r="61174" spans="1:4" x14ac:dyDescent="0.2">
      <c r="B61174" t="s">
        <v>1</v>
      </c>
      <c r="C61174" t="s">
        <v>249</v>
      </c>
      <c r="D61174" t="s">
        <v>10977</v>
      </c>
    </row>
    <row r="61175" spans="1:4" x14ac:dyDescent="0.2">
      <c r="B61175" t="s">
        <v>8</v>
      </c>
      <c r="C61175" t="s">
        <v>54</v>
      </c>
      <c r="D61175" t="s">
        <v>13080</v>
      </c>
    </row>
    <row r="61177" spans="1:4" x14ac:dyDescent="0.2">
      <c r="A61177" t="s">
        <v>19083</v>
      </c>
      <c r="B61177" t="str">
        <f>HYPERLINK("https://lindat.mff.cuni.cz/services/teitok/pdtc10/index.php?action=vallex&amp;frame=v-w8582hsa_1951", "vyzdvihnout (v-w8582hsa_1951)")</f>
        <v>vyzdvihnout (v-w8582hsa_1951)</v>
      </c>
    </row>
    <row r="61178" spans="1:4" x14ac:dyDescent="0.2">
      <c r="B61178" t="s">
        <v>1</v>
      </c>
    </row>
    <row r="61179" spans="1:4" x14ac:dyDescent="0.2">
      <c r="B61179" t="s">
        <v>8</v>
      </c>
    </row>
    <row r="61180" spans="1:4" x14ac:dyDescent="0.2">
      <c r="B61180" t="s">
        <v>90</v>
      </c>
    </row>
    <row r="61182" spans="1:4" x14ac:dyDescent="0.2">
      <c r="A61182" t="s">
        <v>19084</v>
      </c>
      <c r="B61182" t="str">
        <f>HYPERLINK("https://lindat.mff.cuni.cz/services/teitok/pdtc10/index.php?action=vallex&amp;frame=v-w10558f4_ZU", "vyzdvihovat (v-w10558f4_ZU)")</f>
        <v>vyzdvihovat (v-w10558f4_ZU)</v>
      </c>
    </row>
    <row r="61183" spans="1:4" x14ac:dyDescent="0.2">
      <c r="B61183" t="s">
        <v>1</v>
      </c>
      <c r="D61183" t="s">
        <v>10977</v>
      </c>
    </row>
    <row r="61184" spans="1:4" x14ac:dyDescent="0.2">
      <c r="B61184" t="s">
        <v>8</v>
      </c>
      <c r="D61184" t="s">
        <v>13080</v>
      </c>
    </row>
    <row r="61186" spans="1:3" x14ac:dyDescent="0.2">
      <c r="A61186" t="s">
        <v>19084</v>
      </c>
      <c r="B61186" t="str">
        <f>HYPERLINK("https://lindat.mff.cuni.cz/services/teitok/pdtc10/index.php?action=vallex&amp;frame=v-w10558f2", "vyzdvihovat (v-w10558f2) - substituted with v-w10558f4_ZU")</f>
        <v>vyzdvihovat (v-w10558f2) - substituted with v-w10558f4_ZU</v>
      </c>
    </row>
    <row r="61187" spans="1:3" x14ac:dyDescent="0.2">
      <c r="B61187" t="s">
        <v>1</v>
      </c>
      <c r="C61187" t="s">
        <v>7313</v>
      </c>
    </row>
    <row r="61188" spans="1:3" x14ac:dyDescent="0.2">
      <c r="B61188" t="s">
        <v>8</v>
      </c>
      <c r="C61188" t="s">
        <v>19085</v>
      </c>
    </row>
    <row r="61190" spans="1:3" x14ac:dyDescent="0.2">
      <c r="A61190" t="s">
        <v>19084</v>
      </c>
      <c r="B61190" t="str">
        <f>HYPERLINK("https://lindat.mff.cuni.cz/services/teitok/pdtc10/index.php?action=vallex&amp;frame=v-w10558f3_ZU", "vyzdvihovat (v-w10558f3_ZU) - substituted with v-w10558f4_ZU")</f>
        <v>vyzdvihovat (v-w10558f3_ZU) - substituted with v-w10558f4_ZU</v>
      </c>
    </row>
    <row r="61191" spans="1:3" x14ac:dyDescent="0.2">
      <c r="B61191" t="s">
        <v>1</v>
      </c>
    </row>
    <row r="61192" spans="1:3" x14ac:dyDescent="0.2">
      <c r="B61192" t="s">
        <v>8</v>
      </c>
    </row>
    <row r="61194" spans="1:3" x14ac:dyDescent="0.2">
      <c r="A61194" t="s">
        <v>19086</v>
      </c>
      <c r="B61194" t="str">
        <f>HYPERLINK("https://lindat.mff.cuni.cz/services/teitok/pdtc10/index.php?action=vallex&amp;frame=v-w11768_ZUf1_ZU", "vyzdívat (v-w11768_ZUf1_ZU)")</f>
        <v>vyzdívat (v-w11768_ZUf1_ZU)</v>
      </c>
    </row>
    <row r="61195" spans="1:3" x14ac:dyDescent="0.2">
      <c r="B61195" t="s">
        <v>1</v>
      </c>
    </row>
    <row r="61196" spans="1:3" x14ac:dyDescent="0.2">
      <c r="B61196" t="s">
        <v>8</v>
      </c>
    </row>
    <row r="61198" spans="1:3" x14ac:dyDescent="0.2">
      <c r="A61198" t="s">
        <v>19087</v>
      </c>
      <c r="B61198" t="str">
        <f>HYPERLINK("https://lindat.mff.cuni.cz/services/teitok/pdtc10/index.php?action=vallex&amp;frame=v-w8586f1", "vyzkoumat (v-w8586f1)")</f>
        <v>vyzkoumat (v-w8586f1)</v>
      </c>
    </row>
    <row r="61199" spans="1:3" x14ac:dyDescent="0.2">
      <c r="B61199" t="s">
        <v>1</v>
      </c>
    </row>
    <row r="61200" spans="1:3" x14ac:dyDescent="0.2">
      <c r="B61200" t="s">
        <v>1693</v>
      </c>
    </row>
    <row r="61202" spans="1:4" x14ac:dyDescent="0.2">
      <c r="A61202" t="s">
        <v>19088</v>
      </c>
      <c r="B61202" t="str">
        <f>HYPERLINK("https://lindat.mff.cuni.cz/services/teitok/pdtc10/index.php?action=vallex&amp;frame=v-w8588f1", "vyzkoušet (v-w8588f1)")</f>
        <v>vyzkoušet (v-w8588f1)</v>
      </c>
    </row>
    <row r="61203" spans="1:4" x14ac:dyDescent="0.2">
      <c r="B61203" t="s">
        <v>1</v>
      </c>
      <c r="C61203" t="s">
        <v>19089</v>
      </c>
      <c r="D61203" t="s">
        <v>7065</v>
      </c>
    </row>
    <row r="61204" spans="1:4" x14ac:dyDescent="0.2">
      <c r="B61204" t="s">
        <v>1284</v>
      </c>
      <c r="C61204" t="s">
        <v>19090</v>
      </c>
      <c r="D61204" t="s">
        <v>3308</v>
      </c>
    </row>
    <row r="61206" spans="1:4" x14ac:dyDescent="0.2">
      <c r="A61206" t="s">
        <v>19091</v>
      </c>
      <c r="B61206" t="str">
        <f>HYPERLINK("https://lindat.mff.cuni.cz/services/teitok/pdtc10/index.php?action=vallex&amp;frame=v-w8589f1", "vyzkoušet si (v-w8589f1)")</f>
        <v>vyzkoušet si (v-w8589f1)</v>
      </c>
    </row>
    <row r="61207" spans="1:4" x14ac:dyDescent="0.2">
      <c r="B61207" t="s">
        <v>1</v>
      </c>
    </row>
    <row r="61208" spans="1:4" x14ac:dyDescent="0.2">
      <c r="B61208" t="s">
        <v>228</v>
      </c>
    </row>
    <row r="61210" spans="1:4" x14ac:dyDescent="0.2">
      <c r="A61210" t="s">
        <v>19092</v>
      </c>
      <c r="B61210" t="str">
        <f>HYPERLINK("https://lindat.mff.cuni.cz/services/teitok/pdtc10/index.php?action=vallex&amp;frame=v-w8596f1", "vyznamenat (v-w8596f1)")</f>
        <v>vyznamenat (v-w8596f1)</v>
      </c>
    </row>
    <row r="61211" spans="1:4" x14ac:dyDescent="0.2">
      <c r="B61211" t="s">
        <v>1</v>
      </c>
    </row>
    <row r="61212" spans="1:4" x14ac:dyDescent="0.2">
      <c r="B61212" t="s">
        <v>8</v>
      </c>
    </row>
    <row r="61214" spans="1:4" x14ac:dyDescent="0.2">
      <c r="A61214" t="s">
        <v>19093</v>
      </c>
      <c r="B61214" t="str">
        <f>HYPERLINK("https://lindat.mff.cuni.cz/services/teitok/pdtc10/index.php?action=vallex&amp;frame=v-w12147_ZUf1_ZU", "vyznamenat se (v-w12147_ZUf1_ZU)")</f>
        <v>vyznamenat se (v-w12147_ZUf1_ZU)</v>
      </c>
    </row>
    <row r="61215" spans="1:4" x14ac:dyDescent="0.2">
      <c r="B61215" t="s">
        <v>1</v>
      </c>
    </row>
    <row r="61217" spans="1:3" x14ac:dyDescent="0.2">
      <c r="A61217" t="s">
        <v>19094</v>
      </c>
      <c r="B61217" t="str">
        <f>HYPERLINK("https://lindat.mff.cuni.cz/services/teitok/pdtc10/index.php?action=vallex&amp;frame=v-w8598f1", "vyznat se (v-w8598f1)")</f>
        <v>vyznat se (v-w8598f1)</v>
      </c>
    </row>
    <row r="61218" spans="1:3" x14ac:dyDescent="0.2">
      <c r="B61218" t="s">
        <v>1</v>
      </c>
      <c r="C61218" t="s">
        <v>19095</v>
      </c>
    </row>
    <row r="61219" spans="1:3" x14ac:dyDescent="0.2">
      <c r="B61219" t="s">
        <v>290</v>
      </c>
      <c r="C61219" t="s">
        <v>19096</v>
      </c>
    </row>
    <row r="61221" spans="1:3" x14ac:dyDescent="0.2">
      <c r="A61221" t="s">
        <v>19097</v>
      </c>
      <c r="B61221" t="str">
        <f>HYPERLINK("https://lindat.mff.cuni.cz/services/teitok/pdtc10/index.php?action=vallex&amp;frame=v-w8598f2", "vyznat se (v-w8598f2)")</f>
        <v>vyznat se (v-w8598f2)</v>
      </c>
    </row>
    <row r="61222" spans="1:3" x14ac:dyDescent="0.2">
      <c r="B61222" t="s">
        <v>1</v>
      </c>
    </row>
    <row r="61223" spans="1:3" x14ac:dyDescent="0.2">
      <c r="B61223" t="s">
        <v>168</v>
      </c>
    </row>
    <row r="61225" spans="1:3" x14ac:dyDescent="0.2">
      <c r="A61225" t="s">
        <v>19098</v>
      </c>
      <c r="B61225" t="str">
        <f>HYPERLINK("https://lindat.mff.cuni.cz/services/teitok/pdtc10/index.php?action=vallex&amp;frame=v-w8598f3_ZU", "vyznat se (v-w8598f3_ZU)")</f>
        <v>vyznat se (v-w8598f3_ZU)</v>
      </c>
    </row>
    <row r="61226" spans="1:3" x14ac:dyDescent="0.2">
      <c r="B61226" t="s">
        <v>1</v>
      </c>
    </row>
    <row r="61227" spans="1:3" x14ac:dyDescent="0.2">
      <c r="B61227" t="s">
        <v>889</v>
      </c>
    </row>
    <row r="61229" spans="1:3" x14ac:dyDescent="0.2">
      <c r="A61229" t="s">
        <v>19099</v>
      </c>
      <c r="B61229" t="str">
        <f>HYPERLINK("https://lindat.mff.cuni.cz/services/teitok/pdtc10/index.php?action=vallex&amp;frame=v-w8598hsa_485", "vyznat se (v-w8598hsa_485)")</f>
        <v>vyznat se (v-w8598hsa_485)</v>
      </c>
    </row>
    <row r="61230" spans="1:3" x14ac:dyDescent="0.2">
      <c r="B61230" t="s">
        <v>1</v>
      </c>
    </row>
    <row r="61231" spans="1:3" x14ac:dyDescent="0.2">
      <c r="B61231" t="s">
        <v>290</v>
      </c>
    </row>
    <row r="61233" spans="1:4" x14ac:dyDescent="0.2">
      <c r="A61233" t="s">
        <v>19100</v>
      </c>
      <c r="B61233" t="str">
        <f>HYPERLINK("https://lindat.mff.cuni.cz/services/teitok/pdtc10/index.php?action=vallex&amp;frame=v-w8592f1", "vyznačit (v-w8592f1)")</f>
        <v>vyznačit (v-w8592f1)</v>
      </c>
    </row>
    <row r="61234" spans="1:4" x14ac:dyDescent="0.2">
      <c r="B61234" t="s">
        <v>1</v>
      </c>
    </row>
    <row r="61235" spans="1:4" x14ac:dyDescent="0.2">
      <c r="B61235" t="s">
        <v>1284</v>
      </c>
    </row>
    <row r="61237" spans="1:4" x14ac:dyDescent="0.2">
      <c r="A61237" t="s">
        <v>19101</v>
      </c>
      <c r="B61237" t="str">
        <f>HYPERLINK("https://lindat.mff.cuni.cz/services/teitok/pdtc10/index.php?action=vallex&amp;frame=v-w8593f1", "vyznačovat se (v-w8593f1)")</f>
        <v>vyznačovat se (v-w8593f1)</v>
      </c>
    </row>
    <row r="61238" spans="1:4" x14ac:dyDescent="0.2">
      <c r="B61238" t="s">
        <v>1</v>
      </c>
      <c r="C61238" t="s">
        <v>19102</v>
      </c>
      <c r="D61238" t="s">
        <v>19102</v>
      </c>
    </row>
    <row r="61239" spans="1:4" x14ac:dyDescent="0.2">
      <c r="B61239" t="s">
        <v>158</v>
      </c>
      <c r="C61239" t="s">
        <v>19103</v>
      </c>
      <c r="D61239" t="s">
        <v>19103</v>
      </c>
    </row>
    <row r="61241" spans="1:4" x14ac:dyDescent="0.2">
      <c r="A61241" t="s">
        <v>19104</v>
      </c>
      <c r="B61241" t="str">
        <f>HYPERLINK("https://lindat.mff.cuni.cz/services/teitok/pdtc10/index.php?action=vallex&amp;frame=v-w8600f1", "vyznávat (v-w8600f1)")</f>
        <v>vyznávat (v-w8600f1)</v>
      </c>
    </row>
    <row r="61242" spans="1:4" x14ac:dyDescent="0.2">
      <c r="B61242" t="s">
        <v>1</v>
      </c>
    </row>
    <row r="61243" spans="1:4" x14ac:dyDescent="0.2">
      <c r="B61243" t="s">
        <v>8</v>
      </c>
    </row>
    <row r="61245" spans="1:4" x14ac:dyDescent="0.2">
      <c r="A61245" t="s">
        <v>19105</v>
      </c>
      <c r="B61245" t="str">
        <f>HYPERLINK("https://lindat.mff.cuni.cz/services/teitok/pdtc10/index.php?action=vallex&amp;frame=v-w8602f1", "vyznít (v-w8602f1)")</f>
        <v>vyznít (v-w8602f1)</v>
      </c>
    </row>
    <row r="61246" spans="1:4" x14ac:dyDescent="0.2">
      <c r="B61246" t="s">
        <v>1</v>
      </c>
      <c r="C61246" t="s">
        <v>8324</v>
      </c>
      <c r="D61246" t="s">
        <v>23373</v>
      </c>
    </row>
    <row r="61247" spans="1:4" x14ac:dyDescent="0.2">
      <c r="B61247" t="s">
        <v>415</v>
      </c>
      <c r="D61247" t="s">
        <v>23942</v>
      </c>
    </row>
    <row r="61248" spans="1:4" x14ac:dyDescent="0.2">
      <c r="B61248" t="s">
        <v>346</v>
      </c>
      <c r="C61248" t="s">
        <v>19106</v>
      </c>
      <c r="D61248" t="s">
        <v>23378</v>
      </c>
    </row>
    <row r="61250" spans="1:4" x14ac:dyDescent="0.2">
      <c r="A61250" t="s">
        <v>19107</v>
      </c>
      <c r="B61250" t="str">
        <f>HYPERLINK("https://lindat.mff.cuni.cz/services/teitok/pdtc10/index.php?action=vallex&amp;frame=v-w8603f1", "vyznívat (v-w8603f1)")</f>
        <v>vyznívat (v-w8603f1)</v>
      </c>
    </row>
    <row r="61251" spans="1:4" x14ac:dyDescent="0.2">
      <c r="B61251" t="s">
        <v>1</v>
      </c>
      <c r="C61251" t="s">
        <v>12481</v>
      </c>
      <c r="D61251" t="s">
        <v>23373</v>
      </c>
    </row>
    <row r="61252" spans="1:4" x14ac:dyDescent="0.2">
      <c r="B61252" t="s">
        <v>415</v>
      </c>
      <c r="D61252" t="s">
        <v>23942</v>
      </c>
    </row>
    <row r="61253" spans="1:4" x14ac:dyDescent="0.2">
      <c r="B61253" t="s">
        <v>346</v>
      </c>
      <c r="D61253" t="s">
        <v>23378</v>
      </c>
    </row>
    <row r="61255" spans="1:4" x14ac:dyDescent="0.2">
      <c r="A61255" t="s">
        <v>19108</v>
      </c>
      <c r="B61255" t="str">
        <f>HYPERLINK("https://lindat.mff.cuni.cz/services/teitok/pdtc10/index.php?action=vallex&amp;frame=v-w8604f1", "vyzobávat (v-w8604f1)")</f>
        <v>vyzobávat (v-w8604f1)</v>
      </c>
    </row>
    <row r="61256" spans="1:4" x14ac:dyDescent="0.2">
      <c r="B61256" t="s">
        <v>1</v>
      </c>
    </row>
    <row r="61257" spans="1:4" x14ac:dyDescent="0.2">
      <c r="B61257" t="s">
        <v>8</v>
      </c>
    </row>
    <row r="61258" spans="1:4" x14ac:dyDescent="0.2">
      <c r="B61258" t="s">
        <v>333</v>
      </c>
    </row>
    <row r="61260" spans="1:4" x14ac:dyDescent="0.2">
      <c r="A61260" t="s">
        <v>19109</v>
      </c>
      <c r="B61260" t="str">
        <f>HYPERLINK("https://lindat.mff.cuni.cz/services/teitok/pdtc10/index.php?action=vallex&amp;frame=v-whsa_1054f2_ZU", "vyzpovídat (v-whsa_1054f2_ZU)")</f>
        <v>vyzpovídat (v-whsa_1054f2_ZU)</v>
      </c>
    </row>
    <row r="61261" spans="1:4" x14ac:dyDescent="0.2">
      <c r="B61261" t="s">
        <v>1</v>
      </c>
    </row>
    <row r="61262" spans="1:4" x14ac:dyDescent="0.2">
      <c r="B61262" t="s">
        <v>58</v>
      </c>
    </row>
    <row r="61263" spans="1:4" x14ac:dyDescent="0.2">
      <c r="B61263" t="s">
        <v>438</v>
      </c>
    </row>
    <row r="61265" spans="1:4" x14ac:dyDescent="0.2">
      <c r="A61265" t="s">
        <v>19109</v>
      </c>
      <c r="B61265" t="str">
        <f>HYPERLINK("https://lindat.mff.cuni.cz/services/teitok/pdtc10/index.php?action=vallex&amp;frame=v-whsa_1054f1_ZU", "vyzpovídat (v-whsa_1054f1_ZU) - substituted with v-whsa_1054f2_ZU")</f>
        <v>vyzpovídat (v-whsa_1054f1_ZU) - substituted with v-whsa_1054f2_ZU</v>
      </c>
    </row>
    <row r="61266" spans="1:4" x14ac:dyDescent="0.2">
      <c r="B61266" t="s">
        <v>1</v>
      </c>
    </row>
    <row r="61267" spans="1:4" x14ac:dyDescent="0.2">
      <c r="B61267" t="s">
        <v>58</v>
      </c>
    </row>
    <row r="61268" spans="1:4" x14ac:dyDescent="0.2">
      <c r="B61268" t="s">
        <v>438</v>
      </c>
    </row>
    <row r="61270" spans="1:4" x14ac:dyDescent="0.2">
      <c r="A61270" t="s">
        <v>19109</v>
      </c>
      <c r="B61270" t="str">
        <f>HYPERLINK("https://lindat.mff.cuni.cz/services/teitok/pdtc10/index.php?action=vallex&amp;frame=v-whsa_1054hsa_1055", "vyzpovídat (v-whsa_1054hsa_1055) - substituted with v-whsa_1054f2_ZU")</f>
        <v>vyzpovídat (v-whsa_1054hsa_1055) - substituted with v-whsa_1054f2_ZU</v>
      </c>
    </row>
    <row r="61271" spans="1:4" x14ac:dyDescent="0.2">
      <c r="B61271" t="s">
        <v>1</v>
      </c>
      <c r="C61271" t="s">
        <v>140</v>
      </c>
      <c r="D61271" t="s">
        <v>23213</v>
      </c>
    </row>
    <row r="61272" spans="1:4" x14ac:dyDescent="0.2">
      <c r="B61272" t="s">
        <v>58</v>
      </c>
      <c r="C61272" t="s">
        <v>2810</v>
      </c>
      <c r="D61272" t="s">
        <v>23215</v>
      </c>
    </row>
    <row r="61273" spans="1:4" x14ac:dyDescent="0.2">
      <c r="B61273" t="s">
        <v>438</v>
      </c>
      <c r="D61273" t="s">
        <v>23214</v>
      </c>
    </row>
    <row r="61275" spans="1:4" x14ac:dyDescent="0.2">
      <c r="A61275" t="s">
        <v>19110</v>
      </c>
      <c r="B61275" t="str">
        <f>HYPERLINK("https://lindat.mff.cuni.cz/services/teitok/pdtc10/index.php?action=vallex&amp;frame=v-w8606f1", "vyzpovídat se (v-w8606f1)")</f>
        <v>vyzpovídat se (v-w8606f1)</v>
      </c>
    </row>
    <row r="61276" spans="1:4" x14ac:dyDescent="0.2">
      <c r="B61276" t="s">
        <v>1</v>
      </c>
    </row>
    <row r="61277" spans="1:4" x14ac:dyDescent="0.2">
      <c r="B61277" t="s">
        <v>438</v>
      </c>
    </row>
    <row r="61278" spans="1:4" x14ac:dyDescent="0.2">
      <c r="B61278" t="s">
        <v>78</v>
      </c>
    </row>
    <row r="61280" spans="1:4" x14ac:dyDescent="0.2">
      <c r="A61280" t="s">
        <v>19111</v>
      </c>
      <c r="B61280" t="str">
        <f>HYPERLINK("https://lindat.mff.cuni.cz/services/teitok/pdtc10/index.php?action=vallex&amp;frame=v-w8605f1", "vyzpívat (v-w8605f1)")</f>
        <v>vyzpívat (v-w8605f1)</v>
      </c>
    </row>
    <row r="61281" spans="1:4" x14ac:dyDescent="0.2">
      <c r="B61281" t="s">
        <v>1</v>
      </c>
    </row>
    <row r="61282" spans="1:4" x14ac:dyDescent="0.2">
      <c r="B61282" t="s">
        <v>8</v>
      </c>
    </row>
    <row r="61284" spans="1:4" x14ac:dyDescent="0.2">
      <c r="A61284" t="s">
        <v>19112</v>
      </c>
      <c r="B61284" t="str">
        <f>HYPERLINK("https://lindat.mff.cuni.cz/services/teitok/pdtc10/index.php?action=vallex&amp;frame=v-w8607f1", "vyzradit (v-w8607f1)")</f>
        <v>vyzradit (v-w8607f1)</v>
      </c>
    </row>
    <row r="61285" spans="1:4" x14ac:dyDescent="0.2">
      <c r="B61285" t="s">
        <v>1</v>
      </c>
      <c r="C61285" t="s">
        <v>19113</v>
      </c>
    </row>
    <row r="61286" spans="1:4" x14ac:dyDescent="0.2">
      <c r="B61286" t="s">
        <v>35</v>
      </c>
      <c r="C61286" t="s">
        <v>6645</v>
      </c>
    </row>
    <row r="61287" spans="1:4" x14ac:dyDescent="0.2">
      <c r="B61287" t="s">
        <v>17790</v>
      </c>
      <c r="C61287" t="s">
        <v>19114</v>
      </c>
    </row>
    <row r="61288" spans="1:4" x14ac:dyDescent="0.2">
      <c r="B61288" t="s">
        <v>11010</v>
      </c>
    </row>
    <row r="61290" spans="1:4" x14ac:dyDescent="0.2">
      <c r="A61290" t="s">
        <v>19115</v>
      </c>
      <c r="B61290" t="str">
        <f>HYPERLINK("https://lindat.mff.cuni.cz/services/teitok/pdtc10/index.php?action=vallex&amp;frame=v-w8608f2", "vyzrát (v-w8608f2)")</f>
        <v>vyzrát (v-w8608f2)</v>
      </c>
    </row>
    <row r="61291" spans="1:4" x14ac:dyDescent="0.2">
      <c r="B61291" t="s">
        <v>1</v>
      </c>
      <c r="C61291" t="s">
        <v>83</v>
      </c>
    </row>
    <row r="61292" spans="1:4" x14ac:dyDescent="0.2">
      <c r="B61292" t="s">
        <v>28</v>
      </c>
      <c r="C61292" t="s">
        <v>6439</v>
      </c>
      <c r="D61292" t="s">
        <v>1301</v>
      </c>
    </row>
    <row r="61294" spans="1:4" x14ac:dyDescent="0.2">
      <c r="A61294" t="s">
        <v>19116</v>
      </c>
      <c r="B61294" t="str">
        <f>HYPERLINK("https://lindat.mff.cuni.cz/services/teitok/pdtc10/index.php?action=vallex&amp;frame=v-w8608f1", "vyzrát (v-w8608f1)")</f>
        <v>vyzrát (v-w8608f1)</v>
      </c>
    </row>
    <row r="61295" spans="1:4" x14ac:dyDescent="0.2">
      <c r="B61295" t="s">
        <v>1</v>
      </c>
    </row>
    <row r="61297" spans="1:4" x14ac:dyDescent="0.2">
      <c r="A61297" t="s">
        <v>19117</v>
      </c>
      <c r="B61297" t="str">
        <f>HYPERLINK("https://lindat.mff.cuni.cz/services/teitok/pdtc10/index.php?action=vallex&amp;frame=v-w11182f2", "vyzrávat (v-w11182f2)")</f>
        <v>vyzrávat (v-w11182f2)</v>
      </c>
    </row>
    <row r="61298" spans="1:4" x14ac:dyDescent="0.2">
      <c r="B61298" t="s">
        <v>1</v>
      </c>
      <c r="D61298" t="s">
        <v>715</v>
      </c>
    </row>
    <row r="61300" spans="1:4" x14ac:dyDescent="0.2">
      <c r="A61300" t="s">
        <v>19118</v>
      </c>
      <c r="B61300" t="str">
        <f>HYPERLINK("https://lindat.mff.cuni.cz/services/teitok/pdtc10/index.php?action=vallex&amp;frame=v-w8610f1", "vyztužit (v-w8610f1)")</f>
        <v>vyztužit (v-w8610f1)</v>
      </c>
    </row>
    <row r="61301" spans="1:4" x14ac:dyDescent="0.2">
      <c r="B61301" t="s">
        <v>1</v>
      </c>
      <c r="C61301" t="s">
        <v>109</v>
      </c>
    </row>
    <row r="61302" spans="1:4" x14ac:dyDescent="0.2">
      <c r="B61302" t="s">
        <v>8</v>
      </c>
      <c r="C61302" t="s">
        <v>2344</v>
      </c>
    </row>
    <row r="61304" spans="1:4" x14ac:dyDescent="0.2">
      <c r="A61304" t="s">
        <v>19119</v>
      </c>
      <c r="B61304" t="str">
        <f>HYPERLINK("https://lindat.mff.cuni.cz/services/teitok/pdtc10/index.php?action=vallex&amp;frame=v-w8614f1", "vyzvat (v-w8614f1)")</f>
        <v>vyzvat (v-w8614f1)</v>
      </c>
    </row>
    <row r="61305" spans="1:4" x14ac:dyDescent="0.2">
      <c r="B61305" t="s">
        <v>1</v>
      </c>
      <c r="C61305" t="s">
        <v>19120</v>
      </c>
      <c r="D61305" t="s">
        <v>2571</v>
      </c>
    </row>
    <row r="61306" spans="1:4" x14ac:dyDescent="0.2">
      <c r="B61306" t="s">
        <v>8635</v>
      </c>
      <c r="C61306" t="s">
        <v>19121</v>
      </c>
      <c r="D61306" t="s">
        <v>23787</v>
      </c>
    </row>
    <row r="61307" spans="1:4" x14ac:dyDescent="0.2">
      <c r="B61307" t="s">
        <v>58</v>
      </c>
      <c r="C61307" t="s">
        <v>19122</v>
      </c>
      <c r="D61307" t="s">
        <v>23788</v>
      </c>
    </row>
    <row r="61309" spans="1:4" x14ac:dyDescent="0.2">
      <c r="A61309" t="s">
        <v>19123</v>
      </c>
      <c r="B61309" t="str">
        <f>HYPERLINK("https://lindat.mff.cuni.cz/services/teitok/pdtc10/index.php?action=vallex&amp;frame=v-w8617f2", "vyzvednout (v-w8617f2)")</f>
        <v>vyzvednout (v-w8617f2)</v>
      </c>
    </row>
    <row r="61310" spans="1:4" x14ac:dyDescent="0.2">
      <c r="B61310" t="s">
        <v>1</v>
      </c>
    </row>
    <row r="61311" spans="1:4" x14ac:dyDescent="0.2">
      <c r="B61311" t="s">
        <v>8</v>
      </c>
    </row>
    <row r="61312" spans="1:4" x14ac:dyDescent="0.2">
      <c r="B61312" t="s">
        <v>333</v>
      </c>
    </row>
    <row r="61314" spans="1:4" x14ac:dyDescent="0.2">
      <c r="A61314" t="s">
        <v>19124</v>
      </c>
      <c r="B61314" t="str">
        <f>HYPERLINK("https://lindat.mff.cuni.cz/services/teitok/pdtc10/index.php?action=vallex&amp;frame=v-w8617f3", "vyzvednout (v-w8617f3)")</f>
        <v>vyzvednout (v-w8617f3)</v>
      </c>
    </row>
    <row r="61315" spans="1:4" x14ac:dyDescent="0.2">
      <c r="B61315" t="s">
        <v>1</v>
      </c>
    </row>
    <row r="61316" spans="1:4" x14ac:dyDescent="0.2">
      <c r="B61316" t="s">
        <v>124</v>
      </c>
    </row>
    <row r="61318" spans="1:4" x14ac:dyDescent="0.2">
      <c r="A61318" t="s">
        <v>19125</v>
      </c>
      <c r="B61318" t="str">
        <f>HYPERLINK("https://lindat.mff.cuni.cz/services/teitok/pdtc10/index.php?action=vallex&amp;frame=v-w8617f1", "vyzvednout (v-w8617f1)")</f>
        <v>vyzvednout (v-w8617f1)</v>
      </c>
    </row>
    <row r="61319" spans="1:4" x14ac:dyDescent="0.2">
      <c r="B61319" t="s">
        <v>1</v>
      </c>
      <c r="C61319" t="s">
        <v>249</v>
      </c>
      <c r="D61319" t="s">
        <v>249</v>
      </c>
    </row>
    <row r="61320" spans="1:4" x14ac:dyDescent="0.2">
      <c r="B61320" t="s">
        <v>8</v>
      </c>
      <c r="C61320" t="s">
        <v>1340</v>
      </c>
      <c r="D61320" t="s">
        <v>1340</v>
      </c>
    </row>
    <row r="61322" spans="1:4" x14ac:dyDescent="0.2">
      <c r="A61322" t="s">
        <v>19126</v>
      </c>
      <c r="B61322" t="str">
        <f>HYPERLINK("https://lindat.mff.cuni.cz/services/teitok/pdtc10/index.php?action=vallex&amp;frame=v-w8615f2", "vyzvedávat (v-w8615f2)")</f>
        <v>vyzvedávat (v-w8615f2)</v>
      </c>
    </row>
    <row r="61323" spans="1:4" x14ac:dyDescent="0.2">
      <c r="B61323" t="s">
        <v>1</v>
      </c>
    </row>
    <row r="61324" spans="1:4" x14ac:dyDescent="0.2">
      <c r="B61324" t="s">
        <v>124</v>
      </c>
    </row>
    <row r="61326" spans="1:4" x14ac:dyDescent="0.2">
      <c r="A61326" t="s">
        <v>19126</v>
      </c>
      <c r="B61326" t="str">
        <f>HYPERLINK("https://lindat.mff.cuni.cz/services/teitok/pdtc10/index.php?action=vallex&amp;frame=v-w8615f1", "vyzvedávat (v-w8615f1) - substituted with v-w8615f2")</f>
        <v>vyzvedávat (v-w8615f1) - substituted with v-w8615f2</v>
      </c>
    </row>
    <row r="61327" spans="1:4" x14ac:dyDescent="0.2">
      <c r="B61327" t="s">
        <v>1</v>
      </c>
    </row>
    <row r="61328" spans="1:4" x14ac:dyDescent="0.2">
      <c r="B61328" t="s">
        <v>124</v>
      </c>
    </row>
    <row r="61330" spans="1:4" x14ac:dyDescent="0.2">
      <c r="A61330" t="s">
        <v>19127</v>
      </c>
      <c r="B61330" t="str">
        <f>HYPERLINK("https://lindat.mff.cuni.cz/services/teitok/pdtc10/index.php?action=vallex&amp;frame=v-w8615hsa_565", "vyzvedávat (v-w8615hsa_565)")</f>
        <v>vyzvedávat (v-w8615hsa_565)</v>
      </c>
    </row>
    <row r="61331" spans="1:4" x14ac:dyDescent="0.2">
      <c r="B61331" t="s">
        <v>1</v>
      </c>
    </row>
    <row r="61332" spans="1:4" x14ac:dyDescent="0.2">
      <c r="B61332" t="s">
        <v>8</v>
      </c>
    </row>
    <row r="61334" spans="1:4" x14ac:dyDescent="0.2">
      <c r="A61334" t="s">
        <v>19128</v>
      </c>
      <c r="B61334" t="str">
        <f>HYPERLINK("https://lindat.mff.cuni.cz/services/teitok/pdtc10/index.php?action=vallex&amp;frame=v-w11072f2", "vyzvonit (v-w11072f2)")</f>
        <v>vyzvonit (v-w11072f2)</v>
      </c>
    </row>
    <row r="61335" spans="1:4" x14ac:dyDescent="0.2">
      <c r="B61335" t="s">
        <v>1</v>
      </c>
      <c r="D61335" t="s">
        <v>22967</v>
      </c>
    </row>
    <row r="61336" spans="1:4" x14ac:dyDescent="0.2">
      <c r="B61336" t="s">
        <v>35</v>
      </c>
      <c r="C61336" t="s">
        <v>987</v>
      </c>
      <c r="D61336" t="s">
        <v>22969</v>
      </c>
    </row>
    <row r="61337" spans="1:4" x14ac:dyDescent="0.2">
      <c r="B61337" t="s">
        <v>17790</v>
      </c>
      <c r="C61337" t="s">
        <v>268</v>
      </c>
      <c r="D61337" t="s">
        <v>23120</v>
      </c>
    </row>
    <row r="61338" spans="1:4" x14ac:dyDescent="0.2">
      <c r="B61338" t="s">
        <v>11010</v>
      </c>
      <c r="D61338" t="s">
        <v>22968</v>
      </c>
    </row>
    <row r="61340" spans="1:4" x14ac:dyDescent="0.2">
      <c r="A61340" t="s">
        <v>19129</v>
      </c>
      <c r="B61340" t="str">
        <f>HYPERLINK("https://lindat.mff.cuni.cz/services/teitok/pdtc10/index.php?action=vallex&amp;frame=v-w12220_ZUf1_ZU", "vyzvrátit (v-w12220_ZUf1_ZU)")</f>
        <v>vyzvrátit (v-w12220_ZUf1_ZU)</v>
      </c>
    </row>
    <row r="61341" spans="1:4" x14ac:dyDescent="0.2">
      <c r="B61341" t="s">
        <v>1</v>
      </c>
    </row>
    <row r="61342" spans="1:4" x14ac:dyDescent="0.2">
      <c r="B61342" t="s">
        <v>172</v>
      </c>
    </row>
    <row r="61344" spans="1:4" x14ac:dyDescent="0.2">
      <c r="A61344" t="s">
        <v>19130</v>
      </c>
      <c r="B61344" t="str">
        <f>HYPERLINK("https://lindat.mff.cuni.cz/services/teitok/pdtc10/index.php?action=vallex&amp;frame=v-w8612f1", "vyzvánět (v-w8612f1)")</f>
        <v>vyzvánět (v-w8612f1)</v>
      </c>
    </row>
    <row r="61345" spans="1:4" x14ac:dyDescent="0.2">
      <c r="B61345" t="s">
        <v>1</v>
      </c>
      <c r="D61345" t="s">
        <v>147</v>
      </c>
    </row>
    <row r="61347" spans="1:4" x14ac:dyDescent="0.2">
      <c r="A61347" t="s">
        <v>19131</v>
      </c>
      <c r="B61347" t="str">
        <f>HYPERLINK("https://lindat.mff.cuni.cz/services/teitok/pdtc10/index.php?action=vallex&amp;frame=v-w8619f1", "vyzvídat (v-w8619f1)")</f>
        <v>vyzvídat (v-w8619f1)</v>
      </c>
    </row>
    <row r="61348" spans="1:4" x14ac:dyDescent="0.2">
      <c r="B61348" t="s">
        <v>1</v>
      </c>
      <c r="C61348" t="s">
        <v>33</v>
      </c>
    </row>
    <row r="61349" spans="1:4" x14ac:dyDescent="0.2">
      <c r="B61349" t="s">
        <v>1879</v>
      </c>
      <c r="C61349" t="s">
        <v>9157</v>
      </c>
    </row>
    <row r="61350" spans="1:4" x14ac:dyDescent="0.2">
      <c r="B61350" t="s">
        <v>269</v>
      </c>
    </row>
    <row r="61351" spans="1:4" x14ac:dyDescent="0.2">
      <c r="B61351" t="s">
        <v>19132</v>
      </c>
    </row>
    <row r="61353" spans="1:4" x14ac:dyDescent="0.2">
      <c r="A61353" t="s">
        <v>19133</v>
      </c>
      <c r="B61353" t="str">
        <f>HYPERLINK("https://lindat.mff.cuni.cz/services/teitok/pdtc10/index.php?action=vallex&amp;frame=v-w8616f1", "vyzvědět (v-w8616f1)")</f>
        <v>vyzvědět (v-w8616f1)</v>
      </c>
    </row>
    <row r="61354" spans="1:4" x14ac:dyDescent="0.2">
      <c r="B61354" t="s">
        <v>1</v>
      </c>
    </row>
    <row r="61355" spans="1:4" x14ac:dyDescent="0.2">
      <c r="B61355" t="s">
        <v>1879</v>
      </c>
    </row>
    <row r="61356" spans="1:4" x14ac:dyDescent="0.2">
      <c r="B61356" t="s">
        <v>269</v>
      </c>
    </row>
    <row r="61357" spans="1:4" x14ac:dyDescent="0.2">
      <c r="B61357" t="s">
        <v>19132</v>
      </c>
    </row>
    <row r="61359" spans="1:4" x14ac:dyDescent="0.2">
      <c r="A61359" t="s">
        <v>19134</v>
      </c>
      <c r="B61359" t="str">
        <f>HYPERLINK("https://lindat.mff.cuni.cz/services/teitok/pdtc10/index.php?action=vallex&amp;frame=v-w10864f2", "vyzískat (v-w10864f2)")</f>
        <v>vyzískat (v-w10864f2)</v>
      </c>
    </row>
    <row r="61360" spans="1:4" x14ac:dyDescent="0.2">
      <c r="B61360" t="s">
        <v>1</v>
      </c>
    </row>
    <row r="61361" spans="1:4" x14ac:dyDescent="0.2">
      <c r="B61361" t="s">
        <v>8</v>
      </c>
    </row>
    <row r="61362" spans="1:4" x14ac:dyDescent="0.2">
      <c r="B61362" t="s">
        <v>6411</v>
      </c>
    </row>
    <row r="61364" spans="1:4" x14ac:dyDescent="0.2">
      <c r="A61364" t="s">
        <v>19135</v>
      </c>
      <c r="B61364" t="str">
        <f>HYPERLINK("https://lindat.mff.cuni.cz/services/teitok/pdtc10/index.php?action=vallex&amp;frame=v-w8621f2_ZU", "vyzývat (v-w8621f2_ZU)")</f>
        <v>vyzývat (v-w8621f2_ZU)</v>
      </c>
    </row>
    <row r="61365" spans="1:4" x14ac:dyDescent="0.2">
      <c r="B61365" t="s">
        <v>1</v>
      </c>
      <c r="D61365" t="s">
        <v>2571</v>
      </c>
    </row>
    <row r="61366" spans="1:4" x14ac:dyDescent="0.2">
      <c r="B61366" t="s">
        <v>19136</v>
      </c>
      <c r="D61366" t="s">
        <v>23787</v>
      </c>
    </row>
    <row r="61367" spans="1:4" x14ac:dyDescent="0.2">
      <c r="B61367" t="s">
        <v>58</v>
      </c>
      <c r="D61367" t="s">
        <v>23788</v>
      </c>
    </row>
    <row r="61369" spans="1:4" x14ac:dyDescent="0.2">
      <c r="A61369" t="s">
        <v>19135</v>
      </c>
      <c r="B61369" t="str">
        <f>HYPERLINK("https://lindat.mff.cuni.cz/services/teitok/pdtc10/index.php?action=vallex&amp;frame=v-w8621f1", "vyzývat (v-w8621f1) - substituted with v-w8621f2_ZU")</f>
        <v>vyzývat (v-w8621f1) - substituted with v-w8621f2_ZU</v>
      </c>
    </row>
    <row r="61370" spans="1:4" x14ac:dyDescent="0.2">
      <c r="B61370" t="s">
        <v>1</v>
      </c>
      <c r="C61370" t="s">
        <v>19137</v>
      </c>
    </row>
    <row r="61371" spans="1:4" x14ac:dyDescent="0.2">
      <c r="B61371" t="s">
        <v>19136</v>
      </c>
      <c r="C61371" t="s">
        <v>19138</v>
      </c>
    </row>
    <row r="61372" spans="1:4" x14ac:dyDescent="0.2">
      <c r="B61372" t="s">
        <v>58</v>
      </c>
      <c r="C61372" t="s">
        <v>19139</v>
      </c>
    </row>
    <row r="61374" spans="1:4" x14ac:dyDescent="0.2">
      <c r="A61374" t="s">
        <v>19140</v>
      </c>
      <c r="B61374" t="str">
        <f>HYPERLINK("https://lindat.mff.cuni.cz/services/teitok/pdtc10/index.php?action=vallex&amp;frame=v-w8527f1", "vyústit (v-w8527f1)")</f>
        <v>vyústit (v-w8527f1)</v>
      </c>
    </row>
    <row r="61375" spans="1:4" x14ac:dyDescent="0.2">
      <c r="B61375" t="s">
        <v>1</v>
      </c>
      <c r="C61375" t="s">
        <v>19141</v>
      </c>
      <c r="D61375" t="s">
        <v>2533</v>
      </c>
    </row>
    <row r="61376" spans="1:4" x14ac:dyDescent="0.2">
      <c r="B61376" t="s">
        <v>19142</v>
      </c>
      <c r="C61376" t="s">
        <v>19143</v>
      </c>
      <c r="D61376" t="s">
        <v>19619</v>
      </c>
    </row>
    <row r="61378" spans="1:4" x14ac:dyDescent="0.2">
      <c r="A61378" t="s">
        <v>19144</v>
      </c>
      <c r="B61378" t="str">
        <f>HYPERLINK("https://lindat.mff.cuni.cz/services/teitok/pdtc10/index.php?action=vallex&amp;frame=v-w8527f3", "vyústit (v-w8527f3)")</f>
        <v>vyústit (v-w8527f3)</v>
      </c>
    </row>
    <row r="61379" spans="1:4" x14ac:dyDescent="0.2">
      <c r="B61379" t="s">
        <v>1</v>
      </c>
    </row>
    <row r="61380" spans="1:4" x14ac:dyDescent="0.2">
      <c r="B61380" t="s">
        <v>5</v>
      </c>
    </row>
    <row r="61382" spans="1:4" x14ac:dyDescent="0.2">
      <c r="A61382" t="s">
        <v>19145</v>
      </c>
      <c r="B61382" t="str">
        <f>HYPERLINK("https://lindat.mff.cuni.cz/services/teitok/pdtc10/index.php?action=vallex&amp;frame=v-w8527f2", "vyústit (v-w8527f2)")</f>
        <v>vyústit (v-w8527f2)</v>
      </c>
    </row>
    <row r="61383" spans="1:4" x14ac:dyDescent="0.2">
      <c r="B61383" t="s">
        <v>1</v>
      </c>
    </row>
    <row r="61384" spans="1:4" x14ac:dyDescent="0.2">
      <c r="B61384" t="s">
        <v>90</v>
      </c>
    </row>
    <row r="61386" spans="1:4" x14ac:dyDescent="0.2">
      <c r="A61386" t="s">
        <v>19146</v>
      </c>
      <c r="B61386" t="str">
        <f>HYPERLINK("https://lindat.mff.cuni.cz/services/teitok/pdtc10/index.php?action=vallex&amp;frame=v-w8524f1", "vyúčtovat (v-w8524f1)")</f>
        <v>vyúčtovat (v-w8524f1)</v>
      </c>
    </row>
    <row r="61387" spans="1:4" x14ac:dyDescent="0.2">
      <c r="B61387" t="s">
        <v>1</v>
      </c>
      <c r="C61387" t="s">
        <v>133</v>
      </c>
      <c r="D61387" t="s">
        <v>5968</v>
      </c>
    </row>
    <row r="61388" spans="1:4" x14ac:dyDescent="0.2">
      <c r="B61388" t="s">
        <v>8</v>
      </c>
      <c r="C61388" t="s">
        <v>1128</v>
      </c>
      <c r="D61388" t="s">
        <v>5714</v>
      </c>
    </row>
    <row r="61390" spans="1:4" x14ac:dyDescent="0.2">
      <c r="A61390" t="s">
        <v>19147</v>
      </c>
      <c r="B61390" t="str">
        <f>HYPERLINK("https://lindat.mff.cuni.cz/services/teitok/pdtc10/index.php?action=vallex&amp;frame=v-w7816f2", "vyčerpat (v-w7816f2)")</f>
        <v>vyčerpat (v-w7816f2)</v>
      </c>
    </row>
    <row r="61391" spans="1:4" x14ac:dyDescent="0.2">
      <c r="B61391" t="s">
        <v>1</v>
      </c>
    </row>
    <row r="61392" spans="1:4" x14ac:dyDescent="0.2">
      <c r="B61392" t="s">
        <v>8</v>
      </c>
    </row>
    <row r="61393" spans="1:4" x14ac:dyDescent="0.2">
      <c r="B61393" t="s">
        <v>333</v>
      </c>
    </row>
    <row r="61395" spans="1:4" x14ac:dyDescent="0.2">
      <c r="A61395" t="s">
        <v>19148</v>
      </c>
      <c r="B61395" t="str">
        <f>HYPERLINK("https://lindat.mff.cuni.cz/services/teitok/pdtc10/index.php?action=vallex&amp;frame=v-w7816f1", "vyčerpat (v-w7816f1)")</f>
        <v>vyčerpat (v-w7816f1)</v>
      </c>
    </row>
    <row r="61396" spans="1:4" x14ac:dyDescent="0.2">
      <c r="B61396" t="s">
        <v>1</v>
      </c>
      <c r="C61396" t="s">
        <v>19149</v>
      </c>
      <c r="D61396" t="s">
        <v>23066</v>
      </c>
    </row>
    <row r="61397" spans="1:4" x14ac:dyDescent="0.2">
      <c r="B61397" t="s">
        <v>8</v>
      </c>
      <c r="C61397" t="s">
        <v>19150</v>
      </c>
      <c r="D61397" t="s">
        <v>23067</v>
      </c>
    </row>
    <row r="61399" spans="1:4" x14ac:dyDescent="0.2">
      <c r="A61399" t="s">
        <v>19151</v>
      </c>
      <c r="B61399" t="str">
        <f>HYPERLINK("https://lindat.mff.cuni.cz/services/teitok/pdtc10/index.php?action=vallex&amp;frame=v-w7816f3_ZU", "vyčerpat (v-w7816f3_ZU)")</f>
        <v>vyčerpat (v-w7816f3_ZU)</v>
      </c>
    </row>
    <row r="61400" spans="1:4" x14ac:dyDescent="0.2">
      <c r="B61400" t="s">
        <v>1</v>
      </c>
      <c r="C61400" t="s">
        <v>109</v>
      </c>
    </row>
    <row r="61401" spans="1:4" x14ac:dyDescent="0.2">
      <c r="B61401" t="s">
        <v>8</v>
      </c>
      <c r="C61401" t="s">
        <v>110</v>
      </c>
    </row>
    <row r="61403" spans="1:4" x14ac:dyDescent="0.2">
      <c r="A61403" t="s">
        <v>19152</v>
      </c>
      <c r="B61403" t="str">
        <f>HYPERLINK("https://lindat.mff.cuni.cz/services/teitok/pdtc10/index.php?action=vallex&amp;frame=v-w7816f4_ZU", "vyčerpat (v-w7816f4_ZU)")</f>
        <v>vyčerpat (v-w7816f4_ZU)</v>
      </c>
    </row>
    <row r="61404" spans="1:4" x14ac:dyDescent="0.2">
      <c r="B61404" t="s">
        <v>1</v>
      </c>
    </row>
    <row r="61405" spans="1:4" x14ac:dyDescent="0.2">
      <c r="B61405" t="s">
        <v>8</v>
      </c>
    </row>
    <row r="61407" spans="1:4" x14ac:dyDescent="0.2">
      <c r="A61407" t="s">
        <v>19153</v>
      </c>
      <c r="B61407" t="str">
        <f>HYPERLINK("https://lindat.mff.cuni.cz/services/teitok/pdtc10/index.php?action=vallex&amp;frame=v-w7817f1", "vyčerpat se (v-w7817f1)")</f>
        <v>vyčerpat se (v-w7817f1)</v>
      </c>
    </row>
    <row r="61408" spans="1:4" x14ac:dyDescent="0.2">
      <c r="B61408" t="s">
        <v>1</v>
      </c>
      <c r="C61408" t="s">
        <v>33</v>
      </c>
      <c r="D61408" t="s">
        <v>24270</v>
      </c>
    </row>
    <row r="61410" spans="1:4" x14ac:dyDescent="0.2">
      <c r="A61410" t="s">
        <v>19154</v>
      </c>
      <c r="B61410" t="str">
        <f>HYPERLINK("https://lindat.mff.cuni.cz/services/teitok/pdtc10/index.php?action=vallex&amp;frame=v-w11112f3", "vyčerpávat (v-w11112f3)")</f>
        <v>vyčerpávat (v-w11112f3)</v>
      </c>
    </row>
    <row r="61411" spans="1:4" x14ac:dyDescent="0.2">
      <c r="B61411" t="s">
        <v>1</v>
      </c>
      <c r="D61411" t="s">
        <v>23066</v>
      </c>
    </row>
    <row r="61412" spans="1:4" x14ac:dyDescent="0.2">
      <c r="B61412" t="s">
        <v>8</v>
      </c>
      <c r="D61412" t="s">
        <v>23067</v>
      </c>
    </row>
    <row r="61414" spans="1:4" x14ac:dyDescent="0.2">
      <c r="A61414" t="s">
        <v>19155</v>
      </c>
      <c r="B61414" t="str">
        <f>HYPERLINK("https://lindat.mff.cuni.cz/services/teitok/pdtc10/index.php?action=vallex&amp;frame=v-w11112f4", "vyčerpávat (v-w11112f4)")</f>
        <v>vyčerpávat (v-w11112f4)</v>
      </c>
    </row>
    <row r="61415" spans="1:4" x14ac:dyDescent="0.2">
      <c r="B61415" t="s">
        <v>1</v>
      </c>
      <c r="C61415" t="s">
        <v>249</v>
      </c>
      <c r="D61415" t="s">
        <v>115</v>
      </c>
    </row>
    <row r="61416" spans="1:4" x14ac:dyDescent="0.2">
      <c r="B61416" t="s">
        <v>8</v>
      </c>
      <c r="C61416" t="s">
        <v>1128</v>
      </c>
      <c r="D61416" t="s">
        <v>2213</v>
      </c>
    </row>
    <row r="61418" spans="1:4" x14ac:dyDescent="0.2">
      <c r="A61418" t="s">
        <v>19156</v>
      </c>
      <c r="B61418" t="str">
        <f>HYPERLINK("https://lindat.mff.cuni.cz/services/teitok/pdtc10/index.php?action=vallex&amp;frame=v-w11112f5_ZU", "vyčerpávat (v-w11112f5_ZU)")</f>
        <v>vyčerpávat (v-w11112f5_ZU)</v>
      </c>
    </row>
    <row r="61419" spans="1:4" x14ac:dyDescent="0.2">
      <c r="B61419" t="s">
        <v>1</v>
      </c>
    </row>
    <row r="61420" spans="1:4" x14ac:dyDescent="0.2">
      <c r="B61420" t="s">
        <v>8</v>
      </c>
    </row>
    <row r="61422" spans="1:4" x14ac:dyDescent="0.2">
      <c r="A61422" t="s">
        <v>19157</v>
      </c>
      <c r="B61422" t="str">
        <f>HYPERLINK("https://lindat.mff.cuni.cz/services/teitok/pdtc10/index.php?action=vallex&amp;frame=v-w11618_ZUf1_ZU", "vyčinit (v-w11618_ZUf1_ZU)")</f>
        <v>vyčinit (v-w11618_ZUf1_ZU)</v>
      </c>
    </row>
    <row r="61423" spans="1:4" x14ac:dyDescent="0.2">
      <c r="B61423" t="s">
        <v>1</v>
      </c>
      <c r="C61423" t="s">
        <v>140</v>
      </c>
      <c r="D61423" t="s">
        <v>33</v>
      </c>
    </row>
    <row r="61424" spans="1:4" x14ac:dyDescent="0.2">
      <c r="B61424" t="s">
        <v>35</v>
      </c>
      <c r="C61424" t="s">
        <v>2810</v>
      </c>
      <c r="D61424" t="s">
        <v>2810</v>
      </c>
    </row>
    <row r="61425" spans="1:4" x14ac:dyDescent="0.2">
      <c r="B61425" t="s">
        <v>14739</v>
      </c>
    </row>
    <row r="61427" spans="1:4" x14ac:dyDescent="0.2">
      <c r="A61427" t="s">
        <v>19158</v>
      </c>
      <c r="B61427" t="str">
        <f>HYPERLINK("https://lindat.mff.cuni.cz/services/teitok/pdtc10/index.php?action=vallex&amp;frame=v-w7822f2_ZU", "vyčistit (v-w7822f2_ZU)")</f>
        <v>vyčistit (v-w7822f2_ZU)</v>
      </c>
    </row>
    <row r="61428" spans="1:4" x14ac:dyDescent="0.2">
      <c r="B61428" t="s">
        <v>1</v>
      </c>
    </row>
    <row r="61429" spans="1:4" x14ac:dyDescent="0.2">
      <c r="B61429" t="s">
        <v>8</v>
      </c>
    </row>
    <row r="61430" spans="1:4" x14ac:dyDescent="0.2">
      <c r="B61430" t="s">
        <v>321</v>
      </c>
    </row>
    <row r="61432" spans="1:4" x14ac:dyDescent="0.2">
      <c r="A61432" t="s">
        <v>19158</v>
      </c>
      <c r="B61432" t="str">
        <f>HYPERLINK("https://lindat.mff.cuni.cz/services/teitok/pdtc10/index.php?action=vallex&amp;frame=v-w7822f1", "vyčistit (v-w7822f1) - substituted with v-w7822f2_ZU")</f>
        <v>vyčistit (v-w7822f1) - substituted with v-w7822f2_ZU</v>
      </c>
    </row>
    <row r="61433" spans="1:4" x14ac:dyDescent="0.2">
      <c r="B61433" t="s">
        <v>1</v>
      </c>
      <c r="C61433" t="s">
        <v>109</v>
      </c>
      <c r="D61433" t="s">
        <v>4110</v>
      </c>
    </row>
    <row r="61434" spans="1:4" x14ac:dyDescent="0.2">
      <c r="B61434" t="s">
        <v>8</v>
      </c>
      <c r="C61434" t="s">
        <v>19159</v>
      </c>
      <c r="D61434" t="s">
        <v>23769</v>
      </c>
    </row>
    <row r="61435" spans="1:4" x14ac:dyDescent="0.2">
      <c r="B61435" t="s">
        <v>321</v>
      </c>
      <c r="C61435" t="s">
        <v>19160</v>
      </c>
      <c r="D61435" t="s">
        <v>23768</v>
      </c>
    </row>
    <row r="61437" spans="1:4" x14ac:dyDescent="0.2">
      <c r="A61437" t="s">
        <v>19161</v>
      </c>
      <c r="B61437" t="str">
        <f>HYPERLINK("https://lindat.mff.cuni.cz/services/teitok/pdtc10/index.php?action=vallex&amp;frame=v-w7822hsa_1995", "vyčistit (v-w7822hsa_1995)")</f>
        <v>vyčistit (v-w7822hsa_1995)</v>
      </c>
    </row>
    <row r="61438" spans="1:4" x14ac:dyDescent="0.2">
      <c r="B61438" t="s">
        <v>1</v>
      </c>
    </row>
    <row r="61439" spans="1:4" x14ac:dyDescent="0.2">
      <c r="B61439" t="s">
        <v>8</v>
      </c>
    </row>
    <row r="61441" spans="1:4" x14ac:dyDescent="0.2">
      <c r="A61441" t="s">
        <v>19162</v>
      </c>
      <c r="B61441" t="str">
        <f>HYPERLINK("https://lindat.mff.cuni.cz/services/teitok/pdtc10/index.php?action=vallex&amp;frame=v-w7822hsa_1996", "vyčistit (v-w7822hsa_1996)")</f>
        <v>vyčistit (v-w7822hsa_1996)</v>
      </c>
    </row>
    <row r="61442" spans="1:4" x14ac:dyDescent="0.2">
      <c r="B61442" t="s">
        <v>1</v>
      </c>
    </row>
    <row r="61443" spans="1:4" x14ac:dyDescent="0.2">
      <c r="B61443" t="s">
        <v>8</v>
      </c>
    </row>
    <row r="61445" spans="1:4" x14ac:dyDescent="0.2">
      <c r="A61445" t="s">
        <v>19163</v>
      </c>
      <c r="B61445" t="str">
        <f>HYPERLINK("https://lindat.mff.cuni.cz/services/teitok/pdtc10/index.php?action=vallex&amp;frame=v-w7827f2", "vyčkat (v-w7827f2)")</f>
        <v>vyčkat (v-w7827f2)</v>
      </c>
    </row>
    <row r="61446" spans="1:4" x14ac:dyDescent="0.2">
      <c r="B61446" t="s">
        <v>1</v>
      </c>
      <c r="C61446" t="s">
        <v>19164</v>
      </c>
    </row>
    <row r="61447" spans="1:4" x14ac:dyDescent="0.2">
      <c r="B61447" t="s">
        <v>411</v>
      </c>
      <c r="C61447" t="s">
        <v>34</v>
      </c>
    </row>
    <row r="61449" spans="1:4" x14ac:dyDescent="0.2">
      <c r="A61449" t="s">
        <v>19165</v>
      </c>
      <c r="B61449" t="str">
        <f>HYPERLINK("https://lindat.mff.cuni.cz/services/teitok/pdtc10/index.php?action=vallex&amp;frame=v-w7827f4_ZU", "vyčkat (v-w7827f4_ZU)")</f>
        <v>vyčkat (v-w7827f4_ZU)</v>
      </c>
    </row>
    <row r="61450" spans="1:4" x14ac:dyDescent="0.2">
      <c r="B61450" t="s">
        <v>1</v>
      </c>
    </row>
    <row r="61451" spans="1:4" x14ac:dyDescent="0.2">
      <c r="B61451" t="s">
        <v>19166</v>
      </c>
    </row>
    <row r="61453" spans="1:4" x14ac:dyDescent="0.2">
      <c r="A61453" t="s">
        <v>19165</v>
      </c>
      <c r="B61453" t="str">
        <f>HYPERLINK("https://lindat.mff.cuni.cz/services/teitok/pdtc10/index.php?action=vallex&amp;frame=v-w7827f1", "vyčkat (v-w7827f1) - substituted with v-w7827f4_ZU")</f>
        <v>vyčkat (v-w7827f1) - substituted with v-w7827f4_ZU</v>
      </c>
    </row>
    <row r="61454" spans="1:4" x14ac:dyDescent="0.2">
      <c r="B61454" t="s">
        <v>1</v>
      </c>
      <c r="C61454" t="s">
        <v>19167</v>
      </c>
      <c r="D61454" t="s">
        <v>23764</v>
      </c>
    </row>
    <row r="61455" spans="1:4" x14ac:dyDescent="0.2">
      <c r="B61455" t="s">
        <v>19166</v>
      </c>
      <c r="C61455" t="s">
        <v>19168</v>
      </c>
      <c r="D61455" t="s">
        <v>23765</v>
      </c>
    </row>
    <row r="61457" spans="1:4" x14ac:dyDescent="0.2">
      <c r="A61457" t="s">
        <v>19165</v>
      </c>
      <c r="B61457" t="str">
        <f>HYPERLINK("https://lindat.mff.cuni.cz/services/teitok/pdtc10/index.php?action=vallex&amp;frame=v-w7827f3_ZU", "vyčkat (v-w7827f3_ZU) - substituted with v-w7827f4_ZU")</f>
        <v>vyčkat (v-w7827f3_ZU) - substituted with v-w7827f4_ZU</v>
      </c>
    </row>
    <row r="61458" spans="1:4" x14ac:dyDescent="0.2">
      <c r="B61458" t="s">
        <v>1</v>
      </c>
    </row>
    <row r="61459" spans="1:4" x14ac:dyDescent="0.2">
      <c r="B61459" t="s">
        <v>19166</v>
      </c>
    </row>
    <row r="61461" spans="1:4" x14ac:dyDescent="0.2">
      <c r="A61461" t="s">
        <v>19169</v>
      </c>
      <c r="B61461" t="str">
        <f>HYPERLINK("https://lindat.mff.cuni.cz/services/teitok/pdtc10/index.php?action=vallex&amp;frame=v-w7829f2", "vyčkávat (v-w7829f2)")</f>
        <v>vyčkávat (v-w7829f2)</v>
      </c>
    </row>
    <row r="61462" spans="1:4" x14ac:dyDescent="0.2">
      <c r="B61462" t="s">
        <v>1</v>
      </c>
    </row>
    <row r="61463" spans="1:4" x14ac:dyDescent="0.2">
      <c r="B61463" t="s">
        <v>411</v>
      </c>
    </row>
    <row r="61465" spans="1:4" x14ac:dyDescent="0.2">
      <c r="A61465" t="s">
        <v>19170</v>
      </c>
      <c r="B61465" t="str">
        <f>HYPERLINK("https://lindat.mff.cuni.cz/services/teitok/pdtc10/index.php?action=vallex&amp;frame=v-w7829f1", "vyčkávat (v-w7829f1)")</f>
        <v>vyčkávat (v-w7829f1)</v>
      </c>
    </row>
    <row r="61466" spans="1:4" x14ac:dyDescent="0.2">
      <c r="B61466" t="s">
        <v>1</v>
      </c>
      <c r="C61466" t="s">
        <v>19171</v>
      </c>
      <c r="D61466" t="s">
        <v>23764</v>
      </c>
    </row>
    <row r="61467" spans="1:4" x14ac:dyDescent="0.2">
      <c r="B61467" t="s">
        <v>19172</v>
      </c>
      <c r="C61467" t="s">
        <v>19173</v>
      </c>
      <c r="D61467" t="s">
        <v>23765</v>
      </c>
    </row>
    <row r="61469" spans="1:4" x14ac:dyDescent="0.2">
      <c r="A61469" t="s">
        <v>19174</v>
      </c>
      <c r="B61469" t="str">
        <f>HYPERLINK("https://lindat.mff.cuni.cz/services/teitok/pdtc10/index.php?action=vallex&amp;frame=v-w7832f1", "vyčlenit (v-w7832f1)")</f>
        <v>vyčlenit (v-w7832f1)</v>
      </c>
    </row>
    <row r="61470" spans="1:4" x14ac:dyDescent="0.2">
      <c r="B61470" t="s">
        <v>1</v>
      </c>
      <c r="C61470" t="s">
        <v>18650</v>
      </c>
    </row>
    <row r="61471" spans="1:4" x14ac:dyDescent="0.2">
      <c r="B61471" t="s">
        <v>8</v>
      </c>
      <c r="C61471" t="s">
        <v>19175</v>
      </c>
    </row>
    <row r="61472" spans="1:4" x14ac:dyDescent="0.2">
      <c r="B61472" t="s">
        <v>333</v>
      </c>
      <c r="C61472" t="s">
        <v>19176</v>
      </c>
    </row>
    <row r="61474" spans="1:4" x14ac:dyDescent="0.2">
      <c r="A61474" t="s">
        <v>19177</v>
      </c>
      <c r="B61474" t="str">
        <f>HYPERLINK("https://lindat.mff.cuni.cz/services/teitok/pdtc10/index.php?action=vallex&amp;frame=v-w7832hsa_142", "vyčlenit (v-w7832hsa_142)")</f>
        <v>vyčlenit (v-w7832hsa_142)</v>
      </c>
    </row>
    <row r="61475" spans="1:4" x14ac:dyDescent="0.2">
      <c r="B61475" t="s">
        <v>1</v>
      </c>
      <c r="C61475" t="s">
        <v>133</v>
      </c>
    </row>
    <row r="61476" spans="1:4" x14ac:dyDescent="0.2">
      <c r="B61476" t="s">
        <v>8</v>
      </c>
      <c r="C61476" t="s">
        <v>1044</v>
      </c>
    </row>
    <row r="61477" spans="1:4" x14ac:dyDescent="0.2">
      <c r="B61477" t="s">
        <v>333</v>
      </c>
    </row>
    <row r="61479" spans="1:4" x14ac:dyDescent="0.2">
      <c r="A61479" t="s">
        <v>19178</v>
      </c>
      <c r="B61479" t="str">
        <f>HYPERLINK("https://lindat.mff.cuni.cz/services/teitok/pdtc10/index.php?action=vallex&amp;frame=v-w7833f1", "vyčlenit se (v-w7833f1)")</f>
        <v>vyčlenit se (v-w7833f1)</v>
      </c>
    </row>
    <row r="61480" spans="1:4" x14ac:dyDescent="0.2">
      <c r="B61480" t="s">
        <v>1</v>
      </c>
    </row>
    <row r="61481" spans="1:4" x14ac:dyDescent="0.2">
      <c r="B61481" t="s">
        <v>333</v>
      </c>
    </row>
    <row r="61483" spans="1:4" x14ac:dyDescent="0.2">
      <c r="A61483" t="s">
        <v>19179</v>
      </c>
      <c r="B61483" t="str">
        <f>HYPERLINK("https://lindat.mff.cuni.cz/services/teitok/pdtc10/index.php?action=vallex&amp;frame=v-w7835f1", "vyčleňovat (v-w7835f1)")</f>
        <v>vyčleňovat (v-w7835f1)</v>
      </c>
    </row>
    <row r="61484" spans="1:4" x14ac:dyDescent="0.2">
      <c r="B61484" t="s">
        <v>1</v>
      </c>
      <c r="D61484" t="s">
        <v>1480</v>
      </c>
    </row>
    <row r="61485" spans="1:4" x14ac:dyDescent="0.2">
      <c r="B61485" t="s">
        <v>8</v>
      </c>
      <c r="D61485" t="s">
        <v>23369</v>
      </c>
    </row>
    <row r="61486" spans="1:4" x14ac:dyDescent="0.2">
      <c r="B61486" t="s">
        <v>333</v>
      </c>
      <c r="D61486" t="s">
        <v>7637</v>
      </c>
    </row>
    <row r="61488" spans="1:4" x14ac:dyDescent="0.2">
      <c r="A61488" t="s">
        <v>19180</v>
      </c>
      <c r="B61488" t="str">
        <f>HYPERLINK("https://lindat.mff.cuni.cz/services/teitok/pdtc10/index.php?action=vallex&amp;frame=v-w7836f1", "vyčleňovat se (v-w7836f1)")</f>
        <v>vyčleňovat se (v-w7836f1)</v>
      </c>
    </row>
    <row r="61489" spans="1:3" x14ac:dyDescent="0.2">
      <c r="B61489" t="s">
        <v>1</v>
      </c>
    </row>
    <row r="61490" spans="1:3" x14ac:dyDescent="0.2">
      <c r="B61490" t="s">
        <v>333</v>
      </c>
    </row>
    <row r="61492" spans="1:3" x14ac:dyDescent="0.2">
      <c r="A61492" t="s">
        <v>19181</v>
      </c>
      <c r="B61492" t="str">
        <f>HYPERLINK("https://lindat.mff.cuni.cz/services/teitok/pdtc10/index.php?action=vallex&amp;frame=v-w7837f1", "vyčnívat (v-w7837f1)")</f>
        <v>vyčnívat (v-w7837f1)</v>
      </c>
    </row>
    <row r="61493" spans="1:3" x14ac:dyDescent="0.2">
      <c r="B61493" t="s">
        <v>1</v>
      </c>
    </row>
    <row r="61494" spans="1:3" x14ac:dyDescent="0.2">
      <c r="B61494" t="s">
        <v>333</v>
      </c>
    </row>
    <row r="61496" spans="1:3" x14ac:dyDescent="0.2">
      <c r="A61496" t="s">
        <v>19182</v>
      </c>
      <c r="B61496" t="str">
        <f>HYPERLINK("https://lindat.mff.cuni.cz/services/teitok/pdtc10/index.php?action=vallex&amp;frame=v-w7837f2", "vyčnívat (v-w7837f2)")</f>
        <v>vyčnívat (v-w7837f2)</v>
      </c>
    </row>
    <row r="61497" spans="1:3" x14ac:dyDescent="0.2">
      <c r="B61497" t="s">
        <v>1</v>
      </c>
      <c r="C61497" t="s">
        <v>147</v>
      </c>
    </row>
    <row r="61499" spans="1:3" x14ac:dyDescent="0.2">
      <c r="A61499" t="s">
        <v>19183</v>
      </c>
      <c r="B61499" t="str">
        <f>HYPERLINK("https://lindat.mff.cuni.cz/services/teitok/pdtc10/index.php?action=vallex&amp;frame=v-w11841_ZUf2_ZU", "vyčíhnout si (v-w11841_ZUf2_ZU)")</f>
        <v>vyčíhnout si (v-w11841_ZUf2_ZU)</v>
      </c>
    </row>
    <row r="61500" spans="1:3" x14ac:dyDescent="0.2">
      <c r="B61500" t="s">
        <v>1</v>
      </c>
    </row>
    <row r="61501" spans="1:3" x14ac:dyDescent="0.2">
      <c r="B61501" t="s">
        <v>41</v>
      </c>
    </row>
    <row r="61503" spans="1:3" x14ac:dyDescent="0.2">
      <c r="A61503" t="s">
        <v>19183</v>
      </c>
      <c r="B61503" t="str">
        <f>HYPERLINK("https://lindat.mff.cuni.cz/services/teitok/pdtc10/index.php?action=vallex&amp;frame=v-w11841_ZUf1_ZU", "vyčíhnout si (v-w11841_ZUf1_ZU) - substituted with v-w11841_ZUf2_ZU")</f>
        <v>vyčíhnout si (v-w11841_ZUf1_ZU) - substituted with v-w11841_ZUf2_ZU</v>
      </c>
    </row>
    <row r="61504" spans="1:3" x14ac:dyDescent="0.2">
      <c r="B61504" t="s">
        <v>1</v>
      </c>
    </row>
    <row r="61505" spans="1:4" x14ac:dyDescent="0.2">
      <c r="B61505" t="s">
        <v>41</v>
      </c>
    </row>
    <row r="61507" spans="1:4" x14ac:dyDescent="0.2">
      <c r="A61507" t="s">
        <v>19184</v>
      </c>
      <c r="B61507" t="str">
        <f>HYPERLINK("https://lindat.mff.cuni.cz/services/teitok/pdtc10/index.php?action=vallex&amp;frame=v-w7819f1", "vyčíslit (v-w7819f1)")</f>
        <v>vyčíslit (v-w7819f1)</v>
      </c>
    </row>
    <row r="61508" spans="1:4" x14ac:dyDescent="0.2">
      <c r="B61508" t="s">
        <v>1</v>
      </c>
      <c r="C61508" t="s">
        <v>3384</v>
      </c>
      <c r="D61508" t="s">
        <v>23042</v>
      </c>
    </row>
    <row r="61509" spans="1:4" x14ac:dyDescent="0.2">
      <c r="B61509" t="s">
        <v>172</v>
      </c>
      <c r="C61509" t="s">
        <v>19185</v>
      </c>
      <c r="D61509" t="s">
        <v>23043</v>
      </c>
    </row>
    <row r="61510" spans="1:4" x14ac:dyDescent="0.2">
      <c r="B61510" t="s">
        <v>61</v>
      </c>
      <c r="C61510" t="s">
        <v>19186</v>
      </c>
      <c r="D61510" t="s">
        <v>23044</v>
      </c>
    </row>
    <row r="61512" spans="1:4" x14ac:dyDescent="0.2">
      <c r="A61512" t="s">
        <v>19187</v>
      </c>
      <c r="B61512" t="str">
        <f>HYPERLINK("https://lindat.mff.cuni.cz/services/teitok/pdtc10/index.php?action=vallex&amp;frame=v-w7820f1", "vyčíslovat (v-w7820f1)")</f>
        <v>vyčíslovat (v-w7820f1)</v>
      </c>
    </row>
    <row r="61513" spans="1:4" x14ac:dyDescent="0.2">
      <c r="B61513" t="s">
        <v>1</v>
      </c>
      <c r="C61513" t="s">
        <v>2303</v>
      </c>
      <c r="D61513" t="s">
        <v>23042</v>
      </c>
    </row>
    <row r="61514" spans="1:4" x14ac:dyDescent="0.2">
      <c r="B61514" t="s">
        <v>8</v>
      </c>
      <c r="C61514" t="s">
        <v>2755</v>
      </c>
      <c r="D61514" t="s">
        <v>23043</v>
      </c>
    </row>
    <row r="61515" spans="1:4" x14ac:dyDescent="0.2">
      <c r="B61515" t="s">
        <v>61</v>
      </c>
      <c r="D61515" t="s">
        <v>23044</v>
      </c>
    </row>
    <row r="61517" spans="1:4" x14ac:dyDescent="0.2">
      <c r="A61517" t="s">
        <v>19188</v>
      </c>
      <c r="B61517" t="str">
        <f>HYPERLINK("https://lindat.mff.cuni.cz/services/teitok/pdtc10/index.php?action=vallex&amp;frame=v-w7821f2", "vyčíst (v-w7821f2)")</f>
        <v>vyčíst (v-w7821f2)</v>
      </c>
    </row>
    <row r="61518" spans="1:4" x14ac:dyDescent="0.2">
      <c r="B61518" t="s">
        <v>1</v>
      </c>
      <c r="C61518" t="s">
        <v>33</v>
      </c>
      <c r="D61518" t="s">
        <v>990</v>
      </c>
    </row>
    <row r="61519" spans="1:4" x14ac:dyDescent="0.2">
      <c r="B61519" t="s">
        <v>124</v>
      </c>
      <c r="C61519" t="s">
        <v>1301</v>
      </c>
      <c r="D61519" t="s">
        <v>4141</v>
      </c>
    </row>
    <row r="61520" spans="1:4" x14ac:dyDescent="0.2">
      <c r="B61520" t="s">
        <v>35</v>
      </c>
      <c r="C61520" t="s">
        <v>1672</v>
      </c>
      <c r="D61520" t="s">
        <v>7520</v>
      </c>
    </row>
    <row r="61522" spans="1:4" x14ac:dyDescent="0.2">
      <c r="A61522" t="s">
        <v>19189</v>
      </c>
      <c r="B61522" t="str">
        <f>HYPERLINK("https://lindat.mff.cuni.cz/services/teitok/pdtc10/index.php?action=vallex&amp;frame=v-w7821f1", "vyčíst (v-w7821f1)")</f>
        <v>vyčíst (v-w7821f1)</v>
      </c>
    </row>
    <row r="61523" spans="1:4" x14ac:dyDescent="0.2">
      <c r="B61523" t="s">
        <v>1</v>
      </c>
    </row>
    <row r="61524" spans="1:4" x14ac:dyDescent="0.2">
      <c r="B61524" t="s">
        <v>1284</v>
      </c>
    </row>
    <row r="61526" spans="1:4" x14ac:dyDescent="0.2">
      <c r="A61526" t="s">
        <v>19190</v>
      </c>
      <c r="B61526" t="str">
        <f>HYPERLINK("https://lindat.mff.cuni.cz/services/teitok/pdtc10/index.php?action=vallex&amp;frame=v-w7825f1", "vyčítat (v-w7825f1)")</f>
        <v>vyčítat (v-w7825f1)</v>
      </c>
    </row>
    <row r="61527" spans="1:4" x14ac:dyDescent="0.2">
      <c r="B61527" t="s">
        <v>1</v>
      </c>
      <c r="C61527" t="s">
        <v>1524</v>
      </c>
      <c r="D61527" t="s">
        <v>990</v>
      </c>
    </row>
    <row r="61528" spans="1:4" x14ac:dyDescent="0.2">
      <c r="B61528" t="s">
        <v>11277</v>
      </c>
      <c r="C61528" t="s">
        <v>19191</v>
      </c>
      <c r="D61528" t="s">
        <v>4141</v>
      </c>
    </row>
    <row r="61529" spans="1:4" x14ac:dyDescent="0.2">
      <c r="B61529" t="s">
        <v>35</v>
      </c>
      <c r="C61529" t="s">
        <v>19192</v>
      </c>
      <c r="D61529" t="s">
        <v>7520</v>
      </c>
    </row>
    <row r="61531" spans="1:4" x14ac:dyDescent="0.2">
      <c r="A61531" t="s">
        <v>19193</v>
      </c>
      <c r="B61531" t="str">
        <f>HYPERLINK("https://lindat.mff.cuni.cz/services/teitok/pdtc10/index.php?action=vallex&amp;frame=v-w7825f2_ZU", "vyčítat (v-w7825f2_ZU)")</f>
        <v>vyčítat (v-w7825f2_ZU)</v>
      </c>
    </row>
    <row r="61532" spans="1:4" x14ac:dyDescent="0.2">
      <c r="B61532" t="s">
        <v>1</v>
      </c>
    </row>
    <row r="61533" spans="1:4" x14ac:dyDescent="0.2">
      <c r="B61533" t="s">
        <v>8</v>
      </c>
    </row>
    <row r="61535" spans="1:4" x14ac:dyDescent="0.2">
      <c r="A61535" t="s">
        <v>19193</v>
      </c>
      <c r="B61535" t="str">
        <f>HYPERLINK("https://lindat.mff.cuni.cz/services/teitok/pdtc10/index.php?action=vallex&amp;frame=v-w7825hsa_28", "vyčítat (v-w7825hsa_28) - substituted with v-w7825f2_ZU")</f>
        <v>vyčítat (v-w7825hsa_28) - substituted with v-w7825f2_ZU</v>
      </c>
    </row>
    <row r="61536" spans="1:4" x14ac:dyDescent="0.2">
      <c r="B61536" t="s">
        <v>1</v>
      </c>
    </row>
    <row r="61537" spans="1:4" x14ac:dyDescent="0.2">
      <c r="B61537" t="s">
        <v>8</v>
      </c>
    </row>
    <row r="61539" spans="1:4" x14ac:dyDescent="0.2">
      <c r="A61539" t="s">
        <v>19194</v>
      </c>
      <c r="B61539" t="str">
        <f>HYPERLINK("https://lindat.mff.cuni.cz/services/teitok/pdtc10/index.php?action=vallex&amp;frame=v-w8319f1", "vyřadit (v-w8319f1)")</f>
        <v>vyřadit (v-w8319f1)</v>
      </c>
    </row>
    <row r="61540" spans="1:4" x14ac:dyDescent="0.2">
      <c r="B61540" t="s">
        <v>1</v>
      </c>
      <c r="C61540" t="s">
        <v>19195</v>
      </c>
      <c r="D61540" t="s">
        <v>6388</v>
      </c>
    </row>
    <row r="61541" spans="1:4" x14ac:dyDescent="0.2">
      <c r="B61541" t="s">
        <v>8</v>
      </c>
      <c r="C61541" t="s">
        <v>19196</v>
      </c>
      <c r="D61541" t="s">
        <v>16287</v>
      </c>
    </row>
    <row r="61542" spans="1:4" x14ac:dyDescent="0.2">
      <c r="B61542" t="s">
        <v>333</v>
      </c>
      <c r="D61542" t="s">
        <v>23090</v>
      </c>
    </row>
    <row r="61544" spans="1:4" x14ac:dyDescent="0.2">
      <c r="A61544" t="s">
        <v>19197</v>
      </c>
      <c r="B61544" t="str">
        <f>HYPERLINK("https://lindat.mff.cuni.cz/services/teitok/pdtc10/index.php?action=vallex&amp;frame=v-w8319hsa_756", "vyřadit (v-w8319hsa_756)")</f>
        <v>vyřadit (v-w8319hsa_756)</v>
      </c>
    </row>
    <row r="61545" spans="1:4" x14ac:dyDescent="0.2">
      <c r="B61545" t="s">
        <v>1</v>
      </c>
      <c r="C61545" t="s">
        <v>133</v>
      </c>
      <c r="D61545" t="s">
        <v>9332</v>
      </c>
    </row>
    <row r="61546" spans="1:4" x14ac:dyDescent="0.2">
      <c r="B61546" t="s">
        <v>8</v>
      </c>
      <c r="C61546" t="s">
        <v>1190</v>
      </c>
      <c r="D61546" t="s">
        <v>1437</v>
      </c>
    </row>
    <row r="61547" spans="1:4" x14ac:dyDescent="0.2">
      <c r="B61547" t="s">
        <v>1924</v>
      </c>
    </row>
    <row r="61549" spans="1:4" x14ac:dyDescent="0.2">
      <c r="A61549" t="s">
        <v>19198</v>
      </c>
      <c r="B61549" t="str">
        <f>HYPERLINK("https://lindat.mff.cuni.cz/services/teitok/pdtc10/index.php?action=vallex&amp;frame=v-w8321f1", "vyřazovat (v-w8321f1)")</f>
        <v>vyřazovat (v-w8321f1)</v>
      </c>
    </row>
    <row r="61550" spans="1:4" x14ac:dyDescent="0.2">
      <c r="B61550" t="s">
        <v>1</v>
      </c>
      <c r="C61550" t="s">
        <v>22</v>
      </c>
      <c r="D61550" t="s">
        <v>6131</v>
      </c>
    </row>
    <row r="61551" spans="1:4" x14ac:dyDescent="0.2">
      <c r="B61551" t="s">
        <v>8</v>
      </c>
      <c r="C61551" t="s">
        <v>1066</v>
      </c>
      <c r="D61551" t="s">
        <v>18247</v>
      </c>
    </row>
    <row r="61552" spans="1:4" x14ac:dyDescent="0.2">
      <c r="B61552" t="s">
        <v>333</v>
      </c>
      <c r="D61552" t="s">
        <v>23090</v>
      </c>
    </row>
    <row r="61554" spans="1:2" x14ac:dyDescent="0.2">
      <c r="A61554" t="s">
        <v>19199</v>
      </c>
      <c r="B61554" t="str">
        <f>HYPERLINK("https://lindat.mff.cuni.cz/services/teitok/pdtc10/index.php?action=vallex&amp;frame=v-w8324f1", "vyřezat (v-w8324f1)")</f>
        <v>vyřezat (v-w8324f1)</v>
      </c>
    </row>
    <row r="61555" spans="1:2" x14ac:dyDescent="0.2">
      <c r="B61555" t="s">
        <v>1</v>
      </c>
    </row>
    <row r="61556" spans="1:2" x14ac:dyDescent="0.2">
      <c r="B61556" t="s">
        <v>8</v>
      </c>
    </row>
    <row r="61558" spans="1:2" x14ac:dyDescent="0.2">
      <c r="A61558" t="s">
        <v>19200</v>
      </c>
      <c r="B61558" t="str">
        <f>HYPERLINK("https://lindat.mff.cuni.cz/services/teitok/pdtc10/index.php?action=vallex&amp;frame=v-whsa_1795f1_ZU", "vyřezávat (v-whsa_1795f1_ZU)")</f>
        <v>vyřezávat (v-whsa_1795f1_ZU)</v>
      </c>
    </row>
    <row r="61559" spans="1:2" x14ac:dyDescent="0.2">
      <c r="B61559" t="s">
        <v>1</v>
      </c>
    </row>
    <row r="61560" spans="1:2" x14ac:dyDescent="0.2">
      <c r="B61560" t="s">
        <v>8</v>
      </c>
    </row>
    <row r="61561" spans="1:2" x14ac:dyDescent="0.2">
      <c r="B61561" t="s">
        <v>24</v>
      </c>
    </row>
    <row r="61563" spans="1:2" x14ac:dyDescent="0.2">
      <c r="A61563" t="s">
        <v>19200</v>
      </c>
      <c r="B61563" t="str">
        <f>HYPERLINK("https://lindat.mff.cuni.cz/services/teitok/pdtc10/index.php?action=vallex&amp;frame=v-whsa_1795hsa_1796", "vyřezávat (v-whsa_1795hsa_1796) - substituted with v-whsa_1795f1_ZU")</f>
        <v>vyřezávat (v-whsa_1795hsa_1796) - substituted with v-whsa_1795f1_ZU</v>
      </c>
    </row>
    <row r="61564" spans="1:2" x14ac:dyDescent="0.2">
      <c r="B61564" t="s">
        <v>1</v>
      </c>
    </row>
    <row r="61565" spans="1:2" x14ac:dyDescent="0.2">
      <c r="B61565" t="s">
        <v>8</v>
      </c>
    </row>
    <row r="61566" spans="1:2" x14ac:dyDescent="0.2">
      <c r="B61566" t="s">
        <v>24</v>
      </c>
    </row>
    <row r="61568" spans="1:2" x14ac:dyDescent="0.2">
      <c r="A61568" t="s">
        <v>19201</v>
      </c>
      <c r="B61568" t="str">
        <f>HYPERLINK("https://lindat.mff.cuni.cz/services/teitok/pdtc10/index.php?action=vallex&amp;frame=v-whsa_1795f2_ZU", "vyřezávat (v-whsa_1795f2_ZU)")</f>
        <v>vyřezávat (v-whsa_1795f2_ZU)</v>
      </c>
    </row>
    <row r="61569" spans="1:4" x14ac:dyDescent="0.2">
      <c r="B61569" t="s">
        <v>1</v>
      </c>
    </row>
    <row r="61570" spans="1:4" x14ac:dyDescent="0.2">
      <c r="B61570" t="s">
        <v>8</v>
      </c>
    </row>
    <row r="61571" spans="1:4" x14ac:dyDescent="0.2">
      <c r="B61571" t="s">
        <v>4622</v>
      </c>
    </row>
    <row r="61573" spans="1:4" x14ac:dyDescent="0.2">
      <c r="A61573" t="s">
        <v>19202</v>
      </c>
      <c r="B61573" t="str">
        <f>HYPERLINK("https://lindat.mff.cuni.cz/services/teitok/pdtc10/index.php?action=vallex&amp;frame=v-w8323f1", "vyřešit (v-w8323f1)")</f>
        <v>vyřešit (v-w8323f1)</v>
      </c>
    </row>
    <row r="61574" spans="1:4" x14ac:dyDescent="0.2">
      <c r="B61574" t="s">
        <v>1</v>
      </c>
      <c r="C61574" t="s">
        <v>19203</v>
      </c>
      <c r="D61574" t="s">
        <v>18782</v>
      </c>
    </row>
    <row r="61575" spans="1:4" x14ac:dyDescent="0.2">
      <c r="B61575" t="s">
        <v>1693</v>
      </c>
      <c r="C61575" t="s">
        <v>19204</v>
      </c>
      <c r="D61575" t="s">
        <v>23230</v>
      </c>
    </row>
    <row r="61577" spans="1:4" x14ac:dyDescent="0.2">
      <c r="A61577" t="s">
        <v>19205</v>
      </c>
      <c r="B61577" t="str">
        <f>HYPERLINK("https://lindat.mff.cuni.cz/services/teitok/pdtc10/index.php?action=vallex&amp;frame=v-w8323f2", "vyřešit (v-w8323f2)")</f>
        <v>vyřešit (v-w8323f2)</v>
      </c>
    </row>
    <row r="61578" spans="1:4" x14ac:dyDescent="0.2">
      <c r="B61578" t="s">
        <v>1</v>
      </c>
    </row>
    <row r="61579" spans="1:4" x14ac:dyDescent="0.2">
      <c r="B61579" t="s">
        <v>8</v>
      </c>
    </row>
    <row r="61581" spans="1:4" x14ac:dyDescent="0.2">
      <c r="A61581" t="s">
        <v>19206</v>
      </c>
      <c r="B61581" t="str">
        <f>HYPERLINK("https://lindat.mff.cuni.cz/services/teitok/pdtc10/index.php?action=vallex&amp;frame=v-w8331f4", "vyřizovat (v-w8331f4)")</f>
        <v>vyřizovat (v-w8331f4)</v>
      </c>
    </row>
    <row r="61582" spans="1:4" x14ac:dyDescent="0.2">
      <c r="B61582" t="s">
        <v>1</v>
      </c>
    </row>
    <row r="61583" spans="1:4" x14ac:dyDescent="0.2">
      <c r="B61583" t="s">
        <v>273</v>
      </c>
    </row>
    <row r="61584" spans="1:4" x14ac:dyDescent="0.2">
      <c r="B61584" t="s">
        <v>35</v>
      </c>
    </row>
    <row r="61586" spans="1:4" x14ac:dyDescent="0.2">
      <c r="A61586" t="s">
        <v>19207</v>
      </c>
      <c r="B61586" t="str">
        <f>HYPERLINK("https://lindat.mff.cuni.cz/services/teitok/pdtc10/index.php?action=vallex&amp;frame=v-w8331f3", "vyřizovat (v-w8331f3)")</f>
        <v>vyřizovat (v-w8331f3)</v>
      </c>
    </row>
    <row r="61587" spans="1:4" x14ac:dyDescent="0.2">
      <c r="B61587" t="s">
        <v>1</v>
      </c>
    </row>
    <row r="61588" spans="1:4" x14ac:dyDescent="0.2">
      <c r="B61588" t="s">
        <v>8</v>
      </c>
    </row>
    <row r="61589" spans="1:4" x14ac:dyDescent="0.2">
      <c r="B61589" t="s">
        <v>153</v>
      </c>
    </row>
    <row r="61591" spans="1:4" x14ac:dyDescent="0.2">
      <c r="A61591" t="s">
        <v>19208</v>
      </c>
      <c r="B61591" t="str">
        <f>HYPERLINK("https://lindat.mff.cuni.cz/services/teitok/pdtc10/index.php?action=vallex&amp;frame=v-w8331f1", "vyřizovat (v-w8331f1)")</f>
        <v>vyřizovat (v-w8331f1)</v>
      </c>
    </row>
    <row r="61592" spans="1:4" x14ac:dyDescent="0.2">
      <c r="B61592" t="s">
        <v>1</v>
      </c>
      <c r="C61592" t="s">
        <v>13030</v>
      </c>
      <c r="D61592" t="s">
        <v>12786</v>
      </c>
    </row>
    <row r="61593" spans="1:4" x14ac:dyDescent="0.2">
      <c r="B61593" t="s">
        <v>41</v>
      </c>
      <c r="C61593" t="s">
        <v>19209</v>
      </c>
      <c r="D61593" t="s">
        <v>23772</v>
      </c>
    </row>
    <row r="61595" spans="1:4" x14ac:dyDescent="0.2">
      <c r="A61595" t="s">
        <v>19210</v>
      </c>
      <c r="B61595" t="str">
        <f>HYPERLINK("https://lindat.mff.cuni.cz/services/teitok/pdtc10/index.php?action=vallex&amp;frame=v-w8331f2", "vyřizovat (v-w8331f2)")</f>
        <v>vyřizovat (v-w8331f2)</v>
      </c>
    </row>
    <row r="61596" spans="1:4" x14ac:dyDescent="0.2">
      <c r="B61596" t="s">
        <v>1</v>
      </c>
    </row>
    <row r="61597" spans="1:4" x14ac:dyDescent="0.2">
      <c r="B61597" t="s">
        <v>19211</v>
      </c>
    </row>
    <row r="61598" spans="1:4" x14ac:dyDescent="0.2">
      <c r="B61598" t="s">
        <v>411</v>
      </c>
    </row>
    <row r="61600" spans="1:4" x14ac:dyDescent="0.2">
      <c r="A61600" t="s">
        <v>19212</v>
      </c>
      <c r="B61600" t="str">
        <f>HYPERLINK("https://lindat.mff.cuni.cz/services/teitok/pdtc10/index.php?action=vallex&amp;frame=v-w8332f1", "vyřknout (v-w8332f1)")</f>
        <v>vyřknout (v-w8332f1)</v>
      </c>
    </row>
    <row r="61601" spans="1:4" x14ac:dyDescent="0.2">
      <c r="B61601" t="s">
        <v>1</v>
      </c>
      <c r="C61601" t="s">
        <v>2533</v>
      </c>
      <c r="D61601" t="s">
        <v>2530</v>
      </c>
    </row>
    <row r="61602" spans="1:4" x14ac:dyDescent="0.2">
      <c r="B61602" t="s">
        <v>17948</v>
      </c>
      <c r="C61602" t="s">
        <v>19213</v>
      </c>
      <c r="D61602" t="s">
        <v>12772</v>
      </c>
    </row>
    <row r="61604" spans="1:4" x14ac:dyDescent="0.2">
      <c r="A61604" t="s">
        <v>19214</v>
      </c>
      <c r="B61604" t="str">
        <f>HYPERLINK("https://lindat.mff.cuni.cz/services/teitok/pdtc10/index.php?action=vallex&amp;frame=v-w10796f2", "vyřvávat (v-w10796f2)")</f>
        <v>vyřvávat (v-w10796f2)</v>
      </c>
    </row>
    <row r="61605" spans="1:4" x14ac:dyDescent="0.2">
      <c r="B61605" t="s">
        <v>1</v>
      </c>
    </row>
    <row r="61606" spans="1:4" x14ac:dyDescent="0.2">
      <c r="B61606" t="s">
        <v>4742</v>
      </c>
    </row>
    <row r="61607" spans="1:4" x14ac:dyDescent="0.2">
      <c r="B61607" t="s">
        <v>269</v>
      </c>
    </row>
    <row r="61609" spans="1:4" x14ac:dyDescent="0.2">
      <c r="A61609" t="s">
        <v>19215</v>
      </c>
      <c r="B61609" t="str">
        <f>HYPERLINK("https://lindat.mff.cuni.cz/services/teitok/pdtc10/index.php?action=vallex&amp;frame=v-whsa_1297hsa_1298", "vyřádit se (v-whsa_1297hsa_1298)")</f>
        <v>vyřádit se (v-whsa_1297hsa_1298)</v>
      </c>
    </row>
    <row r="61610" spans="1:4" x14ac:dyDescent="0.2">
      <c r="B61610" t="s">
        <v>1</v>
      </c>
    </row>
    <row r="61612" spans="1:4" x14ac:dyDescent="0.2">
      <c r="A61612" t="s">
        <v>19216</v>
      </c>
      <c r="B61612" t="str">
        <f>HYPERLINK("https://lindat.mff.cuni.cz/services/teitok/pdtc10/index.php?action=vallex&amp;frame=v-w8325f3", "vyřídit (v-w8325f3)")</f>
        <v>vyřídit (v-w8325f3)</v>
      </c>
    </row>
    <row r="61613" spans="1:4" x14ac:dyDescent="0.2">
      <c r="B61613" t="s">
        <v>1</v>
      </c>
    </row>
    <row r="61614" spans="1:4" x14ac:dyDescent="0.2">
      <c r="B61614" t="s">
        <v>273</v>
      </c>
    </row>
    <row r="61615" spans="1:4" x14ac:dyDescent="0.2">
      <c r="B61615" t="s">
        <v>35</v>
      </c>
    </row>
    <row r="61617" spans="1:4" x14ac:dyDescent="0.2">
      <c r="A61617" t="s">
        <v>19217</v>
      </c>
      <c r="B61617" t="str">
        <f>HYPERLINK("https://lindat.mff.cuni.cz/services/teitok/pdtc10/index.php?action=vallex&amp;frame=v-w8325f4", "vyřídit (v-w8325f4)")</f>
        <v>vyřídit (v-w8325f4)</v>
      </c>
    </row>
    <row r="61618" spans="1:4" x14ac:dyDescent="0.2">
      <c r="B61618" t="s">
        <v>1</v>
      </c>
    </row>
    <row r="61619" spans="1:4" x14ac:dyDescent="0.2">
      <c r="B61619" t="s">
        <v>8</v>
      </c>
    </row>
    <row r="61620" spans="1:4" x14ac:dyDescent="0.2">
      <c r="B61620" t="s">
        <v>153</v>
      </c>
    </row>
    <row r="61622" spans="1:4" x14ac:dyDescent="0.2">
      <c r="A61622" t="s">
        <v>19218</v>
      </c>
      <c r="B61622" t="str">
        <f>HYPERLINK("https://lindat.mff.cuni.cz/services/teitok/pdtc10/index.php?action=vallex&amp;frame=v-w8325f1", "vyřídit (v-w8325f1)")</f>
        <v>vyřídit (v-w8325f1)</v>
      </c>
    </row>
    <row r="61623" spans="1:4" x14ac:dyDescent="0.2">
      <c r="B61623" t="s">
        <v>1</v>
      </c>
      <c r="C61623" t="s">
        <v>19219</v>
      </c>
      <c r="D61623" t="s">
        <v>12786</v>
      </c>
    </row>
    <row r="61624" spans="1:4" x14ac:dyDescent="0.2">
      <c r="B61624" t="s">
        <v>41</v>
      </c>
      <c r="C61624" t="s">
        <v>6302</v>
      </c>
      <c r="D61624" t="s">
        <v>23772</v>
      </c>
    </row>
    <row r="61626" spans="1:4" x14ac:dyDescent="0.2">
      <c r="A61626" t="s">
        <v>19220</v>
      </c>
      <c r="B61626" t="str">
        <f>HYPERLINK("https://lindat.mff.cuni.cz/services/teitok/pdtc10/index.php?action=vallex&amp;frame=v-w8325f2", "vyřídit (v-w8325f2)")</f>
        <v>vyřídit (v-w8325f2)</v>
      </c>
    </row>
    <row r="61627" spans="1:4" x14ac:dyDescent="0.2">
      <c r="B61627" t="s">
        <v>1</v>
      </c>
      <c r="C61627" t="s">
        <v>370</v>
      </c>
    </row>
    <row r="61628" spans="1:4" x14ac:dyDescent="0.2">
      <c r="B61628" t="s">
        <v>8</v>
      </c>
      <c r="C61628" t="s">
        <v>31</v>
      </c>
    </row>
    <row r="61630" spans="1:4" x14ac:dyDescent="0.2">
      <c r="A61630" t="s">
        <v>19221</v>
      </c>
      <c r="B61630" t="str">
        <f>HYPERLINK("https://lindat.mff.cuni.cz/services/teitok/pdtc10/index.php?action=vallex&amp;frame=v-w8326f1", "vyřídit si (v-w8326f1)")</f>
        <v>vyřídit si (v-w8326f1)</v>
      </c>
    </row>
    <row r="61631" spans="1:4" x14ac:dyDescent="0.2">
      <c r="B61631" t="s">
        <v>1</v>
      </c>
      <c r="D61631" t="s">
        <v>10454</v>
      </c>
    </row>
    <row r="61632" spans="1:4" x14ac:dyDescent="0.2">
      <c r="B61632" t="s">
        <v>124</v>
      </c>
      <c r="D61632" t="s">
        <v>24197</v>
      </c>
    </row>
    <row r="61633" spans="1:4" x14ac:dyDescent="0.2">
      <c r="B61633" t="s">
        <v>153</v>
      </c>
      <c r="D61633" t="s">
        <v>24400</v>
      </c>
    </row>
    <row r="61635" spans="1:4" x14ac:dyDescent="0.2">
      <c r="A61635" t="s">
        <v>19222</v>
      </c>
      <c r="B61635" t="str">
        <f>HYPERLINK("https://lindat.mff.cuni.cz/services/teitok/pdtc10/index.php?action=vallex&amp;frame=v-w8327f1", "vyříkat si (v-w8327f1)")</f>
        <v>vyříkat si (v-w8327f1)</v>
      </c>
    </row>
    <row r="61636" spans="1:4" x14ac:dyDescent="0.2">
      <c r="B61636" t="s">
        <v>1</v>
      </c>
      <c r="D61636" t="s">
        <v>10454</v>
      </c>
    </row>
    <row r="61637" spans="1:4" x14ac:dyDescent="0.2">
      <c r="B61637" t="s">
        <v>124</v>
      </c>
      <c r="D61637" t="s">
        <v>24197</v>
      </c>
    </row>
    <row r="61638" spans="1:4" x14ac:dyDescent="0.2">
      <c r="B61638" t="s">
        <v>153</v>
      </c>
      <c r="D61638" t="s">
        <v>24400</v>
      </c>
    </row>
    <row r="61640" spans="1:4" x14ac:dyDescent="0.2">
      <c r="A61640" t="s">
        <v>19223</v>
      </c>
      <c r="B61640" t="str">
        <f>HYPERLINK("https://lindat.mff.cuni.cz/services/teitok/pdtc10/index.php?action=vallex&amp;frame=v-w8329f1", "vyříznout (v-w8329f1)")</f>
        <v>vyříznout (v-w8329f1)</v>
      </c>
    </row>
    <row r="61641" spans="1:4" x14ac:dyDescent="0.2">
      <c r="B61641" t="s">
        <v>1</v>
      </c>
    </row>
    <row r="61642" spans="1:4" x14ac:dyDescent="0.2">
      <c r="B61642" t="s">
        <v>8</v>
      </c>
    </row>
    <row r="61643" spans="1:4" x14ac:dyDescent="0.2">
      <c r="B61643" t="s">
        <v>333</v>
      </c>
    </row>
    <row r="61645" spans="1:4" x14ac:dyDescent="0.2">
      <c r="A61645" t="s">
        <v>19224</v>
      </c>
      <c r="B61645" t="str">
        <f>HYPERLINK("https://lindat.mff.cuni.cz/services/teitok/pdtc10/index.php?action=vallex&amp;frame=v-w8432f1", "vyšachovat (v-w8432f1)")</f>
        <v>vyšachovat (v-w8432f1)</v>
      </c>
    </row>
    <row r="61646" spans="1:4" x14ac:dyDescent="0.2">
      <c r="B61646" t="s">
        <v>1</v>
      </c>
    </row>
    <row r="61647" spans="1:4" x14ac:dyDescent="0.2">
      <c r="B61647" t="s">
        <v>8</v>
      </c>
    </row>
    <row r="61649" spans="1:4" x14ac:dyDescent="0.2">
      <c r="A61649" t="s">
        <v>19225</v>
      </c>
      <c r="B61649" t="str">
        <f>HYPERLINK("https://lindat.mff.cuni.cz/services/teitok/pdtc10/index.php?action=vallex&amp;frame=v-w8435f1", "vyšetřit (v-w8435f1)")</f>
        <v>vyšetřit (v-w8435f1)</v>
      </c>
    </row>
    <row r="61650" spans="1:4" x14ac:dyDescent="0.2">
      <c r="B61650" t="s">
        <v>1</v>
      </c>
      <c r="C61650" t="s">
        <v>370</v>
      </c>
    </row>
    <row r="61651" spans="1:4" x14ac:dyDescent="0.2">
      <c r="B61651" t="s">
        <v>1693</v>
      </c>
      <c r="C61651" t="s">
        <v>969</v>
      </c>
    </row>
    <row r="61653" spans="1:4" x14ac:dyDescent="0.2">
      <c r="A61653" t="s">
        <v>19226</v>
      </c>
      <c r="B61653" t="str">
        <f>HYPERLINK("https://lindat.mff.cuni.cz/services/teitok/pdtc10/index.php?action=vallex&amp;frame=v-w8435f2", "vyšetřit (v-w8435f2)")</f>
        <v>vyšetřit (v-w8435f2)</v>
      </c>
    </row>
    <row r="61654" spans="1:4" x14ac:dyDescent="0.2">
      <c r="B61654" t="s">
        <v>1</v>
      </c>
      <c r="C61654" t="s">
        <v>370</v>
      </c>
    </row>
    <row r="61655" spans="1:4" x14ac:dyDescent="0.2">
      <c r="B61655" t="s">
        <v>1693</v>
      </c>
      <c r="C61655" t="s">
        <v>969</v>
      </c>
    </row>
    <row r="61657" spans="1:4" x14ac:dyDescent="0.2">
      <c r="A61657" t="s">
        <v>19227</v>
      </c>
      <c r="B61657" t="str">
        <f>HYPERLINK("https://lindat.mff.cuni.cz/services/teitok/pdtc10/index.php?action=vallex&amp;frame=v-w11948_ZUf1_ZU", "vyšetřit si (v-w11948_ZUf1_ZU)")</f>
        <v>vyšetřit si (v-w11948_ZUf1_ZU)</v>
      </c>
    </row>
    <row r="61658" spans="1:4" x14ac:dyDescent="0.2">
      <c r="B61658" t="s">
        <v>1</v>
      </c>
    </row>
    <row r="61659" spans="1:4" x14ac:dyDescent="0.2">
      <c r="B61659" t="s">
        <v>8</v>
      </c>
    </row>
    <row r="61661" spans="1:4" x14ac:dyDescent="0.2">
      <c r="A61661" t="s">
        <v>19228</v>
      </c>
      <c r="B61661" t="str">
        <f>HYPERLINK("https://lindat.mff.cuni.cz/services/teitok/pdtc10/index.php?action=vallex&amp;frame=v-w8437f1", "vyšetřovat (v-w8437f1)")</f>
        <v>vyšetřovat (v-w8437f1)</v>
      </c>
    </row>
    <row r="61662" spans="1:4" x14ac:dyDescent="0.2">
      <c r="B61662" t="s">
        <v>1</v>
      </c>
      <c r="C61662" t="s">
        <v>19229</v>
      </c>
      <c r="D61662" t="s">
        <v>22952</v>
      </c>
    </row>
    <row r="61663" spans="1:4" x14ac:dyDescent="0.2">
      <c r="B61663" t="s">
        <v>1693</v>
      </c>
      <c r="C61663" t="s">
        <v>19230</v>
      </c>
      <c r="D61663" t="s">
        <v>22953</v>
      </c>
    </row>
    <row r="61665" spans="1:4" x14ac:dyDescent="0.2">
      <c r="A61665" t="s">
        <v>19231</v>
      </c>
      <c r="B61665" t="str">
        <f>HYPERLINK("https://lindat.mff.cuni.cz/services/teitok/pdtc10/index.php?action=vallex&amp;frame=v-w8437hsa_746", "vyšetřovat (v-w8437hsa_746)")</f>
        <v>vyšetřovat (v-w8437hsa_746)</v>
      </c>
    </row>
    <row r="61666" spans="1:4" x14ac:dyDescent="0.2">
      <c r="B61666" t="s">
        <v>1</v>
      </c>
      <c r="C61666" t="s">
        <v>33</v>
      </c>
    </row>
    <row r="61667" spans="1:4" x14ac:dyDescent="0.2">
      <c r="B61667" t="s">
        <v>8</v>
      </c>
      <c r="C61667" t="s">
        <v>23</v>
      </c>
    </row>
    <row r="61669" spans="1:4" x14ac:dyDescent="0.2">
      <c r="A61669" t="s">
        <v>19232</v>
      </c>
      <c r="B61669" t="str">
        <f>HYPERLINK("https://lindat.mff.cuni.cz/services/teitok/pdtc10/index.php?action=vallex&amp;frame=v-w8439f1", "vyškemrat (v-w8439f1)")</f>
        <v>vyškemrat (v-w8439f1)</v>
      </c>
    </row>
    <row r="61670" spans="1:4" x14ac:dyDescent="0.2">
      <c r="B61670" t="s">
        <v>1</v>
      </c>
    </row>
    <row r="61671" spans="1:4" x14ac:dyDescent="0.2">
      <c r="B61671" t="s">
        <v>5970</v>
      </c>
    </row>
    <row r="61672" spans="1:4" x14ac:dyDescent="0.2">
      <c r="B61672" t="s">
        <v>1396</v>
      </c>
    </row>
    <row r="61674" spans="1:4" x14ac:dyDescent="0.2">
      <c r="A61674" t="s">
        <v>19233</v>
      </c>
      <c r="B61674" t="str">
        <f>HYPERLINK("https://lindat.mff.cuni.cz/services/teitok/pdtc10/index.php?action=vallex&amp;frame=v-w8441f1", "vyškolit (v-w8441f1)")</f>
        <v>vyškolit (v-w8441f1)</v>
      </c>
    </row>
    <row r="61675" spans="1:4" x14ac:dyDescent="0.2">
      <c r="B61675" t="s">
        <v>1</v>
      </c>
      <c r="C61675" t="s">
        <v>33</v>
      </c>
      <c r="D61675" t="s">
        <v>7522</v>
      </c>
    </row>
    <row r="61676" spans="1:4" x14ac:dyDescent="0.2">
      <c r="B61676" t="s">
        <v>8</v>
      </c>
      <c r="C61676" t="s">
        <v>3626</v>
      </c>
      <c r="D61676" t="s">
        <v>3626</v>
      </c>
    </row>
    <row r="61678" spans="1:4" x14ac:dyDescent="0.2">
      <c r="A61678" t="s">
        <v>19234</v>
      </c>
      <c r="B61678" t="str">
        <f>HYPERLINK("https://lindat.mff.cuni.cz/services/teitok/pdtc10/index.php?action=vallex&amp;frame=v-w12140_ZUf1_ZU", "vyškrabat (v-w12140_ZUf1_ZU)")</f>
        <v>vyškrabat (v-w12140_ZUf1_ZU)</v>
      </c>
    </row>
    <row r="61679" spans="1:4" x14ac:dyDescent="0.2">
      <c r="B61679" t="s">
        <v>1</v>
      </c>
    </row>
    <row r="61680" spans="1:4" x14ac:dyDescent="0.2">
      <c r="B61680" t="s">
        <v>8</v>
      </c>
    </row>
    <row r="61682" spans="1:4" x14ac:dyDescent="0.2">
      <c r="A61682" t="s">
        <v>19235</v>
      </c>
      <c r="B61682" t="str">
        <f>HYPERLINK("https://lindat.mff.cuni.cz/services/teitok/pdtc10/index.php?action=vallex&amp;frame=v-w12140_ZUf2_MM", "vyškrabat (v-w12140_ZUf2_MM)")</f>
        <v>vyškrabat (v-w12140_ZUf2_MM)</v>
      </c>
    </row>
    <row r="61683" spans="1:4" x14ac:dyDescent="0.2">
      <c r="B61683" t="s">
        <v>1</v>
      </c>
    </row>
    <row r="61684" spans="1:4" x14ac:dyDescent="0.2">
      <c r="B61684" t="s">
        <v>8</v>
      </c>
    </row>
    <row r="61685" spans="1:4" x14ac:dyDescent="0.2">
      <c r="B61685" t="s">
        <v>333</v>
      </c>
    </row>
    <row r="61687" spans="1:4" x14ac:dyDescent="0.2">
      <c r="A61687" t="s">
        <v>19236</v>
      </c>
      <c r="B61687" t="str">
        <f>HYPERLINK("https://lindat.mff.cuni.cz/services/teitok/pdtc10/index.php?action=vallex&amp;frame=v-w8442f1", "vyškrtnout (v-w8442f1)")</f>
        <v>vyškrtnout (v-w8442f1)</v>
      </c>
    </row>
    <row r="61688" spans="1:4" x14ac:dyDescent="0.2">
      <c r="B61688" t="s">
        <v>1</v>
      </c>
      <c r="C61688" t="s">
        <v>340</v>
      </c>
      <c r="D61688" t="s">
        <v>373</v>
      </c>
    </row>
    <row r="61689" spans="1:4" x14ac:dyDescent="0.2">
      <c r="B61689" t="s">
        <v>8</v>
      </c>
      <c r="C61689" t="s">
        <v>19237</v>
      </c>
      <c r="D61689" t="s">
        <v>23339</v>
      </c>
    </row>
    <row r="61690" spans="1:4" x14ac:dyDescent="0.2">
      <c r="B61690" t="s">
        <v>333</v>
      </c>
      <c r="C61690" t="s">
        <v>19238</v>
      </c>
      <c r="D61690" t="s">
        <v>23684</v>
      </c>
    </row>
    <row r="61692" spans="1:4" x14ac:dyDescent="0.2">
      <c r="A61692" t="s">
        <v>19239</v>
      </c>
      <c r="B61692" t="str">
        <f>HYPERLINK("https://lindat.mff.cuni.cz/services/teitok/pdtc10/index.php?action=vallex&amp;frame=v-w11991_ZUf1_ZU", "vyškrábat (v-w11991_ZUf1_ZU)")</f>
        <v>vyškrábat (v-w11991_ZUf1_ZU)</v>
      </c>
    </row>
    <row r="61693" spans="1:4" x14ac:dyDescent="0.2">
      <c r="B61693" t="s">
        <v>1</v>
      </c>
    </row>
    <row r="61694" spans="1:4" x14ac:dyDescent="0.2">
      <c r="B61694" t="s">
        <v>8</v>
      </c>
    </row>
    <row r="61696" spans="1:4" x14ac:dyDescent="0.2">
      <c r="A61696" t="s">
        <v>19240</v>
      </c>
      <c r="B61696" t="str">
        <f>HYPERLINK("https://lindat.mff.cuni.cz/services/teitok/pdtc10/index.php?action=vallex&amp;frame=v-whsa_703hsa_704", "vyškrábat se (v-whsa_703hsa_704)")</f>
        <v>vyškrábat se (v-whsa_703hsa_704)</v>
      </c>
    </row>
    <row r="61697" spans="1:4" x14ac:dyDescent="0.2">
      <c r="B61697" t="s">
        <v>1</v>
      </c>
      <c r="C61697" t="s">
        <v>140</v>
      </c>
      <c r="D61697" t="s">
        <v>23107</v>
      </c>
    </row>
    <row r="61698" spans="1:4" x14ac:dyDescent="0.2">
      <c r="B61698" t="s">
        <v>90</v>
      </c>
      <c r="D61698" t="s">
        <v>23108</v>
      </c>
    </row>
    <row r="61700" spans="1:4" x14ac:dyDescent="0.2">
      <c r="A61700" t="s">
        <v>19241</v>
      </c>
      <c r="B61700" t="str">
        <f>HYPERLINK("https://lindat.mff.cuni.cz/services/teitok/pdtc10/index.php?action=vallex&amp;frame=v-whsa_703f1_ZU", "vyškrábat se (v-whsa_703f1_ZU)")</f>
        <v>vyškrábat se (v-whsa_703f1_ZU)</v>
      </c>
    </row>
    <row r="61701" spans="1:4" x14ac:dyDescent="0.2">
      <c r="B61701" t="s">
        <v>1</v>
      </c>
      <c r="D61701" t="s">
        <v>24386</v>
      </c>
    </row>
    <row r="61702" spans="1:4" x14ac:dyDescent="0.2">
      <c r="B61702" t="s">
        <v>24</v>
      </c>
      <c r="D61702" t="s">
        <v>24438</v>
      </c>
    </row>
    <row r="61703" spans="1:4" x14ac:dyDescent="0.2">
      <c r="B61703" t="s">
        <v>46</v>
      </c>
      <c r="D61703" t="s">
        <v>24439</v>
      </c>
    </row>
    <row r="61705" spans="1:4" x14ac:dyDescent="0.2">
      <c r="A61705" t="s">
        <v>19242</v>
      </c>
      <c r="B61705" t="str">
        <f>HYPERLINK("https://lindat.mff.cuni.cz/services/teitok/pdtc10/index.php?action=vallex&amp;frame=v-whsa_701hsa_702", "vyškrábat se (v-whsa_701hsa_702)")</f>
        <v>vyškrábat se (v-whsa_701hsa_702)</v>
      </c>
    </row>
    <row r="61706" spans="1:4" x14ac:dyDescent="0.2">
      <c r="B61706" t="s">
        <v>1</v>
      </c>
    </row>
    <row r="61707" spans="1:4" x14ac:dyDescent="0.2">
      <c r="B61707" t="s">
        <v>24</v>
      </c>
    </row>
    <row r="61708" spans="1:4" x14ac:dyDescent="0.2">
      <c r="B61708" t="s">
        <v>46</v>
      </c>
    </row>
    <row r="61710" spans="1:4" x14ac:dyDescent="0.2">
      <c r="A61710" t="s">
        <v>19243</v>
      </c>
      <c r="B61710" t="str">
        <f>HYPERLINK("https://lindat.mff.cuni.cz/services/teitok/pdtc10/index.php?action=vallex&amp;frame=v-w8444f1", "vyšlapat (v-w8444f1)")</f>
        <v>vyšlapat (v-w8444f1)</v>
      </c>
    </row>
    <row r="61711" spans="1:4" x14ac:dyDescent="0.2">
      <c r="B61711" t="s">
        <v>1</v>
      </c>
      <c r="C61711" t="s">
        <v>430</v>
      </c>
    </row>
    <row r="61712" spans="1:4" x14ac:dyDescent="0.2">
      <c r="B61712" t="s">
        <v>8</v>
      </c>
      <c r="C61712" t="s">
        <v>84</v>
      </c>
    </row>
    <row r="61714" spans="1:2" x14ac:dyDescent="0.2">
      <c r="A61714" t="s">
        <v>19244</v>
      </c>
      <c r="B61714" t="str">
        <f>HYPERLINK("https://lindat.mff.cuni.cz/services/teitok/pdtc10/index.php?action=vallex&amp;frame=v-w8444f4_ZU", "vyšlapat (v-w8444f4_ZU)")</f>
        <v>vyšlapat (v-w8444f4_ZU)</v>
      </c>
    </row>
    <row r="61715" spans="1:2" x14ac:dyDescent="0.2">
      <c r="B61715" t="s">
        <v>1</v>
      </c>
    </row>
    <row r="61716" spans="1:2" x14ac:dyDescent="0.2">
      <c r="B61716" t="s">
        <v>252</v>
      </c>
    </row>
    <row r="61718" spans="1:2" x14ac:dyDescent="0.2">
      <c r="A61718" t="s">
        <v>19245</v>
      </c>
      <c r="B61718" t="str">
        <f>HYPERLINK("https://lindat.mff.cuni.cz/services/teitok/pdtc10/index.php?action=vallex&amp;frame=v-w8444f5_ZU", "vyšlapat (v-w8444f5_ZU)")</f>
        <v>vyšlapat (v-w8444f5_ZU)</v>
      </c>
    </row>
    <row r="61719" spans="1:2" x14ac:dyDescent="0.2">
      <c r="B61719" t="s">
        <v>1</v>
      </c>
    </row>
    <row r="61720" spans="1:2" x14ac:dyDescent="0.2">
      <c r="B61720" t="s">
        <v>8</v>
      </c>
    </row>
    <row r="61722" spans="1:2" x14ac:dyDescent="0.2">
      <c r="A61722" t="s">
        <v>19245</v>
      </c>
      <c r="B61722" t="str">
        <f>HYPERLINK("https://lindat.mff.cuni.cz/services/teitok/pdtc10/index.php?action=vallex&amp;frame=v-w8444f2_ZU", "vyšlapat (v-w8444f2_ZU) - substituted with v-w8444f5_ZU")</f>
        <v>vyšlapat (v-w8444f2_ZU) - substituted with v-w8444f5_ZU</v>
      </c>
    </row>
    <row r="61723" spans="1:2" x14ac:dyDescent="0.2">
      <c r="B61723" t="s">
        <v>1</v>
      </c>
    </row>
    <row r="61724" spans="1:2" x14ac:dyDescent="0.2">
      <c r="B61724" t="s">
        <v>8</v>
      </c>
    </row>
    <row r="61726" spans="1:2" x14ac:dyDescent="0.2">
      <c r="A61726" t="s">
        <v>19245</v>
      </c>
      <c r="B61726" t="str">
        <f>HYPERLINK("https://lindat.mff.cuni.cz/services/teitok/pdtc10/index.php?action=vallex&amp;frame=v-w8444f3_ZU", "vyšlapat (v-w8444f3_ZU) - substituted with v-w8444f5_ZU")</f>
        <v>vyšlapat (v-w8444f3_ZU) - substituted with v-w8444f5_ZU</v>
      </c>
    </row>
    <row r="61727" spans="1:2" x14ac:dyDescent="0.2">
      <c r="B61727" t="s">
        <v>1</v>
      </c>
    </row>
    <row r="61728" spans="1:2" x14ac:dyDescent="0.2">
      <c r="B61728" t="s">
        <v>8</v>
      </c>
    </row>
    <row r="61730" spans="1:3" x14ac:dyDescent="0.2">
      <c r="A61730" t="s">
        <v>19246</v>
      </c>
      <c r="B61730" t="str">
        <f>HYPERLINK("https://lindat.mff.cuni.cz/services/teitok/pdtc10/index.php?action=vallex&amp;frame=v-w12120_ZUf1_ZU", "vyšlapávat (v-w12120_ZUf1_ZU)")</f>
        <v>vyšlapávat (v-w12120_ZUf1_ZU)</v>
      </c>
    </row>
    <row r="61731" spans="1:3" x14ac:dyDescent="0.2">
      <c r="B61731" t="s">
        <v>1</v>
      </c>
    </row>
    <row r="61732" spans="1:3" x14ac:dyDescent="0.2">
      <c r="B61732" t="s">
        <v>8</v>
      </c>
    </row>
    <row r="61734" spans="1:3" x14ac:dyDescent="0.2">
      <c r="A61734" t="s">
        <v>19247</v>
      </c>
      <c r="B61734" t="str">
        <f>HYPERLINK("https://lindat.mff.cuni.cz/services/teitok/pdtc10/index.php?action=vallex&amp;frame=v-w8447f1", "vyšlechtit (v-w8447f1)")</f>
        <v>vyšlechtit (v-w8447f1)</v>
      </c>
    </row>
    <row r="61735" spans="1:3" x14ac:dyDescent="0.2">
      <c r="B61735" t="s">
        <v>1</v>
      </c>
      <c r="C61735" t="s">
        <v>373</v>
      </c>
    </row>
    <row r="61736" spans="1:3" x14ac:dyDescent="0.2">
      <c r="B61736" t="s">
        <v>8</v>
      </c>
      <c r="C61736" t="s">
        <v>56</v>
      </c>
    </row>
    <row r="61737" spans="1:3" x14ac:dyDescent="0.2">
      <c r="B61737" t="s">
        <v>24</v>
      </c>
    </row>
    <row r="61739" spans="1:3" x14ac:dyDescent="0.2">
      <c r="A61739" t="s">
        <v>19248</v>
      </c>
      <c r="B61739" t="str">
        <f>HYPERLINK("https://lindat.mff.cuni.cz/services/teitok/pdtc10/index.php?action=vallex&amp;frame=v-w8446f1", "vyšlehnout (v-w8446f1)")</f>
        <v>vyšlehnout (v-w8446f1)</v>
      </c>
    </row>
    <row r="61740" spans="1:3" x14ac:dyDescent="0.2">
      <c r="B61740" t="s">
        <v>1</v>
      </c>
    </row>
    <row r="61741" spans="1:3" x14ac:dyDescent="0.2">
      <c r="B61741" t="s">
        <v>333</v>
      </c>
    </row>
    <row r="61743" spans="1:3" x14ac:dyDescent="0.2">
      <c r="A61743" t="s">
        <v>19249</v>
      </c>
      <c r="B61743" t="str">
        <f>HYPERLINK("https://lindat.mff.cuni.cz/services/teitok/pdtc10/index.php?action=vallex&amp;frame=v-w8445f1", "vyšlápnout si (v-w8445f1)")</f>
        <v>vyšlápnout si (v-w8445f1)</v>
      </c>
    </row>
    <row r="61744" spans="1:3" x14ac:dyDescent="0.2">
      <c r="B61744" t="s">
        <v>1</v>
      </c>
    </row>
    <row r="61745" spans="1:4" x14ac:dyDescent="0.2">
      <c r="B61745" t="s">
        <v>28</v>
      </c>
    </row>
    <row r="61747" spans="1:4" x14ac:dyDescent="0.2">
      <c r="A61747" t="s">
        <v>19250</v>
      </c>
      <c r="B61747" t="str">
        <f>HYPERLINK("https://lindat.mff.cuni.cz/services/teitok/pdtc10/index.php?action=vallex&amp;frame=v-w8445hsa_830", "vyšlápnout si (v-w8445hsa_830)")</f>
        <v>vyšlápnout si (v-w8445hsa_830)</v>
      </c>
    </row>
    <row r="61748" spans="1:4" x14ac:dyDescent="0.2">
      <c r="B61748" t="s">
        <v>1</v>
      </c>
    </row>
    <row r="61750" spans="1:4" x14ac:dyDescent="0.2">
      <c r="A61750" t="s">
        <v>19251</v>
      </c>
      <c r="B61750" t="str">
        <f>HYPERLINK("https://lindat.mff.cuni.cz/services/teitok/pdtc10/index.php?action=vallex&amp;frame=v-w12018_ZUf1_ZU", "vyšmátrat (v-w12018_ZUf1_ZU)")</f>
        <v>vyšmátrat (v-w12018_ZUf1_ZU)</v>
      </c>
    </row>
    <row r="61751" spans="1:4" x14ac:dyDescent="0.2">
      <c r="B61751" t="s">
        <v>1</v>
      </c>
    </row>
    <row r="61752" spans="1:4" x14ac:dyDescent="0.2">
      <c r="B61752" t="s">
        <v>8</v>
      </c>
    </row>
    <row r="61754" spans="1:4" x14ac:dyDescent="0.2">
      <c r="A61754" t="s">
        <v>19252</v>
      </c>
      <c r="B61754" t="str">
        <f>HYPERLINK("https://lindat.mff.cuni.cz/services/teitok/pdtc10/index.php?action=vallex&amp;frame=v-w11627_ZUf1_ZU", "vyšoupnout (v-w11627_ZUf1_ZU)")</f>
        <v>vyšoupnout (v-w11627_ZUf1_ZU)</v>
      </c>
    </row>
    <row r="61755" spans="1:4" x14ac:dyDescent="0.2">
      <c r="B61755" t="s">
        <v>1</v>
      </c>
    </row>
    <row r="61756" spans="1:4" x14ac:dyDescent="0.2">
      <c r="B61756" t="s">
        <v>8</v>
      </c>
    </row>
    <row r="61757" spans="1:4" x14ac:dyDescent="0.2">
      <c r="B61757" t="s">
        <v>4622</v>
      </c>
    </row>
    <row r="61759" spans="1:4" x14ac:dyDescent="0.2">
      <c r="A61759" t="s">
        <v>19253</v>
      </c>
      <c r="B61759" t="str">
        <f>HYPERLINK("https://lindat.mff.cuni.cz/services/teitok/pdtc10/index.php?action=vallex&amp;frame=v-w11190f2", "vyšperkovat (v-w11190f2)")</f>
        <v>vyšperkovat (v-w11190f2)</v>
      </c>
    </row>
    <row r="61760" spans="1:4" x14ac:dyDescent="0.2">
      <c r="B61760" t="s">
        <v>1</v>
      </c>
      <c r="C61760" t="s">
        <v>140</v>
      </c>
      <c r="D61760" t="s">
        <v>2239</v>
      </c>
    </row>
    <row r="61761" spans="1:4" x14ac:dyDescent="0.2">
      <c r="B61761" t="s">
        <v>8</v>
      </c>
      <c r="C61761" t="s">
        <v>34</v>
      </c>
      <c r="D61761" t="s">
        <v>354</v>
      </c>
    </row>
    <row r="61763" spans="1:4" x14ac:dyDescent="0.2">
      <c r="A61763" t="s">
        <v>19254</v>
      </c>
      <c r="B61763" t="str">
        <f>HYPERLINK("https://lindat.mff.cuni.cz/services/teitok/pdtc10/index.php?action=vallex&amp;frame=v-w11629_ZUf1_ZU", "vyšplhat (v-w11629_ZUf1_ZU)")</f>
        <v>vyšplhat (v-w11629_ZUf1_ZU)</v>
      </c>
    </row>
    <row r="61764" spans="1:4" x14ac:dyDescent="0.2">
      <c r="B61764" t="s">
        <v>1</v>
      </c>
      <c r="C61764" t="s">
        <v>9702</v>
      </c>
      <c r="D61764" t="s">
        <v>23510</v>
      </c>
    </row>
    <row r="61765" spans="1:4" x14ac:dyDescent="0.2">
      <c r="B61765" t="s">
        <v>46</v>
      </c>
      <c r="C61765" t="s">
        <v>18686</v>
      </c>
      <c r="D61765" t="s">
        <v>23393</v>
      </c>
    </row>
    <row r="61766" spans="1:4" x14ac:dyDescent="0.2">
      <c r="B61766" t="s">
        <v>24</v>
      </c>
      <c r="C61766" t="s">
        <v>18687</v>
      </c>
      <c r="D61766" t="s">
        <v>23394</v>
      </c>
    </row>
    <row r="61768" spans="1:4" x14ac:dyDescent="0.2">
      <c r="A61768" t="s">
        <v>19255</v>
      </c>
      <c r="B61768" t="str">
        <f>HYPERLINK("https://lindat.mff.cuni.cz/services/teitok/pdtc10/index.php?action=vallex&amp;frame=v-w8448f5_ZU", "vyšplhat se (v-w8448f5_ZU)")</f>
        <v>vyšplhat se (v-w8448f5_ZU)</v>
      </c>
    </row>
    <row r="61769" spans="1:4" x14ac:dyDescent="0.2">
      <c r="B61769" t="s">
        <v>1</v>
      </c>
      <c r="C61769" t="s">
        <v>19256</v>
      </c>
      <c r="D61769" t="s">
        <v>23510</v>
      </c>
    </row>
    <row r="61770" spans="1:4" x14ac:dyDescent="0.2">
      <c r="B61770" t="s">
        <v>19257</v>
      </c>
      <c r="C61770" t="s">
        <v>19258</v>
      </c>
      <c r="D61770" t="s">
        <v>23393</v>
      </c>
    </row>
    <row r="61771" spans="1:4" x14ac:dyDescent="0.2">
      <c r="B61771" t="s">
        <v>24</v>
      </c>
      <c r="C61771" t="s">
        <v>18687</v>
      </c>
      <c r="D61771" t="s">
        <v>23394</v>
      </c>
    </row>
    <row r="61773" spans="1:4" x14ac:dyDescent="0.2">
      <c r="A61773" t="s">
        <v>19255</v>
      </c>
      <c r="B61773" t="str">
        <f>HYPERLINK("https://lindat.mff.cuni.cz/services/teitok/pdtc10/index.php?action=vallex&amp;frame=v-w8448f2_ZU", "vyšplhat se (v-w8448f2_ZU) - substituted with v-w8448f5_ZU")</f>
        <v>vyšplhat se (v-w8448f2_ZU) - substituted with v-w8448f5_ZU</v>
      </c>
    </row>
    <row r="61774" spans="1:4" x14ac:dyDescent="0.2">
      <c r="B61774" t="s">
        <v>1</v>
      </c>
      <c r="C61774" t="s">
        <v>4431</v>
      </c>
    </row>
    <row r="61775" spans="1:4" x14ac:dyDescent="0.2">
      <c r="B61775" t="s">
        <v>19257</v>
      </c>
      <c r="C61775" t="s">
        <v>19259</v>
      </c>
    </row>
    <row r="61776" spans="1:4" x14ac:dyDescent="0.2">
      <c r="B61776" t="s">
        <v>24</v>
      </c>
      <c r="C61776" t="s">
        <v>19260</v>
      </c>
    </row>
    <row r="61778" spans="1:4" x14ac:dyDescent="0.2">
      <c r="A61778" t="s">
        <v>19255</v>
      </c>
      <c r="B61778" t="str">
        <f>HYPERLINK("https://lindat.mff.cuni.cz/services/teitok/pdtc10/index.php?action=vallex&amp;frame=v-w8448f4_ZU", "vyšplhat se (v-w8448f4_ZU) - substituted with v-w8448f5_ZU")</f>
        <v>vyšplhat se (v-w8448f4_ZU) - substituted with v-w8448f5_ZU</v>
      </c>
    </row>
    <row r="61779" spans="1:4" x14ac:dyDescent="0.2">
      <c r="B61779" t="s">
        <v>1</v>
      </c>
    </row>
    <row r="61780" spans="1:4" x14ac:dyDescent="0.2">
      <c r="B61780" t="s">
        <v>19257</v>
      </c>
    </row>
    <row r="61781" spans="1:4" x14ac:dyDescent="0.2">
      <c r="B61781" t="s">
        <v>24</v>
      </c>
    </row>
    <row r="61783" spans="1:4" x14ac:dyDescent="0.2">
      <c r="A61783" t="s">
        <v>19261</v>
      </c>
      <c r="B61783" t="str">
        <f>HYPERLINK("https://lindat.mff.cuni.cz/services/teitok/pdtc10/index.php?action=vallex&amp;frame=v-w8448f3_ZU", "vyšplhat se (v-w8448f3_ZU)")</f>
        <v>vyšplhat se (v-w8448f3_ZU)</v>
      </c>
    </row>
    <row r="61784" spans="1:4" x14ac:dyDescent="0.2">
      <c r="B61784" t="s">
        <v>1</v>
      </c>
      <c r="D61784" t="s">
        <v>23107</v>
      </c>
    </row>
    <row r="61785" spans="1:4" x14ac:dyDescent="0.2">
      <c r="B61785" t="s">
        <v>90</v>
      </c>
      <c r="D61785" t="s">
        <v>23108</v>
      </c>
    </row>
    <row r="61787" spans="1:4" x14ac:dyDescent="0.2">
      <c r="A61787" t="s">
        <v>19261</v>
      </c>
      <c r="B61787" t="str">
        <f>HYPERLINK("https://lindat.mff.cuni.cz/services/teitok/pdtc10/index.php?action=vallex&amp;frame=v-w8448f1", "vyšplhat se (v-w8448f1) - substituted with v-w8448f3_ZU")</f>
        <v>vyšplhat se (v-w8448f1) - substituted with v-w8448f3_ZU</v>
      </c>
    </row>
    <row r="61788" spans="1:4" x14ac:dyDescent="0.2">
      <c r="B61788" t="s">
        <v>1</v>
      </c>
      <c r="C61788" t="s">
        <v>19262</v>
      </c>
    </row>
    <row r="61789" spans="1:4" x14ac:dyDescent="0.2">
      <c r="B61789" t="s">
        <v>90</v>
      </c>
      <c r="C61789" t="s">
        <v>17205</v>
      </c>
    </row>
    <row r="61791" spans="1:4" x14ac:dyDescent="0.2">
      <c r="A61791" t="s">
        <v>19263</v>
      </c>
      <c r="B61791" t="str">
        <f>HYPERLINK("https://lindat.mff.cuni.cz/services/teitok/pdtc10/index.php?action=vallex&amp;frame=v-w8449f1", "vyšroubovat (v-w8449f1)")</f>
        <v>vyšroubovat (v-w8449f1)</v>
      </c>
    </row>
    <row r="61792" spans="1:4" x14ac:dyDescent="0.2">
      <c r="B61792" t="s">
        <v>1</v>
      </c>
      <c r="C61792" t="s">
        <v>373</v>
      </c>
      <c r="D61792" t="s">
        <v>23523</v>
      </c>
    </row>
    <row r="61793" spans="1:4" x14ac:dyDescent="0.2">
      <c r="B61793" t="s">
        <v>8</v>
      </c>
      <c r="C61793" t="s">
        <v>354</v>
      </c>
      <c r="D61793" t="s">
        <v>23524</v>
      </c>
    </row>
    <row r="61794" spans="1:4" x14ac:dyDescent="0.2">
      <c r="B61794" t="s">
        <v>24</v>
      </c>
      <c r="D61794" t="s">
        <v>23525</v>
      </c>
    </row>
    <row r="61795" spans="1:4" x14ac:dyDescent="0.2">
      <c r="B61795" t="s">
        <v>61</v>
      </c>
      <c r="D61795" t="s">
        <v>23526</v>
      </c>
    </row>
    <row r="61797" spans="1:4" x14ac:dyDescent="0.2">
      <c r="A61797" t="s">
        <v>19264</v>
      </c>
      <c r="B61797" t="str">
        <f>HYPERLINK("https://lindat.mff.cuni.cz/services/teitok/pdtc10/index.php?action=vallex&amp;frame=v-w11860_ZUf2_ZU", "vyštvat (v-w11860_ZUf2_ZU)")</f>
        <v>vyštvat (v-w11860_ZUf2_ZU)</v>
      </c>
    </row>
    <row r="61798" spans="1:4" x14ac:dyDescent="0.2">
      <c r="B61798" t="s">
        <v>1</v>
      </c>
    </row>
    <row r="61799" spans="1:4" x14ac:dyDescent="0.2">
      <c r="B61799" t="s">
        <v>8</v>
      </c>
    </row>
    <row r="61800" spans="1:4" x14ac:dyDescent="0.2">
      <c r="B61800" t="s">
        <v>4622</v>
      </c>
    </row>
    <row r="61802" spans="1:4" x14ac:dyDescent="0.2">
      <c r="A61802" t="s">
        <v>19264</v>
      </c>
      <c r="B61802" t="str">
        <f>HYPERLINK("https://lindat.mff.cuni.cz/services/teitok/pdtc10/index.php?action=vallex&amp;frame=v-w11860_ZUf1_ZU", "vyštvat (v-w11860_ZUf1_ZU) - substituted with v-w11860_ZUf2_ZU")</f>
        <v>vyštvat (v-w11860_ZUf1_ZU) - substituted with v-w11860_ZUf2_ZU</v>
      </c>
    </row>
    <row r="61803" spans="1:4" x14ac:dyDescent="0.2">
      <c r="B61803" t="s">
        <v>1</v>
      </c>
    </row>
    <row r="61804" spans="1:4" x14ac:dyDescent="0.2">
      <c r="B61804" t="s">
        <v>8</v>
      </c>
    </row>
    <row r="61805" spans="1:4" x14ac:dyDescent="0.2">
      <c r="B61805" t="s">
        <v>4622</v>
      </c>
    </row>
    <row r="61807" spans="1:4" x14ac:dyDescent="0.2">
      <c r="A61807" t="s">
        <v>19265</v>
      </c>
      <c r="B61807" t="str">
        <f>HYPERLINK("https://lindat.mff.cuni.cz/services/teitok/pdtc10/index.php?action=vallex&amp;frame=v-w11224f2", "vyštěknout (v-w11224f2)")</f>
        <v>vyštěknout (v-w11224f2)</v>
      </c>
    </row>
    <row r="61808" spans="1:4" x14ac:dyDescent="0.2">
      <c r="B61808" t="s">
        <v>1</v>
      </c>
      <c r="C61808" t="s">
        <v>33</v>
      </c>
      <c r="D61808" t="s">
        <v>23661</v>
      </c>
    </row>
    <row r="61809" spans="1:4" x14ac:dyDescent="0.2">
      <c r="B61809" t="s">
        <v>273</v>
      </c>
      <c r="C61809" t="s">
        <v>991</v>
      </c>
      <c r="D61809" t="s">
        <v>23664</v>
      </c>
    </row>
    <row r="61810" spans="1:4" x14ac:dyDescent="0.2">
      <c r="B61810" t="s">
        <v>3527</v>
      </c>
      <c r="D61810" t="s">
        <v>23662</v>
      </c>
    </row>
    <row r="61812" spans="1:4" x14ac:dyDescent="0.2">
      <c r="A61812" t="s">
        <v>19266</v>
      </c>
      <c r="B61812" t="str">
        <f>HYPERLINK("https://lindat.mff.cuni.cz/services/teitok/pdtc10/index.php?action=vallex&amp;frame=v-w8450f1", "vyšumět (v-w8450f1)")</f>
        <v>vyšumět (v-w8450f1)</v>
      </c>
    </row>
    <row r="61813" spans="1:4" x14ac:dyDescent="0.2">
      <c r="B61813" t="s">
        <v>1</v>
      </c>
      <c r="C61813" t="s">
        <v>2172</v>
      </c>
      <c r="D61813" t="s">
        <v>2172</v>
      </c>
    </row>
    <row r="61815" spans="1:4" x14ac:dyDescent="0.2">
      <c r="A61815" t="s">
        <v>19267</v>
      </c>
      <c r="B61815" t="str">
        <f>HYPERLINK("https://lindat.mff.cuni.cz/services/teitok/pdtc10/index.php?action=vallex&amp;frame=v-w12334_MMf1_MM", "vyšupat (v-w12334_MMf1_MM)")</f>
        <v>vyšupat (v-w12334_MMf1_MM)</v>
      </c>
    </row>
    <row r="61816" spans="1:4" x14ac:dyDescent="0.2">
      <c r="B61816" t="s">
        <v>1</v>
      </c>
    </row>
    <row r="61817" spans="1:4" x14ac:dyDescent="0.2">
      <c r="B61817" t="s">
        <v>8</v>
      </c>
    </row>
    <row r="61819" spans="1:4" x14ac:dyDescent="0.2">
      <c r="A61819" t="s">
        <v>19268</v>
      </c>
      <c r="B61819" t="str">
        <f>HYPERLINK("https://lindat.mff.cuni.cz/services/teitok/pdtc10/index.php?action=vallex&amp;frame=v-w8451f2", "vyšvihnout se (v-w8451f2)")</f>
        <v>vyšvihnout se (v-w8451f2)</v>
      </c>
    </row>
    <row r="61820" spans="1:4" x14ac:dyDescent="0.2">
      <c r="B61820" t="s">
        <v>1</v>
      </c>
      <c r="C61820" t="s">
        <v>9702</v>
      </c>
      <c r="D61820" t="s">
        <v>23510</v>
      </c>
    </row>
    <row r="61821" spans="1:4" x14ac:dyDescent="0.2">
      <c r="B61821" t="s">
        <v>46</v>
      </c>
      <c r="C61821" t="s">
        <v>18686</v>
      </c>
      <c r="D61821" t="s">
        <v>23393</v>
      </c>
    </row>
    <row r="61822" spans="1:4" x14ac:dyDescent="0.2">
      <c r="B61822" t="s">
        <v>24</v>
      </c>
      <c r="C61822" t="s">
        <v>18687</v>
      </c>
      <c r="D61822" t="s">
        <v>23394</v>
      </c>
    </row>
    <row r="61824" spans="1:4" x14ac:dyDescent="0.2">
      <c r="A61824" t="s">
        <v>19269</v>
      </c>
      <c r="B61824" t="str">
        <f>HYPERLINK("https://lindat.mff.cuni.cz/services/teitok/pdtc10/index.php?action=vallex&amp;frame=v-w8451f1", "vyšvihnout se (v-w8451f1)")</f>
        <v>vyšvihnout se (v-w8451f1)</v>
      </c>
    </row>
    <row r="61825" spans="1:3" x14ac:dyDescent="0.2">
      <c r="B61825" t="s">
        <v>1</v>
      </c>
    </row>
    <row r="61826" spans="1:3" x14ac:dyDescent="0.2">
      <c r="B61826" t="s">
        <v>90</v>
      </c>
    </row>
    <row r="61828" spans="1:3" x14ac:dyDescent="0.2">
      <c r="A61828" t="s">
        <v>19270</v>
      </c>
      <c r="B61828" t="str">
        <f>HYPERLINK("https://lindat.mff.cuni.cz/services/teitok/pdtc10/index.php?action=vallex&amp;frame=v-w10133f2", "vyšvindlovat (v-w10133f2)")</f>
        <v>vyšvindlovat (v-w10133f2)</v>
      </c>
    </row>
    <row r="61829" spans="1:3" x14ac:dyDescent="0.2">
      <c r="B61829" t="s">
        <v>1</v>
      </c>
      <c r="C61829" t="s">
        <v>140</v>
      </c>
    </row>
    <row r="61830" spans="1:3" x14ac:dyDescent="0.2">
      <c r="B61830" t="s">
        <v>8</v>
      </c>
      <c r="C61830" t="s">
        <v>113</v>
      </c>
    </row>
    <row r="61831" spans="1:3" x14ac:dyDescent="0.2">
      <c r="B61831" t="s">
        <v>6411</v>
      </c>
    </row>
    <row r="61833" spans="1:3" x14ac:dyDescent="0.2">
      <c r="A61833" t="s">
        <v>19271</v>
      </c>
      <c r="B61833" t="str">
        <f>HYPERLINK("https://lindat.mff.cuni.cz/services/teitok/pdtc10/index.php?action=vallex&amp;frame=v-w11907_ZUf1_ZU", "vyšít (v-w11907_ZUf1_ZU)")</f>
        <v>vyšít (v-w11907_ZUf1_ZU)</v>
      </c>
    </row>
    <row r="61834" spans="1:3" x14ac:dyDescent="0.2">
      <c r="B61834" t="s">
        <v>1</v>
      </c>
    </row>
    <row r="61835" spans="1:3" x14ac:dyDescent="0.2">
      <c r="B61835" t="s">
        <v>8</v>
      </c>
    </row>
    <row r="61837" spans="1:3" x14ac:dyDescent="0.2">
      <c r="A61837" t="s">
        <v>19272</v>
      </c>
      <c r="B61837" t="str">
        <f>HYPERLINK("https://lindat.mff.cuni.cz/services/teitok/pdtc10/index.php?action=vallex&amp;frame=v-w11907_ZUf2_ZU", "vyšít (v-w11907_ZUf2_ZU)")</f>
        <v>vyšít (v-w11907_ZUf2_ZU)</v>
      </c>
    </row>
    <row r="61838" spans="1:3" x14ac:dyDescent="0.2">
      <c r="B61838" t="s">
        <v>1</v>
      </c>
    </row>
    <row r="61839" spans="1:3" x14ac:dyDescent="0.2">
      <c r="B61839" t="s">
        <v>8</v>
      </c>
    </row>
    <row r="61841" spans="1:4" x14ac:dyDescent="0.2">
      <c r="A61841" t="s">
        <v>19273</v>
      </c>
      <c r="B61841" t="str">
        <f>HYPERLINK("https://lindat.mff.cuni.cz/services/teitok/pdtc10/index.php?action=vallex&amp;frame=v-whsb_552f1_ZU", "vyšívat (v-whsb_552f1_ZU)")</f>
        <v>vyšívat (v-whsb_552f1_ZU)</v>
      </c>
    </row>
    <row r="61842" spans="1:4" x14ac:dyDescent="0.2">
      <c r="B61842" t="s">
        <v>1</v>
      </c>
    </row>
    <row r="61843" spans="1:4" x14ac:dyDescent="0.2">
      <c r="B61843" t="s">
        <v>8</v>
      </c>
    </row>
    <row r="61845" spans="1:4" x14ac:dyDescent="0.2">
      <c r="A61845" t="s">
        <v>19273</v>
      </c>
      <c r="B61845" t="str">
        <f>HYPERLINK("https://lindat.mff.cuni.cz/services/teitok/pdtc10/index.php?action=vallex&amp;frame=v-whsb_552hsa_553", "vyšívat (v-whsb_552hsa_553) - substituted with v-whsb_552f1_ZU")</f>
        <v>vyšívat (v-whsb_552hsa_553) - substituted with v-whsb_552f1_ZU</v>
      </c>
    </row>
    <row r="61846" spans="1:4" x14ac:dyDescent="0.2">
      <c r="B61846" t="s">
        <v>1</v>
      </c>
    </row>
    <row r="61847" spans="1:4" x14ac:dyDescent="0.2">
      <c r="B61847" t="s">
        <v>8</v>
      </c>
    </row>
    <row r="61849" spans="1:4" x14ac:dyDescent="0.2">
      <c r="A61849" t="s">
        <v>19274</v>
      </c>
      <c r="B61849" t="str">
        <f>HYPERLINK("https://lindat.mff.cuni.cz/services/teitok/pdtc10/index.php?action=vallex&amp;frame=v-w10769f2", "vyšňořit (v-w10769f2)")</f>
        <v>vyšňořit (v-w10769f2)</v>
      </c>
    </row>
    <row r="61850" spans="1:4" x14ac:dyDescent="0.2">
      <c r="B61850" t="s">
        <v>1</v>
      </c>
      <c r="D61850" t="s">
        <v>33</v>
      </c>
    </row>
    <row r="61851" spans="1:4" x14ac:dyDescent="0.2">
      <c r="B61851" t="s">
        <v>8</v>
      </c>
      <c r="D61851" t="s">
        <v>991</v>
      </c>
    </row>
    <row r="61853" spans="1:4" x14ac:dyDescent="0.2">
      <c r="A61853" t="s">
        <v>19275</v>
      </c>
      <c r="B61853" t="str">
        <f>HYPERLINK("https://lindat.mff.cuni.cz/services/teitok/pdtc10/index.php?action=vallex&amp;frame=v-w12384_MMf1_MM", "vyšťourat (v-w12384_MMf1_MM)")</f>
        <v>vyšťourat (v-w12384_MMf1_MM)</v>
      </c>
    </row>
    <row r="61854" spans="1:4" x14ac:dyDescent="0.2">
      <c r="B61854" t="s">
        <v>1</v>
      </c>
    </row>
    <row r="61855" spans="1:4" x14ac:dyDescent="0.2">
      <c r="B61855" t="s">
        <v>2821</v>
      </c>
    </row>
    <row r="61857" spans="1:4" x14ac:dyDescent="0.2">
      <c r="A61857" t="s">
        <v>19276</v>
      </c>
      <c r="B61857" t="str">
        <f>HYPERLINK("https://lindat.mff.cuni.cz/services/teitok/pdtc10/index.php?action=vallex&amp;frame=v-w8628f2_ZU", "vyžadovat (v-w8628f2_ZU)")</f>
        <v>vyžadovat (v-w8628f2_ZU)</v>
      </c>
    </row>
    <row r="61858" spans="1:4" x14ac:dyDescent="0.2">
      <c r="B61858" t="s">
        <v>196</v>
      </c>
      <c r="C61858" t="s">
        <v>19277</v>
      </c>
      <c r="D61858" t="s">
        <v>24337</v>
      </c>
    </row>
    <row r="61859" spans="1:4" x14ac:dyDescent="0.2">
      <c r="B61859" t="s">
        <v>1181</v>
      </c>
      <c r="C61859" t="s">
        <v>19278</v>
      </c>
      <c r="D61859" t="s">
        <v>24338</v>
      </c>
    </row>
    <row r="61860" spans="1:4" x14ac:dyDescent="0.2">
      <c r="B61860" t="s">
        <v>1182</v>
      </c>
      <c r="D61860" t="s">
        <v>23057</v>
      </c>
    </row>
    <row r="61862" spans="1:4" x14ac:dyDescent="0.2">
      <c r="A61862" t="s">
        <v>19276</v>
      </c>
      <c r="B61862" t="str">
        <f>HYPERLINK("https://lindat.mff.cuni.cz/services/teitok/pdtc10/index.php?action=vallex&amp;frame=v-w8628f1", "vyžadovat (v-w8628f1) - substituted with v-w8628f2_ZU")</f>
        <v>vyžadovat (v-w8628f1) - substituted with v-w8628f2_ZU</v>
      </c>
    </row>
    <row r="61863" spans="1:4" x14ac:dyDescent="0.2">
      <c r="B61863" t="s">
        <v>196</v>
      </c>
      <c r="C61863" t="s">
        <v>19279</v>
      </c>
    </row>
    <row r="61864" spans="1:4" x14ac:dyDescent="0.2">
      <c r="B61864" t="s">
        <v>1181</v>
      </c>
      <c r="C61864" t="s">
        <v>19280</v>
      </c>
    </row>
    <row r="61865" spans="1:4" x14ac:dyDescent="0.2">
      <c r="B61865" t="s">
        <v>1182</v>
      </c>
      <c r="C61865" t="s">
        <v>19281</v>
      </c>
    </row>
    <row r="61867" spans="1:4" x14ac:dyDescent="0.2">
      <c r="A61867" t="s">
        <v>19282</v>
      </c>
      <c r="B61867" t="str">
        <f>HYPERLINK("https://lindat.mff.cuni.cz/services/teitok/pdtc10/index.php?action=vallex&amp;frame=v-w8628hsa_961", "vyžadovat (v-w8628hsa_961)")</f>
        <v>vyžadovat (v-w8628hsa_961)</v>
      </c>
    </row>
    <row r="61868" spans="1:4" x14ac:dyDescent="0.2">
      <c r="B61868" t="s">
        <v>196</v>
      </c>
    </row>
    <row r="61869" spans="1:4" x14ac:dyDescent="0.2">
      <c r="B61869" t="s">
        <v>1181</v>
      </c>
    </row>
    <row r="61870" spans="1:4" x14ac:dyDescent="0.2">
      <c r="B61870" t="s">
        <v>1182</v>
      </c>
    </row>
    <row r="61872" spans="1:4" x14ac:dyDescent="0.2">
      <c r="A61872" t="s">
        <v>19283</v>
      </c>
      <c r="B61872" t="str">
        <f>HYPERLINK("https://lindat.mff.cuni.cz/services/teitok/pdtc10/index.php?action=vallex&amp;frame=v-w8629f1", "vyžadovat si (v-w8629f1)")</f>
        <v>vyžadovat si (v-w8629f1)</v>
      </c>
    </row>
    <row r="61873" spans="1:4" x14ac:dyDescent="0.2">
      <c r="B61873" t="s">
        <v>1</v>
      </c>
      <c r="D61873" t="s">
        <v>23839</v>
      </c>
    </row>
    <row r="61874" spans="1:4" x14ac:dyDescent="0.2">
      <c r="B61874" t="s">
        <v>8</v>
      </c>
      <c r="D61874" t="s">
        <v>23840</v>
      </c>
    </row>
    <row r="61876" spans="1:4" x14ac:dyDescent="0.2">
      <c r="A61876" t="s">
        <v>19284</v>
      </c>
      <c r="B61876" t="str">
        <f>HYPERLINK("https://lindat.mff.cuni.cz/services/teitok/pdtc10/index.php?action=vallex&amp;frame=v-w10733f3", "vyždímat (v-w10733f3)")</f>
        <v>vyždímat (v-w10733f3)</v>
      </c>
    </row>
    <row r="61877" spans="1:4" x14ac:dyDescent="0.2">
      <c r="B61877" t="s">
        <v>1</v>
      </c>
      <c r="C61877" t="s">
        <v>115</v>
      </c>
    </row>
    <row r="61878" spans="1:4" x14ac:dyDescent="0.2">
      <c r="B61878" t="s">
        <v>8</v>
      </c>
      <c r="C61878" t="s">
        <v>125</v>
      </c>
    </row>
    <row r="61879" spans="1:4" x14ac:dyDescent="0.2">
      <c r="B61879" t="s">
        <v>24</v>
      </c>
    </row>
    <row r="61881" spans="1:4" x14ac:dyDescent="0.2">
      <c r="A61881" t="s">
        <v>19285</v>
      </c>
      <c r="B61881" t="str">
        <f>HYPERLINK("https://lindat.mff.cuni.cz/services/teitok/pdtc10/index.php?action=vallex&amp;frame=v-w10733f4", "vyždímat (v-w10733f4)")</f>
        <v>vyždímat (v-w10733f4)</v>
      </c>
    </row>
    <row r="61882" spans="1:4" x14ac:dyDescent="0.2">
      <c r="B61882" t="s">
        <v>1</v>
      </c>
      <c r="C61882" t="s">
        <v>115</v>
      </c>
      <c r="D61882" t="s">
        <v>115</v>
      </c>
    </row>
    <row r="61883" spans="1:4" x14ac:dyDescent="0.2">
      <c r="B61883" t="s">
        <v>8</v>
      </c>
      <c r="C61883" t="s">
        <v>81</v>
      </c>
      <c r="D61883" t="s">
        <v>2213</v>
      </c>
    </row>
    <row r="61885" spans="1:4" x14ac:dyDescent="0.2">
      <c r="A61885" t="s">
        <v>19286</v>
      </c>
      <c r="B61885" t="str">
        <f>HYPERLINK("https://lindat.mff.cuni.cz/services/teitok/pdtc10/index.php?action=vallex&amp;frame=v-w10805f2", "vyžebrat (v-w10805f2)")</f>
        <v>vyžebrat (v-w10805f2)</v>
      </c>
    </row>
    <row r="61886" spans="1:4" x14ac:dyDescent="0.2">
      <c r="B61886" t="s">
        <v>1</v>
      </c>
      <c r="C61886" t="s">
        <v>140</v>
      </c>
    </row>
    <row r="61887" spans="1:4" x14ac:dyDescent="0.2">
      <c r="B61887" t="s">
        <v>1181</v>
      </c>
    </row>
    <row r="61888" spans="1:4" x14ac:dyDescent="0.2">
      <c r="B61888" t="s">
        <v>1182</v>
      </c>
    </row>
    <row r="61890" spans="1:2" x14ac:dyDescent="0.2">
      <c r="A61890" t="s">
        <v>19287</v>
      </c>
      <c r="B61890" t="str">
        <f>HYPERLINK("https://lindat.mff.cuni.cz/services/teitok/pdtc10/index.php?action=vallex&amp;frame=v-w10660f2", "vyžebrávat (v-w10660f2)")</f>
        <v>vyžebrávat (v-w10660f2)</v>
      </c>
    </row>
    <row r="61891" spans="1:2" x14ac:dyDescent="0.2">
      <c r="B61891" t="s">
        <v>1</v>
      </c>
    </row>
    <row r="61892" spans="1:2" x14ac:dyDescent="0.2">
      <c r="B61892" t="s">
        <v>1181</v>
      </c>
    </row>
    <row r="61893" spans="1:2" x14ac:dyDescent="0.2">
      <c r="B61893" t="s">
        <v>1182</v>
      </c>
    </row>
    <row r="61895" spans="1:2" x14ac:dyDescent="0.2">
      <c r="A61895" t="s">
        <v>19288</v>
      </c>
      <c r="B61895" t="str">
        <f>HYPERLINK("https://lindat.mff.cuni.cz/services/teitok/pdtc10/index.php?action=vallex&amp;frame=v-whsa_531hsa_532", "vyžehlit (v-whsa_531hsa_532)")</f>
        <v>vyžehlit (v-whsa_531hsa_532)</v>
      </c>
    </row>
    <row r="61896" spans="1:2" x14ac:dyDescent="0.2">
      <c r="B61896" t="s">
        <v>1</v>
      </c>
    </row>
    <row r="61897" spans="1:2" x14ac:dyDescent="0.2">
      <c r="B61897" t="s">
        <v>8</v>
      </c>
    </row>
    <row r="61899" spans="1:2" x14ac:dyDescent="0.2">
      <c r="A61899" t="s">
        <v>19289</v>
      </c>
      <c r="B61899" t="str">
        <f>HYPERLINK("https://lindat.mff.cuni.cz/services/teitok/pdtc10/index.php?action=vallex&amp;frame=v-w12118_ZUf1_ZU", "vyženit (v-w12118_ZUf1_ZU)")</f>
        <v>vyženit (v-w12118_ZUf1_ZU)</v>
      </c>
    </row>
    <row r="61900" spans="1:2" x14ac:dyDescent="0.2">
      <c r="B61900" t="s">
        <v>1</v>
      </c>
    </row>
    <row r="61901" spans="1:2" x14ac:dyDescent="0.2">
      <c r="B61901" t="s">
        <v>8</v>
      </c>
    </row>
    <row r="61903" spans="1:2" x14ac:dyDescent="0.2">
      <c r="A61903" t="s">
        <v>19290</v>
      </c>
      <c r="B61903" t="str">
        <f>HYPERLINK("https://lindat.mff.cuni.cz/services/teitok/pdtc10/index.php?action=vallex&amp;frame=v-w11990_ZUf1_ZU", "vyživit (v-w11990_ZUf1_ZU)")</f>
        <v>vyživit (v-w11990_ZUf1_ZU)</v>
      </c>
    </row>
    <row r="61904" spans="1:2" x14ac:dyDescent="0.2">
      <c r="B61904" t="s">
        <v>1</v>
      </c>
    </row>
    <row r="61905" spans="1:4" x14ac:dyDescent="0.2">
      <c r="B61905" t="s">
        <v>8</v>
      </c>
    </row>
    <row r="61907" spans="1:4" x14ac:dyDescent="0.2">
      <c r="A61907" t="s">
        <v>19291</v>
      </c>
      <c r="B61907" t="str">
        <f>HYPERLINK("https://lindat.mff.cuni.cz/services/teitok/pdtc10/index.php?action=vallex&amp;frame=v-w11019f2", "vyživovat (v-w11019f2)")</f>
        <v>vyživovat (v-w11019f2)</v>
      </c>
    </row>
    <row r="61908" spans="1:4" x14ac:dyDescent="0.2">
      <c r="B61908" t="s">
        <v>1</v>
      </c>
      <c r="C61908" t="s">
        <v>33</v>
      </c>
      <c r="D61908" t="s">
        <v>430</v>
      </c>
    </row>
    <row r="61909" spans="1:4" x14ac:dyDescent="0.2">
      <c r="B61909" t="s">
        <v>8</v>
      </c>
      <c r="C61909" t="s">
        <v>34</v>
      </c>
      <c r="D61909" t="s">
        <v>23435</v>
      </c>
    </row>
    <row r="61911" spans="1:4" x14ac:dyDescent="0.2">
      <c r="A61911" t="s">
        <v>19292</v>
      </c>
      <c r="B61911" t="str">
        <f>HYPERLINK("https://lindat.mff.cuni.cz/services/teitok/pdtc10/index.php?action=vallex&amp;frame=v-whsa_1220hsa_1221", "vyžrat (v-whsa_1220hsa_1221)")</f>
        <v>vyžrat (v-whsa_1220hsa_1221)</v>
      </c>
    </row>
    <row r="61912" spans="1:4" x14ac:dyDescent="0.2">
      <c r="B61912" t="s">
        <v>1</v>
      </c>
      <c r="C61912" t="s">
        <v>133</v>
      </c>
      <c r="D61912" t="s">
        <v>15948</v>
      </c>
    </row>
    <row r="61913" spans="1:4" x14ac:dyDescent="0.2">
      <c r="B61913" t="s">
        <v>8</v>
      </c>
      <c r="C61913" t="s">
        <v>991</v>
      </c>
      <c r="D61913" t="s">
        <v>110</v>
      </c>
    </row>
    <row r="61915" spans="1:4" x14ac:dyDescent="0.2">
      <c r="A61915" t="s">
        <v>19293</v>
      </c>
      <c r="B61915" t="str">
        <f>HYPERLINK("https://lindat.mff.cuni.cz/services/teitok/pdtc10/index.php?action=vallex&amp;frame=v-w8624f1", "vyžádat (v-w8624f1)")</f>
        <v>vyžádat (v-w8624f1)</v>
      </c>
    </row>
    <row r="61916" spans="1:4" x14ac:dyDescent="0.2">
      <c r="B61916" t="s">
        <v>1</v>
      </c>
      <c r="C61916" t="s">
        <v>19294</v>
      </c>
      <c r="D61916" t="s">
        <v>24337</v>
      </c>
    </row>
    <row r="61917" spans="1:4" x14ac:dyDescent="0.2">
      <c r="B61917" t="s">
        <v>8</v>
      </c>
      <c r="C61917" t="s">
        <v>19295</v>
      </c>
      <c r="D61917" t="s">
        <v>24338</v>
      </c>
    </row>
    <row r="61918" spans="1:4" x14ac:dyDescent="0.2">
      <c r="B61918" t="s">
        <v>19296</v>
      </c>
      <c r="C61918" t="s">
        <v>19297</v>
      </c>
      <c r="D61918" t="s">
        <v>23057</v>
      </c>
    </row>
    <row r="61920" spans="1:4" x14ac:dyDescent="0.2">
      <c r="A61920" t="s">
        <v>19298</v>
      </c>
      <c r="B61920" t="str">
        <f>HYPERLINK("https://lindat.mff.cuni.cz/services/teitok/pdtc10/index.php?action=vallex&amp;frame=v-w8625f1", "vyžádat si (v-w8625f1)")</f>
        <v>vyžádat si (v-w8625f1)</v>
      </c>
    </row>
    <row r="61921" spans="1:4" x14ac:dyDescent="0.2">
      <c r="B61921" t="s">
        <v>1</v>
      </c>
      <c r="C61921" t="s">
        <v>19299</v>
      </c>
      <c r="D61921" t="s">
        <v>23839</v>
      </c>
    </row>
    <row r="61922" spans="1:4" x14ac:dyDescent="0.2">
      <c r="B61922" t="s">
        <v>8</v>
      </c>
      <c r="C61922" t="s">
        <v>19300</v>
      </c>
      <c r="D61922" t="s">
        <v>23840</v>
      </c>
    </row>
    <row r="61924" spans="1:4" x14ac:dyDescent="0.2">
      <c r="A61924" t="s">
        <v>19301</v>
      </c>
      <c r="B61924" t="str">
        <f>HYPERLINK("https://lindat.mff.cuni.cz/services/teitok/pdtc10/index.php?action=vallex&amp;frame=v-w8625f2_ZU", "vyžádat si (v-w8625f2_ZU)")</f>
        <v>vyžádat si (v-w8625f2_ZU)</v>
      </c>
    </row>
    <row r="61925" spans="1:4" x14ac:dyDescent="0.2">
      <c r="B61925" t="s">
        <v>1</v>
      </c>
    </row>
    <row r="61926" spans="1:4" x14ac:dyDescent="0.2">
      <c r="B61926" t="s">
        <v>8</v>
      </c>
    </row>
    <row r="61927" spans="1:4" x14ac:dyDescent="0.2">
      <c r="B61927" t="s">
        <v>321</v>
      </c>
    </row>
    <row r="61929" spans="1:4" x14ac:dyDescent="0.2">
      <c r="A61929" t="s">
        <v>19302</v>
      </c>
      <c r="B61929" t="str">
        <f>HYPERLINK("https://lindat.mff.cuni.cz/services/teitok/pdtc10/index.php?action=vallex&amp;frame=v-whsa_1620hsa_1621", "vyžít se (v-whsa_1620hsa_1621)")</f>
        <v>vyžít se (v-whsa_1620hsa_1621)</v>
      </c>
    </row>
    <row r="61930" spans="1:4" x14ac:dyDescent="0.2">
      <c r="B61930" t="s">
        <v>1</v>
      </c>
    </row>
    <row r="61931" spans="1:4" x14ac:dyDescent="0.2">
      <c r="B61931" t="s">
        <v>551</v>
      </c>
    </row>
    <row r="61933" spans="1:4" x14ac:dyDescent="0.2">
      <c r="A61933" t="s">
        <v>19303</v>
      </c>
      <c r="B61933" t="str">
        <f>HYPERLINK("https://lindat.mff.cuni.cz/services/teitok/pdtc10/index.php?action=vallex&amp;frame=v-w10567f2", "vyžívat (v-w10567f2)")</f>
        <v>vyžívat (v-w10567f2)</v>
      </c>
    </row>
    <row r="61934" spans="1:4" x14ac:dyDescent="0.2">
      <c r="B61934" t="s">
        <v>1</v>
      </c>
    </row>
    <row r="61935" spans="1:4" x14ac:dyDescent="0.2">
      <c r="B61935" t="s">
        <v>8</v>
      </c>
    </row>
    <row r="61937" spans="1:4" x14ac:dyDescent="0.2">
      <c r="A61937" t="s">
        <v>19304</v>
      </c>
      <c r="B61937" t="str">
        <f>HYPERLINK("https://lindat.mff.cuni.cz/services/teitok/pdtc10/index.php?action=vallex&amp;frame=v-w12111_ZUf2_ZU", "vyžívat se (v-w12111_ZUf2_ZU)")</f>
        <v>vyžívat se (v-w12111_ZUf2_ZU)</v>
      </c>
    </row>
    <row r="61938" spans="1:4" x14ac:dyDescent="0.2">
      <c r="B61938" t="s">
        <v>1</v>
      </c>
    </row>
    <row r="61939" spans="1:4" x14ac:dyDescent="0.2">
      <c r="B61939" t="s">
        <v>10491</v>
      </c>
    </row>
    <row r="61941" spans="1:4" x14ac:dyDescent="0.2">
      <c r="A61941" t="s">
        <v>19304</v>
      </c>
      <c r="B61941" t="str">
        <f>HYPERLINK("https://lindat.mff.cuni.cz/services/teitok/pdtc10/index.php?action=vallex&amp;frame=v-w12111_ZUf1_ZU", "vyžívat se (v-w12111_ZUf1_ZU) - substituted with v-w12111_ZUf2_ZU")</f>
        <v>vyžívat se (v-w12111_ZUf1_ZU) - substituted with v-w12111_ZUf2_ZU</v>
      </c>
    </row>
    <row r="61942" spans="1:4" x14ac:dyDescent="0.2">
      <c r="B61942" t="s">
        <v>1</v>
      </c>
    </row>
    <row r="61943" spans="1:4" x14ac:dyDescent="0.2">
      <c r="B61943" t="s">
        <v>10491</v>
      </c>
    </row>
    <row r="61945" spans="1:4" x14ac:dyDescent="0.2">
      <c r="A61945" t="s">
        <v>19305</v>
      </c>
      <c r="B61945" t="str">
        <f>HYPERLINK("https://lindat.mff.cuni.cz/services/teitok/pdtc10/index.php?action=vallex&amp;frame=v-w8631f1", "vzbouřit se (v-w8631f1)")</f>
        <v>vzbouřit se (v-w8631f1)</v>
      </c>
    </row>
    <row r="61946" spans="1:4" x14ac:dyDescent="0.2">
      <c r="B61946" t="s">
        <v>1</v>
      </c>
      <c r="C61946" t="s">
        <v>133</v>
      </c>
      <c r="D61946" t="s">
        <v>9341</v>
      </c>
    </row>
    <row r="61947" spans="1:4" x14ac:dyDescent="0.2">
      <c r="B61947" t="s">
        <v>1310</v>
      </c>
      <c r="D61947" t="s">
        <v>6702</v>
      </c>
    </row>
    <row r="61949" spans="1:4" x14ac:dyDescent="0.2">
      <c r="A61949" t="s">
        <v>19306</v>
      </c>
      <c r="B61949" t="str">
        <f>HYPERLINK("https://lindat.mff.cuni.cz/services/teitok/pdtc10/index.php?action=vallex&amp;frame=v-w8632f2", "vzbudit (v-w8632f2)")</f>
        <v>vzbudit (v-w8632f2)</v>
      </c>
    </row>
    <row r="61950" spans="1:4" x14ac:dyDescent="0.2">
      <c r="B61950" t="s">
        <v>1</v>
      </c>
      <c r="D61950" t="s">
        <v>33</v>
      </c>
    </row>
    <row r="61951" spans="1:4" x14ac:dyDescent="0.2">
      <c r="B61951" t="s">
        <v>8</v>
      </c>
      <c r="D61951" t="s">
        <v>991</v>
      </c>
    </row>
    <row r="61952" spans="1:4" x14ac:dyDescent="0.2">
      <c r="B61952" t="s">
        <v>24</v>
      </c>
    </row>
    <row r="61954" spans="1:4" x14ac:dyDescent="0.2">
      <c r="A61954" t="s">
        <v>19307</v>
      </c>
      <c r="B61954" t="str">
        <f>HYPERLINK("https://lindat.mff.cuni.cz/services/teitok/pdtc10/index.php?action=vallex&amp;frame=v-w8632f5_ZU", "vzbudit (v-w8632f5_ZU)")</f>
        <v>vzbudit (v-w8632f5_ZU)</v>
      </c>
    </row>
    <row r="61955" spans="1:4" x14ac:dyDescent="0.2">
      <c r="B61955" t="s">
        <v>1</v>
      </c>
      <c r="C61955" t="s">
        <v>19308</v>
      </c>
      <c r="D61955" t="s">
        <v>23017</v>
      </c>
    </row>
    <row r="61956" spans="1:4" x14ac:dyDescent="0.2">
      <c r="B61956" t="s">
        <v>19309</v>
      </c>
      <c r="C61956" t="s">
        <v>19310</v>
      </c>
      <c r="D61956" t="s">
        <v>23018</v>
      </c>
    </row>
    <row r="61957" spans="1:4" x14ac:dyDescent="0.2">
      <c r="B61957" t="s">
        <v>5</v>
      </c>
      <c r="C61957" t="s">
        <v>19311</v>
      </c>
      <c r="D61957" t="s">
        <v>23019</v>
      </c>
    </row>
    <row r="61959" spans="1:4" x14ac:dyDescent="0.2">
      <c r="A61959" t="s">
        <v>19307</v>
      </c>
      <c r="B61959" t="str">
        <f>HYPERLINK("https://lindat.mff.cuni.cz/services/teitok/pdtc10/index.php?action=vallex&amp;frame=v-w8632f1", "vzbudit (v-w8632f1) - substituted with v-w8632f5_ZU")</f>
        <v>vzbudit (v-w8632f1) - substituted with v-w8632f5_ZU</v>
      </c>
    </row>
    <row r="61960" spans="1:4" x14ac:dyDescent="0.2">
      <c r="B61960" t="s">
        <v>1</v>
      </c>
      <c r="C61960" t="s">
        <v>13907</v>
      </c>
    </row>
    <row r="61961" spans="1:4" x14ac:dyDescent="0.2">
      <c r="B61961" t="s">
        <v>19309</v>
      </c>
      <c r="C61961" t="s">
        <v>8732</v>
      </c>
    </row>
    <row r="61962" spans="1:4" x14ac:dyDescent="0.2">
      <c r="B61962" t="s">
        <v>5</v>
      </c>
    </row>
    <row r="61964" spans="1:4" x14ac:dyDescent="0.2">
      <c r="A61964" t="s">
        <v>19307</v>
      </c>
      <c r="B61964" t="str">
        <f>HYPERLINK("https://lindat.mff.cuni.cz/services/teitok/pdtc10/index.php?action=vallex&amp;frame=v-w8632f3_ZU", "vzbudit (v-w8632f3_ZU) - substituted with v-w8632f5_ZU")</f>
        <v>vzbudit (v-w8632f3_ZU) - substituted with v-w8632f5_ZU</v>
      </c>
    </row>
    <row r="61965" spans="1:4" x14ac:dyDescent="0.2">
      <c r="B61965" t="s">
        <v>1</v>
      </c>
    </row>
    <row r="61966" spans="1:4" x14ac:dyDescent="0.2">
      <c r="B61966" t="s">
        <v>19309</v>
      </c>
    </row>
    <row r="61967" spans="1:4" x14ac:dyDescent="0.2">
      <c r="B61967" t="s">
        <v>5</v>
      </c>
    </row>
    <row r="61969" spans="1:3" x14ac:dyDescent="0.2">
      <c r="A61969" t="s">
        <v>19307</v>
      </c>
      <c r="B61969" t="str">
        <f>HYPERLINK("https://lindat.mff.cuni.cz/services/teitok/pdtc10/index.php?action=vallex&amp;frame=v-w8632f4_ZU", "vzbudit (v-w8632f4_ZU) - substituted with v-w8632f5_ZU")</f>
        <v>vzbudit (v-w8632f4_ZU) - substituted with v-w8632f5_ZU</v>
      </c>
    </row>
    <row r="61970" spans="1:3" x14ac:dyDescent="0.2">
      <c r="B61970" t="s">
        <v>1</v>
      </c>
      <c r="C61970" t="s">
        <v>154</v>
      </c>
    </row>
    <row r="61971" spans="1:3" x14ac:dyDescent="0.2">
      <c r="B61971" t="s">
        <v>19309</v>
      </c>
      <c r="C61971" t="s">
        <v>19312</v>
      </c>
    </row>
    <row r="61972" spans="1:3" x14ac:dyDescent="0.2">
      <c r="B61972" t="s">
        <v>5</v>
      </c>
    </row>
    <row r="61974" spans="1:3" x14ac:dyDescent="0.2">
      <c r="A61974" t="s">
        <v>19307</v>
      </c>
      <c r="B61974" t="str">
        <f>HYPERLINK("https://lindat.mff.cuni.cz/services/teitok/pdtc10/index.php?action=vallex&amp;frame=v-w8632hsa_636", "vzbudit (v-w8632hsa_636) - substituted with v-w8632f5_ZU")</f>
        <v>vzbudit (v-w8632hsa_636) - substituted with v-w8632f5_ZU</v>
      </c>
    </row>
    <row r="61975" spans="1:3" x14ac:dyDescent="0.2">
      <c r="B61975" t="s">
        <v>1</v>
      </c>
      <c r="C61975" t="s">
        <v>1504</v>
      </c>
    </row>
    <row r="61976" spans="1:3" x14ac:dyDescent="0.2">
      <c r="B61976" t="s">
        <v>19309</v>
      </c>
      <c r="C61976" t="s">
        <v>19313</v>
      </c>
    </row>
    <row r="61977" spans="1:3" x14ac:dyDescent="0.2">
      <c r="B61977" t="s">
        <v>5</v>
      </c>
    </row>
    <row r="61979" spans="1:3" x14ac:dyDescent="0.2">
      <c r="A61979" t="s">
        <v>19314</v>
      </c>
      <c r="B61979" t="str">
        <f>HYPERLINK("https://lindat.mff.cuni.cz/services/teitok/pdtc10/index.php?action=vallex&amp;frame=v-w8633f1", "vzbudit se (v-w8633f1)")</f>
        <v>vzbudit se (v-w8633f1)</v>
      </c>
    </row>
    <row r="61980" spans="1:3" x14ac:dyDescent="0.2">
      <c r="B61980" t="s">
        <v>1</v>
      </c>
    </row>
    <row r="61981" spans="1:3" x14ac:dyDescent="0.2">
      <c r="B61981" t="s">
        <v>438</v>
      </c>
    </row>
    <row r="61983" spans="1:3" x14ac:dyDescent="0.2">
      <c r="A61983" t="s">
        <v>19315</v>
      </c>
      <c r="B61983" t="str">
        <f>HYPERLINK("https://lindat.mff.cuni.cz/services/teitok/pdtc10/index.php?action=vallex&amp;frame=v-w10666f2", "vzburcovat (v-w10666f2)")</f>
        <v>vzburcovat (v-w10666f2)</v>
      </c>
    </row>
    <row r="61984" spans="1:3" x14ac:dyDescent="0.2">
      <c r="B61984" t="s">
        <v>1</v>
      </c>
    </row>
    <row r="61985" spans="1:3" x14ac:dyDescent="0.2">
      <c r="B61985" t="s">
        <v>8</v>
      </c>
    </row>
    <row r="61987" spans="1:3" x14ac:dyDescent="0.2">
      <c r="A61987" t="s">
        <v>19316</v>
      </c>
      <c r="B61987" t="str">
        <f>HYPERLINK("https://lindat.mff.cuni.cz/services/teitok/pdtc10/index.php?action=vallex&amp;frame=v-w8634f8_MM", "vzbuzovat (v-w8634f8_MM)")</f>
        <v>vzbuzovat (v-w8634f8_MM)</v>
      </c>
    </row>
    <row r="61988" spans="1:3" x14ac:dyDescent="0.2">
      <c r="B61988" t="s">
        <v>1</v>
      </c>
    </row>
    <row r="61989" spans="1:3" x14ac:dyDescent="0.2">
      <c r="B61989" t="s">
        <v>19317</v>
      </c>
    </row>
    <row r="61990" spans="1:3" x14ac:dyDescent="0.2">
      <c r="B61990" t="s">
        <v>5</v>
      </c>
    </row>
    <row r="61992" spans="1:3" x14ac:dyDescent="0.2">
      <c r="A61992" t="s">
        <v>19316</v>
      </c>
      <c r="B61992" t="str">
        <f>HYPERLINK("https://lindat.mff.cuni.cz/services/teitok/pdtc10/index.php?action=vallex&amp;frame=v-w8634f1", "vzbuzovat (v-w8634f1) - substituted with v-w8634f8_MM")</f>
        <v>vzbuzovat (v-w8634f1) - substituted with v-w8634f8_MM</v>
      </c>
    </row>
    <row r="61993" spans="1:3" x14ac:dyDescent="0.2">
      <c r="B61993" t="s">
        <v>1</v>
      </c>
    </row>
    <row r="61994" spans="1:3" x14ac:dyDescent="0.2">
      <c r="B61994" t="s">
        <v>19317</v>
      </c>
    </row>
    <row r="61995" spans="1:3" x14ac:dyDescent="0.2">
      <c r="B61995" t="s">
        <v>5</v>
      </c>
    </row>
    <row r="61997" spans="1:3" x14ac:dyDescent="0.2">
      <c r="A61997" t="s">
        <v>19316</v>
      </c>
      <c r="B61997" t="str">
        <f>HYPERLINK("https://lindat.mff.cuni.cz/services/teitok/pdtc10/index.php?action=vallex&amp;frame=v-w8634f2_ZU", "vzbuzovat (v-w8634f2_ZU) - substituted with v-w8634f8_MM")</f>
        <v>vzbuzovat (v-w8634f2_ZU) - substituted with v-w8634f8_MM</v>
      </c>
    </row>
    <row r="61998" spans="1:3" x14ac:dyDescent="0.2">
      <c r="B61998" t="s">
        <v>1</v>
      </c>
      <c r="C61998" t="s">
        <v>5570</v>
      </c>
    </row>
    <row r="61999" spans="1:3" x14ac:dyDescent="0.2">
      <c r="B61999" t="s">
        <v>19317</v>
      </c>
      <c r="C61999" t="s">
        <v>18987</v>
      </c>
    </row>
    <row r="62000" spans="1:3" x14ac:dyDescent="0.2">
      <c r="B62000" t="s">
        <v>5</v>
      </c>
    </row>
    <row r="62002" spans="1:3" x14ac:dyDescent="0.2">
      <c r="A62002" t="s">
        <v>19316</v>
      </c>
      <c r="B62002" t="str">
        <f>HYPERLINK("https://lindat.mff.cuni.cz/services/teitok/pdtc10/index.php?action=vallex&amp;frame=v-w8634f3_ZU", "vzbuzovat (v-w8634f3_ZU) - substituted with v-w8634f8_MM")</f>
        <v>vzbuzovat (v-w8634f3_ZU) - substituted with v-w8634f8_MM</v>
      </c>
    </row>
    <row r="62003" spans="1:3" x14ac:dyDescent="0.2">
      <c r="B62003" t="s">
        <v>1</v>
      </c>
      <c r="C62003" t="s">
        <v>16226</v>
      </c>
    </row>
    <row r="62004" spans="1:3" x14ac:dyDescent="0.2">
      <c r="B62004" t="s">
        <v>19317</v>
      </c>
      <c r="C62004" t="s">
        <v>19318</v>
      </c>
    </row>
    <row r="62005" spans="1:3" x14ac:dyDescent="0.2">
      <c r="B62005" t="s">
        <v>5</v>
      </c>
    </row>
    <row r="62007" spans="1:3" x14ac:dyDescent="0.2">
      <c r="A62007" t="s">
        <v>19316</v>
      </c>
      <c r="B62007" t="str">
        <f>HYPERLINK("https://lindat.mff.cuni.cz/services/teitok/pdtc10/index.php?action=vallex&amp;frame=v-w8634f4_ZU", "vzbuzovat (v-w8634f4_ZU) - substituted with v-w8634f8_MM")</f>
        <v>vzbuzovat (v-w8634f4_ZU) - substituted with v-w8634f8_MM</v>
      </c>
    </row>
    <row r="62008" spans="1:3" x14ac:dyDescent="0.2">
      <c r="B62008" t="s">
        <v>1</v>
      </c>
      <c r="C62008" t="s">
        <v>18042</v>
      </c>
    </row>
    <row r="62009" spans="1:3" x14ac:dyDescent="0.2">
      <c r="B62009" t="s">
        <v>19317</v>
      </c>
      <c r="C62009" t="s">
        <v>19319</v>
      </c>
    </row>
    <row r="62010" spans="1:3" x14ac:dyDescent="0.2">
      <c r="B62010" t="s">
        <v>5</v>
      </c>
    </row>
    <row r="62012" spans="1:3" x14ac:dyDescent="0.2">
      <c r="A62012" t="s">
        <v>19316</v>
      </c>
      <c r="B62012" t="str">
        <f>HYPERLINK("https://lindat.mff.cuni.cz/services/teitok/pdtc10/index.php?action=vallex&amp;frame=v-w8634f5_ZU", "vzbuzovat (v-w8634f5_ZU) - substituted with v-w8634f8_MM")</f>
        <v>vzbuzovat (v-w8634f5_ZU) - substituted with v-w8634f8_MM</v>
      </c>
    </row>
    <row r="62013" spans="1:3" x14ac:dyDescent="0.2">
      <c r="B62013" t="s">
        <v>1</v>
      </c>
      <c r="C62013" t="s">
        <v>364</v>
      </c>
    </row>
    <row r="62014" spans="1:3" x14ac:dyDescent="0.2">
      <c r="B62014" t="s">
        <v>19317</v>
      </c>
      <c r="C62014" t="s">
        <v>366</v>
      </c>
    </row>
    <row r="62015" spans="1:3" x14ac:dyDescent="0.2">
      <c r="B62015" t="s">
        <v>5</v>
      </c>
    </row>
    <row r="62017" spans="1:4" x14ac:dyDescent="0.2">
      <c r="A62017" t="s">
        <v>19316</v>
      </c>
      <c r="B62017" t="str">
        <f>HYPERLINK("https://lindat.mff.cuni.cz/services/teitok/pdtc10/index.php?action=vallex&amp;frame=v-w8634f6_ZU", "vzbuzovat (v-w8634f6_ZU) - substituted with v-w8634f8_MM")</f>
        <v>vzbuzovat (v-w8634f6_ZU) - substituted with v-w8634f8_MM</v>
      </c>
    </row>
    <row r="62018" spans="1:4" x14ac:dyDescent="0.2">
      <c r="B62018" t="s">
        <v>1</v>
      </c>
      <c r="C62018" t="s">
        <v>133</v>
      </c>
      <c r="D62018" t="s">
        <v>23017</v>
      </c>
    </row>
    <row r="62019" spans="1:4" x14ac:dyDescent="0.2">
      <c r="B62019" t="s">
        <v>19317</v>
      </c>
      <c r="C62019" t="s">
        <v>19320</v>
      </c>
      <c r="D62019" t="s">
        <v>23018</v>
      </c>
    </row>
    <row r="62020" spans="1:4" x14ac:dyDescent="0.2">
      <c r="B62020" t="s">
        <v>5</v>
      </c>
      <c r="D62020" t="s">
        <v>23019</v>
      </c>
    </row>
    <row r="62022" spans="1:4" x14ac:dyDescent="0.2">
      <c r="A62022" t="s">
        <v>19316</v>
      </c>
      <c r="B62022" t="str">
        <f>HYPERLINK("https://lindat.mff.cuni.cz/services/teitok/pdtc10/index.php?action=vallex&amp;frame=v-w8634f7_ZU", "vzbuzovat (v-w8634f7_ZU) - substituted with v-w8634f8_MM")</f>
        <v>vzbuzovat (v-w8634f7_ZU) - substituted with v-w8634f8_MM</v>
      </c>
    </row>
    <row r="62023" spans="1:4" x14ac:dyDescent="0.2">
      <c r="B62023" t="s">
        <v>1</v>
      </c>
    </row>
    <row r="62024" spans="1:4" x14ac:dyDescent="0.2">
      <c r="B62024" t="s">
        <v>19317</v>
      </c>
    </row>
    <row r="62025" spans="1:4" x14ac:dyDescent="0.2">
      <c r="B62025" t="s">
        <v>5</v>
      </c>
    </row>
    <row r="62027" spans="1:4" x14ac:dyDescent="0.2">
      <c r="A62027" t="s">
        <v>19321</v>
      </c>
      <c r="B62027" t="str">
        <f>HYPERLINK("https://lindat.mff.cuni.cz/services/teitok/pdtc10/index.php?action=vallex&amp;frame=v-w11317f2", "vzchopit se (v-w11317f2)")</f>
        <v>vzchopit se (v-w11317f2)</v>
      </c>
    </row>
    <row r="62028" spans="1:4" x14ac:dyDescent="0.2">
      <c r="B62028" t="s">
        <v>1</v>
      </c>
      <c r="C62028" t="s">
        <v>19322</v>
      </c>
      <c r="D62028" t="s">
        <v>23062</v>
      </c>
    </row>
    <row r="62029" spans="1:4" x14ac:dyDescent="0.2">
      <c r="B62029" t="s">
        <v>1471</v>
      </c>
      <c r="C62029" t="s">
        <v>19323</v>
      </c>
    </row>
    <row r="62031" spans="1:4" x14ac:dyDescent="0.2">
      <c r="A62031" t="s">
        <v>19324</v>
      </c>
      <c r="B62031" t="str">
        <f>HYPERLINK("https://lindat.mff.cuni.cz/services/teitok/pdtc10/index.php?action=vallex&amp;frame=v-w11317hsa_738", "vzchopit se (v-w11317hsa_738)")</f>
        <v>vzchopit se (v-w11317hsa_738)</v>
      </c>
    </row>
    <row r="62032" spans="1:4" x14ac:dyDescent="0.2">
      <c r="B62032" t="s">
        <v>1</v>
      </c>
      <c r="C62032" t="s">
        <v>435</v>
      </c>
    </row>
    <row r="62033" spans="1:4" x14ac:dyDescent="0.2">
      <c r="B62033" t="s">
        <v>46</v>
      </c>
      <c r="C62033" t="s">
        <v>8190</v>
      </c>
    </row>
    <row r="62034" spans="1:4" x14ac:dyDescent="0.2">
      <c r="B62034" t="s">
        <v>24</v>
      </c>
      <c r="C62034" t="s">
        <v>8191</v>
      </c>
    </row>
    <row r="62036" spans="1:4" x14ac:dyDescent="0.2">
      <c r="A62036" t="s">
        <v>19325</v>
      </c>
      <c r="B62036" t="str">
        <f>HYPERLINK("https://lindat.mff.cuni.cz/services/teitok/pdtc10/index.php?action=vallex&amp;frame=v-w8638f3", "vzdalovat se (v-w8638f3)")</f>
        <v>vzdalovat se (v-w8638f3)</v>
      </c>
    </row>
    <row r="62037" spans="1:4" x14ac:dyDescent="0.2">
      <c r="B62037" t="s">
        <v>1</v>
      </c>
      <c r="D62037" t="s">
        <v>23653</v>
      </c>
    </row>
    <row r="62038" spans="1:4" x14ac:dyDescent="0.2">
      <c r="B62038" t="s">
        <v>19326</v>
      </c>
      <c r="D62038" t="s">
        <v>345</v>
      </c>
    </row>
    <row r="62040" spans="1:4" x14ac:dyDescent="0.2">
      <c r="A62040" t="s">
        <v>19327</v>
      </c>
      <c r="B62040" t="str">
        <f>HYPERLINK("https://lindat.mff.cuni.cz/services/teitok/pdtc10/index.php?action=vallex&amp;frame=v-w8638f1", "vzdalovat se (v-w8638f1)")</f>
        <v>vzdalovat se (v-w8638f1)</v>
      </c>
    </row>
    <row r="62041" spans="1:4" x14ac:dyDescent="0.2">
      <c r="B62041" t="s">
        <v>1</v>
      </c>
      <c r="D62041" t="s">
        <v>24440</v>
      </c>
    </row>
    <row r="62043" spans="1:4" x14ac:dyDescent="0.2">
      <c r="A62043" t="s">
        <v>19328</v>
      </c>
      <c r="B62043" t="str">
        <f>HYPERLINK("https://lindat.mff.cuni.cz/services/teitok/pdtc10/index.php?action=vallex&amp;frame=v-w8648f1", "vzdorovat (v-w8648f1)")</f>
        <v>vzdorovat (v-w8648f1)</v>
      </c>
    </row>
    <row r="62044" spans="1:4" x14ac:dyDescent="0.2">
      <c r="B62044" t="s">
        <v>1</v>
      </c>
      <c r="C62044" t="s">
        <v>1805</v>
      </c>
    </row>
    <row r="62045" spans="1:4" x14ac:dyDescent="0.2">
      <c r="B62045" t="s">
        <v>103</v>
      </c>
      <c r="C62045" t="s">
        <v>81</v>
      </c>
    </row>
    <row r="62047" spans="1:4" x14ac:dyDescent="0.2">
      <c r="A62047" t="s">
        <v>19329</v>
      </c>
      <c r="B62047" t="str">
        <f>HYPERLINK("https://lindat.mff.cuni.cz/services/teitok/pdtc10/index.php?action=vallex&amp;frame=v-w8648f2", "vzdorovat (v-w8648f2)")</f>
        <v>vzdorovat (v-w8648f2)</v>
      </c>
    </row>
    <row r="62048" spans="1:4" x14ac:dyDescent="0.2">
      <c r="B62048" t="s">
        <v>1</v>
      </c>
    </row>
    <row r="62049" spans="1:2" x14ac:dyDescent="0.2">
      <c r="B62049" t="s">
        <v>103</v>
      </c>
    </row>
    <row r="62051" spans="1:2" x14ac:dyDescent="0.2">
      <c r="A62051" t="s">
        <v>19330</v>
      </c>
      <c r="B62051" t="str">
        <f>HYPERLINK("https://lindat.mff.cuni.cz/services/teitok/pdtc10/index.php?action=vallex&amp;frame=v-whsa_117f1_ZU", "vzdouvat (v-whsa_117f1_ZU)")</f>
        <v>vzdouvat (v-whsa_117f1_ZU)</v>
      </c>
    </row>
    <row r="62052" spans="1:2" x14ac:dyDescent="0.2">
      <c r="B62052" t="s">
        <v>1</v>
      </c>
    </row>
    <row r="62053" spans="1:2" x14ac:dyDescent="0.2">
      <c r="B62053" t="s">
        <v>8</v>
      </c>
    </row>
    <row r="62055" spans="1:2" x14ac:dyDescent="0.2">
      <c r="A62055" t="s">
        <v>19330</v>
      </c>
      <c r="B62055" t="str">
        <f>HYPERLINK("https://lindat.mff.cuni.cz/services/teitok/pdtc10/index.php?action=vallex&amp;frame=v-whsa_117hsa_118", "vzdouvat (v-whsa_117hsa_118) - substituted with v-whsa_117f1_ZU")</f>
        <v>vzdouvat (v-whsa_117hsa_118) - substituted with v-whsa_117f1_ZU</v>
      </c>
    </row>
    <row r="62056" spans="1:2" x14ac:dyDescent="0.2">
      <c r="B62056" t="s">
        <v>1</v>
      </c>
    </row>
    <row r="62057" spans="1:2" x14ac:dyDescent="0.2">
      <c r="B62057" t="s">
        <v>8</v>
      </c>
    </row>
    <row r="62059" spans="1:2" x14ac:dyDescent="0.2">
      <c r="A62059" t="s">
        <v>19331</v>
      </c>
      <c r="B62059" t="str">
        <f>HYPERLINK("https://lindat.mff.cuni.cz/services/teitok/pdtc10/index.php?action=vallex&amp;frame=v-w8650f1", "vzdychat (v-w8650f1)")</f>
        <v>vzdychat (v-w8650f1)</v>
      </c>
    </row>
    <row r="62060" spans="1:2" x14ac:dyDescent="0.2">
      <c r="B62060" t="s">
        <v>1</v>
      </c>
    </row>
    <row r="62062" spans="1:2" x14ac:dyDescent="0.2">
      <c r="A62062" t="s">
        <v>19332</v>
      </c>
      <c r="B62062" t="str">
        <f>HYPERLINK("https://lindat.mff.cuni.cz/services/teitok/pdtc10/index.php?action=vallex&amp;frame=v-w8636f2", "vzdálit (v-w8636f2)")</f>
        <v>vzdálit (v-w8636f2)</v>
      </c>
    </row>
    <row r="62063" spans="1:2" x14ac:dyDescent="0.2">
      <c r="B62063" t="s">
        <v>1</v>
      </c>
    </row>
    <row r="62064" spans="1:2" x14ac:dyDescent="0.2">
      <c r="B62064" t="s">
        <v>8</v>
      </c>
    </row>
    <row r="62065" spans="1:4" x14ac:dyDescent="0.2">
      <c r="B62065" t="s">
        <v>19333</v>
      </c>
    </row>
    <row r="62067" spans="1:4" x14ac:dyDescent="0.2">
      <c r="A62067" t="s">
        <v>19334</v>
      </c>
      <c r="B62067" t="str">
        <f>HYPERLINK("https://lindat.mff.cuni.cz/services/teitok/pdtc10/index.php?action=vallex&amp;frame=v-w8636f1", "vzdálit (v-w8636f1)")</f>
        <v>vzdálit (v-w8636f1)</v>
      </c>
    </row>
    <row r="62068" spans="1:4" x14ac:dyDescent="0.2">
      <c r="B62068" t="s">
        <v>1</v>
      </c>
    </row>
    <row r="62069" spans="1:4" x14ac:dyDescent="0.2">
      <c r="B62069" t="s">
        <v>8</v>
      </c>
    </row>
    <row r="62070" spans="1:4" x14ac:dyDescent="0.2">
      <c r="B62070" t="s">
        <v>333</v>
      </c>
    </row>
    <row r="62072" spans="1:4" x14ac:dyDescent="0.2">
      <c r="A62072" t="s">
        <v>19335</v>
      </c>
      <c r="B62072" t="str">
        <f>HYPERLINK("https://lindat.mff.cuni.cz/services/teitok/pdtc10/index.php?action=vallex&amp;frame=v-w8637f1", "vzdálit se (v-w8637f1)")</f>
        <v>vzdálit se (v-w8637f1)</v>
      </c>
    </row>
    <row r="62073" spans="1:4" x14ac:dyDescent="0.2">
      <c r="B62073" t="s">
        <v>1</v>
      </c>
      <c r="C62073" t="s">
        <v>33</v>
      </c>
      <c r="D62073" t="s">
        <v>22987</v>
      </c>
    </row>
    <row r="62075" spans="1:4" x14ac:dyDescent="0.2">
      <c r="A62075" t="s">
        <v>19336</v>
      </c>
      <c r="B62075" t="str">
        <f>HYPERLINK("https://lindat.mff.cuni.cz/services/teitok/pdtc10/index.php?action=vallex&amp;frame=v-w8640f2", "vzdát (v-w8640f2)")</f>
        <v>vzdát (v-w8640f2)</v>
      </c>
    </row>
    <row r="62076" spans="1:4" x14ac:dyDescent="0.2">
      <c r="B62076" t="s">
        <v>1</v>
      </c>
    </row>
    <row r="62077" spans="1:4" x14ac:dyDescent="0.2">
      <c r="B62077" t="s">
        <v>103</v>
      </c>
    </row>
    <row r="62079" spans="1:4" x14ac:dyDescent="0.2">
      <c r="A62079" t="s">
        <v>19337</v>
      </c>
      <c r="B62079" t="str">
        <f>HYPERLINK("https://lindat.mff.cuni.cz/services/teitok/pdtc10/index.php?action=vallex&amp;frame=v-w8640f1", "vzdát (v-w8640f1)")</f>
        <v>vzdát (v-w8640f1)</v>
      </c>
    </row>
    <row r="62080" spans="1:4" x14ac:dyDescent="0.2">
      <c r="B62080" t="s">
        <v>1</v>
      </c>
      <c r="C62080" t="s">
        <v>2400</v>
      </c>
      <c r="D62080" t="s">
        <v>23064</v>
      </c>
    </row>
    <row r="62081" spans="1:4" x14ac:dyDescent="0.2">
      <c r="B62081" t="s">
        <v>8</v>
      </c>
      <c r="C62081" t="s">
        <v>4575</v>
      </c>
      <c r="D62081" t="s">
        <v>23065</v>
      </c>
    </row>
    <row r="62083" spans="1:4" x14ac:dyDescent="0.2">
      <c r="A62083" t="s">
        <v>19338</v>
      </c>
      <c r="B62083" t="str">
        <f>HYPERLINK("https://lindat.mff.cuni.cz/services/teitok/pdtc10/index.php?action=vallex&amp;frame=v-w8640f3", "vzdát (v-w8640f3)")</f>
        <v>vzdát (v-w8640f3)</v>
      </c>
    </row>
    <row r="62084" spans="1:4" x14ac:dyDescent="0.2">
      <c r="B62084" t="s">
        <v>1</v>
      </c>
    </row>
    <row r="62085" spans="1:4" x14ac:dyDescent="0.2">
      <c r="B62085" t="s">
        <v>19339</v>
      </c>
    </row>
    <row r="62086" spans="1:4" x14ac:dyDescent="0.2">
      <c r="B62086" t="s">
        <v>35</v>
      </c>
    </row>
    <row r="62088" spans="1:4" x14ac:dyDescent="0.2">
      <c r="A62088" t="s">
        <v>19340</v>
      </c>
      <c r="B62088" t="str">
        <f>HYPERLINK("https://lindat.mff.cuni.cz/services/teitok/pdtc10/index.php?action=vallex&amp;frame=v-w8640f4_ZU", "vzdát (v-w8640f4_ZU)")</f>
        <v>vzdát (v-w8640f4_ZU)</v>
      </c>
    </row>
    <row r="62089" spans="1:4" x14ac:dyDescent="0.2">
      <c r="B62089" t="s">
        <v>1</v>
      </c>
      <c r="C62089" t="s">
        <v>334</v>
      </c>
    </row>
    <row r="62090" spans="1:4" x14ac:dyDescent="0.2">
      <c r="B62090" t="s">
        <v>8</v>
      </c>
      <c r="C62090" t="s">
        <v>1340</v>
      </c>
    </row>
    <row r="62091" spans="1:4" x14ac:dyDescent="0.2">
      <c r="B62091" t="s">
        <v>35</v>
      </c>
      <c r="C62091" t="s">
        <v>987</v>
      </c>
    </row>
    <row r="62093" spans="1:4" x14ac:dyDescent="0.2">
      <c r="A62093" t="s">
        <v>19341</v>
      </c>
      <c r="B62093" t="str">
        <f>HYPERLINK("https://lindat.mff.cuni.cz/services/teitok/pdtc10/index.php?action=vallex&amp;frame=v-w8641f1", "vzdát se (v-w8641f1)")</f>
        <v>vzdát se (v-w8641f1)</v>
      </c>
    </row>
    <row r="62094" spans="1:4" x14ac:dyDescent="0.2">
      <c r="B62094" t="s">
        <v>1</v>
      </c>
      <c r="C62094" t="s">
        <v>19342</v>
      </c>
    </row>
    <row r="62095" spans="1:4" x14ac:dyDescent="0.2">
      <c r="B62095" t="s">
        <v>917</v>
      </c>
      <c r="C62095" t="s">
        <v>19343</v>
      </c>
    </row>
    <row r="62097" spans="1:4" x14ac:dyDescent="0.2">
      <c r="A62097" t="s">
        <v>19344</v>
      </c>
      <c r="B62097" t="str">
        <f>HYPERLINK("https://lindat.mff.cuni.cz/services/teitok/pdtc10/index.php?action=vallex&amp;frame=v-w8641f2", "vzdát se (v-w8641f2)")</f>
        <v>vzdát se (v-w8641f2)</v>
      </c>
    </row>
    <row r="62098" spans="1:4" x14ac:dyDescent="0.2">
      <c r="B62098" t="s">
        <v>1</v>
      </c>
      <c r="C62098" t="s">
        <v>7915</v>
      </c>
      <c r="D62098" t="s">
        <v>9938</v>
      </c>
    </row>
    <row r="62099" spans="1:4" x14ac:dyDescent="0.2">
      <c r="B62099" t="s">
        <v>86</v>
      </c>
      <c r="C62099" t="s">
        <v>19345</v>
      </c>
      <c r="D62099" t="s">
        <v>4088</v>
      </c>
    </row>
    <row r="62101" spans="1:4" x14ac:dyDescent="0.2">
      <c r="A62101" t="s">
        <v>19346</v>
      </c>
      <c r="B62101" t="str">
        <f>HYPERLINK("https://lindat.mff.cuni.cz/services/teitok/pdtc10/index.php?action=vallex&amp;frame=v-w8642f1", "vzdávat (v-w8642f1)")</f>
        <v>vzdávat (v-w8642f1)</v>
      </c>
    </row>
    <row r="62102" spans="1:4" x14ac:dyDescent="0.2">
      <c r="B62102" t="s">
        <v>1</v>
      </c>
      <c r="C62102" t="s">
        <v>3622</v>
      </c>
      <c r="D62102" t="s">
        <v>23064</v>
      </c>
    </row>
    <row r="62103" spans="1:4" x14ac:dyDescent="0.2">
      <c r="B62103" t="s">
        <v>8</v>
      </c>
      <c r="C62103" t="s">
        <v>1078</v>
      </c>
      <c r="D62103" t="s">
        <v>23065</v>
      </c>
    </row>
    <row r="62105" spans="1:4" x14ac:dyDescent="0.2">
      <c r="A62105" t="s">
        <v>19347</v>
      </c>
      <c r="B62105" t="str">
        <f>HYPERLINK("https://lindat.mff.cuni.cz/services/teitok/pdtc10/index.php?action=vallex&amp;frame=v-w8642f3_ZU", "vzdávat (v-w8642f3_ZU)")</f>
        <v>vzdávat (v-w8642f3_ZU)</v>
      </c>
    </row>
    <row r="62106" spans="1:4" x14ac:dyDescent="0.2">
      <c r="B62106" t="s">
        <v>1</v>
      </c>
    </row>
    <row r="62107" spans="1:4" x14ac:dyDescent="0.2">
      <c r="B62107" t="s">
        <v>19348</v>
      </c>
    </row>
    <row r="62108" spans="1:4" x14ac:dyDescent="0.2">
      <c r="B62108" t="s">
        <v>35</v>
      </c>
    </row>
    <row r="62110" spans="1:4" x14ac:dyDescent="0.2">
      <c r="A62110" t="s">
        <v>19347</v>
      </c>
      <c r="B62110" t="str">
        <f>HYPERLINK("https://lindat.mff.cuni.cz/services/teitok/pdtc10/index.php?action=vallex&amp;frame=v-w8642f2", "vzdávat (v-w8642f2) - substituted with v-w8642f3_ZU")</f>
        <v>vzdávat (v-w8642f2) - substituted with v-w8642f3_ZU</v>
      </c>
    </row>
    <row r="62111" spans="1:4" x14ac:dyDescent="0.2">
      <c r="B62111" t="s">
        <v>1</v>
      </c>
    </row>
    <row r="62112" spans="1:4" x14ac:dyDescent="0.2">
      <c r="B62112" t="s">
        <v>19348</v>
      </c>
    </row>
    <row r="62113" spans="1:4" x14ac:dyDescent="0.2">
      <c r="B62113" t="s">
        <v>35</v>
      </c>
    </row>
    <row r="62115" spans="1:4" x14ac:dyDescent="0.2">
      <c r="A62115" t="s">
        <v>19349</v>
      </c>
      <c r="B62115" t="str">
        <f>HYPERLINK("https://lindat.mff.cuni.cz/services/teitok/pdtc10/index.php?action=vallex&amp;frame=v-w8643f1", "vzdávat se (v-w8643f1)")</f>
        <v>vzdávat se (v-w8643f1)</v>
      </c>
    </row>
    <row r="62116" spans="1:4" x14ac:dyDescent="0.2">
      <c r="B62116" t="s">
        <v>1</v>
      </c>
      <c r="C62116" t="s">
        <v>2168</v>
      </c>
      <c r="D62116" t="s">
        <v>16</v>
      </c>
    </row>
    <row r="62117" spans="1:4" x14ac:dyDescent="0.2">
      <c r="B62117" t="s">
        <v>917</v>
      </c>
      <c r="C62117" t="s">
        <v>6357</v>
      </c>
      <c r="D62117" t="s">
        <v>969</v>
      </c>
    </row>
    <row r="62119" spans="1:4" x14ac:dyDescent="0.2">
      <c r="A62119" t="s">
        <v>19350</v>
      </c>
      <c r="B62119" t="str">
        <f>HYPERLINK("https://lindat.mff.cuni.cz/services/teitok/pdtc10/index.php?action=vallex&amp;frame=v-w8643f2", "vzdávat se (v-w8643f2)")</f>
        <v>vzdávat se (v-w8643f2)</v>
      </c>
    </row>
    <row r="62120" spans="1:4" x14ac:dyDescent="0.2">
      <c r="B62120" t="s">
        <v>1</v>
      </c>
      <c r="C62120" t="s">
        <v>17582</v>
      </c>
      <c r="D62120" t="s">
        <v>9938</v>
      </c>
    </row>
    <row r="62121" spans="1:4" x14ac:dyDescent="0.2">
      <c r="B62121" t="s">
        <v>86</v>
      </c>
      <c r="D62121" t="s">
        <v>4088</v>
      </c>
    </row>
    <row r="62123" spans="1:4" x14ac:dyDescent="0.2">
      <c r="A62123" t="s">
        <v>19351</v>
      </c>
      <c r="B62123" t="str">
        <f>HYPERLINK("https://lindat.mff.cuni.cz/services/teitok/pdtc10/index.php?action=vallex&amp;frame=v-w8645f1", "vzdělat (v-w8645f1)")</f>
        <v>vzdělat (v-w8645f1)</v>
      </c>
    </row>
    <row r="62124" spans="1:4" x14ac:dyDescent="0.2">
      <c r="B62124" t="s">
        <v>1</v>
      </c>
      <c r="D62124" t="s">
        <v>1106</v>
      </c>
    </row>
    <row r="62125" spans="1:4" x14ac:dyDescent="0.2">
      <c r="B62125" t="s">
        <v>8</v>
      </c>
      <c r="D62125" t="s">
        <v>24441</v>
      </c>
    </row>
    <row r="62127" spans="1:4" x14ac:dyDescent="0.2">
      <c r="A62127" t="s">
        <v>19352</v>
      </c>
      <c r="B62127" t="str">
        <f>HYPERLINK("https://lindat.mff.cuni.cz/services/teitok/pdtc10/index.php?action=vallex&amp;frame=v-w8647f2_ZU", "vzdělávat (v-w8647f2_ZU)")</f>
        <v>vzdělávat (v-w8647f2_ZU)</v>
      </c>
    </row>
    <row r="62128" spans="1:4" x14ac:dyDescent="0.2">
      <c r="B62128" t="s">
        <v>1</v>
      </c>
    </row>
    <row r="62129" spans="1:4" x14ac:dyDescent="0.2">
      <c r="B62129" t="s">
        <v>8</v>
      </c>
    </row>
    <row r="62131" spans="1:4" x14ac:dyDescent="0.2">
      <c r="A62131" t="s">
        <v>19352</v>
      </c>
      <c r="B62131" t="str">
        <f>HYPERLINK("https://lindat.mff.cuni.cz/services/teitok/pdtc10/index.php?action=vallex&amp;frame=v-w8647f1", "vzdělávat (v-w8647f1) - substituted with v-w8647f2_ZU")</f>
        <v>vzdělávat (v-w8647f1) - substituted with v-w8647f2_ZU</v>
      </c>
    </row>
    <row r="62132" spans="1:4" x14ac:dyDescent="0.2">
      <c r="B62132" t="s">
        <v>1</v>
      </c>
      <c r="C62132" t="s">
        <v>33</v>
      </c>
      <c r="D62132" t="s">
        <v>1106</v>
      </c>
    </row>
    <row r="62133" spans="1:4" x14ac:dyDescent="0.2">
      <c r="B62133" t="s">
        <v>8</v>
      </c>
      <c r="C62133" t="s">
        <v>19353</v>
      </c>
      <c r="D62133" t="s">
        <v>24441</v>
      </c>
    </row>
    <row r="62135" spans="1:4" x14ac:dyDescent="0.2">
      <c r="A62135" t="s">
        <v>19354</v>
      </c>
      <c r="B62135" t="str">
        <f>HYPERLINK("https://lindat.mff.cuni.cz/services/teitok/pdtc10/index.php?action=vallex&amp;frame=v-w8651f1", "vzedmout (v-w8651f1)")</f>
        <v>vzedmout (v-w8651f1)</v>
      </c>
    </row>
    <row r="62136" spans="1:4" x14ac:dyDescent="0.2">
      <c r="B62136" t="s">
        <v>1</v>
      </c>
    </row>
    <row r="62137" spans="1:4" x14ac:dyDescent="0.2">
      <c r="B62137" t="s">
        <v>8</v>
      </c>
    </row>
    <row r="62139" spans="1:4" x14ac:dyDescent="0.2">
      <c r="A62139" t="s">
        <v>19355</v>
      </c>
      <c r="B62139" t="str">
        <f>HYPERLINK("https://lindat.mff.cuni.cz/services/teitok/pdtc10/index.php?action=vallex&amp;frame=v-w11488f1", "vzedmout se (v-w11488f1)")</f>
        <v>vzedmout se (v-w11488f1)</v>
      </c>
    </row>
    <row r="62140" spans="1:4" x14ac:dyDescent="0.2">
      <c r="B62140" t="s">
        <v>1</v>
      </c>
      <c r="C62140" t="s">
        <v>19356</v>
      </c>
    </row>
    <row r="62142" spans="1:4" x14ac:dyDescent="0.2">
      <c r="A62142" t="s">
        <v>19357</v>
      </c>
      <c r="B62142" t="str">
        <f>HYPERLINK("https://lindat.mff.cuni.cz/services/teitok/pdtc10/index.php?action=vallex&amp;frame=v-w8652f1", "vzejít (v-w8652f1)")</f>
        <v>vzejít (v-w8652f1)</v>
      </c>
    </row>
    <row r="62143" spans="1:4" x14ac:dyDescent="0.2">
      <c r="B62143" t="s">
        <v>1</v>
      </c>
      <c r="C62143" t="s">
        <v>19358</v>
      </c>
      <c r="D62143" t="s">
        <v>23789</v>
      </c>
    </row>
    <row r="62144" spans="1:4" x14ac:dyDescent="0.2">
      <c r="B62144" t="s">
        <v>168</v>
      </c>
      <c r="C62144" t="s">
        <v>19359</v>
      </c>
      <c r="D62144" t="s">
        <v>23790</v>
      </c>
    </row>
    <row r="62146" spans="1:4" x14ac:dyDescent="0.2">
      <c r="A62146" t="s">
        <v>19360</v>
      </c>
      <c r="B62146" t="str">
        <f>HYPERLINK("https://lindat.mff.cuni.cz/services/teitok/pdtc10/index.php?action=vallex&amp;frame=v-w8652f2", "vzejít (v-w8652f2)")</f>
        <v>vzejít (v-w8652f2)</v>
      </c>
    </row>
    <row r="62147" spans="1:4" x14ac:dyDescent="0.2">
      <c r="B62147" t="s">
        <v>1</v>
      </c>
    </row>
    <row r="62148" spans="1:4" x14ac:dyDescent="0.2">
      <c r="B62148" t="s">
        <v>333</v>
      </c>
    </row>
    <row r="62150" spans="1:4" x14ac:dyDescent="0.2">
      <c r="A62150" t="s">
        <v>19361</v>
      </c>
      <c r="B62150" t="str">
        <f>HYPERLINK("https://lindat.mff.cuni.cz/services/teitok/pdtc10/index.php?action=vallex&amp;frame=v-w11387f2", "vzepnout se (v-w11387f2)")</f>
        <v>vzepnout se (v-w11387f2)</v>
      </c>
    </row>
    <row r="62151" spans="1:4" x14ac:dyDescent="0.2">
      <c r="B62151" t="s">
        <v>1</v>
      </c>
      <c r="C62151" t="s">
        <v>1168</v>
      </c>
    </row>
    <row r="62152" spans="1:4" x14ac:dyDescent="0.2">
      <c r="B62152" t="s">
        <v>176</v>
      </c>
    </row>
    <row r="62154" spans="1:4" x14ac:dyDescent="0.2">
      <c r="A62154" t="s">
        <v>19362</v>
      </c>
      <c r="B62154" t="str">
        <f>HYPERLINK("https://lindat.mff.cuni.cz/services/teitok/pdtc10/index.php?action=vallex&amp;frame=v-w11311f1", "vzepřít se (v-w11311f1)")</f>
        <v>vzepřít se (v-w11311f1)</v>
      </c>
    </row>
    <row r="62155" spans="1:4" x14ac:dyDescent="0.2">
      <c r="B62155" t="s">
        <v>1</v>
      </c>
      <c r="C62155" t="s">
        <v>1065</v>
      </c>
      <c r="D62155" t="s">
        <v>80</v>
      </c>
    </row>
    <row r="62156" spans="1:4" x14ac:dyDescent="0.2">
      <c r="B62156" t="s">
        <v>9669</v>
      </c>
      <c r="C62156" t="s">
        <v>110</v>
      </c>
      <c r="D62156" t="s">
        <v>6439</v>
      </c>
    </row>
    <row r="62158" spans="1:4" x14ac:dyDescent="0.2">
      <c r="A62158" t="s">
        <v>19363</v>
      </c>
      <c r="B62158" t="str">
        <f>HYPERLINK("https://lindat.mff.cuni.cz/services/teitok/pdtc10/index.php?action=vallex&amp;frame=v-w8655f1", "vzhlédnout (v-w8655f1)")</f>
        <v>vzhlédnout (v-w8655f1)</v>
      </c>
    </row>
    <row r="62159" spans="1:4" x14ac:dyDescent="0.2">
      <c r="B62159" t="s">
        <v>1</v>
      </c>
      <c r="C62159" t="s">
        <v>2303</v>
      </c>
    </row>
    <row r="62160" spans="1:4" x14ac:dyDescent="0.2">
      <c r="B62160" t="s">
        <v>333</v>
      </c>
    </row>
    <row r="62162" spans="1:2" x14ac:dyDescent="0.2">
      <c r="A62162" t="s">
        <v>19364</v>
      </c>
      <c r="B62162" t="str">
        <f>HYPERLINK("https://lindat.mff.cuni.cz/services/teitok/pdtc10/index.php?action=vallex&amp;frame=v-w8655f2", "vzhlédnout (v-w8655f2)")</f>
        <v>vzhlédnout (v-w8655f2)</v>
      </c>
    </row>
    <row r="62163" spans="1:2" x14ac:dyDescent="0.2">
      <c r="B62163" t="s">
        <v>1</v>
      </c>
    </row>
    <row r="62164" spans="1:2" x14ac:dyDescent="0.2">
      <c r="B62164" t="s">
        <v>90</v>
      </c>
    </row>
    <row r="62166" spans="1:2" x14ac:dyDescent="0.2">
      <c r="A62166" t="s">
        <v>19365</v>
      </c>
      <c r="B62166" t="str">
        <f>HYPERLINK("https://lindat.mff.cuni.cz/services/teitok/pdtc10/index.php?action=vallex&amp;frame=v-w8656f1", "vzhlížet (v-w8656f1)")</f>
        <v>vzhlížet (v-w8656f1)</v>
      </c>
    </row>
    <row r="62167" spans="1:2" x14ac:dyDescent="0.2">
      <c r="B62167" t="s">
        <v>1</v>
      </c>
    </row>
    <row r="62168" spans="1:2" x14ac:dyDescent="0.2">
      <c r="B62168" t="s">
        <v>176</v>
      </c>
    </row>
    <row r="62170" spans="1:2" x14ac:dyDescent="0.2">
      <c r="A62170" t="s">
        <v>19366</v>
      </c>
      <c r="B62170" t="str">
        <f>HYPERLINK("https://lindat.mff.cuni.cz/services/teitok/pdtc10/index.php?action=vallex&amp;frame=v-w8656f2_ZU", "vzhlížet (v-w8656f2_ZU)")</f>
        <v>vzhlížet (v-w8656f2_ZU)</v>
      </c>
    </row>
    <row r="62171" spans="1:2" x14ac:dyDescent="0.2">
      <c r="B62171" t="s">
        <v>1</v>
      </c>
    </row>
    <row r="62172" spans="1:2" x14ac:dyDescent="0.2">
      <c r="B62172" t="s">
        <v>252</v>
      </c>
    </row>
    <row r="62174" spans="1:2" x14ac:dyDescent="0.2">
      <c r="A62174" t="s">
        <v>19367</v>
      </c>
      <c r="B62174" t="str">
        <f>HYPERLINK("https://lindat.mff.cuni.cz/services/teitok/pdtc10/index.php?action=vallex&amp;frame=v-w8661f1", "vzkazovat (v-w8661f1)")</f>
        <v>vzkazovat (v-w8661f1)</v>
      </c>
    </row>
    <row r="62175" spans="1:2" x14ac:dyDescent="0.2">
      <c r="B62175" t="s">
        <v>1</v>
      </c>
    </row>
    <row r="62176" spans="1:2" x14ac:dyDescent="0.2">
      <c r="B62176" t="s">
        <v>1770</v>
      </c>
    </row>
    <row r="62177" spans="1:4" x14ac:dyDescent="0.2">
      <c r="B62177" t="s">
        <v>35</v>
      </c>
    </row>
    <row r="62179" spans="1:4" x14ac:dyDescent="0.2">
      <c r="A62179" t="s">
        <v>19368</v>
      </c>
      <c r="B62179" t="str">
        <f>HYPERLINK("https://lindat.mff.cuni.cz/services/teitok/pdtc10/index.php?action=vallex&amp;frame=v-w8662f1", "vzklíčit (v-w8662f1)")</f>
        <v>vzklíčit (v-w8662f1)</v>
      </c>
    </row>
    <row r="62180" spans="1:4" x14ac:dyDescent="0.2">
      <c r="B62180" t="s">
        <v>1</v>
      </c>
    </row>
    <row r="62181" spans="1:4" x14ac:dyDescent="0.2">
      <c r="B62181" t="s">
        <v>438</v>
      </c>
    </row>
    <row r="62183" spans="1:4" x14ac:dyDescent="0.2">
      <c r="A62183" t="s">
        <v>19369</v>
      </c>
      <c r="B62183" t="str">
        <f>HYPERLINK("https://lindat.mff.cuni.cz/services/teitok/pdtc10/index.php?action=vallex&amp;frame=v-w10906f2", "vzkvétat (v-w10906f2)")</f>
        <v>vzkvétat (v-w10906f2)</v>
      </c>
    </row>
    <row r="62184" spans="1:4" x14ac:dyDescent="0.2">
      <c r="B62184" t="s">
        <v>1</v>
      </c>
      <c r="C62184" t="s">
        <v>579</v>
      </c>
      <c r="D62184" t="s">
        <v>23449</v>
      </c>
    </row>
    <row r="62186" spans="1:4" x14ac:dyDescent="0.2">
      <c r="A62186" t="s">
        <v>19370</v>
      </c>
      <c r="B62186" t="str">
        <f>HYPERLINK("https://lindat.mff.cuni.cz/services/teitok/pdtc10/index.php?action=vallex&amp;frame=v-w10217f2", "vzkypět (v-w10217f2)")</f>
        <v>vzkypět (v-w10217f2)</v>
      </c>
    </row>
    <row r="62187" spans="1:4" x14ac:dyDescent="0.2">
      <c r="B62187" t="s">
        <v>1</v>
      </c>
    </row>
    <row r="62189" spans="1:4" x14ac:dyDescent="0.2">
      <c r="A62189" t="s">
        <v>19371</v>
      </c>
      <c r="B62189" t="str">
        <f>HYPERLINK("https://lindat.mff.cuni.cz/services/teitok/pdtc10/index.php?action=vallex&amp;frame=v-w8660f1", "vzkázat (v-w8660f1)")</f>
        <v>vzkázat (v-w8660f1)</v>
      </c>
    </row>
    <row r="62190" spans="1:4" x14ac:dyDescent="0.2">
      <c r="B62190" t="s">
        <v>1</v>
      </c>
      <c r="D62190" t="s">
        <v>22967</v>
      </c>
    </row>
    <row r="62191" spans="1:4" x14ac:dyDescent="0.2">
      <c r="B62191" t="s">
        <v>1339</v>
      </c>
      <c r="D62191" t="s">
        <v>22968</v>
      </c>
    </row>
    <row r="62192" spans="1:4" x14ac:dyDescent="0.2">
      <c r="B62192" t="s">
        <v>35</v>
      </c>
      <c r="D62192" t="s">
        <v>22969</v>
      </c>
    </row>
    <row r="62194" spans="1:4" x14ac:dyDescent="0.2">
      <c r="A62194" t="s">
        <v>19372</v>
      </c>
      <c r="B62194" t="str">
        <f>HYPERLINK("https://lindat.mff.cuni.cz/services/teitok/pdtc10/index.php?action=vallex&amp;frame=v-w8663f1", "vzkřísit (v-w8663f1)")</f>
        <v>vzkřísit (v-w8663f1)</v>
      </c>
    </row>
    <row r="62195" spans="1:4" x14ac:dyDescent="0.2">
      <c r="B62195" t="s">
        <v>1</v>
      </c>
      <c r="C62195" t="s">
        <v>2239</v>
      </c>
      <c r="D62195" t="s">
        <v>23613</v>
      </c>
    </row>
    <row r="62196" spans="1:4" x14ac:dyDescent="0.2">
      <c r="B62196" t="s">
        <v>8</v>
      </c>
      <c r="C62196" t="s">
        <v>3433</v>
      </c>
      <c r="D62196" t="s">
        <v>12206</v>
      </c>
    </row>
    <row r="62198" spans="1:4" x14ac:dyDescent="0.2">
      <c r="A62198" t="s">
        <v>19373</v>
      </c>
      <c r="B62198" t="str">
        <f>HYPERLINK("https://lindat.mff.cuni.cz/services/teitok/pdtc10/index.php?action=vallex&amp;frame=v-w10568f2", "vzlétnout (v-w10568f2)")</f>
        <v>vzlétnout (v-w10568f2)</v>
      </c>
    </row>
    <row r="62199" spans="1:4" x14ac:dyDescent="0.2">
      <c r="B62199" t="s">
        <v>1</v>
      </c>
    </row>
    <row r="62201" spans="1:4" x14ac:dyDescent="0.2">
      <c r="A62201" t="s">
        <v>19374</v>
      </c>
      <c r="B62201" t="str">
        <f>HYPERLINK("https://lindat.mff.cuni.cz/services/teitok/pdtc10/index.php?action=vallex&amp;frame=v-whsa_185f1_ZU", "vzmoci se (v-whsa_185f1_ZU)")</f>
        <v>vzmoci se (v-whsa_185f1_ZU)</v>
      </c>
    </row>
    <row r="62202" spans="1:4" x14ac:dyDescent="0.2">
      <c r="B62202" t="s">
        <v>1</v>
      </c>
    </row>
    <row r="62203" spans="1:4" x14ac:dyDescent="0.2">
      <c r="B62203" t="s">
        <v>1471</v>
      </c>
    </row>
    <row r="62205" spans="1:4" x14ac:dyDescent="0.2">
      <c r="A62205" t="s">
        <v>19374</v>
      </c>
      <c r="B62205" t="str">
        <f>HYPERLINK("https://lindat.mff.cuni.cz/services/teitok/pdtc10/index.php?action=vallex&amp;frame=v-whsa_185hsa_186", "vzmoci se (v-whsa_185hsa_186) - substituted with v-whsa_185f1_ZU")</f>
        <v>vzmoci se (v-whsa_185hsa_186) - substituted with v-whsa_185f1_ZU</v>
      </c>
    </row>
    <row r="62206" spans="1:4" x14ac:dyDescent="0.2">
      <c r="B62206" t="s">
        <v>1</v>
      </c>
    </row>
    <row r="62207" spans="1:4" x14ac:dyDescent="0.2">
      <c r="B62207" t="s">
        <v>1471</v>
      </c>
    </row>
    <row r="62209" spans="1:4" x14ac:dyDescent="0.2">
      <c r="A62209" t="s">
        <v>19375</v>
      </c>
      <c r="B62209" t="str">
        <f>HYPERLINK("https://lindat.mff.cuni.cz/services/teitok/pdtc10/index.php?action=vallex&amp;frame=v-w8670f1", "vznikat (v-w8670f1)")</f>
        <v>vznikat (v-w8670f1)</v>
      </c>
    </row>
    <row r="62210" spans="1:4" x14ac:dyDescent="0.2">
      <c r="B62210" t="s">
        <v>1</v>
      </c>
      <c r="C62210" t="s">
        <v>19376</v>
      </c>
    </row>
    <row r="62211" spans="1:4" x14ac:dyDescent="0.2">
      <c r="B62211" t="s">
        <v>438</v>
      </c>
      <c r="C62211" t="s">
        <v>10500</v>
      </c>
    </row>
    <row r="62213" spans="1:4" x14ac:dyDescent="0.2">
      <c r="A62213" t="s">
        <v>19377</v>
      </c>
      <c r="B62213" t="str">
        <f>HYPERLINK("https://lindat.mff.cuni.cz/services/teitok/pdtc10/index.php?action=vallex&amp;frame=v-w8670f2", "vznikat (v-w8670f2)")</f>
        <v>vznikat (v-w8670f2)</v>
      </c>
    </row>
    <row r="62214" spans="1:4" x14ac:dyDescent="0.2">
      <c r="B62214" t="s">
        <v>19378</v>
      </c>
    </row>
    <row r="62215" spans="1:4" x14ac:dyDescent="0.2">
      <c r="B62215" t="s">
        <v>5491</v>
      </c>
    </row>
    <row r="62217" spans="1:4" x14ac:dyDescent="0.2">
      <c r="A62217" t="s">
        <v>19379</v>
      </c>
      <c r="B62217" t="str">
        <f>HYPERLINK("https://lindat.mff.cuni.cz/services/teitok/pdtc10/index.php?action=vallex&amp;frame=v-w8671f3", "vzniknout (v-w8671f3)")</f>
        <v>vzniknout (v-w8671f3)</v>
      </c>
    </row>
    <row r="62218" spans="1:4" x14ac:dyDescent="0.2">
      <c r="B62218" t="s">
        <v>1</v>
      </c>
      <c r="C62218" t="s">
        <v>19380</v>
      </c>
    </row>
    <row r="62219" spans="1:4" x14ac:dyDescent="0.2">
      <c r="B62219" t="s">
        <v>103</v>
      </c>
      <c r="C62219" t="s">
        <v>19381</v>
      </c>
    </row>
    <row r="62221" spans="1:4" x14ac:dyDescent="0.2">
      <c r="A62221" t="s">
        <v>19382</v>
      </c>
      <c r="B62221" t="str">
        <f>HYPERLINK("https://lindat.mff.cuni.cz/services/teitok/pdtc10/index.php?action=vallex&amp;frame=v-w8671f1", "vzniknout (v-w8671f1)")</f>
        <v>vzniknout (v-w8671f1)</v>
      </c>
    </row>
    <row r="62222" spans="1:4" x14ac:dyDescent="0.2">
      <c r="B62222" t="s">
        <v>1</v>
      </c>
      <c r="C62222" t="s">
        <v>19383</v>
      </c>
      <c r="D62222" t="s">
        <v>23789</v>
      </c>
    </row>
    <row r="62223" spans="1:4" x14ac:dyDescent="0.2">
      <c r="B62223" t="s">
        <v>438</v>
      </c>
      <c r="C62223" t="s">
        <v>19384</v>
      </c>
      <c r="D62223" t="s">
        <v>23790</v>
      </c>
    </row>
    <row r="62225" spans="1:4" x14ac:dyDescent="0.2">
      <c r="A62225" t="s">
        <v>19385</v>
      </c>
      <c r="B62225" t="str">
        <f>HYPERLINK("https://lindat.mff.cuni.cz/services/teitok/pdtc10/index.php?action=vallex&amp;frame=v-w8671f2", "vzniknout (v-w8671f2)")</f>
        <v>vzniknout (v-w8671f2)</v>
      </c>
    </row>
    <row r="62226" spans="1:4" x14ac:dyDescent="0.2">
      <c r="B62226" t="s">
        <v>19378</v>
      </c>
    </row>
    <row r="62227" spans="1:4" x14ac:dyDescent="0.2">
      <c r="B62227" t="s">
        <v>5491</v>
      </c>
    </row>
    <row r="62229" spans="1:4" x14ac:dyDescent="0.2">
      <c r="A62229" t="s">
        <v>19386</v>
      </c>
      <c r="B62229" t="str">
        <f>HYPERLINK("https://lindat.mff.cuni.cz/services/teitok/pdtc10/index.php?action=vallex&amp;frame=v-w8664f6_ZU", "vznášet (v-w8664f6_ZU)")</f>
        <v>vznášet (v-w8664f6_ZU)</v>
      </c>
    </row>
    <row r="62230" spans="1:4" x14ac:dyDescent="0.2">
      <c r="B62230" t="s">
        <v>1</v>
      </c>
      <c r="C62230" t="s">
        <v>5570</v>
      </c>
      <c r="D62230" t="s">
        <v>24442</v>
      </c>
    </row>
    <row r="62231" spans="1:4" x14ac:dyDescent="0.2">
      <c r="B62231" t="s">
        <v>19387</v>
      </c>
      <c r="C62231" t="s">
        <v>19388</v>
      </c>
      <c r="D62231" t="s">
        <v>24443</v>
      </c>
    </row>
    <row r="62232" spans="1:4" x14ac:dyDescent="0.2">
      <c r="B62232" t="s">
        <v>19389</v>
      </c>
      <c r="D62232" t="s">
        <v>24444</v>
      </c>
    </row>
    <row r="62234" spans="1:4" x14ac:dyDescent="0.2">
      <c r="A62234" t="s">
        <v>19386</v>
      </c>
      <c r="B62234" t="str">
        <f>HYPERLINK("https://lindat.mff.cuni.cz/services/teitok/pdtc10/index.php?action=vallex&amp;frame=v-w8664f2", "vznášet (v-w8664f2) - substituted with v-w8664f6_ZU")</f>
        <v>vznášet (v-w8664f2) - substituted with v-w8664f6_ZU</v>
      </c>
    </row>
    <row r="62235" spans="1:4" x14ac:dyDescent="0.2">
      <c r="B62235" t="s">
        <v>1</v>
      </c>
    </row>
    <row r="62236" spans="1:4" x14ac:dyDescent="0.2">
      <c r="B62236" t="s">
        <v>19387</v>
      </c>
    </row>
    <row r="62237" spans="1:4" x14ac:dyDescent="0.2">
      <c r="B62237" t="s">
        <v>19389</v>
      </c>
    </row>
    <row r="62239" spans="1:4" x14ac:dyDescent="0.2">
      <c r="A62239" t="s">
        <v>19390</v>
      </c>
      <c r="B62239" t="str">
        <f>HYPERLINK("https://lindat.mff.cuni.cz/services/teitok/pdtc10/index.php?action=vallex&amp;frame=v-w8664hsa_569", "vznášet (v-w8664hsa_569)")</f>
        <v>vznášet (v-w8664hsa_569)</v>
      </c>
    </row>
    <row r="62240" spans="1:4" x14ac:dyDescent="0.2">
      <c r="B62240" t="s">
        <v>1</v>
      </c>
    </row>
    <row r="62241" spans="1:2" x14ac:dyDescent="0.2">
      <c r="B62241" t="s">
        <v>19391</v>
      </c>
    </row>
    <row r="62242" spans="1:2" x14ac:dyDescent="0.2">
      <c r="B62242" t="s">
        <v>19392</v>
      </c>
    </row>
    <row r="62244" spans="1:2" x14ac:dyDescent="0.2">
      <c r="A62244" t="s">
        <v>19390</v>
      </c>
      <c r="B62244" t="str">
        <f>HYPERLINK("https://lindat.mff.cuni.cz/services/teitok/pdtc10/index.php?action=vallex&amp;frame=v-w8664f1", "vznášet (v-w8664f1) - substituted with v-w8664hsa_569")</f>
        <v>vznášet (v-w8664f1) - substituted with v-w8664hsa_569</v>
      </c>
    </row>
    <row r="62245" spans="1:2" x14ac:dyDescent="0.2">
      <c r="B62245" t="s">
        <v>1</v>
      </c>
    </row>
    <row r="62246" spans="1:2" x14ac:dyDescent="0.2">
      <c r="B62246" t="s">
        <v>19391</v>
      </c>
    </row>
    <row r="62247" spans="1:2" x14ac:dyDescent="0.2">
      <c r="B62247" t="s">
        <v>19392</v>
      </c>
    </row>
    <row r="62249" spans="1:2" x14ac:dyDescent="0.2">
      <c r="A62249" t="s">
        <v>19390</v>
      </c>
      <c r="B62249" t="str">
        <f>HYPERLINK("https://lindat.mff.cuni.cz/services/teitok/pdtc10/index.php?action=vallex&amp;frame=v-w8664f3_ZU", "vznášet (v-w8664f3_ZU) - substituted with v-w8664hsa_569")</f>
        <v>vznášet (v-w8664f3_ZU) - substituted with v-w8664hsa_569</v>
      </c>
    </row>
    <row r="62250" spans="1:2" x14ac:dyDescent="0.2">
      <c r="B62250" t="s">
        <v>1</v>
      </c>
    </row>
    <row r="62251" spans="1:2" x14ac:dyDescent="0.2">
      <c r="B62251" t="s">
        <v>19391</v>
      </c>
    </row>
    <row r="62252" spans="1:2" x14ac:dyDescent="0.2">
      <c r="B62252" t="s">
        <v>19392</v>
      </c>
    </row>
    <row r="62254" spans="1:2" x14ac:dyDescent="0.2">
      <c r="A62254" t="s">
        <v>19390</v>
      </c>
      <c r="B62254" t="str">
        <f>HYPERLINK("https://lindat.mff.cuni.cz/services/teitok/pdtc10/index.php?action=vallex&amp;frame=v-w8664f4_ZU", "vznášet (v-w8664f4_ZU) - substituted with v-w8664hsa_569")</f>
        <v>vznášet (v-w8664f4_ZU) - substituted with v-w8664hsa_569</v>
      </c>
    </row>
    <row r="62255" spans="1:2" x14ac:dyDescent="0.2">
      <c r="B62255" t="s">
        <v>1</v>
      </c>
    </row>
    <row r="62256" spans="1:2" x14ac:dyDescent="0.2">
      <c r="B62256" t="s">
        <v>19391</v>
      </c>
    </row>
    <row r="62257" spans="1:4" x14ac:dyDescent="0.2">
      <c r="B62257" t="s">
        <v>19392</v>
      </c>
    </row>
    <row r="62259" spans="1:4" x14ac:dyDescent="0.2">
      <c r="A62259" t="s">
        <v>19390</v>
      </c>
      <c r="B62259" t="str">
        <f>HYPERLINK("https://lindat.mff.cuni.cz/services/teitok/pdtc10/index.php?action=vallex&amp;frame=v-w8664f5_ZU", "vznášet (v-w8664f5_ZU) - substituted with v-w8664hsa_569")</f>
        <v>vznášet (v-w8664f5_ZU) - substituted with v-w8664hsa_569</v>
      </c>
    </row>
    <row r="62260" spans="1:4" x14ac:dyDescent="0.2">
      <c r="B62260" t="s">
        <v>1</v>
      </c>
    </row>
    <row r="62261" spans="1:4" x14ac:dyDescent="0.2">
      <c r="B62261" t="s">
        <v>19391</v>
      </c>
    </row>
    <row r="62262" spans="1:4" x14ac:dyDescent="0.2">
      <c r="B62262" t="s">
        <v>19392</v>
      </c>
    </row>
    <row r="62264" spans="1:4" x14ac:dyDescent="0.2">
      <c r="A62264" t="s">
        <v>19393</v>
      </c>
      <c r="B62264" t="str">
        <f>HYPERLINK("https://lindat.mff.cuni.cz/services/teitok/pdtc10/index.php?action=vallex&amp;frame=v-w8665f1", "vznášet se (v-w8665f1)")</f>
        <v>vznášet se (v-w8665f1)</v>
      </c>
    </row>
    <row r="62265" spans="1:4" x14ac:dyDescent="0.2">
      <c r="B62265" t="s">
        <v>1</v>
      </c>
      <c r="C62265" t="s">
        <v>12452</v>
      </c>
    </row>
    <row r="62266" spans="1:4" x14ac:dyDescent="0.2">
      <c r="B62266" t="s">
        <v>5</v>
      </c>
      <c r="C62266" t="s">
        <v>19394</v>
      </c>
    </row>
    <row r="62268" spans="1:4" x14ac:dyDescent="0.2">
      <c r="A62268" t="s">
        <v>19395</v>
      </c>
      <c r="B62268" t="str">
        <f>HYPERLINK("https://lindat.mff.cuni.cz/services/teitok/pdtc10/index.php?action=vallex&amp;frame=v-w8665f2", "vznášet se (v-w8665f2)")</f>
        <v>vznášet se (v-w8665f2)</v>
      </c>
    </row>
    <row r="62269" spans="1:4" x14ac:dyDescent="0.2">
      <c r="B62269" t="s">
        <v>1</v>
      </c>
      <c r="C62269" t="s">
        <v>1168</v>
      </c>
    </row>
    <row r="62271" spans="1:4" x14ac:dyDescent="0.2">
      <c r="A62271" t="s">
        <v>19396</v>
      </c>
      <c r="B62271" t="str">
        <f>HYPERLINK("https://lindat.mff.cuni.cz/services/teitok/pdtc10/index.php?action=vallex&amp;frame=v-w8666f6_ZU", "vznést (v-w8666f6_ZU)")</f>
        <v>vznést (v-w8666f6_ZU)</v>
      </c>
    </row>
    <row r="62272" spans="1:4" x14ac:dyDescent="0.2">
      <c r="B62272" t="s">
        <v>1</v>
      </c>
      <c r="C62272" t="s">
        <v>15163</v>
      </c>
      <c r="D62272" t="s">
        <v>24442</v>
      </c>
    </row>
    <row r="62273" spans="1:4" x14ac:dyDescent="0.2">
      <c r="B62273" t="s">
        <v>19397</v>
      </c>
      <c r="C62273" t="s">
        <v>19398</v>
      </c>
      <c r="D62273" t="s">
        <v>24443</v>
      </c>
    </row>
    <row r="62274" spans="1:4" x14ac:dyDescent="0.2">
      <c r="B62274" t="s">
        <v>19392</v>
      </c>
      <c r="C62274" t="s">
        <v>16096</v>
      </c>
      <c r="D62274" t="s">
        <v>24444</v>
      </c>
    </row>
    <row r="62276" spans="1:4" x14ac:dyDescent="0.2">
      <c r="A62276" t="s">
        <v>19396</v>
      </c>
      <c r="B62276" t="str">
        <f>HYPERLINK("https://lindat.mff.cuni.cz/services/teitok/pdtc10/index.php?action=vallex&amp;frame=v-w8666f2", "vznést (v-w8666f2) - substituted with v-w8666f6_ZU")</f>
        <v>vznést (v-w8666f2) - substituted with v-w8666f6_ZU</v>
      </c>
    </row>
    <row r="62277" spans="1:4" x14ac:dyDescent="0.2">
      <c r="B62277" t="s">
        <v>1</v>
      </c>
    </row>
    <row r="62278" spans="1:4" x14ac:dyDescent="0.2">
      <c r="B62278" t="s">
        <v>19397</v>
      </c>
    </row>
    <row r="62279" spans="1:4" x14ac:dyDescent="0.2">
      <c r="B62279" t="s">
        <v>19392</v>
      </c>
    </row>
    <row r="62281" spans="1:4" x14ac:dyDescent="0.2">
      <c r="A62281" t="s">
        <v>19396</v>
      </c>
      <c r="B62281" t="str">
        <f>HYPERLINK("https://lindat.mff.cuni.cz/services/teitok/pdtc10/index.php?action=vallex&amp;frame=v-w8666f4_ZU", "vznést (v-w8666f4_ZU) - substituted with v-w8666f6_ZU")</f>
        <v>vznést (v-w8666f4_ZU) - substituted with v-w8666f6_ZU</v>
      </c>
    </row>
    <row r="62282" spans="1:4" x14ac:dyDescent="0.2">
      <c r="B62282" t="s">
        <v>1</v>
      </c>
      <c r="C62282" t="s">
        <v>5570</v>
      </c>
    </row>
    <row r="62283" spans="1:4" x14ac:dyDescent="0.2">
      <c r="B62283" t="s">
        <v>19397</v>
      </c>
      <c r="C62283" t="s">
        <v>18987</v>
      </c>
    </row>
    <row r="62284" spans="1:4" x14ac:dyDescent="0.2">
      <c r="B62284" t="s">
        <v>19392</v>
      </c>
    </row>
    <row r="62286" spans="1:4" x14ac:dyDescent="0.2">
      <c r="A62286" t="s">
        <v>19396</v>
      </c>
      <c r="B62286" t="str">
        <f>HYPERLINK("https://lindat.mff.cuni.cz/services/teitok/pdtc10/index.php?action=vallex&amp;frame=v-w8666f5_ZU", "vznést (v-w8666f5_ZU) - substituted with v-w8666f6_ZU")</f>
        <v>vznést (v-w8666f5_ZU) - substituted with v-w8666f6_ZU</v>
      </c>
    </row>
    <row r="62287" spans="1:4" x14ac:dyDescent="0.2">
      <c r="B62287" t="s">
        <v>1</v>
      </c>
      <c r="C62287" t="s">
        <v>19399</v>
      </c>
    </row>
    <row r="62288" spans="1:4" x14ac:dyDescent="0.2">
      <c r="B62288" t="s">
        <v>19397</v>
      </c>
      <c r="C62288" t="s">
        <v>19400</v>
      </c>
    </row>
    <row r="62289" spans="1:3" x14ac:dyDescent="0.2">
      <c r="B62289" t="s">
        <v>19392</v>
      </c>
      <c r="C62289" t="s">
        <v>16096</v>
      </c>
    </row>
    <row r="62291" spans="1:3" x14ac:dyDescent="0.2">
      <c r="A62291" t="s">
        <v>19401</v>
      </c>
      <c r="B62291" t="str">
        <f>HYPERLINK("https://lindat.mff.cuni.cz/services/teitok/pdtc10/index.php?action=vallex&amp;frame=v-w8666f3_ZU", "vznést (v-w8666f3_ZU)")</f>
        <v>vznést (v-w8666f3_ZU)</v>
      </c>
    </row>
    <row r="62292" spans="1:3" x14ac:dyDescent="0.2">
      <c r="B62292" t="s">
        <v>7282</v>
      </c>
    </row>
    <row r="62293" spans="1:3" x14ac:dyDescent="0.2">
      <c r="B62293" t="s">
        <v>19402</v>
      </c>
    </row>
    <row r="62295" spans="1:3" x14ac:dyDescent="0.2">
      <c r="A62295" t="s">
        <v>19401</v>
      </c>
      <c r="B62295" t="str">
        <f>HYPERLINK("https://lindat.mff.cuni.cz/services/teitok/pdtc10/index.php?action=vallex&amp;frame=v-w8666f1", "vznést (v-w8666f1) - substituted with v-w8666f3_ZU")</f>
        <v>vznést (v-w8666f1) - substituted with v-w8666f3_ZU</v>
      </c>
    </row>
    <row r="62296" spans="1:3" x14ac:dyDescent="0.2">
      <c r="B62296" t="s">
        <v>7282</v>
      </c>
    </row>
    <row r="62297" spans="1:3" x14ac:dyDescent="0.2">
      <c r="B62297" t="s">
        <v>19402</v>
      </c>
    </row>
    <row r="62299" spans="1:3" x14ac:dyDescent="0.2">
      <c r="A62299" t="s">
        <v>19403</v>
      </c>
      <c r="B62299" t="str">
        <f>HYPERLINK("https://lindat.mff.cuni.cz/services/teitok/pdtc10/index.php?action=vallex&amp;frame=v-whsa_550f1_ZU", "vznít se (v-whsa_550f1_ZU)")</f>
        <v>vznít se (v-whsa_550f1_ZU)</v>
      </c>
    </row>
    <row r="62300" spans="1:3" x14ac:dyDescent="0.2">
      <c r="B62300" t="s">
        <v>1</v>
      </c>
    </row>
    <row r="62301" spans="1:3" x14ac:dyDescent="0.2">
      <c r="B62301" t="s">
        <v>438</v>
      </c>
    </row>
    <row r="62303" spans="1:3" x14ac:dyDescent="0.2">
      <c r="A62303" t="s">
        <v>19403</v>
      </c>
      <c r="B62303" t="str">
        <f>HYPERLINK("https://lindat.mff.cuni.cz/services/teitok/pdtc10/index.php?action=vallex&amp;frame=v-whsb_550hsa_551", "vznít se (v-whsb_550hsa_551) - substituted with v-whsa_550f1_ZU")</f>
        <v>vznít se (v-whsb_550hsa_551) - substituted with v-whsa_550f1_ZU</v>
      </c>
    </row>
    <row r="62304" spans="1:3" x14ac:dyDescent="0.2">
      <c r="B62304" t="s">
        <v>1</v>
      </c>
    </row>
    <row r="62305" spans="1:4" x14ac:dyDescent="0.2">
      <c r="B62305" t="s">
        <v>438</v>
      </c>
    </row>
    <row r="62307" spans="1:4" x14ac:dyDescent="0.2">
      <c r="A62307" t="s">
        <v>19404</v>
      </c>
      <c r="B62307" t="str">
        <f>HYPERLINK("https://lindat.mff.cuni.cz/services/teitok/pdtc10/index.php?action=vallex&amp;frame=v-w8672f1", "vznítit se (v-w8672f1)")</f>
        <v>vznítit se (v-w8672f1)</v>
      </c>
    </row>
    <row r="62308" spans="1:4" x14ac:dyDescent="0.2">
      <c r="B62308" t="s">
        <v>1</v>
      </c>
    </row>
    <row r="62309" spans="1:4" x14ac:dyDescent="0.2">
      <c r="B62309" t="s">
        <v>438</v>
      </c>
    </row>
    <row r="62311" spans="1:4" x14ac:dyDescent="0.2">
      <c r="A62311" t="s">
        <v>19405</v>
      </c>
      <c r="B62311" t="str">
        <f>HYPERLINK("https://lindat.mff.cuni.cz/services/teitok/pdtc10/index.php?action=vallex&amp;frame=v-w8674f1", "vzpamatovat se (v-w8674f1)")</f>
        <v>vzpamatovat se (v-w8674f1)</v>
      </c>
    </row>
    <row r="62312" spans="1:4" x14ac:dyDescent="0.2">
      <c r="B62312" t="s">
        <v>1</v>
      </c>
      <c r="C62312" t="s">
        <v>19406</v>
      </c>
      <c r="D62312" t="s">
        <v>23062</v>
      </c>
    </row>
    <row r="62313" spans="1:4" x14ac:dyDescent="0.2">
      <c r="B62313" t="s">
        <v>438</v>
      </c>
      <c r="C62313" t="s">
        <v>19407</v>
      </c>
    </row>
    <row r="62315" spans="1:4" x14ac:dyDescent="0.2">
      <c r="A62315" t="s">
        <v>19408</v>
      </c>
      <c r="B62315" t="str">
        <f>HYPERLINK("https://lindat.mff.cuni.cz/services/teitok/pdtc10/index.php?action=vallex&amp;frame=v-w8675f1", "vzpamatovávat se (v-w8675f1)")</f>
        <v>vzpamatovávat se (v-w8675f1)</v>
      </c>
    </row>
    <row r="62316" spans="1:4" x14ac:dyDescent="0.2">
      <c r="B62316" t="s">
        <v>1</v>
      </c>
      <c r="C62316" t="s">
        <v>19409</v>
      </c>
      <c r="D62316" t="s">
        <v>23062</v>
      </c>
    </row>
    <row r="62317" spans="1:4" x14ac:dyDescent="0.2">
      <c r="B62317" t="s">
        <v>438</v>
      </c>
      <c r="C62317" t="s">
        <v>19410</v>
      </c>
    </row>
    <row r="62319" spans="1:4" x14ac:dyDescent="0.2">
      <c r="A62319" t="s">
        <v>19411</v>
      </c>
      <c r="B62319" t="str">
        <f>HYPERLINK("https://lindat.mff.cuni.cz/services/teitok/pdtc10/index.php?action=vallex&amp;frame=v-w8678f3", "vzplanout (v-w8678f3)")</f>
        <v>vzplanout (v-w8678f3)</v>
      </c>
    </row>
    <row r="62320" spans="1:4" x14ac:dyDescent="0.2">
      <c r="B62320" t="s">
        <v>1</v>
      </c>
    </row>
    <row r="62321" spans="1:4" x14ac:dyDescent="0.2">
      <c r="B62321" t="s">
        <v>1410</v>
      </c>
    </row>
    <row r="62323" spans="1:4" x14ac:dyDescent="0.2">
      <c r="A62323" t="s">
        <v>19412</v>
      </c>
      <c r="B62323" t="str">
        <f>HYPERLINK("https://lindat.mff.cuni.cz/services/teitok/pdtc10/index.php?action=vallex&amp;frame=v-w8678f1", "vzplanout (v-w8678f1)")</f>
        <v>vzplanout (v-w8678f1)</v>
      </c>
    </row>
    <row r="62324" spans="1:4" x14ac:dyDescent="0.2">
      <c r="B62324" t="s">
        <v>1</v>
      </c>
      <c r="C62324" t="s">
        <v>7489</v>
      </c>
    </row>
    <row r="62325" spans="1:4" x14ac:dyDescent="0.2">
      <c r="B62325" t="s">
        <v>438</v>
      </c>
    </row>
    <row r="62327" spans="1:4" x14ac:dyDescent="0.2">
      <c r="A62327" t="s">
        <v>19413</v>
      </c>
      <c r="B62327" t="str">
        <f>HYPERLINK("https://lindat.mff.cuni.cz/services/teitok/pdtc10/index.php?action=vallex&amp;frame=v-w8678f4_ZU", "vzplanout (v-w8678f4_ZU)")</f>
        <v>vzplanout (v-w8678f4_ZU)</v>
      </c>
    </row>
    <row r="62328" spans="1:4" x14ac:dyDescent="0.2">
      <c r="B62328" t="s">
        <v>1</v>
      </c>
      <c r="C62328" t="s">
        <v>579</v>
      </c>
    </row>
    <row r="62329" spans="1:4" x14ac:dyDescent="0.2">
      <c r="B62329" t="s">
        <v>438</v>
      </c>
    </row>
    <row r="62331" spans="1:4" x14ac:dyDescent="0.2">
      <c r="A62331" t="s">
        <v>19414</v>
      </c>
      <c r="B62331" t="str">
        <f>HYPERLINK("https://lindat.mff.cuni.cz/services/teitok/pdtc10/index.php?action=vallex&amp;frame=v-w8678f2", "vzplanout (v-w8678f2)")</f>
        <v>vzplanout (v-w8678f2)</v>
      </c>
    </row>
    <row r="62332" spans="1:4" x14ac:dyDescent="0.2">
      <c r="B62332" t="s">
        <v>1</v>
      </c>
    </row>
    <row r="62333" spans="1:4" x14ac:dyDescent="0.2">
      <c r="B62333" t="s">
        <v>19415</v>
      </c>
    </row>
    <row r="62335" spans="1:4" x14ac:dyDescent="0.2">
      <c r="A62335" t="s">
        <v>19416</v>
      </c>
      <c r="B62335" t="str">
        <f>HYPERLINK("https://lindat.mff.cuni.cz/services/teitok/pdtc10/index.php?action=vallex&amp;frame=v-w8680f1", "vzpomenout (v-w8680f1)")</f>
        <v>vzpomenout (v-w8680f1)</v>
      </c>
    </row>
    <row r="62336" spans="1:4" x14ac:dyDescent="0.2">
      <c r="B62336" t="s">
        <v>1</v>
      </c>
      <c r="C62336" t="s">
        <v>1805</v>
      </c>
      <c r="D62336" t="s">
        <v>11295</v>
      </c>
    </row>
    <row r="62337" spans="1:4" x14ac:dyDescent="0.2">
      <c r="B62337" t="s">
        <v>19417</v>
      </c>
      <c r="C62337" t="s">
        <v>5674</v>
      </c>
      <c r="D62337" t="s">
        <v>23776</v>
      </c>
    </row>
    <row r="62339" spans="1:4" x14ac:dyDescent="0.2">
      <c r="A62339" t="s">
        <v>19418</v>
      </c>
      <c r="B62339" t="str">
        <f>HYPERLINK("https://lindat.mff.cuni.cz/services/teitok/pdtc10/index.php?action=vallex&amp;frame=v-w8681f2_ZU", "vzpomenout si (v-w8681f2_ZU)")</f>
        <v>vzpomenout si (v-w8681f2_ZU)</v>
      </c>
    </row>
    <row r="62340" spans="1:4" x14ac:dyDescent="0.2">
      <c r="B62340" t="s">
        <v>1</v>
      </c>
    </row>
    <row r="62341" spans="1:4" x14ac:dyDescent="0.2">
      <c r="B62341" t="s">
        <v>19419</v>
      </c>
    </row>
    <row r="62343" spans="1:4" x14ac:dyDescent="0.2">
      <c r="A62343" t="s">
        <v>19418</v>
      </c>
      <c r="B62343" t="str">
        <f>HYPERLINK("https://lindat.mff.cuni.cz/services/teitok/pdtc10/index.php?action=vallex&amp;frame=v-w8681f1", "vzpomenout si (v-w8681f1) - substituted with v-w8681f2_ZU")</f>
        <v>vzpomenout si (v-w8681f1) - substituted with v-w8681f2_ZU</v>
      </c>
    </row>
    <row r="62344" spans="1:4" x14ac:dyDescent="0.2">
      <c r="B62344" t="s">
        <v>1</v>
      </c>
      <c r="C62344" t="s">
        <v>19420</v>
      </c>
      <c r="D62344" t="s">
        <v>11295</v>
      </c>
    </row>
    <row r="62345" spans="1:4" x14ac:dyDescent="0.2">
      <c r="B62345" t="s">
        <v>19419</v>
      </c>
      <c r="C62345" t="s">
        <v>19421</v>
      </c>
      <c r="D62345" t="s">
        <v>23776</v>
      </c>
    </row>
    <row r="62347" spans="1:4" x14ac:dyDescent="0.2">
      <c r="A62347" t="s">
        <v>19418</v>
      </c>
      <c r="B62347" t="str">
        <f>HYPERLINK("https://lindat.mff.cuni.cz/services/teitok/pdtc10/index.php?action=vallex&amp;frame=v-w8681hsa_1551", "vzpomenout si (v-w8681hsa_1551) - substituted with v-w8681f2_ZU")</f>
        <v>vzpomenout si (v-w8681hsa_1551) - substituted with v-w8681f2_ZU</v>
      </c>
    </row>
    <row r="62348" spans="1:4" x14ac:dyDescent="0.2">
      <c r="B62348" t="s">
        <v>1</v>
      </c>
    </row>
    <row r="62349" spans="1:4" x14ac:dyDescent="0.2">
      <c r="B62349" t="s">
        <v>19419</v>
      </c>
    </row>
    <row r="62351" spans="1:4" x14ac:dyDescent="0.2">
      <c r="A62351" t="s">
        <v>19422</v>
      </c>
      <c r="B62351" t="str">
        <f>HYPERLINK("https://lindat.mff.cuni.cz/services/teitok/pdtc10/index.php?action=vallex&amp;frame=v-w8682f5_ZU", "vzpomínat (v-w8682f5_ZU)")</f>
        <v>vzpomínat (v-w8682f5_ZU)</v>
      </c>
    </row>
    <row r="62352" spans="1:4" x14ac:dyDescent="0.2">
      <c r="B62352" t="s">
        <v>1</v>
      </c>
    </row>
    <row r="62353" spans="1:4" x14ac:dyDescent="0.2">
      <c r="B62353" t="s">
        <v>19423</v>
      </c>
    </row>
    <row r="62355" spans="1:4" x14ac:dyDescent="0.2">
      <c r="A62355" t="s">
        <v>19422</v>
      </c>
      <c r="B62355" t="str">
        <f>HYPERLINK("https://lindat.mff.cuni.cz/services/teitok/pdtc10/index.php?action=vallex&amp;frame=v-w8682f1", "vzpomínat (v-w8682f1) - substituted with v-w8682f5_ZU")</f>
        <v>vzpomínat (v-w8682f1) - substituted with v-w8682f5_ZU</v>
      </c>
    </row>
    <row r="62356" spans="1:4" x14ac:dyDescent="0.2">
      <c r="B62356" t="s">
        <v>1</v>
      </c>
      <c r="C62356" t="s">
        <v>19424</v>
      </c>
      <c r="D62356" t="s">
        <v>11295</v>
      </c>
    </row>
    <row r="62357" spans="1:4" x14ac:dyDescent="0.2">
      <c r="B62357" t="s">
        <v>19423</v>
      </c>
      <c r="C62357" t="s">
        <v>19425</v>
      </c>
      <c r="D62357" t="s">
        <v>23776</v>
      </c>
    </row>
    <row r="62359" spans="1:4" x14ac:dyDescent="0.2">
      <c r="A62359" t="s">
        <v>19422</v>
      </c>
      <c r="B62359" t="str">
        <f>HYPERLINK("https://lindat.mff.cuni.cz/services/teitok/pdtc10/index.php?action=vallex&amp;frame=v-w8682f2_ZU", "vzpomínat (v-w8682f2_ZU) - substituted with v-w8682f5_ZU")</f>
        <v>vzpomínat (v-w8682f2_ZU) - substituted with v-w8682f5_ZU</v>
      </c>
    </row>
    <row r="62360" spans="1:4" x14ac:dyDescent="0.2">
      <c r="B62360" t="s">
        <v>1</v>
      </c>
    </row>
    <row r="62361" spans="1:4" x14ac:dyDescent="0.2">
      <c r="B62361" t="s">
        <v>19423</v>
      </c>
    </row>
    <row r="62363" spans="1:4" x14ac:dyDescent="0.2">
      <c r="A62363" t="s">
        <v>19422</v>
      </c>
      <c r="B62363" t="str">
        <f>HYPERLINK("https://lindat.mff.cuni.cz/services/teitok/pdtc10/index.php?action=vallex&amp;frame=v-w8682f3_ZU", "vzpomínat (v-w8682f3_ZU) - substituted with v-w8682f5_ZU")</f>
        <v>vzpomínat (v-w8682f3_ZU) - substituted with v-w8682f5_ZU</v>
      </c>
    </row>
    <row r="62364" spans="1:4" x14ac:dyDescent="0.2">
      <c r="B62364" t="s">
        <v>1</v>
      </c>
    </row>
    <row r="62365" spans="1:4" x14ac:dyDescent="0.2">
      <c r="B62365" t="s">
        <v>19423</v>
      </c>
    </row>
    <row r="62367" spans="1:4" x14ac:dyDescent="0.2">
      <c r="A62367" t="s">
        <v>19422</v>
      </c>
      <c r="B62367" t="str">
        <f>HYPERLINK("https://lindat.mff.cuni.cz/services/teitok/pdtc10/index.php?action=vallex&amp;frame=v-w8682f4_ZU", "vzpomínat (v-w8682f4_ZU) - substituted with v-w8682f5_ZU")</f>
        <v>vzpomínat (v-w8682f4_ZU) - substituted with v-w8682f5_ZU</v>
      </c>
    </row>
    <row r="62368" spans="1:4" x14ac:dyDescent="0.2">
      <c r="B62368" t="s">
        <v>1</v>
      </c>
    </row>
    <row r="62369" spans="1:4" x14ac:dyDescent="0.2">
      <c r="B62369" t="s">
        <v>19423</v>
      </c>
    </row>
    <row r="62371" spans="1:4" x14ac:dyDescent="0.2">
      <c r="A62371" t="s">
        <v>19426</v>
      </c>
      <c r="B62371" t="str">
        <f>HYPERLINK("https://lindat.mff.cuni.cz/services/teitok/pdtc10/index.php?action=vallex&amp;frame=v-w8683f3_MM", "vzpomínat si (v-w8683f3_MM)")</f>
        <v>vzpomínat si (v-w8683f3_MM)</v>
      </c>
    </row>
    <row r="62372" spans="1:4" x14ac:dyDescent="0.2">
      <c r="B62372" t="s">
        <v>1</v>
      </c>
    </row>
    <row r="62373" spans="1:4" x14ac:dyDescent="0.2">
      <c r="B62373" t="s">
        <v>19427</v>
      </c>
    </row>
    <row r="62375" spans="1:4" x14ac:dyDescent="0.2">
      <c r="A62375" t="s">
        <v>19426</v>
      </c>
      <c r="B62375" t="str">
        <f>HYPERLINK("https://lindat.mff.cuni.cz/services/teitok/pdtc10/index.php?action=vallex&amp;frame=v-w8683f1", "vzpomínat si (v-w8683f1) - substituted with v-w8683f3_MM")</f>
        <v>vzpomínat si (v-w8683f1) - substituted with v-w8683f3_MM</v>
      </c>
    </row>
    <row r="62376" spans="1:4" x14ac:dyDescent="0.2">
      <c r="B62376" t="s">
        <v>1</v>
      </c>
      <c r="C62376" t="s">
        <v>8467</v>
      </c>
    </row>
    <row r="62377" spans="1:4" x14ac:dyDescent="0.2">
      <c r="B62377" t="s">
        <v>19427</v>
      </c>
      <c r="C62377" t="s">
        <v>1241</v>
      </c>
    </row>
    <row r="62379" spans="1:4" x14ac:dyDescent="0.2">
      <c r="A62379" t="s">
        <v>19426</v>
      </c>
      <c r="B62379" t="str">
        <f>HYPERLINK("https://lindat.mff.cuni.cz/services/teitok/pdtc10/index.php?action=vallex&amp;frame=v-w8683f2_ZU", "vzpomínat si (v-w8683f2_ZU) - substituted with v-w8683f3_MM")</f>
        <v>vzpomínat si (v-w8683f2_ZU) - substituted with v-w8683f3_MM</v>
      </c>
    </row>
    <row r="62380" spans="1:4" x14ac:dyDescent="0.2">
      <c r="B62380" t="s">
        <v>1</v>
      </c>
      <c r="C62380" t="s">
        <v>8467</v>
      </c>
      <c r="D62380" t="s">
        <v>11295</v>
      </c>
    </row>
    <row r="62381" spans="1:4" x14ac:dyDescent="0.2">
      <c r="B62381" t="s">
        <v>19427</v>
      </c>
      <c r="C62381" t="s">
        <v>1241</v>
      </c>
      <c r="D62381" t="s">
        <v>23776</v>
      </c>
    </row>
    <row r="62383" spans="1:4" x14ac:dyDescent="0.2">
      <c r="A62383" t="s">
        <v>19428</v>
      </c>
      <c r="B62383" t="str">
        <f>HYPERLINK("https://lindat.mff.cuni.cz/services/teitok/pdtc10/index.php?action=vallex&amp;frame=v-w10246f2", "vzpružit (v-w10246f2)")</f>
        <v>vzpružit (v-w10246f2)</v>
      </c>
    </row>
    <row r="62384" spans="1:4" x14ac:dyDescent="0.2">
      <c r="B62384" t="s">
        <v>1</v>
      </c>
      <c r="C62384" t="s">
        <v>80</v>
      </c>
    </row>
    <row r="62385" spans="1:4" x14ac:dyDescent="0.2">
      <c r="B62385" t="s">
        <v>8</v>
      </c>
      <c r="C62385" t="s">
        <v>56</v>
      </c>
    </row>
    <row r="62387" spans="1:4" x14ac:dyDescent="0.2">
      <c r="A62387" t="s">
        <v>19429</v>
      </c>
      <c r="B62387" t="str">
        <f>HYPERLINK("https://lindat.mff.cuni.cz/services/teitok/pdtc10/index.php?action=vallex&amp;frame=v-w8676f1", "vzpínat se (v-w8676f1)")</f>
        <v>vzpínat se (v-w8676f1)</v>
      </c>
    </row>
    <row r="62388" spans="1:4" x14ac:dyDescent="0.2">
      <c r="B62388" t="s">
        <v>1</v>
      </c>
      <c r="D62388" t="s">
        <v>140</v>
      </c>
    </row>
    <row r="62390" spans="1:4" x14ac:dyDescent="0.2">
      <c r="A62390" t="s">
        <v>19430</v>
      </c>
      <c r="B62390" t="str">
        <f>HYPERLINK("https://lindat.mff.cuni.cz/services/teitok/pdtc10/index.php?action=vallex&amp;frame=v-w8677f1", "vzpírat se (v-w8677f1)")</f>
        <v>vzpírat se (v-w8677f1)</v>
      </c>
    </row>
    <row r="62391" spans="1:4" x14ac:dyDescent="0.2">
      <c r="B62391" t="s">
        <v>1</v>
      </c>
      <c r="C62391" t="s">
        <v>4110</v>
      </c>
      <c r="D62391" t="s">
        <v>80</v>
      </c>
    </row>
    <row r="62392" spans="1:4" x14ac:dyDescent="0.2">
      <c r="B62392" t="s">
        <v>103</v>
      </c>
      <c r="C62392" t="s">
        <v>2344</v>
      </c>
      <c r="D62392" t="s">
        <v>6439</v>
      </c>
    </row>
    <row r="62394" spans="1:4" x14ac:dyDescent="0.2">
      <c r="A62394" t="s">
        <v>19431</v>
      </c>
      <c r="B62394" t="str">
        <f>HYPERLINK("https://lindat.mff.cuni.cz/services/teitok/pdtc10/index.php?action=vallex&amp;frame=v-w8690f1", "vzrušit (v-w8690f1)")</f>
        <v>vzrušit (v-w8690f1)</v>
      </c>
    </row>
    <row r="62395" spans="1:4" x14ac:dyDescent="0.2">
      <c r="B62395" t="s">
        <v>488</v>
      </c>
    </row>
    <row r="62396" spans="1:4" x14ac:dyDescent="0.2">
      <c r="B62396" t="s">
        <v>8</v>
      </c>
    </row>
    <row r="62398" spans="1:4" x14ac:dyDescent="0.2">
      <c r="A62398" t="s">
        <v>19432</v>
      </c>
      <c r="B62398" t="str">
        <f>HYPERLINK("https://lindat.mff.cuni.cz/services/teitok/pdtc10/index.php?action=vallex&amp;frame=v-w8691f1", "vzrušovat (v-w8691f1)")</f>
        <v>vzrušovat (v-w8691f1)</v>
      </c>
    </row>
    <row r="62399" spans="1:4" x14ac:dyDescent="0.2">
      <c r="B62399" t="s">
        <v>488</v>
      </c>
    </row>
    <row r="62400" spans="1:4" x14ac:dyDescent="0.2">
      <c r="B62400" t="s">
        <v>8</v>
      </c>
    </row>
    <row r="62402" spans="1:4" x14ac:dyDescent="0.2">
      <c r="A62402" t="s">
        <v>19433</v>
      </c>
      <c r="B62402" t="str">
        <f>HYPERLINK("https://lindat.mff.cuni.cz/services/teitok/pdtc10/index.php?action=vallex&amp;frame=v-w8687f1", "vzrůst (v-w8687f1)")</f>
        <v>vzrůst (v-w8687f1)</v>
      </c>
    </row>
    <row r="62403" spans="1:4" x14ac:dyDescent="0.2">
      <c r="B62403" t="s">
        <v>1</v>
      </c>
      <c r="C62403" t="s">
        <v>19434</v>
      </c>
      <c r="D62403" t="s">
        <v>23510</v>
      </c>
    </row>
    <row r="62404" spans="1:4" x14ac:dyDescent="0.2">
      <c r="B62404" t="s">
        <v>46</v>
      </c>
      <c r="C62404" t="s">
        <v>19435</v>
      </c>
      <c r="D62404" t="s">
        <v>23393</v>
      </c>
    </row>
    <row r="62405" spans="1:4" x14ac:dyDescent="0.2">
      <c r="B62405" t="s">
        <v>24</v>
      </c>
      <c r="C62405" t="s">
        <v>19436</v>
      </c>
      <c r="D62405" t="s">
        <v>23394</v>
      </c>
    </row>
    <row r="62407" spans="1:4" x14ac:dyDescent="0.2">
      <c r="A62407" t="s">
        <v>19437</v>
      </c>
      <c r="B62407" t="str">
        <f>HYPERLINK("https://lindat.mff.cuni.cz/services/teitok/pdtc10/index.php?action=vallex&amp;frame=v-w8689f1", "vzrůstat (v-w8689f1)")</f>
        <v>vzrůstat (v-w8689f1)</v>
      </c>
    </row>
    <row r="62408" spans="1:4" x14ac:dyDescent="0.2">
      <c r="B62408" t="s">
        <v>1</v>
      </c>
      <c r="C62408" t="s">
        <v>19438</v>
      </c>
      <c r="D62408" t="s">
        <v>23510</v>
      </c>
    </row>
    <row r="62409" spans="1:4" x14ac:dyDescent="0.2">
      <c r="B62409" t="s">
        <v>46</v>
      </c>
      <c r="C62409" t="s">
        <v>6055</v>
      </c>
      <c r="D62409" t="s">
        <v>23393</v>
      </c>
    </row>
    <row r="62410" spans="1:4" x14ac:dyDescent="0.2">
      <c r="B62410" t="s">
        <v>24</v>
      </c>
      <c r="C62410" t="s">
        <v>6056</v>
      </c>
      <c r="D62410" t="s">
        <v>23394</v>
      </c>
    </row>
    <row r="62412" spans="1:4" x14ac:dyDescent="0.2">
      <c r="A62412" t="s">
        <v>19439</v>
      </c>
      <c r="B62412" t="str">
        <f>HYPERLINK("https://lindat.mff.cuni.cz/services/teitok/pdtc10/index.php?action=vallex&amp;frame=v-w8695f1", "vztahovat (v-w8695f1)")</f>
        <v>vztahovat (v-w8695f1)</v>
      </c>
    </row>
    <row r="62413" spans="1:4" x14ac:dyDescent="0.2">
      <c r="B62413" t="s">
        <v>331</v>
      </c>
    </row>
    <row r="62414" spans="1:4" x14ac:dyDescent="0.2">
      <c r="B62414" t="s">
        <v>8</v>
      </c>
    </row>
    <row r="62415" spans="1:4" x14ac:dyDescent="0.2">
      <c r="B62415" t="s">
        <v>1216</v>
      </c>
    </row>
    <row r="62417" spans="1:4" x14ac:dyDescent="0.2">
      <c r="A62417" t="s">
        <v>19440</v>
      </c>
      <c r="B62417" t="str">
        <f>HYPERLINK("https://lindat.mff.cuni.cz/services/teitok/pdtc10/index.php?action=vallex&amp;frame=v-w8696f2_ZU", "vztahovat se (v-w8696f2_ZU)")</f>
        <v>vztahovat se (v-w8696f2_ZU)</v>
      </c>
    </row>
    <row r="62418" spans="1:4" x14ac:dyDescent="0.2">
      <c r="B62418" t="s">
        <v>1</v>
      </c>
    </row>
    <row r="62419" spans="1:4" x14ac:dyDescent="0.2">
      <c r="B62419" t="s">
        <v>19441</v>
      </c>
    </row>
    <row r="62421" spans="1:4" x14ac:dyDescent="0.2">
      <c r="A62421" t="s">
        <v>19440</v>
      </c>
      <c r="B62421" t="str">
        <f>HYPERLINK("https://lindat.mff.cuni.cz/services/teitok/pdtc10/index.php?action=vallex&amp;frame=v-w8696f1", "vztahovat se (v-w8696f1) - substituted with v-w8696f2_ZU")</f>
        <v>vztahovat se (v-w8696f1) - substituted with v-w8696f2_ZU</v>
      </c>
    </row>
    <row r="62422" spans="1:4" x14ac:dyDescent="0.2">
      <c r="B62422" t="s">
        <v>1</v>
      </c>
      <c r="C62422" t="s">
        <v>19442</v>
      </c>
      <c r="D62422" t="s">
        <v>23220</v>
      </c>
    </row>
    <row r="62423" spans="1:4" x14ac:dyDescent="0.2">
      <c r="B62423" t="s">
        <v>19441</v>
      </c>
      <c r="C62423" t="s">
        <v>19443</v>
      </c>
      <c r="D62423" t="s">
        <v>23221</v>
      </c>
    </row>
    <row r="62425" spans="1:4" x14ac:dyDescent="0.2">
      <c r="A62425" t="s">
        <v>19444</v>
      </c>
      <c r="B62425" t="str">
        <f>HYPERLINK("https://lindat.mff.cuni.cz/services/teitok/pdtc10/index.php?action=vallex&amp;frame=v-whsa_213f1_ZU", "vztekat se (v-whsa_213f1_ZU)")</f>
        <v>vztekat se (v-whsa_213f1_ZU)</v>
      </c>
    </row>
    <row r="62426" spans="1:4" x14ac:dyDescent="0.2">
      <c r="B62426" t="s">
        <v>1</v>
      </c>
      <c r="C62426" t="s">
        <v>140</v>
      </c>
      <c r="D62426" t="s">
        <v>133</v>
      </c>
    </row>
    <row r="62427" spans="1:4" x14ac:dyDescent="0.2">
      <c r="B62427" t="s">
        <v>46</v>
      </c>
      <c r="D62427" t="s">
        <v>34</v>
      </c>
    </row>
    <row r="62429" spans="1:4" x14ac:dyDescent="0.2">
      <c r="A62429" t="s">
        <v>19444</v>
      </c>
      <c r="B62429" t="str">
        <f>HYPERLINK("https://lindat.mff.cuni.cz/services/teitok/pdtc10/index.php?action=vallex&amp;frame=v-whsa_213hsa_214", "vztekat se (v-whsa_213hsa_214) - substituted with v-whsa_213f1_ZU")</f>
        <v>vztekat se (v-whsa_213hsa_214) - substituted with v-whsa_213f1_ZU</v>
      </c>
    </row>
    <row r="62430" spans="1:4" x14ac:dyDescent="0.2">
      <c r="B62430" t="s">
        <v>1</v>
      </c>
    </row>
    <row r="62431" spans="1:4" x14ac:dyDescent="0.2">
      <c r="B62431" t="s">
        <v>46</v>
      </c>
    </row>
    <row r="62433" spans="1:4" x14ac:dyDescent="0.2">
      <c r="A62433" t="s">
        <v>19445</v>
      </c>
      <c r="B62433" t="str">
        <f>HYPERLINK("https://lindat.mff.cuni.cz/services/teitok/pdtc10/index.php?action=vallex&amp;frame=v-w8699f1", "vztyčit (v-w8699f1)")</f>
        <v>vztyčit (v-w8699f1)</v>
      </c>
    </row>
    <row r="62434" spans="1:4" x14ac:dyDescent="0.2">
      <c r="B62434" t="s">
        <v>1</v>
      </c>
      <c r="C62434" t="s">
        <v>33</v>
      </c>
      <c r="D62434" t="s">
        <v>2555</v>
      </c>
    </row>
    <row r="62435" spans="1:4" x14ac:dyDescent="0.2">
      <c r="B62435" t="s">
        <v>8</v>
      </c>
      <c r="C62435" t="s">
        <v>34</v>
      </c>
      <c r="D62435" t="s">
        <v>7921</v>
      </c>
    </row>
    <row r="62437" spans="1:4" x14ac:dyDescent="0.2">
      <c r="A62437" t="s">
        <v>19446</v>
      </c>
      <c r="B62437" t="str">
        <f>HYPERLINK("https://lindat.mff.cuni.cz/services/teitok/pdtc10/index.php?action=vallex&amp;frame=v-w8700f1", "vztyčit se (v-w8700f1)")</f>
        <v>vztyčit se (v-w8700f1)</v>
      </c>
    </row>
    <row r="62438" spans="1:4" x14ac:dyDescent="0.2">
      <c r="B62438" t="s">
        <v>1</v>
      </c>
      <c r="C62438" t="s">
        <v>186</v>
      </c>
      <c r="D62438" t="s">
        <v>186</v>
      </c>
    </row>
    <row r="62440" spans="1:4" x14ac:dyDescent="0.2">
      <c r="A62440" t="s">
        <v>19447</v>
      </c>
      <c r="B62440" t="str">
        <f>HYPERLINK("https://lindat.mff.cuni.cz/services/teitok/pdtc10/index.php?action=vallex&amp;frame=v-w8701f1", "vztyčovat (v-w8701f1)")</f>
        <v>vztyčovat (v-w8701f1)</v>
      </c>
    </row>
    <row r="62441" spans="1:4" x14ac:dyDescent="0.2">
      <c r="B62441" t="s">
        <v>1</v>
      </c>
      <c r="C62441" t="s">
        <v>5570</v>
      </c>
    </row>
    <row r="62442" spans="1:4" x14ac:dyDescent="0.2">
      <c r="B62442" t="s">
        <v>8</v>
      </c>
      <c r="C62442" t="s">
        <v>5571</v>
      </c>
    </row>
    <row r="62444" spans="1:4" x14ac:dyDescent="0.2">
      <c r="A62444" t="s">
        <v>19448</v>
      </c>
      <c r="B62444" t="str">
        <f>HYPERLINK("https://lindat.mff.cuni.cz/services/teitok/pdtc10/index.php?action=vallex&amp;frame=v-w8701f2", "vztyčovat (v-w8701f2)")</f>
        <v>vztyčovat (v-w8701f2)</v>
      </c>
    </row>
    <row r="62445" spans="1:4" x14ac:dyDescent="0.2">
      <c r="B62445" t="s">
        <v>1</v>
      </c>
    </row>
    <row r="62446" spans="1:4" x14ac:dyDescent="0.2">
      <c r="B62446" t="s">
        <v>8</v>
      </c>
    </row>
    <row r="62448" spans="1:4" x14ac:dyDescent="0.2">
      <c r="A62448" t="s">
        <v>19449</v>
      </c>
      <c r="B62448" t="str">
        <f>HYPERLINK("https://lindat.mff.cuni.cz/services/teitok/pdtc10/index.php?action=vallex&amp;frame=v-w8693f2", "vztáhnout (v-w8693f2)")</f>
        <v>vztáhnout (v-w8693f2)</v>
      </c>
    </row>
    <row r="62449" spans="1:4" x14ac:dyDescent="0.2">
      <c r="B62449" t="s">
        <v>331</v>
      </c>
    </row>
    <row r="62450" spans="1:4" x14ac:dyDescent="0.2">
      <c r="B62450" t="s">
        <v>8</v>
      </c>
      <c r="C62450" t="s">
        <v>2755</v>
      </c>
    </row>
    <row r="62451" spans="1:4" x14ac:dyDescent="0.2">
      <c r="B62451" t="s">
        <v>6008</v>
      </c>
      <c r="C62451" t="s">
        <v>16201</v>
      </c>
    </row>
    <row r="62453" spans="1:4" x14ac:dyDescent="0.2">
      <c r="A62453" t="s">
        <v>19450</v>
      </c>
      <c r="B62453" t="str">
        <f>HYPERLINK("https://lindat.mff.cuni.cz/services/teitok/pdtc10/index.php?action=vallex&amp;frame=v-w8693f3", "vztáhnout (v-w8693f3)")</f>
        <v>vztáhnout (v-w8693f3)</v>
      </c>
    </row>
    <row r="62454" spans="1:4" x14ac:dyDescent="0.2">
      <c r="B62454" t="s">
        <v>1</v>
      </c>
    </row>
    <row r="62455" spans="1:4" x14ac:dyDescent="0.2">
      <c r="B62455" t="s">
        <v>19451</v>
      </c>
    </row>
    <row r="62456" spans="1:4" x14ac:dyDescent="0.2">
      <c r="B62456" t="s">
        <v>19452</v>
      </c>
    </row>
    <row r="62458" spans="1:4" x14ac:dyDescent="0.2">
      <c r="A62458" t="s">
        <v>19453</v>
      </c>
      <c r="B62458" t="str">
        <f>HYPERLINK("https://lindat.mff.cuni.cz/services/teitok/pdtc10/index.php?action=vallex&amp;frame=v-w8693f1", "vztáhnout (v-w8693f1)")</f>
        <v>vztáhnout (v-w8693f1)</v>
      </c>
    </row>
    <row r="62459" spans="1:4" x14ac:dyDescent="0.2">
      <c r="B62459" t="s">
        <v>1</v>
      </c>
    </row>
    <row r="62460" spans="1:4" x14ac:dyDescent="0.2">
      <c r="B62460" t="s">
        <v>2420</v>
      </c>
    </row>
    <row r="62461" spans="1:4" x14ac:dyDescent="0.2">
      <c r="B62461" t="s">
        <v>19452</v>
      </c>
    </row>
    <row r="62463" spans="1:4" x14ac:dyDescent="0.2">
      <c r="A62463" t="s">
        <v>19454</v>
      </c>
      <c r="B62463" t="str">
        <f>HYPERLINK("https://lindat.mff.cuni.cz/services/teitok/pdtc10/index.php?action=vallex&amp;frame=v-w8657f2", "vzít (v-w8657f2)")</f>
        <v>vzít (v-w8657f2)</v>
      </c>
    </row>
    <row r="62464" spans="1:4" x14ac:dyDescent="0.2">
      <c r="B62464" t="s">
        <v>1</v>
      </c>
      <c r="C62464" t="s">
        <v>2571</v>
      </c>
      <c r="D62464" t="s">
        <v>6383</v>
      </c>
    </row>
    <row r="62465" spans="1:4" x14ac:dyDescent="0.2">
      <c r="B62465" t="s">
        <v>8</v>
      </c>
      <c r="C62465" t="s">
        <v>6566</v>
      </c>
      <c r="D62465" t="s">
        <v>14757</v>
      </c>
    </row>
    <row r="62466" spans="1:4" x14ac:dyDescent="0.2">
      <c r="B62466" t="s">
        <v>35</v>
      </c>
      <c r="C62466" t="s">
        <v>10240</v>
      </c>
      <c r="D62466" t="s">
        <v>23004</v>
      </c>
    </row>
    <row r="62468" spans="1:4" x14ac:dyDescent="0.2">
      <c r="A62468" t="s">
        <v>19455</v>
      </c>
      <c r="B62468" t="str">
        <f>HYPERLINK("https://lindat.mff.cuni.cz/services/teitok/pdtc10/index.php?action=vallex&amp;frame=v-w8657f44_ZU", "vzít (v-w8657f44_ZU)")</f>
        <v>vzít (v-w8657f44_ZU)</v>
      </c>
    </row>
    <row r="62469" spans="1:4" x14ac:dyDescent="0.2">
      <c r="B62469" t="s">
        <v>1</v>
      </c>
      <c r="C62469" t="s">
        <v>3307</v>
      </c>
    </row>
    <row r="62470" spans="1:4" x14ac:dyDescent="0.2">
      <c r="B62470" t="s">
        <v>1415</v>
      </c>
      <c r="C62470" t="s">
        <v>3040</v>
      </c>
    </row>
    <row r="62471" spans="1:4" x14ac:dyDescent="0.2">
      <c r="B62471" t="s">
        <v>321</v>
      </c>
      <c r="C62471" t="s">
        <v>11191</v>
      </c>
    </row>
    <row r="62473" spans="1:4" x14ac:dyDescent="0.2">
      <c r="A62473" t="s">
        <v>19455</v>
      </c>
      <c r="B62473" t="str">
        <f>HYPERLINK("https://lindat.mff.cuni.cz/services/teitok/pdtc10/index.php?action=vallex&amp;frame=v-w8657f38", "vzít (v-w8657f38) - substituted with v-w8657f44_ZU")</f>
        <v>vzít (v-w8657f38) - substituted with v-w8657f44_ZU</v>
      </c>
    </row>
    <row r="62474" spans="1:4" x14ac:dyDescent="0.2">
      <c r="B62474" t="s">
        <v>1</v>
      </c>
      <c r="C62474" t="s">
        <v>2237</v>
      </c>
    </row>
    <row r="62475" spans="1:4" x14ac:dyDescent="0.2">
      <c r="B62475" t="s">
        <v>1415</v>
      </c>
      <c r="C62475" t="s">
        <v>732</v>
      </c>
    </row>
    <row r="62476" spans="1:4" x14ac:dyDescent="0.2">
      <c r="B62476" t="s">
        <v>321</v>
      </c>
    </row>
    <row r="62478" spans="1:4" x14ac:dyDescent="0.2">
      <c r="A62478" t="s">
        <v>19456</v>
      </c>
      <c r="B62478" t="str">
        <f>HYPERLINK("https://lindat.mff.cuni.cz/services/teitok/pdtc10/index.php?action=vallex&amp;frame=v-w8657f9", "vzít (v-w8657f9)")</f>
        <v>vzít (v-w8657f9)</v>
      </c>
    </row>
    <row r="62479" spans="1:4" x14ac:dyDescent="0.2">
      <c r="B62479" t="s">
        <v>1</v>
      </c>
      <c r="C62479" t="s">
        <v>337</v>
      </c>
      <c r="D62479" t="s">
        <v>10128</v>
      </c>
    </row>
    <row r="62480" spans="1:4" x14ac:dyDescent="0.2">
      <c r="B62480" t="s">
        <v>8</v>
      </c>
      <c r="C62480" t="s">
        <v>338</v>
      </c>
      <c r="D62480" t="s">
        <v>24445</v>
      </c>
    </row>
    <row r="62481" spans="1:4" x14ac:dyDescent="0.2">
      <c r="B62481" t="s">
        <v>321</v>
      </c>
      <c r="D62481" t="s">
        <v>23007</v>
      </c>
    </row>
    <row r="62483" spans="1:4" x14ac:dyDescent="0.2">
      <c r="A62483" t="s">
        <v>19457</v>
      </c>
      <c r="B62483" t="str">
        <f>HYPERLINK("https://lindat.mff.cuni.cz/services/teitok/pdtc10/index.php?action=vallex&amp;frame=v-w8657f12", "vzít (v-w8657f12)")</f>
        <v>vzít (v-w8657f12)</v>
      </c>
    </row>
    <row r="62484" spans="1:4" x14ac:dyDescent="0.2">
      <c r="B62484" t="s">
        <v>1</v>
      </c>
      <c r="C62484" t="s">
        <v>22</v>
      </c>
      <c r="D62484" t="s">
        <v>23008</v>
      </c>
    </row>
    <row r="62485" spans="1:4" x14ac:dyDescent="0.2">
      <c r="B62485" t="s">
        <v>41</v>
      </c>
      <c r="C62485" t="s">
        <v>1340</v>
      </c>
      <c r="D62485" t="s">
        <v>17729</v>
      </c>
    </row>
    <row r="62486" spans="1:4" x14ac:dyDescent="0.2">
      <c r="B62486" t="s">
        <v>10124</v>
      </c>
      <c r="C62486" t="s">
        <v>19458</v>
      </c>
      <c r="D62486" t="s">
        <v>23009</v>
      </c>
    </row>
    <row r="62488" spans="1:4" x14ac:dyDescent="0.2">
      <c r="A62488" t="s">
        <v>19459</v>
      </c>
      <c r="B62488" t="str">
        <f>HYPERLINK("https://lindat.mff.cuni.cz/services/teitok/pdtc10/index.php?action=vallex&amp;frame=v-w8657f24", "vzít (v-w8657f24)")</f>
        <v>vzít (v-w8657f24)</v>
      </c>
    </row>
    <row r="62489" spans="1:4" x14ac:dyDescent="0.2">
      <c r="B62489" t="s">
        <v>1</v>
      </c>
      <c r="C62489" t="s">
        <v>1077</v>
      </c>
      <c r="D62489" t="s">
        <v>6383</v>
      </c>
    </row>
    <row r="62490" spans="1:4" x14ac:dyDescent="0.2">
      <c r="B62490" t="s">
        <v>8</v>
      </c>
      <c r="C62490" t="s">
        <v>240</v>
      </c>
      <c r="D62490" t="s">
        <v>14757</v>
      </c>
    </row>
    <row r="62491" spans="1:4" x14ac:dyDescent="0.2">
      <c r="B62491" t="s">
        <v>333</v>
      </c>
      <c r="C62491" t="s">
        <v>19460</v>
      </c>
      <c r="D62491" t="s">
        <v>24446</v>
      </c>
    </row>
    <row r="62493" spans="1:4" x14ac:dyDescent="0.2">
      <c r="A62493" t="s">
        <v>19461</v>
      </c>
      <c r="B62493" t="str">
        <f>HYPERLINK("https://lindat.mff.cuni.cz/services/teitok/pdtc10/index.php?action=vallex&amp;frame=v-w8657f39", "vzít (v-w8657f39)")</f>
        <v>vzít (v-w8657f39)</v>
      </c>
    </row>
    <row r="62494" spans="1:4" x14ac:dyDescent="0.2">
      <c r="B62494" t="s">
        <v>1</v>
      </c>
      <c r="C62494" t="s">
        <v>1524</v>
      </c>
      <c r="D62494" t="s">
        <v>109</v>
      </c>
    </row>
    <row r="62495" spans="1:4" x14ac:dyDescent="0.2">
      <c r="B62495" t="s">
        <v>8</v>
      </c>
      <c r="C62495" t="s">
        <v>4372</v>
      </c>
      <c r="D62495" t="s">
        <v>2755</v>
      </c>
    </row>
    <row r="62496" spans="1:4" x14ac:dyDescent="0.2">
      <c r="B62496" t="s">
        <v>333</v>
      </c>
      <c r="C62496" t="s">
        <v>18417</v>
      </c>
      <c r="D62496" t="s">
        <v>23642</v>
      </c>
    </row>
    <row r="62498" spans="1:4" x14ac:dyDescent="0.2">
      <c r="A62498" t="s">
        <v>19462</v>
      </c>
      <c r="B62498" t="str">
        <f>HYPERLINK("https://lindat.mff.cuni.cz/services/teitok/pdtc10/index.php?action=vallex&amp;frame=v-w8657f32", "vzít (v-w8657f32)")</f>
        <v>vzít (v-w8657f32)</v>
      </c>
    </row>
    <row r="62499" spans="1:4" x14ac:dyDescent="0.2">
      <c r="B62499" t="s">
        <v>1</v>
      </c>
    </row>
    <row r="62500" spans="1:4" x14ac:dyDescent="0.2">
      <c r="B62500" t="s">
        <v>8</v>
      </c>
    </row>
    <row r="62501" spans="1:4" x14ac:dyDescent="0.2">
      <c r="B62501" t="s">
        <v>192</v>
      </c>
    </row>
    <row r="62503" spans="1:4" x14ac:dyDescent="0.2">
      <c r="A62503" t="s">
        <v>19463</v>
      </c>
      <c r="B62503" t="str">
        <f>HYPERLINK("https://lindat.mff.cuni.cz/services/teitok/pdtc10/index.php?action=vallex&amp;frame=v-w8657f26", "vzít (v-w8657f26)")</f>
        <v>vzít (v-w8657f26)</v>
      </c>
    </row>
    <row r="62504" spans="1:4" x14ac:dyDescent="0.2">
      <c r="B62504" t="s">
        <v>488</v>
      </c>
    </row>
    <row r="62505" spans="1:4" x14ac:dyDescent="0.2">
      <c r="B62505" t="s">
        <v>8</v>
      </c>
    </row>
    <row r="62507" spans="1:4" x14ac:dyDescent="0.2">
      <c r="A62507" t="s">
        <v>19464</v>
      </c>
      <c r="B62507" t="str">
        <f>HYPERLINK("https://lindat.mff.cuni.cz/services/teitok/pdtc10/index.php?action=vallex&amp;frame=v-w8657f5", "vzít (v-w8657f5)")</f>
        <v>vzít (v-w8657f5)</v>
      </c>
    </row>
    <row r="62508" spans="1:4" x14ac:dyDescent="0.2">
      <c r="B62508" t="s">
        <v>1</v>
      </c>
      <c r="C62508" t="s">
        <v>2227</v>
      </c>
    </row>
    <row r="62509" spans="1:4" x14ac:dyDescent="0.2">
      <c r="B62509" t="s">
        <v>19465</v>
      </c>
      <c r="C62509" t="s">
        <v>4086</v>
      </c>
    </row>
    <row r="62511" spans="1:4" x14ac:dyDescent="0.2">
      <c r="A62511" t="s">
        <v>19466</v>
      </c>
      <c r="B62511" t="str">
        <f>HYPERLINK("https://lindat.mff.cuni.cz/services/teitok/pdtc10/index.php?action=vallex&amp;frame=v-w8657f3", "vzít (v-w8657f3)")</f>
        <v>vzít (v-w8657f3)</v>
      </c>
    </row>
    <row r="62512" spans="1:4" x14ac:dyDescent="0.2">
      <c r="B62512" t="s">
        <v>1</v>
      </c>
      <c r="C62512" t="s">
        <v>1065</v>
      </c>
      <c r="D62512" t="s">
        <v>373</v>
      </c>
    </row>
    <row r="62513" spans="1:4" x14ac:dyDescent="0.2">
      <c r="B62513" t="s">
        <v>8</v>
      </c>
      <c r="C62513" t="s">
        <v>19467</v>
      </c>
      <c r="D62513" t="s">
        <v>335</v>
      </c>
    </row>
    <row r="62514" spans="1:4" x14ac:dyDescent="0.2">
      <c r="B62514" t="s">
        <v>346</v>
      </c>
      <c r="C62514" t="s">
        <v>416</v>
      </c>
      <c r="D62514" t="s">
        <v>416</v>
      </c>
    </row>
    <row r="62515" spans="1:4" x14ac:dyDescent="0.2">
      <c r="B62515" t="s">
        <v>349</v>
      </c>
      <c r="D62515" t="s">
        <v>23011</v>
      </c>
    </row>
    <row r="62516" spans="1:4" x14ac:dyDescent="0.2">
      <c r="B62516" t="s">
        <v>350</v>
      </c>
      <c r="D62516" t="s">
        <v>23012</v>
      </c>
    </row>
    <row r="62517" spans="1:4" x14ac:dyDescent="0.2">
      <c r="B62517" t="s">
        <v>351</v>
      </c>
      <c r="D62517" t="s">
        <v>23013</v>
      </c>
    </row>
    <row r="62519" spans="1:4" x14ac:dyDescent="0.2">
      <c r="A62519" t="s">
        <v>19468</v>
      </c>
      <c r="B62519" t="str">
        <f>HYPERLINK("https://lindat.mff.cuni.cz/services/teitok/pdtc10/index.php?action=vallex&amp;frame=v-w8657f7", "vzít (v-w8657f7)")</f>
        <v>vzít (v-w8657f7)</v>
      </c>
    </row>
    <row r="62520" spans="1:4" x14ac:dyDescent="0.2">
      <c r="B62520" t="s">
        <v>1</v>
      </c>
      <c r="C62520" t="s">
        <v>337</v>
      </c>
    </row>
    <row r="62521" spans="1:4" x14ac:dyDescent="0.2">
      <c r="B62521" t="s">
        <v>8</v>
      </c>
      <c r="C62521" t="s">
        <v>338</v>
      </c>
    </row>
    <row r="62523" spans="1:4" x14ac:dyDescent="0.2">
      <c r="A62523" t="s">
        <v>19469</v>
      </c>
      <c r="B62523" t="str">
        <f>HYPERLINK("https://lindat.mff.cuni.cz/services/teitok/pdtc10/index.php?action=vallex&amp;frame=v-w8657f6", "vzít (v-w8657f6)")</f>
        <v>vzít (v-w8657f6)</v>
      </c>
    </row>
    <row r="62524" spans="1:4" x14ac:dyDescent="0.2">
      <c r="B62524" t="s">
        <v>1</v>
      </c>
      <c r="C62524" t="s">
        <v>19470</v>
      </c>
      <c r="D62524" t="s">
        <v>23691</v>
      </c>
    </row>
    <row r="62525" spans="1:4" x14ac:dyDescent="0.2">
      <c r="B62525" t="s">
        <v>8</v>
      </c>
      <c r="C62525" t="s">
        <v>19471</v>
      </c>
      <c r="D62525" t="s">
        <v>23692</v>
      </c>
    </row>
    <row r="62527" spans="1:4" x14ac:dyDescent="0.2">
      <c r="A62527" t="s">
        <v>19472</v>
      </c>
      <c r="B62527" t="str">
        <f>HYPERLINK("https://lindat.mff.cuni.cz/services/teitok/pdtc10/index.php?action=vallex&amp;frame=v-w8657f8", "vzít (v-w8657f8)")</f>
        <v>vzít (v-w8657f8)</v>
      </c>
    </row>
    <row r="62528" spans="1:4" x14ac:dyDescent="0.2">
      <c r="B62528" t="s">
        <v>1</v>
      </c>
      <c r="C62528" t="s">
        <v>317</v>
      </c>
    </row>
    <row r="62529" spans="1:4" x14ac:dyDescent="0.2">
      <c r="B62529" t="s">
        <v>8</v>
      </c>
      <c r="C62529" t="s">
        <v>1815</v>
      </c>
    </row>
    <row r="62531" spans="1:4" x14ac:dyDescent="0.2">
      <c r="A62531" t="s">
        <v>19473</v>
      </c>
      <c r="B62531" t="str">
        <f>HYPERLINK("https://lindat.mff.cuni.cz/services/teitok/pdtc10/index.php?action=vallex&amp;frame=v-w8657f10", "vzít (v-w8657f10)")</f>
        <v>vzít (v-w8657f10)</v>
      </c>
    </row>
    <row r="62532" spans="1:4" x14ac:dyDescent="0.2">
      <c r="B62532" t="s">
        <v>1</v>
      </c>
    </row>
    <row r="62533" spans="1:4" x14ac:dyDescent="0.2">
      <c r="B62533" t="s">
        <v>8</v>
      </c>
    </row>
    <row r="62535" spans="1:4" x14ac:dyDescent="0.2">
      <c r="A62535" t="s">
        <v>19474</v>
      </c>
      <c r="B62535" t="str">
        <f>HYPERLINK("https://lindat.mff.cuni.cz/services/teitok/pdtc10/index.php?action=vallex&amp;frame=v-w8657hsa_947", "vzít (v-w8657hsa_947)")</f>
        <v>vzít (v-w8657hsa_947)</v>
      </c>
    </row>
    <row r="62536" spans="1:4" x14ac:dyDescent="0.2">
      <c r="B62536" t="s">
        <v>1</v>
      </c>
    </row>
    <row r="62537" spans="1:4" x14ac:dyDescent="0.2">
      <c r="B62537" t="s">
        <v>172</v>
      </c>
    </row>
    <row r="62539" spans="1:4" x14ac:dyDescent="0.2">
      <c r="A62539" t="s">
        <v>19474</v>
      </c>
      <c r="B62539" t="str">
        <f>HYPERLINK("https://lindat.mff.cuni.cz/services/teitok/pdtc10/index.php?action=vallex&amp;frame=v-w8657f15", "vzít (v-w8657f15) - substituted with v-w8657hsa_947")</f>
        <v>vzít (v-w8657f15) - substituted with v-w8657hsa_947</v>
      </c>
    </row>
    <row r="62540" spans="1:4" x14ac:dyDescent="0.2">
      <c r="B62540" t="s">
        <v>1</v>
      </c>
      <c r="C62540" t="s">
        <v>11295</v>
      </c>
      <c r="D62540" t="s">
        <v>23014</v>
      </c>
    </row>
    <row r="62541" spans="1:4" x14ac:dyDescent="0.2">
      <c r="B62541" t="s">
        <v>172</v>
      </c>
      <c r="C62541" t="s">
        <v>986</v>
      </c>
      <c r="D62541" t="s">
        <v>23015</v>
      </c>
    </row>
    <row r="62543" spans="1:4" x14ac:dyDescent="0.2">
      <c r="A62543" t="s">
        <v>19475</v>
      </c>
      <c r="B62543" t="str">
        <f>HYPERLINK("https://lindat.mff.cuni.cz/services/teitok/pdtc10/index.php?action=vallex&amp;frame=v-w8657f22", "vzít (v-w8657f22)")</f>
        <v>vzít (v-w8657f22)</v>
      </c>
    </row>
    <row r="62544" spans="1:4" x14ac:dyDescent="0.2">
      <c r="B62544" t="s">
        <v>1</v>
      </c>
      <c r="C62544" t="s">
        <v>337</v>
      </c>
    </row>
    <row r="62545" spans="1:3" x14ac:dyDescent="0.2">
      <c r="B62545" t="s">
        <v>8</v>
      </c>
      <c r="C62545" t="s">
        <v>338</v>
      </c>
    </row>
    <row r="62547" spans="1:3" x14ac:dyDescent="0.2">
      <c r="A62547" t="s">
        <v>19476</v>
      </c>
      <c r="B62547" t="str">
        <f>HYPERLINK("https://lindat.mff.cuni.cz/services/teitok/pdtc10/index.php?action=vallex&amp;frame=v-w8657f33", "vzít (v-w8657f33)")</f>
        <v>vzít (v-w8657f33)</v>
      </c>
    </row>
    <row r="62548" spans="1:3" x14ac:dyDescent="0.2">
      <c r="B62548" t="s">
        <v>1</v>
      </c>
    </row>
    <row r="62549" spans="1:3" x14ac:dyDescent="0.2">
      <c r="B62549" t="s">
        <v>8</v>
      </c>
    </row>
    <row r="62551" spans="1:3" x14ac:dyDescent="0.2">
      <c r="A62551" t="s">
        <v>19477</v>
      </c>
      <c r="B62551" t="str">
        <f>HYPERLINK("https://lindat.mff.cuni.cz/services/teitok/pdtc10/index.php?action=vallex&amp;frame=v-w8657f35", "vzít (v-w8657f35)")</f>
        <v>vzít (v-w8657f35)</v>
      </c>
    </row>
    <row r="62552" spans="1:3" x14ac:dyDescent="0.2">
      <c r="B62552" t="s">
        <v>1</v>
      </c>
    </row>
    <row r="62553" spans="1:3" x14ac:dyDescent="0.2">
      <c r="B62553" t="s">
        <v>357</v>
      </c>
    </row>
    <row r="62555" spans="1:3" x14ac:dyDescent="0.2">
      <c r="A62555" t="s">
        <v>19478</v>
      </c>
      <c r="B62555" t="str">
        <f>HYPERLINK("https://lindat.mff.cuni.cz/services/teitok/pdtc10/index.php?action=vallex&amp;frame=v-w8657f40", "vzít (v-w8657f40)")</f>
        <v>vzít (v-w8657f40)</v>
      </c>
    </row>
    <row r="62556" spans="1:3" x14ac:dyDescent="0.2">
      <c r="B62556" t="s">
        <v>331</v>
      </c>
    </row>
    <row r="62557" spans="1:3" x14ac:dyDescent="0.2">
      <c r="B62557" t="s">
        <v>19479</v>
      </c>
    </row>
    <row r="62558" spans="1:3" x14ac:dyDescent="0.2">
      <c r="B62558" t="s">
        <v>35</v>
      </c>
    </row>
    <row r="62560" spans="1:3" x14ac:dyDescent="0.2">
      <c r="A62560" t="s">
        <v>19480</v>
      </c>
      <c r="B62560" t="str">
        <f>HYPERLINK("https://lindat.mff.cuni.cz/services/teitok/pdtc10/index.php?action=vallex&amp;frame=v-w8657f21", "vzít (v-w8657f21)")</f>
        <v>vzít (v-w8657f21)</v>
      </c>
    </row>
    <row r="62561" spans="1:4" x14ac:dyDescent="0.2">
      <c r="B62561" t="s">
        <v>1</v>
      </c>
    </row>
    <row r="62562" spans="1:4" x14ac:dyDescent="0.2">
      <c r="B62562" t="s">
        <v>365</v>
      </c>
    </row>
    <row r="62564" spans="1:4" x14ac:dyDescent="0.2">
      <c r="A62564" t="s">
        <v>19481</v>
      </c>
      <c r="B62564" t="str">
        <f>HYPERLINK("https://lindat.mff.cuni.cz/services/teitok/pdtc10/index.php?action=vallex&amp;frame=v-w8657f17", "vzít (v-w8657f17)")</f>
        <v>vzít (v-w8657f17)</v>
      </c>
    </row>
    <row r="62565" spans="1:4" x14ac:dyDescent="0.2">
      <c r="B62565" t="s">
        <v>1</v>
      </c>
    </row>
    <row r="62566" spans="1:4" x14ac:dyDescent="0.2">
      <c r="B62566" t="s">
        <v>19482</v>
      </c>
    </row>
    <row r="62567" spans="1:4" x14ac:dyDescent="0.2">
      <c r="B62567" t="s">
        <v>8</v>
      </c>
      <c r="D62567" t="s">
        <v>113</v>
      </c>
    </row>
    <row r="62569" spans="1:4" x14ac:dyDescent="0.2">
      <c r="A62569" t="s">
        <v>19483</v>
      </c>
      <c r="B62569" t="str">
        <f>HYPERLINK("https://lindat.mff.cuni.cz/services/teitok/pdtc10/index.php?action=vallex&amp;frame=v-w8657f37", "vzít (v-w8657f37)")</f>
        <v>vzít (v-w8657f37)</v>
      </c>
    </row>
    <row r="62570" spans="1:4" x14ac:dyDescent="0.2">
      <c r="B62570" t="s">
        <v>1</v>
      </c>
      <c r="C62570" t="s">
        <v>2571</v>
      </c>
    </row>
    <row r="62571" spans="1:4" x14ac:dyDescent="0.2">
      <c r="B62571" t="s">
        <v>19484</v>
      </c>
    </row>
    <row r="62572" spans="1:4" x14ac:dyDescent="0.2">
      <c r="B62572" t="s">
        <v>8</v>
      </c>
      <c r="C62572" t="s">
        <v>3324</v>
      </c>
    </row>
    <row r="62574" spans="1:4" x14ac:dyDescent="0.2">
      <c r="A62574" t="s">
        <v>19485</v>
      </c>
      <c r="B62574" t="str">
        <f>HYPERLINK("https://lindat.mff.cuni.cz/services/teitok/pdtc10/index.php?action=vallex&amp;frame=v-w8657f4", "vzít (v-w8657f4)")</f>
        <v>vzít (v-w8657f4)</v>
      </c>
    </row>
    <row r="62575" spans="1:4" x14ac:dyDescent="0.2">
      <c r="B62575" t="s">
        <v>1</v>
      </c>
      <c r="C62575" t="s">
        <v>370</v>
      </c>
    </row>
    <row r="62576" spans="1:4" x14ac:dyDescent="0.2">
      <c r="B62576" t="s">
        <v>19486</v>
      </c>
    </row>
    <row r="62577" spans="1:3" x14ac:dyDescent="0.2">
      <c r="B62577" t="s">
        <v>8</v>
      </c>
      <c r="C62577" t="s">
        <v>1798</v>
      </c>
    </row>
    <row r="62579" spans="1:3" x14ac:dyDescent="0.2">
      <c r="A62579" t="s">
        <v>19487</v>
      </c>
      <c r="B62579" t="str">
        <f>HYPERLINK("https://lindat.mff.cuni.cz/services/teitok/pdtc10/index.php?action=vallex&amp;frame=v-w8657f30", "vzít (v-w8657f30)")</f>
        <v>vzít (v-w8657f30)</v>
      </c>
    </row>
    <row r="62580" spans="1:3" x14ac:dyDescent="0.2">
      <c r="B62580" t="s">
        <v>1</v>
      </c>
    </row>
    <row r="62581" spans="1:3" x14ac:dyDescent="0.2">
      <c r="B62581" t="s">
        <v>19488</v>
      </c>
    </row>
    <row r="62582" spans="1:3" x14ac:dyDescent="0.2">
      <c r="B62582" t="s">
        <v>124</v>
      </c>
    </row>
    <row r="62584" spans="1:3" x14ac:dyDescent="0.2">
      <c r="A62584" t="s">
        <v>19489</v>
      </c>
      <c r="B62584" t="str">
        <f>HYPERLINK("https://lindat.mff.cuni.cz/services/teitok/pdtc10/index.php?action=vallex&amp;frame=v-w8657f19", "vzít (v-w8657f19)")</f>
        <v>vzít (v-w8657f19)</v>
      </c>
    </row>
    <row r="62585" spans="1:3" x14ac:dyDescent="0.2">
      <c r="B62585" t="s">
        <v>1</v>
      </c>
      <c r="C62585" t="s">
        <v>2717</v>
      </c>
    </row>
    <row r="62586" spans="1:3" x14ac:dyDescent="0.2">
      <c r="B62586" t="s">
        <v>371</v>
      </c>
    </row>
    <row r="62587" spans="1:3" x14ac:dyDescent="0.2">
      <c r="B62587" t="s">
        <v>41</v>
      </c>
      <c r="C62587" t="s">
        <v>19490</v>
      </c>
    </row>
    <row r="62589" spans="1:3" x14ac:dyDescent="0.2">
      <c r="A62589" t="s">
        <v>19491</v>
      </c>
      <c r="B62589" t="str">
        <f>HYPERLINK("https://lindat.mff.cuni.cz/services/teitok/pdtc10/index.php?action=vallex&amp;frame=v-w8657f11", "vzít (v-w8657f11)")</f>
        <v>vzít (v-w8657f11)</v>
      </c>
    </row>
    <row r="62590" spans="1:3" x14ac:dyDescent="0.2">
      <c r="B62590" t="s">
        <v>1</v>
      </c>
    </row>
    <row r="62591" spans="1:3" x14ac:dyDescent="0.2">
      <c r="B62591" t="s">
        <v>377</v>
      </c>
    </row>
    <row r="62592" spans="1:3" x14ac:dyDescent="0.2">
      <c r="B62592" t="s">
        <v>124</v>
      </c>
    </row>
    <row r="62594" spans="1:4" x14ac:dyDescent="0.2">
      <c r="A62594" t="s">
        <v>19492</v>
      </c>
      <c r="B62594" t="str">
        <f>HYPERLINK("https://lindat.mff.cuni.cz/services/teitok/pdtc10/index.php?action=vallex&amp;frame=v-w8657f25", "vzít (v-w8657f25)")</f>
        <v>vzít (v-w8657f25)</v>
      </c>
    </row>
    <row r="62595" spans="1:4" x14ac:dyDescent="0.2">
      <c r="B62595" t="s">
        <v>1</v>
      </c>
    </row>
    <row r="62596" spans="1:4" x14ac:dyDescent="0.2">
      <c r="B62596" t="s">
        <v>19493</v>
      </c>
    </row>
    <row r="62597" spans="1:4" x14ac:dyDescent="0.2">
      <c r="B62597" t="s">
        <v>41</v>
      </c>
    </row>
    <row r="62599" spans="1:4" x14ac:dyDescent="0.2">
      <c r="A62599" t="s">
        <v>19494</v>
      </c>
      <c r="B62599" t="str">
        <f>HYPERLINK("https://lindat.mff.cuni.cz/services/teitok/pdtc10/index.php?action=vallex&amp;frame=v-w8657f14", "vzít (v-w8657f14)")</f>
        <v>vzít (v-w8657f14)</v>
      </c>
    </row>
    <row r="62600" spans="1:4" x14ac:dyDescent="0.2">
      <c r="B62600" t="s">
        <v>1</v>
      </c>
    </row>
    <row r="62601" spans="1:4" x14ac:dyDescent="0.2">
      <c r="B62601" t="s">
        <v>19495</v>
      </c>
    </row>
    <row r="62602" spans="1:4" x14ac:dyDescent="0.2">
      <c r="B62602" t="s">
        <v>124</v>
      </c>
    </row>
    <row r="62604" spans="1:4" x14ac:dyDescent="0.2">
      <c r="A62604" t="s">
        <v>19496</v>
      </c>
      <c r="B62604" t="str">
        <f>HYPERLINK("https://lindat.mff.cuni.cz/services/teitok/pdtc10/index.php?action=vallex&amp;frame=v-w8657f1", "vzít (v-w8657f1)")</f>
        <v>vzít (v-w8657f1)</v>
      </c>
    </row>
    <row r="62605" spans="1:4" x14ac:dyDescent="0.2">
      <c r="B62605" t="s">
        <v>1</v>
      </c>
      <c r="C62605" t="s">
        <v>19497</v>
      </c>
      <c r="D62605" t="s">
        <v>23014</v>
      </c>
    </row>
    <row r="62606" spans="1:4" x14ac:dyDescent="0.2">
      <c r="B62606" t="s">
        <v>382</v>
      </c>
      <c r="C62606" t="s">
        <v>19498</v>
      </c>
    </row>
    <row r="62607" spans="1:4" x14ac:dyDescent="0.2">
      <c r="B62607" t="s">
        <v>124</v>
      </c>
      <c r="C62607" t="s">
        <v>19499</v>
      </c>
      <c r="D62607" t="s">
        <v>23015</v>
      </c>
    </row>
    <row r="62609" spans="1:2" x14ac:dyDescent="0.2">
      <c r="A62609" t="s">
        <v>19500</v>
      </c>
      <c r="B62609" t="str">
        <f>HYPERLINK("https://lindat.mff.cuni.cz/services/teitok/pdtc10/index.php?action=vallex&amp;frame=v-w8657f28", "vzít (v-w8657f28)")</f>
        <v>vzít (v-w8657f28)</v>
      </c>
    </row>
    <row r="62610" spans="1:2" x14ac:dyDescent="0.2">
      <c r="B62610" t="s">
        <v>1</v>
      </c>
    </row>
    <row r="62611" spans="1:2" x14ac:dyDescent="0.2">
      <c r="B62611" t="s">
        <v>19501</v>
      </c>
    </row>
    <row r="62612" spans="1:2" x14ac:dyDescent="0.2">
      <c r="B62612" t="s">
        <v>8</v>
      </c>
    </row>
    <row r="62614" spans="1:2" x14ac:dyDescent="0.2">
      <c r="A62614" t="s">
        <v>19502</v>
      </c>
      <c r="B62614" t="str">
        <f>HYPERLINK("https://lindat.mff.cuni.cz/services/teitok/pdtc10/index.php?action=vallex&amp;frame=v-w8657f13", "vzít (v-w8657f13)")</f>
        <v>vzít (v-w8657f13)</v>
      </c>
    </row>
    <row r="62615" spans="1:2" x14ac:dyDescent="0.2">
      <c r="B62615" t="s">
        <v>1</v>
      </c>
    </row>
    <row r="62616" spans="1:2" x14ac:dyDescent="0.2">
      <c r="B62616" t="s">
        <v>19503</v>
      </c>
    </row>
    <row r="62617" spans="1:2" x14ac:dyDescent="0.2">
      <c r="B62617" t="s">
        <v>8</v>
      </c>
    </row>
    <row r="62619" spans="1:2" x14ac:dyDescent="0.2">
      <c r="A62619" t="s">
        <v>19504</v>
      </c>
      <c r="B62619" t="str">
        <f>HYPERLINK("https://lindat.mff.cuni.cz/services/teitok/pdtc10/index.php?action=vallex&amp;frame=v-w8657f20", "vzít (v-w8657f20)")</f>
        <v>vzít (v-w8657f20)</v>
      </c>
    </row>
    <row r="62620" spans="1:2" x14ac:dyDescent="0.2">
      <c r="B62620" t="s">
        <v>1</v>
      </c>
    </row>
    <row r="62621" spans="1:2" x14ac:dyDescent="0.2">
      <c r="B62621" t="s">
        <v>386</v>
      </c>
    </row>
    <row r="62622" spans="1:2" x14ac:dyDescent="0.2">
      <c r="B62622" t="s">
        <v>158</v>
      </c>
    </row>
    <row r="62624" spans="1:2" x14ac:dyDescent="0.2">
      <c r="A62624" t="s">
        <v>19505</v>
      </c>
      <c r="B62624" t="str">
        <f>HYPERLINK("https://lindat.mff.cuni.cz/services/teitok/pdtc10/index.php?action=vallex&amp;frame=v-w8657f23", "vzít (v-w8657f23)")</f>
        <v>vzít (v-w8657f23)</v>
      </c>
    </row>
    <row r="62625" spans="1:2" x14ac:dyDescent="0.2">
      <c r="B62625" t="s">
        <v>1</v>
      </c>
    </row>
    <row r="62626" spans="1:2" x14ac:dyDescent="0.2">
      <c r="B62626" t="s">
        <v>19506</v>
      </c>
    </row>
    <row r="62627" spans="1:2" x14ac:dyDescent="0.2">
      <c r="B62627" t="s">
        <v>8</v>
      </c>
    </row>
    <row r="62629" spans="1:2" x14ac:dyDescent="0.2">
      <c r="A62629" t="s">
        <v>19507</v>
      </c>
      <c r="B62629" t="str">
        <f>HYPERLINK("https://lindat.mff.cuni.cz/services/teitok/pdtc10/index.php?action=vallex&amp;frame=v-w8657f29", "vzít (v-w8657f29)")</f>
        <v>vzít (v-w8657f29)</v>
      </c>
    </row>
    <row r="62630" spans="1:2" x14ac:dyDescent="0.2">
      <c r="B62630" t="s">
        <v>1</v>
      </c>
    </row>
    <row r="62631" spans="1:2" x14ac:dyDescent="0.2">
      <c r="B62631" t="s">
        <v>19508</v>
      </c>
    </row>
    <row r="62633" spans="1:2" x14ac:dyDescent="0.2">
      <c r="A62633" t="s">
        <v>19509</v>
      </c>
      <c r="B62633" t="str">
        <f>HYPERLINK("https://lindat.mff.cuni.cz/services/teitok/pdtc10/index.php?action=vallex&amp;frame=v-w8657f34", "vzít (v-w8657f34)")</f>
        <v>vzít (v-w8657f34)</v>
      </c>
    </row>
    <row r="62634" spans="1:2" x14ac:dyDescent="0.2">
      <c r="B62634" t="s">
        <v>1</v>
      </c>
    </row>
    <row r="62635" spans="1:2" x14ac:dyDescent="0.2">
      <c r="B62635" t="s">
        <v>19510</v>
      </c>
    </row>
    <row r="62637" spans="1:2" x14ac:dyDescent="0.2">
      <c r="A62637" t="s">
        <v>19511</v>
      </c>
      <c r="B62637" t="str">
        <f>HYPERLINK("https://lindat.mff.cuni.cz/services/teitok/pdtc10/index.php?action=vallex&amp;frame=v-w8657f27", "vzít (v-w8657f27)")</f>
        <v>vzít (v-w8657f27)</v>
      </c>
    </row>
    <row r="62638" spans="1:2" x14ac:dyDescent="0.2">
      <c r="B62638" t="s">
        <v>1</v>
      </c>
    </row>
    <row r="62639" spans="1:2" x14ac:dyDescent="0.2">
      <c r="B62639" t="s">
        <v>19512</v>
      </c>
    </row>
    <row r="62641" spans="1:3" x14ac:dyDescent="0.2">
      <c r="A62641" t="s">
        <v>19513</v>
      </c>
      <c r="B62641" t="str">
        <f>HYPERLINK("https://lindat.mff.cuni.cz/services/teitok/pdtc10/index.php?action=vallex&amp;frame=v-w8657f31", "vzít (v-w8657f31)")</f>
        <v>vzít (v-w8657f31)</v>
      </c>
    </row>
    <row r="62642" spans="1:3" x14ac:dyDescent="0.2">
      <c r="B62642" t="s">
        <v>1</v>
      </c>
    </row>
    <row r="62643" spans="1:3" x14ac:dyDescent="0.2">
      <c r="B62643" t="s">
        <v>19514</v>
      </c>
    </row>
    <row r="62645" spans="1:3" x14ac:dyDescent="0.2">
      <c r="A62645" t="s">
        <v>19515</v>
      </c>
      <c r="B62645" t="str">
        <f>HYPERLINK("https://lindat.mff.cuni.cz/services/teitok/pdtc10/index.php?action=vallex&amp;frame=v-w8657f18", "vzít (v-w8657f18)")</f>
        <v>vzít (v-w8657f18)</v>
      </c>
    </row>
    <row r="62646" spans="1:3" x14ac:dyDescent="0.2">
      <c r="B62646" t="s">
        <v>1</v>
      </c>
    </row>
    <row r="62647" spans="1:3" x14ac:dyDescent="0.2">
      <c r="B62647" t="s">
        <v>19516</v>
      </c>
    </row>
    <row r="62649" spans="1:3" x14ac:dyDescent="0.2">
      <c r="A62649" t="s">
        <v>19517</v>
      </c>
      <c r="B62649" t="str">
        <f>HYPERLINK("https://lindat.mff.cuni.cz/services/teitok/pdtc10/index.php?action=vallex&amp;frame=v-w8657hsa_1095", "vzít (v-w8657hsa_1095)")</f>
        <v>vzít (v-w8657hsa_1095)</v>
      </c>
    </row>
    <row r="62650" spans="1:3" x14ac:dyDescent="0.2">
      <c r="B62650" t="s">
        <v>1</v>
      </c>
      <c r="C62650" t="s">
        <v>1065</v>
      </c>
    </row>
    <row r="62651" spans="1:3" x14ac:dyDescent="0.2">
      <c r="B62651" t="s">
        <v>19518</v>
      </c>
      <c r="C62651" t="s">
        <v>6340</v>
      </c>
    </row>
    <row r="62653" spans="1:3" x14ac:dyDescent="0.2">
      <c r="A62653" t="s">
        <v>19519</v>
      </c>
      <c r="B62653" t="str">
        <f>HYPERLINK("https://lindat.mff.cuni.cz/services/teitok/pdtc10/index.php?action=vallex&amp;frame=v-w8657f42_ZU", "vzít (v-w8657f42_ZU)")</f>
        <v>vzít (v-w8657f42_ZU)</v>
      </c>
    </row>
    <row r="62654" spans="1:3" x14ac:dyDescent="0.2">
      <c r="B62654" t="s">
        <v>1</v>
      </c>
      <c r="C62654" t="s">
        <v>334</v>
      </c>
    </row>
    <row r="62655" spans="1:3" x14ac:dyDescent="0.2">
      <c r="B62655" t="s">
        <v>19520</v>
      </c>
      <c r="C62655" t="s">
        <v>18461</v>
      </c>
    </row>
    <row r="62656" spans="1:3" x14ac:dyDescent="0.2">
      <c r="B62656" t="s">
        <v>103</v>
      </c>
      <c r="C62656" t="s">
        <v>1331</v>
      </c>
    </row>
    <row r="62658" spans="1:4" x14ac:dyDescent="0.2">
      <c r="A62658" t="s">
        <v>19519</v>
      </c>
      <c r="B62658" t="str">
        <f>HYPERLINK("https://lindat.mff.cuni.cz/services/teitok/pdtc10/index.php?action=vallex&amp;frame=v-w8657f41_ZU", "vzít (v-w8657f41_ZU) - substituted with v-w8657f42_ZU")</f>
        <v>vzít (v-w8657f41_ZU) - substituted with v-w8657f42_ZU</v>
      </c>
    </row>
    <row r="62659" spans="1:4" x14ac:dyDescent="0.2">
      <c r="B62659" t="s">
        <v>1</v>
      </c>
    </row>
    <row r="62660" spans="1:4" x14ac:dyDescent="0.2">
      <c r="B62660" t="s">
        <v>19520</v>
      </c>
    </row>
    <row r="62661" spans="1:4" x14ac:dyDescent="0.2">
      <c r="B62661" t="s">
        <v>103</v>
      </c>
    </row>
    <row r="62663" spans="1:4" x14ac:dyDescent="0.2">
      <c r="A62663" t="s">
        <v>19519</v>
      </c>
      <c r="B62663" t="str">
        <f>HYPERLINK("https://lindat.mff.cuni.cz/services/teitok/pdtc10/index.php?action=vallex&amp;frame=v-w8657hsa_1096", "vzít (v-w8657hsa_1096) - substituted with v-w8657f42_ZU")</f>
        <v>vzít (v-w8657hsa_1096) - substituted with v-w8657f42_ZU</v>
      </c>
    </row>
    <row r="62664" spans="1:4" x14ac:dyDescent="0.2">
      <c r="B62664" t="s">
        <v>1</v>
      </c>
    </row>
    <row r="62665" spans="1:4" x14ac:dyDescent="0.2">
      <c r="B62665" t="s">
        <v>19520</v>
      </c>
    </row>
    <row r="62666" spans="1:4" x14ac:dyDescent="0.2">
      <c r="B62666" t="s">
        <v>103</v>
      </c>
    </row>
    <row r="62668" spans="1:4" x14ac:dyDescent="0.2">
      <c r="A62668" t="s">
        <v>19521</v>
      </c>
      <c r="B62668" t="str">
        <f>HYPERLINK("https://lindat.mff.cuni.cz/services/teitok/pdtc10/index.php?action=vallex&amp;frame=v-w8657f43_ZU", "vzít (v-w8657f43_ZU)")</f>
        <v>vzít (v-w8657f43_ZU)</v>
      </c>
    </row>
    <row r="62669" spans="1:4" x14ac:dyDescent="0.2">
      <c r="B62669" t="s">
        <v>1</v>
      </c>
    </row>
    <row r="62670" spans="1:4" x14ac:dyDescent="0.2">
      <c r="B62670" t="s">
        <v>19522</v>
      </c>
    </row>
    <row r="62671" spans="1:4" x14ac:dyDescent="0.2">
      <c r="B62671" t="s">
        <v>8</v>
      </c>
      <c r="C62671" t="s">
        <v>113</v>
      </c>
      <c r="D62671" t="s">
        <v>113</v>
      </c>
    </row>
    <row r="62673" spans="1:2" x14ac:dyDescent="0.2">
      <c r="A62673" t="s">
        <v>19523</v>
      </c>
      <c r="B62673" t="str">
        <f>HYPERLINK("https://lindat.mff.cuni.cz/services/teitok/pdtc10/index.php?action=vallex&amp;frame=v-w8657f16", "vzít (v-w8657f16)")</f>
        <v>vzít (v-w8657f16)</v>
      </c>
    </row>
    <row r="62674" spans="1:2" x14ac:dyDescent="0.2">
      <c r="B62674" t="s">
        <v>1</v>
      </c>
    </row>
    <row r="62675" spans="1:2" x14ac:dyDescent="0.2">
      <c r="B62675" t="s">
        <v>371</v>
      </c>
    </row>
    <row r="62676" spans="1:2" x14ac:dyDescent="0.2">
      <c r="B62676" t="s">
        <v>8</v>
      </c>
    </row>
    <row r="62678" spans="1:2" x14ac:dyDescent="0.2">
      <c r="A62678" t="s">
        <v>19524</v>
      </c>
      <c r="B62678" t="str">
        <f>HYPERLINK("https://lindat.mff.cuni.cz/services/teitok/pdtc10/index.php?action=vallex&amp;frame=v-w8657f45_ZU", "vzít (v-w8657f45_ZU)")</f>
        <v>vzít (v-w8657f45_ZU)</v>
      </c>
    </row>
    <row r="62679" spans="1:2" x14ac:dyDescent="0.2">
      <c r="B62679" t="s">
        <v>1</v>
      </c>
    </row>
    <row r="62680" spans="1:2" x14ac:dyDescent="0.2">
      <c r="B62680" t="s">
        <v>8</v>
      </c>
    </row>
    <row r="62682" spans="1:2" x14ac:dyDescent="0.2">
      <c r="A62682" t="s">
        <v>19525</v>
      </c>
      <c r="B62682" t="str">
        <f>HYPERLINK("https://lindat.mff.cuni.cz/services/teitok/pdtc10/index.php?action=vallex&amp;frame=v-w8657f46_ZU", "vzít (v-w8657f46_ZU)")</f>
        <v>vzít (v-w8657f46_ZU)</v>
      </c>
    </row>
    <row r="62683" spans="1:2" x14ac:dyDescent="0.2">
      <c r="B62683" t="s">
        <v>1</v>
      </c>
    </row>
    <row r="62684" spans="1:2" x14ac:dyDescent="0.2">
      <c r="B62684" t="s">
        <v>8</v>
      </c>
    </row>
    <row r="62686" spans="1:2" x14ac:dyDescent="0.2">
      <c r="A62686" t="s">
        <v>19526</v>
      </c>
      <c r="B62686" t="str">
        <f>HYPERLINK("https://lindat.mff.cuni.cz/services/teitok/pdtc10/index.php?action=vallex&amp;frame=v-w8657f47_ZU", "vzít (v-w8657f47_ZU)")</f>
        <v>vzít (v-w8657f47_ZU)</v>
      </c>
    </row>
    <row r="62687" spans="1:2" x14ac:dyDescent="0.2">
      <c r="B62687" t="s">
        <v>1</v>
      </c>
    </row>
    <row r="62688" spans="1:2" x14ac:dyDescent="0.2">
      <c r="B62688" t="s">
        <v>19527</v>
      </c>
    </row>
    <row r="62690" spans="1:2" x14ac:dyDescent="0.2">
      <c r="A62690" t="s">
        <v>19528</v>
      </c>
      <c r="B62690" t="str">
        <f>HYPERLINK("https://lindat.mff.cuni.cz/services/teitok/pdtc10/index.php?action=vallex&amp;frame=v-w8657f48_ZU", "vzít (v-w8657f48_ZU)")</f>
        <v>vzít (v-w8657f48_ZU)</v>
      </c>
    </row>
    <row r="62691" spans="1:2" x14ac:dyDescent="0.2">
      <c r="B62691" t="s">
        <v>1</v>
      </c>
    </row>
    <row r="62692" spans="1:2" x14ac:dyDescent="0.2">
      <c r="B62692" t="s">
        <v>19529</v>
      </c>
    </row>
    <row r="62693" spans="1:2" x14ac:dyDescent="0.2">
      <c r="B62693" t="s">
        <v>8</v>
      </c>
    </row>
    <row r="62695" spans="1:2" x14ac:dyDescent="0.2">
      <c r="A62695" t="s">
        <v>19530</v>
      </c>
      <c r="B62695" t="str">
        <f>HYPERLINK("https://lindat.mff.cuni.cz/services/teitok/pdtc10/index.php?action=vallex&amp;frame=v-w8657f49_ZU", "vzít (v-w8657f49_ZU)")</f>
        <v>vzít (v-w8657f49_ZU)</v>
      </c>
    </row>
    <row r="62696" spans="1:2" x14ac:dyDescent="0.2">
      <c r="B62696" t="s">
        <v>1</v>
      </c>
    </row>
    <row r="62697" spans="1:2" x14ac:dyDescent="0.2">
      <c r="B62697" t="s">
        <v>8</v>
      </c>
    </row>
    <row r="62699" spans="1:2" x14ac:dyDescent="0.2">
      <c r="A62699" t="s">
        <v>19531</v>
      </c>
      <c r="B62699" t="str">
        <f>HYPERLINK("https://lindat.mff.cuni.cz/services/teitok/pdtc10/index.php?action=vallex&amp;frame=v-w8657f50_MM", "vzít (v-w8657f50_MM)")</f>
        <v>vzít (v-w8657f50_MM)</v>
      </c>
    </row>
    <row r="62700" spans="1:2" x14ac:dyDescent="0.2">
      <c r="B62700" t="s">
        <v>1</v>
      </c>
    </row>
    <row r="62701" spans="1:2" x14ac:dyDescent="0.2">
      <c r="B62701" t="s">
        <v>19532</v>
      </c>
    </row>
    <row r="62702" spans="1:2" x14ac:dyDescent="0.2">
      <c r="B62702" t="s">
        <v>8</v>
      </c>
    </row>
    <row r="62704" spans="1:2" x14ac:dyDescent="0.2">
      <c r="A62704" t="s">
        <v>19533</v>
      </c>
      <c r="B62704" t="str">
        <f>HYPERLINK("https://lindat.mff.cuni.cz/services/teitok/pdtc10/index.php?action=vallex&amp;frame=v-w8657hsa_942", "vzít (v-w8657hsa_942)")</f>
        <v>vzít (v-w8657hsa_942)</v>
      </c>
    </row>
    <row r="62705" spans="1:2" x14ac:dyDescent="0.2">
      <c r="B62705" t="s">
        <v>1</v>
      </c>
    </row>
    <row r="62707" spans="1:2" x14ac:dyDescent="0.2">
      <c r="A62707" t="s">
        <v>19534</v>
      </c>
      <c r="B62707" t="str">
        <f>HYPERLINK("https://lindat.mff.cuni.cz/services/teitok/pdtc10/index.php?action=vallex&amp;frame=v-w8657hsa_943", "vzít (v-w8657hsa_943)")</f>
        <v>vzít (v-w8657hsa_943)</v>
      </c>
    </row>
    <row r="62708" spans="1:2" x14ac:dyDescent="0.2">
      <c r="B62708" t="s">
        <v>1</v>
      </c>
    </row>
    <row r="62709" spans="1:2" x14ac:dyDescent="0.2">
      <c r="B62709" t="s">
        <v>8</v>
      </c>
    </row>
    <row r="62711" spans="1:2" x14ac:dyDescent="0.2">
      <c r="A62711" t="s">
        <v>19535</v>
      </c>
      <c r="B62711" t="str">
        <f>HYPERLINK("https://lindat.mff.cuni.cz/services/teitok/pdtc10/index.php?action=vallex&amp;frame=v-w8657hsa_944", "vzít (v-w8657hsa_944)")</f>
        <v>vzít (v-w8657hsa_944)</v>
      </c>
    </row>
    <row r="62712" spans="1:2" x14ac:dyDescent="0.2">
      <c r="B62712" t="s">
        <v>1</v>
      </c>
    </row>
    <row r="62713" spans="1:2" x14ac:dyDescent="0.2">
      <c r="B62713" t="s">
        <v>8</v>
      </c>
    </row>
    <row r="62715" spans="1:2" x14ac:dyDescent="0.2">
      <c r="A62715" t="s">
        <v>19536</v>
      </c>
      <c r="B62715" t="str">
        <f>HYPERLINK("https://lindat.mff.cuni.cz/services/teitok/pdtc10/index.php?action=vallex&amp;frame=v-w8657hsa_945", "vzít (v-w8657hsa_945)")</f>
        <v>vzít (v-w8657hsa_945)</v>
      </c>
    </row>
    <row r="62716" spans="1:2" x14ac:dyDescent="0.2">
      <c r="B62716" t="s">
        <v>1</v>
      </c>
    </row>
    <row r="62717" spans="1:2" x14ac:dyDescent="0.2">
      <c r="B62717" t="s">
        <v>8</v>
      </c>
    </row>
    <row r="62718" spans="1:2" x14ac:dyDescent="0.2">
      <c r="B62718" t="s">
        <v>333</v>
      </c>
    </row>
    <row r="62720" spans="1:2" x14ac:dyDescent="0.2">
      <c r="A62720" t="s">
        <v>19537</v>
      </c>
      <c r="B62720" t="str">
        <f>HYPERLINK("https://lindat.mff.cuni.cz/services/teitok/pdtc10/index.php?action=vallex&amp;frame=v-w8657hsa_946", "vzít (v-w8657hsa_946)")</f>
        <v>vzít (v-w8657hsa_946)</v>
      </c>
    </row>
    <row r="62721" spans="1:2" x14ac:dyDescent="0.2">
      <c r="B62721" t="s">
        <v>1</v>
      </c>
    </row>
    <row r="62722" spans="1:2" x14ac:dyDescent="0.2">
      <c r="B62722" t="s">
        <v>8</v>
      </c>
    </row>
    <row r="62723" spans="1:2" x14ac:dyDescent="0.2">
      <c r="B62723" t="s">
        <v>507</v>
      </c>
    </row>
    <row r="62725" spans="1:2" x14ac:dyDescent="0.2">
      <c r="A62725" t="s">
        <v>19538</v>
      </c>
      <c r="B62725" t="str">
        <f>HYPERLINK("https://lindat.mff.cuni.cz/services/teitok/pdtc10/index.php?action=vallex&amp;frame=v-w8658f3", "vzít se (v-w8658f3)")</f>
        <v>vzít se (v-w8658f3)</v>
      </c>
    </row>
    <row r="62726" spans="1:2" x14ac:dyDescent="0.2">
      <c r="B62726" t="s">
        <v>1</v>
      </c>
    </row>
    <row r="62727" spans="1:2" x14ac:dyDescent="0.2">
      <c r="B62727" t="s">
        <v>408</v>
      </c>
    </row>
    <row r="62729" spans="1:2" x14ac:dyDescent="0.2">
      <c r="A62729" t="s">
        <v>19539</v>
      </c>
      <c r="B62729" t="str">
        <f>HYPERLINK("https://lindat.mff.cuni.cz/services/teitok/pdtc10/index.php?action=vallex&amp;frame=v-w8658f2", "vzít se (v-w8658f2)")</f>
        <v>vzít se (v-w8658f2)</v>
      </c>
    </row>
    <row r="62730" spans="1:2" x14ac:dyDescent="0.2">
      <c r="B62730" t="s">
        <v>1</v>
      </c>
    </row>
    <row r="62731" spans="1:2" x14ac:dyDescent="0.2">
      <c r="B62731" t="s">
        <v>2423</v>
      </c>
    </row>
    <row r="62733" spans="1:2" x14ac:dyDescent="0.2">
      <c r="A62733" t="s">
        <v>19540</v>
      </c>
      <c r="B62733" t="str">
        <f>HYPERLINK("https://lindat.mff.cuni.cz/services/teitok/pdtc10/index.php?action=vallex&amp;frame=v-w8658f1", "vzít se (v-w8658f1)")</f>
        <v>vzít se (v-w8658f1)</v>
      </c>
    </row>
    <row r="62734" spans="1:2" x14ac:dyDescent="0.2">
      <c r="B62734" t="s">
        <v>1</v>
      </c>
    </row>
    <row r="62735" spans="1:2" x14ac:dyDescent="0.2">
      <c r="B62735" t="s">
        <v>5</v>
      </c>
    </row>
    <row r="62737" spans="1:4" x14ac:dyDescent="0.2">
      <c r="A62737" t="s">
        <v>19541</v>
      </c>
      <c r="B62737" t="str">
        <f>HYPERLINK("https://lindat.mff.cuni.cz/services/teitok/pdtc10/index.php?action=vallex&amp;frame=v-w8658hsa_799", "vzít se (v-w8658hsa_799)")</f>
        <v>vzít se (v-w8658hsa_799)</v>
      </c>
    </row>
    <row r="62738" spans="1:4" x14ac:dyDescent="0.2">
      <c r="B62738" t="s">
        <v>1</v>
      </c>
      <c r="C62738" t="s">
        <v>12077</v>
      </c>
      <c r="D62738" t="s">
        <v>23791</v>
      </c>
    </row>
    <row r="62739" spans="1:4" x14ac:dyDescent="0.2">
      <c r="B62739" t="s">
        <v>333</v>
      </c>
    </row>
    <row r="62741" spans="1:4" x14ac:dyDescent="0.2">
      <c r="A62741" t="s">
        <v>19542</v>
      </c>
      <c r="B62741" t="str">
        <f>HYPERLINK("https://lindat.mff.cuni.cz/services/teitok/pdtc10/index.php?action=vallex&amp;frame=v-w8658f4_MM", "vzít se (v-w8658f4_MM)")</f>
        <v>vzít se (v-w8658f4_MM)</v>
      </c>
    </row>
    <row r="62742" spans="1:4" x14ac:dyDescent="0.2">
      <c r="B62742" t="s">
        <v>1</v>
      </c>
    </row>
    <row r="62743" spans="1:4" x14ac:dyDescent="0.2">
      <c r="B62743" t="s">
        <v>19543</v>
      </c>
    </row>
    <row r="62745" spans="1:4" x14ac:dyDescent="0.2">
      <c r="A62745" t="s">
        <v>19544</v>
      </c>
      <c r="B62745" t="str">
        <f>HYPERLINK("https://lindat.mff.cuni.cz/services/teitok/pdtc10/index.php?action=vallex&amp;frame=v-w8659f1", "vzít si (v-w8659f1)")</f>
        <v>vzít si (v-w8659f1)</v>
      </c>
    </row>
    <row r="62746" spans="1:4" x14ac:dyDescent="0.2">
      <c r="B62746" t="s">
        <v>1</v>
      </c>
      <c r="C62746" t="s">
        <v>19545</v>
      </c>
      <c r="D62746" t="s">
        <v>10128</v>
      </c>
    </row>
    <row r="62747" spans="1:4" x14ac:dyDescent="0.2">
      <c r="B62747" t="s">
        <v>8</v>
      </c>
      <c r="C62747" t="s">
        <v>19546</v>
      </c>
      <c r="D62747" t="s">
        <v>24445</v>
      </c>
    </row>
    <row r="62748" spans="1:4" x14ac:dyDescent="0.2">
      <c r="B62748" t="s">
        <v>321</v>
      </c>
      <c r="C62748" t="s">
        <v>11191</v>
      </c>
      <c r="D62748" t="s">
        <v>23007</v>
      </c>
    </row>
    <row r="62749" spans="1:4" x14ac:dyDescent="0.2">
      <c r="B62749" t="s">
        <v>413</v>
      </c>
      <c r="D62749" t="s">
        <v>22564</v>
      </c>
    </row>
    <row r="62751" spans="1:4" x14ac:dyDescent="0.2">
      <c r="A62751" t="s">
        <v>19547</v>
      </c>
      <c r="B62751" t="str">
        <f>HYPERLINK("https://lindat.mff.cuni.cz/services/teitok/pdtc10/index.php?action=vallex&amp;frame=v-w8659f3", "vzít si (v-w8659f3)")</f>
        <v>vzít si (v-w8659f3)</v>
      </c>
    </row>
    <row r="62752" spans="1:4" x14ac:dyDescent="0.2">
      <c r="B62752" t="s">
        <v>1</v>
      </c>
    </row>
    <row r="62753" spans="1:4" x14ac:dyDescent="0.2">
      <c r="B62753" t="s">
        <v>8</v>
      </c>
    </row>
    <row r="62754" spans="1:4" x14ac:dyDescent="0.2">
      <c r="B62754" t="s">
        <v>413</v>
      </c>
    </row>
    <row r="62756" spans="1:4" x14ac:dyDescent="0.2">
      <c r="A62756" t="s">
        <v>19548</v>
      </c>
      <c r="B62756" t="str">
        <f>HYPERLINK("https://lindat.mff.cuni.cz/services/teitok/pdtc10/index.php?action=vallex&amp;frame=v-w8659f15_ZU", "vzít si (v-w8659f15_ZU)")</f>
        <v>vzít si (v-w8659f15_ZU)</v>
      </c>
    </row>
    <row r="62757" spans="1:4" x14ac:dyDescent="0.2">
      <c r="B62757" t="s">
        <v>1</v>
      </c>
    </row>
    <row r="62758" spans="1:4" x14ac:dyDescent="0.2">
      <c r="B62758" t="s">
        <v>124</v>
      </c>
    </row>
    <row r="62760" spans="1:4" x14ac:dyDescent="0.2">
      <c r="A62760" t="s">
        <v>19548</v>
      </c>
      <c r="B62760" t="str">
        <f>HYPERLINK("https://lindat.mff.cuni.cz/services/teitok/pdtc10/index.php?action=vallex&amp;frame=v-w8659f4", "vzít si (v-w8659f4) - substituted with v-w8659f15_ZU")</f>
        <v>vzít si (v-w8659f4) - substituted with v-w8659f15_ZU</v>
      </c>
    </row>
    <row r="62761" spans="1:4" x14ac:dyDescent="0.2">
      <c r="B62761" t="s">
        <v>1</v>
      </c>
      <c r="C62761" t="s">
        <v>4958</v>
      </c>
      <c r="D62761" t="s">
        <v>23014</v>
      </c>
    </row>
    <row r="62762" spans="1:4" x14ac:dyDescent="0.2">
      <c r="B62762" t="s">
        <v>124</v>
      </c>
      <c r="C62762" t="s">
        <v>1212</v>
      </c>
      <c r="D62762" t="s">
        <v>23015</v>
      </c>
    </row>
    <row r="62764" spans="1:4" x14ac:dyDescent="0.2">
      <c r="A62764" t="s">
        <v>19549</v>
      </c>
      <c r="B62764" t="str">
        <f>HYPERLINK("https://lindat.mff.cuni.cz/services/teitok/pdtc10/index.php?action=vallex&amp;frame=v-w8659f2", "vzít si (v-w8659f2)")</f>
        <v>vzít si (v-w8659f2)</v>
      </c>
    </row>
    <row r="62765" spans="1:4" x14ac:dyDescent="0.2">
      <c r="B62765" t="s">
        <v>1</v>
      </c>
      <c r="C62765" t="s">
        <v>8249</v>
      </c>
    </row>
    <row r="62766" spans="1:4" x14ac:dyDescent="0.2">
      <c r="B62766" t="s">
        <v>8</v>
      </c>
      <c r="C62766" t="s">
        <v>6364</v>
      </c>
    </row>
    <row r="62768" spans="1:4" x14ac:dyDescent="0.2">
      <c r="A62768" t="s">
        <v>19550</v>
      </c>
      <c r="B62768" t="str">
        <f>HYPERLINK("https://lindat.mff.cuni.cz/services/teitok/pdtc10/index.php?action=vallex&amp;frame=v-w8659f8", "vzít si (v-w8659f8)")</f>
        <v>vzít si (v-w8659f8)</v>
      </c>
    </row>
    <row r="62769" spans="1:3" x14ac:dyDescent="0.2">
      <c r="B62769" t="s">
        <v>1</v>
      </c>
    </row>
    <row r="62770" spans="1:3" x14ac:dyDescent="0.2">
      <c r="B62770" t="s">
        <v>8</v>
      </c>
    </row>
    <row r="62771" spans="1:3" x14ac:dyDescent="0.2">
      <c r="B62771" t="s">
        <v>415</v>
      </c>
    </row>
    <row r="62772" spans="1:3" x14ac:dyDescent="0.2">
      <c r="B62772" t="s">
        <v>346</v>
      </c>
    </row>
    <row r="62773" spans="1:3" x14ac:dyDescent="0.2">
      <c r="B62773" t="s">
        <v>348</v>
      </c>
    </row>
    <row r="62774" spans="1:3" x14ac:dyDescent="0.2">
      <c r="B62774" t="s">
        <v>349</v>
      </c>
    </row>
    <row r="62775" spans="1:3" x14ac:dyDescent="0.2">
      <c r="B62775" t="s">
        <v>350</v>
      </c>
    </row>
    <row r="62776" spans="1:3" x14ac:dyDescent="0.2">
      <c r="B62776" t="s">
        <v>351</v>
      </c>
    </row>
    <row r="62778" spans="1:3" x14ac:dyDescent="0.2">
      <c r="A62778" t="s">
        <v>19551</v>
      </c>
      <c r="B62778" t="str">
        <f>HYPERLINK("https://lindat.mff.cuni.cz/services/teitok/pdtc10/index.php?action=vallex&amp;frame=v-w8659f11_ZU", "vzít si (v-w8659f11_ZU)")</f>
        <v>vzít si (v-w8659f11_ZU)</v>
      </c>
    </row>
    <row r="62779" spans="1:3" x14ac:dyDescent="0.2">
      <c r="B62779" t="s">
        <v>1</v>
      </c>
    </row>
    <row r="62780" spans="1:3" x14ac:dyDescent="0.2">
      <c r="B62780" t="s">
        <v>8</v>
      </c>
    </row>
    <row r="62782" spans="1:3" x14ac:dyDescent="0.2">
      <c r="A62782" t="s">
        <v>19552</v>
      </c>
      <c r="B62782" t="str">
        <f>HYPERLINK("https://lindat.mff.cuni.cz/services/teitok/pdtc10/index.php?action=vallex&amp;frame=v-w8659f5", "vzít si (v-w8659f5)")</f>
        <v>vzít si (v-w8659f5)</v>
      </c>
    </row>
    <row r="62783" spans="1:3" x14ac:dyDescent="0.2">
      <c r="B62783" t="s">
        <v>1</v>
      </c>
      <c r="C62783" t="s">
        <v>3583</v>
      </c>
    </row>
    <row r="62784" spans="1:3" x14ac:dyDescent="0.2">
      <c r="B62784" t="s">
        <v>19553</v>
      </c>
      <c r="C62784" t="s">
        <v>6839</v>
      </c>
    </row>
    <row r="62785" spans="1:3" x14ac:dyDescent="0.2">
      <c r="B62785" t="s">
        <v>8</v>
      </c>
      <c r="C62785" t="s">
        <v>338</v>
      </c>
    </row>
    <row r="62787" spans="1:3" x14ac:dyDescent="0.2">
      <c r="A62787" t="s">
        <v>19554</v>
      </c>
      <c r="B62787" t="str">
        <f>HYPERLINK("https://lindat.mff.cuni.cz/services/teitok/pdtc10/index.php?action=vallex&amp;frame=v-w8659f10", "vzít si (v-w8659f10)")</f>
        <v>vzít si (v-w8659f10)</v>
      </c>
    </row>
    <row r="62788" spans="1:3" x14ac:dyDescent="0.2">
      <c r="B62788" t="s">
        <v>1</v>
      </c>
      <c r="C62788" t="s">
        <v>322</v>
      </c>
    </row>
    <row r="62789" spans="1:3" x14ac:dyDescent="0.2">
      <c r="B62789" t="s">
        <v>418</v>
      </c>
      <c r="C62789" t="s">
        <v>2612</v>
      </c>
    </row>
    <row r="62790" spans="1:3" x14ac:dyDescent="0.2">
      <c r="B62790" t="s">
        <v>8</v>
      </c>
      <c r="C62790" t="s">
        <v>323</v>
      </c>
    </row>
    <row r="62792" spans="1:3" x14ac:dyDescent="0.2">
      <c r="A62792" t="s">
        <v>19555</v>
      </c>
      <c r="B62792" t="str">
        <f>HYPERLINK("https://lindat.mff.cuni.cz/services/teitok/pdtc10/index.php?action=vallex&amp;frame=v-w8659f9", "vzít si (v-w8659f9)")</f>
        <v>vzít si (v-w8659f9)</v>
      </c>
    </row>
    <row r="62793" spans="1:3" x14ac:dyDescent="0.2">
      <c r="B62793" t="s">
        <v>1</v>
      </c>
    </row>
    <row r="62794" spans="1:3" x14ac:dyDescent="0.2">
      <c r="B62794" t="s">
        <v>2601</v>
      </c>
    </row>
    <row r="62795" spans="1:3" x14ac:dyDescent="0.2">
      <c r="B62795" t="s">
        <v>8</v>
      </c>
    </row>
    <row r="62797" spans="1:3" x14ac:dyDescent="0.2">
      <c r="A62797" t="s">
        <v>19556</v>
      </c>
      <c r="B62797" t="str">
        <f>HYPERLINK("https://lindat.mff.cuni.cz/services/teitok/pdtc10/index.php?action=vallex&amp;frame=v-w8659f7", "vzít si (v-w8659f7)")</f>
        <v>vzít si (v-w8659f7)</v>
      </c>
    </row>
    <row r="62798" spans="1:3" x14ac:dyDescent="0.2">
      <c r="B62798" t="s">
        <v>1</v>
      </c>
    </row>
    <row r="62799" spans="1:3" x14ac:dyDescent="0.2">
      <c r="B62799" t="s">
        <v>5180</v>
      </c>
    </row>
    <row r="62800" spans="1:3" x14ac:dyDescent="0.2">
      <c r="B62800" t="s">
        <v>247</v>
      </c>
    </row>
    <row r="62802" spans="1:2" x14ac:dyDescent="0.2">
      <c r="A62802" t="s">
        <v>19557</v>
      </c>
      <c r="B62802" t="str">
        <f>HYPERLINK("https://lindat.mff.cuni.cz/services/teitok/pdtc10/index.php?action=vallex&amp;frame=v-w8659f6", "vzít si (v-w8659f6)")</f>
        <v>vzít si (v-w8659f6)</v>
      </c>
    </row>
    <row r="62803" spans="1:2" x14ac:dyDescent="0.2">
      <c r="B62803" t="s">
        <v>1</v>
      </c>
    </row>
    <row r="62804" spans="1:2" x14ac:dyDescent="0.2">
      <c r="B62804" t="s">
        <v>9247</v>
      </c>
    </row>
    <row r="62806" spans="1:2" x14ac:dyDescent="0.2">
      <c r="A62806" t="s">
        <v>19558</v>
      </c>
      <c r="B62806" t="str">
        <f>HYPERLINK("https://lindat.mff.cuni.cz/services/teitok/pdtc10/index.php?action=vallex&amp;frame=v-w8659f14_ZU", "vzít si (v-w8659f14_ZU)")</f>
        <v>vzít si (v-w8659f14_ZU)</v>
      </c>
    </row>
    <row r="62807" spans="1:2" x14ac:dyDescent="0.2">
      <c r="B62807" t="s">
        <v>1</v>
      </c>
    </row>
    <row r="62808" spans="1:2" x14ac:dyDescent="0.2">
      <c r="B62808" t="s">
        <v>12079</v>
      </c>
    </row>
    <row r="62810" spans="1:2" x14ac:dyDescent="0.2">
      <c r="A62810" t="s">
        <v>19559</v>
      </c>
      <c r="B62810" t="str">
        <f>HYPERLINK("https://lindat.mff.cuni.cz/services/teitok/pdtc10/index.php?action=vallex&amp;frame=v-w8659f16_ZU", "vzít si (v-w8659f16_ZU)")</f>
        <v>vzít si (v-w8659f16_ZU)</v>
      </c>
    </row>
    <row r="62811" spans="1:2" x14ac:dyDescent="0.2">
      <c r="B62811" t="s">
        <v>1</v>
      </c>
    </row>
    <row r="62812" spans="1:2" x14ac:dyDescent="0.2">
      <c r="B62812" t="s">
        <v>19560</v>
      </c>
    </row>
    <row r="62813" spans="1:2" x14ac:dyDescent="0.2">
      <c r="B62813" t="s">
        <v>8</v>
      </c>
    </row>
    <row r="62815" spans="1:2" x14ac:dyDescent="0.2">
      <c r="A62815" t="s">
        <v>19561</v>
      </c>
      <c r="B62815" t="str">
        <f>HYPERLINK("https://lindat.mff.cuni.cz/services/teitok/pdtc10/index.php?action=vallex&amp;frame=v-w8659f17_ZU", "vzít si (v-w8659f17_ZU)")</f>
        <v>vzít si (v-w8659f17_ZU)</v>
      </c>
    </row>
    <row r="62816" spans="1:2" x14ac:dyDescent="0.2">
      <c r="B62816" t="s">
        <v>1</v>
      </c>
    </row>
    <row r="62817" spans="1:2" x14ac:dyDescent="0.2">
      <c r="B62817" t="s">
        <v>17102</v>
      </c>
    </row>
    <row r="62818" spans="1:2" x14ac:dyDescent="0.2">
      <c r="B62818" t="s">
        <v>41</v>
      </c>
    </row>
    <row r="62820" spans="1:2" x14ac:dyDescent="0.2">
      <c r="A62820" t="s">
        <v>19562</v>
      </c>
      <c r="B62820" t="str">
        <f>HYPERLINK("https://lindat.mff.cuni.cz/services/teitok/pdtc10/index.php?action=vallex&amp;frame=v-w8659f18_MM", "vzít si (v-w8659f18_MM)")</f>
        <v>vzít si (v-w8659f18_MM)</v>
      </c>
    </row>
    <row r="62821" spans="1:2" x14ac:dyDescent="0.2">
      <c r="B62821" t="s">
        <v>1</v>
      </c>
    </row>
    <row r="62822" spans="1:2" x14ac:dyDescent="0.2">
      <c r="B62822" t="s">
        <v>19563</v>
      </c>
    </row>
    <row r="62823" spans="1:2" x14ac:dyDescent="0.2">
      <c r="B62823" t="s">
        <v>8</v>
      </c>
    </row>
    <row r="62825" spans="1:2" x14ac:dyDescent="0.2">
      <c r="A62825" t="s">
        <v>19562</v>
      </c>
      <c r="B62825" t="str">
        <f>HYPERLINK("https://lindat.mff.cuni.cz/services/teitok/pdtc10/index.php?action=vallex&amp;frame=v-w8659f12_ZU", "vzít si (v-w8659f12_ZU) - substituted with v-w8659f18_MM")</f>
        <v>vzít si (v-w8659f12_ZU) - substituted with v-w8659f18_MM</v>
      </c>
    </row>
    <row r="62826" spans="1:2" x14ac:dyDescent="0.2">
      <c r="B62826" t="s">
        <v>1</v>
      </c>
    </row>
    <row r="62827" spans="1:2" x14ac:dyDescent="0.2">
      <c r="B62827" t="s">
        <v>19563</v>
      </c>
    </row>
    <row r="62828" spans="1:2" x14ac:dyDescent="0.2">
      <c r="B62828" t="s">
        <v>8</v>
      </c>
    </row>
    <row r="62830" spans="1:2" x14ac:dyDescent="0.2">
      <c r="A62830" t="s">
        <v>19562</v>
      </c>
      <c r="B62830" t="str">
        <f>HYPERLINK("https://lindat.mff.cuni.cz/services/teitok/pdtc10/index.php?action=vallex&amp;frame=v-w8659f13_ZU", "vzít si (v-w8659f13_ZU) - substituted with v-w8659f18_MM")</f>
        <v>vzít si (v-w8659f13_ZU) - substituted with v-w8659f18_MM</v>
      </c>
    </row>
    <row r="62831" spans="1:2" x14ac:dyDescent="0.2">
      <c r="B62831" t="s">
        <v>1</v>
      </c>
    </row>
    <row r="62832" spans="1:2" x14ac:dyDescent="0.2">
      <c r="B62832" t="s">
        <v>19563</v>
      </c>
    </row>
    <row r="62833" spans="1:2" x14ac:dyDescent="0.2">
      <c r="B62833" t="s">
        <v>8</v>
      </c>
    </row>
    <row r="62835" spans="1:2" x14ac:dyDescent="0.2">
      <c r="A62835" t="s">
        <v>19562</v>
      </c>
      <c r="B62835" t="str">
        <f>HYPERLINK("https://lindat.mff.cuni.cz/services/teitok/pdtc10/index.php?action=vallex&amp;frame=v-w8659hsa_1141", "vzít si (v-w8659hsa_1141) - substituted with v-w8659f18_MM")</f>
        <v>vzít si (v-w8659hsa_1141) - substituted with v-w8659f18_MM</v>
      </c>
    </row>
    <row r="62836" spans="1:2" x14ac:dyDescent="0.2">
      <c r="B62836" t="s">
        <v>1</v>
      </c>
    </row>
    <row r="62837" spans="1:2" x14ac:dyDescent="0.2">
      <c r="B62837" t="s">
        <v>19563</v>
      </c>
    </row>
    <row r="62838" spans="1:2" x14ac:dyDescent="0.2">
      <c r="B62838" t="s">
        <v>8</v>
      </c>
    </row>
    <row r="62840" spans="1:2" x14ac:dyDescent="0.2">
      <c r="A62840" t="s">
        <v>19564</v>
      </c>
      <c r="B62840" t="str">
        <f>HYPERLINK("https://lindat.mff.cuni.cz/services/teitok/pdtc10/index.php?action=vallex&amp;frame=v-w8659hsa_1140", "vzít si (v-w8659hsa_1140)")</f>
        <v>vzít si (v-w8659hsa_1140)</v>
      </c>
    </row>
    <row r="62841" spans="1:2" x14ac:dyDescent="0.2">
      <c r="B62841" t="s">
        <v>1</v>
      </c>
    </row>
    <row r="62842" spans="1:2" x14ac:dyDescent="0.2">
      <c r="B62842" t="s">
        <v>8</v>
      </c>
    </row>
    <row r="62844" spans="1:2" x14ac:dyDescent="0.2">
      <c r="A62844" t="s">
        <v>19565</v>
      </c>
      <c r="B62844" t="str">
        <f>HYPERLINK("https://lindat.mff.cuni.cz/services/teitok/pdtc10/index.php?action=vallex&amp;frame=v-w10247f2", "vzývat (v-w10247f2)")</f>
        <v>vzývat (v-w10247f2)</v>
      </c>
    </row>
    <row r="62845" spans="1:2" x14ac:dyDescent="0.2">
      <c r="B62845" t="s">
        <v>1</v>
      </c>
    </row>
    <row r="62846" spans="1:2" x14ac:dyDescent="0.2">
      <c r="B62846" t="s">
        <v>8</v>
      </c>
    </row>
    <row r="62848" spans="1:2" x14ac:dyDescent="0.2">
      <c r="A62848" t="s">
        <v>19566</v>
      </c>
      <c r="B62848" t="str">
        <f>HYPERLINK("https://lindat.mff.cuni.cz/services/teitok/pdtc10/index.php?action=vallex&amp;frame=v-w10861f2", "vábit (v-w10861f2)")</f>
        <v>vábit (v-w10861f2)</v>
      </c>
    </row>
    <row r="62849" spans="1:4" x14ac:dyDescent="0.2">
      <c r="B62849" t="s">
        <v>1</v>
      </c>
      <c r="D62849" t="s">
        <v>23460</v>
      </c>
    </row>
    <row r="62850" spans="1:4" x14ac:dyDescent="0.2">
      <c r="B62850" t="s">
        <v>8</v>
      </c>
      <c r="D62850" t="s">
        <v>24332</v>
      </c>
    </row>
    <row r="62852" spans="1:4" x14ac:dyDescent="0.2">
      <c r="A62852" t="s">
        <v>19567</v>
      </c>
      <c r="B62852" t="str">
        <f>HYPERLINK("https://lindat.mff.cuni.cz/services/teitok/pdtc10/index.php?action=vallex&amp;frame=v-w7506hsa_149", "váhat (v-w7506hsa_149)")</f>
        <v>váhat (v-w7506hsa_149)</v>
      </c>
    </row>
    <row r="62853" spans="1:4" x14ac:dyDescent="0.2">
      <c r="B62853" t="s">
        <v>1</v>
      </c>
      <c r="C62853" t="s">
        <v>364</v>
      </c>
    </row>
    <row r="62854" spans="1:4" x14ac:dyDescent="0.2">
      <c r="B62854" t="s">
        <v>19568</v>
      </c>
    </row>
    <row r="62856" spans="1:4" x14ac:dyDescent="0.2">
      <c r="A62856" t="s">
        <v>19567</v>
      </c>
      <c r="B62856" t="str">
        <f>HYPERLINK("https://lindat.mff.cuni.cz/services/teitok/pdtc10/index.php?action=vallex&amp;frame=v-w7506f1", "váhat (v-w7506f1) - substituted with v-w7506hsa_149")</f>
        <v>váhat (v-w7506f1) - substituted with v-w7506hsa_149</v>
      </c>
    </row>
    <row r="62857" spans="1:4" x14ac:dyDescent="0.2">
      <c r="B62857" t="s">
        <v>1</v>
      </c>
      <c r="C62857" t="s">
        <v>19569</v>
      </c>
    </row>
    <row r="62858" spans="1:4" x14ac:dyDescent="0.2">
      <c r="B62858" t="s">
        <v>19568</v>
      </c>
      <c r="C62858" t="s">
        <v>1044</v>
      </c>
    </row>
    <row r="62860" spans="1:4" x14ac:dyDescent="0.2">
      <c r="A62860" t="s">
        <v>19570</v>
      </c>
      <c r="B62860" t="str">
        <f>HYPERLINK("https://lindat.mff.cuni.cz/services/teitok/pdtc10/index.php?action=vallex&amp;frame=v-w12232_ZUf1_ZU", "válet (v-w12232_ZUf1_ZU)")</f>
        <v>válet (v-w12232_ZUf1_ZU)</v>
      </c>
    </row>
    <row r="62861" spans="1:4" x14ac:dyDescent="0.2">
      <c r="B62861" t="s">
        <v>1</v>
      </c>
    </row>
    <row r="62862" spans="1:4" x14ac:dyDescent="0.2">
      <c r="B62862" t="s">
        <v>8</v>
      </c>
    </row>
    <row r="62864" spans="1:4" x14ac:dyDescent="0.2">
      <c r="A62864" t="s">
        <v>19571</v>
      </c>
      <c r="B62864" t="str">
        <f>HYPERLINK("https://lindat.mff.cuni.cz/services/teitok/pdtc10/index.php?action=vallex&amp;frame=v-whsa_1042hsa_1043", "válet se (v-whsa_1042hsa_1043)")</f>
        <v>válet se (v-whsa_1042hsa_1043)</v>
      </c>
    </row>
    <row r="62865" spans="1:2" x14ac:dyDescent="0.2">
      <c r="B62865" t="s">
        <v>1</v>
      </c>
    </row>
    <row r="62867" spans="1:2" x14ac:dyDescent="0.2">
      <c r="A62867" t="s">
        <v>19572</v>
      </c>
      <c r="B62867" t="str">
        <f>HYPERLINK("https://lindat.mff.cuni.cz/services/teitok/pdtc10/index.php?action=vallex&amp;frame=v-whsa_1042hsa_1044", "válet se (v-whsa_1042hsa_1044)")</f>
        <v>válet se (v-whsa_1042hsa_1044)</v>
      </c>
    </row>
    <row r="62868" spans="1:2" x14ac:dyDescent="0.2">
      <c r="B62868" t="s">
        <v>1</v>
      </c>
    </row>
    <row r="62870" spans="1:2" x14ac:dyDescent="0.2">
      <c r="A62870" t="s">
        <v>19573</v>
      </c>
      <c r="B62870" t="str">
        <f>HYPERLINK("https://lindat.mff.cuni.cz/services/teitok/pdtc10/index.php?action=vallex&amp;frame=v-w7509f2", "válčit (v-w7509f2)")</f>
        <v>válčit (v-w7509f2)</v>
      </c>
    </row>
    <row r="62871" spans="1:2" x14ac:dyDescent="0.2">
      <c r="B62871" t="s">
        <v>1</v>
      </c>
    </row>
    <row r="62872" spans="1:2" x14ac:dyDescent="0.2">
      <c r="B62872" t="s">
        <v>231</v>
      </c>
    </row>
    <row r="62874" spans="1:2" x14ac:dyDescent="0.2">
      <c r="A62874" t="s">
        <v>19574</v>
      </c>
      <c r="B62874" t="str">
        <f>HYPERLINK("https://lindat.mff.cuni.cz/services/teitok/pdtc10/index.php?action=vallex&amp;frame=v-w7509f3", "válčit (v-w7509f3)")</f>
        <v>válčit (v-w7509f3)</v>
      </c>
    </row>
    <row r="62875" spans="1:2" x14ac:dyDescent="0.2">
      <c r="B62875" t="s">
        <v>1</v>
      </c>
    </row>
    <row r="62876" spans="1:2" x14ac:dyDescent="0.2">
      <c r="B62876" t="s">
        <v>223</v>
      </c>
    </row>
    <row r="62878" spans="1:2" x14ac:dyDescent="0.2">
      <c r="A62878" t="s">
        <v>19575</v>
      </c>
      <c r="B62878" t="str">
        <f>HYPERLINK("https://lindat.mff.cuni.cz/services/teitok/pdtc10/index.php?action=vallex&amp;frame=v-w7509f1", "válčit (v-w7509f1)")</f>
        <v>válčit (v-w7509f1)</v>
      </c>
    </row>
    <row r="62879" spans="1:2" x14ac:dyDescent="0.2">
      <c r="B62879" t="s">
        <v>1</v>
      </c>
    </row>
    <row r="62880" spans="1:2" x14ac:dyDescent="0.2">
      <c r="B62880" t="s">
        <v>14479</v>
      </c>
    </row>
    <row r="62881" spans="1:3" x14ac:dyDescent="0.2">
      <c r="B62881" t="s">
        <v>19576</v>
      </c>
    </row>
    <row r="62883" spans="1:3" x14ac:dyDescent="0.2">
      <c r="A62883" t="s">
        <v>19577</v>
      </c>
      <c r="B62883" t="str">
        <f>HYPERLINK("https://lindat.mff.cuni.cz/services/teitok/pdtc10/index.php?action=vallex&amp;frame=v-w7525f1", "vát (v-w7525f1)")</f>
        <v>vát (v-w7525f1)</v>
      </c>
    </row>
    <row r="62884" spans="1:3" x14ac:dyDescent="0.2">
      <c r="B62884" t="s">
        <v>1</v>
      </c>
    </row>
    <row r="62886" spans="1:3" x14ac:dyDescent="0.2">
      <c r="A62886" t="s">
        <v>19578</v>
      </c>
      <c r="B62886" t="str">
        <f>HYPERLINK("https://lindat.mff.cuni.cz/services/teitok/pdtc10/index.php?action=vallex&amp;frame=v-w7528f7", "vázat (v-w7528f7)")</f>
        <v>vázat (v-w7528f7)</v>
      </c>
    </row>
    <row r="62887" spans="1:3" x14ac:dyDescent="0.2">
      <c r="B62887" t="s">
        <v>1</v>
      </c>
    </row>
    <row r="62888" spans="1:3" x14ac:dyDescent="0.2">
      <c r="B62888" t="s">
        <v>8</v>
      </c>
    </row>
    <row r="62889" spans="1:3" x14ac:dyDescent="0.2">
      <c r="B62889" t="s">
        <v>24</v>
      </c>
    </row>
    <row r="62890" spans="1:3" x14ac:dyDescent="0.2">
      <c r="B62890" t="s">
        <v>130</v>
      </c>
    </row>
    <row r="62892" spans="1:3" x14ac:dyDescent="0.2">
      <c r="A62892" t="s">
        <v>19579</v>
      </c>
      <c r="B62892" t="str">
        <f>HYPERLINK("https://lindat.mff.cuni.cz/services/teitok/pdtc10/index.php?action=vallex&amp;frame=v-w7528f1", "vázat (v-w7528f1)")</f>
        <v>vázat (v-w7528f1)</v>
      </c>
    </row>
    <row r="62893" spans="1:3" x14ac:dyDescent="0.2">
      <c r="B62893" t="s">
        <v>1</v>
      </c>
      <c r="C62893" t="s">
        <v>22</v>
      </c>
    </row>
    <row r="62894" spans="1:3" x14ac:dyDescent="0.2">
      <c r="B62894" t="s">
        <v>8</v>
      </c>
      <c r="C62894" t="s">
        <v>969</v>
      </c>
    </row>
    <row r="62895" spans="1:3" x14ac:dyDescent="0.2">
      <c r="B62895" t="s">
        <v>1462</v>
      </c>
      <c r="C62895" t="s">
        <v>19580</v>
      </c>
    </row>
    <row r="62897" spans="1:4" x14ac:dyDescent="0.2">
      <c r="A62897" t="s">
        <v>19581</v>
      </c>
      <c r="B62897" t="str">
        <f>HYPERLINK("https://lindat.mff.cuni.cz/services/teitok/pdtc10/index.php?action=vallex&amp;frame=v-w7528f2", "vázat (v-w7528f2)")</f>
        <v>vázat (v-w7528f2)</v>
      </c>
    </row>
    <row r="62898" spans="1:4" x14ac:dyDescent="0.2">
      <c r="B62898" t="s">
        <v>1</v>
      </c>
    </row>
    <row r="62899" spans="1:4" x14ac:dyDescent="0.2">
      <c r="B62899" t="s">
        <v>8</v>
      </c>
    </row>
    <row r="62901" spans="1:4" x14ac:dyDescent="0.2">
      <c r="A62901" t="s">
        <v>19582</v>
      </c>
      <c r="B62901" t="str">
        <f>HYPERLINK("https://lindat.mff.cuni.cz/services/teitok/pdtc10/index.php?action=vallex&amp;frame=v-w7528f3", "vázat (v-w7528f3)")</f>
        <v>vázat (v-w7528f3)</v>
      </c>
    </row>
    <row r="62902" spans="1:4" x14ac:dyDescent="0.2">
      <c r="B62902" t="s">
        <v>1</v>
      </c>
      <c r="C62902" t="s">
        <v>19583</v>
      </c>
      <c r="D62902" t="s">
        <v>186</v>
      </c>
    </row>
    <row r="62903" spans="1:4" x14ac:dyDescent="0.2">
      <c r="B62903" t="s">
        <v>8</v>
      </c>
      <c r="C62903" t="s">
        <v>19584</v>
      </c>
      <c r="D62903" t="s">
        <v>8138</v>
      </c>
    </row>
    <row r="62905" spans="1:4" x14ac:dyDescent="0.2">
      <c r="A62905" t="s">
        <v>19585</v>
      </c>
      <c r="B62905" t="str">
        <f>HYPERLINK("https://lindat.mff.cuni.cz/services/teitok/pdtc10/index.php?action=vallex&amp;frame=v-w7528f5", "vázat (v-w7528f5)")</f>
        <v>vázat (v-w7528f5)</v>
      </c>
    </row>
    <row r="62906" spans="1:4" x14ac:dyDescent="0.2">
      <c r="B62906" t="s">
        <v>1</v>
      </c>
      <c r="D62906" t="s">
        <v>33</v>
      </c>
    </row>
    <row r="62907" spans="1:4" x14ac:dyDescent="0.2">
      <c r="B62907" t="s">
        <v>8</v>
      </c>
      <c r="C62907" t="s">
        <v>113</v>
      </c>
      <c r="D62907" t="s">
        <v>84</v>
      </c>
    </row>
    <row r="62909" spans="1:4" x14ac:dyDescent="0.2">
      <c r="A62909" t="s">
        <v>19586</v>
      </c>
      <c r="B62909" t="str">
        <f>HYPERLINK("https://lindat.mff.cuni.cz/services/teitok/pdtc10/index.php?action=vallex&amp;frame=v-w7528f6", "vázat (v-w7528f6)")</f>
        <v>vázat (v-w7528f6)</v>
      </c>
    </row>
    <row r="62910" spans="1:4" x14ac:dyDescent="0.2">
      <c r="B62910" t="s">
        <v>1</v>
      </c>
    </row>
    <row r="62911" spans="1:4" x14ac:dyDescent="0.2">
      <c r="B62911" t="s">
        <v>8</v>
      </c>
    </row>
    <row r="62913" spans="1:2" x14ac:dyDescent="0.2">
      <c r="A62913" t="s">
        <v>19587</v>
      </c>
      <c r="B62913" t="str">
        <f>HYPERLINK("https://lindat.mff.cuni.cz/services/teitok/pdtc10/index.php?action=vallex&amp;frame=v-w7528f4", "vázat (v-w7528f4)")</f>
        <v>vázat (v-w7528f4)</v>
      </c>
    </row>
    <row r="62914" spans="1:2" x14ac:dyDescent="0.2">
      <c r="B62914" t="s">
        <v>1</v>
      </c>
    </row>
    <row r="62915" spans="1:2" x14ac:dyDescent="0.2">
      <c r="B62915" t="s">
        <v>58</v>
      </c>
    </row>
    <row r="62916" spans="1:2" x14ac:dyDescent="0.2">
      <c r="B62916" t="s">
        <v>19588</v>
      </c>
    </row>
    <row r="62918" spans="1:2" x14ac:dyDescent="0.2">
      <c r="A62918" t="s">
        <v>19589</v>
      </c>
      <c r="B62918" t="str">
        <f>HYPERLINK("https://lindat.mff.cuni.cz/services/teitok/pdtc10/index.php?action=vallex&amp;frame=v-w7528hsa_1603", "vázat (v-w7528hsa_1603)")</f>
        <v>vázat (v-w7528hsa_1603)</v>
      </c>
    </row>
    <row r="62919" spans="1:2" x14ac:dyDescent="0.2">
      <c r="B62919" t="s">
        <v>1</v>
      </c>
    </row>
    <row r="62920" spans="1:2" x14ac:dyDescent="0.2">
      <c r="B62920" t="s">
        <v>8</v>
      </c>
    </row>
    <row r="62921" spans="1:2" x14ac:dyDescent="0.2">
      <c r="B62921" t="s">
        <v>130</v>
      </c>
    </row>
    <row r="62923" spans="1:2" x14ac:dyDescent="0.2">
      <c r="A62923" t="s">
        <v>19590</v>
      </c>
      <c r="B62923" t="str">
        <f>HYPERLINK("https://lindat.mff.cuni.cz/services/teitok/pdtc10/index.php?action=vallex&amp;frame=v-w7529f2", "vázat se (v-w7529f2)")</f>
        <v>vázat se (v-w7529f2)</v>
      </c>
    </row>
    <row r="62924" spans="1:2" x14ac:dyDescent="0.2">
      <c r="B62924" t="s">
        <v>1</v>
      </c>
    </row>
    <row r="62925" spans="1:2" x14ac:dyDescent="0.2">
      <c r="B62925" t="s">
        <v>411</v>
      </c>
    </row>
    <row r="62926" spans="1:2" x14ac:dyDescent="0.2">
      <c r="B62926" t="s">
        <v>2156</v>
      </c>
    </row>
    <row r="62928" spans="1:2" x14ac:dyDescent="0.2">
      <c r="A62928" t="s">
        <v>19591</v>
      </c>
      <c r="B62928" t="str">
        <f>HYPERLINK("https://lindat.mff.cuni.cz/services/teitok/pdtc10/index.php?action=vallex&amp;frame=v-w7529f1", "vázat se (v-w7529f1)")</f>
        <v>vázat se (v-w7529f1)</v>
      </c>
    </row>
    <row r="62929" spans="1:4" x14ac:dyDescent="0.2">
      <c r="B62929" t="s">
        <v>1</v>
      </c>
      <c r="C62929" t="s">
        <v>10645</v>
      </c>
    </row>
    <row r="62930" spans="1:4" x14ac:dyDescent="0.2">
      <c r="B62930" t="s">
        <v>4318</v>
      </c>
      <c r="C62930" t="s">
        <v>19592</v>
      </c>
    </row>
    <row r="62932" spans="1:4" x14ac:dyDescent="0.2">
      <c r="A62932" t="s">
        <v>19593</v>
      </c>
      <c r="B62932" t="str">
        <f>HYPERLINK("https://lindat.mff.cuni.cz/services/teitok/pdtc10/index.php?action=vallex&amp;frame=v-w7529f3", "vázat se (v-w7529f3)")</f>
        <v>vázat se (v-w7529f3)</v>
      </c>
    </row>
    <row r="62933" spans="1:4" x14ac:dyDescent="0.2">
      <c r="B62933" t="s">
        <v>1</v>
      </c>
    </row>
    <row r="62934" spans="1:4" x14ac:dyDescent="0.2">
      <c r="B62934" t="s">
        <v>4318</v>
      </c>
    </row>
    <row r="62936" spans="1:4" x14ac:dyDescent="0.2">
      <c r="A62936" t="s">
        <v>19594</v>
      </c>
      <c r="B62936" t="str">
        <f>HYPERLINK("https://lindat.mff.cuni.cz/services/teitok/pdtc10/index.php?action=vallex&amp;frame=v-w7531f1", "váznout (v-w7531f1)")</f>
        <v>váznout (v-w7531f1)</v>
      </c>
    </row>
    <row r="62937" spans="1:4" x14ac:dyDescent="0.2">
      <c r="B62937" t="s">
        <v>1</v>
      </c>
      <c r="D62937" t="s">
        <v>24447</v>
      </c>
    </row>
    <row r="62938" spans="1:4" x14ac:dyDescent="0.2">
      <c r="B62938" t="s">
        <v>2712</v>
      </c>
      <c r="D62938" t="s">
        <v>24448</v>
      </c>
    </row>
    <row r="62940" spans="1:4" x14ac:dyDescent="0.2">
      <c r="A62940" t="s">
        <v>19595</v>
      </c>
      <c r="B62940" t="str">
        <f>HYPERLINK("https://lindat.mff.cuni.cz/services/teitok/pdtc10/index.php?action=vallex&amp;frame=v-w7531f2", "váznout (v-w7531f2)")</f>
        <v>váznout (v-w7531f2)</v>
      </c>
    </row>
    <row r="62941" spans="1:4" x14ac:dyDescent="0.2">
      <c r="B62941" t="s">
        <v>1</v>
      </c>
    </row>
    <row r="62942" spans="1:4" x14ac:dyDescent="0.2">
      <c r="B62942" t="s">
        <v>5</v>
      </c>
    </row>
    <row r="62944" spans="1:4" x14ac:dyDescent="0.2">
      <c r="A62944" t="s">
        <v>19596</v>
      </c>
      <c r="B62944" t="str">
        <f>HYPERLINK("https://lindat.mff.cuni.cz/services/teitok/pdtc10/index.php?action=vallex&amp;frame=v-w7533f4", "vážit (v-w7533f4)")</f>
        <v>vážit (v-w7533f4)</v>
      </c>
    </row>
    <row r="62945" spans="1:4" x14ac:dyDescent="0.2">
      <c r="B62945" t="s">
        <v>1</v>
      </c>
    </row>
    <row r="62946" spans="1:4" x14ac:dyDescent="0.2">
      <c r="B62946" t="s">
        <v>1693</v>
      </c>
      <c r="C62946" t="s">
        <v>991</v>
      </c>
    </row>
    <row r="62948" spans="1:4" x14ac:dyDescent="0.2">
      <c r="A62948" t="s">
        <v>19597</v>
      </c>
      <c r="B62948" t="str">
        <f>HYPERLINK("https://lindat.mff.cuni.cz/services/teitok/pdtc10/index.php?action=vallex&amp;frame=v-w7533f2", "vážit (v-w7533f2)")</f>
        <v>vážit (v-w7533f2)</v>
      </c>
    </row>
    <row r="62949" spans="1:4" x14ac:dyDescent="0.2">
      <c r="B62949" t="s">
        <v>1</v>
      </c>
    </row>
    <row r="62950" spans="1:4" x14ac:dyDescent="0.2">
      <c r="B62950" t="s">
        <v>8</v>
      </c>
    </row>
    <row r="62952" spans="1:4" x14ac:dyDescent="0.2">
      <c r="A62952" t="s">
        <v>19598</v>
      </c>
      <c r="B62952" t="str">
        <f>HYPERLINK("https://lindat.mff.cuni.cz/services/teitok/pdtc10/index.php?action=vallex&amp;frame=v-w7533f3", "vážit (v-w7533f3)")</f>
        <v>vážit (v-w7533f3)</v>
      </c>
    </row>
    <row r="62953" spans="1:4" x14ac:dyDescent="0.2">
      <c r="B62953" t="s">
        <v>1</v>
      </c>
    </row>
    <row r="62954" spans="1:4" x14ac:dyDescent="0.2">
      <c r="B62954" t="s">
        <v>8</v>
      </c>
    </row>
    <row r="62956" spans="1:4" x14ac:dyDescent="0.2">
      <c r="A62956" t="s">
        <v>19599</v>
      </c>
      <c r="B62956" t="str">
        <f>HYPERLINK("https://lindat.mff.cuni.cz/services/teitok/pdtc10/index.php?action=vallex&amp;frame=v-w7533f1", "vážit (v-w7533f1)")</f>
        <v>vážit (v-w7533f1)</v>
      </c>
    </row>
    <row r="62957" spans="1:4" x14ac:dyDescent="0.2">
      <c r="B62957" t="s">
        <v>1</v>
      </c>
      <c r="C62957" t="s">
        <v>4011</v>
      </c>
      <c r="D62957" t="s">
        <v>6793</v>
      </c>
    </row>
    <row r="62958" spans="1:4" x14ac:dyDescent="0.2">
      <c r="B62958" t="s">
        <v>524</v>
      </c>
      <c r="C62958" t="s">
        <v>19600</v>
      </c>
      <c r="D62958" t="s">
        <v>24449</v>
      </c>
    </row>
    <row r="62960" spans="1:4" x14ac:dyDescent="0.2">
      <c r="A62960" t="s">
        <v>19601</v>
      </c>
      <c r="B62960" t="str">
        <f>HYPERLINK("https://lindat.mff.cuni.cz/services/teitok/pdtc10/index.php?action=vallex&amp;frame=v-w7534f1", "vážit si (v-w7534f1)")</f>
        <v>vážit si (v-w7534f1)</v>
      </c>
    </row>
    <row r="62961" spans="1:4" x14ac:dyDescent="0.2">
      <c r="B62961" t="s">
        <v>1</v>
      </c>
      <c r="C62961" t="s">
        <v>16</v>
      </c>
    </row>
    <row r="62962" spans="1:4" x14ac:dyDescent="0.2">
      <c r="B62962" t="s">
        <v>3462</v>
      </c>
      <c r="C62962" t="s">
        <v>1798</v>
      </c>
    </row>
    <row r="62964" spans="1:4" x14ac:dyDescent="0.2">
      <c r="A62964" t="s">
        <v>19602</v>
      </c>
      <c r="B62964" t="str">
        <f>HYPERLINK("https://lindat.mff.cuni.cz/services/teitok/pdtc10/index.php?action=vallex&amp;frame=v-w7583f1", "vést (v-w7583f1)")</f>
        <v>vést (v-w7583f1)</v>
      </c>
    </row>
    <row r="62965" spans="1:4" x14ac:dyDescent="0.2">
      <c r="B62965" t="s">
        <v>488</v>
      </c>
      <c r="C62965" t="s">
        <v>19603</v>
      </c>
      <c r="D62965" t="s">
        <v>23152</v>
      </c>
    </row>
    <row r="62966" spans="1:4" x14ac:dyDescent="0.2">
      <c r="B62966" t="s">
        <v>176</v>
      </c>
      <c r="C62966" t="s">
        <v>19604</v>
      </c>
      <c r="D62966" t="s">
        <v>23153</v>
      </c>
    </row>
    <row r="62967" spans="1:4" x14ac:dyDescent="0.2">
      <c r="B62967" t="s">
        <v>2194</v>
      </c>
      <c r="C62967" t="s">
        <v>19605</v>
      </c>
      <c r="D62967" t="s">
        <v>23154</v>
      </c>
    </row>
    <row r="62969" spans="1:4" x14ac:dyDescent="0.2">
      <c r="A62969" t="s">
        <v>19606</v>
      </c>
      <c r="B62969" t="str">
        <f>HYPERLINK("https://lindat.mff.cuni.cz/services/teitok/pdtc10/index.php?action=vallex&amp;frame=v-w7583f3", "vést (v-w7583f3)")</f>
        <v>vést (v-w7583f3)</v>
      </c>
    </row>
    <row r="62970" spans="1:4" x14ac:dyDescent="0.2">
      <c r="B62970" t="s">
        <v>1</v>
      </c>
      <c r="C62970" t="s">
        <v>5974</v>
      </c>
    </row>
    <row r="62971" spans="1:4" x14ac:dyDescent="0.2">
      <c r="B62971" t="s">
        <v>10429</v>
      </c>
      <c r="C62971" t="s">
        <v>1798</v>
      </c>
    </row>
    <row r="62972" spans="1:4" x14ac:dyDescent="0.2">
      <c r="B62972" t="s">
        <v>19607</v>
      </c>
    </row>
    <row r="62974" spans="1:4" x14ac:dyDescent="0.2">
      <c r="A62974" t="s">
        <v>19608</v>
      </c>
      <c r="B62974" t="str">
        <f>HYPERLINK("https://lindat.mff.cuni.cz/services/teitok/pdtc10/index.php?action=vallex&amp;frame=v-w7583f15", "vést (v-w7583f15)")</f>
        <v>vést (v-w7583f15)</v>
      </c>
    </row>
    <row r="62975" spans="1:4" x14ac:dyDescent="0.2">
      <c r="B62975" t="s">
        <v>1</v>
      </c>
    </row>
    <row r="62976" spans="1:4" x14ac:dyDescent="0.2">
      <c r="B62976" t="s">
        <v>8</v>
      </c>
    </row>
    <row r="62977" spans="1:4" x14ac:dyDescent="0.2">
      <c r="B62977" t="s">
        <v>192</v>
      </c>
    </row>
    <row r="62979" spans="1:4" x14ac:dyDescent="0.2">
      <c r="A62979" t="s">
        <v>19609</v>
      </c>
      <c r="B62979" t="str">
        <f>HYPERLINK("https://lindat.mff.cuni.cz/services/teitok/pdtc10/index.php?action=vallex&amp;frame=v-w7583f9", "vést (v-w7583f9)")</f>
        <v>vést (v-w7583f9)</v>
      </c>
    </row>
    <row r="62980" spans="1:4" x14ac:dyDescent="0.2">
      <c r="B62980" t="s">
        <v>1</v>
      </c>
      <c r="C62980" t="s">
        <v>80</v>
      </c>
      <c r="D62980" t="s">
        <v>24450</v>
      </c>
    </row>
    <row r="62981" spans="1:4" x14ac:dyDescent="0.2">
      <c r="B62981" t="s">
        <v>8</v>
      </c>
      <c r="C62981" t="s">
        <v>1025</v>
      </c>
      <c r="D62981" t="s">
        <v>24451</v>
      </c>
    </row>
    <row r="62982" spans="1:4" x14ac:dyDescent="0.2">
      <c r="B62982" t="s">
        <v>90</v>
      </c>
      <c r="D62982" t="s">
        <v>1466</v>
      </c>
    </row>
    <row r="62984" spans="1:4" x14ac:dyDescent="0.2">
      <c r="A62984" t="s">
        <v>19610</v>
      </c>
      <c r="B62984" t="str">
        <f>HYPERLINK("https://lindat.mff.cuni.cz/services/teitok/pdtc10/index.php?action=vallex&amp;frame=v-w7583f4", "vést (v-w7583f4)")</f>
        <v>vést (v-w7583f4)</v>
      </c>
    </row>
    <row r="62985" spans="1:4" x14ac:dyDescent="0.2">
      <c r="B62985" t="s">
        <v>1</v>
      </c>
      <c r="C62985" t="s">
        <v>8731</v>
      </c>
      <c r="D62985" t="s">
        <v>1106</v>
      </c>
    </row>
    <row r="62986" spans="1:4" x14ac:dyDescent="0.2">
      <c r="B62986" t="s">
        <v>8</v>
      </c>
      <c r="C62986" t="s">
        <v>19611</v>
      </c>
      <c r="D62986" t="s">
        <v>23362</v>
      </c>
    </row>
    <row r="62988" spans="1:4" x14ac:dyDescent="0.2">
      <c r="A62988" t="s">
        <v>19612</v>
      </c>
      <c r="B62988" t="str">
        <f>HYPERLINK("https://lindat.mff.cuni.cz/services/teitok/pdtc10/index.php?action=vallex&amp;frame=v-w7583f5", "vést (v-w7583f5)")</f>
        <v>vést (v-w7583f5)</v>
      </c>
    </row>
    <row r="62989" spans="1:4" x14ac:dyDescent="0.2">
      <c r="B62989" t="s">
        <v>1</v>
      </c>
      <c r="C62989" t="s">
        <v>19613</v>
      </c>
      <c r="D62989" t="s">
        <v>23098</v>
      </c>
    </row>
    <row r="62990" spans="1:4" x14ac:dyDescent="0.2">
      <c r="B62990" t="s">
        <v>8</v>
      </c>
      <c r="C62990" t="s">
        <v>19614</v>
      </c>
      <c r="D62990" t="s">
        <v>16830</v>
      </c>
    </row>
    <row r="62992" spans="1:4" x14ac:dyDescent="0.2">
      <c r="A62992" t="s">
        <v>19615</v>
      </c>
      <c r="B62992" t="str">
        <f>HYPERLINK("https://lindat.mff.cuni.cz/services/teitok/pdtc10/index.php?action=vallex&amp;frame=v-w7583f8", "vést (v-w7583f8)")</f>
        <v>vést (v-w7583f8)</v>
      </c>
    </row>
    <row r="62993" spans="1:4" x14ac:dyDescent="0.2">
      <c r="B62993" t="s">
        <v>1</v>
      </c>
      <c r="C62993" t="s">
        <v>96</v>
      </c>
      <c r="D62993" t="s">
        <v>9332</v>
      </c>
    </row>
    <row r="62994" spans="1:4" x14ac:dyDescent="0.2">
      <c r="B62994" t="s">
        <v>8</v>
      </c>
      <c r="C62994" t="s">
        <v>4575</v>
      </c>
      <c r="D62994" t="s">
        <v>5674</v>
      </c>
    </row>
    <row r="62996" spans="1:4" x14ac:dyDescent="0.2">
      <c r="A62996" t="s">
        <v>19616</v>
      </c>
      <c r="B62996" t="str">
        <f>HYPERLINK("https://lindat.mff.cuni.cz/services/teitok/pdtc10/index.php?action=vallex&amp;frame=v-w7583f10", "vést (v-w7583f10)")</f>
        <v>vést (v-w7583f10)</v>
      </c>
    </row>
    <row r="62997" spans="1:4" x14ac:dyDescent="0.2">
      <c r="B62997" t="s">
        <v>1</v>
      </c>
      <c r="C62997" t="s">
        <v>9239</v>
      </c>
    </row>
    <row r="62998" spans="1:4" x14ac:dyDescent="0.2">
      <c r="B62998" t="s">
        <v>8</v>
      </c>
      <c r="C62998" t="s">
        <v>1798</v>
      </c>
    </row>
    <row r="63000" spans="1:4" x14ac:dyDescent="0.2">
      <c r="A63000" t="s">
        <v>19617</v>
      </c>
      <c r="B63000" t="str">
        <f>HYPERLINK("https://lindat.mff.cuni.cz/services/teitok/pdtc10/index.php?action=vallex&amp;frame=v-w7583f14", "vést (v-w7583f14)")</f>
        <v>vést (v-w7583f14)</v>
      </c>
    </row>
    <row r="63001" spans="1:4" x14ac:dyDescent="0.2">
      <c r="B63001" t="s">
        <v>1</v>
      </c>
      <c r="C63001" t="s">
        <v>3358</v>
      </c>
      <c r="D63001" t="s">
        <v>334</v>
      </c>
    </row>
    <row r="63002" spans="1:4" x14ac:dyDescent="0.2">
      <c r="B63002" t="s">
        <v>8</v>
      </c>
      <c r="C63002" t="s">
        <v>4676</v>
      </c>
      <c r="D63002" t="s">
        <v>1109</v>
      </c>
    </row>
    <row r="63004" spans="1:4" x14ac:dyDescent="0.2">
      <c r="A63004" t="s">
        <v>19618</v>
      </c>
      <c r="B63004" t="str">
        <f>HYPERLINK("https://lindat.mff.cuni.cz/services/teitok/pdtc10/index.php?action=vallex&amp;frame=v-w7583f23_ZU", "vést (v-w7583f23_ZU)")</f>
        <v>vést (v-w7583f23_ZU)</v>
      </c>
    </row>
    <row r="63005" spans="1:4" x14ac:dyDescent="0.2">
      <c r="B63005" t="s">
        <v>1</v>
      </c>
      <c r="C63005" t="s">
        <v>2533</v>
      </c>
      <c r="D63005" t="s">
        <v>2533</v>
      </c>
    </row>
    <row r="63006" spans="1:4" x14ac:dyDescent="0.2">
      <c r="B63006" t="s">
        <v>176</v>
      </c>
      <c r="C63006" t="s">
        <v>19619</v>
      </c>
      <c r="D63006" t="s">
        <v>19619</v>
      </c>
    </row>
    <row r="63008" spans="1:4" x14ac:dyDescent="0.2">
      <c r="A63008" t="s">
        <v>19618</v>
      </c>
      <c r="B63008" t="str">
        <f>HYPERLINK("https://lindat.mff.cuni.cz/services/teitok/pdtc10/index.php?action=vallex&amp;frame=v-w7583f11", "vést (v-w7583f11) - substituted with v-w7583f23_ZU")</f>
        <v>vést (v-w7583f11) - substituted with v-w7583f23_ZU</v>
      </c>
    </row>
    <row r="63009" spans="1:4" x14ac:dyDescent="0.2">
      <c r="B63009" t="s">
        <v>1</v>
      </c>
      <c r="C63009" t="s">
        <v>19620</v>
      </c>
    </row>
    <row r="63010" spans="1:4" x14ac:dyDescent="0.2">
      <c r="B63010" t="s">
        <v>176</v>
      </c>
      <c r="C63010" t="s">
        <v>19621</v>
      </c>
    </row>
    <row r="63012" spans="1:4" x14ac:dyDescent="0.2">
      <c r="A63012" t="s">
        <v>19622</v>
      </c>
      <c r="B63012" t="str">
        <f>HYPERLINK("https://lindat.mff.cuni.cz/services/teitok/pdtc10/index.php?action=vallex&amp;frame=v-w7583f7", "vést (v-w7583f7)")</f>
        <v>vést (v-w7583f7)</v>
      </c>
    </row>
    <row r="63013" spans="1:4" x14ac:dyDescent="0.2">
      <c r="B63013" t="s">
        <v>1</v>
      </c>
    </row>
    <row r="63014" spans="1:4" x14ac:dyDescent="0.2">
      <c r="B63014" t="s">
        <v>192</v>
      </c>
    </row>
    <row r="63016" spans="1:4" x14ac:dyDescent="0.2">
      <c r="A63016" t="s">
        <v>19623</v>
      </c>
      <c r="B63016" t="str">
        <f>HYPERLINK("https://lindat.mff.cuni.cz/services/teitok/pdtc10/index.php?action=vallex&amp;frame=v-w7583f6", "vést (v-w7583f6)")</f>
        <v>vést (v-w7583f6)</v>
      </c>
    </row>
    <row r="63017" spans="1:4" x14ac:dyDescent="0.2">
      <c r="B63017" t="s">
        <v>1</v>
      </c>
      <c r="C63017" t="s">
        <v>19624</v>
      </c>
      <c r="D63017" t="s">
        <v>23474</v>
      </c>
    </row>
    <row r="63018" spans="1:4" x14ac:dyDescent="0.2">
      <c r="B63018" t="s">
        <v>90</v>
      </c>
      <c r="C63018" t="s">
        <v>19625</v>
      </c>
      <c r="D63018" t="s">
        <v>11579</v>
      </c>
    </row>
    <row r="63020" spans="1:4" x14ac:dyDescent="0.2">
      <c r="A63020" t="s">
        <v>19626</v>
      </c>
      <c r="B63020" t="str">
        <f>HYPERLINK("https://lindat.mff.cuni.cz/services/teitok/pdtc10/index.php?action=vallex&amp;frame=v-w7583f28_ZU", "vést (v-w7583f28_ZU)")</f>
        <v>vést (v-w7583f28_ZU)</v>
      </c>
    </row>
    <row r="63021" spans="1:4" x14ac:dyDescent="0.2">
      <c r="B63021" t="s">
        <v>1</v>
      </c>
    </row>
    <row r="63022" spans="1:4" x14ac:dyDescent="0.2">
      <c r="B63022" t="s">
        <v>19627</v>
      </c>
    </row>
    <row r="63024" spans="1:4" x14ac:dyDescent="0.2">
      <c r="A63024" t="s">
        <v>19626</v>
      </c>
      <c r="B63024" t="str">
        <f>HYPERLINK("https://lindat.mff.cuni.cz/services/teitok/pdtc10/index.php?action=vallex&amp;frame=v-w7583f19_ZU", "vést (v-w7583f19_ZU) - substituted with v-w7583f28_ZU")</f>
        <v>vést (v-w7583f19_ZU) - substituted with v-w7583f28_ZU</v>
      </c>
    </row>
    <row r="63025" spans="1:3" x14ac:dyDescent="0.2">
      <c r="B63025" t="s">
        <v>1</v>
      </c>
    </row>
    <row r="63026" spans="1:3" x14ac:dyDescent="0.2">
      <c r="B63026" t="s">
        <v>19627</v>
      </c>
    </row>
    <row r="63028" spans="1:3" x14ac:dyDescent="0.2">
      <c r="A63028" t="s">
        <v>19626</v>
      </c>
      <c r="B63028" t="str">
        <f>HYPERLINK("https://lindat.mff.cuni.cz/services/teitok/pdtc10/index.php?action=vallex&amp;frame=v-w7583f2", "vést (v-w7583f2) - substituted with v-w7583f28_ZU")</f>
        <v>vést (v-w7583f2) - substituted with v-w7583f28_ZU</v>
      </c>
    </row>
    <row r="63029" spans="1:3" x14ac:dyDescent="0.2">
      <c r="B63029" t="s">
        <v>1</v>
      </c>
      <c r="C63029" t="s">
        <v>19628</v>
      </c>
    </row>
    <row r="63030" spans="1:3" x14ac:dyDescent="0.2">
      <c r="B63030" t="s">
        <v>19627</v>
      </c>
      <c r="C63030" t="s">
        <v>19629</v>
      </c>
    </row>
    <row r="63032" spans="1:3" x14ac:dyDescent="0.2">
      <c r="A63032" t="s">
        <v>19626</v>
      </c>
      <c r="B63032" t="str">
        <f>HYPERLINK("https://lindat.mff.cuni.cz/services/teitok/pdtc10/index.php?action=vallex&amp;frame=v-w7583f20_ZU", "vést (v-w7583f20_ZU) - substituted with v-w7583f28_ZU")</f>
        <v>vést (v-w7583f20_ZU) - substituted with v-w7583f28_ZU</v>
      </c>
    </row>
    <row r="63033" spans="1:3" x14ac:dyDescent="0.2">
      <c r="B63033" t="s">
        <v>1</v>
      </c>
      <c r="C63033" t="s">
        <v>19630</v>
      </c>
    </row>
    <row r="63034" spans="1:3" x14ac:dyDescent="0.2">
      <c r="B63034" t="s">
        <v>19627</v>
      </c>
      <c r="C63034" t="s">
        <v>19631</v>
      </c>
    </row>
    <row r="63036" spans="1:3" x14ac:dyDescent="0.2">
      <c r="A63036" t="s">
        <v>19626</v>
      </c>
      <c r="B63036" t="str">
        <f>HYPERLINK("https://lindat.mff.cuni.cz/services/teitok/pdtc10/index.php?action=vallex&amp;frame=v-w7583f24_ZU", "vést (v-w7583f24_ZU) - substituted with v-w7583f28_ZU")</f>
        <v>vést (v-w7583f24_ZU) - substituted with v-w7583f28_ZU</v>
      </c>
    </row>
    <row r="63037" spans="1:3" x14ac:dyDescent="0.2">
      <c r="B63037" t="s">
        <v>1</v>
      </c>
      <c r="C63037" t="s">
        <v>9239</v>
      </c>
    </row>
    <row r="63038" spans="1:3" x14ac:dyDescent="0.2">
      <c r="B63038" t="s">
        <v>19627</v>
      </c>
      <c r="C63038" t="s">
        <v>19632</v>
      </c>
    </row>
    <row r="63040" spans="1:3" x14ac:dyDescent="0.2">
      <c r="A63040" t="s">
        <v>19626</v>
      </c>
      <c r="B63040" t="str">
        <f>HYPERLINK("https://lindat.mff.cuni.cz/services/teitok/pdtc10/index.php?action=vallex&amp;frame=v-w7583f27_ZU", "vést (v-w7583f27_ZU) - substituted with v-w7583f28_ZU")</f>
        <v>vést (v-w7583f27_ZU) - substituted with v-w7583f28_ZU</v>
      </c>
    </row>
    <row r="63041" spans="1:2" x14ac:dyDescent="0.2">
      <c r="B63041" t="s">
        <v>1</v>
      </c>
    </row>
    <row r="63042" spans="1:2" x14ac:dyDescent="0.2">
      <c r="B63042" t="s">
        <v>19627</v>
      </c>
    </row>
    <row r="63044" spans="1:2" x14ac:dyDescent="0.2">
      <c r="A63044" t="s">
        <v>19633</v>
      </c>
      <c r="B63044" t="str">
        <f>HYPERLINK("https://lindat.mff.cuni.cz/services/teitok/pdtc10/index.php?action=vallex&amp;frame=v-w7583f18_ZU", "vést (v-w7583f18_ZU)")</f>
        <v>vést (v-w7583f18_ZU)</v>
      </c>
    </row>
    <row r="63045" spans="1:2" x14ac:dyDescent="0.2">
      <c r="B63045" t="s">
        <v>1</v>
      </c>
    </row>
    <row r="63046" spans="1:2" x14ac:dyDescent="0.2">
      <c r="B63046" t="s">
        <v>19634</v>
      </c>
    </row>
    <row r="63048" spans="1:2" x14ac:dyDescent="0.2">
      <c r="A63048" t="s">
        <v>19633</v>
      </c>
      <c r="B63048" t="str">
        <f>HYPERLINK("https://lindat.mff.cuni.cz/services/teitok/pdtc10/index.php?action=vallex&amp;frame=v-w7583f13", "vést (v-w7583f13) - substituted with v-w7583f18_ZU")</f>
        <v>vést (v-w7583f13) - substituted with v-w7583f18_ZU</v>
      </c>
    </row>
    <row r="63049" spans="1:2" x14ac:dyDescent="0.2">
      <c r="B63049" t="s">
        <v>1</v>
      </c>
    </row>
    <row r="63050" spans="1:2" x14ac:dyDescent="0.2">
      <c r="B63050" t="s">
        <v>19634</v>
      </c>
    </row>
    <row r="63052" spans="1:2" x14ac:dyDescent="0.2">
      <c r="A63052" t="s">
        <v>19635</v>
      </c>
      <c r="B63052" t="str">
        <f>HYPERLINK("https://lindat.mff.cuni.cz/services/teitok/pdtc10/index.php?action=vallex&amp;frame=v-w7583f21_ZU", "vést (v-w7583f21_ZU)")</f>
        <v>vést (v-w7583f21_ZU)</v>
      </c>
    </row>
    <row r="63053" spans="1:2" x14ac:dyDescent="0.2">
      <c r="B63053" t="s">
        <v>1</v>
      </c>
    </row>
    <row r="63054" spans="1:2" x14ac:dyDescent="0.2">
      <c r="B63054" t="s">
        <v>19636</v>
      </c>
    </row>
    <row r="63055" spans="1:2" x14ac:dyDescent="0.2">
      <c r="B63055" t="s">
        <v>269</v>
      </c>
    </row>
    <row r="63056" spans="1:2" x14ac:dyDescent="0.2">
      <c r="B63056" t="s">
        <v>3021</v>
      </c>
    </row>
    <row r="63058" spans="1:2" x14ac:dyDescent="0.2">
      <c r="A63058" t="s">
        <v>19635</v>
      </c>
      <c r="B63058" t="str">
        <f>HYPERLINK("https://lindat.mff.cuni.cz/services/teitok/pdtc10/index.php?action=vallex&amp;frame=v-w7583f16", "vést (v-w7583f16) - substituted with v-w7583f21_ZU")</f>
        <v>vést (v-w7583f16) - substituted with v-w7583f21_ZU</v>
      </c>
    </row>
    <row r="63059" spans="1:2" x14ac:dyDescent="0.2">
      <c r="B63059" t="s">
        <v>1</v>
      </c>
    </row>
    <row r="63060" spans="1:2" x14ac:dyDescent="0.2">
      <c r="B63060" t="s">
        <v>19636</v>
      </c>
    </row>
    <row r="63061" spans="1:2" x14ac:dyDescent="0.2">
      <c r="B63061" t="s">
        <v>269</v>
      </c>
    </row>
    <row r="63062" spans="1:2" x14ac:dyDescent="0.2">
      <c r="B63062" t="s">
        <v>3021</v>
      </c>
    </row>
    <row r="63064" spans="1:2" x14ac:dyDescent="0.2">
      <c r="A63064" t="s">
        <v>19637</v>
      </c>
      <c r="B63064" t="str">
        <f>HYPERLINK("https://lindat.mff.cuni.cz/services/teitok/pdtc10/index.php?action=vallex&amp;frame=v-w7583f17", "vést (v-w7583f17)")</f>
        <v>vést (v-w7583f17)</v>
      </c>
    </row>
    <row r="63065" spans="1:2" x14ac:dyDescent="0.2">
      <c r="B63065" t="s">
        <v>1</v>
      </c>
    </row>
    <row r="63066" spans="1:2" x14ac:dyDescent="0.2">
      <c r="B63066" t="s">
        <v>19638</v>
      </c>
    </row>
    <row r="63068" spans="1:2" x14ac:dyDescent="0.2">
      <c r="A63068" t="s">
        <v>19639</v>
      </c>
      <c r="B63068" t="str">
        <f>HYPERLINK("https://lindat.mff.cuni.cz/services/teitok/pdtc10/index.php?action=vallex&amp;frame=v-w7583f12", "vést (v-w7583f12)")</f>
        <v>vést (v-w7583f12)</v>
      </c>
    </row>
    <row r="63069" spans="1:2" x14ac:dyDescent="0.2">
      <c r="B63069" t="s">
        <v>1</v>
      </c>
    </row>
    <row r="63070" spans="1:2" x14ac:dyDescent="0.2">
      <c r="B63070" t="s">
        <v>9247</v>
      </c>
    </row>
    <row r="63072" spans="1:2" x14ac:dyDescent="0.2">
      <c r="A63072" t="s">
        <v>19640</v>
      </c>
      <c r="B63072" t="str">
        <f>HYPERLINK("https://lindat.mff.cuni.cz/services/teitok/pdtc10/index.php?action=vallex&amp;frame=v-w7583hsa_155", "vést (v-w7583hsa_155)")</f>
        <v>vést (v-w7583hsa_155)</v>
      </c>
    </row>
    <row r="63073" spans="1:3" x14ac:dyDescent="0.2">
      <c r="B63073" t="s">
        <v>1</v>
      </c>
      <c r="C63073" t="s">
        <v>19641</v>
      </c>
    </row>
    <row r="63074" spans="1:3" x14ac:dyDescent="0.2">
      <c r="B63074" t="s">
        <v>90</v>
      </c>
      <c r="C63074" t="s">
        <v>19625</v>
      </c>
    </row>
    <row r="63076" spans="1:3" x14ac:dyDescent="0.2">
      <c r="A63076" t="s">
        <v>19642</v>
      </c>
      <c r="B63076" t="str">
        <f>HYPERLINK("https://lindat.mff.cuni.cz/services/teitok/pdtc10/index.php?action=vallex&amp;frame=v-w7583f22_ZU", "vést (v-w7583f22_ZU)")</f>
        <v>vést (v-w7583f22_ZU)</v>
      </c>
    </row>
    <row r="63077" spans="1:3" x14ac:dyDescent="0.2">
      <c r="B63077" t="s">
        <v>1</v>
      </c>
    </row>
    <row r="63078" spans="1:3" x14ac:dyDescent="0.2">
      <c r="B63078" t="s">
        <v>19643</v>
      </c>
      <c r="C63078" t="s">
        <v>397</v>
      </c>
    </row>
    <row r="63080" spans="1:3" x14ac:dyDescent="0.2">
      <c r="A63080" t="s">
        <v>19642</v>
      </c>
      <c r="B63080" t="str">
        <f>HYPERLINK("https://lindat.mff.cuni.cz/services/teitok/pdtc10/index.php?action=vallex&amp;frame=v-w7583hsa_156", "vést (v-w7583hsa_156) - substituted with v-w7583f22_ZU")</f>
        <v>vést (v-w7583hsa_156) - substituted with v-w7583f22_ZU</v>
      </c>
    </row>
    <row r="63081" spans="1:3" x14ac:dyDescent="0.2">
      <c r="B63081" t="s">
        <v>1</v>
      </c>
    </row>
    <row r="63082" spans="1:3" x14ac:dyDescent="0.2">
      <c r="B63082" t="s">
        <v>19643</v>
      </c>
    </row>
    <row r="63084" spans="1:3" x14ac:dyDescent="0.2">
      <c r="A63084" t="s">
        <v>19644</v>
      </c>
      <c r="B63084" t="str">
        <f>HYPERLINK("https://lindat.mff.cuni.cz/services/teitok/pdtc10/index.php?action=vallex&amp;frame=v-w7583f25_ZU", "vést (v-w7583f25_ZU)")</f>
        <v>vést (v-w7583f25_ZU)</v>
      </c>
    </row>
    <row r="63085" spans="1:3" x14ac:dyDescent="0.2">
      <c r="B63085" t="s">
        <v>1</v>
      </c>
    </row>
    <row r="63086" spans="1:3" x14ac:dyDescent="0.2">
      <c r="B63086" t="s">
        <v>1609</v>
      </c>
    </row>
    <row r="63087" spans="1:3" x14ac:dyDescent="0.2">
      <c r="B63087" t="s">
        <v>269</v>
      </c>
    </row>
    <row r="63089" spans="1:2" x14ac:dyDescent="0.2">
      <c r="A63089" t="s">
        <v>19644</v>
      </c>
      <c r="B63089" t="str">
        <f>HYPERLINK("https://lindat.mff.cuni.cz/services/teitok/pdtc10/index.php?action=vallex&amp;frame=v-w7583hsa_1222", "vést (v-w7583hsa_1222) - substituted with v-w7583f25_ZU")</f>
        <v>vést (v-w7583hsa_1222) - substituted with v-w7583f25_ZU</v>
      </c>
    </row>
    <row r="63090" spans="1:2" x14ac:dyDescent="0.2">
      <c r="B63090" t="s">
        <v>1</v>
      </c>
    </row>
    <row r="63091" spans="1:2" x14ac:dyDescent="0.2">
      <c r="B63091" t="s">
        <v>1609</v>
      </c>
    </row>
    <row r="63092" spans="1:2" x14ac:dyDescent="0.2">
      <c r="B63092" t="s">
        <v>269</v>
      </c>
    </row>
    <row r="63094" spans="1:2" x14ac:dyDescent="0.2">
      <c r="A63094" t="s">
        <v>19645</v>
      </c>
      <c r="B63094" t="str">
        <f>HYPERLINK("https://lindat.mff.cuni.cz/services/teitok/pdtc10/index.php?action=vallex&amp;frame=v-w7583f26_ZU", "vést (v-w7583f26_ZU)")</f>
        <v>vést (v-w7583f26_ZU)</v>
      </c>
    </row>
    <row r="63095" spans="1:2" x14ac:dyDescent="0.2">
      <c r="B63095" t="s">
        <v>1</v>
      </c>
    </row>
    <row r="63096" spans="1:2" x14ac:dyDescent="0.2">
      <c r="B63096" t="s">
        <v>19646</v>
      </c>
    </row>
    <row r="63098" spans="1:2" x14ac:dyDescent="0.2">
      <c r="A63098" t="s">
        <v>19645</v>
      </c>
      <c r="B63098" t="str">
        <f>HYPERLINK("https://lindat.mff.cuni.cz/services/teitok/pdtc10/index.php?action=vallex&amp;frame=v-w7583hsa_1225", "vést (v-w7583hsa_1225) - substituted with v-w7583f26_ZU")</f>
        <v>vést (v-w7583hsa_1225) - substituted with v-w7583f26_ZU</v>
      </c>
    </row>
    <row r="63099" spans="1:2" x14ac:dyDescent="0.2">
      <c r="B63099" t="s">
        <v>1</v>
      </c>
    </row>
    <row r="63100" spans="1:2" x14ac:dyDescent="0.2">
      <c r="B63100" t="s">
        <v>19646</v>
      </c>
    </row>
    <row r="63102" spans="1:2" x14ac:dyDescent="0.2">
      <c r="A63102" t="s">
        <v>19647</v>
      </c>
      <c r="B63102" t="str">
        <f>HYPERLINK("https://lindat.mff.cuni.cz/services/teitok/pdtc10/index.php?action=vallex&amp;frame=v-w7583hsa_1221", "vést (v-w7583hsa_1221)")</f>
        <v>vést (v-w7583hsa_1221)</v>
      </c>
    </row>
    <row r="63103" spans="1:2" x14ac:dyDescent="0.2">
      <c r="B63103" t="s">
        <v>1</v>
      </c>
    </row>
    <row r="63104" spans="1:2" x14ac:dyDescent="0.2">
      <c r="B63104" t="s">
        <v>8</v>
      </c>
    </row>
    <row r="63105" spans="1:4" x14ac:dyDescent="0.2">
      <c r="B63105" t="s">
        <v>2328</v>
      </c>
    </row>
    <row r="63107" spans="1:4" x14ac:dyDescent="0.2">
      <c r="A63107" t="s">
        <v>19648</v>
      </c>
      <c r="B63107" t="str">
        <f>HYPERLINK("https://lindat.mff.cuni.cz/services/teitok/pdtc10/index.php?action=vallex&amp;frame=v-w7583hsa_1223", "vést (v-w7583hsa_1223)")</f>
        <v>vést (v-w7583hsa_1223)</v>
      </c>
    </row>
    <row r="63108" spans="1:4" x14ac:dyDescent="0.2">
      <c r="B63108" t="s">
        <v>1</v>
      </c>
    </row>
    <row r="63109" spans="1:4" x14ac:dyDescent="0.2">
      <c r="B63109" t="s">
        <v>11862</v>
      </c>
    </row>
    <row r="63111" spans="1:4" x14ac:dyDescent="0.2">
      <c r="A63111" t="s">
        <v>19649</v>
      </c>
      <c r="B63111" t="str">
        <f>HYPERLINK("https://lindat.mff.cuni.cz/services/teitok/pdtc10/index.php?action=vallex&amp;frame=v-w7583hsa_1224", "vést (v-w7583hsa_1224)")</f>
        <v>vést (v-w7583hsa_1224)</v>
      </c>
    </row>
    <row r="63112" spans="1:4" x14ac:dyDescent="0.2">
      <c r="B63112" t="s">
        <v>1</v>
      </c>
    </row>
    <row r="63113" spans="1:4" x14ac:dyDescent="0.2">
      <c r="B63113" t="s">
        <v>8</v>
      </c>
    </row>
    <row r="63114" spans="1:4" x14ac:dyDescent="0.2">
      <c r="B63114" t="s">
        <v>9911</v>
      </c>
    </row>
    <row r="63116" spans="1:4" x14ac:dyDescent="0.2">
      <c r="A63116" t="s">
        <v>19650</v>
      </c>
      <c r="B63116" t="str">
        <f>HYPERLINK("https://lindat.mff.cuni.cz/services/teitok/pdtc10/index.php?action=vallex&amp;frame=v-w7585f1", "vést se (v-w7585f1)")</f>
        <v>vést se (v-w7585f1)</v>
      </c>
    </row>
    <row r="63117" spans="1:4" x14ac:dyDescent="0.2">
      <c r="B63117" t="s">
        <v>455</v>
      </c>
      <c r="C63117" t="s">
        <v>19651</v>
      </c>
      <c r="D63117" t="s">
        <v>23029</v>
      </c>
    </row>
    <row r="63118" spans="1:4" x14ac:dyDescent="0.2">
      <c r="B63118" t="s">
        <v>346</v>
      </c>
      <c r="C63118" t="s">
        <v>19652</v>
      </c>
      <c r="D63118" t="s">
        <v>23030</v>
      </c>
    </row>
    <row r="63119" spans="1:4" x14ac:dyDescent="0.2">
      <c r="B63119" t="s">
        <v>1269</v>
      </c>
      <c r="D63119" t="s">
        <v>23081</v>
      </c>
    </row>
    <row r="63121" spans="1:4" x14ac:dyDescent="0.2">
      <c r="A63121" t="s">
        <v>19653</v>
      </c>
      <c r="B63121" t="str">
        <f>HYPERLINK("https://lindat.mff.cuni.cz/services/teitok/pdtc10/index.php?action=vallex&amp;frame=v-w7585hsa_2033", "vést se (v-w7585hsa_2033)")</f>
        <v>vést se (v-w7585hsa_2033)</v>
      </c>
    </row>
    <row r="63122" spans="1:4" x14ac:dyDescent="0.2">
      <c r="B63122" t="s">
        <v>455</v>
      </c>
    </row>
    <row r="63123" spans="1:4" x14ac:dyDescent="0.2">
      <c r="B63123" t="s">
        <v>2625</v>
      </c>
    </row>
    <row r="63125" spans="1:4" x14ac:dyDescent="0.2">
      <c r="A63125" t="s">
        <v>19654</v>
      </c>
      <c r="B63125" t="str">
        <f>HYPERLINK("https://lindat.mff.cuni.cz/services/teitok/pdtc10/index.php?action=vallex&amp;frame=v-w7586f3_ZU", "vést si (v-w7586f3_ZU)")</f>
        <v>vést si (v-w7586f3_ZU)</v>
      </c>
    </row>
    <row r="63126" spans="1:4" x14ac:dyDescent="0.2">
      <c r="B63126" t="s">
        <v>1</v>
      </c>
      <c r="C63126" t="s">
        <v>306</v>
      </c>
      <c r="D63126" t="s">
        <v>23029</v>
      </c>
    </row>
    <row r="63127" spans="1:4" x14ac:dyDescent="0.2">
      <c r="B63127" t="s">
        <v>415</v>
      </c>
      <c r="D63127" t="s">
        <v>23906</v>
      </c>
    </row>
    <row r="63128" spans="1:4" x14ac:dyDescent="0.2">
      <c r="B63128" t="s">
        <v>346</v>
      </c>
      <c r="C63128" t="s">
        <v>2929</v>
      </c>
      <c r="D63128" t="s">
        <v>23030</v>
      </c>
    </row>
    <row r="63129" spans="1:4" x14ac:dyDescent="0.2">
      <c r="B63129" t="s">
        <v>349</v>
      </c>
      <c r="D63129" t="s">
        <v>23908</v>
      </c>
    </row>
    <row r="63130" spans="1:4" x14ac:dyDescent="0.2">
      <c r="B63130" t="s">
        <v>350</v>
      </c>
      <c r="D63130" t="s">
        <v>23909</v>
      </c>
    </row>
    <row r="63131" spans="1:4" x14ac:dyDescent="0.2">
      <c r="B63131" t="s">
        <v>351</v>
      </c>
      <c r="D63131" t="s">
        <v>23910</v>
      </c>
    </row>
    <row r="63133" spans="1:4" x14ac:dyDescent="0.2">
      <c r="A63133" t="s">
        <v>19654</v>
      </c>
      <c r="B63133" t="str">
        <f>HYPERLINK("https://lindat.mff.cuni.cz/services/teitok/pdtc10/index.php?action=vallex&amp;frame=v-w7586f1", "vést si (v-w7586f1) - substituted with v-w7586f3_ZU")</f>
        <v>vést si (v-w7586f1) - substituted with v-w7586f3_ZU</v>
      </c>
    </row>
    <row r="63134" spans="1:4" x14ac:dyDescent="0.2">
      <c r="B63134" t="s">
        <v>1</v>
      </c>
      <c r="C63134" t="s">
        <v>19655</v>
      </c>
    </row>
    <row r="63135" spans="1:4" x14ac:dyDescent="0.2">
      <c r="B63135" t="s">
        <v>415</v>
      </c>
    </row>
    <row r="63136" spans="1:4" x14ac:dyDescent="0.2">
      <c r="B63136" t="s">
        <v>346</v>
      </c>
      <c r="C63136" t="s">
        <v>19656</v>
      </c>
    </row>
    <row r="63137" spans="1:4" x14ac:dyDescent="0.2">
      <c r="B63137" t="s">
        <v>349</v>
      </c>
      <c r="C63137" t="s">
        <v>19657</v>
      </c>
    </row>
    <row r="63138" spans="1:4" x14ac:dyDescent="0.2">
      <c r="B63138" t="s">
        <v>350</v>
      </c>
    </row>
    <row r="63139" spans="1:4" x14ac:dyDescent="0.2">
      <c r="B63139" t="s">
        <v>351</v>
      </c>
    </row>
    <row r="63141" spans="1:4" x14ac:dyDescent="0.2">
      <c r="A63141" t="s">
        <v>19658</v>
      </c>
      <c r="B63141" t="str">
        <f>HYPERLINK("https://lindat.mff.cuni.cz/services/teitok/pdtc10/index.php?action=vallex&amp;frame=v-w7586f2", "vést si (v-w7586f2)")</f>
        <v>vést si (v-w7586f2)</v>
      </c>
    </row>
    <row r="63142" spans="1:4" x14ac:dyDescent="0.2">
      <c r="B63142" t="s">
        <v>1</v>
      </c>
    </row>
    <row r="63143" spans="1:4" x14ac:dyDescent="0.2">
      <c r="B63143" t="s">
        <v>10787</v>
      </c>
    </row>
    <row r="63145" spans="1:4" x14ac:dyDescent="0.2">
      <c r="A63145" t="s">
        <v>19659</v>
      </c>
      <c r="B63145" t="str">
        <f>HYPERLINK("https://lindat.mff.cuni.cz/services/teitok/pdtc10/index.php?action=vallex&amp;frame=v-w7598f1", "vévodit (v-w7598f1)")</f>
        <v>vévodit (v-w7598f1)</v>
      </c>
    </row>
    <row r="63146" spans="1:4" x14ac:dyDescent="0.2">
      <c r="B63146" t="s">
        <v>1</v>
      </c>
      <c r="C63146" t="s">
        <v>976</v>
      </c>
      <c r="D63146" t="s">
        <v>1774</v>
      </c>
    </row>
    <row r="63147" spans="1:4" x14ac:dyDescent="0.2">
      <c r="B63147" t="s">
        <v>1668</v>
      </c>
      <c r="C63147" t="s">
        <v>1264</v>
      </c>
      <c r="D63147" t="s">
        <v>5666</v>
      </c>
    </row>
    <row r="63149" spans="1:4" x14ac:dyDescent="0.2">
      <c r="A63149" t="s">
        <v>19660</v>
      </c>
      <c r="B63149" t="str">
        <f>HYPERLINK("https://lindat.mff.cuni.cz/services/teitok/pdtc10/index.php?action=vallex&amp;frame=v-w7602f1", "vézt (v-w7602f1)")</f>
        <v>vézt (v-w7602f1)</v>
      </c>
    </row>
    <row r="63150" spans="1:4" x14ac:dyDescent="0.2">
      <c r="B63150" t="s">
        <v>1</v>
      </c>
      <c r="C63150" t="s">
        <v>370</v>
      </c>
      <c r="D63150" t="s">
        <v>23691</v>
      </c>
    </row>
    <row r="63151" spans="1:4" x14ac:dyDescent="0.2">
      <c r="B63151" t="s">
        <v>8</v>
      </c>
      <c r="C63151" t="s">
        <v>1798</v>
      </c>
      <c r="D63151" t="s">
        <v>23692</v>
      </c>
    </row>
    <row r="63153" spans="1:4" x14ac:dyDescent="0.2">
      <c r="A63153" t="s">
        <v>19661</v>
      </c>
      <c r="B63153" t="str">
        <f>HYPERLINK("https://lindat.mff.cuni.cz/services/teitok/pdtc10/index.php?action=vallex&amp;frame=v-w7603f1", "vézt se (v-w7603f1)")</f>
        <v>vézt se (v-w7603f1)</v>
      </c>
    </row>
    <row r="63154" spans="1:4" x14ac:dyDescent="0.2">
      <c r="B63154" t="s">
        <v>1</v>
      </c>
    </row>
    <row r="63156" spans="1:4" x14ac:dyDescent="0.2">
      <c r="A63156" t="s">
        <v>19662</v>
      </c>
      <c r="B63156" t="str">
        <f>HYPERLINK("https://lindat.mff.cuni.cz/services/teitok/pdtc10/index.php?action=vallex&amp;frame=v-w7603f2", "vézt se (v-w7603f2)")</f>
        <v>vézt se (v-w7603f2)</v>
      </c>
    </row>
    <row r="63157" spans="1:4" x14ac:dyDescent="0.2">
      <c r="B63157" t="s">
        <v>1</v>
      </c>
      <c r="C63157" t="s">
        <v>430</v>
      </c>
    </row>
    <row r="63159" spans="1:4" x14ac:dyDescent="0.2">
      <c r="A63159" t="s">
        <v>19663</v>
      </c>
      <c r="B63159" t="str">
        <f>HYPERLINK("https://lindat.mff.cuni.cz/services/teitok/pdtc10/index.php?action=vallex&amp;frame=v-w7610f1", "vídat (v-w7610f1)")</f>
        <v>vídat (v-w7610f1)</v>
      </c>
    </row>
    <row r="63160" spans="1:4" x14ac:dyDescent="0.2">
      <c r="B63160" t="s">
        <v>1</v>
      </c>
      <c r="C63160" t="s">
        <v>682</v>
      </c>
      <c r="D63160" t="s">
        <v>24183</v>
      </c>
    </row>
    <row r="63161" spans="1:4" x14ac:dyDescent="0.2">
      <c r="B63161" t="s">
        <v>8</v>
      </c>
      <c r="C63161" t="s">
        <v>2293</v>
      </c>
      <c r="D63161" t="s">
        <v>24184</v>
      </c>
    </row>
    <row r="63163" spans="1:4" x14ac:dyDescent="0.2">
      <c r="A63163" t="s">
        <v>19664</v>
      </c>
      <c r="B63163" t="str">
        <f>HYPERLINK("https://lindat.mff.cuni.cz/services/teitok/pdtc10/index.php?action=vallex&amp;frame=v-whsa_119hsa_120", "vídat se (v-whsa_119hsa_120)")</f>
        <v>vídat se (v-whsa_119hsa_120)</v>
      </c>
    </row>
    <row r="63164" spans="1:4" x14ac:dyDescent="0.2">
      <c r="B63164" t="s">
        <v>1</v>
      </c>
    </row>
    <row r="63165" spans="1:4" x14ac:dyDescent="0.2">
      <c r="B63165" t="s">
        <v>411</v>
      </c>
    </row>
    <row r="63167" spans="1:4" x14ac:dyDescent="0.2">
      <c r="A63167" t="s">
        <v>19665</v>
      </c>
      <c r="B63167" t="str">
        <f>HYPERLINK("https://lindat.mff.cuni.cz/services/teitok/pdtc10/index.php?action=vallex&amp;frame=v-w12284_ZUf1_ZU", "vídávat (v-w12284_ZUf1_ZU)")</f>
        <v>vídávat (v-w12284_ZUf1_ZU)</v>
      </c>
    </row>
    <row r="63168" spans="1:4" x14ac:dyDescent="0.2">
      <c r="B63168" t="s">
        <v>1</v>
      </c>
    </row>
    <row r="63169" spans="1:3" x14ac:dyDescent="0.2">
      <c r="B63169" t="s">
        <v>8</v>
      </c>
    </row>
    <row r="63171" spans="1:3" x14ac:dyDescent="0.2">
      <c r="A63171" t="s">
        <v>19666</v>
      </c>
      <c r="B63171" t="str">
        <f>HYPERLINK("https://lindat.mff.cuni.cz/services/teitok/pdtc10/index.php?action=vallex&amp;frame=v-whsa_1207hsa_1208", "vídávat se (v-whsa_1207hsa_1208)")</f>
        <v>vídávat se (v-whsa_1207hsa_1208)</v>
      </c>
    </row>
    <row r="63172" spans="1:3" x14ac:dyDescent="0.2">
      <c r="B63172" t="s">
        <v>1</v>
      </c>
    </row>
    <row r="63173" spans="1:3" x14ac:dyDescent="0.2">
      <c r="B63173" t="s">
        <v>411</v>
      </c>
    </row>
    <row r="63175" spans="1:3" x14ac:dyDescent="0.2">
      <c r="A63175" t="s">
        <v>19667</v>
      </c>
      <c r="B63175" t="str">
        <f>HYPERLINK("https://lindat.mff.cuni.cz/services/teitok/pdtc10/index.php?action=vallex&amp;frame=v-w7623f4", "vítat (v-w7623f4)")</f>
        <v>vítat (v-w7623f4)</v>
      </c>
    </row>
    <row r="63176" spans="1:3" x14ac:dyDescent="0.2">
      <c r="B63176" t="s">
        <v>1</v>
      </c>
    </row>
    <row r="63177" spans="1:3" x14ac:dyDescent="0.2">
      <c r="B63177" t="s">
        <v>411</v>
      </c>
    </row>
    <row r="63178" spans="1:3" x14ac:dyDescent="0.2">
      <c r="B63178" t="s">
        <v>1056</v>
      </c>
    </row>
    <row r="63180" spans="1:3" x14ac:dyDescent="0.2">
      <c r="A63180" t="s">
        <v>19668</v>
      </c>
      <c r="B63180" t="str">
        <f>HYPERLINK("https://lindat.mff.cuni.cz/services/teitok/pdtc10/index.php?action=vallex&amp;frame=v-w7623f3", "vítat (v-w7623f3)")</f>
        <v>vítat (v-w7623f3)</v>
      </c>
    </row>
    <row r="63181" spans="1:3" x14ac:dyDescent="0.2">
      <c r="B63181" t="s">
        <v>1</v>
      </c>
      <c r="C63181" t="s">
        <v>7126</v>
      </c>
    </row>
    <row r="63182" spans="1:3" x14ac:dyDescent="0.2">
      <c r="B63182" t="s">
        <v>41</v>
      </c>
      <c r="C63182" t="s">
        <v>328</v>
      </c>
    </row>
    <row r="63184" spans="1:3" x14ac:dyDescent="0.2">
      <c r="A63184" t="s">
        <v>19669</v>
      </c>
      <c r="B63184" t="str">
        <f>HYPERLINK("https://lindat.mff.cuni.cz/services/teitok/pdtc10/index.php?action=vallex&amp;frame=v-w7623f1", "vítat (v-w7623f1)")</f>
        <v>vítat (v-w7623f1)</v>
      </c>
    </row>
    <row r="63185" spans="1:4" x14ac:dyDescent="0.2">
      <c r="B63185" t="s">
        <v>1</v>
      </c>
      <c r="C63185" t="s">
        <v>2571</v>
      </c>
      <c r="D63185" t="s">
        <v>1566</v>
      </c>
    </row>
    <row r="63186" spans="1:4" x14ac:dyDescent="0.2">
      <c r="B63186" t="s">
        <v>8</v>
      </c>
      <c r="C63186" t="s">
        <v>5666</v>
      </c>
      <c r="D63186" t="s">
        <v>2213</v>
      </c>
    </row>
    <row r="63188" spans="1:4" x14ac:dyDescent="0.2">
      <c r="A63188" t="s">
        <v>19670</v>
      </c>
      <c r="B63188" t="str">
        <f>HYPERLINK("https://lindat.mff.cuni.cz/services/teitok/pdtc10/index.php?action=vallex&amp;frame=v-w7623f2", "vítat (v-w7623f2)")</f>
        <v>vítat (v-w7623f2)</v>
      </c>
    </row>
    <row r="63189" spans="1:4" x14ac:dyDescent="0.2">
      <c r="B63189" t="s">
        <v>1</v>
      </c>
      <c r="D63189" t="s">
        <v>1566</v>
      </c>
    </row>
    <row r="63191" spans="1:4" x14ac:dyDescent="0.2">
      <c r="A63191" t="s">
        <v>19671</v>
      </c>
      <c r="B63191" t="str">
        <f>HYPERLINK("https://lindat.mff.cuni.cz/services/teitok/pdtc10/index.php?action=vallex&amp;frame=v-w7625f1", "vítězit (v-w7625f1)")</f>
        <v>vítězit (v-w7625f1)</v>
      </c>
    </row>
    <row r="63192" spans="1:4" x14ac:dyDescent="0.2">
      <c r="B63192" t="s">
        <v>1</v>
      </c>
      <c r="C63192" t="s">
        <v>2125</v>
      </c>
      <c r="D63192" t="s">
        <v>66</v>
      </c>
    </row>
    <row r="63193" spans="1:4" x14ac:dyDescent="0.2">
      <c r="B63193" t="s">
        <v>551</v>
      </c>
      <c r="C63193" t="s">
        <v>2290</v>
      </c>
      <c r="D63193" t="s">
        <v>5851</v>
      </c>
    </row>
    <row r="63194" spans="1:4" x14ac:dyDescent="0.2">
      <c r="B63194" t="s">
        <v>19672</v>
      </c>
    </row>
    <row r="63196" spans="1:4" x14ac:dyDescent="0.2">
      <c r="A63196" t="s">
        <v>19673</v>
      </c>
      <c r="B63196" t="str">
        <f>HYPERLINK("https://lindat.mff.cuni.cz/services/teitok/pdtc10/index.php?action=vallex&amp;frame=v-w10080f3", "vířit (v-w10080f3)")</f>
        <v>vířit (v-w10080f3)</v>
      </c>
    </row>
    <row r="63197" spans="1:4" x14ac:dyDescent="0.2">
      <c r="B63197" t="s">
        <v>1</v>
      </c>
      <c r="C63197" t="s">
        <v>133</v>
      </c>
      <c r="D63197" t="s">
        <v>249</v>
      </c>
    </row>
    <row r="63198" spans="1:4" x14ac:dyDescent="0.2">
      <c r="B63198" t="s">
        <v>8</v>
      </c>
      <c r="C63198" t="s">
        <v>1128</v>
      </c>
      <c r="D63198" t="s">
        <v>56</v>
      </c>
    </row>
    <row r="63200" spans="1:4" x14ac:dyDescent="0.2">
      <c r="A63200" t="s">
        <v>19674</v>
      </c>
      <c r="B63200" t="str">
        <f>HYPERLINK("https://lindat.mff.cuni.cz/services/teitok/pdtc10/index.php?action=vallex&amp;frame=v-w8452f1", "výt (v-w8452f1)")</f>
        <v>výt (v-w8452f1)</v>
      </c>
    </row>
    <row r="63201" spans="1:4" x14ac:dyDescent="0.2">
      <c r="B63201" t="s">
        <v>1</v>
      </c>
    </row>
    <row r="63203" spans="1:4" x14ac:dyDescent="0.2">
      <c r="A63203" t="s">
        <v>19675</v>
      </c>
      <c r="B63203" t="str">
        <f>HYPERLINK("https://lindat.mff.cuni.cz/services/teitok/pdtc10/index.php?action=vallex&amp;frame=v-whsa_545hsa_546", "včelařit (v-whsa_545hsa_546)")</f>
        <v>včelařit (v-whsa_545hsa_546)</v>
      </c>
    </row>
    <row r="63204" spans="1:4" x14ac:dyDescent="0.2">
      <c r="B63204" t="s">
        <v>1</v>
      </c>
    </row>
    <row r="63206" spans="1:4" x14ac:dyDescent="0.2">
      <c r="A63206" t="s">
        <v>19676</v>
      </c>
      <c r="B63206" t="str">
        <f>HYPERLINK("https://lindat.mff.cuni.cz/services/teitok/pdtc10/index.php?action=vallex&amp;frame=v-w11036f2", "včlenit (v-w11036f2)")</f>
        <v>včlenit (v-w11036f2)</v>
      </c>
    </row>
    <row r="63207" spans="1:4" x14ac:dyDescent="0.2">
      <c r="B63207" t="s">
        <v>1</v>
      </c>
      <c r="C63207" t="s">
        <v>19677</v>
      </c>
      <c r="D63207" t="s">
        <v>24452</v>
      </c>
    </row>
    <row r="63208" spans="1:4" x14ac:dyDescent="0.2">
      <c r="B63208" t="s">
        <v>8</v>
      </c>
      <c r="C63208" t="s">
        <v>19678</v>
      </c>
      <c r="D63208" t="s">
        <v>24453</v>
      </c>
    </row>
    <row r="63209" spans="1:4" x14ac:dyDescent="0.2">
      <c r="B63209" t="s">
        <v>90</v>
      </c>
      <c r="C63209" t="s">
        <v>11786</v>
      </c>
      <c r="D63209" t="s">
        <v>20887</v>
      </c>
    </row>
    <row r="63211" spans="1:4" x14ac:dyDescent="0.2">
      <c r="A63211" t="s">
        <v>19679</v>
      </c>
      <c r="B63211" t="str">
        <f>HYPERLINK("https://lindat.mff.cuni.cz/services/teitok/pdtc10/index.php?action=vallex&amp;frame=v-w11447f1", "včlenit se (v-w11447f1)")</f>
        <v>včlenit se (v-w11447f1)</v>
      </c>
    </row>
    <row r="63212" spans="1:4" x14ac:dyDescent="0.2">
      <c r="B63212" t="s">
        <v>1</v>
      </c>
    </row>
    <row r="63213" spans="1:4" x14ac:dyDescent="0.2">
      <c r="B63213" t="s">
        <v>90</v>
      </c>
    </row>
    <row r="63215" spans="1:4" x14ac:dyDescent="0.2">
      <c r="A63215" t="s">
        <v>19680</v>
      </c>
      <c r="B63215" t="str">
        <f>HYPERLINK("https://lindat.mff.cuni.cz/services/teitok/pdtc10/index.php?action=vallex&amp;frame=v-w7538f1", "včleňovat (v-w7538f1)")</f>
        <v>včleňovat (v-w7538f1)</v>
      </c>
    </row>
    <row r="63216" spans="1:4" x14ac:dyDescent="0.2">
      <c r="B63216" t="s">
        <v>1</v>
      </c>
      <c r="D63216" t="s">
        <v>23181</v>
      </c>
    </row>
    <row r="63217" spans="1:4" x14ac:dyDescent="0.2">
      <c r="B63217" t="s">
        <v>8</v>
      </c>
      <c r="D63217" t="s">
        <v>23182</v>
      </c>
    </row>
    <row r="63218" spans="1:4" x14ac:dyDescent="0.2">
      <c r="B63218" t="s">
        <v>90</v>
      </c>
      <c r="D63218" t="s">
        <v>11579</v>
      </c>
    </row>
    <row r="63220" spans="1:4" x14ac:dyDescent="0.2">
      <c r="A63220" t="s">
        <v>19681</v>
      </c>
      <c r="B63220" t="str">
        <f>HYPERLINK("https://lindat.mff.cuni.cz/services/teitok/pdtc10/index.php?action=vallex&amp;frame=v-w11425f1", "včleňovat se (v-w11425f1)")</f>
        <v>včleňovat se (v-w11425f1)</v>
      </c>
    </row>
    <row r="63221" spans="1:4" x14ac:dyDescent="0.2">
      <c r="B63221" t="s">
        <v>1</v>
      </c>
    </row>
    <row r="63222" spans="1:4" x14ac:dyDescent="0.2">
      <c r="B63222" t="s">
        <v>90</v>
      </c>
    </row>
    <row r="63224" spans="1:4" x14ac:dyDescent="0.2">
      <c r="A63224" t="s">
        <v>19682</v>
      </c>
      <c r="B63224" t="str">
        <f>HYPERLINK("https://lindat.mff.cuni.cz/services/teitok/pdtc10/index.php?action=vallex&amp;frame=v-w7548f1", "vědět (v-w7548f1)")</f>
        <v>vědět (v-w7548f1)</v>
      </c>
    </row>
    <row r="63225" spans="1:4" x14ac:dyDescent="0.2">
      <c r="B63225" t="s">
        <v>1</v>
      </c>
      <c r="C63225" t="s">
        <v>19683</v>
      </c>
      <c r="D63225" t="s">
        <v>9234</v>
      </c>
    </row>
    <row r="63226" spans="1:4" x14ac:dyDescent="0.2">
      <c r="B63226" t="s">
        <v>19684</v>
      </c>
      <c r="C63226" t="s">
        <v>19685</v>
      </c>
      <c r="D63226" t="s">
        <v>23186</v>
      </c>
    </row>
    <row r="63227" spans="1:4" x14ac:dyDescent="0.2">
      <c r="B63227" t="s">
        <v>1877</v>
      </c>
      <c r="D63227" t="s">
        <v>2915</v>
      </c>
    </row>
    <row r="63229" spans="1:4" x14ac:dyDescent="0.2">
      <c r="A63229" t="s">
        <v>19686</v>
      </c>
      <c r="B63229" t="str">
        <f>HYPERLINK("https://lindat.mff.cuni.cz/services/teitok/pdtc10/index.php?action=vallex&amp;frame=v-w7548f4", "vědět (v-w7548f4)")</f>
        <v>vědět (v-w7548f4)</v>
      </c>
    </row>
    <row r="63230" spans="1:4" x14ac:dyDescent="0.2">
      <c r="B63230" t="s">
        <v>1</v>
      </c>
    </row>
    <row r="63231" spans="1:4" x14ac:dyDescent="0.2">
      <c r="B63231" t="s">
        <v>28</v>
      </c>
    </row>
    <row r="63232" spans="1:4" x14ac:dyDescent="0.2">
      <c r="B63232" t="s">
        <v>1609</v>
      </c>
    </row>
    <row r="63233" spans="1:4" x14ac:dyDescent="0.2">
      <c r="B63233" t="s">
        <v>1142</v>
      </c>
    </row>
    <row r="63235" spans="1:4" x14ac:dyDescent="0.2">
      <c r="A63235" t="s">
        <v>19687</v>
      </c>
      <c r="B63235" t="str">
        <f>HYPERLINK("https://lindat.mff.cuni.cz/services/teitok/pdtc10/index.php?action=vallex&amp;frame=v-w7548f5", "vědět (v-w7548f5)")</f>
        <v>vědět (v-w7548f5)</v>
      </c>
    </row>
    <row r="63236" spans="1:4" x14ac:dyDescent="0.2">
      <c r="B63236" t="s">
        <v>1</v>
      </c>
      <c r="C63236" t="s">
        <v>19688</v>
      </c>
    </row>
    <row r="63237" spans="1:4" x14ac:dyDescent="0.2">
      <c r="B63237" t="s">
        <v>8</v>
      </c>
      <c r="C63237" t="s">
        <v>8388</v>
      </c>
    </row>
    <row r="63239" spans="1:4" x14ac:dyDescent="0.2">
      <c r="A63239" t="s">
        <v>19689</v>
      </c>
      <c r="B63239" t="str">
        <f>HYPERLINK("https://lindat.mff.cuni.cz/services/teitok/pdtc10/index.php?action=vallex&amp;frame=v-w7548f2", "vědět (v-w7548f2)")</f>
        <v>vědět (v-w7548f2)</v>
      </c>
    </row>
    <row r="63240" spans="1:4" x14ac:dyDescent="0.2">
      <c r="B63240" t="s">
        <v>1</v>
      </c>
      <c r="C63240" t="s">
        <v>19690</v>
      </c>
      <c r="D63240" t="s">
        <v>9234</v>
      </c>
    </row>
    <row r="63241" spans="1:4" x14ac:dyDescent="0.2">
      <c r="B63241" t="s">
        <v>19691</v>
      </c>
      <c r="C63241" t="s">
        <v>19692</v>
      </c>
      <c r="D63241" t="s">
        <v>23185</v>
      </c>
    </row>
    <row r="63242" spans="1:4" x14ac:dyDescent="0.2">
      <c r="B63242" t="s">
        <v>269</v>
      </c>
      <c r="C63242" t="s">
        <v>19693</v>
      </c>
      <c r="D63242" t="s">
        <v>23186</v>
      </c>
    </row>
    <row r="63243" spans="1:4" x14ac:dyDescent="0.2">
      <c r="B63243" t="s">
        <v>1877</v>
      </c>
      <c r="D63243" t="s">
        <v>2915</v>
      </c>
    </row>
    <row r="63245" spans="1:4" x14ac:dyDescent="0.2">
      <c r="A63245" t="s">
        <v>19694</v>
      </c>
      <c r="B63245" t="str">
        <f>HYPERLINK("https://lindat.mff.cuni.cz/services/teitok/pdtc10/index.php?action=vallex&amp;frame=v-w7548f3", "vědět (v-w7548f3)")</f>
        <v>vědět (v-w7548f3)</v>
      </c>
    </row>
    <row r="63246" spans="1:4" x14ac:dyDescent="0.2">
      <c r="B63246" t="s">
        <v>1</v>
      </c>
    </row>
    <row r="63247" spans="1:4" x14ac:dyDescent="0.2">
      <c r="B63247" t="s">
        <v>19695</v>
      </c>
    </row>
    <row r="63248" spans="1:4" x14ac:dyDescent="0.2">
      <c r="B63248" t="s">
        <v>183</v>
      </c>
    </row>
    <row r="63250" spans="1:2" x14ac:dyDescent="0.2">
      <c r="A63250" t="s">
        <v>19696</v>
      </c>
      <c r="B63250" t="str">
        <f>HYPERLINK("https://lindat.mff.cuni.cz/services/teitok/pdtc10/index.php?action=vallex&amp;frame=v-w7548f6_ZU", "vědět (v-w7548f6_ZU)")</f>
        <v>vědět (v-w7548f6_ZU)</v>
      </c>
    </row>
    <row r="63251" spans="1:2" x14ac:dyDescent="0.2">
      <c r="B63251" t="s">
        <v>1</v>
      </c>
    </row>
    <row r="63252" spans="1:2" x14ac:dyDescent="0.2">
      <c r="B63252" t="s">
        <v>19697</v>
      </c>
    </row>
    <row r="63253" spans="1:2" x14ac:dyDescent="0.2">
      <c r="B63253" t="s">
        <v>2480</v>
      </c>
    </row>
    <row r="63255" spans="1:2" x14ac:dyDescent="0.2">
      <c r="A63255" t="s">
        <v>19696</v>
      </c>
      <c r="B63255" t="str">
        <f>HYPERLINK("https://lindat.mff.cuni.cz/services/teitok/pdtc10/index.php?action=vallex&amp;frame=v-w7548hsa_1957", "vědět (v-w7548hsa_1957) - substituted with v-w7548f6_ZU")</f>
        <v>vědět (v-w7548hsa_1957) - substituted with v-w7548f6_ZU</v>
      </c>
    </row>
    <row r="63256" spans="1:2" x14ac:dyDescent="0.2">
      <c r="B63256" t="s">
        <v>1</v>
      </c>
    </row>
    <row r="63257" spans="1:2" x14ac:dyDescent="0.2">
      <c r="B63257" t="s">
        <v>19697</v>
      </c>
    </row>
    <row r="63258" spans="1:2" x14ac:dyDescent="0.2">
      <c r="B63258" t="s">
        <v>2480</v>
      </c>
    </row>
    <row r="63260" spans="1:2" x14ac:dyDescent="0.2">
      <c r="A63260" t="s">
        <v>19698</v>
      </c>
      <c r="B63260" t="str">
        <f>HYPERLINK("https://lindat.mff.cuni.cz/services/teitok/pdtc10/index.php?action=vallex&amp;frame=v-w7549f1", "vědět si (v-w7549f1)")</f>
        <v>vědět si (v-w7549f1)</v>
      </c>
    </row>
    <row r="63261" spans="1:2" x14ac:dyDescent="0.2">
      <c r="B63261" t="s">
        <v>1</v>
      </c>
    </row>
    <row r="63262" spans="1:2" x14ac:dyDescent="0.2">
      <c r="B63262" t="s">
        <v>19699</v>
      </c>
    </row>
    <row r="63263" spans="1:2" x14ac:dyDescent="0.2">
      <c r="B63263" t="s">
        <v>2423</v>
      </c>
    </row>
    <row r="63265" spans="1:4" x14ac:dyDescent="0.2">
      <c r="A63265" t="s">
        <v>19700</v>
      </c>
      <c r="B63265" t="str">
        <f>HYPERLINK("https://lindat.mff.cuni.cz/services/teitok/pdtc10/index.php?action=vallex&amp;frame=v-w7568f1", "věnovat (v-w7568f1)")</f>
        <v>věnovat (v-w7568f1)</v>
      </c>
    </row>
    <row r="63266" spans="1:4" x14ac:dyDescent="0.2">
      <c r="B63266" t="s">
        <v>1</v>
      </c>
      <c r="C63266" t="s">
        <v>19701</v>
      </c>
      <c r="D63266" t="s">
        <v>17706</v>
      </c>
    </row>
    <row r="63267" spans="1:4" x14ac:dyDescent="0.2">
      <c r="B63267" t="s">
        <v>8</v>
      </c>
      <c r="C63267" t="s">
        <v>19702</v>
      </c>
      <c r="D63267" t="s">
        <v>24454</v>
      </c>
    </row>
    <row r="63268" spans="1:4" x14ac:dyDescent="0.2">
      <c r="B63268" t="s">
        <v>35</v>
      </c>
      <c r="C63268" t="s">
        <v>19703</v>
      </c>
      <c r="D63268" t="s">
        <v>24455</v>
      </c>
    </row>
    <row r="63270" spans="1:4" x14ac:dyDescent="0.2">
      <c r="A63270" t="s">
        <v>19704</v>
      </c>
      <c r="B63270" t="str">
        <f>HYPERLINK("https://lindat.mff.cuni.cz/services/teitok/pdtc10/index.php?action=vallex&amp;frame=v-w7568f3", "věnovat (v-w7568f3)")</f>
        <v>věnovat (v-w7568f3)</v>
      </c>
    </row>
    <row r="63271" spans="1:4" x14ac:dyDescent="0.2">
      <c r="B63271" t="s">
        <v>1</v>
      </c>
      <c r="C63271" t="s">
        <v>115</v>
      </c>
    </row>
    <row r="63272" spans="1:4" x14ac:dyDescent="0.2">
      <c r="B63272" t="s">
        <v>8</v>
      </c>
      <c r="C63272" t="s">
        <v>19705</v>
      </c>
    </row>
    <row r="63273" spans="1:4" x14ac:dyDescent="0.2">
      <c r="B63273" t="s">
        <v>35</v>
      </c>
      <c r="C63273" t="s">
        <v>19706</v>
      </c>
    </row>
    <row r="63275" spans="1:4" x14ac:dyDescent="0.2">
      <c r="A63275" t="s">
        <v>19707</v>
      </c>
      <c r="B63275" t="str">
        <f>HYPERLINK("https://lindat.mff.cuni.cz/services/teitok/pdtc10/index.php?action=vallex&amp;frame=v-w7568hsa_453", "věnovat (v-w7568hsa_453)")</f>
        <v>věnovat (v-w7568hsa_453)</v>
      </c>
    </row>
    <row r="63276" spans="1:4" x14ac:dyDescent="0.2">
      <c r="B63276" t="s">
        <v>1</v>
      </c>
      <c r="C63276" t="s">
        <v>19708</v>
      </c>
      <c r="D63276" t="s">
        <v>24456</v>
      </c>
    </row>
    <row r="63277" spans="1:4" x14ac:dyDescent="0.2">
      <c r="B63277" t="s">
        <v>19709</v>
      </c>
      <c r="C63277" t="s">
        <v>19710</v>
      </c>
    </row>
    <row r="63278" spans="1:4" x14ac:dyDescent="0.2">
      <c r="B63278" t="s">
        <v>9699</v>
      </c>
      <c r="C63278" t="s">
        <v>19711</v>
      </c>
      <c r="D63278" t="s">
        <v>13525</v>
      </c>
    </row>
    <row r="63280" spans="1:4" x14ac:dyDescent="0.2">
      <c r="A63280" t="s">
        <v>19707</v>
      </c>
      <c r="B63280" t="str">
        <f>HYPERLINK("https://lindat.mff.cuni.cz/services/teitok/pdtc10/index.php?action=vallex&amp;frame=v-w7568f2", "věnovat (v-w7568f2) - substituted with v-w7568hsa_453")</f>
        <v>věnovat (v-w7568f2) - substituted with v-w7568hsa_453</v>
      </c>
    </row>
    <row r="63281" spans="1:4" x14ac:dyDescent="0.2">
      <c r="B63281" t="s">
        <v>1</v>
      </c>
      <c r="C63281" t="s">
        <v>19712</v>
      </c>
    </row>
    <row r="63282" spans="1:4" x14ac:dyDescent="0.2">
      <c r="B63282" t="s">
        <v>19709</v>
      </c>
      <c r="C63282" t="s">
        <v>19713</v>
      </c>
    </row>
    <row r="63283" spans="1:4" x14ac:dyDescent="0.2">
      <c r="B63283" t="s">
        <v>9699</v>
      </c>
      <c r="C63283" t="s">
        <v>19714</v>
      </c>
    </row>
    <row r="63285" spans="1:4" x14ac:dyDescent="0.2">
      <c r="A63285" t="s">
        <v>19707</v>
      </c>
      <c r="B63285" t="str">
        <f>HYPERLINK("https://lindat.mff.cuni.cz/services/teitok/pdtc10/index.php?action=vallex&amp;frame=v-w7568f4_ZU", "věnovat (v-w7568f4_ZU) - substituted with v-w7568hsa_453")</f>
        <v>věnovat (v-w7568f4_ZU) - substituted with v-w7568hsa_453</v>
      </c>
    </row>
    <row r="63286" spans="1:4" x14ac:dyDescent="0.2">
      <c r="B63286" t="s">
        <v>1</v>
      </c>
      <c r="C63286" t="s">
        <v>19715</v>
      </c>
    </row>
    <row r="63287" spans="1:4" x14ac:dyDescent="0.2">
      <c r="B63287" t="s">
        <v>19709</v>
      </c>
      <c r="C63287" t="s">
        <v>19716</v>
      </c>
    </row>
    <row r="63288" spans="1:4" x14ac:dyDescent="0.2">
      <c r="B63288" t="s">
        <v>9699</v>
      </c>
      <c r="C63288" t="s">
        <v>19717</v>
      </c>
    </row>
    <row r="63290" spans="1:4" x14ac:dyDescent="0.2">
      <c r="A63290" t="s">
        <v>19718</v>
      </c>
      <c r="B63290" t="str">
        <f>HYPERLINK("https://lindat.mff.cuni.cz/services/teitok/pdtc10/index.php?action=vallex&amp;frame=v-w7569f1", "věnovat se (v-w7569f1)")</f>
        <v>věnovat se (v-w7569f1)</v>
      </c>
    </row>
    <row r="63291" spans="1:4" x14ac:dyDescent="0.2">
      <c r="B63291" t="s">
        <v>1</v>
      </c>
      <c r="C63291" t="s">
        <v>19719</v>
      </c>
      <c r="D63291" t="s">
        <v>22976</v>
      </c>
    </row>
    <row r="63292" spans="1:4" x14ac:dyDescent="0.2">
      <c r="B63292" t="s">
        <v>103</v>
      </c>
      <c r="C63292" t="s">
        <v>19720</v>
      </c>
      <c r="D63292" t="s">
        <v>22977</v>
      </c>
    </row>
    <row r="63294" spans="1:4" x14ac:dyDescent="0.2">
      <c r="A63294" t="s">
        <v>19721</v>
      </c>
      <c r="B63294" t="str">
        <f>HYPERLINK("https://lindat.mff.cuni.cz/services/teitok/pdtc10/index.php?action=vallex&amp;frame=v-w10602f2", "věstit (v-w10602f2)")</f>
        <v>věstit (v-w10602f2)</v>
      </c>
    </row>
    <row r="63295" spans="1:4" x14ac:dyDescent="0.2">
      <c r="B63295" t="s">
        <v>1</v>
      </c>
    </row>
    <row r="63296" spans="1:4" x14ac:dyDescent="0.2">
      <c r="B63296" t="s">
        <v>1284</v>
      </c>
    </row>
    <row r="63298" spans="1:4" x14ac:dyDescent="0.2">
      <c r="A63298" t="s">
        <v>19722</v>
      </c>
      <c r="B63298" t="str">
        <f>HYPERLINK("https://lindat.mff.cuni.cz/services/teitok/pdtc10/index.php?action=vallex&amp;frame=v-w10602f5", "věstit (v-w10602f5)")</f>
        <v>věstit (v-w10602f5)</v>
      </c>
    </row>
    <row r="63299" spans="1:4" x14ac:dyDescent="0.2">
      <c r="B63299" t="s">
        <v>1</v>
      </c>
      <c r="C63299" t="s">
        <v>249</v>
      </c>
      <c r="D63299" t="s">
        <v>7388</v>
      </c>
    </row>
    <row r="63300" spans="1:4" x14ac:dyDescent="0.2">
      <c r="B63300" t="s">
        <v>19723</v>
      </c>
      <c r="C63300" t="s">
        <v>1114</v>
      </c>
      <c r="D63300" t="s">
        <v>24457</v>
      </c>
    </row>
    <row r="63301" spans="1:4" x14ac:dyDescent="0.2">
      <c r="B63301" t="s">
        <v>511</v>
      </c>
    </row>
    <row r="63303" spans="1:4" x14ac:dyDescent="0.2">
      <c r="A63303" t="s">
        <v>19724</v>
      </c>
      <c r="B63303" t="str">
        <f>HYPERLINK("https://lindat.mff.cuni.cz/services/teitok/pdtc10/index.php?action=vallex&amp;frame=v-w7594f1", "větrat (v-w7594f1)")</f>
        <v>větrat (v-w7594f1)</v>
      </c>
    </row>
    <row r="63304" spans="1:4" x14ac:dyDescent="0.2">
      <c r="B63304" t="s">
        <v>1</v>
      </c>
    </row>
    <row r="63305" spans="1:4" x14ac:dyDescent="0.2">
      <c r="B63305" t="s">
        <v>220</v>
      </c>
    </row>
    <row r="63307" spans="1:4" x14ac:dyDescent="0.2">
      <c r="A63307" t="s">
        <v>19725</v>
      </c>
      <c r="B63307" t="str">
        <f>HYPERLINK("https://lindat.mff.cuni.cz/services/teitok/pdtc10/index.php?action=vallex&amp;frame=v-w7594f2", "větrat (v-w7594f2)")</f>
        <v>větrat (v-w7594f2)</v>
      </c>
    </row>
    <row r="63308" spans="1:4" x14ac:dyDescent="0.2">
      <c r="B63308" t="s">
        <v>1</v>
      </c>
    </row>
    <row r="63310" spans="1:4" x14ac:dyDescent="0.2">
      <c r="A63310" t="s">
        <v>19726</v>
      </c>
      <c r="B63310" t="str">
        <f>HYPERLINK("https://lindat.mff.cuni.cz/services/teitok/pdtc10/index.php?action=vallex&amp;frame=v-w10603f3", "větřit (v-w10603f3)")</f>
        <v>větřit (v-w10603f3)</v>
      </c>
    </row>
    <row r="63311" spans="1:4" x14ac:dyDescent="0.2">
      <c r="B63311" t="s">
        <v>1</v>
      </c>
    </row>
    <row r="63312" spans="1:4" x14ac:dyDescent="0.2">
      <c r="B63312" t="s">
        <v>8</v>
      </c>
    </row>
    <row r="63314" spans="1:4" x14ac:dyDescent="0.2">
      <c r="A63314" t="s">
        <v>19727</v>
      </c>
      <c r="B63314" t="str">
        <f>HYPERLINK("https://lindat.mff.cuni.cz/services/teitok/pdtc10/index.php?action=vallex&amp;frame=v-w7599f1", "vězet (v-w7599f1)")</f>
        <v>vězet (v-w7599f1)</v>
      </c>
    </row>
    <row r="63315" spans="1:4" x14ac:dyDescent="0.2">
      <c r="B63315" t="s">
        <v>1</v>
      </c>
    </row>
    <row r="63316" spans="1:4" x14ac:dyDescent="0.2">
      <c r="B63316" t="s">
        <v>290</v>
      </c>
    </row>
    <row r="63318" spans="1:4" x14ac:dyDescent="0.2">
      <c r="A63318" t="s">
        <v>19728</v>
      </c>
      <c r="B63318" t="str">
        <f>HYPERLINK("https://lindat.mff.cuni.cz/services/teitok/pdtc10/index.php?action=vallex&amp;frame=v-w7599f2", "vězet (v-w7599f2)")</f>
        <v>vězet (v-w7599f2)</v>
      </c>
    </row>
    <row r="63319" spans="1:4" x14ac:dyDescent="0.2">
      <c r="B63319" t="s">
        <v>1</v>
      </c>
    </row>
    <row r="63320" spans="1:4" x14ac:dyDescent="0.2">
      <c r="B63320" t="s">
        <v>5</v>
      </c>
    </row>
    <row r="63322" spans="1:4" x14ac:dyDescent="0.2">
      <c r="A63322" t="s">
        <v>19729</v>
      </c>
      <c r="B63322" t="str">
        <f>HYPERLINK("https://lindat.mff.cuni.cz/services/teitok/pdtc10/index.php?action=vallex&amp;frame=v-w7601f1", "věznit (v-w7601f1)")</f>
        <v>věznit (v-w7601f1)</v>
      </c>
    </row>
    <row r="63323" spans="1:4" x14ac:dyDescent="0.2">
      <c r="B63323" t="s">
        <v>1</v>
      </c>
      <c r="C63323" t="s">
        <v>33</v>
      </c>
      <c r="D63323" t="s">
        <v>2303</v>
      </c>
    </row>
    <row r="63324" spans="1:4" x14ac:dyDescent="0.2">
      <c r="B63324" t="s">
        <v>8</v>
      </c>
      <c r="C63324" t="s">
        <v>54</v>
      </c>
      <c r="D63324" t="s">
        <v>3433</v>
      </c>
    </row>
    <row r="63326" spans="1:4" x14ac:dyDescent="0.2">
      <c r="A63326" t="s">
        <v>19730</v>
      </c>
      <c r="B63326" t="str">
        <f>HYPERLINK("https://lindat.mff.cuni.cz/services/teitok/pdtc10/index.php?action=vallex&amp;frame=v-w7581f1", "věřit (v-w7581f1)")</f>
        <v>věřit (v-w7581f1)</v>
      </c>
    </row>
    <row r="63327" spans="1:4" x14ac:dyDescent="0.2">
      <c r="B63327" t="s">
        <v>1</v>
      </c>
      <c r="C63327" t="s">
        <v>19731</v>
      </c>
      <c r="D63327" t="s">
        <v>7821</v>
      </c>
    </row>
    <row r="63328" spans="1:4" x14ac:dyDescent="0.2">
      <c r="B63328" t="s">
        <v>19732</v>
      </c>
      <c r="C63328" t="s">
        <v>7284</v>
      </c>
      <c r="D63328" t="s">
        <v>23148</v>
      </c>
    </row>
    <row r="63330" spans="1:3" x14ac:dyDescent="0.2">
      <c r="A63330" t="s">
        <v>19733</v>
      </c>
      <c r="B63330" t="str">
        <f>HYPERLINK("https://lindat.mff.cuni.cz/services/teitok/pdtc10/index.php?action=vallex&amp;frame=v-w7581f6_ZU", "věřit (v-w7581f6_ZU)")</f>
        <v>věřit (v-w7581f6_ZU)</v>
      </c>
    </row>
    <row r="63331" spans="1:3" x14ac:dyDescent="0.2">
      <c r="B63331" t="s">
        <v>1</v>
      </c>
    </row>
    <row r="63332" spans="1:3" x14ac:dyDescent="0.2">
      <c r="B63332" t="s">
        <v>11820</v>
      </c>
    </row>
    <row r="63333" spans="1:3" x14ac:dyDescent="0.2">
      <c r="B63333" t="s">
        <v>3021</v>
      </c>
    </row>
    <row r="63335" spans="1:3" x14ac:dyDescent="0.2">
      <c r="A63335" t="s">
        <v>19733</v>
      </c>
      <c r="B63335" t="str">
        <f>HYPERLINK("https://lindat.mff.cuni.cz/services/teitok/pdtc10/index.php?action=vallex&amp;frame=v-w7581f2", "věřit (v-w7581f2) - substituted with v-w7581f6_ZU")</f>
        <v>věřit (v-w7581f2) - substituted with v-w7581f6_ZU</v>
      </c>
    </row>
    <row r="63336" spans="1:3" x14ac:dyDescent="0.2">
      <c r="B63336" t="s">
        <v>1</v>
      </c>
      <c r="C63336" t="s">
        <v>4110</v>
      </c>
    </row>
    <row r="63337" spans="1:3" x14ac:dyDescent="0.2">
      <c r="B63337" t="s">
        <v>11820</v>
      </c>
      <c r="C63337" t="s">
        <v>2235</v>
      </c>
    </row>
    <row r="63338" spans="1:3" x14ac:dyDescent="0.2">
      <c r="B63338" t="s">
        <v>3021</v>
      </c>
    </row>
    <row r="63340" spans="1:3" x14ac:dyDescent="0.2">
      <c r="A63340" t="s">
        <v>19734</v>
      </c>
      <c r="B63340" t="str">
        <f>HYPERLINK("https://lindat.mff.cuni.cz/services/teitok/pdtc10/index.php?action=vallex&amp;frame=v-w7581f4", "věřit (v-w7581f4)")</f>
        <v>věřit (v-w7581f4)</v>
      </c>
    </row>
    <row r="63341" spans="1:3" x14ac:dyDescent="0.2">
      <c r="B63341" t="s">
        <v>1</v>
      </c>
      <c r="C63341" t="s">
        <v>19735</v>
      </c>
    </row>
    <row r="63342" spans="1:3" x14ac:dyDescent="0.2">
      <c r="B63342" t="s">
        <v>1889</v>
      </c>
      <c r="C63342" t="s">
        <v>19736</v>
      </c>
    </row>
    <row r="63344" spans="1:3" x14ac:dyDescent="0.2">
      <c r="A63344" t="s">
        <v>19737</v>
      </c>
      <c r="B63344" t="str">
        <f>HYPERLINK("https://lindat.mff.cuni.cz/services/teitok/pdtc10/index.php?action=vallex&amp;frame=v-w7581f3", "věřit (v-w7581f3)")</f>
        <v>věřit (v-w7581f3)</v>
      </c>
    </row>
    <row r="63345" spans="1:4" x14ac:dyDescent="0.2">
      <c r="B63345" t="s">
        <v>1</v>
      </c>
      <c r="C63345" t="s">
        <v>3358</v>
      </c>
      <c r="D63345" t="s">
        <v>1774</v>
      </c>
    </row>
    <row r="63346" spans="1:4" x14ac:dyDescent="0.2">
      <c r="B63346" t="s">
        <v>35</v>
      </c>
      <c r="C63346" t="s">
        <v>19738</v>
      </c>
      <c r="D63346" t="s">
        <v>4440</v>
      </c>
    </row>
    <row r="63347" spans="1:4" x14ac:dyDescent="0.2">
      <c r="B63347" t="s">
        <v>19739</v>
      </c>
      <c r="D63347" t="s">
        <v>113</v>
      </c>
    </row>
    <row r="63349" spans="1:4" x14ac:dyDescent="0.2">
      <c r="A63349" t="s">
        <v>19740</v>
      </c>
      <c r="B63349" t="str">
        <f>HYPERLINK("https://lindat.mff.cuni.cz/services/teitok/pdtc10/index.php?action=vallex&amp;frame=v-w7581f5", "věřit (v-w7581f5)")</f>
        <v>věřit (v-w7581f5)</v>
      </c>
    </row>
    <row r="63350" spans="1:4" x14ac:dyDescent="0.2">
      <c r="B63350" t="s">
        <v>1</v>
      </c>
      <c r="C63350" t="s">
        <v>19741</v>
      </c>
      <c r="D63350" t="s">
        <v>23149</v>
      </c>
    </row>
    <row r="63351" spans="1:4" x14ac:dyDescent="0.2">
      <c r="B63351" t="s">
        <v>1609</v>
      </c>
      <c r="C63351" t="s">
        <v>19742</v>
      </c>
      <c r="D63351" t="s">
        <v>23150</v>
      </c>
    </row>
    <row r="63352" spans="1:4" x14ac:dyDescent="0.2">
      <c r="B63352" t="s">
        <v>269</v>
      </c>
      <c r="D63352" t="s">
        <v>23151</v>
      </c>
    </row>
    <row r="63354" spans="1:4" x14ac:dyDescent="0.2">
      <c r="A63354" t="s">
        <v>19743</v>
      </c>
      <c r="B63354" t="str">
        <f>HYPERLINK("https://lindat.mff.cuni.cz/services/teitok/pdtc10/index.php?action=vallex&amp;frame=v-w10045f2", "věšet (v-w10045f2)")</f>
        <v>věšet (v-w10045f2)</v>
      </c>
    </row>
    <row r="63355" spans="1:4" x14ac:dyDescent="0.2">
      <c r="B63355" t="s">
        <v>1</v>
      </c>
      <c r="C63355" t="s">
        <v>140</v>
      </c>
      <c r="D63355" t="s">
        <v>23181</v>
      </c>
    </row>
    <row r="63356" spans="1:4" x14ac:dyDescent="0.2">
      <c r="B63356" t="s">
        <v>8</v>
      </c>
      <c r="C63356" t="s">
        <v>34</v>
      </c>
      <c r="D63356" t="s">
        <v>23182</v>
      </c>
    </row>
    <row r="63358" spans="1:4" x14ac:dyDescent="0.2">
      <c r="A63358" t="s">
        <v>19744</v>
      </c>
      <c r="B63358" t="str">
        <f>HYPERLINK("https://lindat.mff.cuni.cz/services/teitok/pdtc10/index.php?action=vallex&amp;frame=v-w7587f1", "věštit (v-w7587f1)")</f>
        <v>věštit (v-w7587f1)</v>
      </c>
    </row>
    <row r="63359" spans="1:4" x14ac:dyDescent="0.2">
      <c r="B63359" t="s">
        <v>1</v>
      </c>
    </row>
    <row r="63360" spans="1:4" x14ac:dyDescent="0.2">
      <c r="B63360" t="s">
        <v>1284</v>
      </c>
    </row>
    <row r="63362" spans="1:4" x14ac:dyDescent="0.2">
      <c r="A63362" t="s">
        <v>19745</v>
      </c>
      <c r="B63362" t="str">
        <f>HYPERLINK("https://lindat.mff.cuni.cz/services/teitok/pdtc10/index.php?action=vallex&amp;frame=v-w10556f2", "vřeštět (v-w10556f2)")</f>
        <v>vřeštět (v-w10556f2)</v>
      </c>
    </row>
    <row r="63363" spans="1:4" x14ac:dyDescent="0.2">
      <c r="B63363" t="s">
        <v>1</v>
      </c>
    </row>
    <row r="63364" spans="1:4" x14ac:dyDescent="0.2">
      <c r="B63364" t="s">
        <v>3727</v>
      </c>
    </row>
    <row r="63365" spans="1:4" x14ac:dyDescent="0.2">
      <c r="B63365" t="s">
        <v>3527</v>
      </c>
    </row>
    <row r="63367" spans="1:4" x14ac:dyDescent="0.2">
      <c r="A63367" t="s">
        <v>19746</v>
      </c>
      <c r="B63367" t="str">
        <f>HYPERLINK("https://lindat.mff.cuni.cz/services/teitok/pdtc10/index.php?action=vallex&amp;frame=v-w7726f1", "vřít (v-w7726f1)")</f>
        <v>vřít (v-w7726f1)</v>
      </c>
    </row>
    <row r="63368" spans="1:4" x14ac:dyDescent="0.2">
      <c r="B63368" t="s">
        <v>1</v>
      </c>
      <c r="C63368" t="s">
        <v>4011</v>
      </c>
    </row>
    <row r="63370" spans="1:4" x14ac:dyDescent="0.2">
      <c r="A63370" t="s">
        <v>19747</v>
      </c>
      <c r="B63370" t="str">
        <f>HYPERLINK("https://lindat.mff.cuni.cz/services/teitok/pdtc10/index.php?action=vallex&amp;frame=v-w7726f2", "vřít (v-w7726f2)")</f>
        <v>vřít (v-w7726f2)</v>
      </c>
    </row>
    <row r="63371" spans="1:4" x14ac:dyDescent="0.2">
      <c r="B63371" t="s">
        <v>1</v>
      </c>
      <c r="C63371" t="s">
        <v>10770</v>
      </c>
      <c r="D63371" t="s">
        <v>23224</v>
      </c>
    </row>
    <row r="63373" spans="1:4" x14ac:dyDescent="0.2">
      <c r="A63373" t="s">
        <v>19748</v>
      </c>
      <c r="B63373" t="str">
        <f>HYPERLINK("https://lindat.mff.cuni.cz/services/teitok/pdtc10/index.php?action=vallex&amp;frame=v-w7726f3", "vřít (v-w7726f3)")</f>
        <v>vřít (v-w7726f3)</v>
      </c>
    </row>
    <row r="63374" spans="1:4" x14ac:dyDescent="0.2">
      <c r="B63374" t="s">
        <v>5</v>
      </c>
    </row>
    <row r="63376" spans="1:4" x14ac:dyDescent="0.2">
      <c r="A63376" t="s">
        <v>19749</v>
      </c>
      <c r="B63376" t="str">
        <f>HYPERLINK("https://lindat.mff.cuni.cz/services/teitok/pdtc10/index.php?action=vallex&amp;frame=v-w7727f1", "vřítit se (v-w7727f1)")</f>
        <v>vřítit se (v-w7727f1)</v>
      </c>
    </row>
    <row r="63377" spans="1:4" x14ac:dyDescent="0.2">
      <c r="B63377" t="s">
        <v>1</v>
      </c>
      <c r="C63377" t="s">
        <v>133</v>
      </c>
      <c r="D63377" t="s">
        <v>83</v>
      </c>
    </row>
    <row r="63378" spans="1:4" x14ac:dyDescent="0.2">
      <c r="B63378" t="s">
        <v>90</v>
      </c>
      <c r="D63378" t="s">
        <v>1796</v>
      </c>
    </row>
    <row r="63380" spans="1:4" x14ac:dyDescent="0.2">
      <c r="A63380" t="s">
        <v>19750</v>
      </c>
      <c r="B63380" t="str">
        <f>HYPERLINK("https://lindat.mff.cuni.cz/services/teitok/pdtc10/index.php?action=vallex&amp;frame=v-w7744f1", "všimnout si (v-w7744f1)")</f>
        <v>všimnout si (v-w7744f1)</v>
      </c>
    </row>
    <row r="63381" spans="1:4" x14ac:dyDescent="0.2">
      <c r="B63381" t="s">
        <v>1</v>
      </c>
      <c r="C63381" t="s">
        <v>19751</v>
      </c>
      <c r="D63381" t="s">
        <v>24458</v>
      </c>
    </row>
    <row r="63382" spans="1:4" x14ac:dyDescent="0.2">
      <c r="B63382" t="s">
        <v>10006</v>
      </c>
      <c r="C63382" t="s">
        <v>19752</v>
      </c>
      <c r="D63382" t="s">
        <v>24459</v>
      </c>
    </row>
    <row r="63384" spans="1:4" x14ac:dyDescent="0.2">
      <c r="A63384" t="s">
        <v>19753</v>
      </c>
      <c r="B63384" t="str">
        <f>HYPERLINK("https://lindat.mff.cuni.cz/services/teitok/pdtc10/index.php?action=vallex&amp;frame=v-w7744f2_ZU", "všimnout si (v-w7744f2_ZU)")</f>
        <v>všimnout si (v-w7744f2_ZU)</v>
      </c>
    </row>
    <row r="63385" spans="1:4" x14ac:dyDescent="0.2">
      <c r="B63385" t="s">
        <v>1</v>
      </c>
    </row>
    <row r="63386" spans="1:4" x14ac:dyDescent="0.2">
      <c r="B63386" t="s">
        <v>8</v>
      </c>
    </row>
    <row r="63387" spans="1:4" x14ac:dyDescent="0.2">
      <c r="B63387" t="s">
        <v>19754</v>
      </c>
    </row>
    <row r="63389" spans="1:4" x14ac:dyDescent="0.2">
      <c r="A63389" t="s">
        <v>19753</v>
      </c>
      <c r="B63389" t="str">
        <f>HYPERLINK("https://lindat.mff.cuni.cz/services/teitok/pdtc10/index.php?action=vallex&amp;frame=v-w7744hsa_797", "všimnout si (v-w7744hsa_797) - substituted with v-w7744f2_ZU")</f>
        <v>všimnout si (v-w7744hsa_797) - substituted with v-w7744f2_ZU</v>
      </c>
    </row>
    <row r="63390" spans="1:4" x14ac:dyDescent="0.2">
      <c r="B63390" t="s">
        <v>1</v>
      </c>
    </row>
    <row r="63391" spans="1:4" x14ac:dyDescent="0.2">
      <c r="B63391" t="s">
        <v>8</v>
      </c>
    </row>
    <row r="63392" spans="1:4" x14ac:dyDescent="0.2">
      <c r="B63392" t="s">
        <v>19754</v>
      </c>
    </row>
    <row r="63394" spans="1:4" x14ac:dyDescent="0.2">
      <c r="A63394" t="s">
        <v>19755</v>
      </c>
      <c r="B63394" t="str">
        <f>HYPERLINK("https://lindat.mff.cuni.cz/services/teitok/pdtc10/index.php?action=vallex&amp;frame=v-w7746f1", "vštípit (v-w7746f1)")</f>
        <v>vštípit (v-w7746f1)</v>
      </c>
    </row>
    <row r="63395" spans="1:4" x14ac:dyDescent="0.2">
      <c r="B63395" t="s">
        <v>1</v>
      </c>
    </row>
    <row r="63396" spans="1:4" x14ac:dyDescent="0.2">
      <c r="B63396" t="s">
        <v>1921</v>
      </c>
    </row>
    <row r="63397" spans="1:4" x14ac:dyDescent="0.2">
      <c r="B63397" t="s">
        <v>35</v>
      </c>
    </row>
    <row r="63399" spans="1:4" x14ac:dyDescent="0.2">
      <c r="A63399" t="s">
        <v>19756</v>
      </c>
      <c r="B63399" t="str">
        <f>HYPERLINK("https://lindat.mff.cuni.cz/services/teitok/pdtc10/index.php?action=vallex&amp;frame=v-w7745f1", "vštěpovat (v-w7745f1)")</f>
        <v>vštěpovat (v-w7745f1)</v>
      </c>
    </row>
    <row r="63400" spans="1:4" x14ac:dyDescent="0.2">
      <c r="B63400" t="s">
        <v>1</v>
      </c>
      <c r="D63400" t="s">
        <v>33</v>
      </c>
    </row>
    <row r="63401" spans="1:4" x14ac:dyDescent="0.2">
      <c r="B63401" t="s">
        <v>1921</v>
      </c>
      <c r="D63401" t="s">
        <v>1128</v>
      </c>
    </row>
    <row r="63402" spans="1:4" x14ac:dyDescent="0.2">
      <c r="B63402" t="s">
        <v>35</v>
      </c>
    </row>
    <row r="63404" spans="1:4" x14ac:dyDescent="0.2">
      <c r="A63404" t="s">
        <v>19757</v>
      </c>
      <c r="B63404" t="str">
        <f>HYPERLINK("https://lindat.mff.cuni.cz/services/teitok/pdtc10/index.php?action=vallex&amp;frame=v-w7743f1", "všímat si (v-w7743f1)")</f>
        <v>všímat si (v-w7743f1)</v>
      </c>
    </row>
    <row r="63405" spans="1:4" x14ac:dyDescent="0.2">
      <c r="B63405" t="s">
        <v>1</v>
      </c>
      <c r="C63405" t="s">
        <v>2264</v>
      </c>
      <c r="D63405" t="s">
        <v>24460</v>
      </c>
    </row>
    <row r="63406" spans="1:4" x14ac:dyDescent="0.2">
      <c r="B63406" t="s">
        <v>10006</v>
      </c>
      <c r="C63406" t="s">
        <v>10242</v>
      </c>
      <c r="D63406" t="s">
        <v>44</v>
      </c>
    </row>
    <row r="63408" spans="1:4" x14ac:dyDescent="0.2">
      <c r="A63408" t="s">
        <v>19758</v>
      </c>
      <c r="B63408" t="str">
        <f>HYPERLINK("https://lindat.mff.cuni.cz/services/teitok/pdtc10/index.php?action=vallex&amp;frame=v-w8702f3_ZU", "vžít se (v-w8702f3_ZU)")</f>
        <v>vžít se (v-w8702f3_ZU)</v>
      </c>
    </row>
    <row r="63409" spans="1:2" x14ac:dyDescent="0.2">
      <c r="B63409" t="s">
        <v>1</v>
      </c>
    </row>
    <row r="63410" spans="1:2" x14ac:dyDescent="0.2">
      <c r="B63410" t="s">
        <v>817</v>
      </c>
    </row>
    <row r="63412" spans="1:2" x14ac:dyDescent="0.2">
      <c r="A63412" t="s">
        <v>19758</v>
      </c>
      <c r="B63412" t="str">
        <f>HYPERLINK("https://lindat.mff.cuni.cz/services/teitok/pdtc10/index.php?action=vallex&amp;frame=v-w8702f1", "vžít se (v-w8702f1) - substituted with v-w8702f3_ZU")</f>
        <v>vžít se (v-w8702f1) - substituted with v-w8702f3_ZU</v>
      </c>
    </row>
    <row r="63413" spans="1:2" x14ac:dyDescent="0.2">
      <c r="B63413" t="s">
        <v>1</v>
      </c>
    </row>
    <row r="63414" spans="1:2" x14ac:dyDescent="0.2">
      <c r="B63414" t="s">
        <v>817</v>
      </c>
    </row>
    <row r="63416" spans="1:2" x14ac:dyDescent="0.2">
      <c r="A63416" t="s">
        <v>19759</v>
      </c>
      <c r="B63416" t="str">
        <f>HYPERLINK("https://lindat.mff.cuni.cz/services/teitok/pdtc10/index.php?action=vallex&amp;frame=v-w8702f2", "vžít se (v-w8702f2)")</f>
        <v>vžít se (v-w8702f2)</v>
      </c>
    </row>
    <row r="63417" spans="1:2" x14ac:dyDescent="0.2">
      <c r="B63417" t="s">
        <v>1</v>
      </c>
    </row>
    <row r="63419" spans="1:2" x14ac:dyDescent="0.2">
      <c r="A63419" t="s">
        <v>19760</v>
      </c>
      <c r="B63419" t="str">
        <f>HYPERLINK("https://lindat.mff.cuni.cz/services/teitok/pdtc10/index.php?action=vallex&amp;frame=v-w8703f3_ZU", "zabalit (v-w8703f3_ZU)")</f>
        <v>zabalit (v-w8703f3_ZU)</v>
      </c>
    </row>
    <row r="63420" spans="1:2" x14ac:dyDescent="0.2">
      <c r="B63420" t="s">
        <v>1</v>
      </c>
    </row>
    <row r="63421" spans="1:2" x14ac:dyDescent="0.2">
      <c r="B63421" t="s">
        <v>8</v>
      </c>
    </row>
    <row r="63422" spans="1:2" x14ac:dyDescent="0.2">
      <c r="B63422" t="s">
        <v>130</v>
      </c>
    </row>
    <row r="63424" spans="1:2" x14ac:dyDescent="0.2">
      <c r="A63424" t="s">
        <v>19760</v>
      </c>
      <c r="B63424" t="str">
        <f>HYPERLINK("https://lindat.mff.cuni.cz/services/teitok/pdtc10/index.php?action=vallex&amp;frame=v-w8703f2", "zabalit (v-w8703f2) - substituted with v-w8703f3_ZU")</f>
        <v>zabalit (v-w8703f2) - substituted with v-w8703f3_ZU</v>
      </c>
    </row>
    <row r="63425" spans="1:4" x14ac:dyDescent="0.2">
      <c r="B63425" t="s">
        <v>1</v>
      </c>
      <c r="C63425" t="s">
        <v>249</v>
      </c>
      <c r="D63425" t="s">
        <v>80</v>
      </c>
    </row>
    <row r="63426" spans="1:4" x14ac:dyDescent="0.2">
      <c r="B63426" t="s">
        <v>8</v>
      </c>
      <c r="C63426" t="s">
        <v>8366</v>
      </c>
      <c r="D63426" t="s">
        <v>22227</v>
      </c>
    </row>
    <row r="63427" spans="1:4" x14ac:dyDescent="0.2">
      <c r="B63427" t="s">
        <v>130</v>
      </c>
      <c r="C63427" t="s">
        <v>1290</v>
      </c>
    </row>
    <row r="63429" spans="1:4" x14ac:dyDescent="0.2">
      <c r="A63429" t="s">
        <v>19761</v>
      </c>
      <c r="B63429" t="str">
        <f>HYPERLINK("https://lindat.mff.cuni.cz/services/teitok/pdtc10/index.php?action=vallex&amp;frame=v-w8703f1", "zabalit (v-w8703f1)")</f>
        <v>zabalit (v-w8703f1)</v>
      </c>
    </row>
    <row r="63430" spans="1:4" x14ac:dyDescent="0.2">
      <c r="B63430" t="s">
        <v>1</v>
      </c>
    </row>
    <row r="63431" spans="1:4" x14ac:dyDescent="0.2">
      <c r="B63431" t="s">
        <v>8</v>
      </c>
    </row>
    <row r="63433" spans="1:4" x14ac:dyDescent="0.2">
      <c r="A63433" t="s">
        <v>19762</v>
      </c>
      <c r="B63433" t="str">
        <f>HYPERLINK("https://lindat.mff.cuni.cz/services/teitok/pdtc10/index.php?action=vallex&amp;frame=v-w8704f1", "zabarikádovat (v-w8704f1)")</f>
        <v>zabarikádovat (v-w8704f1)</v>
      </c>
    </row>
    <row r="63434" spans="1:4" x14ac:dyDescent="0.2">
      <c r="B63434" t="s">
        <v>1</v>
      </c>
    </row>
    <row r="63435" spans="1:4" x14ac:dyDescent="0.2">
      <c r="B63435" t="s">
        <v>3199</v>
      </c>
    </row>
    <row r="63436" spans="1:4" x14ac:dyDescent="0.2">
      <c r="B63436" t="s">
        <v>3200</v>
      </c>
    </row>
    <row r="63438" spans="1:4" x14ac:dyDescent="0.2">
      <c r="A63438" t="s">
        <v>19763</v>
      </c>
      <c r="B63438" t="str">
        <f>HYPERLINK("https://lindat.mff.cuni.cz/services/teitok/pdtc10/index.php?action=vallex&amp;frame=v-w8706f1", "zabarvit (v-w8706f1)")</f>
        <v>zabarvit (v-w8706f1)</v>
      </c>
    </row>
    <row r="63439" spans="1:4" x14ac:dyDescent="0.2">
      <c r="B63439" t="s">
        <v>1</v>
      </c>
      <c r="C63439" t="s">
        <v>33</v>
      </c>
    </row>
    <row r="63440" spans="1:4" x14ac:dyDescent="0.2">
      <c r="B63440" t="s">
        <v>8</v>
      </c>
      <c r="C63440" t="s">
        <v>34</v>
      </c>
    </row>
    <row r="63441" spans="1:4" x14ac:dyDescent="0.2">
      <c r="B63441" t="s">
        <v>507</v>
      </c>
    </row>
    <row r="63443" spans="1:4" x14ac:dyDescent="0.2">
      <c r="A63443" t="s">
        <v>19764</v>
      </c>
      <c r="B63443" t="str">
        <f>HYPERLINK("https://lindat.mff.cuni.cz/services/teitok/pdtc10/index.php?action=vallex&amp;frame=v-w8706f2", "zabarvit (v-w8706f2)")</f>
        <v>zabarvit (v-w8706f2)</v>
      </c>
    </row>
    <row r="63444" spans="1:4" x14ac:dyDescent="0.2">
      <c r="B63444" t="s">
        <v>1</v>
      </c>
    </row>
    <row r="63445" spans="1:4" x14ac:dyDescent="0.2">
      <c r="B63445" t="s">
        <v>8</v>
      </c>
    </row>
    <row r="63447" spans="1:4" x14ac:dyDescent="0.2">
      <c r="A63447" t="s">
        <v>19765</v>
      </c>
      <c r="B63447" t="str">
        <f>HYPERLINK("https://lindat.mff.cuni.cz/services/teitok/pdtc10/index.php?action=vallex&amp;frame=v-w8708f1", "zabavit (v-w8708f1)")</f>
        <v>zabavit (v-w8708f1)</v>
      </c>
    </row>
    <row r="63448" spans="1:4" x14ac:dyDescent="0.2">
      <c r="B63448" t="s">
        <v>1</v>
      </c>
      <c r="C63448" t="s">
        <v>1805</v>
      </c>
      <c r="D63448" t="s">
        <v>2571</v>
      </c>
    </row>
    <row r="63449" spans="1:4" x14ac:dyDescent="0.2">
      <c r="B63449" t="s">
        <v>8</v>
      </c>
      <c r="C63449" t="s">
        <v>3324</v>
      </c>
      <c r="D63449" t="s">
        <v>1996</v>
      </c>
    </row>
    <row r="63450" spans="1:4" x14ac:dyDescent="0.2">
      <c r="B63450" t="s">
        <v>4116</v>
      </c>
      <c r="C63450" t="s">
        <v>5846</v>
      </c>
      <c r="D63450" t="s">
        <v>23414</v>
      </c>
    </row>
    <row r="63452" spans="1:4" x14ac:dyDescent="0.2">
      <c r="A63452" t="s">
        <v>19766</v>
      </c>
      <c r="B63452" t="str">
        <f>HYPERLINK("https://lindat.mff.cuni.cz/services/teitok/pdtc10/index.php?action=vallex&amp;frame=v-w8708f2_ZU", "zabavit (v-w8708f2_ZU)")</f>
        <v>zabavit (v-w8708f2_ZU)</v>
      </c>
    </row>
    <row r="63453" spans="1:4" x14ac:dyDescent="0.2">
      <c r="B63453" t="s">
        <v>1</v>
      </c>
    </row>
    <row r="63454" spans="1:4" x14ac:dyDescent="0.2">
      <c r="B63454" t="s">
        <v>8</v>
      </c>
    </row>
    <row r="63456" spans="1:4" x14ac:dyDescent="0.2">
      <c r="A63456" t="s">
        <v>19767</v>
      </c>
      <c r="B63456" t="str">
        <f>HYPERLINK("https://lindat.mff.cuni.cz/services/teitok/pdtc10/index.php?action=vallex&amp;frame=v-whsa_1808hsa_1809", "zabavit se (v-whsa_1808hsa_1809)")</f>
        <v>zabavit se (v-whsa_1808hsa_1809)</v>
      </c>
    </row>
    <row r="63457" spans="1:4" x14ac:dyDescent="0.2">
      <c r="B63457" t="s">
        <v>1</v>
      </c>
    </row>
    <row r="63459" spans="1:4" x14ac:dyDescent="0.2">
      <c r="A63459" t="s">
        <v>19768</v>
      </c>
      <c r="B63459" t="str">
        <f>HYPERLINK("https://lindat.mff.cuni.cz/services/teitok/pdtc10/index.php?action=vallex&amp;frame=v-w8709f1", "zabavovat (v-w8709f1)")</f>
        <v>zabavovat (v-w8709f1)</v>
      </c>
    </row>
    <row r="63460" spans="1:4" x14ac:dyDescent="0.2">
      <c r="B63460" t="s">
        <v>1</v>
      </c>
      <c r="C63460" t="s">
        <v>1065</v>
      </c>
      <c r="D63460" t="s">
        <v>2571</v>
      </c>
    </row>
    <row r="63461" spans="1:4" x14ac:dyDescent="0.2">
      <c r="B63461" t="s">
        <v>8</v>
      </c>
      <c r="C63461" t="s">
        <v>11355</v>
      </c>
      <c r="D63461" t="s">
        <v>1996</v>
      </c>
    </row>
    <row r="63463" spans="1:4" x14ac:dyDescent="0.2">
      <c r="A63463" t="s">
        <v>19769</v>
      </c>
      <c r="B63463" t="str">
        <f>HYPERLINK("https://lindat.mff.cuni.cz/services/teitok/pdtc10/index.php?action=vallex&amp;frame=v-w11702_ZUf1_ZU", "zabavovat se (v-w11702_ZUf1_ZU)")</f>
        <v>zabavovat se (v-w11702_ZUf1_ZU)</v>
      </c>
    </row>
    <row r="63464" spans="1:4" x14ac:dyDescent="0.2">
      <c r="B63464" t="s">
        <v>1</v>
      </c>
    </row>
    <row r="63466" spans="1:4" x14ac:dyDescent="0.2">
      <c r="A63466" t="s">
        <v>19770</v>
      </c>
      <c r="B63466" t="str">
        <f>HYPERLINK("https://lindat.mff.cuni.cz/services/teitok/pdtc10/index.php?action=vallex&amp;frame=v-w11867_ZUf1_ZU", "zabednit (v-w11867_ZUf1_ZU)")</f>
        <v>zabednit (v-w11867_ZUf1_ZU)</v>
      </c>
    </row>
    <row r="63467" spans="1:4" x14ac:dyDescent="0.2">
      <c r="B63467" t="s">
        <v>1</v>
      </c>
    </row>
    <row r="63468" spans="1:4" x14ac:dyDescent="0.2">
      <c r="B63468" t="s">
        <v>8</v>
      </c>
    </row>
    <row r="63470" spans="1:4" x14ac:dyDescent="0.2">
      <c r="A63470" t="s">
        <v>19771</v>
      </c>
      <c r="B63470" t="str">
        <f>HYPERLINK("https://lindat.mff.cuni.cz/services/teitok/pdtc10/index.php?action=vallex&amp;frame=v-w8713f1", "zabetonovat (v-w8713f1)")</f>
        <v>zabetonovat (v-w8713f1)</v>
      </c>
    </row>
    <row r="63471" spans="1:4" x14ac:dyDescent="0.2">
      <c r="B63471" t="s">
        <v>1</v>
      </c>
    </row>
    <row r="63472" spans="1:4" x14ac:dyDescent="0.2">
      <c r="B63472" t="s">
        <v>8</v>
      </c>
    </row>
    <row r="63474" spans="1:2" x14ac:dyDescent="0.2">
      <c r="A63474" t="s">
        <v>19772</v>
      </c>
      <c r="B63474" t="str">
        <f>HYPERLINK("https://lindat.mff.cuni.cz/services/teitok/pdtc10/index.php?action=vallex&amp;frame=v-w8713f2", "zabetonovat (v-w8713f2)")</f>
        <v>zabetonovat (v-w8713f2)</v>
      </c>
    </row>
    <row r="63475" spans="1:2" x14ac:dyDescent="0.2">
      <c r="B63475" t="s">
        <v>1</v>
      </c>
    </row>
    <row r="63476" spans="1:2" x14ac:dyDescent="0.2">
      <c r="B63476" t="s">
        <v>8</v>
      </c>
    </row>
    <row r="63478" spans="1:2" x14ac:dyDescent="0.2">
      <c r="A63478" t="s">
        <v>19773</v>
      </c>
      <c r="B63478" t="str">
        <f>HYPERLINK("https://lindat.mff.cuni.cz/services/teitok/pdtc10/index.php?action=vallex&amp;frame=v-w8713f3", "zabetonovat (v-w8713f3)")</f>
        <v>zabetonovat (v-w8713f3)</v>
      </c>
    </row>
    <row r="63479" spans="1:2" x14ac:dyDescent="0.2">
      <c r="B63479" t="s">
        <v>1</v>
      </c>
    </row>
    <row r="63480" spans="1:2" x14ac:dyDescent="0.2">
      <c r="B63480" t="s">
        <v>8</v>
      </c>
    </row>
    <row r="63482" spans="1:2" x14ac:dyDescent="0.2">
      <c r="A63482" t="s">
        <v>19774</v>
      </c>
      <c r="B63482" t="str">
        <f>HYPERLINK("https://lindat.mff.cuni.cz/services/teitok/pdtc10/index.php?action=vallex&amp;frame=v-w8715f3_ZU", "zabezpečit (v-w8715f3_ZU)")</f>
        <v>zabezpečit (v-w8715f3_ZU)</v>
      </c>
    </row>
    <row r="63483" spans="1:2" x14ac:dyDescent="0.2">
      <c r="B63483" t="s">
        <v>1</v>
      </c>
    </row>
    <row r="63484" spans="1:2" x14ac:dyDescent="0.2">
      <c r="B63484" t="s">
        <v>8</v>
      </c>
    </row>
    <row r="63485" spans="1:2" x14ac:dyDescent="0.2">
      <c r="B63485" t="s">
        <v>308</v>
      </c>
    </row>
    <row r="63487" spans="1:2" x14ac:dyDescent="0.2">
      <c r="A63487" t="s">
        <v>19774</v>
      </c>
      <c r="B63487" t="str">
        <f>HYPERLINK("https://lindat.mff.cuni.cz/services/teitok/pdtc10/index.php?action=vallex&amp;frame=v-w8715f2", "zabezpečit (v-w8715f2) - substituted with v-w8715f3_ZU")</f>
        <v>zabezpečit (v-w8715f2) - substituted with v-w8715f3_ZU</v>
      </c>
    </row>
    <row r="63488" spans="1:2" x14ac:dyDescent="0.2">
      <c r="B63488" t="s">
        <v>1</v>
      </c>
    </row>
    <row r="63489" spans="1:4" x14ac:dyDescent="0.2">
      <c r="B63489" t="s">
        <v>8</v>
      </c>
      <c r="C63489" t="s">
        <v>6585</v>
      </c>
    </row>
    <row r="63490" spans="1:4" x14ac:dyDescent="0.2">
      <c r="B63490" t="s">
        <v>308</v>
      </c>
    </row>
    <row r="63492" spans="1:4" x14ac:dyDescent="0.2">
      <c r="A63492" t="s">
        <v>19775</v>
      </c>
      <c r="B63492" t="str">
        <f>HYPERLINK("https://lindat.mff.cuni.cz/services/teitok/pdtc10/index.php?action=vallex&amp;frame=v-w8715f1", "zabezpečit (v-w8715f1)")</f>
        <v>zabezpečit (v-w8715f1)</v>
      </c>
    </row>
    <row r="63493" spans="1:4" x14ac:dyDescent="0.2">
      <c r="B63493" t="s">
        <v>1</v>
      </c>
      <c r="C63493" t="s">
        <v>5817</v>
      </c>
      <c r="D63493" t="s">
        <v>3081</v>
      </c>
    </row>
    <row r="63494" spans="1:4" x14ac:dyDescent="0.2">
      <c r="B63494" t="s">
        <v>5970</v>
      </c>
      <c r="C63494" t="s">
        <v>34</v>
      </c>
      <c r="D63494" t="s">
        <v>23630</v>
      </c>
    </row>
    <row r="63496" spans="1:4" x14ac:dyDescent="0.2">
      <c r="A63496" t="s">
        <v>19776</v>
      </c>
      <c r="B63496" t="str">
        <f>HYPERLINK("https://lindat.mff.cuni.cz/services/teitok/pdtc10/index.php?action=vallex&amp;frame=v-w8717f2", "zabezpečovat (v-w8717f2)")</f>
        <v>zabezpečovat (v-w8717f2)</v>
      </c>
    </row>
    <row r="63497" spans="1:4" x14ac:dyDescent="0.2">
      <c r="B63497" t="s">
        <v>1</v>
      </c>
    </row>
    <row r="63498" spans="1:4" x14ac:dyDescent="0.2">
      <c r="B63498" t="s">
        <v>8</v>
      </c>
    </row>
    <row r="63499" spans="1:4" x14ac:dyDescent="0.2">
      <c r="B63499" t="s">
        <v>308</v>
      </c>
    </row>
    <row r="63501" spans="1:4" x14ac:dyDescent="0.2">
      <c r="A63501" t="s">
        <v>19777</v>
      </c>
      <c r="B63501" t="str">
        <f>HYPERLINK("https://lindat.mff.cuni.cz/services/teitok/pdtc10/index.php?action=vallex&amp;frame=v-w8717f1", "zabezpečovat (v-w8717f1)")</f>
        <v>zabezpečovat (v-w8717f1)</v>
      </c>
    </row>
    <row r="63502" spans="1:4" x14ac:dyDescent="0.2">
      <c r="B63502" t="s">
        <v>1</v>
      </c>
      <c r="D63502" t="s">
        <v>3081</v>
      </c>
    </row>
    <row r="63503" spans="1:4" x14ac:dyDescent="0.2">
      <c r="B63503" t="s">
        <v>41</v>
      </c>
      <c r="D63503" t="s">
        <v>23630</v>
      </c>
    </row>
    <row r="63505" spans="1:4" x14ac:dyDescent="0.2">
      <c r="A63505" t="s">
        <v>19778</v>
      </c>
      <c r="B63505" t="str">
        <f>HYPERLINK("https://lindat.mff.cuni.cz/services/teitok/pdtc10/index.php?action=vallex&amp;frame=v-w8727f1", "zablokovat (v-w8727f1)")</f>
        <v>zablokovat (v-w8727f1)</v>
      </c>
    </row>
    <row r="63506" spans="1:4" x14ac:dyDescent="0.2">
      <c r="B63506" t="s">
        <v>1</v>
      </c>
      <c r="C63506" t="s">
        <v>19779</v>
      </c>
      <c r="D63506" t="s">
        <v>133</v>
      </c>
    </row>
    <row r="63507" spans="1:4" x14ac:dyDescent="0.2">
      <c r="B63507" t="s">
        <v>8</v>
      </c>
      <c r="C63507" t="s">
        <v>19780</v>
      </c>
      <c r="D63507" t="s">
        <v>34</v>
      </c>
    </row>
    <row r="63509" spans="1:4" x14ac:dyDescent="0.2">
      <c r="A63509" t="s">
        <v>19781</v>
      </c>
      <c r="B63509" t="str">
        <f>HYPERLINK("https://lindat.mff.cuni.cz/services/teitok/pdtc10/index.php?action=vallex&amp;frame=v-w8727hsa_935", "zablokovat (v-w8727hsa_935)")</f>
        <v>zablokovat (v-w8727hsa_935)</v>
      </c>
    </row>
    <row r="63510" spans="1:4" x14ac:dyDescent="0.2">
      <c r="B63510" t="s">
        <v>1</v>
      </c>
      <c r="C63510" t="s">
        <v>19782</v>
      </c>
      <c r="D63510" t="s">
        <v>22980</v>
      </c>
    </row>
    <row r="63511" spans="1:4" x14ac:dyDescent="0.2">
      <c r="B63511" t="s">
        <v>8</v>
      </c>
      <c r="C63511" t="s">
        <v>189</v>
      </c>
      <c r="D63511" t="s">
        <v>22981</v>
      </c>
    </row>
    <row r="63513" spans="1:4" x14ac:dyDescent="0.2">
      <c r="A63513" t="s">
        <v>19783</v>
      </c>
      <c r="B63513" t="str">
        <f>HYPERLINK("https://lindat.mff.cuni.cz/services/teitok/pdtc10/index.php?action=vallex&amp;frame=v-w8728f1", "zablokovat se (v-w8728f1)")</f>
        <v>zablokovat se (v-w8728f1)</v>
      </c>
    </row>
    <row r="63514" spans="1:4" x14ac:dyDescent="0.2">
      <c r="B63514" t="s">
        <v>1</v>
      </c>
    </row>
    <row r="63516" spans="1:4" x14ac:dyDescent="0.2">
      <c r="A63516" t="s">
        <v>19784</v>
      </c>
      <c r="B63516" t="str">
        <f>HYPERLINK("https://lindat.mff.cuni.cz/services/teitok/pdtc10/index.php?action=vallex&amp;frame=v-w8729f1", "zabloudit (v-w8729f1)")</f>
        <v>zabloudit (v-w8729f1)</v>
      </c>
    </row>
    <row r="63517" spans="1:4" x14ac:dyDescent="0.2">
      <c r="B63517" t="s">
        <v>1</v>
      </c>
    </row>
    <row r="63519" spans="1:4" x14ac:dyDescent="0.2">
      <c r="A63519" t="s">
        <v>19785</v>
      </c>
      <c r="B63519" t="str">
        <f>HYPERLINK("https://lindat.mff.cuni.cz/services/teitok/pdtc10/index.php?action=vallex&amp;frame=v-w8725f1", "zablátit (v-w8725f1)")</f>
        <v>zablátit (v-w8725f1)</v>
      </c>
    </row>
    <row r="63520" spans="1:4" x14ac:dyDescent="0.2">
      <c r="B63520" t="s">
        <v>1</v>
      </c>
    </row>
    <row r="63521" spans="1:3" x14ac:dyDescent="0.2">
      <c r="B63521" t="s">
        <v>8</v>
      </c>
    </row>
    <row r="63523" spans="1:3" x14ac:dyDescent="0.2">
      <c r="A63523" t="s">
        <v>19786</v>
      </c>
      <c r="B63523" t="str">
        <f>HYPERLINK("https://lindat.mff.cuni.cz/services/teitok/pdtc10/index.php?action=vallex&amp;frame=v-w10089f2", "zablýskat (v-w10089f2)")</f>
        <v>zablýskat (v-w10089f2)</v>
      </c>
    </row>
    <row r="63524" spans="1:3" x14ac:dyDescent="0.2">
      <c r="B63524" t="s">
        <v>1</v>
      </c>
      <c r="C63524" t="s">
        <v>140</v>
      </c>
    </row>
    <row r="63525" spans="1:3" x14ac:dyDescent="0.2">
      <c r="B63525" t="s">
        <v>158</v>
      </c>
      <c r="C63525" t="s">
        <v>113</v>
      </c>
    </row>
    <row r="63527" spans="1:3" x14ac:dyDescent="0.2">
      <c r="A63527" t="s">
        <v>19787</v>
      </c>
      <c r="B63527" t="str">
        <f>HYPERLINK("https://lindat.mff.cuni.cz/services/teitok/pdtc10/index.php?action=vallex&amp;frame=v-w8730f1", "zabodnout (v-w8730f1)")</f>
        <v>zabodnout (v-w8730f1)</v>
      </c>
    </row>
    <row r="63528" spans="1:3" x14ac:dyDescent="0.2">
      <c r="B63528" t="s">
        <v>1</v>
      </c>
    </row>
    <row r="63529" spans="1:3" x14ac:dyDescent="0.2">
      <c r="B63529" t="s">
        <v>8</v>
      </c>
    </row>
    <row r="63530" spans="1:3" x14ac:dyDescent="0.2">
      <c r="B63530" t="s">
        <v>5</v>
      </c>
    </row>
    <row r="63532" spans="1:3" x14ac:dyDescent="0.2">
      <c r="A63532" t="s">
        <v>19788</v>
      </c>
      <c r="B63532" t="str">
        <f>HYPERLINK("https://lindat.mff.cuni.cz/services/teitok/pdtc10/index.php?action=vallex&amp;frame=v-w8730f2", "zabodnout (v-w8730f2)")</f>
        <v>zabodnout (v-w8730f2)</v>
      </c>
    </row>
    <row r="63533" spans="1:3" x14ac:dyDescent="0.2">
      <c r="B63533" t="s">
        <v>1</v>
      </c>
    </row>
    <row r="63534" spans="1:3" x14ac:dyDescent="0.2">
      <c r="B63534" t="s">
        <v>8</v>
      </c>
    </row>
    <row r="63535" spans="1:3" x14ac:dyDescent="0.2">
      <c r="B63535" t="s">
        <v>90</v>
      </c>
    </row>
    <row r="63537" spans="1:2" x14ac:dyDescent="0.2">
      <c r="A63537" t="s">
        <v>19789</v>
      </c>
      <c r="B63537" t="str">
        <f>HYPERLINK("https://lindat.mff.cuni.cz/services/teitok/pdtc10/index.php?action=vallex&amp;frame=v-w8731f1", "zabodovat (v-w8731f1)")</f>
        <v>zabodovat (v-w8731f1)</v>
      </c>
    </row>
    <row r="63538" spans="1:2" x14ac:dyDescent="0.2">
      <c r="B63538" t="s">
        <v>1</v>
      </c>
    </row>
    <row r="63539" spans="1:2" x14ac:dyDescent="0.2">
      <c r="B63539" t="s">
        <v>223</v>
      </c>
    </row>
    <row r="63541" spans="1:2" x14ac:dyDescent="0.2">
      <c r="A63541" t="s">
        <v>19790</v>
      </c>
      <c r="B63541" t="str">
        <f>HYPERLINK("https://lindat.mff.cuni.cz/services/teitok/pdtc10/index.php?action=vallex&amp;frame=v-w11796_ZUf1_ZU", "zabolet (v-w11796_ZUf1_ZU)")</f>
        <v>zabolet (v-w11796_ZUf1_ZU)</v>
      </c>
    </row>
    <row r="63542" spans="1:2" x14ac:dyDescent="0.2">
      <c r="B63542" t="s">
        <v>146</v>
      </c>
    </row>
    <row r="63543" spans="1:2" x14ac:dyDescent="0.2">
      <c r="B63543" t="s">
        <v>3028</v>
      </c>
    </row>
    <row r="63545" spans="1:2" x14ac:dyDescent="0.2">
      <c r="A63545" t="s">
        <v>19791</v>
      </c>
      <c r="B63545" t="str">
        <f>HYPERLINK("https://lindat.mff.cuni.cz/services/teitok/pdtc10/index.php?action=vallex&amp;frame=v-w12002_ZUf2_ZU", "zabouchat (v-w12002_ZUf2_ZU)")</f>
        <v>zabouchat (v-w12002_ZUf2_ZU)</v>
      </c>
    </row>
    <row r="63546" spans="1:2" x14ac:dyDescent="0.2">
      <c r="B63546" t="s">
        <v>1</v>
      </c>
    </row>
    <row r="63547" spans="1:2" x14ac:dyDescent="0.2">
      <c r="B63547" t="s">
        <v>252</v>
      </c>
    </row>
    <row r="63549" spans="1:2" x14ac:dyDescent="0.2">
      <c r="A63549" t="s">
        <v>19791</v>
      </c>
      <c r="B63549" t="str">
        <f>HYPERLINK("https://lindat.mff.cuni.cz/services/teitok/pdtc10/index.php?action=vallex&amp;frame=v-w12002_ZUf1_ZU", "zabouchat (v-w12002_ZUf1_ZU) - substituted with v-w12002_ZUf2_ZU")</f>
        <v>zabouchat (v-w12002_ZUf1_ZU) - substituted with v-w12002_ZUf2_ZU</v>
      </c>
    </row>
    <row r="63550" spans="1:2" x14ac:dyDescent="0.2">
      <c r="B63550" t="s">
        <v>1</v>
      </c>
    </row>
    <row r="63551" spans="1:2" x14ac:dyDescent="0.2">
      <c r="B63551" t="s">
        <v>252</v>
      </c>
    </row>
    <row r="63553" spans="1:3" x14ac:dyDescent="0.2">
      <c r="A63553" t="s">
        <v>19792</v>
      </c>
      <c r="B63553" t="str">
        <f>HYPERLINK("https://lindat.mff.cuni.cz/services/teitok/pdtc10/index.php?action=vallex&amp;frame=v-w8734f1", "zabouchnout (v-w8734f1)")</f>
        <v>zabouchnout (v-w8734f1)</v>
      </c>
    </row>
    <row r="63554" spans="1:3" x14ac:dyDescent="0.2">
      <c r="B63554" t="s">
        <v>1</v>
      </c>
    </row>
    <row r="63555" spans="1:3" x14ac:dyDescent="0.2">
      <c r="B63555" t="s">
        <v>8</v>
      </c>
    </row>
    <row r="63557" spans="1:3" x14ac:dyDescent="0.2">
      <c r="A63557" t="s">
        <v>19793</v>
      </c>
      <c r="B63557" t="str">
        <f>HYPERLINK("https://lindat.mff.cuni.cz/services/teitok/pdtc10/index.php?action=vallex&amp;frame=v-w11302f1", "zabouchnout se (v-w11302f1)")</f>
        <v>zabouchnout se (v-w11302f1)</v>
      </c>
    </row>
    <row r="63558" spans="1:3" x14ac:dyDescent="0.2">
      <c r="B63558" t="s">
        <v>1</v>
      </c>
    </row>
    <row r="63560" spans="1:3" x14ac:dyDescent="0.2">
      <c r="A63560" t="s">
        <v>19794</v>
      </c>
      <c r="B63560" t="str">
        <f>HYPERLINK("https://lindat.mff.cuni.cz/services/teitok/pdtc10/index.php?action=vallex&amp;frame=v-w8733f1", "zabořit (v-w8733f1)")</f>
        <v>zabořit (v-w8733f1)</v>
      </c>
    </row>
    <row r="63561" spans="1:3" x14ac:dyDescent="0.2">
      <c r="B63561" t="s">
        <v>1</v>
      </c>
    </row>
    <row r="63562" spans="1:3" x14ac:dyDescent="0.2">
      <c r="B63562" t="s">
        <v>8</v>
      </c>
    </row>
    <row r="63563" spans="1:3" x14ac:dyDescent="0.2">
      <c r="B63563" t="s">
        <v>90</v>
      </c>
    </row>
    <row r="63565" spans="1:3" x14ac:dyDescent="0.2">
      <c r="A63565" t="s">
        <v>19795</v>
      </c>
      <c r="B63565" t="str">
        <f>HYPERLINK("https://lindat.mff.cuni.cz/services/teitok/pdtc10/index.php?action=vallex&amp;frame=v-w8738f1", "zabrat (v-w8738f1)")</f>
        <v>zabrat (v-w8738f1)</v>
      </c>
    </row>
    <row r="63566" spans="1:3" x14ac:dyDescent="0.2">
      <c r="B63566" t="s">
        <v>1</v>
      </c>
      <c r="C63566" t="s">
        <v>19796</v>
      </c>
    </row>
    <row r="63567" spans="1:3" x14ac:dyDescent="0.2">
      <c r="B63567" t="s">
        <v>8</v>
      </c>
      <c r="C63567" t="s">
        <v>5993</v>
      </c>
    </row>
    <row r="63568" spans="1:3" x14ac:dyDescent="0.2">
      <c r="B63568" t="s">
        <v>4116</v>
      </c>
    </row>
    <row r="63570" spans="1:4" x14ac:dyDescent="0.2">
      <c r="A63570" t="s">
        <v>19797</v>
      </c>
      <c r="B63570" t="str">
        <f>HYPERLINK("https://lindat.mff.cuni.cz/services/teitok/pdtc10/index.php?action=vallex&amp;frame=v-w8738hsa_46", "zabrat (v-w8738hsa_46)")</f>
        <v>zabrat (v-w8738hsa_46)</v>
      </c>
    </row>
    <row r="63571" spans="1:4" x14ac:dyDescent="0.2">
      <c r="B63571" t="s">
        <v>19798</v>
      </c>
      <c r="C63571" t="s">
        <v>19799</v>
      </c>
      <c r="D63571" t="s">
        <v>24238</v>
      </c>
    </row>
    <row r="63572" spans="1:4" x14ac:dyDescent="0.2">
      <c r="B63572" t="s">
        <v>8</v>
      </c>
      <c r="C63572" t="s">
        <v>6566</v>
      </c>
      <c r="D63572" t="s">
        <v>7725</v>
      </c>
    </row>
    <row r="63574" spans="1:4" x14ac:dyDescent="0.2">
      <c r="A63574" t="s">
        <v>19797</v>
      </c>
      <c r="B63574" t="str">
        <f>HYPERLINK("https://lindat.mff.cuni.cz/services/teitok/pdtc10/index.php?action=vallex&amp;frame=v-w8738f4", "zabrat (v-w8738f4) - substituted with v-w8738hsa_46")</f>
        <v>zabrat (v-w8738f4) - substituted with v-w8738hsa_46</v>
      </c>
    </row>
    <row r="63575" spans="1:4" x14ac:dyDescent="0.2">
      <c r="B63575" t="s">
        <v>19798</v>
      </c>
      <c r="C63575" t="s">
        <v>19800</v>
      </c>
    </row>
    <row r="63576" spans="1:4" x14ac:dyDescent="0.2">
      <c r="B63576" t="s">
        <v>8</v>
      </c>
      <c r="C63576" t="s">
        <v>19801</v>
      </c>
    </row>
    <row r="63578" spans="1:4" x14ac:dyDescent="0.2">
      <c r="A63578" t="s">
        <v>19802</v>
      </c>
      <c r="B63578" t="str">
        <f>HYPERLINK("https://lindat.mff.cuni.cz/services/teitok/pdtc10/index.php?action=vallex&amp;frame=v-w8738f7", "zabrat (v-w8738f7)")</f>
        <v>zabrat (v-w8738f7)</v>
      </c>
    </row>
    <row r="63579" spans="1:4" x14ac:dyDescent="0.2">
      <c r="B63579" t="s">
        <v>1</v>
      </c>
    </row>
    <row r="63580" spans="1:4" x14ac:dyDescent="0.2">
      <c r="B63580" t="s">
        <v>8</v>
      </c>
    </row>
    <row r="63582" spans="1:4" x14ac:dyDescent="0.2">
      <c r="A63582" t="s">
        <v>19803</v>
      </c>
      <c r="B63582" t="str">
        <f>HYPERLINK("https://lindat.mff.cuni.cz/services/teitok/pdtc10/index.php?action=vallex&amp;frame=v-w8738f3", "zabrat (v-w8738f3)")</f>
        <v>zabrat (v-w8738f3)</v>
      </c>
    </row>
    <row r="63583" spans="1:4" x14ac:dyDescent="0.2">
      <c r="B63583" t="s">
        <v>1</v>
      </c>
    </row>
    <row r="63584" spans="1:4" x14ac:dyDescent="0.2">
      <c r="B63584" t="s">
        <v>28</v>
      </c>
    </row>
    <row r="63586" spans="1:4" x14ac:dyDescent="0.2">
      <c r="A63586" t="s">
        <v>19804</v>
      </c>
      <c r="B63586" t="str">
        <f>HYPERLINK("https://lindat.mff.cuni.cz/services/teitok/pdtc10/index.php?action=vallex&amp;frame=v-w8738f8_ZU", "zabrat (v-w8738f8_ZU)")</f>
        <v>zabrat (v-w8738f8_ZU)</v>
      </c>
    </row>
    <row r="63587" spans="1:4" x14ac:dyDescent="0.2">
      <c r="B63587" t="s">
        <v>1</v>
      </c>
      <c r="C63587" t="s">
        <v>18422</v>
      </c>
    </row>
    <row r="63588" spans="1:4" x14ac:dyDescent="0.2">
      <c r="B63588" t="s">
        <v>8</v>
      </c>
      <c r="C63588" t="s">
        <v>1109</v>
      </c>
    </row>
    <row r="63590" spans="1:4" x14ac:dyDescent="0.2">
      <c r="A63590" t="s">
        <v>19805</v>
      </c>
      <c r="B63590" t="str">
        <f>HYPERLINK("https://lindat.mff.cuni.cz/services/teitok/pdtc10/index.php?action=vallex&amp;frame=v-w8738f2", "zabrat (v-w8738f2)")</f>
        <v>zabrat (v-w8738f2)</v>
      </c>
    </row>
    <row r="63591" spans="1:4" x14ac:dyDescent="0.2">
      <c r="B63591" t="s">
        <v>1</v>
      </c>
    </row>
    <row r="63593" spans="1:4" x14ac:dyDescent="0.2">
      <c r="A63593" t="s">
        <v>19806</v>
      </c>
      <c r="B63593" t="str">
        <f>HYPERLINK("https://lindat.mff.cuni.cz/services/teitok/pdtc10/index.php?action=vallex&amp;frame=v-w8738f5", "zabrat (v-w8738f5)")</f>
        <v>zabrat (v-w8738f5)</v>
      </c>
    </row>
    <row r="63594" spans="1:4" x14ac:dyDescent="0.2">
      <c r="B63594" t="s">
        <v>1</v>
      </c>
      <c r="C63594" t="s">
        <v>19807</v>
      </c>
      <c r="D63594" t="s">
        <v>23034</v>
      </c>
    </row>
    <row r="63596" spans="1:4" x14ac:dyDescent="0.2">
      <c r="A63596" t="s">
        <v>19808</v>
      </c>
      <c r="B63596" t="str">
        <f>HYPERLINK("https://lindat.mff.cuni.cz/services/teitok/pdtc10/index.php?action=vallex&amp;frame=v-w8738f6", "zabrat (v-w8738f6)")</f>
        <v>zabrat (v-w8738f6)</v>
      </c>
    </row>
    <row r="63597" spans="1:4" x14ac:dyDescent="0.2">
      <c r="B63597" t="s">
        <v>1</v>
      </c>
    </row>
    <row r="63599" spans="1:4" x14ac:dyDescent="0.2">
      <c r="A63599" t="s">
        <v>19809</v>
      </c>
      <c r="B63599" t="str">
        <f>HYPERLINK("https://lindat.mff.cuni.cz/services/teitok/pdtc10/index.php?action=vallex&amp;frame=v-w8738f9_ZU", "zabrat (v-w8738f9_ZU)")</f>
        <v>zabrat (v-w8738f9_ZU)</v>
      </c>
    </row>
    <row r="63600" spans="1:4" x14ac:dyDescent="0.2">
      <c r="B63600" t="s">
        <v>1</v>
      </c>
    </row>
    <row r="63601" spans="1:4" x14ac:dyDescent="0.2">
      <c r="B63601" t="s">
        <v>8</v>
      </c>
    </row>
    <row r="63603" spans="1:4" x14ac:dyDescent="0.2">
      <c r="A63603" t="s">
        <v>19810</v>
      </c>
      <c r="B63603" t="str">
        <f>HYPERLINK("https://lindat.mff.cuni.cz/services/teitok/pdtc10/index.php?action=vallex&amp;frame=v-w8738hsa_43", "zabrat (v-w8738hsa_43)")</f>
        <v>zabrat (v-w8738hsa_43)</v>
      </c>
    </row>
    <row r="63604" spans="1:4" x14ac:dyDescent="0.2">
      <c r="B63604" t="s">
        <v>1</v>
      </c>
    </row>
    <row r="63605" spans="1:4" x14ac:dyDescent="0.2">
      <c r="B63605" t="s">
        <v>8</v>
      </c>
    </row>
    <row r="63607" spans="1:4" x14ac:dyDescent="0.2">
      <c r="A63607" t="s">
        <v>19811</v>
      </c>
      <c r="B63607" t="str">
        <f>HYPERLINK("https://lindat.mff.cuni.cz/services/teitok/pdtc10/index.php?action=vallex&amp;frame=v-w12071_ZUf1_ZU", "zabrat se (v-w12071_ZUf1_ZU)")</f>
        <v>zabrat se (v-w12071_ZUf1_ZU)</v>
      </c>
    </row>
    <row r="63608" spans="1:4" x14ac:dyDescent="0.2">
      <c r="B63608" t="s">
        <v>1</v>
      </c>
    </row>
    <row r="63609" spans="1:4" x14ac:dyDescent="0.2">
      <c r="B63609" t="s">
        <v>817</v>
      </c>
    </row>
    <row r="63611" spans="1:4" x14ac:dyDescent="0.2">
      <c r="A63611" t="s">
        <v>19812</v>
      </c>
      <c r="B63611" t="str">
        <f>HYPERLINK("https://lindat.mff.cuni.cz/services/teitok/pdtc10/index.php?action=vallex&amp;frame=v-w8737f2", "zabraňovat (v-w8737f2)")</f>
        <v>zabraňovat (v-w8737f2)</v>
      </c>
    </row>
    <row r="63612" spans="1:4" x14ac:dyDescent="0.2">
      <c r="B63612" t="s">
        <v>1</v>
      </c>
      <c r="C63612" t="s">
        <v>19813</v>
      </c>
      <c r="D63612" t="s">
        <v>22999</v>
      </c>
    </row>
    <row r="63613" spans="1:4" x14ac:dyDescent="0.2">
      <c r="B63613" t="s">
        <v>19814</v>
      </c>
      <c r="C63613" t="s">
        <v>19815</v>
      </c>
      <c r="D63613" t="s">
        <v>23000</v>
      </c>
    </row>
    <row r="63614" spans="1:4" x14ac:dyDescent="0.2">
      <c r="B63614" t="s">
        <v>35</v>
      </c>
      <c r="C63614" t="s">
        <v>19816</v>
      </c>
      <c r="D63614" t="s">
        <v>23001</v>
      </c>
    </row>
    <row r="63616" spans="1:4" x14ac:dyDescent="0.2">
      <c r="A63616" t="s">
        <v>19817</v>
      </c>
      <c r="B63616" t="str">
        <f>HYPERLINK("https://lindat.mff.cuni.cz/services/teitok/pdtc10/index.php?action=vallex&amp;frame=v-w8737f1", "zabraňovat (v-w8737f1)")</f>
        <v>zabraňovat (v-w8737f1)</v>
      </c>
    </row>
    <row r="63617" spans="1:4" x14ac:dyDescent="0.2">
      <c r="B63617" t="s">
        <v>1</v>
      </c>
      <c r="C63617" t="s">
        <v>19818</v>
      </c>
      <c r="D63617" t="s">
        <v>22980</v>
      </c>
    </row>
    <row r="63618" spans="1:4" x14ac:dyDescent="0.2">
      <c r="B63618" t="s">
        <v>103</v>
      </c>
      <c r="C63618" t="s">
        <v>19819</v>
      </c>
      <c r="D63618" t="s">
        <v>22981</v>
      </c>
    </row>
    <row r="63620" spans="1:4" x14ac:dyDescent="0.2">
      <c r="A63620" t="s">
        <v>19820</v>
      </c>
      <c r="B63620" t="str">
        <f>HYPERLINK("https://lindat.mff.cuni.cz/services/teitok/pdtc10/index.php?action=vallex&amp;frame=v-w8739f2", "zabrnkat (v-w8739f2)")</f>
        <v>zabrnkat (v-w8739f2)</v>
      </c>
    </row>
    <row r="63621" spans="1:4" x14ac:dyDescent="0.2">
      <c r="B63621" t="s">
        <v>1</v>
      </c>
    </row>
    <row r="63622" spans="1:4" x14ac:dyDescent="0.2">
      <c r="B63622" t="s">
        <v>8</v>
      </c>
    </row>
    <row r="63624" spans="1:4" x14ac:dyDescent="0.2">
      <c r="A63624" t="s">
        <v>19821</v>
      </c>
      <c r="B63624" t="str">
        <f>HYPERLINK("https://lindat.mff.cuni.cz/services/teitok/pdtc10/index.php?action=vallex&amp;frame=v-w8739f1", "zabrnkat (v-w8739f1)")</f>
        <v>zabrnkat (v-w8739f1)</v>
      </c>
    </row>
    <row r="63625" spans="1:4" x14ac:dyDescent="0.2">
      <c r="B63625" t="s">
        <v>1</v>
      </c>
    </row>
    <row r="63626" spans="1:4" x14ac:dyDescent="0.2">
      <c r="B63626" t="s">
        <v>28</v>
      </c>
    </row>
    <row r="63628" spans="1:4" x14ac:dyDescent="0.2">
      <c r="A63628" t="s">
        <v>19822</v>
      </c>
      <c r="B63628" t="str">
        <f>HYPERLINK("https://lindat.mff.cuni.cz/services/teitok/pdtc10/index.php?action=vallex&amp;frame=v-w10523f3", "zabrousit (v-w10523f3)")</f>
        <v>zabrousit (v-w10523f3)</v>
      </c>
    </row>
    <row r="63629" spans="1:4" x14ac:dyDescent="0.2">
      <c r="B63629" t="s">
        <v>1</v>
      </c>
    </row>
    <row r="63630" spans="1:4" x14ac:dyDescent="0.2">
      <c r="B63630" t="s">
        <v>90</v>
      </c>
    </row>
    <row r="63632" spans="1:4" x14ac:dyDescent="0.2">
      <c r="A63632" t="s">
        <v>19823</v>
      </c>
      <c r="B63632" t="str">
        <f>HYPERLINK("https://lindat.mff.cuni.cz/services/teitok/pdtc10/index.php?action=vallex&amp;frame=v-w11673_ZUf1_ZU", "zabručet (v-w11673_ZUf1_ZU)")</f>
        <v>zabručet (v-w11673_ZUf1_ZU)</v>
      </c>
    </row>
    <row r="63633" spans="1:4" x14ac:dyDescent="0.2">
      <c r="B63633" t="s">
        <v>1</v>
      </c>
      <c r="D63633" t="s">
        <v>133</v>
      </c>
    </row>
    <row r="63634" spans="1:4" x14ac:dyDescent="0.2">
      <c r="B63634" t="s">
        <v>3527</v>
      </c>
    </row>
    <row r="63635" spans="1:4" x14ac:dyDescent="0.2">
      <c r="B63635" t="s">
        <v>19824</v>
      </c>
      <c r="D63635" t="s">
        <v>34</v>
      </c>
    </row>
    <row r="63637" spans="1:4" x14ac:dyDescent="0.2">
      <c r="A63637" t="s">
        <v>19825</v>
      </c>
      <c r="B63637" t="str">
        <f>HYPERLINK("https://lindat.mff.cuni.cz/services/teitok/pdtc10/index.php?action=vallex&amp;frame=v-w8740f1", "zabrzdit (v-w8740f1)")</f>
        <v>zabrzdit (v-w8740f1)</v>
      </c>
    </row>
    <row r="63638" spans="1:4" x14ac:dyDescent="0.2">
      <c r="B63638" t="s">
        <v>1</v>
      </c>
    </row>
    <row r="63639" spans="1:4" x14ac:dyDescent="0.2">
      <c r="B63639" t="s">
        <v>8</v>
      </c>
    </row>
    <row r="63641" spans="1:4" x14ac:dyDescent="0.2">
      <c r="A63641" t="s">
        <v>19826</v>
      </c>
      <c r="B63641" t="str">
        <f>HYPERLINK("https://lindat.mff.cuni.cz/services/teitok/pdtc10/index.php?action=vallex&amp;frame=v-w8740f2", "zabrzdit (v-w8740f2)")</f>
        <v>zabrzdit (v-w8740f2)</v>
      </c>
    </row>
    <row r="63642" spans="1:4" x14ac:dyDescent="0.2">
      <c r="B63642" t="s">
        <v>1</v>
      </c>
    </row>
    <row r="63643" spans="1:4" x14ac:dyDescent="0.2">
      <c r="B63643" t="s">
        <v>8</v>
      </c>
      <c r="C63643" t="s">
        <v>991</v>
      </c>
    </row>
    <row r="63645" spans="1:4" x14ac:dyDescent="0.2">
      <c r="A63645" t="s">
        <v>19827</v>
      </c>
      <c r="B63645" t="str">
        <f>HYPERLINK("https://lindat.mff.cuni.cz/services/teitok/pdtc10/index.php?action=vallex&amp;frame=v-w8735f2", "zabránit (v-w8735f2)")</f>
        <v>zabránit (v-w8735f2)</v>
      </c>
    </row>
    <row r="63646" spans="1:4" x14ac:dyDescent="0.2">
      <c r="B63646" t="s">
        <v>1</v>
      </c>
      <c r="C63646" t="s">
        <v>19828</v>
      </c>
      <c r="D63646" t="s">
        <v>22999</v>
      </c>
    </row>
    <row r="63647" spans="1:4" x14ac:dyDescent="0.2">
      <c r="B63647" t="s">
        <v>19829</v>
      </c>
      <c r="C63647" t="s">
        <v>19830</v>
      </c>
      <c r="D63647" t="s">
        <v>23000</v>
      </c>
    </row>
    <row r="63648" spans="1:4" x14ac:dyDescent="0.2">
      <c r="B63648" t="s">
        <v>35</v>
      </c>
      <c r="C63648" t="s">
        <v>19831</v>
      </c>
      <c r="D63648" t="s">
        <v>23001</v>
      </c>
    </row>
    <row r="63650" spans="1:4" x14ac:dyDescent="0.2">
      <c r="A63650" t="s">
        <v>19832</v>
      </c>
      <c r="B63650" t="str">
        <f>HYPERLINK("https://lindat.mff.cuni.cz/services/teitok/pdtc10/index.php?action=vallex&amp;frame=v-w8735f3_ZU", "zabránit (v-w8735f3_ZU)")</f>
        <v>zabránit (v-w8735f3_ZU)</v>
      </c>
    </row>
    <row r="63651" spans="1:4" x14ac:dyDescent="0.2">
      <c r="B63651" t="s">
        <v>1</v>
      </c>
      <c r="C63651" t="s">
        <v>19833</v>
      </c>
      <c r="D63651" t="s">
        <v>22980</v>
      </c>
    </row>
    <row r="63652" spans="1:4" x14ac:dyDescent="0.2">
      <c r="B63652" t="s">
        <v>7312</v>
      </c>
      <c r="C63652" t="s">
        <v>19834</v>
      </c>
      <c r="D63652" t="s">
        <v>22981</v>
      </c>
    </row>
    <row r="63654" spans="1:4" x14ac:dyDescent="0.2">
      <c r="A63654" t="s">
        <v>19832</v>
      </c>
      <c r="B63654" t="str">
        <f>HYPERLINK("https://lindat.mff.cuni.cz/services/teitok/pdtc10/index.php?action=vallex&amp;frame=v-w8735f1", "zabránit (v-w8735f1) - substituted with v-w8735f3_ZU")</f>
        <v>zabránit (v-w8735f1) - substituted with v-w8735f3_ZU</v>
      </c>
    </row>
    <row r="63655" spans="1:4" x14ac:dyDescent="0.2">
      <c r="B63655" t="s">
        <v>1</v>
      </c>
      <c r="C63655" t="s">
        <v>19835</v>
      </c>
    </row>
    <row r="63656" spans="1:4" x14ac:dyDescent="0.2">
      <c r="B63656" t="s">
        <v>7312</v>
      </c>
      <c r="C63656" t="s">
        <v>19836</v>
      </c>
    </row>
    <row r="63658" spans="1:4" x14ac:dyDescent="0.2">
      <c r="A63658" t="s">
        <v>19837</v>
      </c>
      <c r="B63658" t="str">
        <f>HYPERLINK("https://lindat.mff.cuni.cz/services/teitok/pdtc10/index.php?action=vallex&amp;frame=v-w8742f2", "zabudovat (v-w8742f2)")</f>
        <v>zabudovat (v-w8742f2)</v>
      </c>
    </row>
    <row r="63659" spans="1:4" x14ac:dyDescent="0.2">
      <c r="B63659" t="s">
        <v>1</v>
      </c>
    </row>
    <row r="63660" spans="1:4" x14ac:dyDescent="0.2">
      <c r="B63660" t="s">
        <v>8</v>
      </c>
    </row>
    <row r="63661" spans="1:4" x14ac:dyDescent="0.2">
      <c r="B63661" t="s">
        <v>5</v>
      </c>
    </row>
    <row r="63663" spans="1:4" x14ac:dyDescent="0.2">
      <c r="A63663" t="s">
        <v>19838</v>
      </c>
      <c r="B63663" t="str">
        <f>HYPERLINK("https://lindat.mff.cuni.cz/services/teitok/pdtc10/index.php?action=vallex&amp;frame=v-w8742f1", "zabudovat (v-w8742f1)")</f>
        <v>zabudovat (v-w8742f1)</v>
      </c>
    </row>
    <row r="63664" spans="1:4" x14ac:dyDescent="0.2">
      <c r="B63664" t="s">
        <v>1</v>
      </c>
      <c r="C63664" t="s">
        <v>140</v>
      </c>
      <c r="D63664" t="s">
        <v>33</v>
      </c>
    </row>
    <row r="63665" spans="1:4" x14ac:dyDescent="0.2">
      <c r="B63665" t="s">
        <v>8</v>
      </c>
      <c r="C63665" t="s">
        <v>84</v>
      </c>
      <c r="D63665" t="s">
        <v>1044</v>
      </c>
    </row>
    <row r="63666" spans="1:4" x14ac:dyDescent="0.2">
      <c r="B63666" t="s">
        <v>90</v>
      </c>
    </row>
    <row r="63668" spans="1:4" x14ac:dyDescent="0.2">
      <c r="A63668" t="s">
        <v>19839</v>
      </c>
      <c r="B63668" t="str">
        <f>HYPERLINK("https://lindat.mff.cuni.cz/services/teitok/pdtc10/index.php?action=vallex&amp;frame=v-w10843f2", "zabušit (v-w10843f2)")</f>
        <v>zabušit (v-w10843f2)</v>
      </c>
    </row>
    <row r="63669" spans="1:4" x14ac:dyDescent="0.2">
      <c r="B63669" t="s">
        <v>1</v>
      </c>
    </row>
    <row r="63670" spans="1:4" x14ac:dyDescent="0.2">
      <c r="B63670" t="s">
        <v>90</v>
      </c>
    </row>
    <row r="63672" spans="1:4" x14ac:dyDescent="0.2">
      <c r="A63672" t="s">
        <v>19840</v>
      </c>
      <c r="B63672" t="str">
        <f>HYPERLINK("https://lindat.mff.cuni.cz/services/teitok/pdtc10/index.php?action=vallex&amp;frame=v-w8744f1", "zabydlet se (v-w8744f1)")</f>
        <v>zabydlet se (v-w8744f1)</v>
      </c>
    </row>
    <row r="63673" spans="1:4" x14ac:dyDescent="0.2">
      <c r="B63673" t="s">
        <v>1</v>
      </c>
    </row>
    <row r="63675" spans="1:4" x14ac:dyDescent="0.2">
      <c r="A63675" t="s">
        <v>19841</v>
      </c>
      <c r="B63675" t="str">
        <f>HYPERLINK("https://lindat.mff.cuni.cz/services/teitok/pdtc10/index.php?action=vallex&amp;frame=v-w12124_ZUf1_ZU", "zabydlovat se (v-w12124_ZUf1_ZU)")</f>
        <v>zabydlovat se (v-w12124_ZUf1_ZU)</v>
      </c>
    </row>
    <row r="63676" spans="1:4" x14ac:dyDescent="0.2">
      <c r="B63676" t="s">
        <v>1</v>
      </c>
    </row>
    <row r="63678" spans="1:4" x14ac:dyDescent="0.2">
      <c r="A63678" t="s">
        <v>19842</v>
      </c>
      <c r="B63678" t="str">
        <f>HYPERLINK("https://lindat.mff.cuni.cz/services/teitok/pdtc10/index.php?action=vallex&amp;frame=v-w11633_ZUf1_ZU", "zabíhat (v-w11633_ZUf1_ZU)")</f>
        <v>zabíhat (v-w11633_ZUf1_ZU)</v>
      </c>
    </row>
    <row r="63679" spans="1:4" x14ac:dyDescent="0.2">
      <c r="B63679" t="s">
        <v>1</v>
      </c>
      <c r="C63679" t="s">
        <v>33</v>
      </c>
    </row>
    <row r="63680" spans="1:4" x14ac:dyDescent="0.2">
      <c r="B63680" t="s">
        <v>252</v>
      </c>
    </row>
    <row r="63682" spans="1:4" x14ac:dyDescent="0.2">
      <c r="A63682" t="s">
        <v>19843</v>
      </c>
      <c r="B63682" t="str">
        <f>HYPERLINK("https://lindat.mff.cuni.cz/services/teitok/pdtc10/index.php?action=vallex&amp;frame=v-w11633_ZUhsa_962", "zabíhat (v-w11633_ZUhsa_962)")</f>
        <v>zabíhat (v-w11633_ZUhsa_962)</v>
      </c>
    </row>
    <row r="63683" spans="1:4" x14ac:dyDescent="0.2">
      <c r="B63683" t="s">
        <v>1</v>
      </c>
      <c r="C63683" t="s">
        <v>2097</v>
      </c>
    </row>
    <row r="63684" spans="1:4" x14ac:dyDescent="0.2">
      <c r="B63684" t="s">
        <v>205</v>
      </c>
    </row>
    <row r="63686" spans="1:4" x14ac:dyDescent="0.2">
      <c r="A63686" t="s">
        <v>19844</v>
      </c>
      <c r="B63686" t="str">
        <f>HYPERLINK("https://lindat.mff.cuni.cz/services/teitok/pdtc10/index.php?action=vallex&amp;frame=v-w8719f1", "zabíjet (v-w8719f1)")</f>
        <v>zabíjet (v-w8719f1)</v>
      </c>
    </row>
    <row r="63687" spans="1:4" x14ac:dyDescent="0.2">
      <c r="B63687" t="s">
        <v>1</v>
      </c>
      <c r="C63687" t="s">
        <v>1077</v>
      </c>
      <c r="D63687" t="s">
        <v>11295</v>
      </c>
    </row>
    <row r="63688" spans="1:4" x14ac:dyDescent="0.2">
      <c r="B63688" t="s">
        <v>8</v>
      </c>
      <c r="C63688" t="s">
        <v>5571</v>
      </c>
      <c r="D63688" t="s">
        <v>13639</v>
      </c>
    </row>
    <row r="63690" spans="1:4" x14ac:dyDescent="0.2">
      <c r="A63690" t="s">
        <v>19845</v>
      </c>
      <c r="B63690" t="str">
        <f>HYPERLINK("https://lindat.mff.cuni.cz/services/teitok/pdtc10/index.php?action=vallex&amp;frame=v-w8720f1", "zabíjet se (v-w8720f1)")</f>
        <v>zabíjet se (v-w8720f1)</v>
      </c>
    </row>
    <row r="63691" spans="1:4" x14ac:dyDescent="0.2">
      <c r="B63691" t="s">
        <v>1</v>
      </c>
      <c r="D63691" t="s">
        <v>24461</v>
      </c>
    </row>
    <row r="63693" spans="1:4" x14ac:dyDescent="0.2">
      <c r="A63693" t="s">
        <v>19846</v>
      </c>
      <c r="B63693" t="str">
        <f>HYPERLINK("https://lindat.mff.cuni.cz/services/teitok/pdtc10/index.php?action=vallex&amp;frame=v-w8721f7_ZU", "zabírat (v-w8721f7_ZU)")</f>
        <v>zabírat (v-w8721f7_ZU)</v>
      </c>
    </row>
    <row r="63694" spans="1:4" x14ac:dyDescent="0.2">
      <c r="B63694" t="s">
        <v>1</v>
      </c>
    </row>
    <row r="63695" spans="1:4" x14ac:dyDescent="0.2">
      <c r="B63695" t="s">
        <v>8</v>
      </c>
    </row>
    <row r="63696" spans="1:4" x14ac:dyDescent="0.2">
      <c r="B63696" t="s">
        <v>4116</v>
      </c>
    </row>
    <row r="63698" spans="1:3" x14ac:dyDescent="0.2">
      <c r="A63698" t="s">
        <v>19846</v>
      </c>
      <c r="B63698" t="str">
        <f>HYPERLINK("https://lindat.mff.cuni.cz/services/teitok/pdtc10/index.php?action=vallex&amp;frame=v-w8721f6", "zabírat (v-w8721f6) - substituted with v-w8721f7_ZU")</f>
        <v>zabírat (v-w8721f6) - substituted with v-w8721f7_ZU</v>
      </c>
    </row>
    <row r="63699" spans="1:3" x14ac:dyDescent="0.2">
      <c r="B63699" t="s">
        <v>1</v>
      </c>
      <c r="C63699" t="s">
        <v>2303</v>
      </c>
    </row>
    <row r="63700" spans="1:3" x14ac:dyDescent="0.2">
      <c r="B63700" t="s">
        <v>8</v>
      </c>
      <c r="C63700" t="s">
        <v>359</v>
      </c>
    </row>
    <row r="63701" spans="1:3" x14ac:dyDescent="0.2">
      <c r="B63701" t="s">
        <v>4116</v>
      </c>
    </row>
    <row r="63703" spans="1:3" x14ac:dyDescent="0.2">
      <c r="A63703" t="s">
        <v>19847</v>
      </c>
      <c r="B63703" t="str">
        <f>HYPERLINK("https://lindat.mff.cuni.cz/services/teitok/pdtc10/index.php?action=vallex&amp;frame=v-w8721f5", "zabírat (v-w8721f5)")</f>
        <v>zabírat (v-w8721f5)</v>
      </c>
    </row>
    <row r="63704" spans="1:3" x14ac:dyDescent="0.2">
      <c r="B63704" t="s">
        <v>1</v>
      </c>
    </row>
    <row r="63705" spans="1:3" x14ac:dyDescent="0.2">
      <c r="B63705" t="s">
        <v>8</v>
      </c>
    </row>
    <row r="63707" spans="1:3" x14ac:dyDescent="0.2">
      <c r="A63707" t="s">
        <v>19848</v>
      </c>
      <c r="B63707" t="str">
        <f>HYPERLINK("https://lindat.mff.cuni.cz/services/teitok/pdtc10/index.php?action=vallex&amp;frame=v-w8721f4", "zabírat (v-w8721f4)")</f>
        <v>zabírat (v-w8721f4)</v>
      </c>
    </row>
    <row r="63708" spans="1:3" x14ac:dyDescent="0.2">
      <c r="B63708" t="s">
        <v>1</v>
      </c>
    </row>
    <row r="63709" spans="1:3" x14ac:dyDescent="0.2">
      <c r="B63709" t="s">
        <v>8</v>
      </c>
    </row>
    <row r="63711" spans="1:3" x14ac:dyDescent="0.2">
      <c r="A63711" t="s">
        <v>19849</v>
      </c>
      <c r="B63711" t="str">
        <f>HYPERLINK("https://lindat.mff.cuni.cz/services/teitok/pdtc10/index.php?action=vallex&amp;frame=v-w8721f2", "zabírat (v-w8721f2)")</f>
        <v>zabírat (v-w8721f2)</v>
      </c>
    </row>
    <row r="63712" spans="1:3" x14ac:dyDescent="0.2">
      <c r="B63712" t="s">
        <v>1</v>
      </c>
      <c r="C63712" t="s">
        <v>2118</v>
      </c>
    </row>
    <row r="63713" spans="1:4" x14ac:dyDescent="0.2">
      <c r="B63713" t="s">
        <v>8</v>
      </c>
      <c r="C63713" t="s">
        <v>23</v>
      </c>
    </row>
    <row r="63715" spans="1:4" x14ac:dyDescent="0.2">
      <c r="A63715" t="s">
        <v>19850</v>
      </c>
      <c r="B63715" t="str">
        <f>HYPERLINK("https://lindat.mff.cuni.cz/services/teitok/pdtc10/index.php?action=vallex&amp;frame=v-w8721f1", "zabírat (v-w8721f1)")</f>
        <v>zabírat (v-w8721f1)</v>
      </c>
    </row>
    <row r="63716" spans="1:4" x14ac:dyDescent="0.2">
      <c r="B63716" t="s">
        <v>1</v>
      </c>
      <c r="C63716" t="s">
        <v>2118</v>
      </c>
    </row>
    <row r="63717" spans="1:4" x14ac:dyDescent="0.2">
      <c r="B63717" t="s">
        <v>524</v>
      </c>
      <c r="C63717" t="s">
        <v>19851</v>
      </c>
    </row>
    <row r="63719" spans="1:4" x14ac:dyDescent="0.2">
      <c r="A63719" t="s">
        <v>19852</v>
      </c>
      <c r="B63719" t="str">
        <f>HYPERLINK("https://lindat.mff.cuni.cz/services/teitok/pdtc10/index.php?action=vallex&amp;frame=v-w8721f3", "zabírat (v-w8721f3)")</f>
        <v>zabírat (v-w8721f3)</v>
      </c>
    </row>
    <row r="63720" spans="1:4" x14ac:dyDescent="0.2">
      <c r="B63720" t="s">
        <v>1</v>
      </c>
      <c r="D63720" t="s">
        <v>23034</v>
      </c>
    </row>
    <row r="63722" spans="1:4" x14ac:dyDescent="0.2">
      <c r="A63722" t="s">
        <v>19853</v>
      </c>
      <c r="B63722" t="str">
        <f>HYPERLINK("https://lindat.mff.cuni.cz/services/teitok/pdtc10/index.php?action=vallex&amp;frame=v-w8721f8_MM", "zabírat (v-w8721f8_MM)")</f>
        <v>zabírat (v-w8721f8_MM)</v>
      </c>
    </row>
    <row r="63723" spans="1:4" x14ac:dyDescent="0.2">
      <c r="B63723" t="s">
        <v>1</v>
      </c>
    </row>
    <row r="63724" spans="1:4" x14ac:dyDescent="0.2">
      <c r="B63724" t="s">
        <v>817</v>
      </c>
    </row>
    <row r="63726" spans="1:4" x14ac:dyDescent="0.2">
      <c r="A63726" t="s">
        <v>19854</v>
      </c>
      <c r="B63726" t="str">
        <f>HYPERLINK("https://lindat.mff.cuni.cz/services/teitok/pdtc10/index.php?action=vallex&amp;frame=v-w8722f1", "zabít (v-w8722f1)")</f>
        <v>zabít (v-w8722f1)</v>
      </c>
    </row>
    <row r="63727" spans="1:4" x14ac:dyDescent="0.2">
      <c r="B63727" t="s">
        <v>1</v>
      </c>
      <c r="C63727" t="s">
        <v>1581</v>
      </c>
      <c r="D63727" t="s">
        <v>11295</v>
      </c>
    </row>
    <row r="63728" spans="1:4" x14ac:dyDescent="0.2">
      <c r="B63728" t="s">
        <v>8</v>
      </c>
      <c r="C63728" t="s">
        <v>68</v>
      </c>
      <c r="D63728" t="s">
        <v>13639</v>
      </c>
    </row>
    <row r="63730" spans="1:4" x14ac:dyDescent="0.2">
      <c r="A63730" t="s">
        <v>19855</v>
      </c>
      <c r="B63730" t="str">
        <f>HYPERLINK("https://lindat.mff.cuni.cz/services/teitok/pdtc10/index.php?action=vallex&amp;frame=v-w8722f2_ZU", "zabít (v-w8722f2_ZU)")</f>
        <v>zabít (v-w8722f2_ZU)</v>
      </c>
    </row>
    <row r="63731" spans="1:4" x14ac:dyDescent="0.2">
      <c r="B63731" t="s">
        <v>1</v>
      </c>
    </row>
    <row r="63732" spans="1:4" x14ac:dyDescent="0.2">
      <c r="B63732" t="s">
        <v>19856</v>
      </c>
    </row>
    <row r="63734" spans="1:4" x14ac:dyDescent="0.2">
      <c r="A63734" t="s">
        <v>19855</v>
      </c>
      <c r="B63734" t="str">
        <f>HYPERLINK("https://lindat.mff.cuni.cz/services/teitok/pdtc10/index.php?action=vallex&amp;frame=v-w8722hsa_1889", "zabít (v-w8722hsa_1889) - substituted with v-w8722f2_ZU")</f>
        <v>zabít (v-w8722hsa_1889) - substituted with v-w8722f2_ZU</v>
      </c>
    </row>
    <row r="63735" spans="1:4" x14ac:dyDescent="0.2">
      <c r="B63735" t="s">
        <v>1</v>
      </c>
    </row>
    <row r="63736" spans="1:4" x14ac:dyDescent="0.2">
      <c r="B63736" t="s">
        <v>19856</v>
      </c>
    </row>
    <row r="63738" spans="1:4" x14ac:dyDescent="0.2">
      <c r="A63738" t="s">
        <v>19857</v>
      </c>
      <c r="B63738" t="str">
        <f>HYPERLINK("https://lindat.mff.cuni.cz/services/teitok/pdtc10/index.php?action=vallex&amp;frame=v-whsa_1726hsa_1727", "zabít se (v-whsa_1726hsa_1727)")</f>
        <v>zabít se (v-whsa_1726hsa_1727)</v>
      </c>
    </row>
    <row r="63739" spans="1:4" x14ac:dyDescent="0.2">
      <c r="B63739" t="s">
        <v>1</v>
      </c>
    </row>
    <row r="63741" spans="1:4" x14ac:dyDescent="0.2">
      <c r="A63741" t="s">
        <v>19858</v>
      </c>
      <c r="B63741" t="str">
        <f>HYPERLINK("https://lindat.mff.cuni.cz/services/teitok/pdtc10/index.php?action=vallex&amp;frame=v-w8746f2", "zabývat se (v-w8746f2)")</f>
        <v>zabývat se (v-w8746f2)</v>
      </c>
    </row>
    <row r="63742" spans="1:4" x14ac:dyDescent="0.2">
      <c r="B63742" t="s">
        <v>1</v>
      </c>
      <c r="C63742" t="s">
        <v>19859</v>
      </c>
      <c r="D63742" t="s">
        <v>22954</v>
      </c>
    </row>
    <row r="63743" spans="1:4" x14ac:dyDescent="0.2">
      <c r="B63743" t="s">
        <v>158</v>
      </c>
      <c r="C63743" t="s">
        <v>19860</v>
      </c>
      <c r="D63743" t="s">
        <v>24462</v>
      </c>
    </row>
    <row r="63745" spans="1:3" x14ac:dyDescent="0.2">
      <c r="A63745" t="s">
        <v>19858</v>
      </c>
      <c r="B63745" t="str">
        <f>HYPERLINK("https://lindat.mff.cuni.cz/services/teitok/pdtc10/index.php?action=vallex&amp;frame=v-w8746f1", "zabývat se (v-w8746f1) - substituted with v-w8746f2")</f>
        <v>zabývat se (v-w8746f1) - substituted with v-w8746f2</v>
      </c>
    </row>
    <row r="63746" spans="1:3" x14ac:dyDescent="0.2">
      <c r="B63746" t="s">
        <v>1</v>
      </c>
      <c r="C63746" t="s">
        <v>19861</v>
      </c>
    </row>
    <row r="63747" spans="1:3" x14ac:dyDescent="0.2">
      <c r="B63747" t="s">
        <v>158</v>
      </c>
      <c r="C63747" t="s">
        <v>19862</v>
      </c>
    </row>
    <row r="63749" spans="1:3" x14ac:dyDescent="0.2">
      <c r="A63749" t="s">
        <v>19863</v>
      </c>
      <c r="B63749" t="str">
        <f>HYPERLINK("https://lindat.mff.cuni.cz/services/teitok/pdtc10/index.php?action=vallex&amp;frame=v-w8710f1", "zaběhnout (v-w8710f1)")</f>
        <v>zaběhnout (v-w8710f1)</v>
      </c>
    </row>
    <row r="63750" spans="1:3" x14ac:dyDescent="0.2">
      <c r="B63750" t="s">
        <v>1</v>
      </c>
    </row>
    <row r="63751" spans="1:3" x14ac:dyDescent="0.2">
      <c r="B63751" t="s">
        <v>8</v>
      </c>
    </row>
    <row r="63753" spans="1:3" x14ac:dyDescent="0.2">
      <c r="A63753" t="s">
        <v>19864</v>
      </c>
      <c r="B63753" t="str">
        <f>HYPERLINK("https://lindat.mff.cuni.cz/services/teitok/pdtc10/index.php?action=vallex&amp;frame=v-w8710f2", "zaběhnout (v-w8710f2)")</f>
        <v>zaběhnout (v-w8710f2)</v>
      </c>
    </row>
    <row r="63754" spans="1:3" x14ac:dyDescent="0.2">
      <c r="B63754" t="s">
        <v>1</v>
      </c>
    </row>
    <row r="63755" spans="1:3" x14ac:dyDescent="0.2">
      <c r="B63755" t="s">
        <v>90</v>
      </c>
    </row>
    <row r="63757" spans="1:3" x14ac:dyDescent="0.2">
      <c r="A63757" t="s">
        <v>19865</v>
      </c>
      <c r="B63757" t="str">
        <f>HYPERLINK("https://lindat.mff.cuni.cz/services/teitok/pdtc10/index.php?action=vallex&amp;frame=v-w8710hsa_829", "zaběhnout (v-w8710hsa_829)")</f>
        <v>zaběhnout (v-w8710hsa_829)</v>
      </c>
    </row>
    <row r="63758" spans="1:3" x14ac:dyDescent="0.2">
      <c r="B63758" t="s">
        <v>1</v>
      </c>
    </row>
    <row r="63759" spans="1:3" x14ac:dyDescent="0.2">
      <c r="B63759" t="s">
        <v>8</v>
      </c>
    </row>
    <row r="63761" spans="1:4" x14ac:dyDescent="0.2">
      <c r="A63761" t="s">
        <v>19866</v>
      </c>
      <c r="B63761" t="str">
        <f>HYPERLINK("https://lindat.mff.cuni.cz/services/teitok/pdtc10/index.php?action=vallex&amp;frame=v-whsa_635hsa_636", "zaběhávat (v-whsa_635hsa_636)")</f>
        <v>zaběhávat (v-whsa_635hsa_636)</v>
      </c>
    </row>
    <row r="63762" spans="1:4" x14ac:dyDescent="0.2">
      <c r="B63762" t="s">
        <v>1</v>
      </c>
    </row>
    <row r="63763" spans="1:4" x14ac:dyDescent="0.2">
      <c r="B63763" t="s">
        <v>8</v>
      </c>
    </row>
    <row r="63765" spans="1:4" x14ac:dyDescent="0.2">
      <c r="A63765" t="s">
        <v>19867</v>
      </c>
      <c r="B63765" t="str">
        <f>HYPERLINK("https://lindat.mff.cuni.cz/services/teitok/pdtc10/index.php?action=vallex&amp;frame=v-whsa_346hsa_347", "zabřednout (v-whsa_346hsa_347)")</f>
        <v>zabřednout (v-whsa_346hsa_347)</v>
      </c>
    </row>
    <row r="63766" spans="1:4" x14ac:dyDescent="0.2">
      <c r="B63766" t="s">
        <v>1</v>
      </c>
      <c r="C63766" t="s">
        <v>4344</v>
      </c>
      <c r="D63766" t="s">
        <v>201</v>
      </c>
    </row>
    <row r="63767" spans="1:4" x14ac:dyDescent="0.2">
      <c r="B63767" t="s">
        <v>817</v>
      </c>
      <c r="C63767" t="s">
        <v>23</v>
      </c>
      <c r="D63767" t="s">
        <v>2902</v>
      </c>
    </row>
    <row r="63769" spans="1:4" x14ac:dyDescent="0.2">
      <c r="A63769" t="s">
        <v>19868</v>
      </c>
      <c r="B63769" t="str">
        <f>HYPERLINK("https://lindat.mff.cuni.cz/services/teitok/pdtc10/index.php?action=vallex&amp;frame=v-w11401f2", "zacelit (v-w11401f2)")</f>
        <v>zacelit (v-w11401f2)</v>
      </c>
    </row>
    <row r="63770" spans="1:4" x14ac:dyDescent="0.2">
      <c r="B63770" t="s">
        <v>1</v>
      </c>
      <c r="C63770" t="s">
        <v>140</v>
      </c>
    </row>
    <row r="63771" spans="1:4" x14ac:dyDescent="0.2">
      <c r="B63771" t="s">
        <v>8</v>
      </c>
      <c r="C63771" t="s">
        <v>1128</v>
      </c>
    </row>
    <row r="63773" spans="1:4" x14ac:dyDescent="0.2">
      <c r="A63773" t="s">
        <v>19869</v>
      </c>
      <c r="B63773" t="str">
        <f>HYPERLINK("https://lindat.mff.cuni.cz/services/teitok/pdtc10/index.php?action=vallex&amp;frame=v-w8748f1", "zacelit se (v-w8748f1)")</f>
        <v>zacelit se (v-w8748f1)</v>
      </c>
    </row>
    <row r="63774" spans="1:4" x14ac:dyDescent="0.2">
      <c r="B63774" t="s">
        <v>1</v>
      </c>
      <c r="C63774" t="s">
        <v>186</v>
      </c>
      <c r="D63774" t="s">
        <v>186</v>
      </c>
    </row>
    <row r="63776" spans="1:4" x14ac:dyDescent="0.2">
      <c r="A63776" t="s">
        <v>19870</v>
      </c>
      <c r="B63776" t="str">
        <f>HYPERLINK("https://lindat.mff.cuni.cz/services/teitok/pdtc10/index.php?action=vallex&amp;frame=v-w8749f1", "zacelovat (v-w8749f1)")</f>
        <v>zacelovat (v-w8749f1)</v>
      </c>
    </row>
    <row r="63777" spans="1:2" x14ac:dyDescent="0.2">
      <c r="B63777" t="s">
        <v>1</v>
      </c>
    </row>
    <row r="63778" spans="1:2" x14ac:dyDescent="0.2">
      <c r="B63778" t="s">
        <v>8</v>
      </c>
    </row>
    <row r="63780" spans="1:2" x14ac:dyDescent="0.2">
      <c r="A63780" t="s">
        <v>19871</v>
      </c>
      <c r="B63780" t="str">
        <f>HYPERLINK("https://lindat.mff.cuni.cz/services/teitok/pdtc10/index.php?action=vallex&amp;frame=v-w8749f2", "zacelovat (v-w8749f2)")</f>
        <v>zacelovat (v-w8749f2)</v>
      </c>
    </row>
    <row r="63781" spans="1:2" x14ac:dyDescent="0.2">
      <c r="B63781" t="s">
        <v>1</v>
      </c>
    </row>
    <row r="63782" spans="1:2" x14ac:dyDescent="0.2">
      <c r="B63782" t="s">
        <v>8</v>
      </c>
    </row>
    <row r="63784" spans="1:2" x14ac:dyDescent="0.2">
      <c r="A63784" t="s">
        <v>19872</v>
      </c>
      <c r="B63784" t="str">
        <f>HYPERLINK("https://lindat.mff.cuni.cz/services/teitok/pdtc10/index.php?action=vallex&amp;frame=v-w8815f5", "zachovat (v-w8815f5)")</f>
        <v>zachovat (v-w8815f5)</v>
      </c>
    </row>
    <row r="63785" spans="1:2" x14ac:dyDescent="0.2">
      <c r="B63785" t="s">
        <v>1</v>
      </c>
    </row>
    <row r="63786" spans="1:2" x14ac:dyDescent="0.2">
      <c r="B63786" t="s">
        <v>8</v>
      </c>
    </row>
    <row r="63787" spans="1:2" x14ac:dyDescent="0.2">
      <c r="B63787" t="s">
        <v>35</v>
      </c>
    </row>
    <row r="63789" spans="1:2" x14ac:dyDescent="0.2">
      <c r="A63789" t="s">
        <v>19873</v>
      </c>
      <c r="B63789" t="str">
        <f>HYPERLINK("https://lindat.mff.cuni.cz/services/teitok/pdtc10/index.php?action=vallex&amp;frame=v-w8815f3", "zachovat (v-w8815f3)")</f>
        <v>zachovat (v-w8815f3)</v>
      </c>
    </row>
    <row r="63790" spans="1:2" x14ac:dyDescent="0.2">
      <c r="B63790" t="s">
        <v>1</v>
      </c>
    </row>
    <row r="63791" spans="1:2" x14ac:dyDescent="0.2">
      <c r="B63791" t="s">
        <v>8</v>
      </c>
    </row>
    <row r="63792" spans="1:2" x14ac:dyDescent="0.2">
      <c r="B63792" t="s">
        <v>15780</v>
      </c>
    </row>
    <row r="63794" spans="1:4" x14ac:dyDescent="0.2">
      <c r="A63794" t="s">
        <v>19874</v>
      </c>
      <c r="B63794" t="str">
        <f>HYPERLINK("https://lindat.mff.cuni.cz/services/teitok/pdtc10/index.php?action=vallex&amp;frame=v-w8815f1", "zachovat (v-w8815f1)")</f>
        <v>zachovat (v-w8815f1)</v>
      </c>
    </row>
    <row r="63795" spans="1:4" x14ac:dyDescent="0.2">
      <c r="B63795" t="s">
        <v>1</v>
      </c>
      <c r="C63795" t="s">
        <v>19875</v>
      </c>
      <c r="D63795" t="s">
        <v>23813</v>
      </c>
    </row>
    <row r="63796" spans="1:4" x14ac:dyDescent="0.2">
      <c r="B63796" t="s">
        <v>8</v>
      </c>
      <c r="C63796" t="s">
        <v>19876</v>
      </c>
      <c r="D63796" t="s">
        <v>23814</v>
      </c>
    </row>
    <row r="63798" spans="1:4" x14ac:dyDescent="0.2">
      <c r="A63798" t="s">
        <v>19877</v>
      </c>
      <c r="B63798" t="str">
        <f>HYPERLINK("https://lindat.mff.cuni.cz/services/teitok/pdtc10/index.php?action=vallex&amp;frame=v-w8815f2", "zachovat (v-w8815f2)")</f>
        <v>zachovat (v-w8815f2)</v>
      </c>
    </row>
    <row r="63799" spans="1:4" x14ac:dyDescent="0.2">
      <c r="B63799" t="s">
        <v>1</v>
      </c>
      <c r="C63799" t="s">
        <v>8390</v>
      </c>
      <c r="D63799" t="s">
        <v>24463</v>
      </c>
    </row>
    <row r="63800" spans="1:4" x14ac:dyDescent="0.2">
      <c r="B63800" t="s">
        <v>8</v>
      </c>
      <c r="C63800" t="s">
        <v>6307</v>
      </c>
      <c r="D63800" t="s">
        <v>24464</v>
      </c>
    </row>
    <row r="63802" spans="1:4" x14ac:dyDescent="0.2">
      <c r="A63802" t="s">
        <v>19878</v>
      </c>
      <c r="B63802" t="str">
        <f>HYPERLINK("https://lindat.mff.cuni.cz/services/teitok/pdtc10/index.php?action=vallex&amp;frame=v-w8815f4", "zachovat (v-w8815f4)")</f>
        <v>zachovat (v-w8815f4)</v>
      </c>
    </row>
    <row r="63803" spans="1:4" x14ac:dyDescent="0.2">
      <c r="B63803" t="s">
        <v>1</v>
      </c>
    </row>
    <row r="63804" spans="1:4" x14ac:dyDescent="0.2">
      <c r="B63804" t="s">
        <v>2385</v>
      </c>
    </row>
    <row r="63805" spans="1:4" x14ac:dyDescent="0.2">
      <c r="B63805" t="s">
        <v>8</v>
      </c>
    </row>
    <row r="63807" spans="1:4" x14ac:dyDescent="0.2">
      <c r="A63807" t="s">
        <v>19879</v>
      </c>
      <c r="B63807" t="str">
        <f>HYPERLINK("https://lindat.mff.cuni.cz/services/teitok/pdtc10/index.php?action=vallex&amp;frame=v-w8815f6_ZU", "zachovat (v-w8815f6_ZU)")</f>
        <v>zachovat (v-w8815f6_ZU)</v>
      </c>
    </row>
    <row r="63808" spans="1:4" x14ac:dyDescent="0.2">
      <c r="B63808" t="s">
        <v>1</v>
      </c>
    </row>
    <row r="63809" spans="1:3" x14ac:dyDescent="0.2">
      <c r="B63809" t="s">
        <v>19880</v>
      </c>
    </row>
    <row r="63811" spans="1:3" x14ac:dyDescent="0.2">
      <c r="A63811" t="s">
        <v>19879</v>
      </c>
      <c r="B63811" t="str">
        <f>HYPERLINK("https://lindat.mff.cuni.cz/services/teitok/pdtc10/index.php?action=vallex&amp;frame=v-w8815hsa_869", "zachovat (v-w8815hsa_869) - substituted with v-w8815f6_ZU")</f>
        <v>zachovat (v-w8815hsa_869) - substituted with v-w8815f6_ZU</v>
      </c>
    </row>
    <row r="63812" spans="1:3" x14ac:dyDescent="0.2">
      <c r="B63812" t="s">
        <v>1</v>
      </c>
    </row>
    <row r="63813" spans="1:3" x14ac:dyDescent="0.2">
      <c r="B63813" t="s">
        <v>19880</v>
      </c>
    </row>
    <row r="63815" spans="1:3" x14ac:dyDescent="0.2">
      <c r="A63815" t="s">
        <v>19881</v>
      </c>
      <c r="B63815" t="str">
        <f>HYPERLINK("https://lindat.mff.cuni.cz/services/teitok/pdtc10/index.php?action=vallex&amp;frame=v-w8816f1", "zachovat se (v-w8816f1)")</f>
        <v>zachovat se (v-w8816f1)</v>
      </c>
    </row>
    <row r="63816" spans="1:3" x14ac:dyDescent="0.2">
      <c r="B63816" t="s">
        <v>1</v>
      </c>
      <c r="C63816" t="s">
        <v>33</v>
      </c>
    </row>
    <row r="63817" spans="1:3" x14ac:dyDescent="0.2">
      <c r="B63817" t="s">
        <v>415</v>
      </c>
    </row>
    <row r="63818" spans="1:3" x14ac:dyDescent="0.2">
      <c r="B63818" t="s">
        <v>346</v>
      </c>
    </row>
    <row r="63819" spans="1:3" x14ac:dyDescent="0.2">
      <c r="B63819" t="s">
        <v>349</v>
      </c>
    </row>
    <row r="63820" spans="1:3" x14ac:dyDescent="0.2">
      <c r="B63820" t="s">
        <v>350</v>
      </c>
    </row>
    <row r="63821" spans="1:3" x14ac:dyDescent="0.2">
      <c r="B63821" t="s">
        <v>351</v>
      </c>
    </row>
    <row r="63823" spans="1:3" x14ac:dyDescent="0.2">
      <c r="A63823" t="s">
        <v>19882</v>
      </c>
      <c r="B63823" t="str">
        <f>HYPERLINK("https://lindat.mff.cuni.cz/services/teitok/pdtc10/index.php?action=vallex&amp;frame=v-w8816f2", "zachovat se (v-w8816f2)")</f>
        <v>zachovat se (v-w8816f2)</v>
      </c>
    </row>
    <row r="63824" spans="1:3" x14ac:dyDescent="0.2">
      <c r="B63824" t="s">
        <v>1</v>
      </c>
      <c r="C63824" t="s">
        <v>19883</v>
      </c>
    </row>
    <row r="63826" spans="1:4" x14ac:dyDescent="0.2">
      <c r="A63826" t="s">
        <v>19884</v>
      </c>
      <c r="B63826" t="str">
        <f>HYPERLINK("https://lindat.mff.cuni.cz/services/teitok/pdtc10/index.php?action=vallex&amp;frame=v-w8817f1", "zachovat si (v-w8817f1)")</f>
        <v>zachovat si (v-w8817f1)</v>
      </c>
    </row>
    <row r="63827" spans="1:4" x14ac:dyDescent="0.2">
      <c r="B63827" t="s">
        <v>1</v>
      </c>
      <c r="C63827" t="s">
        <v>19885</v>
      </c>
      <c r="D63827" t="s">
        <v>24463</v>
      </c>
    </row>
    <row r="63828" spans="1:4" x14ac:dyDescent="0.2">
      <c r="B63828" t="s">
        <v>8</v>
      </c>
      <c r="C63828" t="s">
        <v>9651</v>
      </c>
      <c r="D63828" t="s">
        <v>24464</v>
      </c>
    </row>
    <row r="63830" spans="1:4" x14ac:dyDescent="0.2">
      <c r="A63830" t="s">
        <v>19886</v>
      </c>
      <c r="B63830" t="str">
        <f>HYPERLINK("https://lindat.mff.cuni.cz/services/teitok/pdtc10/index.php?action=vallex&amp;frame=v-w8818f3", "zachovávat (v-w8818f3)")</f>
        <v>zachovávat (v-w8818f3)</v>
      </c>
    </row>
    <row r="63831" spans="1:4" x14ac:dyDescent="0.2">
      <c r="B63831" t="s">
        <v>1</v>
      </c>
    </row>
    <row r="63832" spans="1:4" x14ac:dyDescent="0.2">
      <c r="B63832" t="s">
        <v>8</v>
      </c>
    </row>
    <row r="63833" spans="1:4" x14ac:dyDescent="0.2">
      <c r="B63833" t="s">
        <v>15780</v>
      </c>
    </row>
    <row r="63835" spans="1:4" x14ac:dyDescent="0.2">
      <c r="A63835" t="s">
        <v>19887</v>
      </c>
      <c r="B63835" t="str">
        <f>HYPERLINK("https://lindat.mff.cuni.cz/services/teitok/pdtc10/index.php?action=vallex&amp;frame=v-w8818f1", "zachovávat (v-w8818f1)")</f>
        <v>zachovávat (v-w8818f1)</v>
      </c>
    </row>
    <row r="63836" spans="1:4" x14ac:dyDescent="0.2">
      <c r="B63836" t="s">
        <v>1</v>
      </c>
      <c r="C63836" t="s">
        <v>2118</v>
      </c>
      <c r="D63836" t="s">
        <v>24465</v>
      </c>
    </row>
    <row r="63837" spans="1:4" x14ac:dyDescent="0.2">
      <c r="B63837" t="s">
        <v>8</v>
      </c>
      <c r="C63837" t="s">
        <v>969</v>
      </c>
      <c r="D63837" t="s">
        <v>24466</v>
      </c>
    </row>
    <row r="63839" spans="1:4" x14ac:dyDescent="0.2">
      <c r="A63839" t="s">
        <v>19888</v>
      </c>
      <c r="B63839" t="str">
        <f>HYPERLINK("https://lindat.mff.cuni.cz/services/teitok/pdtc10/index.php?action=vallex&amp;frame=v-w8818f2", "zachovávat (v-w8818f2)")</f>
        <v>zachovávat (v-w8818f2)</v>
      </c>
    </row>
    <row r="63840" spans="1:4" x14ac:dyDescent="0.2">
      <c r="B63840" t="s">
        <v>1</v>
      </c>
      <c r="C63840" t="s">
        <v>976</v>
      </c>
      <c r="D63840" t="s">
        <v>24467</v>
      </c>
    </row>
    <row r="63841" spans="1:4" x14ac:dyDescent="0.2">
      <c r="B63841" t="s">
        <v>8</v>
      </c>
      <c r="C63841" t="s">
        <v>7725</v>
      </c>
      <c r="D63841" t="s">
        <v>24468</v>
      </c>
    </row>
    <row r="63843" spans="1:4" x14ac:dyDescent="0.2">
      <c r="A63843" t="s">
        <v>19889</v>
      </c>
      <c r="B63843" t="str">
        <f>HYPERLINK("https://lindat.mff.cuni.cz/services/teitok/pdtc10/index.php?action=vallex&amp;frame=v-w8822f1", "zachraňovat (v-w8822f1)")</f>
        <v>zachraňovat (v-w8822f1)</v>
      </c>
    </row>
    <row r="63844" spans="1:4" x14ac:dyDescent="0.2">
      <c r="B63844" t="s">
        <v>1</v>
      </c>
      <c r="C63844" t="s">
        <v>990</v>
      </c>
      <c r="D63844" t="s">
        <v>23370</v>
      </c>
    </row>
    <row r="63845" spans="1:4" x14ac:dyDescent="0.2">
      <c r="B63845" t="s">
        <v>8</v>
      </c>
      <c r="C63845" t="s">
        <v>81</v>
      </c>
      <c r="D63845" t="s">
        <v>23371</v>
      </c>
    </row>
    <row r="63846" spans="1:4" x14ac:dyDescent="0.2">
      <c r="B63846" t="s">
        <v>7530</v>
      </c>
      <c r="C63846" t="s">
        <v>11467</v>
      </c>
      <c r="D63846" t="s">
        <v>24182</v>
      </c>
    </row>
    <row r="63848" spans="1:4" x14ac:dyDescent="0.2">
      <c r="A63848" t="s">
        <v>19890</v>
      </c>
      <c r="B63848" t="str">
        <f>HYPERLINK("https://lindat.mff.cuni.cz/services/teitok/pdtc10/index.php?action=vallex&amp;frame=v-w8820f1", "zachránit (v-w8820f1)")</f>
        <v>zachránit (v-w8820f1)</v>
      </c>
    </row>
    <row r="63849" spans="1:4" x14ac:dyDescent="0.2">
      <c r="B63849" t="s">
        <v>1</v>
      </c>
      <c r="C63849" t="s">
        <v>230</v>
      </c>
      <c r="D63849" t="s">
        <v>23370</v>
      </c>
    </row>
    <row r="63850" spans="1:4" x14ac:dyDescent="0.2">
      <c r="B63850" t="s">
        <v>8</v>
      </c>
      <c r="C63850" t="s">
        <v>19891</v>
      </c>
      <c r="D63850" t="s">
        <v>23371</v>
      </c>
    </row>
    <row r="63851" spans="1:4" x14ac:dyDescent="0.2">
      <c r="B63851" t="s">
        <v>19892</v>
      </c>
      <c r="C63851" t="s">
        <v>19893</v>
      </c>
      <c r="D63851" t="s">
        <v>24182</v>
      </c>
    </row>
    <row r="63853" spans="1:4" x14ac:dyDescent="0.2">
      <c r="A63853" t="s">
        <v>19894</v>
      </c>
      <c r="B63853" t="str">
        <f>HYPERLINK("https://lindat.mff.cuni.cz/services/teitok/pdtc10/index.php?action=vallex&amp;frame=v-w8820f2", "zachránit (v-w8820f2)")</f>
        <v>zachránit (v-w8820f2)</v>
      </c>
    </row>
    <row r="63854" spans="1:4" x14ac:dyDescent="0.2">
      <c r="B63854" t="s">
        <v>1</v>
      </c>
      <c r="C63854" t="s">
        <v>19895</v>
      </c>
    </row>
    <row r="63855" spans="1:4" x14ac:dyDescent="0.2">
      <c r="B63855" t="s">
        <v>8</v>
      </c>
      <c r="C63855" t="s">
        <v>19896</v>
      </c>
    </row>
    <row r="63857" spans="1:4" x14ac:dyDescent="0.2">
      <c r="A63857" t="s">
        <v>19897</v>
      </c>
      <c r="B63857" t="str">
        <f>HYPERLINK("https://lindat.mff.cuni.cz/services/teitok/pdtc10/index.php?action=vallex&amp;frame=v-w8821f1", "zachránit se (v-w8821f1)")</f>
        <v>zachránit se (v-w8821f1)</v>
      </c>
    </row>
    <row r="63858" spans="1:4" x14ac:dyDescent="0.2">
      <c r="B63858" t="s">
        <v>1</v>
      </c>
      <c r="C63858" t="s">
        <v>201</v>
      </c>
      <c r="D63858" t="s">
        <v>23002</v>
      </c>
    </row>
    <row r="63859" spans="1:4" x14ac:dyDescent="0.2">
      <c r="B63859" t="s">
        <v>1189</v>
      </c>
      <c r="C63859" t="s">
        <v>299</v>
      </c>
      <c r="D63859" t="s">
        <v>23003</v>
      </c>
    </row>
    <row r="63861" spans="1:4" x14ac:dyDescent="0.2">
      <c r="A63861" t="s">
        <v>19898</v>
      </c>
      <c r="B63861" t="str">
        <f>HYPERLINK("https://lindat.mff.cuni.cz/services/teitok/pdtc10/index.php?action=vallex&amp;frame=v-whsb_1299f1_ZU", "zachtít se (v-whsb_1299f1_ZU)")</f>
        <v>zachtít se (v-whsb_1299f1_ZU)</v>
      </c>
    </row>
    <row r="63862" spans="1:4" x14ac:dyDescent="0.2">
      <c r="B63862" t="s">
        <v>455</v>
      </c>
    </row>
    <row r="63863" spans="1:4" x14ac:dyDescent="0.2">
      <c r="B63863" t="s">
        <v>19899</v>
      </c>
    </row>
    <row r="63865" spans="1:4" x14ac:dyDescent="0.2">
      <c r="A63865" t="s">
        <v>19898</v>
      </c>
      <c r="B63865" t="str">
        <f>HYPERLINK("https://lindat.mff.cuni.cz/services/teitok/pdtc10/index.php?action=vallex&amp;frame=v-whsb_1299hsa_1300", "zachtít se (v-whsb_1299hsa_1300) - substituted with v-whsb_1299f1_ZU")</f>
        <v>zachtít se (v-whsb_1299hsa_1300) - substituted with v-whsb_1299f1_ZU</v>
      </c>
    </row>
    <row r="63866" spans="1:4" x14ac:dyDescent="0.2">
      <c r="B63866" t="s">
        <v>455</v>
      </c>
    </row>
    <row r="63867" spans="1:4" x14ac:dyDescent="0.2">
      <c r="B63867" t="s">
        <v>19899</v>
      </c>
    </row>
    <row r="63869" spans="1:4" x14ac:dyDescent="0.2">
      <c r="A63869" t="s">
        <v>19900</v>
      </c>
      <c r="B63869" t="str">
        <f>HYPERLINK("https://lindat.mff.cuni.cz/services/teitok/pdtc10/index.php?action=vallex&amp;frame=v-w12056_ZUf1_ZU", "zachutnat (v-w12056_ZUf1_ZU)")</f>
        <v>zachutnat (v-w12056_ZUf1_ZU)</v>
      </c>
    </row>
    <row r="63870" spans="1:4" x14ac:dyDescent="0.2">
      <c r="B63870" t="s">
        <v>455</v>
      </c>
    </row>
    <row r="63871" spans="1:4" x14ac:dyDescent="0.2">
      <c r="B63871" t="s">
        <v>243</v>
      </c>
    </row>
    <row r="63873" spans="1:4" x14ac:dyDescent="0.2">
      <c r="A63873" t="s">
        <v>19901</v>
      </c>
      <c r="B63873" t="str">
        <f>HYPERLINK("https://lindat.mff.cuni.cz/services/teitok/pdtc10/index.php?action=vallex&amp;frame=v-w11227f2", "zachvacovat (v-w11227f2)")</f>
        <v>zachvacovat (v-w11227f2)</v>
      </c>
    </row>
    <row r="63874" spans="1:4" x14ac:dyDescent="0.2">
      <c r="B63874" t="s">
        <v>1</v>
      </c>
    </row>
    <row r="63875" spans="1:4" x14ac:dyDescent="0.2">
      <c r="B63875" t="s">
        <v>8</v>
      </c>
    </row>
    <row r="63877" spans="1:4" x14ac:dyDescent="0.2">
      <c r="A63877" t="s">
        <v>19902</v>
      </c>
      <c r="B63877" t="str">
        <f>HYPERLINK("https://lindat.mff.cuni.cz/services/teitok/pdtc10/index.php?action=vallex&amp;frame=v-w8824f1", "zachvátit (v-w8824f1)")</f>
        <v>zachvátit (v-w8824f1)</v>
      </c>
    </row>
    <row r="63878" spans="1:4" x14ac:dyDescent="0.2">
      <c r="B63878" t="s">
        <v>1</v>
      </c>
      <c r="C63878" t="s">
        <v>6204</v>
      </c>
      <c r="D63878" t="s">
        <v>23156</v>
      </c>
    </row>
    <row r="63879" spans="1:4" x14ac:dyDescent="0.2">
      <c r="B63879" t="s">
        <v>8</v>
      </c>
      <c r="C63879" t="s">
        <v>19903</v>
      </c>
      <c r="D63879" t="s">
        <v>23157</v>
      </c>
    </row>
    <row r="63881" spans="1:4" x14ac:dyDescent="0.2">
      <c r="A63881" t="s">
        <v>19904</v>
      </c>
      <c r="B63881" t="str">
        <f>HYPERLINK("https://lindat.mff.cuni.cz/services/teitok/pdtc10/index.php?action=vallex&amp;frame=v-w11410f1", "zachvět se (v-w11410f1)")</f>
        <v>zachvět se (v-w11410f1)</v>
      </c>
    </row>
    <row r="63882" spans="1:4" x14ac:dyDescent="0.2">
      <c r="B63882" t="s">
        <v>1</v>
      </c>
      <c r="C63882" t="s">
        <v>12452</v>
      </c>
      <c r="D63882" t="s">
        <v>23755</v>
      </c>
    </row>
    <row r="63884" spans="1:4" x14ac:dyDescent="0.2">
      <c r="A63884" t="s">
        <v>19905</v>
      </c>
      <c r="B63884" t="str">
        <f>HYPERLINK("https://lindat.mff.cuni.cz/services/teitok/pdtc10/index.php?action=vallex&amp;frame=v-w8827f1", "zachycovat (v-w8827f1)")</f>
        <v>zachycovat (v-w8827f1)</v>
      </c>
    </row>
    <row r="63885" spans="1:4" x14ac:dyDescent="0.2">
      <c r="B63885" t="s">
        <v>1</v>
      </c>
      <c r="C63885" t="s">
        <v>7426</v>
      </c>
      <c r="D63885" t="s">
        <v>23142</v>
      </c>
    </row>
    <row r="63886" spans="1:4" x14ac:dyDescent="0.2">
      <c r="B63886" t="s">
        <v>8</v>
      </c>
      <c r="C63886" t="s">
        <v>7427</v>
      </c>
      <c r="D63886" t="s">
        <v>23143</v>
      </c>
    </row>
    <row r="63888" spans="1:4" x14ac:dyDescent="0.2">
      <c r="A63888" t="s">
        <v>19906</v>
      </c>
      <c r="B63888" t="str">
        <f>HYPERLINK("https://lindat.mff.cuni.cz/services/teitok/pdtc10/index.php?action=vallex&amp;frame=v-w8827f2", "zachycovat (v-w8827f2)")</f>
        <v>zachycovat (v-w8827f2)</v>
      </c>
    </row>
    <row r="63889" spans="1:4" x14ac:dyDescent="0.2">
      <c r="B63889" t="s">
        <v>1</v>
      </c>
      <c r="D63889" t="s">
        <v>23142</v>
      </c>
    </row>
    <row r="63890" spans="1:4" x14ac:dyDescent="0.2">
      <c r="B63890" t="s">
        <v>8</v>
      </c>
      <c r="D63890" t="s">
        <v>23143</v>
      </c>
    </row>
    <row r="63892" spans="1:4" x14ac:dyDescent="0.2">
      <c r="A63892" t="s">
        <v>19907</v>
      </c>
      <c r="B63892" t="str">
        <f>HYPERLINK("https://lindat.mff.cuni.cz/services/teitok/pdtc10/index.php?action=vallex&amp;frame=v-w8827hsa_876", "zachycovat (v-w8827hsa_876)")</f>
        <v>zachycovat (v-w8827hsa_876)</v>
      </c>
    </row>
    <row r="63893" spans="1:4" x14ac:dyDescent="0.2">
      <c r="B63893" t="s">
        <v>1</v>
      </c>
      <c r="C63893" t="s">
        <v>83</v>
      </c>
      <c r="D63893" t="s">
        <v>1271</v>
      </c>
    </row>
    <row r="63894" spans="1:4" x14ac:dyDescent="0.2">
      <c r="B63894" t="s">
        <v>8</v>
      </c>
      <c r="C63894" t="s">
        <v>1044</v>
      </c>
      <c r="D63894" t="s">
        <v>24114</v>
      </c>
    </row>
    <row r="63896" spans="1:4" x14ac:dyDescent="0.2">
      <c r="A63896" t="s">
        <v>19908</v>
      </c>
      <c r="B63896" t="str">
        <f>HYPERLINK("https://lindat.mff.cuni.cz/services/teitok/pdtc10/index.php?action=vallex&amp;frame=v-whsa_2007f2_ZU", "zachytat si (v-whsa_2007f2_ZU)")</f>
        <v>zachytat si (v-whsa_2007f2_ZU)</v>
      </c>
    </row>
    <row r="63897" spans="1:4" x14ac:dyDescent="0.2">
      <c r="B63897" t="s">
        <v>1</v>
      </c>
    </row>
    <row r="63898" spans="1:4" x14ac:dyDescent="0.2">
      <c r="B63898" t="s">
        <v>8</v>
      </c>
    </row>
    <row r="63900" spans="1:4" x14ac:dyDescent="0.2">
      <c r="A63900" t="s">
        <v>19908</v>
      </c>
      <c r="B63900" t="str">
        <f>HYPERLINK("https://lindat.mff.cuni.cz/services/teitok/pdtc10/index.php?action=vallex&amp;frame=v-whsa_2007f1_ZU", "zachytat si (v-whsa_2007f1_ZU) - substituted with v-whsa_2007f2_ZU")</f>
        <v>zachytat si (v-whsa_2007f1_ZU) - substituted with v-whsa_2007f2_ZU</v>
      </c>
    </row>
    <row r="63901" spans="1:4" x14ac:dyDescent="0.2">
      <c r="B63901" t="s">
        <v>1</v>
      </c>
    </row>
    <row r="63902" spans="1:4" x14ac:dyDescent="0.2">
      <c r="B63902" t="s">
        <v>8</v>
      </c>
    </row>
    <row r="63904" spans="1:4" x14ac:dyDescent="0.2">
      <c r="A63904" t="s">
        <v>19908</v>
      </c>
      <c r="B63904" t="str">
        <f>HYPERLINK("https://lindat.mff.cuni.cz/services/teitok/pdtc10/index.php?action=vallex&amp;frame=v-whsa_2007hsa_2008", "zachytat si (v-whsa_2007hsa_2008) - substituted with v-whsa_2007f2_ZU")</f>
        <v>zachytat si (v-whsa_2007hsa_2008) - substituted with v-whsa_2007f2_ZU</v>
      </c>
    </row>
    <row r="63905" spans="1:4" x14ac:dyDescent="0.2">
      <c r="B63905" t="s">
        <v>1</v>
      </c>
    </row>
    <row r="63906" spans="1:4" x14ac:dyDescent="0.2">
      <c r="B63906" t="s">
        <v>8</v>
      </c>
    </row>
    <row r="63908" spans="1:4" x14ac:dyDescent="0.2">
      <c r="A63908" t="s">
        <v>19909</v>
      </c>
      <c r="B63908" t="str">
        <f>HYPERLINK("https://lindat.mff.cuni.cz/services/teitok/pdtc10/index.php?action=vallex&amp;frame=v-w8829f2", "zachytit (v-w8829f2)")</f>
        <v>zachytit (v-w8829f2)</v>
      </c>
    </row>
    <row r="63909" spans="1:4" x14ac:dyDescent="0.2">
      <c r="B63909" t="s">
        <v>1</v>
      </c>
      <c r="C63909" t="s">
        <v>8315</v>
      </c>
    </row>
    <row r="63910" spans="1:4" x14ac:dyDescent="0.2">
      <c r="B63910" t="s">
        <v>8</v>
      </c>
      <c r="C63910" t="s">
        <v>84</v>
      </c>
    </row>
    <row r="63911" spans="1:4" x14ac:dyDescent="0.2">
      <c r="B63911" t="s">
        <v>90</v>
      </c>
    </row>
    <row r="63913" spans="1:4" x14ac:dyDescent="0.2">
      <c r="A63913" t="s">
        <v>19910</v>
      </c>
      <c r="B63913" t="str">
        <f>HYPERLINK("https://lindat.mff.cuni.cz/services/teitok/pdtc10/index.php?action=vallex&amp;frame=v-w8829f1", "zachytit (v-w8829f1)")</f>
        <v>zachytit (v-w8829f1)</v>
      </c>
    </row>
    <row r="63914" spans="1:4" x14ac:dyDescent="0.2">
      <c r="B63914" t="s">
        <v>1</v>
      </c>
      <c r="C63914" t="s">
        <v>140</v>
      </c>
    </row>
    <row r="63915" spans="1:4" x14ac:dyDescent="0.2">
      <c r="B63915" t="s">
        <v>8</v>
      </c>
      <c r="C63915" t="s">
        <v>54</v>
      </c>
    </row>
    <row r="63917" spans="1:4" x14ac:dyDescent="0.2">
      <c r="A63917" t="s">
        <v>19911</v>
      </c>
      <c r="B63917" t="str">
        <f>HYPERLINK("https://lindat.mff.cuni.cz/services/teitok/pdtc10/index.php?action=vallex&amp;frame=v-w8829f3", "zachytit (v-w8829f3)")</f>
        <v>zachytit (v-w8829f3)</v>
      </c>
    </row>
    <row r="63918" spans="1:4" x14ac:dyDescent="0.2">
      <c r="B63918" t="s">
        <v>1</v>
      </c>
      <c r="C63918" t="s">
        <v>133</v>
      </c>
      <c r="D63918" t="s">
        <v>133</v>
      </c>
    </row>
    <row r="63919" spans="1:4" x14ac:dyDescent="0.2">
      <c r="B63919" t="s">
        <v>8</v>
      </c>
      <c r="C63919" t="s">
        <v>991</v>
      </c>
      <c r="D63919" t="s">
        <v>991</v>
      </c>
    </row>
    <row r="63921" spans="1:4" x14ac:dyDescent="0.2">
      <c r="A63921" t="s">
        <v>19912</v>
      </c>
      <c r="B63921" t="str">
        <f>HYPERLINK("https://lindat.mff.cuni.cz/services/teitok/pdtc10/index.php?action=vallex&amp;frame=v-w8829f4", "zachytit (v-w8829f4)")</f>
        <v>zachytit (v-w8829f4)</v>
      </c>
    </row>
    <row r="63922" spans="1:4" x14ac:dyDescent="0.2">
      <c r="B63922" t="s">
        <v>1</v>
      </c>
      <c r="C63922" t="s">
        <v>990</v>
      </c>
      <c r="D63922" t="s">
        <v>23142</v>
      </c>
    </row>
    <row r="63923" spans="1:4" x14ac:dyDescent="0.2">
      <c r="B63923" t="s">
        <v>8</v>
      </c>
      <c r="C63923" t="s">
        <v>110</v>
      </c>
      <c r="D63923" t="s">
        <v>23143</v>
      </c>
    </row>
    <row r="63925" spans="1:4" x14ac:dyDescent="0.2">
      <c r="A63925" t="s">
        <v>19913</v>
      </c>
      <c r="B63925" t="str">
        <f>HYPERLINK("https://lindat.mff.cuni.cz/services/teitok/pdtc10/index.php?action=vallex&amp;frame=v-w8829f5", "zachytit (v-w8829f5)")</f>
        <v>zachytit (v-w8829f5)</v>
      </c>
    </row>
    <row r="63926" spans="1:4" x14ac:dyDescent="0.2">
      <c r="B63926" t="s">
        <v>1</v>
      </c>
    </row>
    <row r="63927" spans="1:4" x14ac:dyDescent="0.2">
      <c r="B63927" t="s">
        <v>467</v>
      </c>
    </row>
    <row r="63929" spans="1:4" x14ac:dyDescent="0.2">
      <c r="A63929" t="s">
        <v>19914</v>
      </c>
      <c r="B63929" t="str">
        <f>HYPERLINK("https://lindat.mff.cuni.cz/services/teitok/pdtc10/index.php?action=vallex&amp;frame=v-w8829f6_ZU", "zachytit (v-w8829f6_ZU)")</f>
        <v>zachytit (v-w8829f6_ZU)</v>
      </c>
    </row>
    <row r="63930" spans="1:4" x14ac:dyDescent="0.2">
      <c r="B63930" t="s">
        <v>1</v>
      </c>
    </row>
    <row r="63931" spans="1:4" x14ac:dyDescent="0.2">
      <c r="B63931" t="s">
        <v>8</v>
      </c>
    </row>
    <row r="63933" spans="1:4" x14ac:dyDescent="0.2">
      <c r="A63933" t="s">
        <v>19915</v>
      </c>
      <c r="B63933" t="str">
        <f>HYPERLINK("https://lindat.mff.cuni.cz/services/teitok/pdtc10/index.php?action=vallex&amp;frame=v-w8830f1", "zachytit se (v-w8830f1)")</f>
        <v>zachytit se (v-w8830f1)</v>
      </c>
    </row>
    <row r="63934" spans="1:4" x14ac:dyDescent="0.2">
      <c r="B63934" t="s">
        <v>1</v>
      </c>
    </row>
    <row r="63935" spans="1:4" x14ac:dyDescent="0.2">
      <c r="B63935" t="s">
        <v>917</v>
      </c>
    </row>
    <row r="63937" spans="1:4" x14ac:dyDescent="0.2">
      <c r="A63937" t="s">
        <v>19916</v>
      </c>
      <c r="B63937" t="str">
        <f>HYPERLINK("https://lindat.mff.cuni.cz/services/teitok/pdtc10/index.php?action=vallex&amp;frame=v-w11216f2", "zachytávat (v-w11216f2)")</f>
        <v>zachytávat (v-w11216f2)</v>
      </c>
    </row>
    <row r="63938" spans="1:4" x14ac:dyDescent="0.2">
      <c r="B63938" t="s">
        <v>1</v>
      </c>
    </row>
    <row r="63939" spans="1:4" x14ac:dyDescent="0.2">
      <c r="B63939" t="s">
        <v>8</v>
      </c>
    </row>
    <row r="63941" spans="1:4" x14ac:dyDescent="0.2">
      <c r="A63941" t="s">
        <v>19917</v>
      </c>
      <c r="B63941" t="str">
        <f>HYPERLINK("https://lindat.mff.cuni.cz/services/teitok/pdtc10/index.php?action=vallex&amp;frame=v-w8813f1", "zacházet (v-w8813f1)")</f>
        <v>zacházet (v-w8813f1)</v>
      </c>
    </row>
    <row r="63942" spans="1:4" x14ac:dyDescent="0.2">
      <c r="B63942" t="s">
        <v>1</v>
      </c>
      <c r="C63942" t="s">
        <v>230</v>
      </c>
      <c r="D63942" t="s">
        <v>230</v>
      </c>
    </row>
    <row r="63943" spans="1:4" x14ac:dyDescent="0.2">
      <c r="B63943" t="s">
        <v>411</v>
      </c>
      <c r="C63943" t="s">
        <v>19918</v>
      </c>
      <c r="D63943" t="s">
        <v>1078</v>
      </c>
    </row>
    <row r="63944" spans="1:4" x14ac:dyDescent="0.2">
      <c r="B63944" t="s">
        <v>346</v>
      </c>
      <c r="C63944" t="s">
        <v>19919</v>
      </c>
      <c r="D63944" t="s">
        <v>23051</v>
      </c>
    </row>
    <row r="63945" spans="1:4" x14ac:dyDescent="0.2">
      <c r="B63945" t="s">
        <v>349</v>
      </c>
      <c r="D63945" t="s">
        <v>24094</v>
      </c>
    </row>
    <row r="63946" spans="1:4" x14ac:dyDescent="0.2">
      <c r="B63946" t="s">
        <v>350</v>
      </c>
      <c r="D63946" t="s">
        <v>24095</v>
      </c>
    </row>
    <row r="63947" spans="1:4" x14ac:dyDescent="0.2">
      <c r="B63947" t="s">
        <v>351</v>
      </c>
      <c r="D63947" t="s">
        <v>24096</v>
      </c>
    </row>
    <row r="63949" spans="1:4" x14ac:dyDescent="0.2">
      <c r="A63949" t="s">
        <v>19920</v>
      </c>
      <c r="B63949" t="str">
        <f>HYPERLINK("https://lindat.mff.cuni.cz/services/teitok/pdtc10/index.php?action=vallex&amp;frame=v-w8813f2", "zacházet (v-w8813f2)")</f>
        <v>zacházet (v-w8813f2)</v>
      </c>
    </row>
    <row r="63950" spans="1:4" x14ac:dyDescent="0.2">
      <c r="B63950" t="s">
        <v>1</v>
      </c>
      <c r="C63950" t="s">
        <v>3810</v>
      </c>
      <c r="D63950" t="s">
        <v>23714</v>
      </c>
    </row>
    <row r="63951" spans="1:4" x14ac:dyDescent="0.2">
      <c r="B63951" t="s">
        <v>411</v>
      </c>
      <c r="C63951" t="s">
        <v>5890</v>
      </c>
      <c r="D63951" t="s">
        <v>23715</v>
      </c>
    </row>
    <row r="63953" spans="1:2" x14ac:dyDescent="0.2">
      <c r="A63953" t="s">
        <v>19921</v>
      </c>
      <c r="B63953" t="str">
        <f>HYPERLINK("https://lindat.mff.cuni.cz/services/teitok/pdtc10/index.php?action=vallex&amp;frame=v-w8813f8_ZU", "zacházet (v-w8813f8_ZU)")</f>
        <v>zacházet (v-w8813f8_ZU)</v>
      </c>
    </row>
    <row r="63954" spans="1:2" x14ac:dyDescent="0.2">
      <c r="B63954" t="s">
        <v>1</v>
      </c>
    </row>
    <row r="63955" spans="1:2" x14ac:dyDescent="0.2">
      <c r="B63955" t="s">
        <v>19922</v>
      </c>
    </row>
    <row r="63957" spans="1:2" x14ac:dyDescent="0.2">
      <c r="A63957" t="s">
        <v>19921</v>
      </c>
      <c r="B63957" t="str">
        <f>HYPERLINK("https://lindat.mff.cuni.cz/services/teitok/pdtc10/index.php?action=vallex&amp;frame=v-w8813f3", "zacházet (v-w8813f3) - substituted with v-w8813f8_ZU")</f>
        <v>zacházet (v-w8813f3) - substituted with v-w8813f8_ZU</v>
      </c>
    </row>
    <row r="63958" spans="1:2" x14ac:dyDescent="0.2">
      <c r="B63958" t="s">
        <v>1</v>
      </c>
    </row>
    <row r="63959" spans="1:2" x14ac:dyDescent="0.2">
      <c r="B63959" t="s">
        <v>19922</v>
      </c>
    </row>
    <row r="63961" spans="1:2" x14ac:dyDescent="0.2">
      <c r="A63961" t="s">
        <v>19921</v>
      </c>
      <c r="B63961" t="str">
        <f>HYPERLINK("https://lindat.mff.cuni.cz/services/teitok/pdtc10/index.php?action=vallex&amp;frame=v-w8813f4_ZU", "zacházet (v-w8813f4_ZU) - substituted with v-w8813f8_ZU")</f>
        <v>zacházet (v-w8813f4_ZU) - substituted with v-w8813f8_ZU</v>
      </c>
    </row>
    <row r="63962" spans="1:2" x14ac:dyDescent="0.2">
      <c r="B63962" t="s">
        <v>1</v>
      </c>
    </row>
    <row r="63963" spans="1:2" x14ac:dyDescent="0.2">
      <c r="B63963" t="s">
        <v>19922</v>
      </c>
    </row>
    <row r="63965" spans="1:2" x14ac:dyDescent="0.2">
      <c r="A63965" t="s">
        <v>19921</v>
      </c>
      <c r="B63965" t="str">
        <f>HYPERLINK("https://lindat.mff.cuni.cz/services/teitok/pdtc10/index.php?action=vallex&amp;frame=v-w8813f7_ZU", "zacházet (v-w8813f7_ZU) - substituted with v-w8813f8_ZU")</f>
        <v>zacházet (v-w8813f7_ZU) - substituted with v-w8813f8_ZU</v>
      </c>
    </row>
    <row r="63966" spans="1:2" x14ac:dyDescent="0.2">
      <c r="B63966" t="s">
        <v>1</v>
      </c>
    </row>
    <row r="63967" spans="1:2" x14ac:dyDescent="0.2">
      <c r="B63967" t="s">
        <v>19922</v>
      </c>
    </row>
    <row r="63969" spans="1:4" x14ac:dyDescent="0.2">
      <c r="A63969" t="s">
        <v>19923</v>
      </c>
      <c r="B63969" t="str">
        <f>HYPERLINK("https://lindat.mff.cuni.cz/services/teitok/pdtc10/index.php?action=vallex&amp;frame=v-w8813f6_ZU", "zacházet (v-w8813f6_ZU)")</f>
        <v>zacházet (v-w8813f6_ZU)</v>
      </c>
    </row>
    <row r="63970" spans="1:4" x14ac:dyDescent="0.2">
      <c r="B63970" t="s">
        <v>1</v>
      </c>
      <c r="D63970" t="s">
        <v>23107</v>
      </c>
    </row>
    <row r="63971" spans="1:4" x14ac:dyDescent="0.2">
      <c r="B63971" t="s">
        <v>252</v>
      </c>
      <c r="D63971" t="s">
        <v>23108</v>
      </c>
    </row>
    <row r="63973" spans="1:4" x14ac:dyDescent="0.2">
      <c r="A63973" t="s">
        <v>19923</v>
      </c>
      <c r="B63973" t="str">
        <f>HYPERLINK("https://lindat.mff.cuni.cz/services/teitok/pdtc10/index.php?action=vallex&amp;frame=v-w8813f5_ZU", "zacházet (v-w8813f5_ZU) - substituted with v-w8813f6_ZU")</f>
        <v>zacházet (v-w8813f5_ZU) - substituted with v-w8813f6_ZU</v>
      </c>
    </row>
    <row r="63974" spans="1:4" x14ac:dyDescent="0.2">
      <c r="B63974" t="s">
        <v>1</v>
      </c>
    </row>
    <row r="63975" spans="1:4" x14ac:dyDescent="0.2">
      <c r="B63975" t="s">
        <v>252</v>
      </c>
    </row>
    <row r="63977" spans="1:4" x14ac:dyDescent="0.2">
      <c r="A63977" t="s">
        <v>19924</v>
      </c>
      <c r="B63977" t="str">
        <f>HYPERLINK("https://lindat.mff.cuni.cz/services/teitok/pdtc10/index.php?action=vallex&amp;frame=v-w8813f9_ZU", "zacházet (v-w8813f9_ZU)")</f>
        <v>zacházet (v-w8813f9_ZU)</v>
      </c>
    </row>
    <row r="63978" spans="1:4" x14ac:dyDescent="0.2">
      <c r="B63978" t="s">
        <v>1</v>
      </c>
    </row>
    <row r="63979" spans="1:4" x14ac:dyDescent="0.2">
      <c r="B63979" t="s">
        <v>19925</v>
      </c>
    </row>
    <row r="63981" spans="1:4" x14ac:dyDescent="0.2">
      <c r="A63981" t="s">
        <v>19926</v>
      </c>
      <c r="B63981" t="str">
        <f>HYPERLINK("https://lindat.mff.cuni.cz/services/teitok/pdtc10/index.php?action=vallex&amp;frame=v-w8813f11_ZU", "zacházet (v-w8813f11_ZU)")</f>
        <v>zacházet (v-w8813f11_ZU)</v>
      </c>
    </row>
    <row r="63982" spans="1:4" x14ac:dyDescent="0.2">
      <c r="B63982" t="s">
        <v>1</v>
      </c>
      <c r="C63982" t="s">
        <v>19927</v>
      </c>
    </row>
    <row r="63983" spans="1:4" x14ac:dyDescent="0.2">
      <c r="B63983" t="s">
        <v>1597</v>
      </c>
    </row>
    <row r="63985" spans="1:4" x14ac:dyDescent="0.2">
      <c r="A63985" t="s">
        <v>19926</v>
      </c>
      <c r="B63985" t="str">
        <f>HYPERLINK("https://lindat.mff.cuni.cz/services/teitok/pdtc10/index.php?action=vallex&amp;frame=v-w8813f10_ZU", "zacházet (v-w8813f10_ZU) - substituted with v-w8813f11_ZU")</f>
        <v>zacházet (v-w8813f10_ZU) - substituted with v-w8813f11_ZU</v>
      </c>
    </row>
    <row r="63986" spans="1:4" x14ac:dyDescent="0.2">
      <c r="B63986" t="s">
        <v>1</v>
      </c>
    </row>
    <row r="63987" spans="1:4" x14ac:dyDescent="0.2">
      <c r="B63987" t="s">
        <v>1597</v>
      </c>
    </row>
    <row r="63989" spans="1:4" x14ac:dyDescent="0.2">
      <c r="A63989" t="s">
        <v>19928</v>
      </c>
      <c r="B63989" t="str">
        <f>HYPERLINK("https://lindat.mff.cuni.cz/services/teitok/pdtc10/index.php?action=vallex&amp;frame=v-w8813f12_ZU", "zacházet (v-w8813f12_ZU)")</f>
        <v>zacházet (v-w8813f12_ZU)</v>
      </c>
    </row>
    <row r="63990" spans="1:4" x14ac:dyDescent="0.2">
      <c r="B63990" t="s">
        <v>1</v>
      </c>
    </row>
    <row r="63991" spans="1:4" x14ac:dyDescent="0.2">
      <c r="B63991" t="s">
        <v>252</v>
      </c>
    </row>
    <row r="63993" spans="1:4" x14ac:dyDescent="0.2">
      <c r="A63993" t="s">
        <v>19929</v>
      </c>
      <c r="B63993" t="str">
        <f>HYPERLINK("https://lindat.mff.cuni.cz/services/teitok/pdtc10/index.php?action=vallex&amp;frame=v-whsa_1327hsa_1328", "zaclonit (v-whsa_1327hsa_1328)")</f>
        <v>zaclonit (v-whsa_1327hsa_1328)</v>
      </c>
    </row>
    <row r="63994" spans="1:4" x14ac:dyDescent="0.2">
      <c r="B63994" t="s">
        <v>1</v>
      </c>
      <c r="C63994" t="s">
        <v>133</v>
      </c>
      <c r="D63994" t="s">
        <v>23370</v>
      </c>
    </row>
    <row r="63995" spans="1:4" x14ac:dyDescent="0.2">
      <c r="B63995" t="s">
        <v>8</v>
      </c>
      <c r="C63995" t="s">
        <v>1044</v>
      </c>
      <c r="D63995" t="s">
        <v>23371</v>
      </c>
    </row>
    <row r="63996" spans="1:4" x14ac:dyDescent="0.2">
      <c r="B63996" t="s">
        <v>3200</v>
      </c>
      <c r="C63996" t="s">
        <v>7074</v>
      </c>
      <c r="D63996" t="s">
        <v>24469</v>
      </c>
    </row>
    <row r="63998" spans="1:4" x14ac:dyDescent="0.2">
      <c r="A63998" t="s">
        <v>19930</v>
      </c>
      <c r="B63998" t="str">
        <f>HYPERLINK("https://lindat.mff.cuni.cz/services/teitok/pdtc10/index.php?action=vallex&amp;frame=v-whsa_1781hsa_1782", "zacpat (v-whsa_1781hsa_1782)")</f>
        <v>zacpat (v-whsa_1781hsa_1782)</v>
      </c>
    </row>
    <row r="63999" spans="1:4" x14ac:dyDescent="0.2">
      <c r="B63999" t="s">
        <v>1</v>
      </c>
    </row>
    <row r="64000" spans="1:4" x14ac:dyDescent="0.2">
      <c r="B64000" t="s">
        <v>8</v>
      </c>
    </row>
    <row r="64002" spans="1:4" x14ac:dyDescent="0.2">
      <c r="A64002" t="s">
        <v>19931</v>
      </c>
      <c r="B64002" t="str">
        <f>HYPERLINK("https://lindat.mff.cuni.cz/services/teitok/pdtc10/index.php?action=vallex&amp;frame=v-whsa_898hsa_899", "zacvaknout (v-whsa_898hsa_899)")</f>
        <v>zacvaknout (v-whsa_898hsa_899)</v>
      </c>
    </row>
    <row r="64003" spans="1:4" x14ac:dyDescent="0.2">
      <c r="B64003" t="s">
        <v>1</v>
      </c>
    </row>
    <row r="64004" spans="1:4" x14ac:dyDescent="0.2">
      <c r="B64004" t="s">
        <v>8</v>
      </c>
    </row>
    <row r="64005" spans="1:4" x14ac:dyDescent="0.2">
      <c r="B64005" t="s">
        <v>130</v>
      </c>
    </row>
    <row r="64007" spans="1:4" x14ac:dyDescent="0.2">
      <c r="A64007" t="s">
        <v>19932</v>
      </c>
      <c r="B64007" t="str">
        <f>HYPERLINK("https://lindat.mff.cuni.cz/services/teitok/pdtc10/index.php?action=vallex&amp;frame=v-whsa_1083hsa_1084", "zacvičit (v-whsa_1083hsa_1084)")</f>
        <v>zacvičit (v-whsa_1083hsa_1084)</v>
      </c>
    </row>
    <row r="64008" spans="1:4" x14ac:dyDescent="0.2">
      <c r="B64008" t="s">
        <v>1</v>
      </c>
    </row>
    <row r="64009" spans="1:4" x14ac:dyDescent="0.2">
      <c r="B64009" t="s">
        <v>8</v>
      </c>
    </row>
    <row r="64011" spans="1:4" x14ac:dyDescent="0.2">
      <c r="A64011" t="s">
        <v>19933</v>
      </c>
      <c r="B64011" t="str">
        <f>HYPERLINK("https://lindat.mff.cuni.cz/services/teitok/pdtc10/index.php?action=vallex&amp;frame=v-whsa_1083f1_ZU", "zacvičit (v-whsa_1083f1_ZU)")</f>
        <v>zacvičit (v-whsa_1083f1_ZU)</v>
      </c>
    </row>
    <row r="64012" spans="1:4" x14ac:dyDescent="0.2">
      <c r="B64012" t="s">
        <v>1</v>
      </c>
    </row>
    <row r="64013" spans="1:4" x14ac:dyDescent="0.2">
      <c r="B64013" t="s">
        <v>220</v>
      </c>
    </row>
    <row r="64015" spans="1:4" x14ac:dyDescent="0.2">
      <c r="A64015" t="s">
        <v>19934</v>
      </c>
      <c r="B64015" t="str">
        <f>HYPERLINK("https://lindat.mff.cuni.cz/services/teitok/pdtc10/index.php?action=vallex&amp;frame=v-w11493f1", "zacvičit si (v-w11493f1)")</f>
        <v>zacvičit si (v-w11493f1)</v>
      </c>
    </row>
    <row r="64016" spans="1:4" x14ac:dyDescent="0.2">
      <c r="B64016" t="s">
        <v>1</v>
      </c>
      <c r="D64016" t="s">
        <v>83</v>
      </c>
    </row>
    <row r="64018" spans="1:2" x14ac:dyDescent="0.2">
      <c r="A64018" t="s">
        <v>19935</v>
      </c>
      <c r="B64018" t="str">
        <f>HYPERLINK("https://lindat.mff.cuni.cz/services/teitok/pdtc10/index.php?action=vallex&amp;frame=v-whsa_466hsa_467", "zacvičovat (v-whsa_466hsa_467)")</f>
        <v>zacvičovat (v-whsa_466hsa_467)</v>
      </c>
    </row>
    <row r="64019" spans="1:2" x14ac:dyDescent="0.2">
      <c r="B64019" t="s">
        <v>1</v>
      </c>
    </row>
    <row r="64020" spans="1:2" x14ac:dyDescent="0.2">
      <c r="B64020" t="s">
        <v>8</v>
      </c>
    </row>
    <row r="64022" spans="1:2" x14ac:dyDescent="0.2">
      <c r="A64022" t="s">
        <v>19936</v>
      </c>
      <c r="B64022" t="str">
        <f>HYPERLINK("https://lindat.mff.cuni.cz/services/teitok/pdtc10/index.php?action=vallex&amp;frame=v-w10267f3_ZU", "zacílit (v-w10267f3_ZU)")</f>
        <v>zacílit (v-w10267f3_ZU)</v>
      </c>
    </row>
    <row r="64023" spans="1:2" x14ac:dyDescent="0.2">
      <c r="B64023" t="s">
        <v>1</v>
      </c>
    </row>
    <row r="64024" spans="1:2" x14ac:dyDescent="0.2">
      <c r="B64024" t="s">
        <v>8</v>
      </c>
    </row>
    <row r="64025" spans="1:2" x14ac:dyDescent="0.2">
      <c r="B64025" t="s">
        <v>90</v>
      </c>
    </row>
    <row r="64027" spans="1:2" x14ac:dyDescent="0.2">
      <c r="A64027" t="s">
        <v>19937</v>
      </c>
      <c r="B64027" t="str">
        <f>HYPERLINK("https://lindat.mff.cuni.cz/services/teitok/pdtc10/index.php?action=vallex&amp;frame=v-w10267f2", "zacílit (v-w10267f2)")</f>
        <v>zacílit (v-w10267f2)</v>
      </c>
    </row>
    <row r="64028" spans="1:2" x14ac:dyDescent="0.2">
      <c r="B64028" t="s">
        <v>1</v>
      </c>
    </row>
    <row r="64029" spans="1:2" x14ac:dyDescent="0.2">
      <c r="B64029" t="s">
        <v>90</v>
      </c>
    </row>
    <row r="64031" spans="1:2" x14ac:dyDescent="0.2">
      <c r="A64031" t="s">
        <v>19938</v>
      </c>
      <c r="B64031" t="str">
        <f>HYPERLINK("https://lindat.mff.cuni.cz/services/teitok/pdtc10/index.php?action=vallex&amp;frame=v-w12196_ZUf1_ZU", "zadaptovat (v-w12196_ZUf1_ZU)")</f>
        <v>zadaptovat (v-w12196_ZUf1_ZU)</v>
      </c>
    </row>
    <row r="64032" spans="1:2" x14ac:dyDescent="0.2">
      <c r="B64032" t="s">
        <v>1</v>
      </c>
    </row>
    <row r="64033" spans="1:4" x14ac:dyDescent="0.2">
      <c r="B64033" t="s">
        <v>8</v>
      </c>
    </row>
    <row r="64035" spans="1:4" x14ac:dyDescent="0.2">
      <c r="A64035" t="s">
        <v>19939</v>
      </c>
      <c r="B64035" t="str">
        <f>HYPERLINK("https://lindat.mff.cuni.cz/services/teitok/pdtc10/index.php?action=vallex&amp;frame=v-w8763f1", "zadat (v-w8763f1)")</f>
        <v>zadat (v-w8763f1)</v>
      </c>
    </row>
    <row r="64036" spans="1:4" x14ac:dyDescent="0.2">
      <c r="B64036" t="s">
        <v>1</v>
      </c>
      <c r="C64036" t="s">
        <v>19940</v>
      </c>
      <c r="D64036" t="s">
        <v>3590</v>
      </c>
    </row>
    <row r="64037" spans="1:4" x14ac:dyDescent="0.2">
      <c r="B64037" t="s">
        <v>8</v>
      </c>
      <c r="C64037" t="s">
        <v>19941</v>
      </c>
      <c r="D64037" t="s">
        <v>1362</v>
      </c>
    </row>
    <row r="64038" spans="1:4" x14ac:dyDescent="0.2">
      <c r="B64038" t="s">
        <v>35</v>
      </c>
      <c r="C64038" t="s">
        <v>19942</v>
      </c>
      <c r="D64038" t="s">
        <v>23896</v>
      </c>
    </row>
    <row r="64040" spans="1:4" x14ac:dyDescent="0.2">
      <c r="A64040" t="s">
        <v>19943</v>
      </c>
      <c r="B64040" t="str">
        <f>HYPERLINK("https://lindat.mff.cuni.cz/services/teitok/pdtc10/index.php?action=vallex&amp;frame=v-w8763f3_ZU", "zadat (v-w8763f3_ZU)")</f>
        <v>zadat (v-w8763f3_ZU)</v>
      </c>
    </row>
    <row r="64041" spans="1:4" x14ac:dyDescent="0.2">
      <c r="B64041" t="s">
        <v>1</v>
      </c>
      <c r="C64041" t="s">
        <v>6902</v>
      </c>
    </row>
    <row r="64042" spans="1:4" x14ac:dyDescent="0.2">
      <c r="B64042" t="s">
        <v>19944</v>
      </c>
      <c r="C64042" t="s">
        <v>10945</v>
      </c>
    </row>
    <row r="64043" spans="1:4" x14ac:dyDescent="0.2">
      <c r="B64043" t="s">
        <v>35</v>
      </c>
    </row>
    <row r="64045" spans="1:4" x14ac:dyDescent="0.2">
      <c r="A64045" t="s">
        <v>19943</v>
      </c>
      <c r="B64045" t="str">
        <f>HYPERLINK("https://lindat.mff.cuni.cz/services/teitok/pdtc10/index.php?action=vallex&amp;frame=v-w8763hsa_771", "zadat (v-w8763hsa_771) - substituted with v-w8763f3_ZU")</f>
        <v>zadat (v-w8763hsa_771) - substituted with v-w8763f3_ZU</v>
      </c>
    </row>
    <row r="64046" spans="1:4" x14ac:dyDescent="0.2">
      <c r="B64046" t="s">
        <v>1</v>
      </c>
    </row>
    <row r="64047" spans="1:4" x14ac:dyDescent="0.2">
      <c r="B64047" t="s">
        <v>19944</v>
      </c>
    </row>
    <row r="64048" spans="1:4" x14ac:dyDescent="0.2">
      <c r="B64048" t="s">
        <v>35</v>
      </c>
    </row>
    <row r="64050" spans="1:4" x14ac:dyDescent="0.2">
      <c r="A64050" t="s">
        <v>19945</v>
      </c>
      <c r="B64050" t="str">
        <f>HYPERLINK("https://lindat.mff.cuni.cz/services/teitok/pdtc10/index.php?action=vallex&amp;frame=v-w8763f2_ZU", "zadat (v-w8763f2_ZU)")</f>
        <v>zadat (v-w8763f2_ZU)</v>
      </c>
    </row>
    <row r="64051" spans="1:4" x14ac:dyDescent="0.2">
      <c r="B64051" t="s">
        <v>1</v>
      </c>
      <c r="C64051" t="s">
        <v>2353</v>
      </c>
      <c r="D64051" t="s">
        <v>23261</v>
      </c>
    </row>
    <row r="64052" spans="1:4" x14ac:dyDescent="0.2">
      <c r="B64052" t="s">
        <v>8</v>
      </c>
      <c r="C64052" t="s">
        <v>240</v>
      </c>
      <c r="D64052" t="s">
        <v>9548</v>
      </c>
    </row>
    <row r="64054" spans="1:4" x14ac:dyDescent="0.2">
      <c r="A64054" t="s">
        <v>19945</v>
      </c>
      <c r="B64054" t="str">
        <f>HYPERLINK("https://lindat.mff.cuni.cz/services/teitok/pdtc10/index.php?action=vallex&amp;frame=v-w8763hsa_772", "zadat (v-w8763hsa_772) - substituted with v-w8763f2_ZU")</f>
        <v>zadat (v-w8763hsa_772) - substituted with v-w8763f2_ZU</v>
      </c>
    </row>
    <row r="64055" spans="1:4" x14ac:dyDescent="0.2">
      <c r="B64055" t="s">
        <v>1</v>
      </c>
      <c r="C64055" t="s">
        <v>2303</v>
      </c>
    </row>
    <row r="64056" spans="1:4" x14ac:dyDescent="0.2">
      <c r="B64056" t="s">
        <v>8</v>
      </c>
      <c r="C64056" t="s">
        <v>1190</v>
      </c>
    </row>
    <row r="64058" spans="1:4" x14ac:dyDescent="0.2">
      <c r="A64058" t="s">
        <v>19946</v>
      </c>
      <c r="B64058" t="str">
        <f>HYPERLINK("https://lindat.mff.cuni.cz/services/teitok/pdtc10/index.php?action=vallex&amp;frame=v-w8763hsa_1721", "zadat (v-w8763hsa_1721)")</f>
        <v>zadat (v-w8763hsa_1721)</v>
      </c>
    </row>
    <row r="64059" spans="1:4" x14ac:dyDescent="0.2">
      <c r="B64059" t="s">
        <v>1</v>
      </c>
    </row>
    <row r="64060" spans="1:4" x14ac:dyDescent="0.2">
      <c r="B64060" t="s">
        <v>8</v>
      </c>
    </row>
    <row r="64061" spans="1:4" x14ac:dyDescent="0.2">
      <c r="B64061" t="s">
        <v>90</v>
      </c>
    </row>
    <row r="64063" spans="1:4" x14ac:dyDescent="0.2">
      <c r="A64063" t="s">
        <v>19947</v>
      </c>
      <c r="B64063" t="str">
        <f>HYPERLINK("https://lindat.mff.cuni.cz/services/teitok/pdtc10/index.php?action=vallex&amp;frame=v-w8764f2_ZU", "zadat si (v-w8764f2_ZU)")</f>
        <v>zadat si (v-w8764f2_ZU)</v>
      </c>
    </row>
    <row r="64064" spans="1:4" x14ac:dyDescent="0.2">
      <c r="B64064" t="s">
        <v>1</v>
      </c>
    </row>
    <row r="64065" spans="1:2" x14ac:dyDescent="0.2">
      <c r="B64065" t="s">
        <v>19948</v>
      </c>
    </row>
    <row r="64067" spans="1:2" x14ac:dyDescent="0.2">
      <c r="A64067" t="s">
        <v>19947</v>
      </c>
      <c r="B64067" t="str">
        <f>HYPERLINK("https://lindat.mff.cuni.cz/services/teitok/pdtc10/index.php?action=vallex&amp;frame=v-w8764f1", "zadat si (v-w8764f1) - substituted with v-w8764f2_ZU")</f>
        <v>zadat si (v-w8764f1) - substituted with v-w8764f2_ZU</v>
      </c>
    </row>
    <row r="64068" spans="1:2" x14ac:dyDescent="0.2">
      <c r="B64068" t="s">
        <v>1</v>
      </c>
    </row>
    <row r="64069" spans="1:2" x14ac:dyDescent="0.2">
      <c r="B64069" t="s">
        <v>19948</v>
      </c>
    </row>
    <row r="64071" spans="1:2" x14ac:dyDescent="0.2">
      <c r="A64071" t="s">
        <v>19949</v>
      </c>
      <c r="B64071" t="str">
        <f>HYPERLINK("https://lindat.mff.cuni.cz/services/teitok/pdtc10/index.php?action=vallex&amp;frame=v-w8770f1", "zadlužit (v-w8770f1)")</f>
        <v>zadlužit (v-w8770f1)</v>
      </c>
    </row>
    <row r="64072" spans="1:2" x14ac:dyDescent="0.2">
      <c r="B64072" t="s">
        <v>1</v>
      </c>
    </row>
    <row r="64073" spans="1:2" x14ac:dyDescent="0.2">
      <c r="B64073" t="s">
        <v>8</v>
      </c>
    </row>
    <row r="64075" spans="1:2" x14ac:dyDescent="0.2">
      <c r="A64075" t="s">
        <v>19950</v>
      </c>
      <c r="B64075" t="str">
        <f>HYPERLINK("https://lindat.mff.cuni.cz/services/teitok/pdtc10/index.php?action=vallex&amp;frame=v-w8771f1", "zadlužit se (v-w8771f1)")</f>
        <v>zadlužit se (v-w8771f1)</v>
      </c>
    </row>
    <row r="64076" spans="1:2" x14ac:dyDescent="0.2">
      <c r="B64076" t="s">
        <v>1</v>
      </c>
    </row>
    <row r="64078" spans="1:2" x14ac:dyDescent="0.2">
      <c r="A64078" t="s">
        <v>19951</v>
      </c>
      <c r="B64078" t="str">
        <f>HYPERLINK("https://lindat.mff.cuni.cz/services/teitok/pdtc10/index.php?action=vallex&amp;frame=v-w8773f1", "zadlužovat (v-w8773f1)")</f>
        <v>zadlužovat (v-w8773f1)</v>
      </c>
    </row>
    <row r="64079" spans="1:2" x14ac:dyDescent="0.2">
      <c r="B64079" t="s">
        <v>1</v>
      </c>
    </row>
    <row r="64080" spans="1:2" x14ac:dyDescent="0.2">
      <c r="B64080" t="s">
        <v>8</v>
      </c>
    </row>
    <row r="64082" spans="1:4" x14ac:dyDescent="0.2">
      <c r="A64082" t="s">
        <v>19952</v>
      </c>
      <c r="B64082" t="str">
        <f>HYPERLINK("https://lindat.mff.cuni.cz/services/teitok/pdtc10/index.php?action=vallex&amp;frame=v-w8774f1", "zadministrovat (v-w8774f1)")</f>
        <v>zadministrovat (v-w8774f1)</v>
      </c>
    </row>
    <row r="64083" spans="1:4" x14ac:dyDescent="0.2">
      <c r="B64083" t="s">
        <v>1</v>
      </c>
    </row>
    <row r="64084" spans="1:4" x14ac:dyDescent="0.2">
      <c r="B64084" t="s">
        <v>8</v>
      </c>
    </row>
    <row r="64086" spans="1:4" x14ac:dyDescent="0.2">
      <c r="A64086" t="s">
        <v>19953</v>
      </c>
      <c r="B64086" t="str">
        <f>HYPERLINK("https://lindat.mff.cuni.cz/services/teitok/pdtc10/index.php?action=vallex&amp;frame=v-w8776f2", "zadrhnout se (v-w8776f2)")</f>
        <v>zadrhnout se (v-w8776f2)</v>
      </c>
    </row>
    <row r="64087" spans="1:4" x14ac:dyDescent="0.2">
      <c r="B64087" t="s">
        <v>1</v>
      </c>
      <c r="C64087" t="s">
        <v>19954</v>
      </c>
      <c r="D64087" t="s">
        <v>24470</v>
      </c>
    </row>
    <row r="64089" spans="1:4" x14ac:dyDescent="0.2">
      <c r="A64089" t="s">
        <v>19953</v>
      </c>
      <c r="B64089" t="str">
        <f>HYPERLINK("https://lindat.mff.cuni.cz/services/teitok/pdtc10/index.php?action=vallex&amp;frame=v-w8776f1", "zadrhnout se (v-w8776f1) - substituted with v-w8776f2")</f>
        <v>zadrhnout se (v-w8776f1) - substituted with v-w8776f2</v>
      </c>
    </row>
    <row r="64090" spans="1:4" x14ac:dyDescent="0.2">
      <c r="B64090" t="s">
        <v>1</v>
      </c>
    </row>
    <row r="64092" spans="1:4" x14ac:dyDescent="0.2">
      <c r="A64092" t="s">
        <v>19955</v>
      </c>
      <c r="B64092" t="str">
        <f>HYPERLINK("https://lindat.mff.cuni.cz/services/teitok/pdtc10/index.php?action=vallex&amp;frame=v-whsa_116hsa_117", "zadrhávat se (v-whsa_116hsa_117)")</f>
        <v>zadrhávat se (v-whsa_116hsa_117)</v>
      </c>
    </row>
    <row r="64093" spans="1:4" x14ac:dyDescent="0.2">
      <c r="B64093" t="s">
        <v>1</v>
      </c>
      <c r="C64093" t="s">
        <v>2698</v>
      </c>
      <c r="D64093" t="s">
        <v>24470</v>
      </c>
    </row>
    <row r="64094" spans="1:4" x14ac:dyDescent="0.2">
      <c r="B64094" t="s">
        <v>161</v>
      </c>
      <c r="C64094" t="s">
        <v>113</v>
      </c>
      <c r="D64094" t="s">
        <v>24471</v>
      </c>
    </row>
    <row r="64096" spans="1:4" x14ac:dyDescent="0.2">
      <c r="A64096" t="s">
        <v>19956</v>
      </c>
      <c r="B64096" t="str">
        <f>HYPERLINK("https://lindat.mff.cuni.cz/services/teitok/pdtc10/index.php?action=vallex&amp;frame=v-w8778f2", "zadržet (v-w8778f2)")</f>
        <v>zadržet (v-w8778f2)</v>
      </c>
    </row>
    <row r="64097" spans="1:4" x14ac:dyDescent="0.2">
      <c r="B64097" t="s">
        <v>1</v>
      </c>
      <c r="C64097" t="s">
        <v>83</v>
      </c>
    </row>
    <row r="64098" spans="1:4" x14ac:dyDescent="0.2">
      <c r="B64098" t="s">
        <v>8</v>
      </c>
      <c r="C64098" t="s">
        <v>1340</v>
      </c>
    </row>
    <row r="64099" spans="1:4" x14ac:dyDescent="0.2">
      <c r="B64099" t="s">
        <v>78</v>
      </c>
    </row>
    <row r="64101" spans="1:4" x14ac:dyDescent="0.2">
      <c r="A64101" t="s">
        <v>19957</v>
      </c>
      <c r="B64101" t="str">
        <f>HYPERLINK("https://lindat.mff.cuni.cz/services/teitok/pdtc10/index.php?action=vallex&amp;frame=v-w8778f1", "zadržet (v-w8778f1)")</f>
        <v>zadržet (v-w8778f1)</v>
      </c>
    </row>
    <row r="64102" spans="1:4" x14ac:dyDescent="0.2">
      <c r="B64102" t="s">
        <v>1</v>
      </c>
      <c r="C64102" t="s">
        <v>80</v>
      </c>
      <c r="D64102" t="s">
        <v>294</v>
      </c>
    </row>
    <row r="64103" spans="1:4" x14ac:dyDescent="0.2">
      <c r="B64103" t="s">
        <v>8</v>
      </c>
      <c r="C64103" t="s">
        <v>17</v>
      </c>
      <c r="D64103" t="s">
        <v>1351</v>
      </c>
    </row>
    <row r="64105" spans="1:4" x14ac:dyDescent="0.2">
      <c r="A64105" t="s">
        <v>19958</v>
      </c>
      <c r="B64105" t="str">
        <f>HYPERLINK("https://lindat.mff.cuni.cz/services/teitok/pdtc10/index.php?action=vallex&amp;frame=v-w8778f3_ZU", "zadržet (v-w8778f3_ZU)")</f>
        <v>zadržet (v-w8778f3_ZU)</v>
      </c>
    </row>
    <row r="64106" spans="1:4" x14ac:dyDescent="0.2">
      <c r="B64106" t="s">
        <v>1</v>
      </c>
      <c r="C64106" t="s">
        <v>19959</v>
      </c>
      <c r="D64106" t="s">
        <v>294</v>
      </c>
    </row>
    <row r="64107" spans="1:4" x14ac:dyDescent="0.2">
      <c r="B64107" t="s">
        <v>8</v>
      </c>
      <c r="C64107" t="s">
        <v>4132</v>
      </c>
      <c r="D64107" t="s">
        <v>1351</v>
      </c>
    </row>
    <row r="64109" spans="1:4" x14ac:dyDescent="0.2">
      <c r="A64109" t="s">
        <v>19960</v>
      </c>
      <c r="B64109" t="str">
        <f>HYPERLINK("https://lindat.mff.cuni.cz/services/teitok/pdtc10/index.php?action=vallex&amp;frame=v-w8780f1", "zadržovat (v-w8780f1)")</f>
        <v>zadržovat (v-w8780f1)</v>
      </c>
    </row>
    <row r="64110" spans="1:4" x14ac:dyDescent="0.2">
      <c r="B64110" t="s">
        <v>1</v>
      </c>
      <c r="C64110" t="s">
        <v>2303</v>
      </c>
      <c r="D64110" t="s">
        <v>133</v>
      </c>
    </row>
    <row r="64111" spans="1:4" x14ac:dyDescent="0.2">
      <c r="B64111" t="s">
        <v>8</v>
      </c>
      <c r="C64111" t="s">
        <v>2344</v>
      </c>
      <c r="D64111" t="s">
        <v>1044</v>
      </c>
    </row>
    <row r="64113" spans="1:4" x14ac:dyDescent="0.2">
      <c r="A64113" t="s">
        <v>19961</v>
      </c>
      <c r="B64113" t="str">
        <f>HYPERLINK("https://lindat.mff.cuni.cz/services/teitok/pdtc10/index.php?action=vallex&amp;frame=v-w8780hsa_473", "zadržovat (v-w8780hsa_473)")</f>
        <v>zadržovat (v-w8780hsa_473)</v>
      </c>
    </row>
    <row r="64114" spans="1:4" x14ac:dyDescent="0.2">
      <c r="B64114" t="s">
        <v>1</v>
      </c>
      <c r="C64114" t="s">
        <v>373</v>
      </c>
      <c r="D64114" t="s">
        <v>373</v>
      </c>
    </row>
    <row r="64115" spans="1:4" x14ac:dyDescent="0.2">
      <c r="B64115" t="s">
        <v>8</v>
      </c>
      <c r="C64115" t="s">
        <v>3773</v>
      </c>
      <c r="D64115" t="s">
        <v>3773</v>
      </c>
    </row>
    <row r="64117" spans="1:4" x14ac:dyDescent="0.2">
      <c r="A64117" t="s">
        <v>19962</v>
      </c>
      <c r="B64117" t="str">
        <f>HYPERLINK("https://lindat.mff.cuni.cz/services/teitok/pdtc10/index.php?action=vallex&amp;frame=v-w10186f2", "zadusit (v-w10186f2)")</f>
        <v>zadusit (v-w10186f2)</v>
      </c>
    </row>
    <row r="64118" spans="1:4" x14ac:dyDescent="0.2">
      <c r="B64118" t="s">
        <v>1</v>
      </c>
    </row>
    <row r="64119" spans="1:4" x14ac:dyDescent="0.2">
      <c r="B64119" t="s">
        <v>8</v>
      </c>
    </row>
    <row r="64121" spans="1:4" x14ac:dyDescent="0.2">
      <c r="A64121" t="s">
        <v>19963</v>
      </c>
      <c r="B64121" t="str">
        <f>HYPERLINK("https://lindat.mff.cuni.cz/services/teitok/pdtc10/index.php?action=vallex&amp;frame=v-w12143_ZUf1_ZU", "zadusit se (v-w12143_ZUf1_ZU)")</f>
        <v>zadusit se (v-w12143_ZUf1_ZU)</v>
      </c>
    </row>
    <row r="64122" spans="1:4" x14ac:dyDescent="0.2">
      <c r="B64122" t="s">
        <v>1</v>
      </c>
    </row>
    <row r="64124" spans="1:4" x14ac:dyDescent="0.2">
      <c r="A64124" t="s">
        <v>19964</v>
      </c>
      <c r="B64124" t="str">
        <f>HYPERLINK("https://lindat.mff.cuni.cz/services/teitok/pdtc10/index.php?action=vallex&amp;frame=v-w8766f1", "zadávat (v-w8766f1)")</f>
        <v>zadávat (v-w8766f1)</v>
      </c>
    </row>
    <row r="64125" spans="1:4" x14ac:dyDescent="0.2">
      <c r="B64125" t="s">
        <v>1</v>
      </c>
      <c r="C64125" t="s">
        <v>8991</v>
      </c>
      <c r="D64125" t="s">
        <v>3590</v>
      </c>
    </row>
    <row r="64126" spans="1:4" x14ac:dyDescent="0.2">
      <c r="B64126" t="s">
        <v>8</v>
      </c>
      <c r="C64126" t="s">
        <v>19965</v>
      </c>
      <c r="D64126" t="s">
        <v>1362</v>
      </c>
    </row>
    <row r="64127" spans="1:4" x14ac:dyDescent="0.2">
      <c r="B64127" t="s">
        <v>35</v>
      </c>
      <c r="C64127" t="s">
        <v>19966</v>
      </c>
      <c r="D64127" t="s">
        <v>23896</v>
      </c>
    </row>
    <row r="64129" spans="1:3" x14ac:dyDescent="0.2">
      <c r="A64129" t="s">
        <v>19967</v>
      </c>
      <c r="B64129" t="str">
        <f>HYPERLINK("https://lindat.mff.cuni.cz/services/teitok/pdtc10/index.php?action=vallex&amp;frame=v-w8766f2_ZU", "zadávat (v-w8766f2_ZU)")</f>
        <v>zadávat (v-w8766f2_ZU)</v>
      </c>
    </row>
    <row r="64130" spans="1:3" x14ac:dyDescent="0.2">
      <c r="B64130" t="s">
        <v>1</v>
      </c>
      <c r="C64130" t="s">
        <v>2303</v>
      </c>
    </row>
    <row r="64131" spans="1:3" x14ac:dyDescent="0.2">
      <c r="B64131" t="s">
        <v>19944</v>
      </c>
      <c r="C64131" t="s">
        <v>4033</v>
      </c>
    </row>
    <row r="64132" spans="1:3" x14ac:dyDescent="0.2">
      <c r="B64132" t="s">
        <v>35</v>
      </c>
    </row>
    <row r="64134" spans="1:3" x14ac:dyDescent="0.2">
      <c r="A64134" t="s">
        <v>19967</v>
      </c>
      <c r="B64134" t="str">
        <f>HYPERLINK("https://lindat.mff.cuni.cz/services/teitok/pdtc10/index.php?action=vallex&amp;frame=v-w8766hsa_363", "zadávat (v-w8766hsa_363) - substituted with v-w8766f2_ZU")</f>
        <v>zadávat (v-w8766hsa_363) - substituted with v-w8766f2_ZU</v>
      </c>
    </row>
    <row r="64135" spans="1:3" x14ac:dyDescent="0.2">
      <c r="B64135" t="s">
        <v>1</v>
      </c>
    </row>
    <row r="64136" spans="1:3" x14ac:dyDescent="0.2">
      <c r="B64136" t="s">
        <v>19944</v>
      </c>
    </row>
    <row r="64137" spans="1:3" x14ac:dyDescent="0.2">
      <c r="B64137" t="s">
        <v>35</v>
      </c>
    </row>
    <row r="64139" spans="1:3" x14ac:dyDescent="0.2">
      <c r="A64139" t="s">
        <v>19968</v>
      </c>
      <c r="B64139" t="str">
        <f>HYPERLINK("https://lindat.mff.cuni.cz/services/teitok/pdtc10/index.php?action=vallex&amp;frame=v-w8766f3_ZU", "zadávat (v-w8766f3_ZU)")</f>
        <v>zadávat (v-w8766f3_ZU)</v>
      </c>
    </row>
    <row r="64140" spans="1:3" x14ac:dyDescent="0.2">
      <c r="B64140" t="s">
        <v>1</v>
      </c>
    </row>
    <row r="64141" spans="1:3" x14ac:dyDescent="0.2">
      <c r="B64141" t="s">
        <v>4028</v>
      </c>
    </row>
    <row r="64142" spans="1:3" x14ac:dyDescent="0.2">
      <c r="B64142" t="s">
        <v>35</v>
      </c>
    </row>
    <row r="64144" spans="1:3" x14ac:dyDescent="0.2">
      <c r="A64144" t="s">
        <v>19968</v>
      </c>
      <c r="B64144" t="str">
        <f>HYPERLINK("https://lindat.mff.cuni.cz/services/teitok/pdtc10/index.php?action=vallex&amp;frame=v-w8766hsa_268", "zadávat (v-w8766hsa_268) - substituted with v-w8766f3_ZU")</f>
        <v>zadávat (v-w8766hsa_268) - substituted with v-w8766f3_ZU</v>
      </c>
    </row>
    <row r="64145" spans="1:2" x14ac:dyDescent="0.2">
      <c r="B64145" t="s">
        <v>1</v>
      </c>
    </row>
    <row r="64146" spans="1:2" x14ac:dyDescent="0.2">
      <c r="B64146" t="s">
        <v>4028</v>
      </c>
    </row>
    <row r="64147" spans="1:2" x14ac:dyDescent="0.2">
      <c r="B64147" t="s">
        <v>35</v>
      </c>
    </row>
    <row r="64149" spans="1:2" x14ac:dyDescent="0.2">
      <c r="A64149" t="s">
        <v>19969</v>
      </c>
      <c r="B64149" t="str">
        <f>HYPERLINK("https://lindat.mff.cuni.cz/services/teitok/pdtc10/index.php?action=vallex&amp;frame=v-w11967_ZUf1_ZU", "zadívat se (v-w11967_ZUf1_ZU)")</f>
        <v>zadívat se (v-w11967_ZUf1_ZU)</v>
      </c>
    </row>
    <row r="64150" spans="1:2" x14ac:dyDescent="0.2">
      <c r="B64150" t="s">
        <v>1</v>
      </c>
    </row>
    <row r="64151" spans="1:2" x14ac:dyDescent="0.2">
      <c r="B64151" t="s">
        <v>252</v>
      </c>
    </row>
    <row r="64153" spans="1:2" x14ac:dyDescent="0.2">
      <c r="A64153" t="s">
        <v>19970</v>
      </c>
      <c r="B64153" t="str">
        <f>HYPERLINK("https://lindat.mff.cuni.cz/services/teitok/pdtc10/index.php?action=vallex&amp;frame=v-w11916_ZUf1_ZU", "zadýchávat se (v-w11916_ZUf1_ZU)")</f>
        <v>zadýchávat se (v-w11916_ZUf1_ZU)</v>
      </c>
    </row>
    <row r="64154" spans="1:2" x14ac:dyDescent="0.2">
      <c r="B64154" t="s">
        <v>1</v>
      </c>
    </row>
    <row r="64156" spans="1:2" x14ac:dyDescent="0.2">
      <c r="A64156" t="s">
        <v>19971</v>
      </c>
      <c r="B64156" t="str">
        <f>HYPERLINK("https://lindat.mff.cuni.cz/services/teitok/pdtc10/index.php?action=vallex&amp;frame=v-w10942f2", "zadělat (v-w10942f2)")</f>
        <v>zadělat (v-w10942f2)</v>
      </c>
    </row>
    <row r="64157" spans="1:2" x14ac:dyDescent="0.2">
      <c r="B64157" t="s">
        <v>1</v>
      </c>
    </row>
    <row r="64158" spans="1:2" x14ac:dyDescent="0.2">
      <c r="B64158" t="s">
        <v>28</v>
      </c>
    </row>
    <row r="64160" spans="1:2" x14ac:dyDescent="0.2">
      <c r="A64160" t="s">
        <v>19972</v>
      </c>
      <c r="B64160" t="str">
        <f>HYPERLINK("https://lindat.mff.cuni.cz/services/teitok/pdtc10/index.php?action=vallex&amp;frame=v-w10331f2", "zaevidovat (v-w10331f2)")</f>
        <v>zaevidovat (v-w10331f2)</v>
      </c>
    </row>
    <row r="64161" spans="1:4" x14ac:dyDescent="0.2">
      <c r="B64161" t="s">
        <v>1</v>
      </c>
      <c r="C64161" t="s">
        <v>3081</v>
      </c>
      <c r="D64161" t="s">
        <v>1271</v>
      </c>
    </row>
    <row r="64162" spans="1:4" x14ac:dyDescent="0.2">
      <c r="B64162" t="s">
        <v>41</v>
      </c>
      <c r="C64162" t="s">
        <v>8709</v>
      </c>
      <c r="D64162" t="s">
        <v>24114</v>
      </c>
    </row>
    <row r="64164" spans="1:4" x14ac:dyDescent="0.2">
      <c r="A64164" t="s">
        <v>19973</v>
      </c>
      <c r="B64164" t="str">
        <f>HYPERLINK("https://lindat.mff.cuni.cz/services/teitok/pdtc10/index.php?action=vallex&amp;frame=v-w10896f3", "zafixovat (v-w10896f3)")</f>
        <v>zafixovat (v-w10896f3)</v>
      </c>
    </row>
    <row r="64165" spans="1:4" x14ac:dyDescent="0.2">
      <c r="B64165" t="s">
        <v>1</v>
      </c>
    </row>
    <row r="64166" spans="1:4" x14ac:dyDescent="0.2">
      <c r="B64166" t="s">
        <v>8</v>
      </c>
    </row>
    <row r="64168" spans="1:4" x14ac:dyDescent="0.2">
      <c r="A64168" t="s">
        <v>19974</v>
      </c>
      <c r="B64168" t="str">
        <f>HYPERLINK("https://lindat.mff.cuni.cz/services/teitok/pdtc10/index.php?action=vallex&amp;frame=v-w8781f1", "zafungovat (v-w8781f1)")</f>
        <v>zafungovat (v-w8781f1)</v>
      </c>
    </row>
    <row r="64169" spans="1:4" x14ac:dyDescent="0.2">
      <c r="B64169" t="s">
        <v>1</v>
      </c>
      <c r="C64169" t="s">
        <v>1275</v>
      </c>
      <c r="D64169" t="s">
        <v>23034</v>
      </c>
    </row>
    <row r="64171" spans="1:4" x14ac:dyDescent="0.2">
      <c r="A64171" t="s">
        <v>19975</v>
      </c>
      <c r="B64171" t="str">
        <f>HYPERLINK("https://lindat.mff.cuni.cz/services/teitok/pdtc10/index.php?action=vallex&amp;frame=v-whsa_1389hsa_1390", "zagitovat (v-whsa_1389hsa_1390)")</f>
        <v>zagitovat (v-whsa_1389hsa_1390)</v>
      </c>
    </row>
    <row r="64172" spans="1:4" x14ac:dyDescent="0.2">
      <c r="B64172" t="s">
        <v>1</v>
      </c>
    </row>
    <row r="64173" spans="1:4" x14ac:dyDescent="0.2">
      <c r="B64173" t="s">
        <v>8</v>
      </c>
    </row>
    <row r="64175" spans="1:4" x14ac:dyDescent="0.2">
      <c r="A64175" t="s">
        <v>19976</v>
      </c>
      <c r="B64175" t="str">
        <f>HYPERLINK("https://lindat.mff.cuni.cz/services/teitok/pdtc10/index.php?action=vallex&amp;frame=v-w8785f1", "zahajovat (v-w8785f1)")</f>
        <v>zahajovat (v-w8785f1)</v>
      </c>
    </row>
    <row r="64176" spans="1:4" x14ac:dyDescent="0.2">
      <c r="B64176" t="s">
        <v>1</v>
      </c>
      <c r="C64176" t="s">
        <v>19977</v>
      </c>
      <c r="D64176" t="s">
        <v>22950</v>
      </c>
    </row>
    <row r="64177" spans="1:4" x14ac:dyDescent="0.2">
      <c r="B64177" t="s">
        <v>8</v>
      </c>
      <c r="C64177" t="s">
        <v>19978</v>
      </c>
      <c r="D64177" t="s">
        <v>22951</v>
      </c>
    </row>
    <row r="64179" spans="1:4" x14ac:dyDescent="0.2">
      <c r="A64179" t="s">
        <v>19979</v>
      </c>
      <c r="B64179" t="str">
        <f>HYPERLINK("https://lindat.mff.cuni.cz/services/teitok/pdtc10/index.php?action=vallex&amp;frame=v-w8785f2_ZU", "zahajovat (v-w8785f2_ZU)")</f>
        <v>zahajovat (v-w8785f2_ZU)</v>
      </c>
    </row>
    <row r="64180" spans="1:4" x14ac:dyDescent="0.2">
      <c r="B64180" t="s">
        <v>1</v>
      </c>
      <c r="C64180" t="s">
        <v>8170</v>
      </c>
      <c r="D64180" t="s">
        <v>13672</v>
      </c>
    </row>
    <row r="64182" spans="1:4" x14ac:dyDescent="0.2">
      <c r="A64182" t="s">
        <v>19980</v>
      </c>
      <c r="B64182" t="str">
        <f>HYPERLINK("https://lindat.mff.cuni.cz/services/teitok/pdtc10/index.php?action=vallex&amp;frame=v-w8785f3_ZU", "zahajovat (v-w8785f3_ZU)")</f>
        <v>zahajovat (v-w8785f3_ZU)</v>
      </c>
    </row>
    <row r="64183" spans="1:4" x14ac:dyDescent="0.2">
      <c r="B64183" t="s">
        <v>1</v>
      </c>
      <c r="C64183" t="s">
        <v>8131</v>
      </c>
      <c r="D64183" t="s">
        <v>8131</v>
      </c>
    </row>
    <row r="64184" spans="1:4" x14ac:dyDescent="0.2">
      <c r="B64184" t="s">
        <v>220</v>
      </c>
    </row>
    <row r="64185" spans="1:4" x14ac:dyDescent="0.2">
      <c r="B64185" t="s">
        <v>5</v>
      </c>
      <c r="C64185" t="s">
        <v>8132</v>
      </c>
      <c r="D64185" t="s">
        <v>23680</v>
      </c>
    </row>
    <row r="64187" spans="1:4" x14ac:dyDescent="0.2">
      <c r="A64187" t="s">
        <v>19980</v>
      </c>
      <c r="B64187" t="str">
        <f>HYPERLINK("https://lindat.mff.cuni.cz/services/teitok/pdtc10/index.php?action=vallex&amp;frame=v-w8785hsa_1062", "zahajovat (v-w8785hsa_1062) - substituted with v-w8785f3_ZU")</f>
        <v>zahajovat (v-w8785hsa_1062) - substituted with v-w8785f3_ZU</v>
      </c>
    </row>
    <row r="64188" spans="1:4" x14ac:dyDescent="0.2">
      <c r="B64188" t="s">
        <v>1</v>
      </c>
    </row>
    <row r="64189" spans="1:4" x14ac:dyDescent="0.2">
      <c r="B64189" t="s">
        <v>220</v>
      </c>
    </row>
    <row r="64190" spans="1:4" x14ac:dyDescent="0.2">
      <c r="B64190" t="s">
        <v>5</v>
      </c>
    </row>
    <row r="64192" spans="1:4" x14ac:dyDescent="0.2">
      <c r="A64192" t="s">
        <v>19981</v>
      </c>
      <c r="B64192" t="str">
        <f>HYPERLINK("https://lindat.mff.cuni.cz/services/teitok/pdtc10/index.php?action=vallex&amp;frame=v-w8785hsa_1063", "zahajovat (v-w8785hsa_1063)")</f>
        <v>zahajovat (v-w8785hsa_1063)</v>
      </c>
    </row>
    <row r="64193" spans="1:4" x14ac:dyDescent="0.2">
      <c r="B64193" t="s">
        <v>1</v>
      </c>
    </row>
    <row r="64194" spans="1:4" x14ac:dyDescent="0.2">
      <c r="B64194" t="s">
        <v>5</v>
      </c>
    </row>
    <row r="64196" spans="1:4" x14ac:dyDescent="0.2">
      <c r="A64196" t="s">
        <v>19982</v>
      </c>
      <c r="B64196" t="str">
        <f>HYPERLINK("https://lindat.mff.cuni.cz/services/teitok/pdtc10/index.php?action=vallex&amp;frame=v-w8786f1", "zahalit (v-w8786f1)")</f>
        <v>zahalit (v-w8786f1)</v>
      </c>
    </row>
    <row r="64197" spans="1:4" x14ac:dyDescent="0.2">
      <c r="B64197" t="s">
        <v>1</v>
      </c>
      <c r="C64197" t="s">
        <v>19983</v>
      </c>
      <c r="D64197" t="s">
        <v>22201</v>
      </c>
    </row>
    <row r="64198" spans="1:4" x14ac:dyDescent="0.2">
      <c r="B64198" t="s">
        <v>3199</v>
      </c>
      <c r="C64198" t="s">
        <v>19984</v>
      </c>
      <c r="D64198" t="s">
        <v>1128</v>
      </c>
    </row>
    <row r="64199" spans="1:4" x14ac:dyDescent="0.2">
      <c r="B64199" t="s">
        <v>3200</v>
      </c>
    </row>
    <row r="64201" spans="1:4" x14ac:dyDescent="0.2">
      <c r="A64201" t="s">
        <v>19985</v>
      </c>
      <c r="B64201" t="str">
        <f>HYPERLINK("https://lindat.mff.cuni.cz/services/teitok/pdtc10/index.php?action=vallex&amp;frame=v-w8787f1", "zahalovat (v-w8787f1)")</f>
        <v>zahalovat (v-w8787f1)</v>
      </c>
    </row>
    <row r="64202" spans="1:4" x14ac:dyDescent="0.2">
      <c r="B64202" t="s">
        <v>1</v>
      </c>
      <c r="D64202" t="s">
        <v>22201</v>
      </c>
    </row>
    <row r="64203" spans="1:4" x14ac:dyDescent="0.2">
      <c r="B64203" t="s">
        <v>3199</v>
      </c>
      <c r="D64203" t="s">
        <v>1128</v>
      </c>
    </row>
    <row r="64204" spans="1:4" x14ac:dyDescent="0.2">
      <c r="B64204" t="s">
        <v>3200</v>
      </c>
    </row>
    <row r="64206" spans="1:4" x14ac:dyDescent="0.2">
      <c r="A64206" t="s">
        <v>19986</v>
      </c>
      <c r="B64206" t="str">
        <f>HYPERLINK("https://lindat.mff.cuni.cz/services/teitok/pdtc10/index.php?action=vallex&amp;frame=v-w8788f1", "zahanbit (v-w8788f1)")</f>
        <v>zahanbit (v-w8788f1)</v>
      </c>
    </row>
    <row r="64207" spans="1:4" x14ac:dyDescent="0.2">
      <c r="B64207" t="s">
        <v>1</v>
      </c>
      <c r="D64207" t="s">
        <v>133</v>
      </c>
    </row>
    <row r="64208" spans="1:4" x14ac:dyDescent="0.2">
      <c r="B64208" t="s">
        <v>8</v>
      </c>
      <c r="D64208" t="s">
        <v>23099</v>
      </c>
    </row>
    <row r="64209" spans="1:3" x14ac:dyDescent="0.2">
      <c r="B64209" t="s">
        <v>7530</v>
      </c>
    </row>
    <row r="64211" spans="1:3" x14ac:dyDescent="0.2">
      <c r="A64211" t="s">
        <v>19987</v>
      </c>
      <c r="B64211" t="str">
        <f>HYPERLINK("https://lindat.mff.cuni.cz/services/teitok/pdtc10/index.php?action=vallex&amp;frame=v-w8790f1", "zahaprovat (v-w8790f1)")</f>
        <v>zahaprovat (v-w8790f1)</v>
      </c>
    </row>
    <row r="64212" spans="1:3" x14ac:dyDescent="0.2">
      <c r="B64212" t="s">
        <v>1</v>
      </c>
    </row>
    <row r="64214" spans="1:3" x14ac:dyDescent="0.2">
      <c r="A64214" t="s">
        <v>19988</v>
      </c>
      <c r="B64214" t="str">
        <f>HYPERLINK("https://lindat.mff.cuni.cz/services/teitok/pdtc10/index.php?action=vallex&amp;frame=v-whsa_429f1_ZU", "zahazovat (v-whsa_429f1_ZU)")</f>
        <v>zahazovat (v-whsa_429f1_ZU)</v>
      </c>
    </row>
    <row r="64215" spans="1:3" x14ac:dyDescent="0.2">
      <c r="B64215" t="s">
        <v>1</v>
      </c>
      <c r="C64215" t="s">
        <v>249</v>
      </c>
    </row>
    <row r="64216" spans="1:3" x14ac:dyDescent="0.2">
      <c r="B64216" t="s">
        <v>8</v>
      </c>
      <c r="C64216" t="s">
        <v>1044</v>
      </c>
    </row>
    <row r="64218" spans="1:3" x14ac:dyDescent="0.2">
      <c r="A64218" t="s">
        <v>19988</v>
      </c>
      <c r="B64218" t="str">
        <f>HYPERLINK("https://lindat.mff.cuni.cz/services/teitok/pdtc10/index.php?action=vallex&amp;frame=v-whsa_429hsa_430", "zahazovat (v-whsa_429hsa_430) - substituted with v-whsa_429f1_ZU")</f>
        <v>zahazovat (v-whsa_429hsa_430) - substituted with v-whsa_429f1_ZU</v>
      </c>
    </row>
    <row r="64219" spans="1:3" x14ac:dyDescent="0.2">
      <c r="B64219" t="s">
        <v>1</v>
      </c>
    </row>
    <row r="64220" spans="1:3" x14ac:dyDescent="0.2">
      <c r="B64220" t="s">
        <v>8</v>
      </c>
    </row>
    <row r="64222" spans="1:3" x14ac:dyDescent="0.2">
      <c r="A64222" t="s">
        <v>19989</v>
      </c>
      <c r="B64222" t="str">
        <f>HYPERLINK("https://lindat.mff.cuni.cz/services/teitok/pdtc10/index.php?action=vallex&amp;frame=v-w8791f1", "zahladit (v-w8791f1)")</f>
        <v>zahladit (v-w8791f1)</v>
      </c>
    </row>
    <row r="64223" spans="1:3" x14ac:dyDescent="0.2">
      <c r="B64223" t="s">
        <v>1</v>
      </c>
    </row>
    <row r="64224" spans="1:3" x14ac:dyDescent="0.2">
      <c r="B64224" t="s">
        <v>124</v>
      </c>
    </row>
    <row r="64225" spans="1:2" x14ac:dyDescent="0.2">
      <c r="B64225" t="s">
        <v>3200</v>
      </c>
    </row>
    <row r="64227" spans="1:2" x14ac:dyDescent="0.2">
      <c r="A64227" t="s">
        <v>19990</v>
      </c>
      <c r="B64227" t="str">
        <f>HYPERLINK("https://lindat.mff.cuni.cz/services/teitok/pdtc10/index.php?action=vallex&amp;frame=v-w8792f1", "zahlazovat (v-w8792f1)")</f>
        <v>zahlazovat (v-w8792f1)</v>
      </c>
    </row>
    <row r="64228" spans="1:2" x14ac:dyDescent="0.2">
      <c r="B64228" t="s">
        <v>1</v>
      </c>
    </row>
    <row r="64229" spans="1:2" x14ac:dyDescent="0.2">
      <c r="B64229" t="s">
        <v>124</v>
      </c>
    </row>
    <row r="64230" spans="1:2" x14ac:dyDescent="0.2">
      <c r="B64230" t="s">
        <v>3200</v>
      </c>
    </row>
    <row r="64232" spans="1:2" x14ac:dyDescent="0.2">
      <c r="A64232" t="s">
        <v>19991</v>
      </c>
      <c r="B64232" t="str">
        <f>HYPERLINK("https://lindat.mff.cuni.cz/services/teitok/pdtc10/index.php?action=vallex&amp;frame=v-w8793f1", "zahledět se (v-w8793f1)")</f>
        <v>zahledět se (v-w8793f1)</v>
      </c>
    </row>
    <row r="64233" spans="1:2" x14ac:dyDescent="0.2">
      <c r="B64233" t="s">
        <v>1</v>
      </c>
    </row>
    <row r="64234" spans="1:2" x14ac:dyDescent="0.2">
      <c r="B64234" t="s">
        <v>90</v>
      </c>
    </row>
    <row r="64236" spans="1:2" x14ac:dyDescent="0.2">
      <c r="A64236" t="s">
        <v>19992</v>
      </c>
      <c r="B64236" t="str">
        <f>HYPERLINK("https://lindat.mff.cuni.cz/services/teitok/pdtc10/index.php?action=vallex&amp;frame=v-w11635_ZUf2_ZU", "zahlodat (v-w11635_ZUf2_ZU)")</f>
        <v>zahlodat (v-w11635_ZUf2_ZU)</v>
      </c>
    </row>
    <row r="64237" spans="1:2" x14ac:dyDescent="0.2">
      <c r="B64237" t="s">
        <v>19993</v>
      </c>
    </row>
    <row r="64238" spans="1:2" x14ac:dyDescent="0.2">
      <c r="B64238" t="s">
        <v>19994</v>
      </c>
    </row>
    <row r="64239" spans="1:2" x14ac:dyDescent="0.2">
      <c r="B64239" t="s">
        <v>19995</v>
      </c>
    </row>
    <row r="64241" spans="1:4" x14ac:dyDescent="0.2">
      <c r="A64241" t="s">
        <v>19992</v>
      </c>
      <c r="B64241" t="str">
        <f>HYPERLINK("https://lindat.mff.cuni.cz/services/teitok/pdtc10/index.php?action=vallex&amp;frame=v-w11635_ZUf1_ZU", "zahlodat (v-w11635_ZUf1_ZU) - substituted with v-w11635_ZUf2_ZU")</f>
        <v>zahlodat (v-w11635_ZUf1_ZU) - substituted with v-w11635_ZUf2_ZU</v>
      </c>
    </row>
    <row r="64242" spans="1:4" x14ac:dyDescent="0.2">
      <c r="B64242" t="s">
        <v>19993</v>
      </c>
    </row>
    <row r="64243" spans="1:4" x14ac:dyDescent="0.2">
      <c r="B64243" t="s">
        <v>19994</v>
      </c>
    </row>
    <row r="64244" spans="1:4" x14ac:dyDescent="0.2">
      <c r="B64244" t="s">
        <v>19995</v>
      </c>
    </row>
    <row r="64246" spans="1:4" x14ac:dyDescent="0.2">
      <c r="A64246" t="s">
        <v>19996</v>
      </c>
      <c r="B64246" t="str">
        <f>HYPERLINK("https://lindat.mff.cuni.cz/services/teitok/pdtc10/index.php?action=vallex&amp;frame=v-w11384f2", "zahloubat se (v-w11384f2)")</f>
        <v>zahloubat se (v-w11384f2)</v>
      </c>
    </row>
    <row r="64247" spans="1:4" x14ac:dyDescent="0.2">
      <c r="B64247" t="s">
        <v>1</v>
      </c>
    </row>
    <row r="64248" spans="1:4" x14ac:dyDescent="0.2">
      <c r="B64248" t="s">
        <v>817</v>
      </c>
    </row>
    <row r="64250" spans="1:4" x14ac:dyDescent="0.2">
      <c r="A64250" t="s">
        <v>19997</v>
      </c>
      <c r="B64250" t="str">
        <f>HYPERLINK("https://lindat.mff.cuni.cz/services/teitok/pdtc10/index.php?action=vallex&amp;frame=v-w11477f1", "zahltit (v-w11477f1)")</f>
        <v>zahltit (v-w11477f1)</v>
      </c>
    </row>
    <row r="64251" spans="1:4" x14ac:dyDescent="0.2">
      <c r="B64251" t="s">
        <v>1</v>
      </c>
      <c r="C64251" t="s">
        <v>19998</v>
      </c>
      <c r="D64251" t="s">
        <v>24472</v>
      </c>
    </row>
    <row r="64252" spans="1:4" x14ac:dyDescent="0.2">
      <c r="B64252" t="s">
        <v>8</v>
      </c>
      <c r="C64252" t="s">
        <v>3773</v>
      </c>
      <c r="D64252" t="s">
        <v>24473</v>
      </c>
    </row>
    <row r="64254" spans="1:4" x14ac:dyDescent="0.2">
      <c r="A64254" t="s">
        <v>19999</v>
      </c>
      <c r="B64254" t="str">
        <f>HYPERLINK("https://lindat.mff.cuni.cz/services/teitok/pdtc10/index.php?action=vallex&amp;frame=v-w8795f1", "zahltit se (v-w8795f1)")</f>
        <v>zahltit se (v-w8795f1)</v>
      </c>
    </row>
    <row r="64255" spans="1:4" x14ac:dyDescent="0.2">
      <c r="B64255" t="s">
        <v>1</v>
      </c>
    </row>
    <row r="64256" spans="1:4" x14ac:dyDescent="0.2">
      <c r="B64256" t="s">
        <v>3225</v>
      </c>
    </row>
    <row r="64258" spans="1:4" x14ac:dyDescent="0.2">
      <c r="A64258" t="s">
        <v>20000</v>
      </c>
      <c r="B64258" t="str">
        <f>HYPERLINK("https://lindat.mff.cuni.cz/services/teitok/pdtc10/index.php?action=vallex&amp;frame=v-w8794f1", "zahlédnout (v-w8794f1)")</f>
        <v>zahlédnout (v-w8794f1)</v>
      </c>
    </row>
    <row r="64259" spans="1:4" x14ac:dyDescent="0.2">
      <c r="B64259" t="s">
        <v>1</v>
      </c>
      <c r="C64259" t="s">
        <v>2303</v>
      </c>
      <c r="D64259" t="s">
        <v>24183</v>
      </c>
    </row>
    <row r="64260" spans="1:4" x14ac:dyDescent="0.2">
      <c r="B64260" t="s">
        <v>1284</v>
      </c>
      <c r="C64260" t="s">
        <v>14536</v>
      </c>
      <c r="D64260" t="s">
        <v>24184</v>
      </c>
    </row>
    <row r="64262" spans="1:4" x14ac:dyDescent="0.2">
      <c r="A64262" t="s">
        <v>20001</v>
      </c>
      <c r="B64262" t="str">
        <f>HYPERLINK("https://lindat.mff.cuni.cz/services/teitok/pdtc10/index.php?action=vallex&amp;frame=v-w8796f1", "zahnat (v-w8796f1)")</f>
        <v>zahnat (v-w8796f1)</v>
      </c>
    </row>
    <row r="64263" spans="1:4" x14ac:dyDescent="0.2">
      <c r="B64263" t="s">
        <v>1</v>
      </c>
    </row>
    <row r="64264" spans="1:4" x14ac:dyDescent="0.2">
      <c r="B64264" t="s">
        <v>8</v>
      </c>
    </row>
    <row r="64265" spans="1:4" x14ac:dyDescent="0.2">
      <c r="B64265" t="s">
        <v>90</v>
      </c>
    </row>
    <row r="64267" spans="1:4" x14ac:dyDescent="0.2">
      <c r="A64267" t="s">
        <v>20002</v>
      </c>
      <c r="B64267" t="str">
        <f>HYPERLINK("https://lindat.mff.cuni.cz/services/teitok/pdtc10/index.php?action=vallex&amp;frame=v-w8796f2", "zahnat (v-w8796f2)")</f>
        <v>zahnat (v-w8796f2)</v>
      </c>
    </row>
    <row r="64268" spans="1:4" x14ac:dyDescent="0.2">
      <c r="B64268" t="s">
        <v>1</v>
      </c>
      <c r="C64268" t="s">
        <v>33</v>
      </c>
      <c r="D64268" t="s">
        <v>249</v>
      </c>
    </row>
    <row r="64269" spans="1:4" x14ac:dyDescent="0.2">
      <c r="B64269" t="s">
        <v>8</v>
      </c>
      <c r="C64269" t="s">
        <v>1066</v>
      </c>
      <c r="D64269" t="s">
        <v>2886</v>
      </c>
    </row>
    <row r="64271" spans="1:4" x14ac:dyDescent="0.2">
      <c r="A64271" t="s">
        <v>20003</v>
      </c>
      <c r="B64271" t="str">
        <f>HYPERLINK("https://lindat.mff.cuni.cz/services/teitok/pdtc10/index.php?action=vallex&amp;frame=v-w8796f6_ZU", "zahnat (v-w8796f6_ZU)")</f>
        <v>zahnat (v-w8796f6_ZU)</v>
      </c>
    </row>
    <row r="64272" spans="1:4" x14ac:dyDescent="0.2">
      <c r="B64272" t="s">
        <v>1</v>
      </c>
    </row>
    <row r="64273" spans="1:4" x14ac:dyDescent="0.2">
      <c r="B64273" t="s">
        <v>8</v>
      </c>
    </row>
    <row r="64275" spans="1:4" x14ac:dyDescent="0.2">
      <c r="A64275" t="s">
        <v>20003</v>
      </c>
      <c r="B64275" t="str">
        <f>HYPERLINK("https://lindat.mff.cuni.cz/services/teitok/pdtc10/index.php?action=vallex&amp;frame=v-w8796f3", "zahnat (v-w8796f3) - substituted with v-w8796f6_ZU")</f>
        <v>zahnat (v-w8796f3) - substituted with v-w8796f6_ZU</v>
      </c>
    </row>
    <row r="64276" spans="1:4" x14ac:dyDescent="0.2">
      <c r="B64276" t="s">
        <v>1</v>
      </c>
      <c r="D64276" t="s">
        <v>4807</v>
      </c>
    </row>
    <row r="64277" spans="1:4" x14ac:dyDescent="0.2">
      <c r="B64277" t="s">
        <v>8</v>
      </c>
      <c r="C64277" t="s">
        <v>84</v>
      </c>
      <c r="D64277" t="s">
        <v>24474</v>
      </c>
    </row>
    <row r="64279" spans="1:4" x14ac:dyDescent="0.2">
      <c r="A64279" t="s">
        <v>20004</v>
      </c>
      <c r="B64279" t="str">
        <f>HYPERLINK("https://lindat.mff.cuni.cz/services/teitok/pdtc10/index.php?action=vallex&amp;frame=v-w8796f4", "zahnat (v-w8796f4)")</f>
        <v>zahnat (v-w8796f4)</v>
      </c>
    </row>
    <row r="64280" spans="1:4" x14ac:dyDescent="0.2">
      <c r="B64280" t="s">
        <v>1</v>
      </c>
    </row>
    <row r="64281" spans="1:4" x14ac:dyDescent="0.2">
      <c r="B64281" t="s">
        <v>2025</v>
      </c>
    </row>
    <row r="64282" spans="1:4" x14ac:dyDescent="0.2">
      <c r="B64282" t="s">
        <v>8</v>
      </c>
    </row>
    <row r="64284" spans="1:4" x14ac:dyDescent="0.2">
      <c r="A64284" t="s">
        <v>20005</v>
      </c>
      <c r="B64284" t="str">
        <f>HYPERLINK("https://lindat.mff.cuni.cz/services/teitok/pdtc10/index.php?action=vallex&amp;frame=v-w8796f5_ZU", "zahnat (v-w8796f5_ZU)")</f>
        <v>zahnat (v-w8796f5_ZU)</v>
      </c>
    </row>
    <row r="64285" spans="1:4" x14ac:dyDescent="0.2">
      <c r="B64285" t="s">
        <v>1</v>
      </c>
    </row>
    <row r="64286" spans="1:4" x14ac:dyDescent="0.2">
      <c r="B64286" t="s">
        <v>20006</v>
      </c>
    </row>
    <row r="64287" spans="1:4" x14ac:dyDescent="0.2">
      <c r="B64287" t="s">
        <v>8</v>
      </c>
    </row>
    <row r="64289" spans="1:4" x14ac:dyDescent="0.2">
      <c r="A64289" t="s">
        <v>20007</v>
      </c>
      <c r="B64289" t="str">
        <f>HYPERLINK("https://lindat.mff.cuni.cz/services/teitok/pdtc10/index.php?action=vallex&amp;frame=v-w8797f2", "zahnout (v-w8797f2)")</f>
        <v>zahnout (v-w8797f2)</v>
      </c>
    </row>
    <row r="64290" spans="1:4" x14ac:dyDescent="0.2">
      <c r="B64290" t="s">
        <v>1</v>
      </c>
    </row>
    <row r="64291" spans="1:4" x14ac:dyDescent="0.2">
      <c r="B64291" t="s">
        <v>8</v>
      </c>
    </row>
    <row r="64293" spans="1:4" x14ac:dyDescent="0.2">
      <c r="A64293" t="s">
        <v>20008</v>
      </c>
      <c r="B64293" t="str">
        <f>HYPERLINK("https://lindat.mff.cuni.cz/services/teitok/pdtc10/index.php?action=vallex&amp;frame=v-w8797f1", "zahnout (v-w8797f1)")</f>
        <v>zahnout (v-w8797f1)</v>
      </c>
    </row>
    <row r="64294" spans="1:4" x14ac:dyDescent="0.2">
      <c r="B64294" t="s">
        <v>1</v>
      </c>
    </row>
    <row r="64295" spans="1:4" x14ac:dyDescent="0.2">
      <c r="B64295" t="s">
        <v>90</v>
      </c>
    </row>
    <row r="64297" spans="1:4" x14ac:dyDescent="0.2">
      <c r="A64297" t="s">
        <v>20009</v>
      </c>
      <c r="B64297" t="str">
        <f>HYPERLINK("https://lindat.mff.cuni.cz/services/teitok/pdtc10/index.php?action=vallex&amp;frame=v-w8798f1", "zahodit (v-w8798f1)")</f>
        <v>zahodit (v-w8798f1)</v>
      </c>
    </row>
    <row r="64298" spans="1:4" x14ac:dyDescent="0.2">
      <c r="B64298" t="s">
        <v>1</v>
      </c>
      <c r="C64298" t="s">
        <v>1524</v>
      </c>
      <c r="D64298" t="s">
        <v>2148</v>
      </c>
    </row>
    <row r="64299" spans="1:4" x14ac:dyDescent="0.2">
      <c r="B64299" t="s">
        <v>8</v>
      </c>
      <c r="C64299" t="s">
        <v>1078</v>
      </c>
      <c r="D64299" t="s">
        <v>8988</v>
      </c>
    </row>
    <row r="64301" spans="1:4" x14ac:dyDescent="0.2">
      <c r="A64301" t="s">
        <v>20010</v>
      </c>
      <c r="B64301" t="str">
        <f>HYPERLINK("https://lindat.mff.cuni.cz/services/teitok/pdtc10/index.php?action=vallex&amp;frame=v-w8798hsa_854", "zahodit (v-w8798hsa_854)")</f>
        <v>zahodit (v-w8798hsa_854)</v>
      </c>
    </row>
    <row r="64302" spans="1:4" x14ac:dyDescent="0.2">
      <c r="B64302" t="s">
        <v>1</v>
      </c>
      <c r="C64302" t="s">
        <v>249</v>
      </c>
      <c r="D64302" t="s">
        <v>2148</v>
      </c>
    </row>
    <row r="64303" spans="1:4" x14ac:dyDescent="0.2">
      <c r="B64303" t="s">
        <v>8</v>
      </c>
      <c r="C64303" t="s">
        <v>1044</v>
      </c>
      <c r="D64303" t="s">
        <v>8988</v>
      </c>
    </row>
    <row r="64305" spans="1:3" x14ac:dyDescent="0.2">
      <c r="A64305" t="s">
        <v>20011</v>
      </c>
      <c r="B64305" t="str">
        <f>HYPERLINK("https://lindat.mff.cuni.cz/services/teitok/pdtc10/index.php?action=vallex&amp;frame=v-w11370f1", "zahojit (v-w11370f1)")</f>
        <v>zahojit (v-w11370f1)</v>
      </c>
    </row>
    <row r="64306" spans="1:3" x14ac:dyDescent="0.2">
      <c r="B64306" t="s">
        <v>1</v>
      </c>
    </row>
    <row r="64307" spans="1:3" x14ac:dyDescent="0.2">
      <c r="B64307" t="s">
        <v>8</v>
      </c>
      <c r="C64307" t="s">
        <v>113</v>
      </c>
    </row>
    <row r="64309" spans="1:3" x14ac:dyDescent="0.2">
      <c r="A64309" t="s">
        <v>20012</v>
      </c>
      <c r="B64309" t="str">
        <f>HYPERLINK("https://lindat.mff.cuni.cz/services/teitok/pdtc10/index.php?action=vallex&amp;frame=v-w8799f1", "zahojit se (v-w8799f1)")</f>
        <v>zahojit se (v-w8799f1)</v>
      </c>
    </row>
    <row r="64310" spans="1:3" x14ac:dyDescent="0.2">
      <c r="B64310" t="s">
        <v>1</v>
      </c>
    </row>
    <row r="64311" spans="1:3" x14ac:dyDescent="0.2">
      <c r="B64311" t="s">
        <v>161</v>
      </c>
    </row>
    <row r="64313" spans="1:3" x14ac:dyDescent="0.2">
      <c r="A64313" t="s">
        <v>20013</v>
      </c>
      <c r="B64313" t="str">
        <f>HYPERLINK("https://lindat.mff.cuni.cz/services/teitok/pdtc10/index.php?action=vallex&amp;frame=v-w8799hsa_774", "zahojit se (v-w8799hsa_774)")</f>
        <v>zahojit se (v-w8799hsa_774)</v>
      </c>
    </row>
    <row r="64314" spans="1:3" x14ac:dyDescent="0.2">
      <c r="B64314" t="s">
        <v>1</v>
      </c>
    </row>
    <row r="64316" spans="1:3" x14ac:dyDescent="0.2">
      <c r="A64316" t="s">
        <v>20014</v>
      </c>
      <c r="B64316" t="str">
        <f>HYPERLINK("https://lindat.mff.cuni.cz/services/teitok/pdtc10/index.php?action=vallex&amp;frame=v-whsa_1002hsa_1003", "zahoukat (v-whsa_1002hsa_1003)")</f>
        <v>zahoukat (v-whsa_1002hsa_1003)</v>
      </c>
    </row>
    <row r="64317" spans="1:3" x14ac:dyDescent="0.2">
      <c r="B64317" t="s">
        <v>1</v>
      </c>
    </row>
    <row r="64318" spans="1:3" x14ac:dyDescent="0.2">
      <c r="B64318" t="s">
        <v>220</v>
      </c>
    </row>
    <row r="64320" spans="1:3" x14ac:dyDescent="0.2">
      <c r="A64320" t="s">
        <v>20015</v>
      </c>
      <c r="B64320" t="str">
        <f>HYPERLINK("https://lindat.mff.cuni.cz/services/teitok/pdtc10/index.php?action=vallex&amp;frame=v-w11787_ZUf1_ZU", "zahrabat (v-w11787_ZUf1_ZU)")</f>
        <v>zahrabat (v-w11787_ZUf1_ZU)</v>
      </c>
    </row>
    <row r="64321" spans="1:4" x14ac:dyDescent="0.2">
      <c r="B64321" t="s">
        <v>1</v>
      </c>
    </row>
    <row r="64322" spans="1:4" x14ac:dyDescent="0.2">
      <c r="B64322" t="s">
        <v>8</v>
      </c>
    </row>
    <row r="64323" spans="1:4" x14ac:dyDescent="0.2">
      <c r="B64323" t="s">
        <v>252</v>
      </c>
    </row>
    <row r="64325" spans="1:4" x14ac:dyDescent="0.2">
      <c r="A64325" t="s">
        <v>20016</v>
      </c>
      <c r="B64325" t="str">
        <f>HYPERLINK("https://lindat.mff.cuni.cz/services/teitok/pdtc10/index.php?action=vallex&amp;frame=v-w11787_ZUf2_ZU", "zahrabat (v-w11787_ZUf2_ZU)")</f>
        <v>zahrabat (v-w11787_ZUf2_ZU)</v>
      </c>
    </row>
    <row r="64326" spans="1:4" x14ac:dyDescent="0.2">
      <c r="B64326" t="s">
        <v>1</v>
      </c>
    </row>
    <row r="64327" spans="1:4" x14ac:dyDescent="0.2">
      <c r="B64327" t="s">
        <v>8</v>
      </c>
    </row>
    <row r="64328" spans="1:4" x14ac:dyDescent="0.2">
      <c r="B64328" t="s">
        <v>5479</v>
      </c>
    </row>
    <row r="64330" spans="1:4" x14ac:dyDescent="0.2">
      <c r="A64330" t="s">
        <v>20017</v>
      </c>
      <c r="B64330" t="str">
        <f>HYPERLINK("https://lindat.mff.cuni.cz/services/teitok/pdtc10/index.php?action=vallex&amp;frame=v-w10397f2", "zahradit (v-w10397f2)")</f>
        <v>zahradit (v-w10397f2)</v>
      </c>
    </row>
    <row r="64331" spans="1:4" x14ac:dyDescent="0.2">
      <c r="B64331" t="s">
        <v>1</v>
      </c>
      <c r="C64331" t="s">
        <v>20018</v>
      </c>
      <c r="D64331" t="s">
        <v>133</v>
      </c>
    </row>
    <row r="64332" spans="1:4" x14ac:dyDescent="0.2">
      <c r="B64332" t="s">
        <v>8</v>
      </c>
      <c r="C64332" t="s">
        <v>20019</v>
      </c>
      <c r="D64332" t="s">
        <v>34</v>
      </c>
    </row>
    <row r="64333" spans="1:4" x14ac:dyDescent="0.2">
      <c r="B64333" t="s">
        <v>78</v>
      </c>
    </row>
    <row r="64335" spans="1:4" x14ac:dyDescent="0.2">
      <c r="A64335" t="s">
        <v>20020</v>
      </c>
      <c r="B64335" t="str">
        <f>HYPERLINK("https://lindat.mff.cuni.cz/services/teitok/pdtc10/index.php?action=vallex&amp;frame=v-w10397hsa_1792", "zahradit (v-w10397hsa_1792)")</f>
        <v>zahradit (v-w10397hsa_1792)</v>
      </c>
    </row>
    <row r="64336" spans="1:4" x14ac:dyDescent="0.2">
      <c r="B64336" t="s">
        <v>1</v>
      </c>
    </row>
    <row r="64337" spans="1:3" x14ac:dyDescent="0.2">
      <c r="B64337" t="s">
        <v>8</v>
      </c>
    </row>
    <row r="64339" spans="1:3" x14ac:dyDescent="0.2">
      <c r="A64339" t="s">
        <v>20021</v>
      </c>
      <c r="B64339" t="str">
        <f>HYPERLINK("https://lindat.mff.cuni.cz/services/teitok/pdtc10/index.php?action=vallex&amp;frame=v-w11225f2", "zahradničit (v-w11225f2)")</f>
        <v>zahradničit (v-w11225f2)</v>
      </c>
    </row>
    <row r="64340" spans="1:3" x14ac:dyDescent="0.2">
      <c r="B64340" t="s">
        <v>1</v>
      </c>
    </row>
    <row r="64342" spans="1:3" x14ac:dyDescent="0.2">
      <c r="A64342" t="s">
        <v>20022</v>
      </c>
      <c r="B64342" t="str">
        <f>HYPERLINK("https://lindat.mff.cuni.cz/services/teitok/pdtc10/index.php?action=vallex&amp;frame=v-w8804f3", "zahrnout (v-w8804f3)")</f>
        <v>zahrnout (v-w8804f3)</v>
      </c>
    </row>
    <row r="64343" spans="1:3" x14ac:dyDescent="0.2">
      <c r="B64343" t="s">
        <v>1</v>
      </c>
      <c r="C64343" t="s">
        <v>133</v>
      </c>
    </row>
    <row r="64344" spans="1:3" x14ac:dyDescent="0.2">
      <c r="B64344" t="s">
        <v>158</v>
      </c>
      <c r="C64344" t="s">
        <v>23</v>
      </c>
    </row>
    <row r="64345" spans="1:3" x14ac:dyDescent="0.2">
      <c r="B64345" t="s">
        <v>58</v>
      </c>
    </row>
    <row r="64347" spans="1:3" x14ac:dyDescent="0.2">
      <c r="A64347" t="s">
        <v>20023</v>
      </c>
      <c r="B64347" t="str">
        <f>HYPERLINK("https://lindat.mff.cuni.cz/services/teitok/pdtc10/index.php?action=vallex&amp;frame=v-w8804f2", "zahrnout (v-w8804f2)")</f>
        <v>zahrnout (v-w8804f2)</v>
      </c>
    </row>
    <row r="64348" spans="1:3" x14ac:dyDescent="0.2">
      <c r="B64348" t="s">
        <v>1</v>
      </c>
      <c r="C64348" t="s">
        <v>20024</v>
      </c>
    </row>
    <row r="64349" spans="1:3" x14ac:dyDescent="0.2">
      <c r="B64349" t="s">
        <v>8</v>
      </c>
      <c r="C64349" t="s">
        <v>20025</v>
      </c>
    </row>
    <row r="64350" spans="1:3" x14ac:dyDescent="0.2">
      <c r="B64350" t="s">
        <v>5</v>
      </c>
      <c r="C64350" t="s">
        <v>20026</v>
      </c>
    </row>
    <row r="64352" spans="1:3" x14ac:dyDescent="0.2">
      <c r="A64352" t="s">
        <v>20027</v>
      </c>
      <c r="B64352" t="str">
        <f>HYPERLINK("https://lindat.mff.cuni.cz/services/teitok/pdtc10/index.php?action=vallex&amp;frame=v-w8804f1", "zahrnout (v-w8804f1)")</f>
        <v>zahrnout (v-w8804f1)</v>
      </c>
    </row>
    <row r="64353" spans="1:4" x14ac:dyDescent="0.2">
      <c r="B64353" t="s">
        <v>1</v>
      </c>
      <c r="C64353" t="s">
        <v>20028</v>
      </c>
      <c r="D64353" t="s">
        <v>24055</v>
      </c>
    </row>
    <row r="64354" spans="1:4" x14ac:dyDescent="0.2">
      <c r="B64354" t="s">
        <v>8</v>
      </c>
      <c r="C64354" t="s">
        <v>20029</v>
      </c>
      <c r="D64354" t="s">
        <v>24056</v>
      </c>
    </row>
    <row r="64355" spans="1:4" x14ac:dyDescent="0.2">
      <c r="B64355" t="s">
        <v>90</v>
      </c>
      <c r="C64355" t="s">
        <v>20030</v>
      </c>
      <c r="D64355" t="s">
        <v>24057</v>
      </c>
    </row>
    <row r="64357" spans="1:4" x14ac:dyDescent="0.2">
      <c r="A64357" t="s">
        <v>20031</v>
      </c>
      <c r="B64357" t="str">
        <f>HYPERLINK("https://lindat.mff.cuni.cz/services/teitok/pdtc10/index.php?action=vallex&amp;frame=v-w8804f4", "zahrnout (v-w8804f4)")</f>
        <v>zahrnout (v-w8804f4)</v>
      </c>
    </row>
    <row r="64358" spans="1:4" x14ac:dyDescent="0.2">
      <c r="B64358" t="s">
        <v>1</v>
      </c>
      <c r="C64358" t="s">
        <v>20032</v>
      </c>
      <c r="D64358" t="s">
        <v>23628</v>
      </c>
    </row>
    <row r="64359" spans="1:4" x14ac:dyDescent="0.2">
      <c r="B64359" t="s">
        <v>8</v>
      </c>
      <c r="C64359" t="s">
        <v>20033</v>
      </c>
      <c r="D64359" t="s">
        <v>23629</v>
      </c>
    </row>
    <row r="64361" spans="1:4" x14ac:dyDescent="0.2">
      <c r="A64361" t="s">
        <v>20034</v>
      </c>
      <c r="B64361" t="str">
        <f>HYPERLINK("https://lindat.mff.cuni.cz/services/teitok/pdtc10/index.php?action=vallex&amp;frame=v-w8805f3", "zahrnovat (v-w8805f3)")</f>
        <v>zahrnovat (v-w8805f3)</v>
      </c>
    </row>
    <row r="64362" spans="1:4" x14ac:dyDescent="0.2">
      <c r="B64362" t="s">
        <v>1</v>
      </c>
    </row>
    <row r="64363" spans="1:4" x14ac:dyDescent="0.2">
      <c r="B64363" t="s">
        <v>158</v>
      </c>
    </row>
    <row r="64364" spans="1:4" x14ac:dyDescent="0.2">
      <c r="B64364" t="s">
        <v>58</v>
      </c>
    </row>
    <row r="64366" spans="1:4" x14ac:dyDescent="0.2">
      <c r="A64366" t="s">
        <v>20035</v>
      </c>
      <c r="B64366" t="str">
        <f>HYPERLINK("https://lindat.mff.cuni.cz/services/teitok/pdtc10/index.php?action=vallex&amp;frame=v-w8805f2", "zahrnovat (v-w8805f2)")</f>
        <v>zahrnovat (v-w8805f2)</v>
      </c>
    </row>
    <row r="64367" spans="1:4" x14ac:dyDescent="0.2">
      <c r="B64367" t="s">
        <v>1</v>
      </c>
      <c r="C64367" t="s">
        <v>20036</v>
      </c>
      <c r="D64367" t="s">
        <v>24055</v>
      </c>
    </row>
    <row r="64368" spans="1:4" x14ac:dyDescent="0.2">
      <c r="B64368" t="s">
        <v>8</v>
      </c>
      <c r="C64368" t="s">
        <v>20037</v>
      </c>
      <c r="D64368" t="s">
        <v>24056</v>
      </c>
    </row>
    <row r="64369" spans="1:4" x14ac:dyDescent="0.2">
      <c r="B64369" t="s">
        <v>90</v>
      </c>
      <c r="D64369" t="s">
        <v>24057</v>
      </c>
    </row>
    <row r="64371" spans="1:4" x14ac:dyDescent="0.2">
      <c r="A64371" t="s">
        <v>20038</v>
      </c>
      <c r="B64371" t="str">
        <f>HYPERLINK("https://lindat.mff.cuni.cz/services/teitok/pdtc10/index.php?action=vallex&amp;frame=v-w8805f1", "zahrnovat (v-w8805f1)")</f>
        <v>zahrnovat (v-w8805f1)</v>
      </c>
    </row>
    <row r="64372" spans="1:4" x14ac:dyDescent="0.2">
      <c r="B64372" t="s">
        <v>1</v>
      </c>
      <c r="C64372" t="s">
        <v>20039</v>
      </c>
      <c r="D64372" t="s">
        <v>23628</v>
      </c>
    </row>
    <row r="64373" spans="1:4" x14ac:dyDescent="0.2">
      <c r="B64373" t="s">
        <v>8</v>
      </c>
      <c r="C64373" t="s">
        <v>20040</v>
      </c>
      <c r="D64373" t="s">
        <v>23629</v>
      </c>
    </row>
    <row r="64375" spans="1:4" x14ac:dyDescent="0.2">
      <c r="A64375" t="s">
        <v>20041</v>
      </c>
      <c r="B64375" t="str">
        <f>HYPERLINK("https://lindat.mff.cuni.cz/services/teitok/pdtc10/index.php?action=vallex&amp;frame=v-w8807f1", "zahrozit (v-w8807f1)")</f>
        <v>zahrozit (v-w8807f1)</v>
      </c>
    </row>
    <row r="64376" spans="1:4" x14ac:dyDescent="0.2">
      <c r="B64376" t="s">
        <v>1</v>
      </c>
    </row>
    <row r="64377" spans="1:4" x14ac:dyDescent="0.2">
      <c r="B64377" t="s">
        <v>3455</v>
      </c>
    </row>
    <row r="64378" spans="1:4" x14ac:dyDescent="0.2">
      <c r="B64378" t="s">
        <v>35</v>
      </c>
    </row>
    <row r="64380" spans="1:4" x14ac:dyDescent="0.2">
      <c r="A64380" t="s">
        <v>20042</v>
      </c>
      <c r="B64380" t="str">
        <f>HYPERLINK("https://lindat.mff.cuni.cz/services/teitok/pdtc10/index.php?action=vallex&amp;frame=v-w8800f1", "zahrát (v-w8800f1)")</f>
        <v>zahrát (v-w8800f1)</v>
      </c>
    </row>
    <row r="64381" spans="1:4" x14ac:dyDescent="0.2">
      <c r="B64381" t="s">
        <v>1</v>
      </c>
      <c r="C64381" t="s">
        <v>20043</v>
      </c>
      <c r="D64381" t="s">
        <v>23083</v>
      </c>
    </row>
    <row r="64382" spans="1:4" x14ac:dyDescent="0.2">
      <c r="B64382" t="s">
        <v>8</v>
      </c>
      <c r="C64382" t="s">
        <v>8262</v>
      </c>
      <c r="D64382" t="s">
        <v>6116</v>
      </c>
    </row>
    <row r="64384" spans="1:4" x14ac:dyDescent="0.2">
      <c r="A64384" t="s">
        <v>20044</v>
      </c>
      <c r="B64384" t="str">
        <f>HYPERLINK("https://lindat.mff.cuni.cz/services/teitok/pdtc10/index.php?action=vallex&amp;frame=v-w8800f2", "zahrát (v-w8800f2)")</f>
        <v>zahrát (v-w8800f2)</v>
      </c>
    </row>
    <row r="64385" spans="1:3" x14ac:dyDescent="0.2">
      <c r="B64385" t="s">
        <v>1</v>
      </c>
      <c r="C64385" t="s">
        <v>20045</v>
      </c>
    </row>
    <row r="64386" spans="1:3" x14ac:dyDescent="0.2">
      <c r="B64386" t="s">
        <v>8</v>
      </c>
      <c r="C64386" t="s">
        <v>5975</v>
      </c>
    </row>
    <row r="64388" spans="1:3" x14ac:dyDescent="0.2">
      <c r="A64388" t="s">
        <v>20046</v>
      </c>
      <c r="B64388" t="str">
        <f>HYPERLINK("https://lindat.mff.cuni.cz/services/teitok/pdtc10/index.php?action=vallex&amp;frame=v-w8800f3", "zahrát (v-w8800f3)")</f>
        <v>zahrát (v-w8800f3)</v>
      </c>
    </row>
    <row r="64389" spans="1:3" x14ac:dyDescent="0.2">
      <c r="B64389" t="s">
        <v>1</v>
      </c>
    </row>
    <row r="64390" spans="1:3" x14ac:dyDescent="0.2">
      <c r="B64390" t="s">
        <v>8</v>
      </c>
    </row>
    <row r="64392" spans="1:3" x14ac:dyDescent="0.2">
      <c r="A64392" t="s">
        <v>20047</v>
      </c>
      <c r="B64392" t="str">
        <f>HYPERLINK("https://lindat.mff.cuni.cz/services/teitok/pdtc10/index.php?action=vallex&amp;frame=v-w8800f5_ZU", "zahrát (v-w8800f5_ZU)")</f>
        <v>zahrát (v-w8800f5_ZU)</v>
      </c>
    </row>
    <row r="64393" spans="1:3" x14ac:dyDescent="0.2">
      <c r="B64393" t="s">
        <v>1</v>
      </c>
      <c r="C64393" t="s">
        <v>140</v>
      </c>
    </row>
    <row r="64394" spans="1:3" x14ac:dyDescent="0.2">
      <c r="B64394" t="s">
        <v>20048</v>
      </c>
    </row>
    <row r="64395" spans="1:3" x14ac:dyDescent="0.2">
      <c r="B64395" t="s">
        <v>103</v>
      </c>
    </row>
    <row r="64397" spans="1:3" x14ac:dyDescent="0.2">
      <c r="A64397" t="s">
        <v>20047</v>
      </c>
      <c r="B64397" t="str">
        <f>HYPERLINK("https://lindat.mff.cuni.cz/services/teitok/pdtc10/index.php?action=vallex&amp;frame=v-w8800f4_ZU", "zahrát (v-w8800f4_ZU) - substituted with v-w8800f5_ZU")</f>
        <v>zahrát (v-w8800f4_ZU) - substituted with v-w8800f5_ZU</v>
      </c>
    </row>
    <row r="64398" spans="1:3" x14ac:dyDescent="0.2">
      <c r="B64398" t="s">
        <v>1</v>
      </c>
    </row>
    <row r="64399" spans="1:3" x14ac:dyDescent="0.2">
      <c r="B64399" t="s">
        <v>20048</v>
      </c>
    </row>
    <row r="64400" spans="1:3" x14ac:dyDescent="0.2">
      <c r="B64400" t="s">
        <v>103</v>
      </c>
    </row>
    <row r="64402" spans="1:3" x14ac:dyDescent="0.2">
      <c r="A64402" t="s">
        <v>20049</v>
      </c>
      <c r="B64402" t="str">
        <f>HYPERLINK("https://lindat.mff.cuni.cz/services/teitok/pdtc10/index.php?action=vallex&amp;frame=v-w8801f1", "zahrát si (v-w8801f1)")</f>
        <v>zahrát si (v-w8801f1)</v>
      </c>
    </row>
    <row r="64403" spans="1:3" x14ac:dyDescent="0.2">
      <c r="B64403" t="s">
        <v>1</v>
      </c>
    </row>
    <row r="64404" spans="1:3" x14ac:dyDescent="0.2">
      <c r="B64404" t="s">
        <v>2423</v>
      </c>
    </row>
    <row r="64406" spans="1:3" x14ac:dyDescent="0.2">
      <c r="A64406" t="s">
        <v>20050</v>
      </c>
      <c r="B64406" t="str">
        <f>HYPERLINK("https://lindat.mff.cuni.cz/services/teitok/pdtc10/index.php?action=vallex&amp;frame=v-w8801hsa_944", "zahrát si (v-w8801hsa_944)")</f>
        <v>zahrát si (v-w8801hsa_944)</v>
      </c>
    </row>
    <row r="64407" spans="1:3" x14ac:dyDescent="0.2">
      <c r="B64407" t="s">
        <v>1</v>
      </c>
      <c r="C64407" t="s">
        <v>20051</v>
      </c>
    </row>
    <row r="64408" spans="1:3" x14ac:dyDescent="0.2">
      <c r="B64408" t="s">
        <v>20052</v>
      </c>
      <c r="C64408" t="s">
        <v>2747</v>
      </c>
    </row>
    <row r="64409" spans="1:3" x14ac:dyDescent="0.2">
      <c r="B64409" t="s">
        <v>2328</v>
      </c>
    </row>
    <row r="64411" spans="1:3" x14ac:dyDescent="0.2">
      <c r="A64411" t="s">
        <v>20053</v>
      </c>
      <c r="B64411" t="str">
        <f>HYPERLINK("https://lindat.mff.cuni.cz/services/teitok/pdtc10/index.php?action=vallex&amp;frame=v-w8802f1", "zahrávat (v-w8802f1)")</f>
        <v>zahrávat (v-w8802f1)</v>
      </c>
    </row>
    <row r="64412" spans="1:3" x14ac:dyDescent="0.2">
      <c r="B64412" t="s">
        <v>1</v>
      </c>
    </row>
    <row r="64413" spans="1:3" x14ac:dyDescent="0.2">
      <c r="B64413" t="s">
        <v>8</v>
      </c>
    </row>
    <row r="64415" spans="1:3" x14ac:dyDescent="0.2">
      <c r="A64415" t="s">
        <v>20054</v>
      </c>
      <c r="B64415" t="str">
        <f>HYPERLINK("https://lindat.mff.cuni.cz/services/teitok/pdtc10/index.php?action=vallex&amp;frame=v-w8803f1", "zahrávat si (v-w8803f1)")</f>
        <v>zahrávat si (v-w8803f1)</v>
      </c>
    </row>
    <row r="64416" spans="1:3" x14ac:dyDescent="0.2">
      <c r="B64416" t="s">
        <v>1</v>
      </c>
    </row>
    <row r="64417" spans="1:4" x14ac:dyDescent="0.2">
      <c r="B64417" t="s">
        <v>2423</v>
      </c>
    </row>
    <row r="64419" spans="1:4" x14ac:dyDescent="0.2">
      <c r="A64419" t="s">
        <v>20055</v>
      </c>
      <c r="B64419" t="str">
        <f>HYPERLINK("https://lindat.mff.cuni.cz/services/teitok/pdtc10/index.php?action=vallex&amp;frame=v-w8810f1", "zahubit (v-w8810f1)")</f>
        <v>zahubit (v-w8810f1)</v>
      </c>
    </row>
    <row r="64420" spans="1:4" x14ac:dyDescent="0.2">
      <c r="B64420" t="s">
        <v>1</v>
      </c>
    </row>
    <row r="64421" spans="1:4" x14ac:dyDescent="0.2">
      <c r="B64421" t="s">
        <v>8</v>
      </c>
    </row>
    <row r="64423" spans="1:4" x14ac:dyDescent="0.2">
      <c r="A64423" t="s">
        <v>20056</v>
      </c>
      <c r="B64423" t="str">
        <f>HYPERLINK("https://lindat.mff.cuni.cz/services/teitok/pdtc10/index.php?action=vallex&amp;frame=v-w8810hsa_862", "zahubit (v-w8810hsa_862)")</f>
        <v>zahubit (v-w8810hsa_862)</v>
      </c>
    </row>
    <row r="64424" spans="1:4" x14ac:dyDescent="0.2">
      <c r="B64424" t="s">
        <v>1</v>
      </c>
      <c r="C64424" t="s">
        <v>140</v>
      </c>
    </row>
    <row r="64425" spans="1:4" x14ac:dyDescent="0.2">
      <c r="B64425" t="s">
        <v>8</v>
      </c>
      <c r="C64425" t="s">
        <v>34</v>
      </c>
    </row>
    <row r="64427" spans="1:4" x14ac:dyDescent="0.2">
      <c r="A64427" t="s">
        <v>20057</v>
      </c>
      <c r="B64427" t="str">
        <f>HYPERLINK("https://lindat.mff.cuni.cz/services/teitok/pdtc10/index.php?action=vallex&amp;frame=v-w8811f1", "zahynout (v-w8811f1)")</f>
        <v>zahynout (v-w8811f1)</v>
      </c>
    </row>
    <row r="64428" spans="1:4" x14ac:dyDescent="0.2">
      <c r="B64428" t="s">
        <v>1</v>
      </c>
      <c r="C64428" t="s">
        <v>20058</v>
      </c>
      <c r="D64428" t="s">
        <v>7571</v>
      </c>
    </row>
    <row r="64430" spans="1:4" x14ac:dyDescent="0.2">
      <c r="A64430" t="s">
        <v>20059</v>
      </c>
      <c r="B64430" t="str">
        <f>HYPERLINK("https://lindat.mff.cuni.cz/services/teitok/pdtc10/index.php?action=vallex&amp;frame=v-w8784f1", "zahájit (v-w8784f1)")</f>
        <v>zahájit (v-w8784f1)</v>
      </c>
    </row>
    <row r="64431" spans="1:4" x14ac:dyDescent="0.2">
      <c r="B64431" t="s">
        <v>1</v>
      </c>
      <c r="C64431" t="s">
        <v>20060</v>
      </c>
      <c r="D64431" t="s">
        <v>22950</v>
      </c>
    </row>
    <row r="64432" spans="1:4" x14ac:dyDescent="0.2">
      <c r="B64432" t="s">
        <v>8</v>
      </c>
      <c r="C64432" t="s">
        <v>20061</v>
      </c>
      <c r="D64432" t="s">
        <v>22951</v>
      </c>
    </row>
    <row r="64434" spans="1:4" x14ac:dyDescent="0.2">
      <c r="A64434" t="s">
        <v>20062</v>
      </c>
      <c r="B64434" t="str">
        <f>HYPERLINK("https://lindat.mff.cuni.cz/services/teitok/pdtc10/index.php?action=vallex&amp;frame=v-w8784f2", "zahájit (v-w8784f2)")</f>
        <v>zahájit (v-w8784f2)</v>
      </c>
    </row>
    <row r="64435" spans="1:4" x14ac:dyDescent="0.2">
      <c r="B64435" t="s">
        <v>1</v>
      </c>
      <c r="C64435" t="s">
        <v>20063</v>
      </c>
      <c r="D64435" t="s">
        <v>13672</v>
      </c>
    </row>
    <row r="64437" spans="1:4" x14ac:dyDescent="0.2">
      <c r="A64437" t="s">
        <v>20064</v>
      </c>
      <c r="B64437" t="str">
        <f>HYPERLINK("https://lindat.mff.cuni.cz/services/teitok/pdtc10/index.php?action=vallex&amp;frame=v-w8784f3_ZU", "zahájit (v-w8784f3_ZU)")</f>
        <v>zahájit (v-w8784f3_ZU)</v>
      </c>
    </row>
    <row r="64438" spans="1:4" x14ac:dyDescent="0.2">
      <c r="B64438" t="s">
        <v>1</v>
      </c>
      <c r="C64438" t="s">
        <v>10116</v>
      </c>
      <c r="D64438" t="s">
        <v>8131</v>
      </c>
    </row>
    <row r="64439" spans="1:4" x14ac:dyDescent="0.2">
      <c r="B64439" t="s">
        <v>5</v>
      </c>
      <c r="D64439" t="s">
        <v>23680</v>
      </c>
    </row>
    <row r="64440" spans="1:4" x14ac:dyDescent="0.2">
      <c r="B64440" t="s">
        <v>220</v>
      </c>
      <c r="C64440" t="s">
        <v>10117</v>
      </c>
    </row>
    <row r="64442" spans="1:4" x14ac:dyDescent="0.2">
      <c r="A64442" t="s">
        <v>20065</v>
      </c>
      <c r="B64442" t="str">
        <f>HYPERLINK("https://lindat.mff.cuni.cz/services/teitok/pdtc10/index.php?action=vallex&amp;frame=v-w12267_ZUf1_ZU", "zaháknout (v-w12267_ZUf1_ZU)")</f>
        <v>zaháknout (v-w12267_ZUf1_ZU)</v>
      </c>
    </row>
    <row r="64443" spans="1:4" x14ac:dyDescent="0.2">
      <c r="B64443" t="s">
        <v>1</v>
      </c>
    </row>
    <row r="64444" spans="1:4" x14ac:dyDescent="0.2">
      <c r="B64444" t="s">
        <v>8</v>
      </c>
    </row>
    <row r="64446" spans="1:4" x14ac:dyDescent="0.2">
      <c r="A64446" t="s">
        <v>20066</v>
      </c>
      <c r="B64446" t="str">
        <f>HYPERLINK("https://lindat.mff.cuni.cz/services/teitok/pdtc10/index.php?action=vallex&amp;frame=v-w10797f2", "zahálet (v-w10797f2)")</f>
        <v>zahálet (v-w10797f2)</v>
      </c>
    </row>
    <row r="64447" spans="1:4" x14ac:dyDescent="0.2">
      <c r="B64447" t="s">
        <v>1</v>
      </c>
    </row>
    <row r="64449" spans="1:4" x14ac:dyDescent="0.2">
      <c r="A64449" t="s">
        <v>20067</v>
      </c>
      <c r="B64449" t="str">
        <f>HYPERLINK("https://lindat.mff.cuni.cz/services/teitok/pdtc10/index.php?action=vallex&amp;frame=v-w8789f1", "zahánět (v-w8789f1)")</f>
        <v>zahánět (v-w8789f1)</v>
      </c>
    </row>
    <row r="64450" spans="1:4" x14ac:dyDescent="0.2">
      <c r="B64450" t="s">
        <v>1</v>
      </c>
    </row>
    <row r="64451" spans="1:4" x14ac:dyDescent="0.2">
      <c r="B64451" t="s">
        <v>8</v>
      </c>
    </row>
    <row r="64452" spans="1:4" x14ac:dyDescent="0.2">
      <c r="B64452" t="s">
        <v>90</v>
      </c>
    </row>
    <row r="64454" spans="1:4" x14ac:dyDescent="0.2">
      <c r="A64454" t="s">
        <v>20068</v>
      </c>
      <c r="B64454" t="str">
        <f>HYPERLINK("https://lindat.mff.cuni.cz/services/teitok/pdtc10/index.php?action=vallex&amp;frame=v-w8789f2", "zahánět (v-w8789f2)")</f>
        <v>zahánět (v-w8789f2)</v>
      </c>
    </row>
    <row r="64455" spans="1:4" x14ac:dyDescent="0.2">
      <c r="B64455" t="s">
        <v>1</v>
      </c>
      <c r="D64455" t="s">
        <v>249</v>
      </c>
    </row>
    <row r="64456" spans="1:4" x14ac:dyDescent="0.2">
      <c r="B64456" t="s">
        <v>8</v>
      </c>
      <c r="D64456" t="s">
        <v>2886</v>
      </c>
    </row>
    <row r="64458" spans="1:4" x14ac:dyDescent="0.2">
      <c r="A64458" t="s">
        <v>20069</v>
      </c>
      <c r="B64458" t="str">
        <f>HYPERLINK("https://lindat.mff.cuni.cz/services/teitok/pdtc10/index.php?action=vallex&amp;frame=v-w8789f3", "zahánět (v-w8789f3)")</f>
        <v>zahánět (v-w8789f3)</v>
      </c>
    </row>
    <row r="64459" spans="1:4" x14ac:dyDescent="0.2">
      <c r="B64459" t="s">
        <v>1</v>
      </c>
      <c r="C64459" t="s">
        <v>230</v>
      </c>
    </row>
    <row r="64460" spans="1:4" x14ac:dyDescent="0.2">
      <c r="B64460" t="s">
        <v>2025</v>
      </c>
      <c r="C64460" t="s">
        <v>20070</v>
      </c>
    </row>
    <row r="64461" spans="1:4" x14ac:dyDescent="0.2">
      <c r="B64461" t="s">
        <v>8</v>
      </c>
    </row>
    <row r="64463" spans="1:4" x14ac:dyDescent="0.2">
      <c r="A64463" t="s">
        <v>20071</v>
      </c>
      <c r="B64463" t="str">
        <f>HYPERLINK("https://lindat.mff.cuni.cz/services/teitok/pdtc10/index.php?action=vallex&amp;frame=v-w11752_ZUf1_ZU", "zaházet (v-w11752_ZUf1_ZU)")</f>
        <v>zaházet (v-w11752_ZUf1_ZU)</v>
      </c>
    </row>
    <row r="64464" spans="1:4" x14ac:dyDescent="0.2">
      <c r="B64464" t="s">
        <v>1</v>
      </c>
    </row>
    <row r="64465" spans="1:3" x14ac:dyDescent="0.2">
      <c r="B64465" t="s">
        <v>8</v>
      </c>
    </row>
    <row r="64467" spans="1:3" x14ac:dyDescent="0.2">
      <c r="A64467" t="s">
        <v>20072</v>
      </c>
      <c r="B64467" t="str">
        <f>HYPERLINK("https://lindat.mff.cuni.cz/services/teitok/pdtc10/index.php?action=vallex&amp;frame=v-w11134f2", "zahýbat (v-w11134f2)")</f>
        <v>zahýbat (v-w11134f2)</v>
      </c>
    </row>
    <row r="64468" spans="1:3" x14ac:dyDescent="0.2">
      <c r="B64468" t="s">
        <v>1</v>
      </c>
      <c r="C64468" t="s">
        <v>3560</v>
      </c>
    </row>
    <row r="64469" spans="1:3" x14ac:dyDescent="0.2">
      <c r="B64469" t="s">
        <v>3215</v>
      </c>
      <c r="C64469" t="s">
        <v>341</v>
      </c>
    </row>
    <row r="64471" spans="1:3" x14ac:dyDescent="0.2">
      <c r="A64471" t="s">
        <v>20073</v>
      </c>
      <c r="B64471" t="str">
        <f>HYPERLINK("https://lindat.mff.cuni.cz/services/teitok/pdtc10/index.php?action=vallex&amp;frame=v-w11134hsa_1968", "zahýbat (v-w11134hsa_1968)")</f>
        <v>zahýbat (v-w11134hsa_1968)</v>
      </c>
    </row>
    <row r="64472" spans="1:3" x14ac:dyDescent="0.2">
      <c r="B64472" t="s">
        <v>1</v>
      </c>
    </row>
    <row r="64473" spans="1:3" x14ac:dyDescent="0.2">
      <c r="B64473" t="s">
        <v>103</v>
      </c>
    </row>
    <row r="64475" spans="1:3" x14ac:dyDescent="0.2">
      <c r="A64475" t="s">
        <v>20074</v>
      </c>
      <c r="B64475" t="str">
        <f>HYPERLINK("https://lindat.mff.cuni.cz/services/teitok/pdtc10/index.php?action=vallex&amp;frame=v-w12253_ZUf1_ZU", "zahýbat si (v-w12253_ZUf1_ZU)")</f>
        <v>zahýbat si (v-w12253_ZUf1_ZU)</v>
      </c>
    </row>
    <row r="64476" spans="1:3" x14ac:dyDescent="0.2">
      <c r="B64476" t="s">
        <v>1</v>
      </c>
    </row>
    <row r="64477" spans="1:3" x14ac:dyDescent="0.2">
      <c r="B64477" t="s">
        <v>20075</v>
      </c>
    </row>
    <row r="64479" spans="1:3" x14ac:dyDescent="0.2">
      <c r="A64479" t="s">
        <v>20076</v>
      </c>
      <c r="B64479" t="str">
        <f>HYPERLINK("https://lindat.mff.cuni.cz/services/teitok/pdtc10/index.php?action=vallex&amp;frame=v-w8808f1", "zahřát (v-w8808f1)")</f>
        <v>zahřát (v-w8808f1)</v>
      </c>
    </row>
    <row r="64480" spans="1:3" x14ac:dyDescent="0.2">
      <c r="B64480" t="s">
        <v>1</v>
      </c>
    </row>
    <row r="64481" spans="1:3" x14ac:dyDescent="0.2">
      <c r="B64481" t="s">
        <v>8</v>
      </c>
    </row>
    <row r="64483" spans="1:3" x14ac:dyDescent="0.2">
      <c r="A64483" t="s">
        <v>20077</v>
      </c>
      <c r="B64483" t="str">
        <f>HYPERLINK("https://lindat.mff.cuni.cz/services/teitok/pdtc10/index.php?action=vallex&amp;frame=v-w8808f2", "zahřát (v-w8808f2)")</f>
        <v>zahřát (v-w8808f2)</v>
      </c>
    </row>
    <row r="64484" spans="1:3" x14ac:dyDescent="0.2">
      <c r="B64484" t="s">
        <v>146</v>
      </c>
    </row>
    <row r="64485" spans="1:3" x14ac:dyDescent="0.2">
      <c r="B64485" t="s">
        <v>5</v>
      </c>
    </row>
    <row r="64487" spans="1:3" x14ac:dyDescent="0.2">
      <c r="A64487" t="s">
        <v>20078</v>
      </c>
      <c r="B64487" t="str">
        <f>HYPERLINK("https://lindat.mff.cuni.cz/services/teitok/pdtc10/index.php?action=vallex&amp;frame=v-w8809f1", "zahřát se (v-w8809f1)")</f>
        <v>zahřát se (v-w8809f1)</v>
      </c>
    </row>
    <row r="64488" spans="1:3" x14ac:dyDescent="0.2">
      <c r="B64488" t="s">
        <v>1</v>
      </c>
      <c r="C64488" t="s">
        <v>4011</v>
      </c>
    </row>
    <row r="64490" spans="1:3" x14ac:dyDescent="0.2">
      <c r="A64490" t="s">
        <v>20079</v>
      </c>
      <c r="B64490" t="str">
        <f>HYPERLINK("https://lindat.mff.cuni.cz/services/teitok/pdtc10/index.php?action=vallex&amp;frame=v-w10238f2", "zahřívat (v-w10238f2)")</f>
        <v>zahřívat (v-w10238f2)</v>
      </c>
    </row>
    <row r="64491" spans="1:3" x14ac:dyDescent="0.2">
      <c r="B64491" t="s">
        <v>1</v>
      </c>
    </row>
    <row r="64492" spans="1:3" x14ac:dyDescent="0.2">
      <c r="B64492" t="s">
        <v>8</v>
      </c>
    </row>
    <row r="64494" spans="1:3" x14ac:dyDescent="0.2">
      <c r="A64494" t="s">
        <v>20080</v>
      </c>
      <c r="B64494" t="str">
        <f>HYPERLINK("https://lindat.mff.cuni.cz/services/teitok/pdtc10/index.php?action=vallex&amp;frame=v-w8833f1", "zainteresovat (v-w8833f1)")</f>
        <v>zainteresovat (v-w8833f1)</v>
      </c>
    </row>
    <row r="64495" spans="1:3" x14ac:dyDescent="0.2">
      <c r="B64495" t="s">
        <v>1</v>
      </c>
    </row>
    <row r="64496" spans="1:3" x14ac:dyDescent="0.2">
      <c r="B64496" t="s">
        <v>13914</v>
      </c>
      <c r="C64496" t="s">
        <v>9298</v>
      </c>
    </row>
    <row r="64497" spans="1:3" x14ac:dyDescent="0.2">
      <c r="B64497" t="s">
        <v>58</v>
      </c>
      <c r="C64497" t="s">
        <v>20081</v>
      </c>
    </row>
    <row r="64499" spans="1:3" x14ac:dyDescent="0.2">
      <c r="A64499" t="s">
        <v>20082</v>
      </c>
      <c r="B64499" t="str">
        <f>HYPERLINK("https://lindat.mff.cuni.cz/services/teitok/pdtc10/index.php?action=vallex&amp;frame=v-w10631f2", "zainvestovat (v-w10631f2)")</f>
        <v>zainvestovat (v-w10631f2)</v>
      </c>
    </row>
    <row r="64500" spans="1:3" x14ac:dyDescent="0.2">
      <c r="B64500" t="s">
        <v>1</v>
      </c>
      <c r="C64500" t="s">
        <v>7589</v>
      </c>
    </row>
    <row r="64501" spans="1:3" x14ac:dyDescent="0.2">
      <c r="B64501" t="s">
        <v>8</v>
      </c>
      <c r="C64501" t="s">
        <v>10442</v>
      </c>
    </row>
    <row r="64503" spans="1:3" x14ac:dyDescent="0.2">
      <c r="A64503" t="s">
        <v>20083</v>
      </c>
      <c r="B64503" t="str">
        <f>HYPERLINK("https://lindat.mff.cuni.cz/services/teitok/pdtc10/index.php?action=vallex&amp;frame=v-w8837f1", "zajet (v-w8837f1)")</f>
        <v>zajet (v-w8837f1)</v>
      </c>
    </row>
    <row r="64504" spans="1:3" x14ac:dyDescent="0.2">
      <c r="B64504" t="s">
        <v>1</v>
      </c>
    </row>
    <row r="64505" spans="1:3" x14ac:dyDescent="0.2">
      <c r="B64505" t="s">
        <v>8</v>
      </c>
    </row>
    <row r="64507" spans="1:3" x14ac:dyDescent="0.2">
      <c r="A64507" t="s">
        <v>20084</v>
      </c>
      <c r="B64507" t="str">
        <f>HYPERLINK("https://lindat.mff.cuni.cz/services/teitok/pdtc10/index.php?action=vallex&amp;frame=v-w8837f3", "zajet (v-w8837f3)")</f>
        <v>zajet (v-w8837f3)</v>
      </c>
    </row>
    <row r="64508" spans="1:3" x14ac:dyDescent="0.2">
      <c r="B64508" t="s">
        <v>1</v>
      </c>
    </row>
    <row r="64509" spans="1:3" x14ac:dyDescent="0.2">
      <c r="B64509" t="s">
        <v>8</v>
      </c>
    </row>
    <row r="64511" spans="1:3" x14ac:dyDescent="0.2">
      <c r="A64511" t="s">
        <v>20085</v>
      </c>
      <c r="B64511" t="str">
        <f>HYPERLINK("https://lindat.mff.cuni.cz/services/teitok/pdtc10/index.php?action=vallex&amp;frame=v-w8837f2", "zajet (v-w8837f2)")</f>
        <v>zajet (v-w8837f2)</v>
      </c>
    </row>
    <row r="64512" spans="1:3" x14ac:dyDescent="0.2">
      <c r="B64512" t="s">
        <v>1</v>
      </c>
    </row>
    <row r="64513" spans="1:2" x14ac:dyDescent="0.2">
      <c r="B64513" t="s">
        <v>90</v>
      </c>
    </row>
    <row r="64515" spans="1:2" x14ac:dyDescent="0.2">
      <c r="A64515" t="s">
        <v>20086</v>
      </c>
      <c r="B64515" t="str">
        <f>HYPERLINK("https://lindat.mff.cuni.cz/services/teitok/pdtc10/index.php?action=vallex&amp;frame=v-w8837hsa_765", "zajet (v-w8837hsa_765)")</f>
        <v>zajet (v-w8837hsa_765)</v>
      </c>
    </row>
    <row r="64516" spans="1:2" x14ac:dyDescent="0.2">
      <c r="B64516" t="s">
        <v>1</v>
      </c>
    </row>
    <row r="64517" spans="1:2" x14ac:dyDescent="0.2">
      <c r="B64517" t="s">
        <v>8</v>
      </c>
    </row>
    <row r="64519" spans="1:2" x14ac:dyDescent="0.2">
      <c r="A64519" t="s">
        <v>20087</v>
      </c>
      <c r="B64519" t="str">
        <f>HYPERLINK("https://lindat.mff.cuni.cz/services/teitok/pdtc10/index.php?action=vallex&amp;frame=v-whsa_961hsa_962", "zajet si (v-whsa_961hsa_962)")</f>
        <v>zajet si (v-whsa_961hsa_962)</v>
      </c>
    </row>
    <row r="64520" spans="1:2" x14ac:dyDescent="0.2">
      <c r="B64520" t="s">
        <v>1</v>
      </c>
    </row>
    <row r="64521" spans="1:2" x14ac:dyDescent="0.2">
      <c r="B64521" t="s">
        <v>90</v>
      </c>
    </row>
    <row r="64523" spans="1:2" x14ac:dyDescent="0.2">
      <c r="A64523" t="s">
        <v>20088</v>
      </c>
      <c r="B64523" t="str">
        <f>HYPERLINK("https://lindat.mff.cuni.cz/services/teitok/pdtc10/index.php?action=vallex&amp;frame=v-w12082_ZUf1_ZU", "zajezdit si (v-w12082_ZUf1_ZU)")</f>
        <v>zajezdit si (v-w12082_ZUf1_ZU)</v>
      </c>
    </row>
    <row r="64524" spans="1:2" x14ac:dyDescent="0.2">
      <c r="B64524" t="s">
        <v>1</v>
      </c>
    </row>
    <row r="64526" spans="1:2" x14ac:dyDescent="0.2">
      <c r="A64526" t="s">
        <v>20089</v>
      </c>
      <c r="B64526" t="str">
        <f>HYPERLINK("https://lindat.mff.cuni.cz/services/teitok/pdtc10/index.php?action=vallex&amp;frame=v-w8844f1", "zajiskřit (v-w8844f1)")</f>
        <v>zajiskřit (v-w8844f1)</v>
      </c>
    </row>
    <row r="64527" spans="1:2" x14ac:dyDescent="0.2">
      <c r="B64527" t="s">
        <v>1</v>
      </c>
    </row>
    <row r="64529" spans="1:4" x14ac:dyDescent="0.2">
      <c r="A64529" t="s">
        <v>20090</v>
      </c>
      <c r="B64529" t="str">
        <f>HYPERLINK("https://lindat.mff.cuni.cz/services/teitok/pdtc10/index.php?action=vallex&amp;frame=v-w8844f2", "zajiskřit (v-w8844f2)")</f>
        <v>zajiskřit (v-w8844f2)</v>
      </c>
    </row>
    <row r="64530" spans="1:4" x14ac:dyDescent="0.2">
      <c r="B64530" t="s">
        <v>1</v>
      </c>
    </row>
    <row r="64532" spans="1:4" x14ac:dyDescent="0.2">
      <c r="A64532" t="s">
        <v>20091</v>
      </c>
      <c r="B64532" t="str">
        <f>HYPERLINK("https://lindat.mff.cuni.cz/services/teitok/pdtc10/index.php?action=vallex&amp;frame=v-w8845f1", "zajistit (v-w8845f1)")</f>
        <v>zajistit (v-w8845f1)</v>
      </c>
    </row>
    <row r="64533" spans="1:4" x14ac:dyDescent="0.2">
      <c r="B64533" t="s">
        <v>1</v>
      </c>
      <c r="C64533" t="s">
        <v>20092</v>
      </c>
      <c r="D64533" t="s">
        <v>3081</v>
      </c>
    </row>
    <row r="64534" spans="1:4" x14ac:dyDescent="0.2">
      <c r="B64534" t="s">
        <v>5970</v>
      </c>
      <c r="C64534" t="s">
        <v>20093</v>
      </c>
      <c r="D64534" t="s">
        <v>23630</v>
      </c>
    </row>
    <row r="64535" spans="1:4" x14ac:dyDescent="0.2">
      <c r="B64535" t="s">
        <v>1629</v>
      </c>
      <c r="C64535" t="s">
        <v>20094</v>
      </c>
      <c r="D64535" t="s">
        <v>11333</v>
      </c>
    </row>
    <row r="64537" spans="1:4" x14ac:dyDescent="0.2">
      <c r="A64537" t="s">
        <v>20095</v>
      </c>
      <c r="B64537" t="str">
        <f>HYPERLINK("https://lindat.mff.cuni.cz/services/teitok/pdtc10/index.php?action=vallex&amp;frame=v-w8845f2", "zajistit (v-w8845f2)")</f>
        <v>zajistit (v-w8845f2)</v>
      </c>
    </row>
    <row r="64538" spans="1:4" x14ac:dyDescent="0.2">
      <c r="B64538" t="s">
        <v>1</v>
      </c>
      <c r="C64538" t="s">
        <v>140</v>
      </c>
      <c r="D64538" t="s">
        <v>23052</v>
      </c>
    </row>
    <row r="64539" spans="1:4" x14ac:dyDescent="0.2">
      <c r="B64539" t="s">
        <v>8</v>
      </c>
      <c r="C64539" t="s">
        <v>3598</v>
      </c>
      <c r="D64539" t="s">
        <v>23053</v>
      </c>
    </row>
    <row r="64540" spans="1:4" x14ac:dyDescent="0.2">
      <c r="B64540" t="s">
        <v>308</v>
      </c>
      <c r="D64540" t="s">
        <v>23054</v>
      </c>
    </row>
    <row r="64542" spans="1:4" x14ac:dyDescent="0.2">
      <c r="A64542" t="s">
        <v>20096</v>
      </c>
      <c r="B64542" t="str">
        <f>HYPERLINK("https://lindat.mff.cuni.cz/services/teitok/pdtc10/index.php?action=vallex&amp;frame=v-w8845f3", "zajistit (v-w8845f3)")</f>
        <v>zajistit (v-w8845f3)</v>
      </c>
    </row>
    <row r="64543" spans="1:4" x14ac:dyDescent="0.2">
      <c r="B64543" t="s">
        <v>1</v>
      </c>
    </row>
    <row r="64544" spans="1:4" x14ac:dyDescent="0.2">
      <c r="B64544" t="s">
        <v>8</v>
      </c>
    </row>
    <row r="64546" spans="1:4" x14ac:dyDescent="0.2">
      <c r="A64546" t="s">
        <v>20097</v>
      </c>
      <c r="B64546" t="str">
        <f>HYPERLINK("https://lindat.mff.cuni.cz/services/teitok/pdtc10/index.php?action=vallex&amp;frame=v-w8845f4", "zajistit (v-w8845f4)")</f>
        <v>zajistit (v-w8845f4)</v>
      </c>
    </row>
    <row r="64547" spans="1:4" x14ac:dyDescent="0.2">
      <c r="B64547" t="s">
        <v>1</v>
      </c>
      <c r="C64547" t="s">
        <v>334</v>
      </c>
    </row>
    <row r="64548" spans="1:4" x14ac:dyDescent="0.2">
      <c r="B64548" t="s">
        <v>8</v>
      </c>
      <c r="C64548" t="s">
        <v>1109</v>
      </c>
    </row>
    <row r="64550" spans="1:4" x14ac:dyDescent="0.2">
      <c r="A64550" t="s">
        <v>20098</v>
      </c>
      <c r="B64550" t="str">
        <f>HYPERLINK("https://lindat.mff.cuni.cz/services/teitok/pdtc10/index.php?action=vallex&amp;frame=v-w8849f1", "zajišťovat (v-w8849f1)")</f>
        <v>zajišťovat (v-w8849f1)</v>
      </c>
    </row>
    <row r="64551" spans="1:4" x14ac:dyDescent="0.2">
      <c r="B64551" t="s">
        <v>1</v>
      </c>
      <c r="C64551" t="s">
        <v>20099</v>
      </c>
      <c r="D64551" t="s">
        <v>11013</v>
      </c>
    </row>
    <row r="64552" spans="1:4" x14ac:dyDescent="0.2">
      <c r="B64552" t="s">
        <v>5970</v>
      </c>
      <c r="C64552" t="s">
        <v>20100</v>
      </c>
      <c r="D64552" t="s">
        <v>24191</v>
      </c>
    </row>
    <row r="64553" spans="1:4" x14ac:dyDescent="0.2">
      <c r="B64553" t="s">
        <v>1629</v>
      </c>
      <c r="C64553" t="s">
        <v>20101</v>
      </c>
      <c r="D64553" t="s">
        <v>156</v>
      </c>
    </row>
    <row r="64555" spans="1:4" x14ac:dyDescent="0.2">
      <c r="A64555" t="s">
        <v>20102</v>
      </c>
      <c r="B64555" t="str">
        <f>HYPERLINK("https://lindat.mff.cuni.cz/services/teitok/pdtc10/index.php?action=vallex&amp;frame=v-w8849f2", "zajišťovat (v-w8849f2)")</f>
        <v>zajišťovat (v-w8849f2)</v>
      </c>
    </row>
    <row r="64556" spans="1:4" x14ac:dyDescent="0.2">
      <c r="B64556" t="s">
        <v>1</v>
      </c>
      <c r="C64556" t="s">
        <v>20103</v>
      </c>
      <c r="D64556" t="s">
        <v>23052</v>
      </c>
    </row>
    <row r="64557" spans="1:4" x14ac:dyDescent="0.2">
      <c r="B64557" t="s">
        <v>8</v>
      </c>
      <c r="C64557" t="s">
        <v>20104</v>
      </c>
      <c r="D64557" t="s">
        <v>23053</v>
      </c>
    </row>
    <row r="64558" spans="1:4" x14ac:dyDescent="0.2">
      <c r="B64558" t="s">
        <v>308</v>
      </c>
      <c r="D64558" t="s">
        <v>23054</v>
      </c>
    </row>
    <row r="64560" spans="1:4" x14ac:dyDescent="0.2">
      <c r="A64560" t="s">
        <v>20105</v>
      </c>
      <c r="B64560" t="str">
        <f>HYPERLINK("https://lindat.mff.cuni.cz/services/teitok/pdtc10/index.php?action=vallex&amp;frame=v-w8849f3_ZU", "zajišťovat (v-w8849f3_ZU)")</f>
        <v>zajišťovat (v-w8849f3_ZU)</v>
      </c>
    </row>
    <row r="64561" spans="1:4" x14ac:dyDescent="0.2">
      <c r="B64561" t="s">
        <v>1</v>
      </c>
    </row>
    <row r="64562" spans="1:4" x14ac:dyDescent="0.2">
      <c r="B64562" t="s">
        <v>8</v>
      </c>
    </row>
    <row r="64564" spans="1:4" x14ac:dyDescent="0.2">
      <c r="A64564" t="s">
        <v>20105</v>
      </c>
      <c r="B64564" t="str">
        <f>HYPERLINK("https://lindat.mff.cuni.cz/services/teitok/pdtc10/index.php?action=vallex&amp;frame=v-w8849hsa_1520", "zajišťovat (v-w8849hsa_1520) - substituted with v-w8849f3_ZU")</f>
        <v>zajišťovat (v-w8849hsa_1520) - substituted with v-w8849f3_ZU</v>
      </c>
    </row>
    <row r="64565" spans="1:4" x14ac:dyDescent="0.2">
      <c r="B64565" t="s">
        <v>1</v>
      </c>
    </row>
    <row r="64566" spans="1:4" x14ac:dyDescent="0.2">
      <c r="B64566" t="s">
        <v>8</v>
      </c>
    </row>
    <row r="64568" spans="1:4" x14ac:dyDescent="0.2">
      <c r="A64568" t="s">
        <v>20106</v>
      </c>
      <c r="B64568" t="str">
        <f>HYPERLINK("https://lindat.mff.cuni.cz/services/teitok/pdtc10/index.php?action=vallex&amp;frame=v-w8853f1", "zajmout (v-w8853f1)")</f>
        <v>zajmout (v-w8853f1)</v>
      </c>
    </row>
    <row r="64569" spans="1:4" x14ac:dyDescent="0.2">
      <c r="B64569" t="s">
        <v>1</v>
      </c>
      <c r="C64569" t="s">
        <v>109</v>
      </c>
      <c r="D64569" t="s">
        <v>294</v>
      </c>
    </row>
    <row r="64570" spans="1:4" x14ac:dyDescent="0.2">
      <c r="B64570" t="s">
        <v>8</v>
      </c>
      <c r="C64570" t="s">
        <v>2235</v>
      </c>
      <c r="D64570" t="s">
        <v>1351</v>
      </c>
    </row>
    <row r="64572" spans="1:4" x14ac:dyDescent="0.2">
      <c r="A64572" t="s">
        <v>20107</v>
      </c>
      <c r="B64572" t="str">
        <f>HYPERLINK("https://lindat.mff.cuni.cz/services/teitok/pdtc10/index.php?action=vallex&amp;frame=v-w8834f1", "zajásat (v-w8834f1)")</f>
        <v>zajásat (v-w8834f1)</v>
      </c>
    </row>
    <row r="64573" spans="1:4" x14ac:dyDescent="0.2">
      <c r="B64573" t="s">
        <v>1</v>
      </c>
      <c r="D64573" t="s">
        <v>33</v>
      </c>
    </row>
    <row r="64574" spans="1:4" x14ac:dyDescent="0.2">
      <c r="B64574" t="s">
        <v>3091</v>
      </c>
      <c r="D64574" t="s">
        <v>991</v>
      </c>
    </row>
    <row r="64576" spans="1:4" x14ac:dyDescent="0.2">
      <c r="A64576" t="s">
        <v>20108</v>
      </c>
      <c r="B64576" t="str">
        <f>HYPERLINK("https://lindat.mff.cuni.cz/services/teitok/pdtc10/index.php?action=vallex&amp;frame=v-w8841f2", "zajímat (v-w8841f2)")</f>
        <v>zajímat (v-w8841f2)</v>
      </c>
    </row>
    <row r="64577" spans="1:4" x14ac:dyDescent="0.2">
      <c r="B64577" t="s">
        <v>1</v>
      </c>
      <c r="D64577" t="s">
        <v>294</v>
      </c>
    </row>
    <row r="64578" spans="1:4" x14ac:dyDescent="0.2">
      <c r="B64578" t="s">
        <v>8</v>
      </c>
      <c r="D64578" t="s">
        <v>1351</v>
      </c>
    </row>
    <row r="64580" spans="1:4" x14ac:dyDescent="0.2">
      <c r="A64580" t="s">
        <v>20109</v>
      </c>
      <c r="B64580" t="str">
        <f>HYPERLINK("https://lindat.mff.cuni.cz/services/teitok/pdtc10/index.php?action=vallex&amp;frame=v-w8841f1", "zajímat (v-w8841f1)")</f>
        <v>zajímat (v-w8841f1)</v>
      </c>
    </row>
    <row r="64581" spans="1:4" x14ac:dyDescent="0.2">
      <c r="B64581" t="s">
        <v>146</v>
      </c>
      <c r="C64581" t="s">
        <v>20110</v>
      </c>
      <c r="D64581" t="s">
        <v>23386</v>
      </c>
    </row>
    <row r="64582" spans="1:4" x14ac:dyDescent="0.2">
      <c r="B64582" t="s">
        <v>149</v>
      </c>
      <c r="C64582" t="s">
        <v>20111</v>
      </c>
      <c r="D64582" t="s">
        <v>2439</v>
      </c>
    </row>
    <row r="64584" spans="1:4" x14ac:dyDescent="0.2">
      <c r="A64584" t="s">
        <v>20112</v>
      </c>
      <c r="B64584" t="str">
        <f>HYPERLINK("https://lindat.mff.cuni.cz/services/teitok/pdtc10/index.php?action=vallex&amp;frame=v-w8842f1", "zajímat se (v-w8842f1)")</f>
        <v>zajímat se (v-w8842f1)</v>
      </c>
    </row>
    <row r="64585" spans="1:4" x14ac:dyDescent="0.2">
      <c r="B64585" t="s">
        <v>1</v>
      </c>
      <c r="C64585" t="s">
        <v>20113</v>
      </c>
      <c r="D64585" t="s">
        <v>23386</v>
      </c>
    </row>
    <row r="64586" spans="1:4" x14ac:dyDescent="0.2">
      <c r="B64586" t="s">
        <v>20114</v>
      </c>
      <c r="C64586" t="s">
        <v>20115</v>
      </c>
      <c r="D64586" t="s">
        <v>2439</v>
      </c>
    </row>
    <row r="64588" spans="1:4" x14ac:dyDescent="0.2">
      <c r="A64588" t="s">
        <v>20116</v>
      </c>
      <c r="B64588" t="str">
        <f>HYPERLINK("https://lindat.mff.cuni.cz/services/teitok/pdtc10/index.php?action=vallex&amp;frame=v-whsa_1568f1_ZU", "zajímkovat (v-whsa_1568f1_ZU)")</f>
        <v>zajímkovat (v-whsa_1568f1_ZU)</v>
      </c>
    </row>
    <row r="64589" spans="1:4" x14ac:dyDescent="0.2">
      <c r="B64589" t="s">
        <v>1</v>
      </c>
    </row>
    <row r="64590" spans="1:4" x14ac:dyDescent="0.2">
      <c r="B64590" t="s">
        <v>8</v>
      </c>
    </row>
    <row r="64592" spans="1:4" x14ac:dyDescent="0.2">
      <c r="A64592" t="s">
        <v>20116</v>
      </c>
      <c r="B64592" t="str">
        <f>HYPERLINK("https://lindat.mff.cuni.cz/services/teitok/pdtc10/index.php?action=vallex&amp;frame=v-whsa_1568hsa_1569", "zajímkovat (v-whsa_1568hsa_1569) - substituted with v-whsa_1568f1_ZU")</f>
        <v>zajímkovat (v-whsa_1568hsa_1569) - substituted with v-whsa_1568f1_ZU</v>
      </c>
    </row>
    <row r="64593" spans="1:4" x14ac:dyDescent="0.2">
      <c r="B64593" t="s">
        <v>1</v>
      </c>
    </row>
    <row r="64594" spans="1:4" x14ac:dyDescent="0.2">
      <c r="B64594" t="s">
        <v>8</v>
      </c>
    </row>
    <row r="64596" spans="1:4" x14ac:dyDescent="0.2">
      <c r="A64596" t="s">
        <v>20117</v>
      </c>
      <c r="B64596" t="str">
        <f>HYPERLINK("https://lindat.mff.cuni.cz/services/teitok/pdtc10/index.php?action=vallex&amp;frame=v-w8851f1", "zajít (v-w8851f1)")</f>
        <v>zajít (v-w8851f1)</v>
      </c>
    </row>
    <row r="64597" spans="1:4" x14ac:dyDescent="0.2">
      <c r="B64597" t="s">
        <v>1</v>
      </c>
      <c r="C64597" t="s">
        <v>20118</v>
      </c>
      <c r="D64597" t="s">
        <v>23107</v>
      </c>
    </row>
    <row r="64598" spans="1:4" x14ac:dyDescent="0.2">
      <c r="B64598" t="s">
        <v>90</v>
      </c>
      <c r="C64598" t="s">
        <v>3819</v>
      </c>
      <c r="D64598" t="s">
        <v>23108</v>
      </c>
    </row>
    <row r="64600" spans="1:4" x14ac:dyDescent="0.2">
      <c r="A64600" t="s">
        <v>20119</v>
      </c>
      <c r="B64600" t="str">
        <f>HYPERLINK("https://lindat.mff.cuni.cz/services/teitok/pdtc10/index.php?action=vallex&amp;frame=v-w8851f2", "zajít (v-w8851f2)")</f>
        <v>zajít (v-w8851f2)</v>
      </c>
    </row>
    <row r="64601" spans="1:4" x14ac:dyDescent="0.2">
      <c r="B64601" t="s">
        <v>1</v>
      </c>
    </row>
    <row r="64602" spans="1:4" x14ac:dyDescent="0.2">
      <c r="B64602" t="s">
        <v>19922</v>
      </c>
    </row>
    <row r="64604" spans="1:4" x14ac:dyDescent="0.2">
      <c r="A64604" t="s">
        <v>20120</v>
      </c>
      <c r="B64604" t="str">
        <f>HYPERLINK("https://lindat.mff.cuni.cz/services/teitok/pdtc10/index.php?action=vallex&amp;frame=v-w8851f3_ZU", "zajít (v-w8851f3_ZU)")</f>
        <v>zajít (v-w8851f3_ZU)</v>
      </c>
    </row>
    <row r="64605" spans="1:4" x14ac:dyDescent="0.2">
      <c r="B64605" t="s">
        <v>1</v>
      </c>
      <c r="C64605" t="s">
        <v>3850</v>
      </c>
    </row>
    <row r="64606" spans="1:4" x14ac:dyDescent="0.2">
      <c r="B64606" t="s">
        <v>1597</v>
      </c>
    </row>
    <row r="64608" spans="1:4" x14ac:dyDescent="0.2">
      <c r="A64608" t="s">
        <v>20120</v>
      </c>
      <c r="B64608" t="str">
        <f>HYPERLINK("https://lindat.mff.cuni.cz/services/teitok/pdtc10/index.php?action=vallex&amp;frame=v-w8851hsa_994", "zajít (v-w8851hsa_994) - substituted with v-w8851f3_ZU")</f>
        <v>zajít (v-w8851hsa_994) - substituted with v-w8851f3_ZU</v>
      </c>
    </row>
    <row r="64609" spans="1:4" x14ac:dyDescent="0.2">
      <c r="B64609" t="s">
        <v>1</v>
      </c>
    </row>
    <row r="64610" spans="1:4" x14ac:dyDescent="0.2">
      <c r="B64610" t="s">
        <v>1597</v>
      </c>
    </row>
    <row r="64612" spans="1:4" x14ac:dyDescent="0.2">
      <c r="A64612" t="s">
        <v>20121</v>
      </c>
      <c r="B64612" t="str">
        <f>HYPERLINK("https://lindat.mff.cuni.cz/services/teitok/pdtc10/index.php?action=vallex&amp;frame=v-w12246_ZUf1_ZU", "zajít si (v-w12246_ZUf1_ZU)")</f>
        <v>zajít si (v-w12246_ZUf1_ZU)</v>
      </c>
    </row>
    <row r="64613" spans="1:4" x14ac:dyDescent="0.2">
      <c r="B64613" t="s">
        <v>1</v>
      </c>
    </row>
    <row r="64614" spans="1:4" x14ac:dyDescent="0.2">
      <c r="B64614" t="s">
        <v>252</v>
      </c>
    </row>
    <row r="64616" spans="1:4" x14ac:dyDescent="0.2">
      <c r="A64616" t="s">
        <v>20122</v>
      </c>
      <c r="B64616" t="str">
        <f>HYPERLINK("https://lindat.mff.cuni.cz/services/teitok/pdtc10/index.php?action=vallex&amp;frame=v-w8852f1", "zajíždět (v-w8852f1)")</f>
        <v>zajíždět (v-w8852f1)</v>
      </c>
    </row>
    <row r="64617" spans="1:4" x14ac:dyDescent="0.2">
      <c r="B64617" t="s">
        <v>1</v>
      </c>
      <c r="C64617" t="s">
        <v>140</v>
      </c>
      <c r="D64617" t="s">
        <v>24475</v>
      </c>
    </row>
    <row r="64618" spans="1:4" x14ac:dyDescent="0.2">
      <c r="B64618" t="s">
        <v>90</v>
      </c>
      <c r="D64618" t="s">
        <v>24476</v>
      </c>
    </row>
    <row r="64620" spans="1:4" x14ac:dyDescent="0.2">
      <c r="A64620" t="s">
        <v>20123</v>
      </c>
      <c r="B64620" t="str">
        <f>HYPERLINK("https://lindat.mff.cuni.cz/services/teitok/pdtc10/index.php?action=vallex&amp;frame=v-w8854f2", "zakalkulovat (v-w8854f2)")</f>
        <v>zakalkulovat (v-w8854f2)</v>
      </c>
    </row>
    <row r="64621" spans="1:4" x14ac:dyDescent="0.2">
      <c r="B64621" t="s">
        <v>1</v>
      </c>
    </row>
    <row r="64622" spans="1:4" x14ac:dyDescent="0.2">
      <c r="B64622" t="s">
        <v>41</v>
      </c>
    </row>
    <row r="64623" spans="1:4" x14ac:dyDescent="0.2">
      <c r="B64623" t="s">
        <v>90</v>
      </c>
    </row>
    <row r="64625" spans="1:4" x14ac:dyDescent="0.2">
      <c r="A64625" t="s">
        <v>20124</v>
      </c>
      <c r="B64625" t="str">
        <f>HYPERLINK("https://lindat.mff.cuni.cz/services/teitok/pdtc10/index.php?action=vallex&amp;frame=v-w8854f1", "zakalkulovat (v-w8854f1)")</f>
        <v>zakalkulovat (v-w8854f1)</v>
      </c>
    </row>
    <row r="64626" spans="1:4" x14ac:dyDescent="0.2">
      <c r="B64626" t="s">
        <v>1</v>
      </c>
    </row>
    <row r="64627" spans="1:4" x14ac:dyDescent="0.2">
      <c r="B64627" t="s">
        <v>41</v>
      </c>
    </row>
    <row r="64629" spans="1:4" x14ac:dyDescent="0.2">
      <c r="A64629" t="s">
        <v>20125</v>
      </c>
      <c r="B64629" t="str">
        <f>HYPERLINK("https://lindat.mff.cuni.cz/services/teitok/pdtc10/index.php?action=vallex&amp;frame=v-w8855f1", "zakalkulovávat (v-w8855f1)")</f>
        <v>zakalkulovávat (v-w8855f1)</v>
      </c>
    </row>
    <row r="64630" spans="1:4" x14ac:dyDescent="0.2">
      <c r="B64630" t="s">
        <v>1</v>
      </c>
    </row>
    <row r="64631" spans="1:4" x14ac:dyDescent="0.2">
      <c r="B64631" t="s">
        <v>8</v>
      </c>
    </row>
    <row r="64632" spans="1:4" x14ac:dyDescent="0.2">
      <c r="B64632" t="s">
        <v>90</v>
      </c>
    </row>
    <row r="64634" spans="1:4" x14ac:dyDescent="0.2">
      <c r="A64634" t="s">
        <v>20126</v>
      </c>
      <c r="B64634" t="str">
        <f>HYPERLINK("https://lindat.mff.cuni.cz/services/teitok/pdtc10/index.php?action=vallex&amp;frame=v-w8855f2", "zakalkulovávat (v-w8855f2)")</f>
        <v>zakalkulovávat (v-w8855f2)</v>
      </c>
    </row>
    <row r="64635" spans="1:4" x14ac:dyDescent="0.2">
      <c r="B64635" t="s">
        <v>1</v>
      </c>
    </row>
    <row r="64636" spans="1:4" x14ac:dyDescent="0.2">
      <c r="B64636" t="s">
        <v>41</v>
      </c>
    </row>
    <row r="64638" spans="1:4" x14ac:dyDescent="0.2">
      <c r="A64638" t="s">
        <v>20127</v>
      </c>
      <c r="B64638" t="str">
        <f>HYPERLINK("https://lindat.mff.cuni.cz/services/teitok/pdtc10/index.php?action=vallex&amp;frame=v-w8859f1", "zakazovat (v-w8859f1)")</f>
        <v>zakazovat (v-w8859f1)</v>
      </c>
    </row>
    <row r="64639" spans="1:4" x14ac:dyDescent="0.2">
      <c r="B64639" t="s">
        <v>1</v>
      </c>
      <c r="C64639" t="s">
        <v>20128</v>
      </c>
      <c r="D64639" t="s">
        <v>22999</v>
      </c>
    </row>
    <row r="64640" spans="1:4" x14ac:dyDescent="0.2">
      <c r="B64640" t="s">
        <v>1339</v>
      </c>
      <c r="C64640" t="s">
        <v>20129</v>
      </c>
      <c r="D64640" t="s">
        <v>23000</v>
      </c>
    </row>
    <row r="64641" spans="1:4" x14ac:dyDescent="0.2">
      <c r="B64641" t="s">
        <v>35</v>
      </c>
      <c r="C64641" t="s">
        <v>20130</v>
      </c>
      <c r="D64641" t="s">
        <v>23001</v>
      </c>
    </row>
    <row r="64643" spans="1:4" x14ac:dyDescent="0.2">
      <c r="A64643" t="s">
        <v>20131</v>
      </c>
      <c r="B64643" t="str">
        <f>HYPERLINK("https://lindat.mff.cuni.cz/services/teitok/pdtc10/index.php?action=vallex&amp;frame=v-whsa_1708hsa_1709", "zakleknout (v-whsa_1708hsa_1709)")</f>
        <v>zakleknout (v-whsa_1708hsa_1709)</v>
      </c>
    </row>
    <row r="64644" spans="1:4" x14ac:dyDescent="0.2">
      <c r="B64644" t="s">
        <v>1</v>
      </c>
    </row>
    <row r="64646" spans="1:4" x14ac:dyDescent="0.2">
      <c r="A64646" t="s">
        <v>20132</v>
      </c>
      <c r="B64646" t="str">
        <f>HYPERLINK("https://lindat.mff.cuni.cz/services/teitok/pdtc10/index.php?action=vallex&amp;frame=v-w8870f1", "zaklepat (v-w8870f1)")</f>
        <v>zaklepat (v-w8870f1)</v>
      </c>
    </row>
    <row r="64647" spans="1:4" x14ac:dyDescent="0.2">
      <c r="B64647" t="s">
        <v>1</v>
      </c>
      <c r="C64647" t="s">
        <v>249</v>
      </c>
      <c r="D64647" t="s">
        <v>249</v>
      </c>
    </row>
    <row r="64649" spans="1:4" x14ac:dyDescent="0.2">
      <c r="A64649" t="s">
        <v>20133</v>
      </c>
      <c r="B64649" t="str">
        <f>HYPERLINK("https://lindat.mff.cuni.cz/services/teitok/pdtc10/index.php?action=vallex&amp;frame=v-w8870f2_ZU", "zaklepat (v-w8870f2_ZU)")</f>
        <v>zaklepat (v-w8870f2_ZU)</v>
      </c>
    </row>
    <row r="64650" spans="1:4" x14ac:dyDescent="0.2">
      <c r="B64650" t="s">
        <v>1</v>
      </c>
    </row>
    <row r="64651" spans="1:4" x14ac:dyDescent="0.2">
      <c r="B64651" t="s">
        <v>20134</v>
      </c>
    </row>
    <row r="64653" spans="1:4" x14ac:dyDescent="0.2">
      <c r="A64653" t="s">
        <v>20133</v>
      </c>
      <c r="B64653" t="str">
        <f>HYPERLINK("https://lindat.mff.cuni.cz/services/teitok/pdtc10/index.php?action=vallex&amp;frame=v-w8870hsa_1474", "zaklepat (v-w8870hsa_1474) - substituted with v-w8870f2_ZU")</f>
        <v>zaklepat (v-w8870hsa_1474) - substituted with v-w8870f2_ZU</v>
      </c>
    </row>
    <row r="64654" spans="1:4" x14ac:dyDescent="0.2">
      <c r="B64654" t="s">
        <v>1</v>
      </c>
    </row>
    <row r="64655" spans="1:4" x14ac:dyDescent="0.2">
      <c r="B64655" t="s">
        <v>20134</v>
      </c>
    </row>
    <row r="64657" spans="1:2" x14ac:dyDescent="0.2">
      <c r="A64657" t="s">
        <v>20135</v>
      </c>
      <c r="B64657" t="str">
        <f>HYPERLINK("https://lindat.mff.cuni.cz/services/teitok/pdtc10/index.php?action=vallex&amp;frame=v-w8870f3_MM", "zaklepat (v-w8870f3_MM)")</f>
        <v>zaklepat (v-w8870f3_MM)</v>
      </c>
    </row>
    <row r="64658" spans="1:2" x14ac:dyDescent="0.2">
      <c r="B64658" t="s">
        <v>1</v>
      </c>
    </row>
    <row r="64659" spans="1:2" x14ac:dyDescent="0.2">
      <c r="B64659" t="s">
        <v>220</v>
      </c>
    </row>
    <row r="64661" spans="1:2" x14ac:dyDescent="0.2">
      <c r="A64661" t="s">
        <v>20135</v>
      </c>
      <c r="B64661" t="str">
        <f>HYPERLINK("https://lindat.mff.cuni.cz/services/teitok/pdtc10/index.php?action=vallex&amp;frame=v-w8870hsa_1473", "zaklepat (v-w8870hsa_1473) - substituted with v-w8870f3_MM")</f>
        <v>zaklepat (v-w8870hsa_1473) - substituted with v-w8870f3_MM</v>
      </c>
    </row>
    <row r="64662" spans="1:2" x14ac:dyDescent="0.2">
      <c r="B64662" t="s">
        <v>1</v>
      </c>
    </row>
    <row r="64663" spans="1:2" x14ac:dyDescent="0.2">
      <c r="B64663" t="s">
        <v>220</v>
      </c>
    </row>
    <row r="64665" spans="1:2" x14ac:dyDescent="0.2">
      <c r="A64665" t="s">
        <v>20136</v>
      </c>
      <c r="B64665" t="str">
        <f>HYPERLINK("https://lindat.mff.cuni.cz/services/teitok/pdtc10/index.php?action=vallex&amp;frame=v-w10936f2", "zaklesnout (v-w10936f2)")</f>
        <v>zaklesnout (v-w10936f2)</v>
      </c>
    </row>
    <row r="64666" spans="1:2" x14ac:dyDescent="0.2">
      <c r="B64666" t="s">
        <v>1</v>
      </c>
    </row>
    <row r="64667" spans="1:2" x14ac:dyDescent="0.2">
      <c r="B64667" t="s">
        <v>8</v>
      </c>
    </row>
    <row r="64668" spans="1:2" x14ac:dyDescent="0.2">
      <c r="B64668" t="s">
        <v>90</v>
      </c>
    </row>
    <row r="64670" spans="1:2" x14ac:dyDescent="0.2">
      <c r="A64670" t="s">
        <v>20137</v>
      </c>
      <c r="B64670" t="str">
        <f>HYPERLINK("https://lindat.mff.cuni.cz/services/teitok/pdtc10/index.php?action=vallex&amp;frame=v-whsa_1285hsa_1286", "zaklopýtnout (v-whsa_1285hsa_1286)")</f>
        <v>zaklopýtnout (v-whsa_1285hsa_1286)</v>
      </c>
    </row>
    <row r="64671" spans="1:2" x14ac:dyDescent="0.2">
      <c r="B64671" t="s">
        <v>1</v>
      </c>
    </row>
    <row r="64672" spans="1:2" x14ac:dyDescent="0.2">
      <c r="B64672" t="s">
        <v>467</v>
      </c>
    </row>
    <row r="64674" spans="1:4" x14ac:dyDescent="0.2">
      <c r="A64674" t="s">
        <v>20138</v>
      </c>
      <c r="B64674" t="str">
        <f>HYPERLINK("https://lindat.mff.cuni.cz/services/teitok/pdtc10/index.php?action=vallex&amp;frame=v-w8864f1", "zakládat (v-w8864f1)")</f>
        <v>zakládat (v-w8864f1)</v>
      </c>
    </row>
    <row r="64675" spans="1:4" x14ac:dyDescent="0.2">
      <c r="B64675" t="s">
        <v>1</v>
      </c>
      <c r="C64675" t="s">
        <v>20139</v>
      </c>
      <c r="D64675" t="s">
        <v>24111</v>
      </c>
    </row>
    <row r="64676" spans="1:4" x14ac:dyDescent="0.2">
      <c r="B64676" t="s">
        <v>8</v>
      </c>
      <c r="C64676" t="s">
        <v>20140</v>
      </c>
      <c r="D64676" t="s">
        <v>24112</v>
      </c>
    </row>
    <row r="64677" spans="1:4" x14ac:dyDescent="0.2">
      <c r="B64677" t="s">
        <v>14651</v>
      </c>
      <c r="C64677" t="s">
        <v>20141</v>
      </c>
      <c r="D64677" t="s">
        <v>7067</v>
      </c>
    </row>
    <row r="64679" spans="1:4" x14ac:dyDescent="0.2">
      <c r="A64679" t="s">
        <v>20142</v>
      </c>
      <c r="B64679" t="str">
        <f>HYPERLINK("https://lindat.mff.cuni.cz/services/teitok/pdtc10/index.php?action=vallex&amp;frame=v-w8864f3", "zakládat (v-w8864f3)")</f>
        <v>zakládat (v-w8864f3)</v>
      </c>
    </row>
    <row r="64680" spans="1:4" x14ac:dyDescent="0.2">
      <c r="B64680" t="s">
        <v>1</v>
      </c>
    </row>
    <row r="64681" spans="1:4" x14ac:dyDescent="0.2">
      <c r="B64681" t="s">
        <v>8</v>
      </c>
    </row>
    <row r="64682" spans="1:4" x14ac:dyDescent="0.2">
      <c r="B64682" t="s">
        <v>90</v>
      </c>
    </row>
    <row r="64684" spans="1:4" x14ac:dyDescent="0.2">
      <c r="A64684" t="s">
        <v>20143</v>
      </c>
      <c r="B64684" t="str">
        <f>HYPERLINK("https://lindat.mff.cuni.cz/services/teitok/pdtc10/index.php?action=vallex&amp;frame=v-w8864f5", "zakládat (v-w8864f5)")</f>
        <v>zakládat (v-w8864f5)</v>
      </c>
    </row>
    <row r="64685" spans="1:4" x14ac:dyDescent="0.2">
      <c r="B64685" t="s">
        <v>1</v>
      </c>
    </row>
    <row r="64686" spans="1:4" x14ac:dyDescent="0.2">
      <c r="B64686" t="s">
        <v>8</v>
      </c>
    </row>
    <row r="64688" spans="1:4" x14ac:dyDescent="0.2">
      <c r="A64688" t="s">
        <v>20144</v>
      </c>
      <c r="B64688" t="str">
        <f>HYPERLINK("https://lindat.mff.cuni.cz/services/teitok/pdtc10/index.php?action=vallex&amp;frame=v-w8864f4", "zakládat (v-w8864f4)")</f>
        <v>zakládat (v-w8864f4)</v>
      </c>
    </row>
    <row r="64689" spans="1:4" x14ac:dyDescent="0.2">
      <c r="B64689" t="s">
        <v>1</v>
      </c>
    </row>
    <row r="64690" spans="1:4" x14ac:dyDescent="0.2">
      <c r="B64690" t="s">
        <v>8</v>
      </c>
    </row>
    <row r="64692" spans="1:4" x14ac:dyDescent="0.2">
      <c r="A64692" t="s">
        <v>20145</v>
      </c>
      <c r="B64692" t="str">
        <f>HYPERLINK("https://lindat.mff.cuni.cz/services/teitok/pdtc10/index.php?action=vallex&amp;frame=v-w8864f2", "zakládat (v-w8864f2)")</f>
        <v>zakládat (v-w8864f2)</v>
      </c>
    </row>
    <row r="64693" spans="1:4" x14ac:dyDescent="0.2">
      <c r="B64693" t="s">
        <v>1</v>
      </c>
    </row>
    <row r="64694" spans="1:4" x14ac:dyDescent="0.2">
      <c r="B64694" t="s">
        <v>28</v>
      </c>
    </row>
    <row r="64696" spans="1:4" x14ac:dyDescent="0.2">
      <c r="A64696" t="s">
        <v>20146</v>
      </c>
      <c r="B64696" t="str">
        <f>HYPERLINK("https://lindat.mff.cuni.cz/services/teitok/pdtc10/index.php?action=vallex&amp;frame=v-w8867f1", "zakládat se (v-w8867f1)")</f>
        <v>zakládat se (v-w8867f1)</v>
      </c>
    </row>
    <row r="64697" spans="1:4" x14ac:dyDescent="0.2">
      <c r="B64697" t="s">
        <v>1</v>
      </c>
      <c r="C64697" t="s">
        <v>20147</v>
      </c>
      <c r="D64697" t="s">
        <v>23789</v>
      </c>
    </row>
    <row r="64698" spans="1:4" x14ac:dyDescent="0.2">
      <c r="B64698" t="s">
        <v>161</v>
      </c>
      <c r="C64698" t="s">
        <v>20148</v>
      </c>
      <c r="D64698" t="s">
        <v>23790</v>
      </c>
    </row>
    <row r="64700" spans="1:4" x14ac:dyDescent="0.2">
      <c r="A64700" t="s">
        <v>20149</v>
      </c>
      <c r="B64700" t="str">
        <f>HYPERLINK("https://lindat.mff.cuni.cz/services/teitok/pdtc10/index.php?action=vallex&amp;frame=v-w8868hsa_1396", "zakládat si (v-w8868hsa_1396)")</f>
        <v>zakládat si (v-w8868hsa_1396)</v>
      </c>
    </row>
    <row r="64701" spans="1:4" x14ac:dyDescent="0.2">
      <c r="B64701" t="s">
        <v>1</v>
      </c>
    </row>
    <row r="64702" spans="1:4" x14ac:dyDescent="0.2">
      <c r="B64702" t="s">
        <v>20150</v>
      </c>
    </row>
    <row r="64704" spans="1:4" x14ac:dyDescent="0.2">
      <c r="A64704" t="s">
        <v>20149</v>
      </c>
      <c r="B64704" t="str">
        <f>HYPERLINK("https://lindat.mff.cuni.cz/services/teitok/pdtc10/index.php?action=vallex&amp;frame=v-w8868f1", "zakládat si (v-w8868f1) - substituted with v-w8868hsa_1396")</f>
        <v>zakládat si (v-w8868f1) - substituted with v-w8868hsa_1396</v>
      </c>
    </row>
    <row r="64705" spans="1:4" x14ac:dyDescent="0.2">
      <c r="B64705" t="s">
        <v>1</v>
      </c>
    </row>
    <row r="64706" spans="1:4" x14ac:dyDescent="0.2">
      <c r="B64706" t="s">
        <v>20150</v>
      </c>
    </row>
    <row r="64708" spans="1:4" x14ac:dyDescent="0.2">
      <c r="A64708" t="s">
        <v>20151</v>
      </c>
      <c r="B64708" t="str">
        <f>HYPERLINK("https://lindat.mff.cuni.cz/services/teitok/pdtc10/index.php?action=vallex&amp;frame=v-w10270f3", "zaklínit (v-w10270f3)")</f>
        <v>zaklínit (v-w10270f3)</v>
      </c>
    </row>
    <row r="64709" spans="1:4" x14ac:dyDescent="0.2">
      <c r="B64709" t="s">
        <v>1</v>
      </c>
      <c r="D64709" t="s">
        <v>23181</v>
      </c>
    </row>
    <row r="64710" spans="1:4" x14ac:dyDescent="0.2">
      <c r="B64710" t="s">
        <v>8</v>
      </c>
      <c r="C64710" t="s">
        <v>1301</v>
      </c>
      <c r="D64710" t="s">
        <v>23182</v>
      </c>
    </row>
    <row r="64711" spans="1:4" x14ac:dyDescent="0.2">
      <c r="B64711" t="s">
        <v>5</v>
      </c>
      <c r="D64711" t="s">
        <v>15735</v>
      </c>
    </row>
    <row r="64713" spans="1:4" x14ac:dyDescent="0.2">
      <c r="A64713" t="s">
        <v>20152</v>
      </c>
      <c r="B64713" t="str">
        <f>HYPERLINK("https://lindat.mff.cuni.cz/services/teitok/pdtc10/index.php?action=vallex&amp;frame=v-w10270f2", "zaklínit (v-w10270f2)")</f>
        <v>zaklínit (v-w10270f2)</v>
      </c>
    </row>
    <row r="64714" spans="1:4" x14ac:dyDescent="0.2">
      <c r="B64714" t="s">
        <v>1</v>
      </c>
    </row>
    <row r="64715" spans="1:4" x14ac:dyDescent="0.2">
      <c r="B64715" t="s">
        <v>8</v>
      </c>
    </row>
    <row r="64716" spans="1:4" x14ac:dyDescent="0.2">
      <c r="B64716" t="s">
        <v>90</v>
      </c>
    </row>
    <row r="64718" spans="1:4" x14ac:dyDescent="0.2">
      <c r="A64718" t="s">
        <v>20153</v>
      </c>
      <c r="B64718" t="str">
        <f>HYPERLINK("https://lindat.mff.cuni.cz/services/teitok/pdtc10/index.php?action=vallex&amp;frame=v-w8872f1", "zaklít (v-w8872f1)")</f>
        <v>zaklít (v-w8872f1)</v>
      </c>
    </row>
    <row r="64719" spans="1:4" x14ac:dyDescent="0.2">
      <c r="B64719" t="s">
        <v>1</v>
      </c>
    </row>
    <row r="64720" spans="1:4" x14ac:dyDescent="0.2">
      <c r="B64720" t="s">
        <v>8</v>
      </c>
    </row>
    <row r="64721" spans="1:3" x14ac:dyDescent="0.2">
      <c r="B64721" t="s">
        <v>3153</v>
      </c>
    </row>
    <row r="64723" spans="1:3" x14ac:dyDescent="0.2">
      <c r="A64723" t="s">
        <v>20154</v>
      </c>
      <c r="B64723" t="str">
        <f>HYPERLINK("https://lindat.mff.cuni.cz/services/teitok/pdtc10/index.php?action=vallex&amp;frame=v-w10596f2", "zaknihovat (v-w10596f2)")</f>
        <v>zaknihovat (v-w10596f2)</v>
      </c>
    </row>
    <row r="64724" spans="1:3" x14ac:dyDescent="0.2">
      <c r="B64724" t="s">
        <v>1</v>
      </c>
    </row>
    <row r="64725" spans="1:3" x14ac:dyDescent="0.2">
      <c r="B64725" t="s">
        <v>8</v>
      </c>
    </row>
    <row r="64726" spans="1:3" x14ac:dyDescent="0.2">
      <c r="B64726" t="s">
        <v>90</v>
      </c>
    </row>
    <row r="64728" spans="1:3" x14ac:dyDescent="0.2">
      <c r="A64728" t="s">
        <v>20155</v>
      </c>
      <c r="B64728" t="str">
        <f>HYPERLINK("https://lindat.mff.cuni.cz/services/teitok/pdtc10/index.php?action=vallex&amp;frame=v-whsa_1828hsa_1829", "zakoktávat se (v-whsa_1828hsa_1829)")</f>
        <v>zakoktávat se (v-whsa_1828hsa_1829)</v>
      </c>
    </row>
    <row r="64729" spans="1:3" x14ac:dyDescent="0.2">
      <c r="B64729" t="s">
        <v>1</v>
      </c>
    </row>
    <row r="64731" spans="1:3" x14ac:dyDescent="0.2">
      <c r="A64731" t="s">
        <v>20156</v>
      </c>
      <c r="B64731" t="str">
        <f>HYPERLINK("https://lindat.mff.cuni.cz/services/teitok/pdtc10/index.php?action=vallex&amp;frame=v-w8874f1", "zakolísat (v-w8874f1)")</f>
        <v>zakolísat (v-w8874f1)</v>
      </c>
    </row>
    <row r="64732" spans="1:3" x14ac:dyDescent="0.2">
      <c r="B64732" t="s">
        <v>1</v>
      </c>
      <c r="C64732" t="s">
        <v>140</v>
      </c>
    </row>
    <row r="64733" spans="1:3" x14ac:dyDescent="0.2">
      <c r="B64733" t="s">
        <v>20157</v>
      </c>
    </row>
    <row r="64735" spans="1:3" x14ac:dyDescent="0.2">
      <c r="A64735" t="s">
        <v>20158</v>
      </c>
      <c r="B64735" t="str">
        <f>HYPERLINK("https://lindat.mff.cuni.cz/services/teitok/pdtc10/index.php?action=vallex&amp;frame=v-w8874f2", "zakolísat (v-w8874f2)")</f>
        <v>zakolísat (v-w8874f2)</v>
      </c>
    </row>
    <row r="64736" spans="1:3" x14ac:dyDescent="0.2">
      <c r="B64736" t="s">
        <v>1</v>
      </c>
    </row>
    <row r="64738" spans="1:4" x14ac:dyDescent="0.2">
      <c r="A64738" t="s">
        <v>20159</v>
      </c>
      <c r="B64738" t="str">
        <f>HYPERLINK("https://lindat.mff.cuni.cz/services/teitok/pdtc10/index.php?action=vallex&amp;frame=v-w10249f3", "zakomponovat (v-w10249f3)")</f>
        <v>zakomponovat (v-w10249f3)</v>
      </c>
    </row>
    <row r="64739" spans="1:4" x14ac:dyDescent="0.2">
      <c r="B64739" t="s">
        <v>1</v>
      </c>
      <c r="D64739" t="s">
        <v>24477</v>
      </c>
    </row>
    <row r="64740" spans="1:4" x14ac:dyDescent="0.2">
      <c r="B64740" t="s">
        <v>8</v>
      </c>
      <c r="D64740" t="s">
        <v>24478</v>
      </c>
    </row>
    <row r="64741" spans="1:4" x14ac:dyDescent="0.2">
      <c r="B64741" t="s">
        <v>5</v>
      </c>
      <c r="D64741" t="s">
        <v>24479</v>
      </c>
    </row>
    <row r="64743" spans="1:4" x14ac:dyDescent="0.2">
      <c r="A64743" t="s">
        <v>20160</v>
      </c>
      <c r="B64743" t="str">
        <f>HYPERLINK("https://lindat.mff.cuni.cz/services/teitok/pdtc10/index.php?action=vallex&amp;frame=v-w10249f2", "zakomponovat (v-w10249f2)")</f>
        <v>zakomponovat (v-w10249f2)</v>
      </c>
    </row>
    <row r="64744" spans="1:4" x14ac:dyDescent="0.2">
      <c r="B64744" t="s">
        <v>1</v>
      </c>
      <c r="C64744" t="s">
        <v>2400</v>
      </c>
      <c r="D64744" t="s">
        <v>24477</v>
      </c>
    </row>
    <row r="64745" spans="1:4" x14ac:dyDescent="0.2">
      <c r="B64745" t="s">
        <v>8</v>
      </c>
      <c r="C64745" t="s">
        <v>3324</v>
      </c>
      <c r="D64745" t="s">
        <v>24478</v>
      </c>
    </row>
    <row r="64746" spans="1:4" x14ac:dyDescent="0.2">
      <c r="B64746" t="s">
        <v>90</v>
      </c>
      <c r="D64746" t="s">
        <v>24480</v>
      </c>
    </row>
    <row r="64748" spans="1:4" x14ac:dyDescent="0.2">
      <c r="A64748" t="s">
        <v>20161</v>
      </c>
      <c r="B64748" t="str">
        <f>HYPERLINK("https://lindat.mff.cuni.cz/services/teitok/pdtc10/index.php?action=vallex&amp;frame=v-w8881f1", "zakonzervovat (v-w8881f1)")</f>
        <v>zakonzervovat (v-w8881f1)</v>
      </c>
    </row>
    <row r="64749" spans="1:4" x14ac:dyDescent="0.2">
      <c r="B64749" t="s">
        <v>1</v>
      </c>
    </row>
    <row r="64750" spans="1:4" x14ac:dyDescent="0.2">
      <c r="B64750" t="s">
        <v>8</v>
      </c>
    </row>
    <row r="64751" spans="1:4" x14ac:dyDescent="0.2">
      <c r="B64751" t="s">
        <v>90</v>
      </c>
    </row>
    <row r="64753" spans="1:4" x14ac:dyDescent="0.2">
      <c r="A64753" t="s">
        <v>20162</v>
      </c>
      <c r="B64753" t="str">
        <f>HYPERLINK("https://lindat.mff.cuni.cz/services/teitok/pdtc10/index.php?action=vallex&amp;frame=v-w8879f1", "zakončit (v-w8879f1)")</f>
        <v>zakončit (v-w8879f1)</v>
      </c>
    </row>
    <row r="64754" spans="1:4" x14ac:dyDescent="0.2">
      <c r="B64754" t="s">
        <v>1</v>
      </c>
      <c r="C64754" t="s">
        <v>20163</v>
      </c>
      <c r="D64754" t="s">
        <v>23140</v>
      </c>
    </row>
    <row r="64755" spans="1:4" x14ac:dyDescent="0.2">
      <c r="B64755" t="s">
        <v>8</v>
      </c>
      <c r="C64755" t="s">
        <v>20164</v>
      </c>
      <c r="D64755" t="s">
        <v>23141</v>
      </c>
    </row>
    <row r="64757" spans="1:4" x14ac:dyDescent="0.2">
      <c r="A64757" t="s">
        <v>20165</v>
      </c>
      <c r="B64757" t="str">
        <f>HYPERLINK("https://lindat.mff.cuni.cz/services/teitok/pdtc10/index.php?action=vallex&amp;frame=v-w8879f5_ZU", "zakončit (v-w8879f5_ZU)")</f>
        <v>zakončit (v-w8879f5_ZU)</v>
      </c>
    </row>
    <row r="64758" spans="1:4" x14ac:dyDescent="0.2">
      <c r="B64758" t="s">
        <v>1</v>
      </c>
      <c r="C64758" t="s">
        <v>20166</v>
      </c>
      <c r="D64758" t="s">
        <v>24169</v>
      </c>
    </row>
    <row r="64759" spans="1:4" x14ac:dyDescent="0.2">
      <c r="B64759" t="s">
        <v>8149</v>
      </c>
      <c r="C64759" t="s">
        <v>20167</v>
      </c>
      <c r="D64759" t="s">
        <v>24170</v>
      </c>
    </row>
    <row r="64760" spans="1:4" x14ac:dyDescent="0.2">
      <c r="B64760" t="s">
        <v>3495</v>
      </c>
      <c r="C64760" t="s">
        <v>20168</v>
      </c>
      <c r="D64760" t="s">
        <v>24314</v>
      </c>
    </row>
    <row r="64761" spans="1:4" x14ac:dyDescent="0.2">
      <c r="B64761" t="s">
        <v>20169</v>
      </c>
      <c r="C64761" t="s">
        <v>20170</v>
      </c>
      <c r="D64761" t="s">
        <v>24315</v>
      </c>
    </row>
    <row r="64763" spans="1:4" x14ac:dyDescent="0.2">
      <c r="A64763" t="s">
        <v>20165</v>
      </c>
      <c r="B64763" t="str">
        <f>HYPERLINK("https://lindat.mff.cuni.cz/services/teitok/pdtc10/index.php?action=vallex&amp;frame=v-w8879f2_ZU", "zakončit (v-w8879f2_ZU) - substituted with v-w8879f5_ZU")</f>
        <v>zakončit (v-w8879f2_ZU) - substituted with v-w8879f5_ZU</v>
      </c>
    </row>
    <row r="64764" spans="1:4" x14ac:dyDescent="0.2">
      <c r="B64764" t="s">
        <v>1</v>
      </c>
      <c r="C64764" t="s">
        <v>12481</v>
      </c>
    </row>
    <row r="64765" spans="1:4" x14ac:dyDescent="0.2">
      <c r="B64765" t="s">
        <v>8149</v>
      </c>
      <c r="C64765" t="s">
        <v>16020</v>
      </c>
    </row>
    <row r="64766" spans="1:4" x14ac:dyDescent="0.2">
      <c r="B64766" t="s">
        <v>3495</v>
      </c>
    </row>
    <row r="64767" spans="1:4" x14ac:dyDescent="0.2">
      <c r="B64767" t="s">
        <v>20169</v>
      </c>
    </row>
    <row r="64769" spans="1:3" x14ac:dyDescent="0.2">
      <c r="A64769" t="s">
        <v>20165</v>
      </c>
      <c r="B64769" t="str">
        <f>HYPERLINK("https://lindat.mff.cuni.cz/services/teitok/pdtc10/index.php?action=vallex&amp;frame=v-w8879f3_ZU", "zakončit (v-w8879f3_ZU) - substituted with v-w8879f5_ZU")</f>
        <v>zakončit (v-w8879f3_ZU) - substituted with v-w8879f5_ZU</v>
      </c>
    </row>
    <row r="64770" spans="1:3" x14ac:dyDescent="0.2">
      <c r="B64770" t="s">
        <v>1</v>
      </c>
      <c r="C64770" t="s">
        <v>16019</v>
      </c>
    </row>
    <row r="64771" spans="1:3" x14ac:dyDescent="0.2">
      <c r="B64771" t="s">
        <v>8149</v>
      </c>
      <c r="C64771" t="s">
        <v>20171</v>
      </c>
    </row>
    <row r="64772" spans="1:3" x14ac:dyDescent="0.2">
      <c r="B64772" t="s">
        <v>3495</v>
      </c>
    </row>
    <row r="64773" spans="1:3" x14ac:dyDescent="0.2">
      <c r="B64773" t="s">
        <v>20169</v>
      </c>
    </row>
    <row r="64775" spans="1:3" x14ac:dyDescent="0.2">
      <c r="A64775" t="s">
        <v>20165</v>
      </c>
      <c r="B64775" t="str">
        <f>HYPERLINK("https://lindat.mff.cuni.cz/services/teitok/pdtc10/index.php?action=vallex&amp;frame=v-w8879f4_ZU", "zakončit (v-w8879f4_ZU) - substituted with v-w8879f5_ZU")</f>
        <v>zakončit (v-w8879f4_ZU) - substituted with v-w8879f5_ZU</v>
      </c>
    </row>
    <row r="64776" spans="1:3" x14ac:dyDescent="0.2">
      <c r="B64776" t="s">
        <v>1</v>
      </c>
      <c r="C64776" t="s">
        <v>14148</v>
      </c>
    </row>
    <row r="64777" spans="1:3" x14ac:dyDescent="0.2">
      <c r="B64777" t="s">
        <v>8149</v>
      </c>
    </row>
    <row r="64778" spans="1:3" x14ac:dyDescent="0.2">
      <c r="B64778" t="s">
        <v>3495</v>
      </c>
      <c r="C64778" t="s">
        <v>20172</v>
      </c>
    </row>
    <row r="64779" spans="1:3" x14ac:dyDescent="0.2">
      <c r="B64779" t="s">
        <v>20169</v>
      </c>
    </row>
    <row r="64781" spans="1:3" x14ac:dyDescent="0.2">
      <c r="A64781" t="s">
        <v>20173</v>
      </c>
      <c r="B64781" t="str">
        <f>HYPERLINK("https://lindat.mff.cuni.cz/services/teitok/pdtc10/index.php?action=vallex&amp;frame=v-w8882f1", "zakopat (v-w8882f1)")</f>
        <v>zakopat (v-w8882f1)</v>
      </c>
    </row>
    <row r="64782" spans="1:3" x14ac:dyDescent="0.2">
      <c r="B64782" t="s">
        <v>1</v>
      </c>
    </row>
    <row r="64783" spans="1:3" x14ac:dyDescent="0.2">
      <c r="B64783" t="s">
        <v>8</v>
      </c>
    </row>
    <row r="64784" spans="1:3" x14ac:dyDescent="0.2">
      <c r="B64784" t="s">
        <v>3200</v>
      </c>
    </row>
    <row r="64786" spans="1:3" x14ac:dyDescent="0.2">
      <c r="A64786" t="s">
        <v>20174</v>
      </c>
      <c r="B64786" t="str">
        <f>HYPERLINK("https://lindat.mff.cuni.cz/services/teitok/pdtc10/index.php?action=vallex&amp;frame=v-w8882f2", "zakopat (v-w8882f2)")</f>
        <v>zakopat (v-w8882f2)</v>
      </c>
    </row>
    <row r="64787" spans="1:3" x14ac:dyDescent="0.2">
      <c r="B64787" t="s">
        <v>1</v>
      </c>
    </row>
    <row r="64788" spans="1:3" x14ac:dyDescent="0.2">
      <c r="B64788" t="s">
        <v>8</v>
      </c>
    </row>
    <row r="64790" spans="1:3" x14ac:dyDescent="0.2">
      <c r="A64790" t="s">
        <v>20175</v>
      </c>
      <c r="B64790" t="str">
        <f>HYPERLINK("https://lindat.mff.cuni.cz/services/teitok/pdtc10/index.php?action=vallex&amp;frame=v-w8882f3_ZU", "zakopat (v-w8882f3_ZU)")</f>
        <v>zakopat (v-w8882f3_ZU)</v>
      </c>
    </row>
    <row r="64791" spans="1:3" x14ac:dyDescent="0.2">
      <c r="B64791" t="s">
        <v>1</v>
      </c>
      <c r="C64791" t="s">
        <v>33</v>
      </c>
    </row>
    <row r="64792" spans="1:3" x14ac:dyDescent="0.2">
      <c r="B64792" t="s">
        <v>20176</v>
      </c>
      <c r="C64792" t="s">
        <v>20177</v>
      </c>
    </row>
    <row r="64794" spans="1:3" x14ac:dyDescent="0.2">
      <c r="A64794" t="s">
        <v>20178</v>
      </c>
      <c r="B64794" t="str">
        <f>HYPERLINK("https://lindat.mff.cuni.cz/services/teitok/pdtc10/index.php?action=vallex&amp;frame=v-w8882f4_ZU", "zakopat (v-w8882f4_ZU)")</f>
        <v>zakopat (v-w8882f4_ZU)</v>
      </c>
    </row>
    <row r="64795" spans="1:3" x14ac:dyDescent="0.2">
      <c r="B64795" t="s">
        <v>1</v>
      </c>
    </row>
    <row r="64796" spans="1:3" x14ac:dyDescent="0.2">
      <c r="B64796" t="s">
        <v>8</v>
      </c>
    </row>
    <row r="64797" spans="1:3" x14ac:dyDescent="0.2">
      <c r="B64797" t="s">
        <v>252</v>
      </c>
    </row>
    <row r="64799" spans="1:3" x14ac:dyDescent="0.2">
      <c r="A64799" t="s">
        <v>20179</v>
      </c>
      <c r="B64799" t="str">
        <f>HYPERLINK("https://lindat.mff.cuni.cz/services/teitok/pdtc10/index.php?action=vallex&amp;frame=v-w8883f1", "zakopat se (v-w8883f1)")</f>
        <v>zakopat se (v-w8883f1)</v>
      </c>
    </row>
    <row r="64800" spans="1:3" x14ac:dyDescent="0.2">
      <c r="B64800" t="s">
        <v>1</v>
      </c>
    </row>
    <row r="64802" spans="1:4" x14ac:dyDescent="0.2">
      <c r="A64802" t="s">
        <v>20180</v>
      </c>
      <c r="B64802" t="str">
        <f>HYPERLINK("https://lindat.mff.cuni.cz/services/teitok/pdtc10/index.php?action=vallex&amp;frame=v-whsa_167hsa_168", "zakopnout (v-whsa_167hsa_168)")</f>
        <v>zakopnout (v-whsa_167hsa_168)</v>
      </c>
    </row>
    <row r="64803" spans="1:4" x14ac:dyDescent="0.2">
      <c r="B64803" t="s">
        <v>1</v>
      </c>
    </row>
    <row r="64804" spans="1:4" x14ac:dyDescent="0.2">
      <c r="B64804" t="s">
        <v>2287</v>
      </c>
    </row>
    <row r="64806" spans="1:4" x14ac:dyDescent="0.2">
      <c r="A64806" t="s">
        <v>20181</v>
      </c>
      <c r="B64806" t="str">
        <f>HYPERLINK("https://lindat.mff.cuni.cz/services/teitok/pdtc10/index.php?action=vallex&amp;frame=v-w11008f3_ZU", "zakopávat (v-w11008f3_ZU)")</f>
        <v>zakopávat (v-w11008f3_ZU)</v>
      </c>
    </row>
    <row r="64807" spans="1:4" x14ac:dyDescent="0.2">
      <c r="B64807" t="s">
        <v>1</v>
      </c>
      <c r="D64807" t="s">
        <v>430</v>
      </c>
    </row>
    <row r="64808" spans="1:4" x14ac:dyDescent="0.2">
      <c r="B64808" t="s">
        <v>8</v>
      </c>
      <c r="C64808" t="s">
        <v>113</v>
      </c>
      <c r="D64808" t="s">
        <v>335</v>
      </c>
    </row>
    <row r="64809" spans="1:4" x14ac:dyDescent="0.2">
      <c r="B64809" t="s">
        <v>252</v>
      </c>
    </row>
    <row r="64811" spans="1:4" x14ac:dyDescent="0.2">
      <c r="A64811" t="s">
        <v>20182</v>
      </c>
      <c r="B64811" t="str">
        <f>HYPERLINK("https://lindat.mff.cuni.cz/services/teitok/pdtc10/index.php?action=vallex&amp;frame=v-w11008f2", "zakopávat (v-w11008f2)")</f>
        <v>zakopávat (v-w11008f2)</v>
      </c>
    </row>
    <row r="64812" spans="1:4" x14ac:dyDescent="0.2">
      <c r="B64812" t="s">
        <v>1</v>
      </c>
    </row>
    <row r="64813" spans="1:4" x14ac:dyDescent="0.2">
      <c r="B64813" t="s">
        <v>467</v>
      </c>
    </row>
    <row r="64815" spans="1:4" x14ac:dyDescent="0.2">
      <c r="A64815" t="s">
        <v>20183</v>
      </c>
      <c r="B64815" t="str">
        <f>HYPERLINK("https://lindat.mff.cuni.cz/services/teitok/pdtc10/index.php?action=vallex&amp;frame=v-w11008f4_MM", "zakopávat (v-w11008f4_MM)")</f>
        <v>zakopávat (v-w11008f4_MM)</v>
      </c>
    </row>
    <row r="64816" spans="1:4" x14ac:dyDescent="0.2">
      <c r="B64816" t="s">
        <v>1</v>
      </c>
    </row>
    <row r="64817" spans="1:3" x14ac:dyDescent="0.2">
      <c r="B64817" t="s">
        <v>2287</v>
      </c>
    </row>
    <row r="64819" spans="1:3" x14ac:dyDescent="0.2">
      <c r="A64819" t="s">
        <v>20184</v>
      </c>
      <c r="B64819" t="str">
        <f>HYPERLINK("https://lindat.mff.cuni.cz/services/teitok/pdtc10/index.php?action=vallex&amp;frame=v-w8885f1", "zakotvit (v-w8885f1)")</f>
        <v>zakotvit (v-w8885f1)</v>
      </c>
    </row>
    <row r="64820" spans="1:3" x14ac:dyDescent="0.2">
      <c r="B64820" t="s">
        <v>1</v>
      </c>
      <c r="C64820" t="s">
        <v>1774</v>
      </c>
    </row>
    <row r="64821" spans="1:3" x14ac:dyDescent="0.2">
      <c r="B64821" t="s">
        <v>8</v>
      </c>
      <c r="C64821" t="s">
        <v>20185</v>
      </c>
    </row>
    <row r="64822" spans="1:3" x14ac:dyDescent="0.2">
      <c r="B64822" t="s">
        <v>5</v>
      </c>
      <c r="C64822" t="s">
        <v>9359</v>
      </c>
    </row>
    <row r="64824" spans="1:3" x14ac:dyDescent="0.2">
      <c r="A64824" t="s">
        <v>20186</v>
      </c>
      <c r="B64824" t="str">
        <f>HYPERLINK("https://lindat.mff.cuni.cz/services/teitok/pdtc10/index.php?action=vallex&amp;frame=v-w8885f2", "zakotvit (v-w8885f2)")</f>
        <v>zakotvit (v-w8885f2)</v>
      </c>
    </row>
    <row r="64825" spans="1:3" x14ac:dyDescent="0.2">
      <c r="B64825" t="s">
        <v>1</v>
      </c>
    </row>
    <row r="64826" spans="1:3" x14ac:dyDescent="0.2">
      <c r="B64826" t="s">
        <v>41</v>
      </c>
    </row>
    <row r="64827" spans="1:3" x14ac:dyDescent="0.2">
      <c r="B64827" t="s">
        <v>90</v>
      </c>
    </row>
    <row r="64829" spans="1:3" x14ac:dyDescent="0.2">
      <c r="A64829" t="s">
        <v>20187</v>
      </c>
      <c r="B64829" t="str">
        <f>HYPERLINK("https://lindat.mff.cuni.cz/services/teitok/pdtc10/index.php?action=vallex&amp;frame=v-w8885f3", "zakotvit (v-w8885f3)")</f>
        <v>zakotvit (v-w8885f3)</v>
      </c>
    </row>
    <row r="64830" spans="1:3" x14ac:dyDescent="0.2">
      <c r="B64830" t="s">
        <v>1</v>
      </c>
    </row>
    <row r="64831" spans="1:3" x14ac:dyDescent="0.2">
      <c r="B64831" t="s">
        <v>5</v>
      </c>
    </row>
    <row r="64833" spans="1:3" x14ac:dyDescent="0.2">
      <c r="A64833" t="s">
        <v>20188</v>
      </c>
      <c r="B64833" t="str">
        <f>HYPERLINK("https://lindat.mff.cuni.cz/services/teitok/pdtc10/index.php?action=vallex&amp;frame=v-w8886f1", "zakotvovat (v-w8886f1)")</f>
        <v>zakotvovat (v-w8886f1)</v>
      </c>
    </row>
    <row r="64834" spans="1:3" x14ac:dyDescent="0.2">
      <c r="B64834" t="s">
        <v>1</v>
      </c>
    </row>
    <row r="64835" spans="1:3" x14ac:dyDescent="0.2">
      <c r="B64835" t="s">
        <v>8</v>
      </c>
    </row>
    <row r="64836" spans="1:3" x14ac:dyDescent="0.2">
      <c r="B64836" t="s">
        <v>5</v>
      </c>
    </row>
    <row r="64838" spans="1:3" x14ac:dyDescent="0.2">
      <c r="A64838" t="s">
        <v>20189</v>
      </c>
      <c r="B64838" t="str">
        <f>HYPERLINK("https://lindat.mff.cuni.cz/services/teitok/pdtc10/index.php?action=vallex&amp;frame=v-w8886f2", "zakotvovat (v-w8886f2)")</f>
        <v>zakotvovat (v-w8886f2)</v>
      </c>
    </row>
    <row r="64839" spans="1:3" x14ac:dyDescent="0.2">
      <c r="B64839" t="s">
        <v>1</v>
      </c>
    </row>
    <row r="64840" spans="1:3" x14ac:dyDescent="0.2">
      <c r="B64840" t="s">
        <v>8</v>
      </c>
    </row>
    <row r="64841" spans="1:3" x14ac:dyDescent="0.2">
      <c r="B64841" t="s">
        <v>90</v>
      </c>
    </row>
    <row r="64843" spans="1:3" x14ac:dyDescent="0.2">
      <c r="A64843" t="s">
        <v>20190</v>
      </c>
      <c r="B64843" t="str">
        <f>HYPERLINK("https://lindat.mff.cuni.cz/services/teitok/pdtc10/index.php?action=vallex&amp;frame=v-w8886f3_ZU", "zakotvovat (v-w8886f3_ZU)")</f>
        <v>zakotvovat (v-w8886f3_ZU)</v>
      </c>
    </row>
    <row r="64844" spans="1:3" x14ac:dyDescent="0.2">
      <c r="B64844" t="s">
        <v>1</v>
      </c>
      <c r="C64844" t="s">
        <v>2172</v>
      </c>
    </row>
    <row r="64845" spans="1:3" x14ac:dyDescent="0.2">
      <c r="B64845" t="s">
        <v>889</v>
      </c>
      <c r="C64845" t="s">
        <v>20191</v>
      </c>
    </row>
    <row r="64847" spans="1:3" x14ac:dyDescent="0.2">
      <c r="A64847" t="s">
        <v>20192</v>
      </c>
      <c r="B64847" t="str">
        <f>HYPERLINK("https://lindat.mff.cuni.cz/services/teitok/pdtc10/index.php?action=vallex&amp;frame=v-w8888f1", "zakoukat se (v-w8888f1)")</f>
        <v>zakoukat se (v-w8888f1)</v>
      </c>
    </row>
    <row r="64848" spans="1:3" x14ac:dyDescent="0.2">
      <c r="B64848" t="s">
        <v>1</v>
      </c>
    </row>
    <row r="64849" spans="1:4" x14ac:dyDescent="0.2">
      <c r="B64849" t="s">
        <v>817</v>
      </c>
    </row>
    <row r="64851" spans="1:4" x14ac:dyDescent="0.2">
      <c r="A64851" t="s">
        <v>20193</v>
      </c>
      <c r="B64851" t="str">
        <f>HYPERLINK("https://lindat.mff.cuni.cz/services/teitok/pdtc10/index.php?action=vallex&amp;frame=v-w8888f2", "zakoukat se (v-w8888f2)")</f>
        <v>zakoukat se (v-w8888f2)</v>
      </c>
    </row>
    <row r="64852" spans="1:4" x14ac:dyDescent="0.2">
      <c r="B64852" t="s">
        <v>1</v>
      </c>
    </row>
    <row r="64853" spans="1:4" x14ac:dyDescent="0.2">
      <c r="B64853" t="s">
        <v>90</v>
      </c>
    </row>
    <row r="64855" spans="1:4" x14ac:dyDescent="0.2">
      <c r="A64855" t="s">
        <v>20194</v>
      </c>
      <c r="B64855" t="str">
        <f>HYPERLINK("https://lindat.mff.cuni.cz/services/teitok/pdtc10/index.php?action=vallex&amp;frame=v-w8891f1", "zakoupit (v-w8891f1)")</f>
        <v>zakoupit (v-w8891f1)</v>
      </c>
    </row>
    <row r="64856" spans="1:4" x14ac:dyDescent="0.2">
      <c r="B64856" t="s">
        <v>1</v>
      </c>
      <c r="C64856" t="s">
        <v>20195</v>
      </c>
      <c r="D64856" t="s">
        <v>23430</v>
      </c>
    </row>
    <row r="64857" spans="1:4" x14ac:dyDescent="0.2">
      <c r="B64857" t="s">
        <v>8</v>
      </c>
      <c r="C64857" t="s">
        <v>20196</v>
      </c>
      <c r="D64857" t="s">
        <v>23431</v>
      </c>
    </row>
    <row r="64858" spans="1:4" x14ac:dyDescent="0.2">
      <c r="B64858" t="s">
        <v>1629</v>
      </c>
      <c r="C64858" t="s">
        <v>4242</v>
      </c>
      <c r="D64858" t="s">
        <v>4242</v>
      </c>
    </row>
    <row r="64859" spans="1:4" x14ac:dyDescent="0.2">
      <c r="B64859" t="s">
        <v>321</v>
      </c>
      <c r="C64859" t="s">
        <v>20197</v>
      </c>
      <c r="D64859" t="s">
        <v>5731</v>
      </c>
    </row>
    <row r="64861" spans="1:4" x14ac:dyDescent="0.2">
      <c r="A64861" t="s">
        <v>20198</v>
      </c>
      <c r="B64861" t="str">
        <f>HYPERLINK("https://lindat.mff.cuni.cz/services/teitok/pdtc10/index.php?action=vallex&amp;frame=v-w11978_ZUf1_ZU", "zakousnout (v-w11978_ZUf1_ZU)")</f>
        <v>zakousnout (v-w11978_ZUf1_ZU)</v>
      </c>
    </row>
    <row r="64862" spans="1:4" x14ac:dyDescent="0.2">
      <c r="B64862" t="s">
        <v>1</v>
      </c>
    </row>
    <row r="64863" spans="1:4" x14ac:dyDescent="0.2">
      <c r="B64863" t="s">
        <v>8</v>
      </c>
    </row>
    <row r="64865" spans="1:3" x14ac:dyDescent="0.2">
      <c r="A64865" t="s">
        <v>20199</v>
      </c>
      <c r="B64865" t="str">
        <f>HYPERLINK("https://lindat.mff.cuni.cz/services/teitok/pdtc10/index.php?action=vallex&amp;frame=v-w8892f1", "zakousnout se (v-w8892f1)")</f>
        <v>zakousnout se (v-w8892f1)</v>
      </c>
    </row>
    <row r="64866" spans="1:3" x14ac:dyDescent="0.2">
      <c r="B64866" t="s">
        <v>1</v>
      </c>
    </row>
    <row r="64867" spans="1:3" x14ac:dyDescent="0.2">
      <c r="B64867" t="s">
        <v>817</v>
      </c>
    </row>
    <row r="64869" spans="1:3" x14ac:dyDescent="0.2">
      <c r="A64869" t="s">
        <v>20200</v>
      </c>
      <c r="B64869" t="str">
        <f>HYPERLINK("https://lindat.mff.cuni.cz/services/teitok/pdtc10/index.php?action=vallex&amp;frame=v-w8892f2", "zakousnout se (v-w8892f2)")</f>
        <v>zakousnout se (v-w8892f2)</v>
      </c>
    </row>
    <row r="64870" spans="1:3" x14ac:dyDescent="0.2">
      <c r="B64870" t="s">
        <v>1</v>
      </c>
      <c r="C64870" t="s">
        <v>140</v>
      </c>
    </row>
    <row r="64871" spans="1:3" x14ac:dyDescent="0.2">
      <c r="B64871" t="s">
        <v>90</v>
      </c>
      <c r="C64871" t="s">
        <v>3819</v>
      </c>
    </row>
    <row r="64873" spans="1:3" x14ac:dyDescent="0.2">
      <c r="A64873" t="s">
        <v>20201</v>
      </c>
      <c r="B64873" t="str">
        <f>HYPERLINK("https://lindat.mff.cuni.cz/services/teitok/pdtc10/index.php?action=vallex&amp;frame=v-whsa_832hsa_833", "zakouřit si (v-whsa_832hsa_833)")</f>
        <v>zakouřit si (v-whsa_832hsa_833)</v>
      </c>
    </row>
    <row r="64874" spans="1:3" x14ac:dyDescent="0.2">
      <c r="B64874" t="s">
        <v>1</v>
      </c>
      <c r="C64874" t="s">
        <v>1086</v>
      </c>
    </row>
    <row r="64875" spans="1:3" x14ac:dyDescent="0.2">
      <c r="B64875" t="s">
        <v>8</v>
      </c>
      <c r="C64875" t="s">
        <v>1087</v>
      </c>
    </row>
    <row r="64877" spans="1:3" x14ac:dyDescent="0.2">
      <c r="A64877" t="s">
        <v>20202</v>
      </c>
      <c r="B64877" t="str">
        <f>HYPERLINK("https://lindat.mff.cuni.cz/services/teitok/pdtc10/index.php?action=vallex&amp;frame=v-whsa_1639hsa_1640", "zakoušet (v-whsa_1639hsa_1640)")</f>
        <v>zakoušet (v-whsa_1639hsa_1640)</v>
      </c>
    </row>
    <row r="64878" spans="1:3" x14ac:dyDescent="0.2">
      <c r="B64878" t="s">
        <v>1</v>
      </c>
    </row>
    <row r="64879" spans="1:3" x14ac:dyDescent="0.2">
      <c r="B64879" t="s">
        <v>8</v>
      </c>
    </row>
    <row r="64881" spans="1:2" x14ac:dyDescent="0.2">
      <c r="A64881" t="s">
        <v>20203</v>
      </c>
      <c r="B64881" t="str">
        <f>HYPERLINK("https://lindat.mff.cuni.cz/services/teitok/pdtc10/index.php?action=vallex&amp;frame=v-w10698f3", "zakořenit (v-w10698f3)")</f>
        <v>zakořenit (v-w10698f3)</v>
      </c>
    </row>
    <row r="64882" spans="1:2" x14ac:dyDescent="0.2">
      <c r="B64882" t="s">
        <v>1</v>
      </c>
    </row>
    <row r="64883" spans="1:2" x14ac:dyDescent="0.2">
      <c r="B64883" t="s">
        <v>5</v>
      </c>
    </row>
    <row r="64885" spans="1:2" x14ac:dyDescent="0.2">
      <c r="A64885" t="s">
        <v>20204</v>
      </c>
      <c r="B64885" t="str">
        <f>HYPERLINK("https://lindat.mff.cuni.cz/services/teitok/pdtc10/index.php?action=vallex&amp;frame=v-w10222f2", "zakrajovat (v-w10222f2)")</f>
        <v>zakrajovat (v-w10222f2)</v>
      </c>
    </row>
    <row r="64886" spans="1:2" x14ac:dyDescent="0.2">
      <c r="B64886" t="s">
        <v>1</v>
      </c>
    </row>
    <row r="64887" spans="1:2" x14ac:dyDescent="0.2">
      <c r="B64887" t="s">
        <v>90</v>
      </c>
    </row>
    <row r="64889" spans="1:2" x14ac:dyDescent="0.2">
      <c r="A64889" t="s">
        <v>20205</v>
      </c>
      <c r="B64889" t="str">
        <f>HYPERLINK("https://lindat.mff.cuni.cz/services/teitok/pdtc10/index.php?action=vallex&amp;frame=v-w12361_MMf1_MM", "zakreslit (v-w12361_MMf1_MM)")</f>
        <v>zakreslit (v-w12361_MMf1_MM)</v>
      </c>
    </row>
    <row r="64890" spans="1:2" x14ac:dyDescent="0.2">
      <c r="B64890" t="s">
        <v>1</v>
      </c>
    </row>
    <row r="64891" spans="1:2" x14ac:dyDescent="0.2">
      <c r="B64891" t="s">
        <v>8</v>
      </c>
    </row>
    <row r="64893" spans="1:2" x14ac:dyDescent="0.2">
      <c r="A64893" t="s">
        <v>20206</v>
      </c>
      <c r="B64893" t="str">
        <f>HYPERLINK("https://lindat.mff.cuni.cz/services/teitok/pdtc10/index.php?action=vallex&amp;frame=v-whsa_893hsa_894", "zakreslovat (v-whsa_893hsa_894)")</f>
        <v>zakreslovat (v-whsa_893hsa_894)</v>
      </c>
    </row>
    <row r="64894" spans="1:2" x14ac:dyDescent="0.2">
      <c r="B64894" t="s">
        <v>1</v>
      </c>
    </row>
    <row r="64895" spans="1:2" x14ac:dyDescent="0.2">
      <c r="B64895" t="s">
        <v>8</v>
      </c>
    </row>
    <row r="64896" spans="1:2" x14ac:dyDescent="0.2">
      <c r="B64896" t="s">
        <v>90</v>
      </c>
    </row>
    <row r="64898" spans="1:4" x14ac:dyDescent="0.2">
      <c r="A64898" t="s">
        <v>20207</v>
      </c>
      <c r="B64898" t="str">
        <f>HYPERLINK("https://lindat.mff.cuni.cz/services/teitok/pdtc10/index.php?action=vallex&amp;frame=v-w8893f1", "zakrnět (v-w8893f1)")</f>
        <v>zakrnět (v-w8893f1)</v>
      </c>
    </row>
    <row r="64899" spans="1:4" x14ac:dyDescent="0.2">
      <c r="B64899" t="s">
        <v>1</v>
      </c>
    </row>
    <row r="64901" spans="1:4" x14ac:dyDescent="0.2">
      <c r="A64901" t="s">
        <v>20208</v>
      </c>
      <c r="B64901" t="str">
        <f>HYPERLINK("https://lindat.mff.cuni.cz/services/teitok/pdtc10/index.php?action=vallex&amp;frame=v-w12187_ZUf1_ZU", "zakroutit (v-w12187_ZUf1_ZU)")</f>
        <v>zakroutit (v-w12187_ZUf1_ZU)</v>
      </c>
    </row>
    <row r="64902" spans="1:4" x14ac:dyDescent="0.2">
      <c r="B64902" t="s">
        <v>1</v>
      </c>
    </row>
    <row r="64903" spans="1:4" x14ac:dyDescent="0.2">
      <c r="B64903" t="s">
        <v>10578</v>
      </c>
    </row>
    <row r="64904" spans="1:4" x14ac:dyDescent="0.2">
      <c r="B64904" t="s">
        <v>164</v>
      </c>
    </row>
    <row r="64906" spans="1:4" x14ac:dyDescent="0.2">
      <c r="A64906" t="s">
        <v>20209</v>
      </c>
      <c r="B64906" t="str">
        <f>HYPERLINK("https://lindat.mff.cuni.cz/services/teitok/pdtc10/index.php?action=vallex&amp;frame=v-w8894f1", "zakročit (v-w8894f1)")</f>
        <v>zakročit (v-w8894f1)</v>
      </c>
    </row>
    <row r="64907" spans="1:4" x14ac:dyDescent="0.2">
      <c r="B64907" t="s">
        <v>1</v>
      </c>
      <c r="C64907" t="s">
        <v>20210</v>
      </c>
      <c r="D64907" t="s">
        <v>24481</v>
      </c>
    </row>
    <row r="64908" spans="1:4" x14ac:dyDescent="0.2">
      <c r="B64908" t="s">
        <v>20211</v>
      </c>
      <c r="C64908" t="s">
        <v>20212</v>
      </c>
      <c r="D64908" t="s">
        <v>2213</v>
      </c>
    </row>
    <row r="64910" spans="1:4" x14ac:dyDescent="0.2">
      <c r="A64910" t="s">
        <v>20213</v>
      </c>
      <c r="B64910" t="str">
        <f>HYPERLINK("https://lindat.mff.cuni.cz/services/teitok/pdtc10/index.php?action=vallex&amp;frame=v-w8895f1", "zakročovat (v-w8895f1)")</f>
        <v>zakročovat (v-w8895f1)</v>
      </c>
    </row>
    <row r="64911" spans="1:4" x14ac:dyDescent="0.2">
      <c r="B64911" t="s">
        <v>1</v>
      </c>
      <c r="D64911" t="s">
        <v>24481</v>
      </c>
    </row>
    <row r="64912" spans="1:4" x14ac:dyDescent="0.2">
      <c r="B64912" t="s">
        <v>20211</v>
      </c>
      <c r="D64912" t="s">
        <v>2213</v>
      </c>
    </row>
    <row r="64914" spans="1:4" x14ac:dyDescent="0.2">
      <c r="A64914" t="s">
        <v>20214</v>
      </c>
      <c r="B64914" t="str">
        <f>HYPERLINK("https://lindat.mff.cuni.cz/services/teitok/pdtc10/index.php?action=vallex&amp;frame=v-w8897f1", "zakrýt (v-w8897f1)")</f>
        <v>zakrýt (v-w8897f1)</v>
      </c>
    </row>
    <row r="64915" spans="1:4" x14ac:dyDescent="0.2">
      <c r="B64915" t="s">
        <v>1</v>
      </c>
      <c r="C64915" t="s">
        <v>20215</v>
      </c>
      <c r="D64915" t="s">
        <v>23440</v>
      </c>
    </row>
    <row r="64916" spans="1:4" x14ac:dyDescent="0.2">
      <c r="B64916" t="s">
        <v>124</v>
      </c>
      <c r="C64916" t="s">
        <v>1109</v>
      </c>
      <c r="D64916" t="s">
        <v>23441</v>
      </c>
    </row>
    <row r="64917" spans="1:4" x14ac:dyDescent="0.2">
      <c r="B64917" t="s">
        <v>216</v>
      </c>
      <c r="D64917" t="s">
        <v>14173</v>
      </c>
    </row>
    <row r="64919" spans="1:4" x14ac:dyDescent="0.2">
      <c r="A64919" t="s">
        <v>20216</v>
      </c>
      <c r="B64919" t="str">
        <f>HYPERLINK("https://lindat.mff.cuni.cz/services/teitok/pdtc10/index.php?action=vallex&amp;frame=v-w8897f2_ZU", "zakrýt (v-w8897f2_ZU)")</f>
        <v>zakrýt (v-w8897f2_ZU)</v>
      </c>
    </row>
    <row r="64920" spans="1:4" x14ac:dyDescent="0.2">
      <c r="B64920" t="s">
        <v>1</v>
      </c>
      <c r="C64920" t="s">
        <v>249</v>
      </c>
    </row>
    <row r="64921" spans="1:4" x14ac:dyDescent="0.2">
      <c r="B64921" t="s">
        <v>8</v>
      </c>
      <c r="C64921" t="s">
        <v>991</v>
      </c>
    </row>
    <row r="64923" spans="1:4" x14ac:dyDescent="0.2">
      <c r="A64923" t="s">
        <v>20216</v>
      </c>
      <c r="B64923" t="str">
        <f>HYPERLINK("https://lindat.mff.cuni.cz/services/teitok/pdtc10/index.php?action=vallex&amp;frame=v-w8897hsa_1312", "zakrýt (v-w8897hsa_1312) - substituted with v-w8897f2_ZU")</f>
        <v>zakrýt (v-w8897hsa_1312) - substituted with v-w8897f2_ZU</v>
      </c>
    </row>
    <row r="64924" spans="1:4" x14ac:dyDescent="0.2">
      <c r="B64924" t="s">
        <v>1</v>
      </c>
    </row>
    <row r="64925" spans="1:4" x14ac:dyDescent="0.2">
      <c r="B64925" t="s">
        <v>8</v>
      </c>
    </row>
    <row r="64927" spans="1:4" x14ac:dyDescent="0.2">
      <c r="A64927" t="s">
        <v>20217</v>
      </c>
      <c r="B64927" t="str">
        <f>HYPERLINK("https://lindat.mff.cuni.cz/services/teitok/pdtc10/index.php?action=vallex&amp;frame=v-w8900f1", "zakrývat (v-w8900f1)")</f>
        <v>zakrývat (v-w8900f1)</v>
      </c>
    </row>
    <row r="64928" spans="1:4" x14ac:dyDescent="0.2">
      <c r="B64928" t="s">
        <v>1</v>
      </c>
      <c r="C64928" t="s">
        <v>83</v>
      </c>
      <c r="D64928" t="s">
        <v>23440</v>
      </c>
    </row>
    <row r="64929" spans="1:4" x14ac:dyDescent="0.2">
      <c r="B64929" t="s">
        <v>124</v>
      </c>
      <c r="C64929" t="s">
        <v>354</v>
      </c>
      <c r="D64929" t="s">
        <v>23441</v>
      </c>
    </row>
    <row r="64930" spans="1:4" x14ac:dyDescent="0.2">
      <c r="B64930" t="s">
        <v>3200</v>
      </c>
      <c r="D64930" t="s">
        <v>14173</v>
      </c>
    </row>
    <row r="64932" spans="1:4" x14ac:dyDescent="0.2">
      <c r="A64932" t="s">
        <v>20218</v>
      </c>
      <c r="B64932" t="str">
        <f>HYPERLINK("https://lindat.mff.cuni.cz/services/teitok/pdtc10/index.php?action=vallex&amp;frame=v-w8900f2_ZU", "zakrývat (v-w8900f2_ZU)")</f>
        <v>zakrývat (v-w8900f2_ZU)</v>
      </c>
    </row>
    <row r="64933" spans="1:4" x14ac:dyDescent="0.2">
      <c r="B64933" t="s">
        <v>1</v>
      </c>
    </row>
    <row r="64934" spans="1:4" x14ac:dyDescent="0.2">
      <c r="B64934" t="s">
        <v>8</v>
      </c>
    </row>
    <row r="64935" spans="1:4" x14ac:dyDescent="0.2">
      <c r="B64935" t="s">
        <v>3200</v>
      </c>
    </row>
    <row r="64937" spans="1:4" x14ac:dyDescent="0.2">
      <c r="A64937" t="s">
        <v>20219</v>
      </c>
      <c r="B64937" t="str">
        <f>HYPERLINK("https://lindat.mff.cuni.cz/services/teitok/pdtc10/index.php?action=vallex&amp;frame=v-w8903f1", "zaktivizovat (v-w8903f1)")</f>
        <v>zaktivizovat (v-w8903f1)</v>
      </c>
    </row>
    <row r="64938" spans="1:4" x14ac:dyDescent="0.2">
      <c r="B64938" t="s">
        <v>1</v>
      </c>
    </row>
    <row r="64939" spans="1:4" x14ac:dyDescent="0.2">
      <c r="B64939" t="s">
        <v>8</v>
      </c>
    </row>
    <row r="64941" spans="1:4" x14ac:dyDescent="0.2">
      <c r="A64941" t="s">
        <v>20220</v>
      </c>
      <c r="B64941" t="str">
        <f>HYPERLINK("https://lindat.mff.cuni.cz/services/teitok/pdtc10/index.php?action=vallex&amp;frame=v-w11636_ZUf1_ZU", "zaktivovat (v-w11636_ZUf1_ZU)")</f>
        <v>zaktivovat (v-w11636_ZUf1_ZU)</v>
      </c>
    </row>
    <row r="64942" spans="1:4" x14ac:dyDescent="0.2">
      <c r="B64942" t="s">
        <v>1</v>
      </c>
      <c r="C64942" t="s">
        <v>1065</v>
      </c>
    </row>
    <row r="64943" spans="1:4" x14ac:dyDescent="0.2">
      <c r="B64943" t="s">
        <v>8</v>
      </c>
      <c r="C64943" t="s">
        <v>2886</v>
      </c>
    </row>
    <row r="64945" spans="1:4" x14ac:dyDescent="0.2">
      <c r="A64945" t="s">
        <v>20221</v>
      </c>
      <c r="B64945" t="str">
        <f>HYPERLINK("https://lindat.mff.cuni.cz/services/teitok/pdtc10/index.php?action=vallex&amp;frame=v-w8905f1", "zaktualizovat (v-w8905f1)")</f>
        <v>zaktualizovat (v-w8905f1)</v>
      </c>
    </row>
    <row r="64946" spans="1:4" x14ac:dyDescent="0.2">
      <c r="B64946" t="s">
        <v>1</v>
      </c>
    </row>
    <row r="64947" spans="1:4" x14ac:dyDescent="0.2">
      <c r="B64947" t="s">
        <v>8</v>
      </c>
    </row>
    <row r="64949" spans="1:4" x14ac:dyDescent="0.2">
      <c r="A64949" t="s">
        <v>20222</v>
      </c>
      <c r="B64949" t="str">
        <f>HYPERLINK("https://lindat.mff.cuni.cz/services/teitok/pdtc10/index.php?action=vallex&amp;frame=v-whsa_735hsa_736", "zakuplovat (v-whsa_735hsa_736)")</f>
        <v>zakuplovat (v-whsa_735hsa_736)</v>
      </c>
    </row>
    <row r="64950" spans="1:4" x14ac:dyDescent="0.2">
      <c r="B64950" t="s">
        <v>1</v>
      </c>
    </row>
    <row r="64951" spans="1:4" x14ac:dyDescent="0.2">
      <c r="B64951" t="s">
        <v>8</v>
      </c>
    </row>
    <row r="64953" spans="1:4" x14ac:dyDescent="0.2">
      <c r="A64953" t="s">
        <v>20223</v>
      </c>
      <c r="B64953" t="str">
        <f>HYPERLINK("https://lindat.mff.cuni.cz/services/teitok/pdtc10/index.php?action=vallex&amp;frame=v-w10183f2", "zakusit (v-w10183f2)")</f>
        <v>zakusit (v-w10183f2)</v>
      </c>
    </row>
    <row r="64954" spans="1:4" x14ac:dyDescent="0.2">
      <c r="B64954" t="s">
        <v>1</v>
      </c>
      <c r="C64954" t="s">
        <v>20224</v>
      </c>
      <c r="D64954" t="s">
        <v>23818</v>
      </c>
    </row>
    <row r="64955" spans="1:4" x14ac:dyDescent="0.2">
      <c r="B64955" t="s">
        <v>5970</v>
      </c>
      <c r="C64955" t="s">
        <v>1815</v>
      </c>
      <c r="D64955" t="s">
        <v>23819</v>
      </c>
    </row>
    <row r="64957" spans="1:4" x14ac:dyDescent="0.2">
      <c r="A64957" t="s">
        <v>20225</v>
      </c>
      <c r="B64957" t="str">
        <f>HYPERLINK("https://lindat.mff.cuni.cz/services/teitok/pdtc10/index.php?action=vallex&amp;frame=v-w8906f2", "zakusovat se (v-w8906f2)")</f>
        <v>zakusovat se (v-w8906f2)</v>
      </c>
    </row>
    <row r="64958" spans="1:4" x14ac:dyDescent="0.2">
      <c r="B64958" t="s">
        <v>1</v>
      </c>
    </row>
    <row r="64959" spans="1:4" x14ac:dyDescent="0.2">
      <c r="B64959" t="s">
        <v>817</v>
      </c>
    </row>
    <row r="64961" spans="1:4" x14ac:dyDescent="0.2">
      <c r="A64961" t="s">
        <v>20226</v>
      </c>
      <c r="B64961" t="str">
        <f>HYPERLINK("https://lindat.mff.cuni.cz/services/teitok/pdtc10/index.php?action=vallex&amp;frame=v-w8906f1", "zakusovat se (v-w8906f1)")</f>
        <v>zakusovat se (v-w8906f1)</v>
      </c>
    </row>
    <row r="64962" spans="1:4" x14ac:dyDescent="0.2">
      <c r="B64962" t="s">
        <v>1</v>
      </c>
    </row>
    <row r="64963" spans="1:4" x14ac:dyDescent="0.2">
      <c r="B64963" t="s">
        <v>90</v>
      </c>
    </row>
    <row r="64965" spans="1:4" x14ac:dyDescent="0.2">
      <c r="A64965" t="s">
        <v>20227</v>
      </c>
      <c r="B64965" t="str">
        <f>HYPERLINK("https://lindat.mff.cuni.cz/services/teitok/pdtc10/index.php?action=vallex&amp;frame=v-w8906hsa_439", "zakusovat se (v-w8906hsa_439)")</f>
        <v>zakusovat se (v-w8906hsa_439)</v>
      </c>
    </row>
    <row r="64966" spans="1:4" x14ac:dyDescent="0.2">
      <c r="B64966" t="s">
        <v>1</v>
      </c>
    </row>
    <row r="64967" spans="1:4" x14ac:dyDescent="0.2">
      <c r="B64967" t="s">
        <v>90</v>
      </c>
    </row>
    <row r="64969" spans="1:4" x14ac:dyDescent="0.2">
      <c r="A64969" t="s">
        <v>20228</v>
      </c>
      <c r="B64969" t="str">
        <f>HYPERLINK("https://lindat.mff.cuni.cz/services/teitok/pdtc10/index.php?action=vallex&amp;frame=v-w8857f1", "zakázat (v-w8857f1)")</f>
        <v>zakázat (v-w8857f1)</v>
      </c>
    </row>
    <row r="64970" spans="1:4" x14ac:dyDescent="0.2">
      <c r="B64970" t="s">
        <v>1</v>
      </c>
      <c r="C64970" t="s">
        <v>20229</v>
      </c>
      <c r="D64970" t="s">
        <v>22999</v>
      </c>
    </row>
    <row r="64971" spans="1:4" x14ac:dyDescent="0.2">
      <c r="B64971" t="s">
        <v>1339</v>
      </c>
      <c r="C64971" t="s">
        <v>20230</v>
      </c>
      <c r="D64971" t="s">
        <v>23000</v>
      </c>
    </row>
    <row r="64972" spans="1:4" x14ac:dyDescent="0.2">
      <c r="B64972" t="s">
        <v>35</v>
      </c>
      <c r="C64972" t="s">
        <v>14463</v>
      </c>
      <c r="D64972" t="s">
        <v>23001</v>
      </c>
    </row>
    <row r="64974" spans="1:4" x14ac:dyDescent="0.2">
      <c r="A64974" t="s">
        <v>20231</v>
      </c>
      <c r="B64974" t="str">
        <f>HYPERLINK("https://lindat.mff.cuni.cz/services/teitok/pdtc10/index.php?action=vallex&amp;frame=v-w8873f2", "zakódovat (v-w8873f2)")</f>
        <v>zakódovat (v-w8873f2)</v>
      </c>
    </row>
    <row r="64975" spans="1:4" x14ac:dyDescent="0.2">
      <c r="B64975" t="s">
        <v>1</v>
      </c>
    </row>
    <row r="64976" spans="1:4" x14ac:dyDescent="0.2">
      <c r="B64976" t="s">
        <v>8</v>
      </c>
    </row>
    <row r="64977" spans="1:2" x14ac:dyDescent="0.2">
      <c r="B64977" t="s">
        <v>5</v>
      </c>
    </row>
    <row r="64979" spans="1:2" x14ac:dyDescent="0.2">
      <c r="A64979" t="s">
        <v>20232</v>
      </c>
      <c r="B64979" t="str">
        <f>HYPERLINK("https://lindat.mff.cuni.cz/services/teitok/pdtc10/index.php?action=vallex&amp;frame=v-w8873f1", "zakódovat (v-w8873f1)")</f>
        <v>zakódovat (v-w8873f1)</v>
      </c>
    </row>
    <row r="64980" spans="1:2" x14ac:dyDescent="0.2">
      <c r="B64980" t="s">
        <v>1</v>
      </c>
    </row>
    <row r="64981" spans="1:2" x14ac:dyDescent="0.2">
      <c r="B64981" t="s">
        <v>8</v>
      </c>
    </row>
    <row r="64982" spans="1:2" x14ac:dyDescent="0.2">
      <c r="B64982" t="s">
        <v>90</v>
      </c>
    </row>
    <row r="64984" spans="1:2" x14ac:dyDescent="0.2">
      <c r="A64984" t="s">
        <v>20233</v>
      </c>
      <c r="B64984" t="str">
        <f>HYPERLINK("https://lindat.mff.cuni.cz/services/teitok/pdtc10/index.php?action=vallex&amp;frame=v-whsa_3f1_ZU", "zakřiknout (v-whsa_3f1_ZU)")</f>
        <v>zakřiknout (v-whsa_3f1_ZU)</v>
      </c>
    </row>
    <row r="64985" spans="1:2" x14ac:dyDescent="0.2">
      <c r="B64985" t="s">
        <v>1</v>
      </c>
    </row>
    <row r="64986" spans="1:2" x14ac:dyDescent="0.2">
      <c r="B64986" t="s">
        <v>8</v>
      </c>
    </row>
    <row r="64988" spans="1:2" x14ac:dyDescent="0.2">
      <c r="A64988" t="s">
        <v>20234</v>
      </c>
      <c r="B64988" t="str">
        <f>HYPERLINK("https://lindat.mff.cuni.cz/services/teitok/pdtc10/index.php?action=vallex&amp;frame=v-whsa_3hsa_4", "zakřiknout (v-whsa_3hsa_4)")</f>
        <v>zakřiknout (v-whsa_3hsa_4)</v>
      </c>
    </row>
    <row r="64989" spans="1:2" x14ac:dyDescent="0.2">
      <c r="B64989" t="s">
        <v>1</v>
      </c>
    </row>
    <row r="64990" spans="1:2" x14ac:dyDescent="0.2">
      <c r="B64990" t="s">
        <v>5970</v>
      </c>
    </row>
    <row r="64991" spans="1:2" x14ac:dyDescent="0.2">
      <c r="B64991" t="s">
        <v>3527</v>
      </c>
    </row>
    <row r="64993" spans="1:4" x14ac:dyDescent="0.2">
      <c r="A64993" t="s">
        <v>20235</v>
      </c>
      <c r="B64993" t="str">
        <f>HYPERLINK("https://lindat.mff.cuni.cz/services/teitok/pdtc10/index.php?action=vallex&amp;frame=v-w8902f1", "zakřivovat (v-w8902f1)")</f>
        <v>zakřivovat (v-w8902f1)</v>
      </c>
    </row>
    <row r="64994" spans="1:4" x14ac:dyDescent="0.2">
      <c r="B64994" t="s">
        <v>1</v>
      </c>
    </row>
    <row r="64995" spans="1:4" x14ac:dyDescent="0.2">
      <c r="B64995" t="s">
        <v>8</v>
      </c>
    </row>
    <row r="64997" spans="1:4" x14ac:dyDescent="0.2">
      <c r="A64997" t="s">
        <v>20236</v>
      </c>
      <c r="B64997" t="str">
        <f>HYPERLINK("https://lindat.mff.cuni.cz/services/teitok/pdtc10/index.php?action=vallex&amp;frame=v-w11365f1", "zakřičet (v-w11365f1)")</f>
        <v>zakřičet (v-w11365f1)</v>
      </c>
    </row>
    <row r="64998" spans="1:4" x14ac:dyDescent="0.2">
      <c r="B64998" t="s">
        <v>1</v>
      </c>
      <c r="C64998" t="s">
        <v>22</v>
      </c>
      <c r="D64998" t="s">
        <v>2571</v>
      </c>
    </row>
    <row r="64999" spans="1:4" x14ac:dyDescent="0.2">
      <c r="B64999" t="s">
        <v>3727</v>
      </c>
      <c r="C64999" t="s">
        <v>1128</v>
      </c>
      <c r="D64999" t="s">
        <v>338</v>
      </c>
    </row>
    <row r="65000" spans="1:4" x14ac:dyDescent="0.2">
      <c r="B65000" t="s">
        <v>3527</v>
      </c>
      <c r="C65000" t="s">
        <v>3728</v>
      </c>
      <c r="D65000" t="s">
        <v>3728</v>
      </c>
    </row>
    <row r="65002" spans="1:4" x14ac:dyDescent="0.2">
      <c r="A65002" t="s">
        <v>20237</v>
      </c>
      <c r="B65002" t="str">
        <f>HYPERLINK("https://lindat.mff.cuni.cz/services/teitok/pdtc10/index.php?action=vallex&amp;frame=v-w8901f1", "zakřičet si (v-w8901f1)")</f>
        <v>zakřičet si (v-w8901f1)</v>
      </c>
    </row>
    <row r="65003" spans="1:4" x14ac:dyDescent="0.2">
      <c r="B65003" t="s">
        <v>1</v>
      </c>
    </row>
    <row r="65004" spans="1:4" x14ac:dyDescent="0.2">
      <c r="B65004" t="s">
        <v>3533</v>
      </c>
    </row>
    <row r="65005" spans="1:4" x14ac:dyDescent="0.2">
      <c r="B65005" t="s">
        <v>3527</v>
      </c>
    </row>
    <row r="65007" spans="1:4" x14ac:dyDescent="0.2">
      <c r="A65007" t="s">
        <v>20238</v>
      </c>
      <c r="B65007" t="str">
        <f>HYPERLINK("https://lindat.mff.cuni.cz/services/teitok/pdtc10/index.php?action=vallex&amp;frame=v-w11207f2", "zalapat (v-w11207f2)")</f>
        <v>zalapat (v-w11207f2)</v>
      </c>
    </row>
    <row r="65008" spans="1:4" x14ac:dyDescent="0.2">
      <c r="B65008" t="s">
        <v>1</v>
      </c>
      <c r="C65008" t="s">
        <v>140</v>
      </c>
      <c r="D65008" t="s">
        <v>140</v>
      </c>
    </row>
    <row r="65009" spans="1:4" x14ac:dyDescent="0.2">
      <c r="B65009" t="s">
        <v>4378</v>
      </c>
      <c r="C65009" t="s">
        <v>397</v>
      </c>
      <c r="D65009" t="s">
        <v>397</v>
      </c>
    </row>
    <row r="65011" spans="1:4" x14ac:dyDescent="0.2">
      <c r="A65011" t="s">
        <v>20239</v>
      </c>
      <c r="B65011" t="str">
        <f>HYPERLINK("https://lindat.mff.cuni.cz/services/teitok/pdtc10/index.php?action=vallex&amp;frame=v-w11792_ZUf1_ZU", "zalehnout (v-w11792_ZUf1_ZU)")</f>
        <v>zalehnout (v-w11792_ZUf1_ZU)</v>
      </c>
    </row>
    <row r="65012" spans="1:4" x14ac:dyDescent="0.2">
      <c r="B65012" t="s">
        <v>1</v>
      </c>
    </row>
    <row r="65013" spans="1:4" x14ac:dyDescent="0.2">
      <c r="B65013" t="s">
        <v>252</v>
      </c>
    </row>
    <row r="65015" spans="1:4" x14ac:dyDescent="0.2">
      <c r="A65015" t="s">
        <v>20240</v>
      </c>
      <c r="B65015" t="str">
        <f>HYPERLINK("https://lindat.mff.cuni.cz/services/teitok/pdtc10/index.php?action=vallex&amp;frame=v-w8907f1", "zaleknout se (v-w8907f1)")</f>
        <v>zaleknout se (v-w8907f1)</v>
      </c>
    </row>
    <row r="65016" spans="1:4" x14ac:dyDescent="0.2">
      <c r="B65016" t="s">
        <v>1</v>
      </c>
    </row>
    <row r="65017" spans="1:4" x14ac:dyDescent="0.2">
      <c r="B65017" t="s">
        <v>4396</v>
      </c>
    </row>
    <row r="65019" spans="1:4" x14ac:dyDescent="0.2">
      <c r="A65019" t="s">
        <v>20241</v>
      </c>
      <c r="B65019" t="str">
        <f>HYPERLINK("https://lindat.mff.cuni.cz/services/teitok/pdtc10/index.php?action=vallex&amp;frame=v-w8908f1", "zalepit (v-w8908f1)")</f>
        <v>zalepit (v-w8908f1)</v>
      </c>
    </row>
    <row r="65020" spans="1:4" x14ac:dyDescent="0.2">
      <c r="B65020" t="s">
        <v>1</v>
      </c>
    </row>
    <row r="65021" spans="1:4" x14ac:dyDescent="0.2">
      <c r="B65021" t="s">
        <v>8</v>
      </c>
    </row>
    <row r="65023" spans="1:4" x14ac:dyDescent="0.2">
      <c r="A65023" t="s">
        <v>20242</v>
      </c>
      <c r="B65023" t="str">
        <f>HYPERLINK("https://lindat.mff.cuni.cz/services/teitok/pdtc10/index.php?action=vallex&amp;frame=v-w8908f2", "zalepit (v-w8908f2)")</f>
        <v>zalepit (v-w8908f2)</v>
      </c>
    </row>
    <row r="65024" spans="1:4" x14ac:dyDescent="0.2">
      <c r="B65024" t="s">
        <v>1</v>
      </c>
      <c r="C65024" t="s">
        <v>140</v>
      </c>
      <c r="D65024" t="s">
        <v>140</v>
      </c>
    </row>
    <row r="65025" spans="1:4" x14ac:dyDescent="0.2">
      <c r="B65025" t="s">
        <v>8</v>
      </c>
      <c r="C65025" t="s">
        <v>84</v>
      </c>
      <c r="D65025" t="s">
        <v>84</v>
      </c>
    </row>
    <row r="65027" spans="1:4" x14ac:dyDescent="0.2">
      <c r="A65027" t="s">
        <v>20243</v>
      </c>
      <c r="B65027" t="str">
        <f>HYPERLINK("https://lindat.mff.cuni.cz/services/teitok/pdtc10/index.php?action=vallex&amp;frame=v-w11850_ZUf1_ZU", "zalepovat (v-w11850_ZUf1_ZU)")</f>
        <v>zalepovat (v-w11850_ZUf1_ZU)</v>
      </c>
    </row>
    <row r="65028" spans="1:4" x14ac:dyDescent="0.2">
      <c r="B65028" t="s">
        <v>1</v>
      </c>
    </row>
    <row r="65029" spans="1:4" x14ac:dyDescent="0.2">
      <c r="B65029" t="s">
        <v>8</v>
      </c>
    </row>
    <row r="65031" spans="1:4" x14ac:dyDescent="0.2">
      <c r="A65031" t="s">
        <v>20244</v>
      </c>
      <c r="B65031" t="str">
        <f>HYPERLINK("https://lindat.mff.cuni.cz/services/teitok/pdtc10/index.php?action=vallex&amp;frame=v-w12183_ZUf1_ZU", "zalesňovat (v-w12183_ZUf1_ZU)")</f>
        <v>zalesňovat (v-w12183_ZUf1_ZU)</v>
      </c>
    </row>
    <row r="65032" spans="1:4" x14ac:dyDescent="0.2">
      <c r="B65032" t="s">
        <v>1</v>
      </c>
    </row>
    <row r="65033" spans="1:4" x14ac:dyDescent="0.2">
      <c r="B65033" t="s">
        <v>8</v>
      </c>
    </row>
    <row r="65035" spans="1:4" x14ac:dyDescent="0.2">
      <c r="A65035" t="s">
        <v>20245</v>
      </c>
      <c r="B65035" t="str">
        <f>HYPERLINK("https://lindat.mff.cuni.cz/services/teitok/pdtc10/index.php?action=vallex&amp;frame=v-w12114_ZUf1_ZU", "zalhat (v-w12114_ZUf1_ZU)")</f>
        <v>zalhat (v-w12114_ZUf1_ZU)</v>
      </c>
    </row>
    <row r="65036" spans="1:4" x14ac:dyDescent="0.2">
      <c r="B65036" t="s">
        <v>1</v>
      </c>
    </row>
    <row r="65037" spans="1:4" x14ac:dyDescent="0.2">
      <c r="B65037" t="s">
        <v>4439</v>
      </c>
    </row>
    <row r="65038" spans="1:4" x14ac:dyDescent="0.2">
      <c r="B65038" t="s">
        <v>78</v>
      </c>
    </row>
    <row r="65040" spans="1:4" x14ac:dyDescent="0.2">
      <c r="A65040" t="s">
        <v>20246</v>
      </c>
      <c r="B65040" t="str">
        <f>HYPERLINK("https://lindat.mff.cuni.cz/services/teitok/pdtc10/index.php?action=vallex&amp;frame=v-w8917f1", "zalichotit (v-w8917f1)")</f>
        <v>zalichotit (v-w8917f1)</v>
      </c>
    </row>
    <row r="65041" spans="1:4" x14ac:dyDescent="0.2">
      <c r="B65041" t="s">
        <v>1</v>
      </c>
    </row>
    <row r="65042" spans="1:4" x14ac:dyDescent="0.2">
      <c r="B65042" t="s">
        <v>103</v>
      </c>
    </row>
    <row r="65044" spans="1:4" x14ac:dyDescent="0.2">
      <c r="A65044" t="s">
        <v>20247</v>
      </c>
      <c r="B65044" t="str">
        <f>HYPERLINK("https://lindat.mff.cuni.cz/services/teitok/pdtc10/index.php?action=vallex&amp;frame=v-w11074f2", "zalidnit (v-w11074f2)")</f>
        <v>zalidnit (v-w11074f2)</v>
      </c>
    </row>
    <row r="65045" spans="1:4" x14ac:dyDescent="0.2">
      <c r="B65045" t="s">
        <v>1</v>
      </c>
      <c r="C65045" t="s">
        <v>1326</v>
      </c>
      <c r="D65045" t="s">
        <v>1326</v>
      </c>
    </row>
    <row r="65046" spans="1:4" x14ac:dyDescent="0.2">
      <c r="B65046" t="s">
        <v>8</v>
      </c>
      <c r="C65046" t="s">
        <v>84</v>
      </c>
      <c r="D65046" t="s">
        <v>84</v>
      </c>
    </row>
    <row r="65048" spans="1:4" x14ac:dyDescent="0.2">
      <c r="A65048" t="s">
        <v>20248</v>
      </c>
      <c r="B65048" t="str">
        <f>HYPERLINK("https://lindat.mff.cuni.cz/services/teitok/pdtc10/index.php?action=vallex&amp;frame=v-whsa_1283hsa_1284", "zalistovat (v-whsa_1283hsa_1284)")</f>
        <v>zalistovat (v-whsa_1283hsa_1284)</v>
      </c>
    </row>
    <row r="65049" spans="1:4" x14ac:dyDescent="0.2">
      <c r="B65049" t="s">
        <v>1</v>
      </c>
    </row>
    <row r="65050" spans="1:4" x14ac:dyDescent="0.2">
      <c r="B65050" t="s">
        <v>5</v>
      </c>
    </row>
    <row r="65052" spans="1:4" x14ac:dyDescent="0.2">
      <c r="A65052" t="s">
        <v>20249</v>
      </c>
      <c r="B65052" t="str">
        <f>HYPERLINK("https://lindat.mff.cuni.cz/services/teitok/pdtc10/index.php?action=vallex&amp;frame=v-w8920f1", "zalitovat (v-w8920f1)")</f>
        <v>zalitovat (v-w8920f1)</v>
      </c>
    </row>
    <row r="65053" spans="1:4" x14ac:dyDescent="0.2">
      <c r="B65053" t="s">
        <v>1</v>
      </c>
    </row>
    <row r="65054" spans="1:4" x14ac:dyDescent="0.2">
      <c r="B65054" t="s">
        <v>2230</v>
      </c>
    </row>
    <row r="65056" spans="1:4" x14ac:dyDescent="0.2">
      <c r="A65056" t="s">
        <v>20250</v>
      </c>
      <c r="B65056" t="str">
        <f>HYPERLINK("https://lindat.mff.cuni.cz/services/teitok/pdtc10/index.php?action=vallex&amp;frame=v-w8927f1", "založit (v-w8927f1)")</f>
        <v>založit (v-w8927f1)</v>
      </c>
    </row>
    <row r="65057" spans="1:4" x14ac:dyDescent="0.2">
      <c r="B65057" t="s">
        <v>1</v>
      </c>
      <c r="C65057" t="s">
        <v>20251</v>
      </c>
      <c r="D65057" t="s">
        <v>24111</v>
      </c>
    </row>
    <row r="65058" spans="1:4" x14ac:dyDescent="0.2">
      <c r="B65058" t="s">
        <v>8</v>
      </c>
      <c r="C65058" t="s">
        <v>20252</v>
      </c>
      <c r="D65058" t="s">
        <v>24112</v>
      </c>
    </row>
    <row r="65059" spans="1:4" x14ac:dyDescent="0.2">
      <c r="B65059" t="s">
        <v>14651</v>
      </c>
      <c r="C65059" t="s">
        <v>20253</v>
      </c>
      <c r="D65059" t="s">
        <v>7067</v>
      </c>
    </row>
    <row r="65061" spans="1:4" x14ac:dyDescent="0.2">
      <c r="A65061" t="s">
        <v>20254</v>
      </c>
      <c r="B65061" t="str">
        <f>HYPERLINK("https://lindat.mff.cuni.cz/services/teitok/pdtc10/index.php?action=vallex&amp;frame=v-w8927f2", "založit (v-w8927f2)")</f>
        <v>založit (v-w8927f2)</v>
      </c>
    </row>
    <row r="65062" spans="1:4" x14ac:dyDescent="0.2">
      <c r="B65062" t="s">
        <v>1</v>
      </c>
    </row>
    <row r="65063" spans="1:4" x14ac:dyDescent="0.2">
      <c r="B65063" t="s">
        <v>8</v>
      </c>
    </row>
    <row r="65064" spans="1:4" x14ac:dyDescent="0.2">
      <c r="B65064" t="s">
        <v>90</v>
      </c>
    </row>
    <row r="65066" spans="1:4" x14ac:dyDescent="0.2">
      <c r="A65066" t="s">
        <v>20255</v>
      </c>
      <c r="B65066" t="str">
        <f>HYPERLINK("https://lindat.mff.cuni.cz/services/teitok/pdtc10/index.php?action=vallex&amp;frame=v-w8927f3", "založit (v-w8927f3)")</f>
        <v>založit (v-w8927f3)</v>
      </c>
    </row>
    <row r="65067" spans="1:4" x14ac:dyDescent="0.2">
      <c r="B65067" t="s">
        <v>1</v>
      </c>
    </row>
    <row r="65068" spans="1:4" x14ac:dyDescent="0.2">
      <c r="B65068" t="s">
        <v>8</v>
      </c>
    </row>
    <row r="65070" spans="1:4" x14ac:dyDescent="0.2">
      <c r="A65070" t="s">
        <v>20256</v>
      </c>
      <c r="B65070" t="str">
        <f>HYPERLINK("https://lindat.mff.cuni.cz/services/teitok/pdtc10/index.php?action=vallex&amp;frame=v-w8927f5", "založit (v-w8927f5)")</f>
        <v>založit (v-w8927f5)</v>
      </c>
    </row>
    <row r="65071" spans="1:4" x14ac:dyDescent="0.2">
      <c r="B65071" t="s">
        <v>1</v>
      </c>
    </row>
    <row r="65072" spans="1:4" x14ac:dyDescent="0.2">
      <c r="B65072" t="s">
        <v>8</v>
      </c>
    </row>
    <row r="65074" spans="1:2" x14ac:dyDescent="0.2">
      <c r="A65074" t="s">
        <v>20257</v>
      </c>
      <c r="B65074" t="str">
        <f>HYPERLINK("https://lindat.mff.cuni.cz/services/teitok/pdtc10/index.php?action=vallex&amp;frame=v-w8927f4", "založit (v-w8927f4)")</f>
        <v>založit (v-w8927f4)</v>
      </c>
    </row>
    <row r="65075" spans="1:2" x14ac:dyDescent="0.2">
      <c r="B65075" t="s">
        <v>1</v>
      </c>
    </row>
    <row r="65076" spans="1:2" x14ac:dyDescent="0.2">
      <c r="B65076" t="s">
        <v>8</v>
      </c>
    </row>
    <row r="65078" spans="1:2" x14ac:dyDescent="0.2">
      <c r="A65078" t="s">
        <v>20258</v>
      </c>
      <c r="B65078" t="str">
        <f>HYPERLINK("https://lindat.mff.cuni.cz/services/teitok/pdtc10/index.php?action=vallex&amp;frame=v-w11324f1", "zalykat se (v-w11324f1)")</f>
        <v>zalykat se (v-w11324f1)</v>
      </c>
    </row>
    <row r="65079" spans="1:2" x14ac:dyDescent="0.2">
      <c r="B65079" t="s">
        <v>1</v>
      </c>
    </row>
    <row r="65081" spans="1:2" x14ac:dyDescent="0.2">
      <c r="A65081" t="s">
        <v>20259</v>
      </c>
      <c r="B65081" t="str">
        <f>HYPERLINK("https://lindat.mff.cuni.cz/services/teitok/pdtc10/index.php?action=vallex&amp;frame=v-whsa_1348hsa_1349", "zalyžovat si (v-whsa_1348hsa_1349)")</f>
        <v>zalyžovat si (v-whsa_1348hsa_1349)</v>
      </c>
    </row>
    <row r="65082" spans="1:2" x14ac:dyDescent="0.2">
      <c r="B65082" t="s">
        <v>1</v>
      </c>
    </row>
    <row r="65084" spans="1:2" x14ac:dyDescent="0.2">
      <c r="A65084" t="s">
        <v>20260</v>
      </c>
      <c r="B65084" t="str">
        <f>HYPERLINK("https://lindat.mff.cuni.cz/services/teitok/pdtc10/index.php?action=vallex&amp;frame=v-w8911f1", "zalévat (v-w8911f1)")</f>
        <v>zalévat (v-w8911f1)</v>
      </c>
    </row>
    <row r="65085" spans="1:2" x14ac:dyDescent="0.2">
      <c r="B65085" t="s">
        <v>1</v>
      </c>
    </row>
    <row r="65086" spans="1:2" x14ac:dyDescent="0.2">
      <c r="B65086" t="s">
        <v>8</v>
      </c>
    </row>
    <row r="65088" spans="1:2" x14ac:dyDescent="0.2">
      <c r="A65088" t="s">
        <v>20261</v>
      </c>
      <c r="B65088" t="str">
        <f>HYPERLINK("https://lindat.mff.cuni.cz/services/teitok/pdtc10/index.php?action=vallex&amp;frame=v-w12129_ZUf1_ZU", "zalézat (v-w12129_ZUf1_ZU)")</f>
        <v>zalézat (v-w12129_ZUf1_ZU)</v>
      </c>
    </row>
    <row r="65089" spans="1:4" x14ac:dyDescent="0.2">
      <c r="B65089" t="s">
        <v>1</v>
      </c>
    </row>
    <row r="65090" spans="1:4" x14ac:dyDescent="0.2">
      <c r="B65090" t="s">
        <v>252</v>
      </c>
    </row>
    <row r="65092" spans="1:4" x14ac:dyDescent="0.2">
      <c r="A65092" t="s">
        <v>20262</v>
      </c>
      <c r="B65092" t="str">
        <f>HYPERLINK("https://lindat.mff.cuni.cz/services/teitok/pdtc10/index.php?action=vallex&amp;frame=v-w8912f1", "zalézt (v-w8912f1)")</f>
        <v>zalézt (v-w8912f1)</v>
      </c>
    </row>
    <row r="65093" spans="1:4" x14ac:dyDescent="0.2">
      <c r="B65093" t="s">
        <v>1</v>
      </c>
      <c r="D65093" t="s">
        <v>23107</v>
      </c>
    </row>
    <row r="65094" spans="1:4" x14ac:dyDescent="0.2">
      <c r="B65094" t="s">
        <v>90</v>
      </c>
      <c r="D65094" t="s">
        <v>23108</v>
      </c>
    </row>
    <row r="65096" spans="1:4" x14ac:dyDescent="0.2">
      <c r="A65096" t="s">
        <v>20263</v>
      </c>
      <c r="B65096" t="str">
        <f>HYPERLINK("https://lindat.mff.cuni.cz/services/teitok/pdtc10/index.php?action=vallex&amp;frame=v-w8916f1", "zalíbit se (v-w8916f1)")</f>
        <v>zalíbit se (v-w8916f1)</v>
      </c>
    </row>
    <row r="65097" spans="1:4" x14ac:dyDescent="0.2">
      <c r="B65097" t="s">
        <v>455</v>
      </c>
      <c r="C65097" t="s">
        <v>2444</v>
      </c>
      <c r="D65097" t="s">
        <v>23742</v>
      </c>
    </row>
    <row r="65098" spans="1:4" x14ac:dyDescent="0.2">
      <c r="B65098" t="s">
        <v>4374</v>
      </c>
      <c r="D65098" t="s">
        <v>56</v>
      </c>
    </row>
    <row r="65100" spans="1:4" x14ac:dyDescent="0.2">
      <c r="A65100" t="s">
        <v>20264</v>
      </c>
      <c r="B65100" t="str">
        <f>HYPERLINK("https://lindat.mff.cuni.cz/services/teitok/pdtc10/index.php?action=vallex&amp;frame=v-w8918f1", "zalít (v-w8918f1)")</f>
        <v>zalít (v-w8918f1)</v>
      </c>
    </row>
    <row r="65101" spans="1:4" x14ac:dyDescent="0.2">
      <c r="B65101" t="s">
        <v>1</v>
      </c>
    </row>
    <row r="65102" spans="1:4" x14ac:dyDescent="0.2">
      <c r="B65102" t="s">
        <v>8</v>
      </c>
    </row>
    <row r="65104" spans="1:4" x14ac:dyDescent="0.2">
      <c r="A65104" t="s">
        <v>20265</v>
      </c>
      <c r="B65104" t="str">
        <f>HYPERLINK("https://lindat.mff.cuni.cz/services/teitok/pdtc10/index.php?action=vallex&amp;frame=v-w8918f2_ZU", "zalít (v-w8918f2_ZU)")</f>
        <v>zalít (v-w8918f2_ZU)</v>
      </c>
    </row>
    <row r="65105" spans="1:2" x14ac:dyDescent="0.2">
      <c r="B65105" t="s">
        <v>1</v>
      </c>
    </row>
    <row r="65106" spans="1:2" x14ac:dyDescent="0.2">
      <c r="B65106" t="s">
        <v>8</v>
      </c>
    </row>
    <row r="65107" spans="1:2" x14ac:dyDescent="0.2">
      <c r="B65107" t="s">
        <v>5479</v>
      </c>
    </row>
    <row r="65109" spans="1:2" x14ac:dyDescent="0.2">
      <c r="A65109" t="s">
        <v>20265</v>
      </c>
      <c r="B65109" t="str">
        <f>HYPERLINK("https://lindat.mff.cuni.cz/services/teitok/pdtc10/index.php?action=vallex&amp;frame=v-w8918hsa_230", "zalít (v-w8918hsa_230) - substituted with v-w8918f2_ZU")</f>
        <v>zalít (v-w8918hsa_230) - substituted with v-w8918f2_ZU</v>
      </c>
    </row>
    <row r="65110" spans="1:2" x14ac:dyDescent="0.2">
      <c r="B65110" t="s">
        <v>1</v>
      </c>
    </row>
    <row r="65111" spans="1:2" x14ac:dyDescent="0.2">
      <c r="B65111" t="s">
        <v>8</v>
      </c>
    </row>
    <row r="65112" spans="1:2" x14ac:dyDescent="0.2">
      <c r="B65112" t="s">
        <v>5479</v>
      </c>
    </row>
    <row r="65114" spans="1:2" x14ac:dyDescent="0.2">
      <c r="A65114" t="s">
        <v>20266</v>
      </c>
      <c r="B65114" t="str">
        <f>HYPERLINK("https://lindat.mff.cuni.cz/services/teitok/pdtc10/index.php?action=vallex&amp;frame=v-w8918f3_ZU", "zalít (v-w8918f3_ZU)")</f>
        <v>zalít (v-w8918f3_ZU)</v>
      </c>
    </row>
    <row r="65115" spans="1:2" x14ac:dyDescent="0.2">
      <c r="B65115" t="s">
        <v>1</v>
      </c>
    </row>
    <row r="65116" spans="1:2" x14ac:dyDescent="0.2">
      <c r="B65116" t="s">
        <v>8</v>
      </c>
    </row>
    <row r="65117" spans="1:2" x14ac:dyDescent="0.2">
      <c r="B65117" t="s">
        <v>252</v>
      </c>
    </row>
    <row r="65119" spans="1:2" x14ac:dyDescent="0.2">
      <c r="A65119" t="s">
        <v>20267</v>
      </c>
      <c r="B65119" t="str">
        <f>HYPERLINK("https://lindat.mff.cuni.cz/services/teitok/pdtc10/index.php?action=vallex&amp;frame=v-w8921f1", "zalít se (v-w8921f1)")</f>
        <v>zalít se (v-w8921f1)</v>
      </c>
    </row>
    <row r="65120" spans="1:2" x14ac:dyDescent="0.2">
      <c r="B65120" t="s">
        <v>1</v>
      </c>
    </row>
    <row r="65121" spans="1:2" x14ac:dyDescent="0.2">
      <c r="B65121" t="s">
        <v>158</v>
      </c>
    </row>
    <row r="65123" spans="1:2" x14ac:dyDescent="0.2">
      <c r="A65123" t="s">
        <v>20268</v>
      </c>
      <c r="B65123" t="str">
        <f>HYPERLINK("https://lindat.mff.cuni.cz/services/teitok/pdtc10/index.php?action=vallex&amp;frame=v-w11771_ZUf1_ZU", "zalívat (v-w11771_ZUf1_ZU)")</f>
        <v>zalívat (v-w11771_ZUf1_ZU)</v>
      </c>
    </row>
    <row r="65124" spans="1:2" x14ac:dyDescent="0.2">
      <c r="B65124" t="s">
        <v>1</v>
      </c>
    </row>
    <row r="65125" spans="1:2" x14ac:dyDescent="0.2">
      <c r="B65125" t="s">
        <v>8</v>
      </c>
    </row>
    <row r="65127" spans="1:2" x14ac:dyDescent="0.2">
      <c r="A65127" t="s">
        <v>20269</v>
      </c>
      <c r="B65127" t="str">
        <f>HYPERLINK("https://lindat.mff.cuni.cz/services/teitok/pdtc10/index.php?action=vallex&amp;frame=v-w8929f1", "zamanout si (v-w8929f1)")</f>
        <v>zamanout si (v-w8929f1)</v>
      </c>
    </row>
    <row r="65128" spans="1:2" x14ac:dyDescent="0.2">
      <c r="B65128" t="s">
        <v>1</v>
      </c>
    </row>
    <row r="65129" spans="1:2" x14ac:dyDescent="0.2">
      <c r="B65129" t="s">
        <v>16138</v>
      </c>
    </row>
    <row r="65131" spans="1:2" x14ac:dyDescent="0.2">
      <c r="A65131" t="s">
        <v>20270</v>
      </c>
      <c r="B65131" t="str">
        <f>HYPERLINK("https://lindat.mff.cuni.cz/services/teitok/pdtc10/index.php?action=vallex&amp;frame=v-w10659f2", "zamaskovat (v-w10659f2)")</f>
        <v>zamaskovat (v-w10659f2)</v>
      </c>
    </row>
    <row r="65132" spans="1:2" x14ac:dyDescent="0.2">
      <c r="B65132" t="s">
        <v>1</v>
      </c>
    </row>
    <row r="65133" spans="1:2" x14ac:dyDescent="0.2">
      <c r="B65133" t="s">
        <v>124</v>
      </c>
    </row>
    <row r="65134" spans="1:2" x14ac:dyDescent="0.2">
      <c r="B65134" t="s">
        <v>216</v>
      </c>
    </row>
    <row r="65136" spans="1:2" x14ac:dyDescent="0.2">
      <c r="A65136" t="s">
        <v>20271</v>
      </c>
      <c r="B65136" t="str">
        <f>HYPERLINK("https://lindat.mff.cuni.cz/services/teitok/pdtc10/index.php?action=vallex&amp;frame=v-w10958f2", "zamerikanizovat (v-w10958f2)")</f>
        <v>zamerikanizovat (v-w10958f2)</v>
      </c>
    </row>
    <row r="65137" spans="1:4" x14ac:dyDescent="0.2">
      <c r="B65137" t="s">
        <v>1</v>
      </c>
      <c r="C65137" t="s">
        <v>140</v>
      </c>
    </row>
    <row r="65138" spans="1:4" x14ac:dyDescent="0.2">
      <c r="B65138" t="s">
        <v>8</v>
      </c>
      <c r="C65138" t="s">
        <v>113</v>
      </c>
    </row>
    <row r="65140" spans="1:4" x14ac:dyDescent="0.2">
      <c r="A65140" t="s">
        <v>20272</v>
      </c>
      <c r="B65140" t="str">
        <f>HYPERLINK("https://lindat.mff.cuni.cz/services/teitok/pdtc10/index.php?action=vallex&amp;frame=v-whsa_1745hsa_1746", "zametat (v-whsa_1745hsa_1746)")</f>
        <v>zametat (v-whsa_1745hsa_1746)</v>
      </c>
    </row>
    <row r="65141" spans="1:4" x14ac:dyDescent="0.2">
      <c r="B65141" t="s">
        <v>1</v>
      </c>
    </row>
    <row r="65142" spans="1:4" x14ac:dyDescent="0.2">
      <c r="B65142" t="s">
        <v>8</v>
      </c>
    </row>
    <row r="65144" spans="1:4" x14ac:dyDescent="0.2">
      <c r="A65144" t="s">
        <v>20273</v>
      </c>
      <c r="B65144" t="str">
        <f>HYPERLINK("https://lindat.mff.cuni.cz/services/teitok/pdtc10/index.php?action=vallex&amp;frame=v-w8950f2", "zamezit (v-w8950f2)")</f>
        <v>zamezit (v-w8950f2)</v>
      </c>
    </row>
    <row r="65145" spans="1:4" x14ac:dyDescent="0.2">
      <c r="B65145" t="s">
        <v>1</v>
      </c>
      <c r="C65145" t="s">
        <v>20274</v>
      </c>
      <c r="D65145" t="s">
        <v>22999</v>
      </c>
    </row>
    <row r="65146" spans="1:4" x14ac:dyDescent="0.2">
      <c r="B65146" t="s">
        <v>20275</v>
      </c>
      <c r="C65146" t="s">
        <v>6651</v>
      </c>
      <c r="D65146" t="s">
        <v>23000</v>
      </c>
    </row>
    <row r="65147" spans="1:4" x14ac:dyDescent="0.2">
      <c r="B65147" t="s">
        <v>35</v>
      </c>
      <c r="C65147" t="s">
        <v>20276</v>
      </c>
      <c r="D65147" t="s">
        <v>23001</v>
      </c>
    </row>
    <row r="65149" spans="1:4" x14ac:dyDescent="0.2">
      <c r="A65149" t="s">
        <v>20277</v>
      </c>
      <c r="B65149" t="str">
        <f>HYPERLINK("https://lindat.mff.cuni.cz/services/teitok/pdtc10/index.php?action=vallex&amp;frame=v-w8950f1", "zamezit (v-w8950f1)")</f>
        <v>zamezit (v-w8950f1)</v>
      </c>
    </row>
    <row r="65150" spans="1:4" x14ac:dyDescent="0.2">
      <c r="B65150" t="s">
        <v>1</v>
      </c>
      <c r="C65150" t="s">
        <v>20278</v>
      </c>
      <c r="D65150" t="s">
        <v>22980</v>
      </c>
    </row>
    <row r="65151" spans="1:4" x14ac:dyDescent="0.2">
      <c r="B65151" t="s">
        <v>11253</v>
      </c>
      <c r="C65151" t="s">
        <v>20279</v>
      </c>
      <c r="D65151" t="s">
        <v>22981</v>
      </c>
    </row>
    <row r="65153" spans="1:4" x14ac:dyDescent="0.2">
      <c r="A65153" t="s">
        <v>20280</v>
      </c>
      <c r="B65153" t="str">
        <f>HYPERLINK("https://lindat.mff.cuni.cz/services/teitok/pdtc10/index.php?action=vallex&amp;frame=v-w8951f2", "zamezovat (v-w8951f2)")</f>
        <v>zamezovat (v-w8951f2)</v>
      </c>
    </row>
    <row r="65154" spans="1:4" x14ac:dyDescent="0.2">
      <c r="B65154" t="s">
        <v>1</v>
      </c>
      <c r="C65154" t="s">
        <v>20281</v>
      </c>
      <c r="D65154" t="s">
        <v>22999</v>
      </c>
    </row>
    <row r="65155" spans="1:4" x14ac:dyDescent="0.2">
      <c r="B65155" t="s">
        <v>20275</v>
      </c>
      <c r="C65155" t="s">
        <v>20282</v>
      </c>
      <c r="D65155" t="s">
        <v>23000</v>
      </c>
    </row>
    <row r="65156" spans="1:4" x14ac:dyDescent="0.2">
      <c r="B65156" t="s">
        <v>35</v>
      </c>
      <c r="C65156" t="s">
        <v>2769</v>
      </c>
      <c r="D65156" t="s">
        <v>23001</v>
      </c>
    </row>
    <row r="65158" spans="1:4" x14ac:dyDescent="0.2">
      <c r="A65158" t="s">
        <v>20283</v>
      </c>
      <c r="B65158" t="str">
        <f>HYPERLINK("https://lindat.mff.cuni.cz/services/teitok/pdtc10/index.php?action=vallex&amp;frame=v-w8951f3", "zamezovat (v-w8951f3)")</f>
        <v>zamezovat (v-w8951f3)</v>
      </c>
    </row>
    <row r="65159" spans="1:4" x14ac:dyDescent="0.2">
      <c r="B65159" t="s">
        <v>1</v>
      </c>
      <c r="C65159" t="s">
        <v>20284</v>
      </c>
      <c r="D65159" t="s">
        <v>22980</v>
      </c>
    </row>
    <row r="65160" spans="1:4" x14ac:dyDescent="0.2">
      <c r="B65160" t="s">
        <v>20285</v>
      </c>
      <c r="C65160" t="s">
        <v>20286</v>
      </c>
      <c r="D65160" t="s">
        <v>22981</v>
      </c>
    </row>
    <row r="65162" spans="1:4" x14ac:dyDescent="0.2">
      <c r="A65162" t="s">
        <v>20283</v>
      </c>
      <c r="B65162" t="str">
        <f>HYPERLINK("https://lindat.mff.cuni.cz/services/teitok/pdtc10/index.php?action=vallex&amp;frame=v-w8951f1", "zamezovat (v-w8951f1) - substituted with v-w8951f3")</f>
        <v>zamezovat (v-w8951f1) - substituted with v-w8951f3</v>
      </c>
    </row>
    <row r="65163" spans="1:4" x14ac:dyDescent="0.2">
      <c r="B65163" t="s">
        <v>1</v>
      </c>
    </row>
    <row r="65164" spans="1:4" x14ac:dyDescent="0.2">
      <c r="B65164" t="s">
        <v>20285</v>
      </c>
    </row>
    <row r="65166" spans="1:4" x14ac:dyDescent="0.2">
      <c r="A65166" t="s">
        <v>20287</v>
      </c>
      <c r="B65166" t="str">
        <f>HYPERLINK("https://lindat.mff.cuni.cz/services/teitok/pdtc10/index.php?action=vallex&amp;frame=v-w8948f1", "zameškat (v-w8948f1)")</f>
        <v>zameškat (v-w8948f1)</v>
      </c>
    </row>
    <row r="65167" spans="1:4" x14ac:dyDescent="0.2">
      <c r="B65167" t="s">
        <v>1</v>
      </c>
      <c r="D65167" t="s">
        <v>24208</v>
      </c>
    </row>
    <row r="65168" spans="1:4" x14ac:dyDescent="0.2">
      <c r="B65168" t="s">
        <v>8</v>
      </c>
      <c r="D65168" t="s">
        <v>24209</v>
      </c>
    </row>
    <row r="65170" spans="1:4" x14ac:dyDescent="0.2">
      <c r="A65170" t="s">
        <v>20288</v>
      </c>
      <c r="B65170" t="str">
        <f>HYPERLINK("https://lindat.mff.cuni.cz/services/teitok/pdtc10/index.php?action=vallex&amp;frame=v-w11847_ZUf1_ZU", "zamhouřit (v-w11847_ZUf1_ZU)")</f>
        <v>zamhouřit (v-w11847_ZUf1_ZU)</v>
      </c>
    </row>
    <row r="65171" spans="1:4" x14ac:dyDescent="0.2">
      <c r="B65171" t="s">
        <v>1</v>
      </c>
    </row>
    <row r="65172" spans="1:4" x14ac:dyDescent="0.2">
      <c r="B65172" t="s">
        <v>8</v>
      </c>
    </row>
    <row r="65174" spans="1:4" x14ac:dyDescent="0.2">
      <c r="A65174" t="s">
        <v>20289</v>
      </c>
      <c r="B65174" t="str">
        <f>HYPERLINK("https://lindat.mff.cuni.cz/services/teitok/pdtc10/index.php?action=vallex&amp;frame=v-w8953f1", "zamilovat se (v-w8953f1)")</f>
        <v>zamilovat se (v-w8953f1)</v>
      </c>
    </row>
    <row r="65175" spans="1:4" x14ac:dyDescent="0.2">
      <c r="B65175" t="s">
        <v>1</v>
      </c>
      <c r="C65175" t="s">
        <v>715</v>
      </c>
      <c r="D65175" t="s">
        <v>1566</v>
      </c>
    </row>
    <row r="65176" spans="1:4" x14ac:dyDescent="0.2">
      <c r="B65176" t="s">
        <v>3202</v>
      </c>
      <c r="C65176" t="s">
        <v>20290</v>
      </c>
      <c r="D65176" t="s">
        <v>125</v>
      </c>
    </row>
    <row r="65178" spans="1:4" x14ac:dyDescent="0.2">
      <c r="A65178" t="s">
        <v>20291</v>
      </c>
      <c r="B65178" t="str">
        <f>HYPERLINK("https://lindat.mff.cuni.cz/services/teitok/pdtc10/index.php?action=vallex&amp;frame=v-w8954f1", "zamilovat si (v-w8954f1)")</f>
        <v>zamilovat si (v-w8954f1)</v>
      </c>
    </row>
    <row r="65179" spans="1:4" x14ac:dyDescent="0.2">
      <c r="B65179" t="s">
        <v>1</v>
      </c>
      <c r="C65179" t="s">
        <v>1566</v>
      </c>
    </row>
    <row r="65180" spans="1:4" x14ac:dyDescent="0.2">
      <c r="B65180" t="s">
        <v>8</v>
      </c>
      <c r="C65180" t="s">
        <v>125</v>
      </c>
    </row>
    <row r="65182" spans="1:4" x14ac:dyDescent="0.2">
      <c r="A65182" t="s">
        <v>20292</v>
      </c>
      <c r="B65182" t="str">
        <f>HYPERLINK("https://lindat.mff.cuni.cz/services/teitok/pdtc10/index.php?action=vallex&amp;frame=v-whsa_1534hsa_1535", "zamilovávat se (v-whsa_1534hsa_1535)")</f>
        <v>zamilovávat se (v-whsa_1534hsa_1535)</v>
      </c>
    </row>
    <row r="65183" spans="1:4" x14ac:dyDescent="0.2">
      <c r="B65183" t="s">
        <v>1</v>
      </c>
    </row>
    <row r="65184" spans="1:4" x14ac:dyDescent="0.2">
      <c r="B65184" t="s">
        <v>3202</v>
      </c>
    </row>
    <row r="65186" spans="1:4" x14ac:dyDescent="0.2">
      <c r="A65186" t="s">
        <v>20293</v>
      </c>
      <c r="B65186" t="str">
        <f>HYPERLINK("https://lindat.mff.cuni.cz/services/teitok/pdtc10/index.php?action=vallex&amp;frame=v-w8959f3_ZU", "zamknout (v-w8959f3_ZU)")</f>
        <v>zamknout (v-w8959f3_ZU)</v>
      </c>
    </row>
    <row r="65187" spans="1:4" x14ac:dyDescent="0.2">
      <c r="B65187" t="s">
        <v>1</v>
      </c>
    </row>
    <row r="65188" spans="1:4" x14ac:dyDescent="0.2">
      <c r="B65188" t="s">
        <v>8</v>
      </c>
    </row>
    <row r="65189" spans="1:4" x14ac:dyDescent="0.2">
      <c r="B65189" t="s">
        <v>3200</v>
      </c>
    </row>
    <row r="65191" spans="1:4" x14ac:dyDescent="0.2">
      <c r="A65191" t="s">
        <v>20293</v>
      </c>
      <c r="B65191" t="str">
        <f>HYPERLINK("https://lindat.mff.cuni.cz/services/teitok/pdtc10/index.php?action=vallex&amp;frame=v-w8959f1", "zamknout (v-w8959f1) - substituted with v-w8959f3_ZU")</f>
        <v>zamknout (v-w8959f1) - substituted with v-w8959f3_ZU</v>
      </c>
    </row>
    <row r="65192" spans="1:4" x14ac:dyDescent="0.2">
      <c r="B65192" t="s">
        <v>1</v>
      </c>
      <c r="C65192" t="s">
        <v>140</v>
      </c>
      <c r="D65192" t="s">
        <v>24312</v>
      </c>
    </row>
    <row r="65193" spans="1:4" x14ac:dyDescent="0.2">
      <c r="B65193" t="s">
        <v>8</v>
      </c>
      <c r="D65193" t="s">
        <v>3789</v>
      </c>
    </row>
    <row r="65194" spans="1:4" x14ac:dyDescent="0.2">
      <c r="B65194" t="s">
        <v>3200</v>
      </c>
    </row>
    <row r="65196" spans="1:4" x14ac:dyDescent="0.2">
      <c r="A65196" t="s">
        <v>20294</v>
      </c>
      <c r="B65196" t="str">
        <f>HYPERLINK("https://lindat.mff.cuni.cz/services/teitok/pdtc10/index.php?action=vallex&amp;frame=v-w8959f2_ZU", "zamknout (v-w8959f2_ZU)")</f>
        <v>zamknout (v-w8959f2_ZU)</v>
      </c>
    </row>
    <row r="65197" spans="1:4" x14ac:dyDescent="0.2">
      <c r="B65197" t="s">
        <v>1</v>
      </c>
    </row>
    <row r="65198" spans="1:4" x14ac:dyDescent="0.2">
      <c r="B65198" t="s">
        <v>8</v>
      </c>
    </row>
    <row r="65200" spans="1:4" x14ac:dyDescent="0.2">
      <c r="A65200" t="s">
        <v>20294</v>
      </c>
      <c r="B65200" t="str">
        <f>HYPERLINK("https://lindat.mff.cuni.cz/services/teitok/pdtc10/index.php?action=vallex&amp;frame=v-w8959hsa_1336", "zamknout (v-w8959hsa_1336) - substituted with v-w8959f2_ZU")</f>
        <v>zamknout (v-w8959hsa_1336) - substituted with v-w8959f2_ZU</v>
      </c>
    </row>
    <row r="65201" spans="1:4" x14ac:dyDescent="0.2">
      <c r="B65201" t="s">
        <v>1</v>
      </c>
    </row>
    <row r="65202" spans="1:4" x14ac:dyDescent="0.2">
      <c r="B65202" t="s">
        <v>8</v>
      </c>
    </row>
    <row r="65204" spans="1:4" x14ac:dyDescent="0.2">
      <c r="A65204" t="s">
        <v>20295</v>
      </c>
      <c r="B65204" t="str">
        <f>HYPERLINK("https://lindat.mff.cuni.cz/services/teitok/pdtc10/index.php?action=vallex&amp;frame=v-w8962f1", "zamlouvat se (v-w8962f1)")</f>
        <v>zamlouvat se (v-w8962f1)</v>
      </c>
    </row>
    <row r="65205" spans="1:4" x14ac:dyDescent="0.2">
      <c r="B65205" t="s">
        <v>455</v>
      </c>
      <c r="C65205" t="s">
        <v>20296</v>
      </c>
      <c r="D65205" t="s">
        <v>23450</v>
      </c>
    </row>
    <row r="65206" spans="1:4" x14ac:dyDescent="0.2">
      <c r="B65206" t="s">
        <v>4374</v>
      </c>
      <c r="C65206" t="s">
        <v>20297</v>
      </c>
      <c r="D65206" t="s">
        <v>23451</v>
      </c>
    </row>
    <row r="65208" spans="1:4" x14ac:dyDescent="0.2">
      <c r="A65208" t="s">
        <v>20298</v>
      </c>
      <c r="B65208" t="str">
        <f>HYPERLINK("https://lindat.mff.cuni.cz/services/teitok/pdtc10/index.php?action=vallex&amp;frame=v-w8963f1", "zamluvit (v-w8963f1)")</f>
        <v>zamluvit (v-w8963f1)</v>
      </c>
    </row>
    <row r="65209" spans="1:4" x14ac:dyDescent="0.2">
      <c r="B65209" t="s">
        <v>1</v>
      </c>
    </row>
    <row r="65210" spans="1:4" x14ac:dyDescent="0.2">
      <c r="B65210" t="s">
        <v>3199</v>
      </c>
      <c r="C65210" t="s">
        <v>113</v>
      </c>
    </row>
    <row r="65211" spans="1:4" x14ac:dyDescent="0.2">
      <c r="B65211" t="s">
        <v>216</v>
      </c>
    </row>
    <row r="65213" spans="1:4" x14ac:dyDescent="0.2">
      <c r="A65213" t="s">
        <v>20299</v>
      </c>
      <c r="B65213" t="str">
        <f>HYPERLINK("https://lindat.mff.cuni.cz/services/teitok/pdtc10/index.php?action=vallex&amp;frame=v-w8963f2", "zamluvit (v-w8963f2)")</f>
        <v>zamluvit (v-w8963f2)</v>
      </c>
    </row>
    <row r="65214" spans="1:4" x14ac:dyDescent="0.2">
      <c r="B65214" t="s">
        <v>1</v>
      </c>
      <c r="D65214" t="s">
        <v>3081</v>
      </c>
    </row>
    <row r="65215" spans="1:4" x14ac:dyDescent="0.2">
      <c r="B65215" t="s">
        <v>8</v>
      </c>
      <c r="D65215" t="s">
        <v>23630</v>
      </c>
    </row>
    <row r="65217" spans="1:4" x14ac:dyDescent="0.2">
      <c r="A65217" t="s">
        <v>20300</v>
      </c>
      <c r="B65217" t="str">
        <f>HYPERLINK("https://lindat.mff.cuni.cz/services/teitok/pdtc10/index.php?action=vallex&amp;frame=v-w8960f1", "zamlčet (v-w8960f1)")</f>
        <v>zamlčet (v-w8960f1)</v>
      </c>
    </row>
    <row r="65218" spans="1:4" x14ac:dyDescent="0.2">
      <c r="B65218" t="s">
        <v>1</v>
      </c>
      <c r="C65218" t="s">
        <v>140</v>
      </c>
      <c r="D65218" t="s">
        <v>23440</v>
      </c>
    </row>
    <row r="65219" spans="1:4" x14ac:dyDescent="0.2">
      <c r="B65219" t="s">
        <v>3199</v>
      </c>
      <c r="C65219" t="s">
        <v>1340</v>
      </c>
      <c r="D65219" t="s">
        <v>23441</v>
      </c>
    </row>
    <row r="65220" spans="1:4" x14ac:dyDescent="0.2">
      <c r="B65220" t="s">
        <v>216</v>
      </c>
      <c r="C65220" t="s">
        <v>987</v>
      </c>
      <c r="D65220" t="s">
        <v>14173</v>
      </c>
    </row>
    <row r="65222" spans="1:4" x14ac:dyDescent="0.2">
      <c r="A65222" t="s">
        <v>20301</v>
      </c>
      <c r="B65222" t="str">
        <f>HYPERLINK("https://lindat.mff.cuni.cz/services/teitok/pdtc10/index.php?action=vallex&amp;frame=v-w8961f1", "zamlčovat (v-w8961f1)")</f>
        <v>zamlčovat (v-w8961f1)</v>
      </c>
    </row>
    <row r="65223" spans="1:4" x14ac:dyDescent="0.2">
      <c r="B65223" t="s">
        <v>1</v>
      </c>
      <c r="D65223" t="s">
        <v>23440</v>
      </c>
    </row>
    <row r="65224" spans="1:4" x14ac:dyDescent="0.2">
      <c r="B65224" t="s">
        <v>3199</v>
      </c>
      <c r="D65224" t="s">
        <v>23441</v>
      </c>
    </row>
    <row r="65225" spans="1:4" x14ac:dyDescent="0.2">
      <c r="B65225" t="s">
        <v>216</v>
      </c>
      <c r="D65225" t="s">
        <v>14173</v>
      </c>
    </row>
    <row r="65227" spans="1:4" x14ac:dyDescent="0.2">
      <c r="A65227" t="s">
        <v>20302</v>
      </c>
      <c r="B65227" t="str">
        <f>HYPERLINK("https://lindat.mff.cuni.cz/services/teitok/pdtc10/index.php?action=vallex&amp;frame=v-w10368f2", "zamlžit (v-w10368f2)")</f>
        <v>zamlžit (v-w10368f2)</v>
      </c>
    </row>
    <row r="65228" spans="1:4" x14ac:dyDescent="0.2">
      <c r="B65228" t="s">
        <v>1</v>
      </c>
      <c r="C65228" t="s">
        <v>22</v>
      </c>
      <c r="D65228" t="s">
        <v>2239</v>
      </c>
    </row>
    <row r="65229" spans="1:4" x14ac:dyDescent="0.2">
      <c r="B65229" t="s">
        <v>3199</v>
      </c>
      <c r="C65229" t="s">
        <v>335</v>
      </c>
      <c r="D65229" t="s">
        <v>354</v>
      </c>
    </row>
    <row r="65230" spans="1:4" x14ac:dyDescent="0.2">
      <c r="B65230" t="s">
        <v>216</v>
      </c>
    </row>
    <row r="65232" spans="1:4" x14ac:dyDescent="0.2">
      <c r="A65232" t="s">
        <v>20303</v>
      </c>
      <c r="B65232" t="str">
        <f>HYPERLINK("https://lindat.mff.cuni.cz/services/teitok/pdtc10/index.php?action=vallex&amp;frame=v-w8965f1", "zamlžovat (v-w8965f1)")</f>
        <v>zamlžovat (v-w8965f1)</v>
      </c>
    </row>
    <row r="65233" spans="1:4" x14ac:dyDescent="0.2">
      <c r="B65233" t="s">
        <v>1</v>
      </c>
      <c r="D65233" t="s">
        <v>2239</v>
      </c>
    </row>
    <row r="65234" spans="1:4" x14ac:dyDescent="0.2">
      <c r="B65234" t="s">
        <v>3199</v>
      </c>
      <c r="C65234" t="s">
        <v>34</v>
      </c>
      <c r="D65234" t="s">
        <v>354</v>
      </c>
    </row>
    <row r="65235" spans="1:4" x14ac:dyDescent="0.2">
      <c r="B65235" t="s">
        <v>216</v>
      </c>
    </row>
    <row r="65237" spans="1:4" x14ac:dyDescent="0.2">
      <c r="A65237" t="s">
        <v>20304</v>
      </c>
      <c r="B65237" t="str">
        <f>HYPERLINK("https://lindat.mff.cuni.cz/services/teitok/pdtc10/index.php?action=vallex&amp;frame=v-w8966f1", "zamnout si (v-w8966f1)")</f>
        <v>zamnout si (v-w8966f1)</v>
      </c>
    </row>
    <row r="65238" spans="1:4" x14ac:dyDescent="0.2">
      <c r="B65238" t="s">
        <v>1</v>
      </c>
    </row>
    <row r="65239" spans="1:4" x14ac:dyDescent="0.2">
      <c r="B65239" t="s">
        <v>16152</v>
      </c>
    </row>
    <row r="65241" spans="1:4" x14ac:dyDescent="0.2">
      <c r="A65241" t="s">
        <v>20305</v>
      </c>
      <c r="B65241" t="str">
        <f>HYPERLINK("https://lindat.mff.cuni.cz/services/teitok/pdtc10/index.php?action=vallex&amp;frame=v-w11058f2", "zamotat (v-w11058f2)")</f>
        <v>zamotat (v-w11058f2)</v>
      </c>
    </row>
    <row r="65242" spans="1:4" x14ac:dyDescent="0.2">
      <c r="B65242" t="s">
        <v>1</v>
      </c>
    </row>
    <row r="65243" spans="1:4" x14ac:dyDescent="0.2">
      <c r="B65243" t="s">
        <v>8</v>
      </c>
    </row>
    <row r="65245" spans="1:4" x14ac:dyDescent="0.2">
      <c r="A65245" t="s">
        <v>20306</v>
      </c>
      <c r="B65245" t="str">
        <f>HYPERLINK("https://lindat.mff.cuni.cz/services/teitok/pdtc10/index.php?action=vallex&amp;frame=v-w11058hsa_1908", "zamotat (v-w11058hsa_1908)")</f>
        <v>zamotat (v-w11058hsa_1908)</v>
      </c>
    </row>
    <row r="65246" spans="1:4" x14ac:dyDescent="0.2">
      <c r="B65246" t="s">
        <v>1</v>
      </c>
    </row>
    <row r="65247" spans="1:4" x14ac:dyDescent="0.2">
      <c r="B65247" t="s">
        <v>8</v>
      </c>
    </row>
    <row r="65249" spans="1:2" x14ac:dyDescent="0.2">
      <c r="A65249" t="s">
        <v>20307</v>
      </c>
      <c r="B65249" t="str">
        <f>HYPERLINK("https://lindat.mff.cuni.cz/services/teitok/pdtc10/index.php?action=vallex&amp;frame=v-w11452f1", "zamotat se (v-w11452f1)")</f>
        <v>zamotat se (v-w11452f1)</v>
      </c>
    </row>
    <row r="65250" spans="1:2" x14ac:dyDescent="0.2">
      <c r="B65250" t="s">
        <v>1</v>
      </c>
    </row>
    <row r="65251" spans="1:2" x14ac:dyDescent="0.2">
      <c r="B65251" t="s">
        <v>817</v>
      </c>
    </row>
    <row r="65253" spans="1:2" x14ac:dyDescent="0.2">
      <c r="A65253" t="s">
        <v>20308</v>
      </c>
      <c r="B65253" t="str">
        <f>HYPERLINK("https://lindat.mff.cuni.cz/services/teitok/pdtc10/index.php?action=vallex&amp;frame=v-w11452f2", "zamotat se (v-w11452f2)")</f>
        <v>zamotat se (v-w11452f2)</v>
      </c>
    </row>
    <row r="65254" spans="1:2" x14ac:dyDescent="0.2">
      <c r="B65254" t="s">
        <v>1</v>
      </c>
    </row>
    <row r="65255" spans="1:2" x14ac:dyDescent="0.2">
      <c r="B65255" t="s">
        <v>90</v>
      </c>
    </row>
    <row r="65257" spans="1:2" x14ac:dyDescent="0.2">
      <c r="A65257" t="s">
        <v>20309</v>
      </c>
      <c r="B65257" t="str">
        <f>HYPERLINK("https://lindat.mff.cuni.cz/services/teitok/pdtc10/index.php?action=vallex&amp;frame=v-w11452f3_ZU", "zamotat se (v-w11452f3_ZU)")</f>
        <v>zamotat se (v-w11452f3_ZU)</v>
      </c>
    </row>
    <row r="65258" spans="1:2" x14ac:dyDescent="0.2">
      <c r="B65258" t="s">
        <v>1</v>
      </c>
    </row>
    <row r="65260" spans="1:2" x14ac:dyDescent="0.2">
      <c r="A65260" t="s">
        <v>20310</v>
      </c>
      <c r="B65260" t="str">
        <f>HYPERLINK("https://lindat.mff.cuni.cz/services/teitok/pdtc10/index.php?action=vallex&amp;frame=v-w11452hsa_314", "zamotat se (v-w11452hsa_314)")</f>
        <v>zamotat se (v-w11452hsa_314)</v>
      </c>
    </row>
    <row r="65261" spans="1:2" x14ac:dyDescent="0.2">
      <c r="B65261" t="s">
        <v>1</v>
      </c>
    </row>
    <row r="65263" spans="1:2" x14ac:dyDescent="0.2">
      <c r="A65263" t="s">
        <v>20311</v>
      </c>
      <c r="B65263" t="str">
        <f>HYPERLINK("https://lindat.mff.cuni.cz/services/teitok/pdtc10/index.php?action=vallex&amp;frame=v-w11023f2", "zamotávat (v-w11023f2)")</f>
        <v>zamotávat (v-w11023f2)</v>
      </c>
    </row>
    <row r="65264" spans="1:2" x14ac:dyDescent="0.2">
      <c r="B65264" t="s">
        <v>1</v>
      </c>
    </row>
    <row r="65265" spans="1:4" x14ac:dyDescent="0.2">
      <c r="B65265" t="s">
        <v>8</v>
      </c>
    </row>
    <row r="65267" spans="1:4" x14ac:dyDescent="0.2">
      <c r="A65267" t="s">
        <v>20312</v>
      </c>
      <c r="B65267" t="str">
        <f>HYPERLINK("https://lindat.mff.cuni.cz/services/teitok/pdtc10/index.php?action=vallex&amp;frame=v-w8969f1", "zamořit (v-w8969f1)")</f>
        <v>zamořit (v-w8969f1)</v>
      </c>
    </row>
    <row r="65268" spans="1:4" x14ac:dyDescent="0.2">
      <c r="B65268" t="s">
        <v>1</v>
      </c>
      <c r="C65268" t="s">
        <v>1425</v>
      </c>
      <c r="D65268" t="s">
        <v>23156</v>
      </c>
    </row>
    <row r="65269" spans="1:4" x14ac:dyDescent="0.2">
      <c r="B65269" t="s">
        <v>8</v>
      </c>
      <c r="C65269" t="s">
        <v>23</v>
      </c>
      <c r="D65269" t="s">
        <v>23157</v>
      </c>
    </row>
    <row r="65271" spans="1:4" x14ac:dyDescent="0.2">
      <c r="A65271" t="s">
        <v>20313</v>
      </c>
      <c r="B65271" t="str">
        <f>HYPERLINK("https://lindat.mff.cuni.cz/services/teitok/pdtc10/index.php?action=vallex&amp;frame=v-w11926_ZUf1_ZU", "zamražovat (v-w11926_ZUf1_ZU)")</f>
        <v>zamražovat (v-w11926_ZUf1_ZU)</v>
      </c>
    </row>
    <row r="65272" spans="1:4" x14ac:dyDescent="0.2">
      <c r="B65272" t="s">
        <v>1</v>
      </c>
    </row>
    <row r="65273" spans="1:4" x14ac:dyDescent="0.2">
      <c r="B65273" t="s">
        <v>8</v>
      </c>
    </row>
    <row r="65275" spans="1:4" x14ac:dyDescent="0.2">
      <c r="A65275" t="s">
        <v>20314</v>
      </c>
      <c r="B65275" t="str">
        <f>HYPERLINK("https://lindat.mff.cuni.cz/services/teitok/pdtc10/index.php?action=vallex&amp;frame=v-w8971f2", "zamručet (v-w8971f2)")</f>
        <v>zamručet (v-w8971f2)</v>
      </c>
    </row>
    <row r="65276" spans="1:4" x14ac:dyDescent="0.2">
      <c r="B65276" t="s">
        <v>1</v>
      </c>
      <c r="D65276" t="s">
        <v>133</v>
      </c>
    </row>
    <row r="65277" spans="1:4" x14ac:dyDescent="0.2">
      <c r="B65277" t="s">
        <v>20315</v>
      </c>
      <c r="D65277" t="s">
        <v>34</v>
      </c>
    </row>
    <row r="65279" spans="1:4" x14ac:dyDescent="0.2">
      <c r="A65279" t="s">
        <v>20316</v>
      </c>
      <c r="B65279" t="str">
        <f>HYPERLINK("https://lindat.mff.cuni.cz/services/teitok/pdtc10/index.php?action=vallex&amp;frame=v-w8971f1", "zamručet (v-w8971f1)")</f>
        <v>zamručet (v-w8971f1)</v>
      </c>
    </row>
    <row r="65280" spans="1:4" x14ac:dyDescent="0.2">
      <c r="B65280" t="s">
        <v>1</v>
      </c>
    </row>
    <row r="65282" spans="1:4" x14ac:dyDescent="0.2">
      <c r="A65282" t="s">
        <v>20317</v>
      </c>
      <c r="B65282" t="str">
        <f>HYPERLINK("https://lindat.mff.cuni.cz/services/teitok/pdtc10/index.php?action=vallex&amp;frame=v-w12010_ZUf1_ZU", "zamrzet (v-w12010_ZUf1_ZU)")</f>
        <v>zamrzet (v-w12010_ZUf1_ZU)</v>
      </c>
    </row>
    <row r="65283" spans="1:4" x14ac:dyDescent="0.2">
      <c r="B65283" t="s">
        <v>146</v>
      </c>
    </row>
    <row r="65284" spans="1:4" x14ac:dyDescent="0.2">
      <c r="B65284" t="s">
        <v>243</v>
      </c>
    </row>
    <row r="65286" spans="1:4" x14ac:dyDescent="0.2">
      <c r="A65286" t="s">
        <v>20318</v>
      </c>
      <c r="B65286" t="str">
        <f>HYPERLINK("https://lindat.mff.cuni.cz/services/teitok/pdtc10/index.php?action=vallex&amp;frame=v-whsa_1949hsa_1950", "zamrznout (v-whsa_1949hsa_1950)")</f>
        <v>zamrznout (v-whsa_1949hsa_1950)</v>
      </c>
    </row>
    <row r="65287" spans="1:4" x14ac:dyDescent="0.2">
      <c r="B65287" t="s">
        <v>1</v>
      </c>
    </row>
    <row r="65289" spans="1:4" x14ac:dyDescent="0.2">
      <c r="A65289" t="s">
        <v>20319</v>
      </c>
      <c r="B65289" t="str">
        <f>HYPERLINK("https://lindat.mff.cuni.cz/services/teitok/pdtc10/index.php?action=vallex&amp;frame=v-w8973f1", "zamykat (v-w8973f1)")</f>
        <v>zamykat (v-w8973f1)</v>
      </c>
    </row>
    <row r="65290" spans="1:4" x14ac:dyDescent="0.2">
      <c r="B65290" t="s">
        <v>1</v>
      </c>
      <c r="D65290" t="s">
        <v>24312</v>
      </c>
    </row>
    <row r="65291" spans="1:4" x14ac:dyDescent="0.2">
      <c r="B65291" t="s">
        <v>8</v>
      </c>
      <c r="D65291" t="s">
        <v>3789</v>
      </c>
    </row>
    <row r="65293" spans="1:4" x14ac:dyDescent="0.2">
      <c r="A65293" t="s">
        <v>20320</v>
      </c>
      <c r="B65293" t="str">
        <f>HYPERLINK("https://lindat.mff.cuni.cz/services/teitok/pdtc10/index.php?action=vallex&amp;frame=v-w8974f1", "zamyslet se (v-w8974f1)")</f>
        <v>zamyslet se (v-w8974f1)</v>
      </c>
    </row>
    <row r="65294" spans="1:4" x14ac:dyDescent="0.2">
      <c r="B65294" t="s">
        <v>1</v>
      </c>
      <c r="C65294" t="s">
        <v>2168</v>
      </c>
      <c r="D65294" t="s">
        <v>23014</v>
      </c>
    </row>
    <row r="65295" spans="1:4" x14ac:dyDescent="0.2">
      <c r="B65295" t="s">
        <v>20321</v>
      </c>
      <c r="C65295" t="s">
        <v>20322</v>
      </c>
      <c r="D65295" t="s">
        <v>23015</v>
      </c>
    </row>
    <row r="65297" spans="1:4" x14ac:dyDescent="0.2">
      <c r="A65297" t="s">
        <v>20323</v>
      </c>
      <c r="B65297" t="str">
        <f>HYPERLINK("https://lindat.mff.cuni.cz/services/teitok/pdtc10/index.php?action=vallex&amp;frame=v-w8975f1", "zamyslit se (v-w8975f1)")</f>
        <v>zamyslit se (v-w8975f1)</v>
      </c>
    </row>
    <row r="65298" spans="1:4" x14ac:dyDescent="0.2">
      <c r="B65298" t="s">
        <v>1</v>
      </c>
    </row>
    <row r="65299" spans="1:4" x14ac:dyDescent="0.2">
      <c r="B65299" t="s">
        <v>20321</v>
      </c>
    </row>
    <row r="65301" spans="1:4" x14ac:dyDescent="0.2">
      <c r="A65301" t="s">
        <v>20324</v>
      </c>
      <c r="B65301" t="str">
        <f>HYPERLINK("https://lindat.mff.cuni.cz/services/teitok/pdtc10/index.php?action=vallex&amp;frame=v-w8930hsa_186", "zamávat (v-w8930hsa_186)")</f>
        <v>zamávat (v-w8930hsa_186)</v>
      </c>
    </row>
    <row r="65302" spans="1:4" x14ac:dyDescent="0.2">
      <c r="B65302" t="s">
        <v>1</v>
      </c>
      <c r="C65302" t="s">
        <v>83</v>
      </c>
      <c r="D65302" t="s">
        <v>2303</v>
      </c>
    </row>
    <row r="65303" spans="1:4" x14ac:dyDescent="0.2">
      <c r="B65303" t="s">
        <v>3225</v>
      </c>
      <c r="D65303" t="s">
        <v>354</v>
      </c>
    </row>
    <row r="65304" spans="1:4" x14ac:dyDescent="0.2">
      <c r="B65304" t="s">
        <v>4764</v>
      </c>
      <c r="C65304" t="s">
        <v>4765</v>
      </c>
      <c r="D65304" t="s">
        <v>4765</v>
      </c>
    </row>
    <row r="65306" spans="1:4" x14ac:dyDescent="0.2">
      <c r="A65306" t="s">
        <v>20324</v>
      </c>
      <c r="B65306" t="str">
        <f>HYPERLINK("https://lindat.mff.cuni.cz/services/teitok/pdtc10/index.php?action=vallex&amp;frame=v-w8930f2", "zamávat (v-w8930f2) - substituted with v-w8930hsa_186")</f>
        <v>zamávat (v-w8930f2) - substituted with v-w8930hsa_186</v>
      </c>
    </row>
    <row r="65307" spans="1:4" x14ac:dyDescent="0.2">
      <c r="B65307" t="s">
        <v>1</v>
      </c>
    </row>
    <row r="65308" spans="1:4" x14ac:dyDescent="0.2">
      <c r="B65308" t="s">
        <v>3225</v>
      </c>
    </row>
    <row r="65309" spans="1:4" x14ac:dyDescent="0.2">
      <c r="B65309" t="s">
        <v>4764</v>
      </c>
    </row>
    <row r="65311" spans="1:4" x14ac:dyDescent="0.2">
      <c r="A65311" t="s">
        <v>20325</v>
      </c>
      <c r="B65311" t="str">
        <f>HYPERLINK("https://lindat.mff.cuni.cz/services/teitok/pdtc10/index.php?action=vallex&amp;frame=v-w8930f1", "zamávat (v-w8930f1)")</f>
        <v>zamávat (v-w8930f1)</v>
      </c>
    </row>
    <row r="65312" spans="1:4" x14ac:dyDescent="0.2">
      <c r="B65312" t="s">
        <v>1</v>
      </c>
      <c r="D65312" t="s">
        <v>22</v>
      </c>
    </row>
    <row r="65313" spans="1:4" x14ac:dyDescent="0.2">
      <c r="B65313" t="s">
        <v>158</v>
      </c>
      <c r="D65313" t="s">
        <v>56</v>
      </c>
    </row>
    <row r="65315" spans="1:4" x14ac:dyDescent="0.2">
      <c r="A65315" t="s">
        <v>20326</v>
      </c>
      <c r="B65315" t="str">
        <f>HYPERLINK("https://lindat.mff.cuni.cz/services/teitok/pdtc10/index.php?action=vallex&amp;frame=v-w8928f2", "zamáčknout (v-w8928f2)")</f>
        <v>zamáčknout (v-w8928f2)</v>
      </c>
    </row>
    <row r="65316" spans="1:4" x14ac:dyDescent="0.2">
      <c r="B65316" t="s">
        <v>1</v>
      </c>
    </row>
    <row r="65317" spans="1:4" x14ac:dyDescent="0.2">
      <c r="B65317" t="s">
        <v>8</v>
      </c>
    </row>
    <row r="65318" spans="1:4" x14ac:dyDescent="0.2">
      <c r="B65318" t="s">
        <v>90</v>
      </c>
    </row>
    <row r="65320" spans="1:4" x14ac:dyDescent="0.2">
      <c r="A65320" t="s">
        <v>20327</v>
      </c>
      <c r="B65320" t="str">
        <f>HYPERLINK("https://lindat.mff.cuni.cz/services/teitok/pdtc10/index.php?action=vallex&amp;frame=v-w8928f1", "zamáčknout (v-w8928f1)")</f>
        <v>zamáčknout (v-w8928f1)</v>
      </c>
    </row>
    <row r="65321" spans="1:4" x14ac:dyDescent="0.2">
      <c r="B65321" t="s">
        <v>1</v>
      </c>
    </row>
    <row r="65322" spans="1:4" x14ac:dyDescent="0.2">
      <c r="B65322" t="s">
        <v>8</v>
      </c>
    </row>
    <row r="65324" spans="1:4" x14ac:dyDescent="0.2">
      <c r="A65324" t="s">
        <v>20328</v>
      </c>
      <c r="B65324" t="str">
        <f>HYPERLINK("https://lindat.mff.cuni.cz/services/teitok/pdtc10/index.php?action=vallex&amp;frame=v-w8942f3", "zamést (v-w8942f3)")</f>
        <v>zamést (v-w8942f3)</v>
      </c>
    </row>
    <row r="65325" spans="1:4" x14ac:dyDescent="0.2">
      <c r="B65325" t="s">
        <v>1</v>
      </c>
    </row>
    <row r="65326" spans="1:4" x14ac:dyDescent="0.2">
      <c r="B65326" t="s">
        <v>8</v>
      </c>
    </row>
    <row r="65328" spans="1:4" x14ac:dyDescent="0.2">
      <c r="A65328" t="s">
        <v>20329</v>
      </c>
      <c r="B65328" t="str">
        <f>HYPERLINK("https://lindat.mff.cuni.cz/services/teitok/pdtc10/index.php?action=vallex&amp;frame=v-w8942f2", "zamést (v-w8942f2)")</f>
        <v>zamést (v-w8942f2)</v>
      </c>
    </row>
    <row r="65329" spans="1:4" x14ac:dyDescent="0.2">
      <c r="B65329" t="s">
        <v>1</v>
      </c>
    </row>
    <row r="65330" spans="1:4" x14ac:dyDescent="0.2">
      <c r="B65330" t="s">
        <v>411</v>
      </c>
    </row>
    <row r="65332" spans="1:4" x14ac:dyDescent="0.2">
      <c r="A65332" t="s">
        <v>20330</v>
      </c>
      <c r="B65332" t="str">
        <f>HYPERLINK("https://lindat.mff.cuni.cz/services/teitok/pdtc10/index.php?action=vallex&amp;frame=v-w8942f4_ZU", "zamést (v-w8942f4_ZU)")</f>
        <v>zamést (v-w8942f4_ZU)</v>
      </c>
    </row>
    <row r="65333" spans="1:4" x14ac:dyDescent="0.2">
      <c r="B65333" t="s">
        <v>1</v>
      </c>
      <c r="C65333" t="s">
        <v>33</v>
      </c>
      <c r="D65333" t="s">
        <v>2148</v>
      </c>
    </row>
    <row r="65334" spans="1:4" x14ac:dyDescent="0.2">
      <c r="B65334" t="s">
        <v>15989</v>
      </c>
    </row>
    <row r="65335" spans="1:4" x14ac:dyDescent="0.2">
      <c r="B65335" t="s">
        <v>8</v>
      </c>
      <c r="C65335" t="s">
        <v>991</v>
      </c>
      <c r="D65335" t="s">
        <v>8988</v>
      </c>
    </row>
    <row r="65337" spans="1:4" x14ac:dyDescent="0.2">
      <c r="A65337" t="s">
        <v>20331</v>
      </c>
      <c r="B65337" t="str">
        <f>HYPERLINK("https://lindat.mff.cuni.cz/services/teitok/pdtc10/index.php?action=vallex&amp;frame=v-w8942f1", "zamést (v-w8942f1)")</f>
        <v>zamést (v-w8942f1)</v>
      </c>
    </row>
    <row r="65338" spans="1:4" x14ac:dyDescent="0.2">
      <c r="B65338" t="s">
        <v>1</v>
      </c>
    </row>
    <row r="65339" spans="1:4" x14ac:dyDescent="0.2">
      <c r="B65339" t="s">
        <v>20332</v>
      </c>
    </row>
    <row r="65341" spans="1:4" x14ac:dyDescent="0.2">
      <c r="A65341" t="s">
        <v>20333</v>
      </c>
      <c r="B65341" t="str">
        <f>HYPERLINK("https://lindat.mff.cuni.cz/services/teitok/pdtc10/index.php?action=vallex&amp;frame=v-w8952f1", "zamíchat (v-w8952f1)")</f>
        <v>zamíchat (v-w8952f1)</v>
      </c>
    </row>
    <row r="65342" spans="1:4" x14ac:dyDescent="0.2">
      <c r="B65342" t="s">
        <v>1</v>
      </c>
    </row>
    <row r="65343" spans="1:4" x14ac:dyDescent="0.2">
      <c r="B65343" t="s">
        <v>20334</v>
      </c>
    </row>
    <row r="65345" spans="1:4" x14ac:dyDescent="0.2">
      <c r="A65345" t="s">
        <v>20335</v>
      </c>
      <c r="B65345" t="str">
        <f>HYPERLINK("https://lindat.mff.cuni.cz/services/teitok/pdtc10/index.php?action=vallex&amp;frame=v-w10491f2", "zamítat (v-w10491f2)")</f>
        <v>zamítat (v-w10491f2)</v>
      </c>
    </row>
    <row r="65346" spans="1:4" x14ac:dyDescent="0.2">
      <c r="B65346" t="s">
        <v>1</v>
      </c>
      <c r="C65346" t="s">
        <v>2239</v>
      </c>
      <c r="D65346" t="s">
        <v>22989</v>
      </c>
    </row>
    <row r="65347" spans="1:4" x14ac:dyDescent="0.2">
      <c r="B65347" t="s">
        <v>8</v>
      </c>
      <c r="C65347" t="s">
        <v>54</v>
      </c>
      <c r="D65347" t="s">
        <v>22990</v>
      </c>
    </row>
    <row r="65349" spans="1:4" x14ac:dyDescent="0.2">
      <c r="A65349" t="s">
        <v>20336</v>
      </c>
      <c r="B65349" t="str">
        <f>HYPERLINK("https://lindat.mff.cuni.cz/services/teitok/pdtc10/index.php?action=vallex&amp;frame=v-w8957f1", "zamítnout (v-w8957f1)")</f>
        <v>zamítnout (v-w8957f1)</v>
      </c>
    </row>
    <row r="65350" spans="1:4" x14ac:dyDescent="0.2">
      <c r="B65350" t="s">
        <v>1</v>
      </c>
      <c r="C65350" t="s">
        <v>20337</v>
      </c>
      <c r="D65350" t="s">
        <v>22989</v>
      </c>
    </row>
    <row r="65351" spans="1:4" x14ac:dyDescent="0.2">
      <c r="B65351" t="s">
        <v>8</v>
      </c>
      <c r="C65351" t="s">
        <v>12536</v>
      </c>
      <c r="D65351" t="s">
        <v>22990</v>
      </c>
    </row>
    <row r="65353" spans="1:4" x14ac:dyDescent="0.2">
      <c r="A65353" t="s">
        <v>20338</v>
      </c>
      <c r="B65353" t="str">
        <f>HYPERLINK("https://lindat.mff.cuni.cz/services/teitok/pdtc10/index.php?action=vallex&amp;frame=v-w8956f3", "zamířit (v-w8956f3)")</f>
        <v>zamířit (v-w8956f3)</v>
      </c>
    </row>
    <row r="65354" spans="1:4" x14ac:dyDescent="0.2">
      <c r="B65354" t="s">
        <v>1</v>
      </c>
    </row>
    <row r="65355" spans="1:4" x14ac:dyDescent="0.2">
      <c r="B65355" t="s">
        <v>8</v>
      </c>
    </row>
    <row r="65356" spans="1:4" x14ac:dyDescent="0.2">
      <c r="B65356" t="s">
        <v>90</v>
      </c>
    </row>
    <row r="65358" spans="1:4" x14ac:dyDescent="0.2">
      <c r="A65358" t="s">
        <v>20339</v>
      </c>
      <c r="B65358" t="str">
        <f>HYPERLINK("https://lindat.mff.cuni.cz/services/teitok/pdtc10/index.php?action=vallex&amp;frame=v-w8956f1", "zamířit (v-w8956f1)")</f>
        <v>zamířit (v-w8956f1)</v>
      </c>
    </row>
    <row r="65359" spans="1:4" x14ac:dyDescent="0.2">
      <c r="B65359" t="s">
        <v>1</v>
      </c>
      <c r="C65359" t="s">
        <v>20340</v>
      </c>
      <c r="D65359" t="s">
        <v>23474</v>
      </c>
    </row>
    <row r="65360" spans="1:4" x14ac:dyDescent="0.2">
      <c r="B65360" t="s">
        <v>90</v>
      </c>
      <c r="D65360" t="s">
        <v>11579</v>
      </c>
    </row>
    <row r="65362" spans="1:4" x14ac:dyDescent="0.2">
      <c r="A65362" t="s">
        <v>20341</v>
      </c>
      <c r="B65362" t="str">
        <f>HYPERLINK("https://lindat.mff.cuni.cz/services/teitok/pdtc10/index.php?action=vallex&amp;frame=v-w8956f2", "zamířit (v-w8956f2)")</f>
        <v>zamířit (v-w8956f2)</v>
      </c>
    </row>
    <row r="65363" spans="1:4" x14ac:dyDescent="0.2">
      <c r="B65363" t="s">
        <v>1</v>
      </c>
    </row>
    <row r="65364" spans="1:4" x14ac:dyDescent="0.2">
      <c r="B65364" t="s">
        <v>90</v>
      </c>
    </row>
    <row r="65366" spans="1:4" x14ac:dyDescent="0.2">
      <c r="A65366" t="s">
        <v>20342</v>
      </c>
      <c r="B65366" t="str">
        <f>HYPERLINK("https://lindat.mff.cuni.cz/services/teitok/pdtc10/index.php?action=vallex&amp;frame=v-w8977f2", "zamýšlet (v-w8977f2)")</f>
        <v>zamýšlet (v-w8977f2)</v>
      </c>
    </row>
    <row r="65367" spans="1:4" x14ac:dyDescent="0.2">
      <c r="B65367" t="s">
        <v>1</v>
      </c>
      <c r="C65367" t="s">
        <v>2749</v>
      </c>
      <c r="D65367" t="s">
        <v>4807</v>
      </c>
    </row>
    <row r="65368" spans="1:4" x14ac:dyDescent="0.2">
      <c r="B65368" t="s">
        <v>8</v>
      </c>
      <c r="C65368" t="s">
        <v>20343</v>
      </c>
      <c r="D65368" t="s">
        <v>23490</v>
      </c>
    </row>
    <row r="65369" spans="1:4" x14ac:dyDescent="0.2">
      <c r="B65369" t="s">
        <v>1151</v>
      </c>
    </row>
    <row r="65371" spans="1:4" x14ac:dyDescent="0.2">
      <c r="A65371" t="s">
        <v>20344</v>
      </c>
      <c r="B65371" t="str">
        <f>HYPERLINK("https://lindat.mff.cuni.cz/services/teitok/pdtc10/index.php?action=vallex&amp;frame=v-w8977f1", "zamýšlet (v-w8977f1)")</f>
        <v>zamýšlet (v-w8977f1)</v>
      </c>
    </row>
    <row r="65372" spans="1:4" x14ac:dyDescent="0.2">
      <c r="B65372" t="s">
        <v>1</v>
      </c>
      <c r="C65372" t="s">
        <v>20345</v>
      </c>
      <c r="D65372" t="s">
        <v>23491</v>
      </c>
    </row>
    <row r="65373" spans="1:4" x14ac:dyDescent="0.2">
      <c r="B65373" t="s">
        <v>557</v>
      </c>
      <c r="C65373" t="s">
        <v>20346</v>
      </c>
      <c r="D65373" t="s">
        <v>23492</v>
      </c>
    </row>
    <row r="65375" spans="1:4" x14ac:dyDescent="0.2">
      <c r="A65375" t="s">
        <v>20347</v>
      </c>
      <c r="B65375" t="str">
        <f>HYPERLINK("https://lindat.mff.cuni.cz/services/teitok/pdtc10/index.php?action=vallex&amp;frame=v-w8978f1", "zamýšlet se (v-w8978f1)")</f>
        <v>zamýšlet se (v-w8978f1)</v>
      </c>
    </row>
    <row r="65376" spans="1:4" x14ac:dyDescent="0.2">
      <c r="B65376" t="s">
        <v>1</v>
      </c>
    </row>
    <row r="65377" spans="1:4" x14ac:dyDescent="0.2">
      <c r="B65377" t="s">
        <v>20321</v>
      </c>
    </row>
    <row r="65379" spans="1:4" x14ac:dyDescent="0.2">
      <c r="A65379" t="s">
        <v>20348</v>
      </c>
      <c r="B65379" t="str">
        <f>HYPERLINK("https://lindat.mff.cuni.cz/services/teitok/pdtc10/index.php?action=vallex&amp;frame=v-w8932f1", "zaměnit (v-w8932f1)")</f>
        <v>zaměnit (v-w8932f1)</v>
      </c>
    </row>
    <row r="65380" spans="1:4" x14ac:dyDescent="0.2">
      <c r="B65380" t="s">
        <v>1</v>
      </c>
      <c r="C65380" t="s">
        <v>334</v>
      </c>
      <c r="D65380" t="s">
        <v>147</v>
      </c>
    </row>
    <row r="65381" spans="1:4" x14ac:dyDescent="0.2">
      <c r="B65381" t="s">
        <v>8</v>
      </c>
      <c r="C65381" t="s">
        <v>110</v>
      </c>
      <c r="D65381" t="s">
        <v>7577</v>
      </c>
    </row>
    <row r="65382" spans="1:4" x14ac:dyDescent="0.2">
      <c r="B65382" t="s">
        <v>8593</v>
      </c>
      <c r="C65382" t="s">
        <v>20349</v>
      </c>
      <c r="D65382" t="s">
        <v>3966</v>
      </c>
    </row>
    <row r="65384" spans="1:4" x14ac:dyDescent="0.2">
      <c r="A65384" t="s">
        <v>20350</v>
      </c>
      <c r="B65384" t="str">
        <f>HYPERLINK("https://lindat.mff.cuni.cz/services/teitok/pdtc10/index.php?action=vallex&amp;frame=v-w8943f1", "zaměstnat (v-w8943f1)")</f>
        <v>zaměstnat (v-w8943f1)</v>
      </c>
    </row>
    <row r="65385" spans="1:4" x14ac:dyDescent="0.2">
      <c r="B65385" t="s">
        <v>1</v>
      </c>
      <c r="C65385" t="s">
        <v>102</v>
      </c>
      <c r="D65385" t="s">
        <v>96</v>
      </c>
    </row>
    <row r="65386" spans="1:4" x14ac:dyDescent="0.2">
      <c r="B65386" t="s">
        <v>8</v>
      </c>
      <c r="C65386" t="s">
        <v>20351</v>
      </c>
      <c r="D65386" t="s">
        <v>23533</v>
      </c>
    </row>
    <row r="65387" spans="1:4" x14ac:dyDescent="0.2">
      <c r="B65387" t="s">
        <v>71</v>
      </c>
      <c r="C65387" t="s">
        <v>11843</v>
      </c>
      <c r="D65387" t="s">
        <v>24482</v>
      </c>
    </row>
    <row r="65389" spans="1:4" x14ac:dyDescent="0.2">
      <c r="A65389" t="s">
        <v>20352</v>
      </c>
      <c r="B65389" t="str">
        <f>HYPERLINK("https://lindat.mff.cuni.cz/services/teitok/pdtc10/index.php?action=vallex&amp;frame=v-w8943hsa_242", "zaměstnat (v-w8943hsa_242)")</f>
        <v>zaměstnat (v-w8943hsa_242)</v>
      </c>
    </row>
    <row r="65390" spans="1:4" x14ac:dyDescent="0.2">
      <c r="B65390" t="s">
        <v>1</v>
      </c>
    </row>
    <row r="65391" spans="1:4" x14ac:dyDescent="0.2">
      <c r="B65391" t="s">
        <v>8</v>
      </c>
      <c r="C65391" t="s">
        <v>564</v>
      </c>
    </row>
    <row r="65393" spans="1:4" x14ac:dyDescent="0.2">
      <c r="A65393" t="s">
        <v>20353</v>
      </c>
      <c r="B65393" t="str">
        <f>HYPERLINK("https://lindat.mff.cuni.cz/services/teitok/pdtc10/index.php?action=vallex&amp;frame=v-w8946f1", "zaměstnávat (v-w8946f1)")</f>
        <v>zaměstnávat (v-w8946f1)</v>
      </c>
    </row>
    <row r="65394" spans="1:4" x14ac:dyDescent="0.2">
      <c r="B65394" t="s">
        <v>1</v>
      </c>
      <c r="C65394" t="s">
        <v>20354</v>
      </c>
      <c r="D65394" t="s">
        <v>96</v>
      </c>
    </row>
    <row r="65395" spans="1:4" x14ac:dyDescent="0.2">
      <c r="B65395" t="s">
        <v>8</v>
      </c>
      <c r="C65395" t="s">
        <v>20355</v>
      </c>
      <c r="D65395" t="s">
        <v>23533</v>
      </c>
    </row>
    <row r="65396" spans="1:4" x14ac:dyDescent="0.2">
      <c r="B65396" t="s">
        <v>71</v>
      </c>
      <c r="C65396" t="s">
        <v>16444</v>
      </c>
      <c r="D65396" t="s">
        <v>24482</v>
      </c>
    </row>
    <row r="65398" spans="1:4" x14ac:dyDescent="0.2">
      <c r="A65398" t="s">
        <v>20356</v>
      </c>
      <c r="B65398" t="str">
        <f>HYPERLINK("https://lindat.mff.cuni.cz/services/teitok/pdtc10/index.php?action=vallex&amp;frame=v-w8946f2_ZU", "zaměstnávat (v-w8946f2_ZU)")</f>
        <v>zaměstnávat (v-w8946f2_ZU)</v>
      </c>
    </row>
    <row r="65399" spans="1:4" x14ac:dyDescent="0.2">
      <c r="B65399" t="s">
        <v>1</v>
      </c>
    </row>
    <row r="65400" spans="1:4" x14ac:dyDescent="0.2">
      <c r="B65400" t="s">
        <v>8</v>
      </c>
    </row>
    <row r="65402" spans="1:4" x14ac:dyDescent="0.2">
      <c r="A65402" t="s">
        <v>20357</v>
      </c>
      <c r="B65402" t="str">
        <f>HYPERLINK("https://lindat.mff.cuni.cz/services/teitok/pdtc10/index.php?action=vallex&amp;frame=v-whsa_710hsa_711", "zaměstnávat se (v-whsa_710hsa_711)")</f>
        <v>zaměstnávat se (v-whsa_710hsa_711)</v>
      </c>
    </row>
    <row r="65403" spans="1:4" x14ac:dyDescent="0.2">
      <c r="B65403" t="s">
        <v>1</v>
      </c>
      <c r="D65403" t="s">
        <v>23918</v>
      </c>
    </row>
    <row r="65404" spans="1:4" x14ac:dyDescent="0.2">
      <c r="B65404" t="s">
        <v>158</v>
      </c>
      <c r="D65404" t="s">
        <v>23919</v>
      </c>
    </row>
    <row r="65406" spans="1:4" x14ac:dyDescent="0.2">
      <c r="A65406" t="s">
        <v>20358</v>
      </c>
      <c r="B65406" t="str">
        <f>HYPERLINK("https://lindat.mff.cuni.cz/services/teitok/pdtc10/index.php?action=vallex&amp;frame=v-w8934f1", "zaměňovat (v-w8934f1)")</f>
        <v>zaměňovat (v-w8934f1)</v>
      </c>
    </row>
    <row r="65407" spans="1:4" x14ac:dyDescent="0.2">
      <c r="B65407" t="s">
        <v>1</v>
      </c>
      <c r="C65407" t="s">
        <v>147</v>
      </c>
      <c r="D65407" t="s">
        <v>147</v>
      </c>
    </row>
    <row r="65408" spans="1:4" x14ac:dyDescent="0.2">
      <c r="B65408" t="s">
        <v>8</v>
      </c>
      <c r="C65408" t="s">
        <v>7577</v>
      </c>
      <c r="D65408" t="s">
        <v>7577</v>
      </c>
    </row>
    <row r="65409" spans="1:4" x14ac:dyDescent="0.2">
      <c r="B65409" t="s">
        <v>2604</v>
      </c>
      <c r="C65409" t="s">
        <v>3966</v>
      </c>
      <c r="D65409" t="s">
        <v>3966</v>
      </c>
    </row>
    <row r="65411" spans="1:4" x14ac:dyDescent="0.2">
      <c r="A65411" t="s">
        <v>20359</v>
      </c>
      <c r="B65411" t="str">
        <f>HYPERLINK("https://lindat.mff.cuni.cz/services/teitok/pdtc10/index.php?action=vallex&amp;frame=v-w8938f3_MM", "zaměřit (v-w8938f3_MM)")</f>
        <v>zaměřit (v-w8938f3_MM)</v>
      </c>
    </row>
    <row r="65412" spans="1:4" x14ac:dyDescent="0.2">
      <c r="B65412" t="s">
        <v>1</v>
      </c>
    </row>
    <row r="65413" spans="1:4" x14ac:dyDescent="0.2">
      <c r="B65413" t="s">
        <v>8</v>
      </c>
    </row>
    <row r="65414" spans="1:4" x14ac:dyDescent="0.2">
      <c r="B65414" t="s">
        <v>20360</v>
      </c>
    </row>
    <row r="65415" spans="1:4" x14ac:dyDescent="0.2">
      <c r="B65415" t="s">
        <v>346</v>
      </c>
    </row>
    <row r="65417" spans="1:4" x14ac:dyDescent="0.2">
      <c r="A65417" t="s">
        <v>20359</v>
      </c>
      <c r="B65417" t="str">
        <f>HYPERLINK("https://lindat.mff.cuni.cz/services/teitok/pdtc10/index.php?action=vallex&amp;frame=v-w8938f1", "zaměřit (v-w8938f1) - substituted with v-w8938f3_MM")</f>
        <v>zaměřit (v-w8938f1) - substituted with v-w8938f3_MM</v>
      </c>
    </row>
    <row r="65418" spans="1:4" x14ac:dyDescent="0.2">
      <c r="B65418" t="s">
        <v>1</v>
      </c>
      <c r="C65418" t="s">
        <v>20361</v>
      </c>
      <c r="D65418" t="s">
        <v>23069</v>
      </c>
    </row>
    <row r="65419" spans="1:4" x14ac:dyDescent="0.2">
      <c r="B65419" t="s">
        <v>8</v>
      </c>
      <c r="C65419" t="s">
        <v>20362</v>
      </c>
      <c r="D65419" t="s">
        <v>23070</v>
      </c>
    </row>
    <row r="65420" spans="1:4" x14ac:dyDescent="0.2">
      <c r="B65420" t="s">
        <v>20360</v>
      </c>
      <c r="C65420" t="s">
        <v>20363</v>
      </c>
      <c r="D65420" t="s">
        <v>23570</v>
      </c>
    </row>
    <row r="65421" spans="1:4" x14ac:dyDescent="0.2">
      <c r="B65421" t="s">
        <v>346</v>
      </c>
    </row>
    <row r="65423" spans="1:4" x14ac:dyDescent="0.2">
      <c r="A65423" t="s">
        <v>20364</v>
      </c>
      <c r="B65423" t="str">
        <f>HYPERLINK("https://lindat.mff.cuni.cz/services/teitok/pdtc10/index.php?action=vallex&amp;frame=v-w8938f2_ZU", "zaměřit (v-w8938f2_ZU)")</f>
        <v>zaměřit (v-w8938f2_ZU)</v>
      </c>
    </row>
    <row r="65424" spans="1:4" x14ac:dyDescent="0.2">
      <c r="B65424" t="s">
        <v>1</v>
      </c>
      <c r="C65424" t="s">
        <v>2264</v>
      </c>
      <c r="D65424" t="s">
        <v>1805</v>
      </c>
    </row>
    <row r="65425" spans="1:4" x14ac:dyDescent="0.2">
      <c r="B65425" t="s">
        <v>8</v>
      </c>
      <c r="C65425" t="s">
        <v>4121</v>
      </c>
      <c r="D65425" t="s">
        <v>4121</v>
      </c>
    </row>
    <row r="65427" spans="1:4" x14ac:dyDescent="0.2">
      <c r="A65427" t="s">
        <v>20365</v>
      </c>
      <c r="B65427" t="str">
        <f>HYPERLINK("https://lindat.mff.cuni.cz/services/teitok/pdtc10/index.php?action=vallex&amp;frame=v-w8939f1", "zaměřit se (v-w8939f1)")</f>
        <v>zaměřit se (v-w8939f1)</v>
      </c>
    </row>
    <row r="65428" spans="1:4" x14ac:dyDescent="0.2">
      <c r="B65428" t="s">
        <v>1</v>
      </c>
      <c r="C65428" t="s">
        <v>20366</v>
      </c>
      <c r="D65428" t="s">
        <v>24483</v>
      </c>
    </row>
    <row r="65429" spans="1:4" x14ac:dyDescent="0.2">
      <c r="B65429" t="s">
        <v>28</v>
      </c>
      <c r="C65429" t="s">
        <v>20367</v>
      </c>
      <c r="D65429" t="s">
        <v>24484</v>
      </c>
    </row>
    <row r="65431" spans="1:4" x14ac:dyDescent="0.2">
      <c r="A65431" t="s">
        <v>20368</v>
      </c>
      <c r="B65431" t="str">
        <f>HYPERLINK("https://lindat.mff.cuni.cz/services/teitok/pdtc10/index.php?action=vallex&amp;frame=v-w8939f2_ZU", "zaměřit se (v-w8939f2_ZU)")</f>
        <v>zaměřit se (v-w8939f2_ZU)</v>
      </c>
    </row>
    <row r="65432" spans="1:4" x14ac:dyDescent="0.2">
      <c r="B65432" t="s">
        <v>1</v>
      </c>
    </row>
    <row r="65433" spans="1:4" x14ac:dyDescent="0.2">
      <c r="B65433" t="s">
        <v>507</v>
      </c>
    </row>
    <row r="65435" spans="1:4" x14ac:dyDescent="0.2">
      <c r="A65435" t="s">
        <v>20368</v>
      </c>
      <c r="B65435" t="str">
        <f>HYPERLINK("https://lindat.mff.cuni.cz/services/teitok/pdtc10/index.php?action=vallex&amp;frame=v-w8939hsa_546", "zaměřit se (v-w8939hsa_546) - substituted with v-w8939f2_ZU")</f>
        <v>zaměřit se (v-w8939hsa_546) - substituted with v-w8939f2_ZU</v>
      </c>
    </row>
    <row r="65436" spans="1:4" x14ac:dyDescent="0.2">
      <c r="B65436" t="s">
        <v>1</v>
      </c>
    </row>
    <row r="65437" spans="1:4" x14ac:dyDescent="0.2">
      <c r="B65437" t="s">
        <v>507</v>
      </c>
    </row>
    <row r="65439" spans="1:4" x14ac:dyDescent="0.2">
      <c r="A65439" t="s">
        <v>20369</v>
      </c>
      <c r="B65439" t="str">
        <f>HYPERLINK("https://lindat.mff.cuni.cz/services/teitok/pdtc10/index.php?action=vallex&amp;frame=v-w8940f2_ZU", "zaměřovat (v-w8940f2_ZU)")</f>
        <v>zaměřovat (v-w8940f2_ZU)</v>
      </c>
    </row>
    <row r="65440" spans="1:4" x14ac:dyDescent="0.2">
      <c r="B65440" t="s">
        <v>1</v>
      </c>
      <c r="D65440" t="s">
        <v>23069</v>
      </c>
    </row>
    <row r="65441" spans="1:4" x14ac:dyDescent="0.2">
      <c r="B65441" t="s">
        <v>8</v>
      </c>
      <c r="D65441" t="s">
        <v>23070</v>
      </c>
    </row>
    <row r="65442" spans="1:4" x14ac:dyDescent="0.2">
      <c r="B65442" t="s">
        <v>90</v>
      </c>
      <c r="D65442" t="s">
        <v>23570</v>
      </c>
    </row>
    <row r="65444" spans="1:4" x14ac:dyDescent="0.2">
      <c r="A65444" t="s">
        <v>20369</v>
      </c>
      <c r="B65444" t="str">
        <f>HYPERLINK("https://lindat.mff.cuni.cz/services/teitok/pdtc10/index.php?action=vallex&amp;frame=v-w8940f1", "zaměřovat (v-w8940f1) - substituted with v-w8940f2_ZU")</f>
        <v>zaměřovat (v-w8940f1) - substituted with v-w8940f2_ZU</v>
      </c>
    </row>
    <row r="65445" spans="1:4" x14ac:dyDescent="0.2">
      <c r="B65445" t="s">
        <v>1</v>
      </c>
      <c r="C65445" t="s">
        <v>22</v>
      </c>
    </row>
    <row r="65446" spans="1:4" x14ac:dyDescent="0.2">
      <c r="B65446" t="s">
        <v>8</v>
      </c>
      <c r="C65446" t="s">
        <v>20370</v>
      </c>
    </row>
    <row r="65447" spans="1:4" x14ac:dyDescent="0.2">
      <c r="B65447" t="s">
        <v>90</v>
      </c>
    </row>
    <row r="65449" spans="1:4" x14ac:dyDescent="0.2">
      <c r="A65449" t="s">
        <v>20371</v>
      </c>
      <c r="B65449" t="str">
        <f>HYPERLINK("https://lindat.mff.cuni.cz/services/teitok/pdtc10/index.php?action=vallex&amp;frame=v-w8940f3_ZU", "zaměřovat (v-w8940f3_ZU)")</f>
        <v>zaměřovat (v-w8940f3_ZU)</v>
      </c>
    </row>
    <row r="65450" spans="1:4" x14ac:dyDescent="0.2">
      <c r="B65450" t="s">
        <v>1</v>
      </c>
    </row>
    <row r="65451" spans="1:4" x14ac:dyDescent="0.2">
      <c r="B65451" t="s">
        <v>8</v>
      </c>
    </row>
    <row r="65453" spans="1:4" x14ac:dyDescent="0.2">
      <c r="A65453" t="s">
        <v>20371</v>
      </c>
      <c r="B65453" t="str">
        <f>HYPERLINK("https://lindat.mff.cuni.cz/services/teitok/pdtc10/index.php?action=vallex&amp;frame=v-w8940hsa_1204", "zaměřovat (v-w8940hsa_1204) - substituted with v-w8940f3_ZU")</f>
        <v>zaměřovat (v-w8940hsa_1204) - substituted with v-w8940f3_ZU</v>
      </c>
    </row>
    <row r="65454" spans="1:4" x14ac:dyDescent="0.2">
      <c r="B65454" t="s">
        <v>1</v>
      </c>
    </row>
    <row r="65455" spans="1:4" x14ac:dyDescent="0.2">
      <c r="B65455" t="s">
        <v>8</v>
      </c>
    </row>
    <row r="65457" spans="1:4" x14ac:dyDescent="0.2">
      <c r="A65457" t="s">
        <v>20372</v>
      </c>
      <c r="B65457" t="str">
        <f>HYPERLINK("https://lindat.mff.cuni.cz/services/teitok/pdtc10/index.php?action=vallex&amp;frame=v-w8940f4_ZU", "zaměřovat (v-w8940f4_ZU)")</f>
        <v>zaměřovat (v-w8940f4_ZU)</v>
      </c>
    </row>
    <row r="65458" spans="1:4" x14ac:dyDescent="0.2">
      <c r="B65458" t="s">
        <v>1</v>
      </c>
    </row>
    <row r="65459" spans="1:4" x14ac:dyDescent="0.2">
      <c r="B65459" t="s">
        <v>8</v>
      </c>
    </row>
    <row r="65461" spans="1:4" x14ac:dyDescent="0.2">
      <c r="A65461" t="s">
        <v>20373</v>
      </c>
      <c r="B65461" t="str">
        <f>HYPERLINK("https://lindat.mff.cuni.cz/services/teitok/pdtc10/index.php?action=vallex&amp;frame=v-w8941f1", "zaměřovat se (v-w8941f1)")</f>
        <v>zaměřovat se (v-w8941f1)</v>
      </c>
    </row>
    <row r="65462" spans="1:4" x14ac:dyDescent="0.2">
      <c r="B65462" t="s">
        <v>1</v>
      </c>
      <c r="C65462" t="s">
        <v>20374</v>
      </c>
      <c r="D65462" t="s">
        <v>24483</v>
      </c>
    </row>
    <row r="65463" spans="1:4" x14ac:dyDescent="0.2">
      <c r="B65463" t="s">
        <v>28</v>
      </c>
      <c r="C65463" t="s">
        <v>20375</v>
      </c>
      <c r="D65463" t="s">
        <v>24484</v>
      </c>
    </row>
    <row r="65465" spans="1:4" x14ac:dyDescent="0.2">
      <c r="A65465" t="s">
        <v>20376</v>
      </c>
      <c r="B65465" t="str">
        <f>HYPERLINK("https://lindat.mff.cuni.cz/services/teitok/pdtc10/index.php?action=vallex&amp;frame=v-w10707f2", "zanalyzovat (v-w10707f2)")</f>
        <v>zanalyzovat (v-w10707f2)</v>
      </c>
    </row>
    <row r="65466" spans="1:4" x14ac:dyDescent="0.2">
      <c r="B65466" t="s">
        <v>1</v>
      </c>
    </row>
    <row r="65467" spans="1:4" x14ac:dyDescent="0.2">
      <c r="B65467" t="s">
        <v>8</v>
      </c>
    </row>
    <row r="65469" spans="1:4" x14ac:dyDescent="0.2">
      <c r="A65469" t="s">
        <v>20377</v>
      </c>
      <c r="B65469" t="str">
        <f>HYPERLINK("https://lindat.mff.cuni.cz/services/teitok/pdtc10/index.php?action=vallex&amp;frame=v-w8984f3", "zanechat (v-w8984f3)")</f>
        <v>zanechat (v-w8984f3)</v>
      </c>
    </row>
    <row r="65470" spans="1:4" x14ac:dyDescent="0.2">
      <c r="B65470" t="s">
        <v>1</v>
      </c>
      <c r="C65470" t="s">
        <v>6902</v>
      </c>
      <c r="D65470" t="s">
        <v>6039</v>
      </c>
    </row>
    <row r="65471" spans="1:4" x14ac:dyDescent="0.2">
      <c r="B65471" t="s">
        <v>8</v>
      </c>
      <c r="C65471" t="s">
        <v>20378</v>
      </c>
      <c r="D65471" t="s">
        <v>23799</v>
      </c>
    </row>
    <row r="65472" spans="1:4" x14ac:dyDescent="0.2">
      <c r="B65472" t="s">
        <v>35</v>
      </c>
      <c r="C65472" t="s">
        <v>20379</v>
      </c>
      <c r="D65472" t="s">
        <v>23800</v>
      </c>
    </row>
    <row r="65474" spans="1:3" x14ac:dyDescent="0.2">
      <c r="A65474" t="s">
        <v>20380</v>
      </c>
      <c r="B65474" t="str">
        <f>HYPERLINK("https://lindat.mff.cuni.cz/services/teitok/pdtc10/index.php?action=vallex&amp;frame=v-w8984f7_ZU", "zanechat (v-w8984f7_ZU)")</f>
        <v>zanechat (v-w8984f7_ZU)</v>
      </c>
    </row>
    <row r="65475" spans="1:3" x14ac:dyDescent="0.2">
      <c r="B65475" t="s">
        <v>1</v>
      </c>
      <c r="C65475" t="s">
        <v>1366</v>
      </c>
    </row>
    <row r="65476" spans="1:3" x14ac:dyDescent="0.2">
      <c r="B65476" t="s">
        <v>8</v>
      </c>
      <c r="C65476" t="s">
        <v>6505</v>
      </c>
    </row>
    <row r="65477" spans="1:3" x14ac:dyDescent="0.2">
      <c r="B65477" t="s">
        <v>5370</v>
      </c>
      <c r="C65477" t="s">
        <v>6521</v>
      </c>
    </row>
    <row r="65479" spans="1:3" x14ac:dyDescent="0.2">
      <c r="A65479" t="s">
        <v>20380</v>
      </c>
      <c r="B65479" t="str">
        <f>HYPERLINK("https://lindat.mff.cuni.cz/services/teitok/pdtc10/index.php?action=vallex&amp;frame=v-w8984f6_ZU", "zanechat (v-w8984f6_ZU) - substituted with v-w8984f7_ZU")</f>
        <v>zanechat (v-w8984f6_ZU) - substituted with v-w8984f7_ZU</v>
      </c>
    </row>
    <row r="65480" spans="1:3" x14ac:dyDescent="0.2">
      <c r="B65480" t="s">
        <v>1</v>
      </c>
      <c r="C65480" t="s">
        <v>2303</v>
      </c>
    </row>
    <row r="65481" spans="1:3" x14ac:dyDescent="0.2">
      <c r="B65481" t="s">
        <v>8</v>
      </c>
      <c r="C65481" t="s">
        <v>6494</v>
      </c>
    </row>
    <row r="65482" spans="1:3" x14ac:dyDescent="0.2">
      <c r="B65482" t="s">
        <v>5370</v>
      </c>
    </row>
    <row r="65484" spans="1:3" x14ac:dyDescent="0.2">
      <c r="A65484" t="s">
        <v>20381</v>
      </c>
      <c r="B65484" t="str">
        <f>HYPERLINK("https://lindat.mff.cuni.cz/services/teitok/pdtc10/index.php?action=vallex&amp;frame=v-w8984f1", "zanechat (v-w8984f1)")</f>
        <v>zanechat (v-w8984f1)</v>
      </c>
    </row>
    <row r="65485" spans="1:3" x14ac:dyDescent="0.2">
      <c r="B65485" t="s">
        <v>1</v>
      </c>
      <c r="C65485" t="s">
        <v>20382</v>
      </c>
    </row>
    <row r="65486" spans="1:3" x14ac:dyDescent="0.2">
      <c r="B65486" t="s">
        <v>8</v>
      </c>
      <c r="C65486" t="s">
        <v>20383</v>
      </c>
    </row>
    <row r="65487" spans="1:3" x14ac:dyDescent="0.2">
      <c r="B65487" t="s">
        <v>5</v>
      </c>
      <c r="C65487" t="s">
        <v>9359</v>
      </c>
    </row>
    <row r="65489" spans="1:4" x14ac:dyDescent="0.2">
      <c r="A65489" t="s">
        <v>20384</v>
      </c>
      <c r="B65489" t="str">
        <f>HYPERLINK("https://lindat.mff.cuni.cz/services/teitok/pdtc10/index.php?action=vallex&amp;frame=v-w8984f8_ZU", "zanechat (v-w8984f8_ZU)")</f>
        <v>zanechat (v-w8984f8_ZU)</v>
      </c>
    </row>
    <row r="65490" spans="1:4" x14ac:dyDescent="0.2">
      <c r="B65490" t="s">
        <v>1</v>
      </c>
      <c r="C65490" t="s">
        <v>1366</v>
      </c>
    </row>
    <row r="65491" spans="1:4" x14ac:dyDescent="0.2">
      <c r="B65491" t="s">
        <v>8</v>
      </c>
      <c r="C65491" t="s">
        <v>6505</v>
      </c>
    </row>
    <row r="65492" spans="1:4" x14ac:dyDescent="0.2">
      <c r="B65492" t="s">
        <v>4836</v>
      </c>
    </row>
    <row r="65493" spans="1:4" x14ac:dyDescent="0.2">
      <c r="B65493" t="s">
        <v>6478</v>
      </c>
      <c r="C65493" t="s">
        <v>20385</v>
      </c>
    </row>
    <row r="65495" spans="1:4" x14ac:dyDescent="0.2">
      <c r="A65495" t="s">
        <v>20384</v>
      </c>
      <c r="B65495" t="str">
        <f>HYPERLINK("https://lindat.mff.cuni.cz/services/teitok/pdtc10/index.php?action=vallex&amp;frame=v-w8984f5_ZU", "zanechat (v-w8984f5_ZU) - substituted with v-w8984f8_ZU")</f>
        <v>zanechat (v-w8984f5_ZU) - substituted with v-w8984f8_ZU</v>
      </c>
    </row>
    <row r="65496" spans="1:4" x14ac:dyDescent="0.2">
      <c r="B65496" t="s">
        <v>1</v>
      </c>
      <c r="C65496" t="s">
        <v>3255</v>
      </c>
    </row>
    <row r="65497" spans="1:4" x14ac:dyDescent="0.2">
      <c r="B65497" t="s">
        <v>8</v>
      </c>
      <c r="C65497" t="s">
        <v>6527</v>
      </c>
    </row>
    <row r="65498" spans="1:4" x14ac:dyDescent="0.2">
      <c r="B65498" t="s">
        <v>4836</v>
      </c>
      <c r="C65498" t="s">
        <v>6476</v>
      </c>
    </row>
    <row r="65499" spans="1:4" x14ac:dyDescent="0.2">
      <c r="B65499" t="s">
        <v>6478</v>
      </c>
    </row>
    <row r="65501" spans="1:4" x14ac:dyDescent="0.2">
      <c r="A65501" t="s">
        <v>20386</v>
      </c>
      <c r="B65501" t="str">
        <f>HYPERLINK("https://lindat.mff.cuni.cz/services/teitok/pdtc10/index.php?action=vallex&amp;frame=v-w8984f2", "zanechat (v-w8984f2)")</f>
        <v>zanechat (v-w8984f2)</v>
      </c>
    </row>
    <row r="65502" spans="1:4" x14ac:dyDescent="0.2">
      <c r="B65502" t="s">
        <v>1</v>
      </c>
      <c r="C65502" t="s">
        <v>20387</v>
      </c>
      <c r="D65502" t="s">
        <v>23064</v>
      </c>
    </row>
    <row r="65503" spans="1:4" x14ac:dyDescent="0.2">
      <c r="B65503" t="s">
        <v>917</v>
      </c>
      <c r="C65503" t="s">
        <v>20388</v>
      </c>
      <c r="D65503" t="s">
        <v>23065</v>
      </c>
    </row>
    <row r="65505" spans="1:4" x14ac:dyDescent="0.2">
      <c r="A65505" t="s">
        <v>20389</v>
      </c>
      <c r="B65505" t="str">
        <f>HYPERLINK("https://lindat.mff.cuni.cz/services/teitok/pdtc10/index.php?action=vallex&amp;frame=v-w8984f4", "zanechat (v-w8984f4)")</f>
        <v>zanechat (v-w8984f4)</v>
      </c>
    </row>
    <row r="65506" spans="1:4" x14ac:dyDescent="0.2">
      <c r="B65506" t="s">
        <v>1</v>
      </c>
    </row>
    <row r="65507" spans="1:4" x14ac:dyDescent="0.2">
      <c r="B65507" t="s">
        <v>20390</v>
      </c>
    </row>
    <row r="65508" spans="1:4" x14ac:dyDescent="0.2">
      <c r="B65508" t="s">
        <v>8</v>
      </c>
    </row>
    <row r="65509" spans="1:4" x14ac:dyDescent="0.2">
      <c r="B65509" t="s">
        <v>78</v>
      </c>
    </row>
    <row r="65511" spans="1:4" x14ac:dyDescent="0.2">
      <c r="A65511" t="s">
        <v>20391</v>
      </c>
      <c r="B65511" t="str">
        <f>HYPERLINK("https://lindat.mff.cuni.cz/services/teitok/pdtc10/index.php?action=vallex&amp;frame=v-w8985f1", "zanechávat (v-w8985f1)")</f>
        <v>zanechávat (v-w8985f1)</v>
      </c>
    </row>
    <row r="65512" spans="1:4" x14ac:dyDescent="0.2">
      <c r="B65512" t="s">
        <v>1</v>
      </c>
      <c r="C65512" t="s">
        <v>2555</v>
      </c>
    </row>
    <row r="65513" spans="1:4" x14ac:dyDescent="0.2">
      <c r="B65513" t="s">
        <v>8</v>
      </c>
      <c r="C65513" t="s">
        <v>20392</v>
      </c>
    </row>
    <row r="65514" spans="1:4" x14ac:dyDescent="0.2">
      <c r="B65514" t="s">
        <v>5</v>
      </c>
    </row>
    <row r="65516" spans="1:4" x14ac:dyDescent="0.2">
      <c r="A65516" t="s">
        <v>20393</v>
      </c>
      <c r="B65516" t="str">
        <f>HYPERLINK("https://lindat.mff.cuni.cz/services/teitok/pdtc10/index.php?action=vallex&amp;frame=v-w8985f2_ZU", "zanechávat (v-w8985f2_ZU)")</f>
        <v>zanechávat (v-w8985f2_ZU)</v>
      </c>
    </row>
    <row r="65517" spans="1:4" x14ac:dyDescent="0.2">
      <c r="B65517" t="s">
        <v>1</v>
      </c>
      <c r="C65517" t="s">
        <v>334</v>
      </c>
      <c r="D65517" t="s">
        <v>23598</v>
      </c>
    </row>
    <row r="65518" spans="1:4" x14ac:dyDescent="0.2">
      <c r="B65518" t="s">
        <v>917</v>
      </c>
      <c r="D65518" t="s">
        <v>23599</v>
      </c>
    </row>
    <row r="65520" spans="1:4" x14ac:dyDescent="0.2">
      <c r="A65520" t="s">
        <v>20393</v>
      </c>
      <c r="B65520" t="str">
        <f>HYPERLINK("https://lindat.mff.cuni.cz/services/teitok/pdtc10/index.php?action=vallex&amp;frame=v-w8985hsa_197", "zanechávat (v-w8985hsa_197) - substituted with v-w8985f2_ZU")</f>
        <v>zanechávat (v-w8985hsa_197) - substituted with v-w8985f2_ZU</v>
      </c>
    </row>
    <row r="65521" spans="1:4" x14ac:dyDescent="0.2">
      <c r="B65521" t="s">
        <v>1</v>
      </c>
    </row>
    <row r="65522" spans="1:4" x14ac:dyDescent="0.2">
      <c r="B65522" t="s">
        <v>917</v>
      </c>
    </row>
    <row r="65524" spans="1:4" x14ac:dyDescent="0.2">
      <c r="A65524" t="s">
        <v>20394</v>
      </c>
      <c r="B65524" t="str">
        <f>HYPERLINK("https://lindat.mff.cuni.cz/services/teitok/pdtc10/index.php?action=vallex&amp;frame=v-w8981f2", "zanedbat (v-w8981f2)")</f>
        <v>zanedbat (v-w8981f2)</v>
      </c>
    </row>
    <row r="65525" spans="1:4" x14ac:dyDescent="0.2">
      <c r="B65525" t="s">
        <v>1</v>
      </c>
      <c r="D65525" t="s">
        <v>306</v>
      </c>
    </row>
    <row r="65526" spans="1:4" x14ac:dyDescent="0.2">
      <c r="B65526" t="s">
        <v>41</v>
      </c>
      <c r="D65526" t="s">
        <v>7127</v>
      </c>
    </row>
    <row r="65528" spans="1:4" x14ac:dyDescent="0.2">
      <c r="A65528" t="s">
        <v>20395</v>
      </c>
      <c r="B65528" t="str">
        <f>HYPERLINK("https://lindat.mff.cuni.cz/services/teitok/pdtc10/index.php?action=vallex&amp;frame=v-w8981f1", "zanedbat (v-w8981f1)")</f>
        <v>zanedbat (v-w8981f1)</v>
      </c>
    </row>
    <row r="65529" spans="1:4" x14ac:dyDescent="0.2">
      <c r="B65529" t="s">
        <v>1</v>
      </c>
      <c r="C65529" t="s">
        <v>249</v>
      </c>
      <c r="D65529" t="s">
        <v>306</v>
      </c>
    </row>
    <row r="65530" spans="1:4" x14ac:dyDescent="0.2">
      <c r="B65530" t="s">
        <v>8</v>
      </c>
      <c r="C65530" t="s">
        <v>23</v>
      </c>
      <c r="D65530" t="s">
        <v>7127</v>
      </c>
    </row>
    <row r="65532" spans="1:4" x14ac:dyDescent="0.2">
      <c r="A65532" t="s">
        <v>20396</v>
      </c>
      <c r="B65532" t="str">
        <f>HYPERLINK("https://lindat.mff.cuni.cz/services/teitok/pdtc10/index.php?action=vallex&amp;frame=v-w8983f2", "zanedbávat (v-w8983f2)")</f>
        <v>zanedbávat (v-w8983f2)</v>
      </c>
    </row>
    <row r="65533" spans="1:4" x14ac:dyDescent="0.2">
      <c r="B65533" t="s">
        <v>1</v>
      </c>
      <c r="C65533" t="s">
        <v>249</v>
      </c>
      <c r="D65533" t="s">
        <v>306</v>
      </c>
    </row>
    <row r="65534" spans="1:4" x14ac:dyDescent="0.2">
      <c r="B65534" t="s">
        <v>41</v>
      </c>
      <c r="C65534" t="s">
        <v>23</v>
      </c>
      <c r="D65534" t="s">
        <v>7127</v>
      </c>
    </row>
    <row r="65536" spans="1:4" x14ac:dyDescent="0.2">
      <c r="A65536" t="s">
        <v>20397</v>
      </c>
      <c r="B65536" t="str">
        <f>HYPERLINK("https://lindat.mff.cuni.cz/services/teitok/pdtc10/index.php?action=vallex&amp;frame=v-w8983f1", "zanedbávat (v-w8983f1)")</f>
        <v>zanedbávat (v-w8983f1)</v>
      </c>
    </row>
    <row r="65537" spans="1:4" x14ac:dyDescent="0.2">
      <c r="B65537" t="s">
        <v>1</v>
      </c>
      <c r="C65537" t="s">
        <v>92</v>
      </c>
      <c r="D65537" t="s">
        <v>306</v>
      </c>
    </row>
    <row r="65538" spans="1:4" x14ac:dyDescent="0.2">
      <c r="B65538" t="s">
        <v>8</v>
      </c>
      <c r="C65538" t="s">
        <v>20398</v>
      </c>
      <c r="D65538" t="s">
        <v>7127</v>
      </c>
    </row>
    <row r="65540" spans="1:4" x14ac:dyDescent="0.2">
      <c r="A65540" t="s">
        <v>20399</v>
      </c>
      <c r="B65540" t="str">
        <f>HYPERLINK("https://lindat.mff.cuni.cz/services/teitok/pdtc10/index.php?action=vallex&amp;frame=v-w8987f1", "zaneprázdnit (v-w8987f1)")</f>
        <v>zaneprázdnit (v-w8987f1)</v>
      </c>
    </row>
    <row r="65541" spans="1:4" x14ac:dyDescent="0.2">
      <c r="B65541" t="s">
        <v>1</v>
      </c>
    </row>
    <row r="65542" spans="1:4" x14ac:dyDescent="0.2">
      <c r="B65542" t="s">
        <v>8</v>
      </c>
    </row>
    <row r="65544" spans="1:4" x14ac:dyDescent="0.2">
      <c r="A65544" t="s">
        <v>20400</v>
      </c>
      <c r="B65544" t="str">
        <f>HYPERLINK("https://lindat.mff.cuni.cz/services/teitok/pdtc10/index.php?action=vallex&amp;frame=v-w12116_ZUf1_ZU", "zanevřít (v-w12116_ZUf1_ZU)")</f>
        <v>zanevřít (v-w12116_ZUf1_ZU)</v>
      </c>
    </row>
    <row r="65545" spans="1:4" x14ac:dyDescent="0.2">
      <c r="B65545" t="s">
        <v>1</v>
      </c>
    </row>
    <row r="65546" spans="1:4" x14ac:dyDescent="0.2">
      <c r="B65546" t="s">
        <v>28</v>
      </c>
    </row>
    <row r="65548" spans="1:4" x14ac:dyDescent="0.2">
      <c r="A65548" t="s">
        <v>20401</v>
      </c>
      <c r="B65548" t="str">
        <f>HYPERLINK("https://lindat.mff.cuni.cz/services/teitok/pdtc10/index.php?action=vallex&amp;frame=v-w8991f1", "zanikat (v-w8991f1)")</f>
        <v>zanikat (v-w8991f1)</v>
      </c>
    </row>
    <row r="65549" spans="1:4" x14ac:dyDescent="0.2">
      <c r="B65549" t="s">
        <v>1</v>
      </c>
      <c r="C65549" t="s">
        <v>7320</v>
      </c>
    </row>
    <row r="65551" spans="1:4" x14ac:dyDescent="0.2">
      <c r="A65551" t="s">
        <v>20402</v>
      </c>
      <c r="B65551" t="str">
        <f>HYPERLINK("https://lindat.mff.cuni.cz/services/teitok/pdtc10/index.php?action=vallex&amp;frame=v-w8991f2", "zanikat (v-w8991f2)")</f>
        <v>zanikat (v-w8991f2)</v>
      </c>
    </row>
    <row r="65552" spans="1:4" x14ac:dyDescent="0.2">
      <c r="B65552" t="s">
        <v>20403</v>
      </c>
    </row>
    <row r="65553" spans="1:4" x14ac:dyDescent="0.2">
      <c r="B65553" t="s">
        <v>5491</v>
      </c>
    </row>
    <row r="65555" spans="1:4" x14ac:dyDescent="0.2">
      <c r="A65555" t="s">
        <v>20404</v>
      </c>
      <c r="B65555" t="str">
        <f>HYPERLINK("https://lindat.mff.cuni.cz/services/teitok/pdtc10/index.php?action=vallex&amp;frame=v-w8992f1", "zaniknout (v-w8992f1)")</f>
        <v>zaniknout (v-w8992f1)</v>
      </c>
    </row>
    <row r="65556" spans="1:4" x14ac:dyDescent="0.2">
      <c r="B65556" t="s">
        <v>1</v>
      </c>
      <c r="C65556" t="s">
        <v>18829</v>
      </c>
      <c r="D65556" t="s">
        <v>9222</v>
      </c>
    </row>
    <row r="65558" spans="1:4" x14ac:dyDescent="0.2">
      <c r="A65558" t="s">
        <v>20405</v>
      </c>
      <c r="B65558" t="str">
        <f>HYPERLINK("https://lindat.mff.cuni.cz/services/teitok/pdtc10/index.php?action=vallex&amp;frame=v-w8992f2", "zaniknout (v-w8992f2)")</f>
        <v>zaniknout (v-w8992f2)</v>
      </c>
    </row>
    <row r="65559" spans="1:4" x14ac:dyDescent="0.2">
      <c r="B65559" t="s">
        <v>19378</v>
      </c>
    </row>
    <row r="65560" spans="1:4" x14ac:dyDescent="0.2">
      <c r="B65560" t="s">
        <v>5491</v>
      </c>
    </row>
    <row r="65562" spans="1:4" x14ac:dyDescent="0.2">
      <c r="A65562" t="s">
        <v>20406</v>
      </c>
      <c r="B65562" t="str">
        <f>HYPERLINK("https://lindat.mff.cuni.cz/services/teitok/pdtc10/index.php?action=vallex&amp;frame=v-w8992f3_ZU", "zaniknout (v-w8992f3_ZU)")</f>
        <v>zaniknout (v-w8992f3_ZU)</v>
      </c>
    </row>
    <row r="65563" spans="1:4" x14ac:dyDescent="0.2">
      <c r="B65563" t="s">
        <v>1</v>
      </c>
    </row>
    <row r="65565" spans="1:4" x14ac:dyDescent="0.2">
      <c r="A65565" t="s">
        <v>20407</v>
      </c>
      <c r="B65565" t="str">
        <f>HYPERLINK("https://lindat.mff.cuni.cz/services/teitok/pdtc10/index.php?action=vallex&amp;frame=v-w10226f2", "zanotovat (v-w10226f2)")</f>
        <v>zanotovat (v-w10226f2)</v>
      </c>
    </row>
    <row r="65566" spans="1:4" x14ac:dyDescent="0.2">
      <c r="B65566" t="s">
        <v>1</v>
      </c>
      <c r="C65566" t="s">
        <v>140</v>
      </c>
      <c r="D65566" t="s">
        <v>115</v>
      </c>
    </row>
    <row r="65567" spans="1:4" x14ac:dyDescent="0.2">
      <c r="B65567" t="s">
        <v>11005</v>
      </c>
      <c r="C65567" t="s">
        <v>268</v>
      </c>
      <c r="D65567" t="s">
        <v>23786</v>
      </c>
    </row>
    <row r="65568" spans="1:4" x14ac:dyDescent="0.2">
      <c r="B65568" t="s">
        <v>269</v>
      </c>
      <c r="D65568" t="s">
        <v>1340</v>
      </c>
    </row>
    <row r="65569" spans="1:4" x14ac:dyDescent="0.2">
      <c r="B65569" t="s">
        <v>78</v>
      </c>
    </row>
    <row r="65571" spans="1:4" x14ac:dyDescent="0.2">
      <c r="A65571" t="s">
        <v>20408</v>
      </c>
      <c r="B65571" t="str">
        <f>HYPERLINK("https://lindat.mff.cuni.cz/services/teitok/pdtc10/index.php?action=vallex&amp;frame=v-w8993f1", "zanořovat se (v-w8993f1)")</f>
        <v>zanořovat se (v-w8993f1)</v>
      </c>
    </row>
    <row r="65572" spans="1:4" x14ac:dyDescent="0.2">
      <c r="B65572" t="s">
        <v>1</v>
      </c>
      <c r="D65572" t="s">
        <v>24485</v>
      </c>
    </row>
    <row r="65573" spans="1:4" x14ac:dyDescent="0.2">
      <c r="B65573" t="s">
        <v>90</v>
      </c>
      <c r="D65573" t="s">
        <v>16957</v>
      </c>
    </row>
    <row r="65575" spans="1:4" x14ac:dyDescent="0.2">
      <c r="A65575" t="s">
        <v>20409</v>
      </c>
      <c r="B65575" t="str">
        <f>HYPERLINK("https://lindat.mff.cuni.cz/services/teitok/pdtc10/index.php?action=vallex&amp;frame=v-w8979f1", "zanášet (v-w8979f1)")</f>
        <v>zanášet (v-w8979f1)</v>
      </c>
    </row>
    <row r="65576" spans="1:4" x14ac:dyDescent="0.2">
      <c r="B65576" t="s">
        <v>1</v>
      </c>
    </row>
    <row r="65577" spans="1:4" x14ac:dyDescent="0.2">
      <c r="B65577" t="s">
        <v>8</v>
      </c>
    </row>
    <row r="65578" spans="1:4" x14ac:dyDescent="0.2">
      <c r="B65578" t="s">
        <v>90</v>
      </c>
    </row>
    <row r="65580" spans="1:4" x14ac:dyDescent="0.2">
      <c r="A65580" t="s">
        <v>20410</v>
      </c>
      <c r="B65580" t="str">
        <f>HYPERLINK("https://lindat.mff.cuni.cz/services/teitok/pdtc10/index.php?action=vallex&amp;frame=v-w8988f4", "zanést (v-w8988f4)")</f>
        <v>zanést (v-w8988f4)</v>
      </c>
    </row>
    <row r="65581" spans="1:4" x14ac:dyDescent="0.2">
      <c r="B65581" t="s">
        <v>1</v>
      </c>
    </row>
    <row r="65582" spans="1:4" x14ac:dyDescent="0.2">
      <c r="B65582" t="s">
        <v>8</v>
      </c>
    </row>
    <row r="65583" spans="1:4" x14ac:dyDescent="0.2">
      <c r="B65583" t="s">
        <v>2542</v>
      </c>
    </row>
    <row r="65585" spans="1:4" x14ac:dyDescent="0.2">
      <c r="A65585" t="s">
        <v>20411</v>
      </c>
      <c r="B65585" t="str">
        <f>HYPERLINK("https://lindat.mff.cuni.cz/services/teitok/pdtc10/index.php?action=vallex&amp;frame=v-w8988f1", "zanést (v-w8988f1)")</f>
        <v>zanést (v-w8988f1)</v>
      </c>
    </row>
    <row r="65586" spans="1:4" x14ac:dyDescent="0.2">
      <c r="B65586" t="s">
        <v>1</v>
      </c>
      <c r="C65586" t="s">
        <v>2555</v>
      </c>
      <c r="D65586" t="s">
        <v>23181</v>
      </c>
    </row>
    <row r="65587" spans="1:4" x14ac:dyDescent="0.2">
      <c r="B65587" t="s">
        <v>8</v>
      </c>
      <c r="C65587" t="s">
        <v>2747</v>
      </c>
      <c r="D65587" t="s">
        <v>23182</v>
      </c>
    </row>
    <row r="65588" spans="1:4" x14ac:dyDescent="0.2">
      <c r="B65588" t="s">
        <v>5</v>
      </c>
      <c r="D65588" t="s">
        <v>15735</v>
      </c>
    </row>
    <row r="65590" spans="1:4" x14ac:dyDescent="0.2">
      <c r="A65590" t="s">
        <v>20412</v>
      </c>
      <c r="B65590" t="str">
        <f>HYPERLINK("https://lindat.mff.cuni.cz/services/teitok/pdtc10/index.php?action=vallex&amp;frame=v-w8988f3", "zanést (v-w8988f3)")</f>
        <v>zanést (v-w8988f3)</v>
      </c>
    </row>
    <row r="65591" spans="1:4" x14ac:dyDescent="0.2">
      <c r="B65591" t="s">
        <v>1</v>
      </c>
      <c r="D65591" t="s">
        <v>23520</v>
      </c>
    </row>
    <row r="65592" spans="1:4" x14ac:dyDescent="0.2">
      <c r="B65592" t="s">
        <v>8</v>
      </c>
      <c r="D65592" t="s">
        <v>24486</v>
      </c>
    </row>
    <row r="65593" spans="1:4" x14ac:dyDescent="0.2">
      <c r="B65593" t="s">
        <v>90</v>
      </c>
      <c r="D65593" t="s">
        <v>11579</v>
      </c>
    </row>
    <row r="65595" spans="1:4" x14ac:dyDescent="0.2">
      <c r="A65595" t="s">
        <v>20413</v>
      </c>
      <c r="B65595" t="str">
        <f>HYPERLINK("https://lindat.mff.cuni.cz/services/teitok/pdtc10/index.php?action=vallex&amp;frame=v-w8988f2", "zanést (v-w8988f2)")</f>
        <v>zanést (v-w8988f2)</v>
      </c>
    </row>
    <row r="65596" spans="1:4" x14ac:dyDescent="0.2">
      <c r="B65596" t="s">
        <v>1</v>
      </c>
    </row>
    <row r="65597" spans="1:4" x14ac:dyDescent="0.2">
      <c r="B65597" t="s">
        <v>8</v>
      </c>
    </row>
    <row r="65598" spans="1:4" x14ac:dyDescent="0.2">
      <c r="B65598" t="s">
        <v>90</v>
      </c>
    </row>
    <row r="65600" spans="1:4" x14ac:dyDescent="0.2">
      <c r="A65600" t="s">
        <v>20414</v>
      </c>
      <c r="B65600" t="str">
        <f>HYPERLINK("https://lindat.mff.cuni.cz/services/teitok/pdtc10/index.php?action=vallex&amp;frame=v-w8988f5_ZU", "zanést (v-w8988f5_ZU)")</f>
        <v>zanést (v-w8988f5_ZU)</v>
      </c>
    </row>
    <row r="65601" spans="1:4" x14ac:dyDescent="0.2">
      <c r="B65601" t="s">
        <v>1</v>
      </c>
    </row>
    <row r="65602" spans="1:4" x14ac:dyDescent="0.2">
      <c r="B65602" t="s">
        <v>8</v>
      </c>
    </row>
    <row r="65603" spans="1:4" x14ac:dyDescent="0.2">
      <c r="B65603" t="s">
        <v>5479</v>
      </c>
    </row>
    <row r="65605" spans="1:4" x14ac:dyDescent="0.2">
      <c r="A65605" t="s">
        <v>20415</v>
      </c>
      <c r="B65605" t="str">
        <f>HYPERLINK("https://lindat.mff.cuni.cz/services/teitok/pdtc10/index.php?action=vallex&amp;frame=v-w8988f6_ZU", "zanést (v-w8988f6_ZU)")</f>
        <v>zanést (v-w8988f6_ZU)</v>
      </c>
    </row>
    <row r="65606" spans="1:4" x14ac:dyDescent="0.2">
      <c r="B65606" t="s">
        <v>1</v>
      </c>
    </row>
    <row r="65607" spans="1:4" x14ac:dyDescent="0.2">
      <c r="B65607" t="s">
        <v>8</v>
      </c>
    </row>
    <row r="65608" spans="1:4" x14ac:dyDescent="0.2">
      <c r="B65608" t="s">
        <v>252</v>
      </c>
    </row>
    <row r="65610" spans="1:4" x14ac:dyDescent="0.2">
      <c r="A65610" t="s">
        <v>20416</v>
      </c>
      <c r="B65610" t="str">
        <f>HYPERLINK("https://lindat.mff.cuni.cz/services/teitok/pdtc10/index.php?action=vallex&amp;frame=v-whsa_586hsa_587", "zaobalovat (v-whsa_586hsa_587)")</f>
        <v>zaobalovat (v-whsa_586hsa_587)</v>
      </c>
    </row>
    <row r="65611" spans="1:4" x14ac:dyDescent="0.2">
      <c r="B65611" t="s">
        <v>1</v>
      </c>
      <c r="C65611" t="s">
        <v>140</v>
      </c>
      <c r="D65611" t="s">
        <v>1065</v>
      </c>
    </row>
    <row r="65612" spans="1:4" x14ac:dyDescent="0.2">
      <c r="B65612" t="s">
        <v>8</v>
      </c>
      <c r="C65612" t="s">
        <v>34</v>
      </c>
      <c r="D65612" t="s">
        <v>2235</v>
      </c>
    </row>
    <row r="65613" spans="1:4" x14ac:dyDescent="0.2">
      <c r="B65613" t="s">
        <v>130</v>
      </c>
    </row>
    <row r="65615" spans="1:4" x14ac:dyDescent="0.2">
      <c r="A65615" t="s">
        <v>20417</v>
      </c>
      <c r="B65615" t="str">
        <f>HYPERLINK("https://lindat.mff.cuni.cz/services/teitok/pdtc10/index.php?action=vallex&amp;frame=v-w8994f1", "zaoblit (v-w8994f1)")</f>
        <v>zaoblit (v-w8994f1)</v>
      </c>
    </row>
    <row r="65616" spans="1:4" x14ac:dyDescent="0.2">
      <c r="B65616" t="s">
        <v>1</v>
      </c>
    </row>
    <row r="65617" spans="1:4" x14ac:dyDescent="0.2">
      <c r="B65617" t="s">
        <v>8</v>
      </c>
    </row>
    <row r="65619" spans="1:4" x14ac:dyDescent="0.2">
      <c r="A65619" t="s">
        <v>20418</v>
      </c>
      <c r="B65619" t="str">
        <f>HYPERLINK("https://lindat.mff.cuni.cz/services/teitok/pdtc10/index.php?action=vallex&amp;frame=v-w11462f1", "zaobírat se (v-w11462f1)")</f>
        <v>zaobírat se (v-w11462f1)</v>
      </c>
    </row>
    <row r="65620" spans="1:4" x14ac:dyDescent="0.2">
      <c r="B65620" t="s">
        <v>1</v>
      </c>
      <c r="C65620" t="s">
        <v>2717</v>
      </c>
      <c r="D65620" t="s">
        <v>22976</v>
      </c>
    </row>
    <row r="65621" spans="1:4" x14ac:dyDescent="0.2">
      <c r="B65621" t="s">
        <v>158</v>
      </c>
      <c r="D65621" t="s">
        <v>22977</v>
      </c>
    </row>
    <row r="65623" spans="1:4" x14ac:dyDescent="0.2">
      <c r="A65623" t="s">
        <v>20419</v>
      </c>
      <c r="B65623" t="str">
        <f>HYPERLINK("https://lindat.mff.cuni.cz/services/teitok/pdtc10/index.php?action=vallex&amp;frame=v-w8995f1", "zaopatřovat (v-w8995f1)")</f>
        <v>zaopatřovat (v-w8995f1)</v>
      </c>
    </row>
    <row r="65624" spans="1:4" x14ac:dyDescent="0.2">
      <c r="B65624" t="s">
        <v>1</v>
      </c>
    </row>
    <row r="65625" spans="1:4" x14ac:dyDescent="0.2">
      <c r="B65625" t="s">
        <v>8</v>
      </c>
    </row>
    <row r="65626" spans="1:4" x14ac:dyDescent="0.2">
      <c r="B65626" t="s">
        <v>308</v>
      </c>
    </row>
    <row r="65628" spans="1:4" x14ac:dyDescent="0.2">
      <c r="A65628" t="s">
        <v>20420</v>
      </c>
      <c r="B65628" t="str">
        <f>HYPERLINK("https://lindat.mff.cuni.cz/services/teitok/pdtc10/index.php?action=vallex&amp;frame=v-w8996f1", "zaostat (v-w8996f1)")</f>
        <v>zaostat (v-w8996f1)</v>
      </c>
    </row>
    <row r="65629" spans="1:4" x14ac:dyDescent="0.2">
      <c r="B65629" t="s">
        <v>1</v>
      </c>
      <c r="C65629" t="s">
        <v>9058</v>
      </c>
      <c r="D65629" t="s">
        <v>2353</v>
      </c>
    </row>
    <row r="65630" spans="1:4" x14ac:dyDescent="0.2">
      <c r="B65630" t="s">
        <v>7931</v>
      </c>
      <c r="C65630" t="s">
        <v>20421</v>
      </c>
      <c r="D65630" t="s">
        <v>3098</v>
      </c>
    </row>
    <row r="65632" spans="1:4" x14ac:dyDescent="0.2">
      <c r="A65632" t="s">
        <v>20422</v>
      </c>
      <c r="B65632" t="str">
        <f>HYPERLINK("https://lindat.mff.cuni.cz/services/teitok/pdtc10/index.php?action=vallex&amp;frame=v-w8998f1", "zaostávat (v-w8998f1)")</f>
        <v>zaostávat (v-w8998f1)</v>
      </c>
    </row>
    <row r="65633" spans="1:4" x14ac:dyDescent="0.2">
      <c r="B65633" t="s">
        <v>1</v>
      </c>
      <c r="C65633" t="s">
        <v>20423</v>
      </c>
      <c r="D65633" t="s">
        <v>2353</v>
      </c>
    </row>
    <row r="65634" spans="1:4" x14ac:dyDescent="0.2">
      <c r="B65634" t="s">
        <v>7931</v>
      </c>
      <c r="C65634" t="s">
        <v>20424</v>
      </c>
      <c r="D65634" t="s">
        <v>3098</v>
      </c>
    </row>
    <row r="65636" spans="1:4" x14ac:dyDescent="0.2">
      <c r="A65636" t="s">
        <v>20425</v>
      </c>
      <c r="B65636" t="str">
        <f>HYPERLINK("https://lindat.mff.cuni.cz/services/teitok/pdtc10/index.php?action=vallex&amp;frame=v-w11002f2", "zaostřit (v-w11002f2)")</f>
        <v>zaostřit (v-w11002f2)</v>
      </c>
    </row>
    <row r="65637" spans="1:4" x14ac:dyDescent="0.2">
      <c r="B65637" t="s">
        <v>1</v>
      </c>
    </row>
    <row r="65638" spans="1:4" x14ac:dyDescent="0.2">
      <c r="B65638" t="s">
        <v>8</v>
      </c>
    </row>
    <row r="65640" spans="1:4" x14ac:dyDescent="0.2">
      <c r="A65640" t="s">
        <v>20426</v>
      </c>
      <c r="B65640" t="str">
        <f>HYPERLINK("https://lindat.mff.cuni.cz/services/teitok/pdtc10/index.php?action=vallex&amp;frame=v-w8999f2", "zapadat (v-w8999f2)")</f>
        <v>zapadat (v-w8999f2)</v>
      </c>
    </row>
    <row r="65641" spans="1:4" x14ac:dyDescent="0.2">
      <c r="B65641" t="s">
        <v>1</v>
      </c>
      <c r="C65641" t="s">
        <v>2451</v>
      </c>
    </row>
    <row r="65642" spans="1:4" x14ac:dyDescent="0.2">
      <c r="B65642" t="s">
        <v>90</v>
      </c>
      <c r="C65642" t="s">
        <v>20427</v>
      </c>
    </row>
    <row r="65644" spans="1:4" x14ac:dyDescent="0.2">
      <c r="A65644" t="s">
        <v>20428</v>
      </c>
      <c r="B65644" t="str">
        <f>HYPERLINK("https://lindat.mff.cuni.cz/services/teitok/pdtc10/index.php?action=vallex&amp;frame=v-w8999f3", "zapadat (v-w8999f3)")</f>
        <v>zapadat (v-w8999f3)</v>
      </c>
    </row>
    <row r="65645" spans="1:4" x14ac:dyDescent="0.2">
      <c r="B65645" t="s">
        <v>1</v>
      </c>
      <c r="D65645" t="s">
        <v>23107</v>
      </c>
    </row>
    <row r="65646" spans="1:4" x14ac:dyDescent="0.2">
      <c r="B65646" t="s">
        <v>90</v>
      </c>
      <c r="D65646" t="s">
        <v>23108</v>
      </c>
    </row>
    <row r="65648" spans="1:4" x14ac:dyDescent="0.2">
      <c r="A65648" t="s">
        <v>20429</v>
      </c>
      <c r="B65648" t="str">
        <f>HYPERLINK("https://lindat.mff.cuni.cz/services/teitok/pdtc10/index.php?action=vallex&amp;frame=v-w8999f1", "zapadat (v-w8999f1)")</f>
        <v>zapadat (v-w8999f1)</v>
      </c>
    </row>
    <row r="65649" spans="1:4" x14ac:dyDescent="0.2">
      <c r="B65649" t="s">
        <v>1</v>
      </c>
    </row>
    <row r="65651" spans="1:4" x14ac:dyDescent="0.2">
      <c r="A65651" t="s">
        <v>20430</v>
      </c>
      <c r="B65651" t="str">
        <f>HYPERLINK("https://lindat.mff.cuni.cz/services/teitok/pdtc10/index.php?action=vallex&amp;frame=v-w8999f4", "zapadat (v-w8999f4)")</f>
        <v>zapadat (v-w8999f4)</v>
      </c>
    </row>
    <row r="65652" spans="1:4" x14ac:dyDescent="0.2">
      <c r="B65652" t="s">
        <v>1</v>
      </c>
    </row>
    <row r="65654" spans="1:4" x14ac:dyDescent="0.2">
      <c r="A65654" t="s">
        <v>20431</v>
      </c>
      <c r="B65654" t="str">
        <f>HYPERLINK("https://lindat.mff.cuni.cz/services/teitok/pdtc10/index.php?action=vallex&amp;frame=v-w9000f2", "zapadnout (v-w9000f2)")</f>
        <v>zapadnout (v-w9000f2)</v>
      </c>
    </row>
    <row r="65655" spans="1:4" x14ac:dyDescent="0.2">
      <c r="B65655" t="s">
        <v>1</v>
      </c>
      <c r="C65655" t="s">
        <v>6672</v>
      </c>
      <c r="D65655" t="s">
        <v>23107</v>
      </c>
    </row>
    <row r="65656" spans="1:4" x14ac:dyDescent="0.2">
      <c r="B65656" t="s">
        <v>90</v>
      </c>
      <c r="C65656" t="s">
        <v>20432</v>
      </c>
      <c r="D65656" t="s">
        <v>23108</v>
      </c>
    </row>
    <row r="65658" spans="1:4" x14ac:dyDescent="0.2">
      <c r="A65658" t="s">
        <v>20433</v>
      </c>
      <c r="B65658" t="str">
        <f>HYPERLINK("https://lindat.mff.cuni.cz/services/teitok/pdtc10/index.php?action=vallex&amp;frame=v-w9000f1", "zapadnout (v-w9000f1)")</f>
        <v>zapadnout (v-w9000f1)</v>
      </c>
    </row>
    <row r="65659" spans="1:4" x14ac:dyDescent="0.2">
      <c r="B65659" t="s">
        <v>1</v>
      </c>
    </row>
    <row r="65661" spans="1:4" x14ac:dyDescent="0.2">
      <c r="A65661" t="s">
        <v>20434</v>
      </c>
      <c r="B65661" t="str">
        <f>HYPERLINK("https://lindat.mff.cuni.cz/services/teitok/pdtc10/index.php?action=vallex&amp;frame=v-w9000f3_ZU", "zapadnout (v-w9000f3_ZU)")</f>
        <v>zapadnout (v-w9000f3_ZU)</v>
      </c>
    </row>
    <row r="65662" spans="1:4" x14ac:dyDescent="0.2">
      <c r="B65662" t="s">
        <v>1</v>
      </c>
      <c r="C65662" t="s">
        <v>186</v>
      </c>
      <c r="D65662" t="s">
        <v>23602</v>
      </c>
    </row>
    <row r="65663" spans="1:4" x14ac:dyDescent="0.2">
      <c r="B65663" t="s">
        <v>90</v>
      </c>
      <c r="D65663" t="s">
        <v>23603</v>
      </c>
    </row>
    <row r="65665" spans="1:4" x14ac:dyDescent="0.2">
      <c r="A65665" t="s">
        <v>20434</v>
      </c>
      <c r="B65665" t="str">
        <f>HYPERLINK("https://lindat.mff.cuni.cz/services/teitok/pdtc10/index.php?action=vallex&amp;frame=v-w9000hsa_377", "zapadnout (v-w9000hsa_377) - substituted with v-w9000f3_ZU")</f>
        <v>zapadnout (v-w9000hsa_377) - substituted with v-w9000f3_ZU</v>
      </c>
    </row>
    <row r="65666" spans="1:4" x14ac:dyDescent="0.2">
      <c r="B65666" t="s">
        <v>1</v>
      </c>
    </row>
    <row r="65667" spans="1:4" x14ac:dyDescent="0.2">
      <c r="B65667" t="s">
        <v>90</v>
      </c>
    </row>
    <row r="65669" spans="1:4" x14ac:dyDescent="0.2">
      <c r="A65669" t="s">
        <v>20435</v>
      </c>
      <c r="B65669" t="str">
        <f>HYPERLINK("https://lindat.mff.cuni.cz/services/teitok/pdtc10/index.php?action=vallex&amp;frame=v-w9000hsa_1387", "zapadnout (v-w9000hsa_1387)")</f>
        <v>zapadnout (v-w9000hsa_1387)</v>
      </c>
    </row>
    <row r="65670" spans="1:4" x14ac:dyDescent="0.2">
      <c r="B65670" t="s">
        <v>1</v>
      </c>
    </row>
    <row r="65671" spans="1:4" x14ac:dyDescent="0.2">
      <c r="B65671" t="s">
        <v>90</v>
      </c>
    </row>
    <row r="65673" spans="1:4" x14ac:dyDescent="0.2">
      <c r="A65673" t="s">
        <v>20436</v>
      </c>
      <c r="B65673" t="str">
        <f>HYPERLINK("https://lindat.mff.cuni.cz/services/teitok/pdtc10/index.php?action=vallex&amp;frame=v-w9003f1", "zapalovat (v-w9003f1)")</f>
        <v>zapalovat (v-w9003f1)</v>
      </c>
    </row>
    <row r="65674" spans="1:4" x14ac:dyDescent="0.2">
      <c r="B65674" t="s">
        <v>1</v>
      </c>
      <c r="D65674" t="s">
        <v>33</v>
      </c>
    </row>
    <row r="65675" spans="1:4" x14ac:dyDescent="0.2">
      <c r="B65675" t="s">
        <v>8</v>
      </c>
      <c r="D65675" t="s">
        <v>113</v>
      </c>
    </row>
    <row r="65677" spans="1:4" x14ac:dyDescent="0.2">
      <c r="A65677" t="s">
        <v>20437</v>
      </c>
      <c r="B65677" t="str">
        <f>HYPERLINK("https://lindat.mff.cuni.cz/services/teitok/pdtc10/index.php?action=vallex&amp;frame=v-w9004f2", "zapamatovat si (v-w9004f2)")</f>
        <v>zapamatovat si (v-w9004f2)</v>
      </c>
    </row>
    <row r="65678" spans="1:4" x14ac:dyDescent="0.2">
      <c r="B65678" t="s">
        <v>1</v>
      </c>
    </row>
    <row r="65679" spans="1:4" x14ac:dyDescent="0.2">
      <c r="B65679" t="s">
        <v>1415</v>
      </c>
    </row>
    <row r="65681" spans="1:4" x14ac:dyDescent="0.2">
      <c r="A65681" t="s">
        <v>20438</v>
      </c>
      <c r="B65681" t="str">
        <f>HYPERLINK("https://lindat.mff.cuni.cz/services/teitok/pdtc10/index.php?action=vallex&amp;frame=v-w9004f1", "zapamatovat si (v-w9004f1)")</f>
        <v>zapamatovat si (v-w9004f1)</v>
      </c>
    </row>
    <row r="65682" spans="1:4" x14ac:dyDescent="0.2">
      <c r="B65682" t="s">
        <v>1</v>
      </c>
    </row>
    <row r="65683" spans="1:4" x14ac:dyDescent="0.2">
      <c r="B65683" t="s">
        <v>4742</v>
      </c>
    </row>
    <row r="65684" spans="1:4" x14ac:dyDescent="0.2">
      <c r="B65684" t="s">
        <v>269</v>
      </c>
    </row>
    <row r="65686" spans="1:4" x14ac:dyDescent="0.2">
      <c r="A65686" t="s">
        <v>20439</v>
      </c>
      <c r="B65686" t="str">
        <f>HYPERLINK("https://lindat.mff.cuni.cz/services/teitok/pdtc10/index.php?action=vallex&amp;frame=v-whsa_1719hsa_1720", "zapamatovávat si (v-whsa_1719hsa_1720)")</f>
        <v>zapamatovávat si (v-whsa_1719hsa_1720)</v>
      </c>
    </row>
    <row r="65687" spans="1:4" x14ac:dyDescent="0.2">
      <c r="B65687" t="s">
        <v>1</v>
      </c>
    </row>
    <row r="65688" spans="1:4" x14ac:dyDescent="0.2">
      <c r="B65688" t="s">
        <v>1415</v>
      </c>
    </row>
    <row r="65690" spans="1:4" x14ac:dyDescent="0.2">
      <c r="A65690" t="s">
        <v>20440</v>
      </c>
      <c r="B65690" t="str">
        <f>HYPERLINK("https://lindat.mff.cuni.cz/services/teitok/pdtc10/index.php?action=vallex&amp;frame=v-w9005f1", "zaparkovat (v-w9005f1)")</f>
        <v>zaparkovat (v-w9005f1)</v>
      </c>
    </row>
    <row r="65691" spans="1:4" x14ac:dyDescent="0.2">
      <c r="B65691" t="s">
        <v>1</v>
      </c>
    </row>
    <row r="65692" spans="1:4" x14ac:dyDescent="0.2">
      <c r="B65692" t="s">
        <v>8</v>
      </c>
    </row>
    <row r="65694" spans="1:4" x14ac:dyDescent="0.2">
      <c r="A65694" t="s">
        <v>20441</v>
      </c>
      <c r="B65694" t="str">
        <f>HYPERLINK("https://lindat.mff.cuni.cz/services/teitok/pdtc10/index.php?action=vallex&amp;frame=v-w9008f1", "zapečetit (v-w9008f1)")</f>
        <v>zapečetit (v-w9008f1)</v>
      </c>
    </row>
    <row r="65695" spans="1:4" x14ac:dyDescent="0.2">
      <c r="B65695" t="s">
        <v>1</v>
      </c>
      <c r="D65695" t="s">
        <v>24312</v>
      </c>
    </row>
    <row r="65696" spans="1:4" x14ac:dyDescent="0.2">
      <c r="B65696" t="s">
        <v>8</v>
      </c>
      <c r="D65696" t="s">
        <v>3789</v>
      </c>
    </row>
    <row r="65698" spans="1:4" x14ac:dyDescent="0.2">
      <c r="A65698" t="s">
        <v>20442</v>
      </c>
      <c r="B65698" t="str">
        <f>HYPERLINK("https://lindat.mff.cuni.cz/services/teitok/pdtc10/index.php?action=vallex&amp;frame=v-whsa_1749f1_ZU", "zapinkat si (v-whsa_1749f1_ZU)")</f>
        <v>zapinkat si (v-whsa_1749f1_ZU)</v>
      </c>
    </row>
    <row r="65699" spans="1:4" x14ac:dyDescent="0.2">
      <c r="B65699" t="s">
        <v>1</v>
      </c>
    </row>
    <row r="65700" spans="1:4" x14ac:dyDescent="0.2">
      <c r="B65700" t="s">
        <v>2423</v>
      </c>
    </row>
    <row r="65702" spans="1:4" x14ac:dyDescent="0.2">
      <c r="A65702" t="s">
        <v>20442</v>
      </c>
      <c r="B65702" t="str">
        <f>HYPERLINK("https://lindat.mff.cuni.cz/services/teitok/pdtc10/index.php?action=vallex&amp;frame=v-whsa_1749hsa_1750", "zapinkat si (v-whsa_1749hsa_1750) - substituted with v-whsa_1749f1_ZU")</f>
        <v>zapinkat si (v-whsa_1749hsa_1750) - substituted with v-whsa_1749f1_ZU</v>
      </c>
    </row>
    <row r="65703" spans="1:4" x14ac:dyDescent="0.2">
      <c r="B65703" t="s">
        <v>1</v>
      </c>
    </row>
    <row r="65704" spans="1:4" x14ac:dyDescent="0.2">
      <c r="B65704" t="s">
        <v>2423</v>
      </c>
    </row>
    <row r="65706" spans="1:4" x14ac:dyDescent="0.2">
      <c r="A65706" t="s">
        <v>20443</v>
      </c>
      <c r="B65706" t="str">
        <f>HYPERLINK("https://lindat.mff.cuni.cz/services/teitok/pdtc10/index.php?action=vallex&amp;frame=v-w9013f3", "zapisovat (v-w9013f3)")</f>
        <v>zapisovat (v-w9013f3)</v>
      </c>
    </row>
    <row r="65707" spans="1:4" x14ac:dyDescent="0.2">
      <c r="B65707" t="s">
        <v>1</v>
      </c>
      <c r="D65707" t="s">
        <v>1271</v>
      </c>
    </row>
    <row r="65708" spans="1:4" x14ac:dyDescent="0.2">
      <c r="B65708" t="s">
        <v>8</v>
      </c>
      <c r="D65708" t="s">
        <v>24114</v>
      </c>
    </row>
    <row r="65709" spans="1:4" x14ac:dyDescent="0.2">
      <c r="B65709" t="s">
        <v>5</v>
      </c>
      <c r="D65709" t="s">
        <v>24487</v>
      </c>
    </row>
    <row r="65711" spans="1:4" x14ac:dyDescent="0.2">
      <c r="A65711" t="s">
        <v>20444</v>
      </c>
      <c r="B65711" t="str">
        <f>HYPERLINK("https://lindat.mff.cuni.cz/services/teitok/pdtc10/index.php?action=vallex&amp;frame=v-w9013f1", "zapisovat (v-w9013f1)")</f>
        <v>zapisovat (v-w9013f1)</v>
      </c>
    </row>
    <row r="65712" spans="1:4" x14ac:dyDescent="0.2">
      <c r="B65712" t="s">
        <v>1</v>
      </c>
      <c r="C65712" t="s">
        <v>3590</v>
      </c>
      <c r="D65712" t="s">
        <v>11609</v>
      </c>
    </row>
    <row r="65713" spans="1:4" x14ac:dyDescent="0.2">
      <c r="B65713" t="s">
        <v>8</v>
      </c>
      <c r="C65713" t="s">
        <v>3789</v>
      </c>
      <c r="D65713" t="s">
        <v>24488</v>
      </c>
    </row>
    <row r="65714" spans="1:4" x14ac:dyDescent="0.2">
      <c r="B65714" t="s">
        <v>90</v>
      </c>
      <c r="D65714" t="s">
        <v>24489</v>
      </c>
    </row>
    <row r="65716" spans="1:4" x14ac:dyDescent="0.2">
      <c r="A65716" t="s">
        <v>20445</v>
      </c>
      <c r="B65716" t="str">
        <f>HYPERLINK("https://lindat.mff.cuni.cz/services/teitok/pdtc10/index.php?action=vallex&amp;frame=v-w9013f2", "zapisovat (v-w9013f2)")</f>
        <v>zapisovat (v-w9013f2)</v>
      </c>
    </row>
    <row r="65717" spans="1:4" x14ac:dyDescent="0.2">
      <c r="B65717" t="s">
        <v>1</v>
      </c>
    </row>
    <row r="65718" spans="1:4" x14ac:dyDescent="0.2">
      <c r="B65718" t="s">
        <v>3088</v>
      </c>
    </row>
    <row r="65719" spans="1:4" x14ac:dyDescent="0.2">
      <c r="B65719" t="s">
        <v>269</v>
      </c>
    </row>
    <row r="65721" spans="1:4" x14ac:dyDescent="0.2">
      <c r="A65721" t="s">
        <v>20446</v>
      </c>
      <c r="B65721" t="str">
        <f>HYPERLINK("https://lindat.mff.cuni.cz/services/teitok/pdtc10/index.php?action=vallex&amp;frame=v-w9020f4_ZU", "zaplatit (v-w9020f4_ZU)")</f>
        <v>zaplatit (v-w9020f4_ZU)</v>
      </c>
    </row>
    <row r="65722" spans="1:4" x14ac:dyDescent="0.2">
      <c r="B65722" t="s">
        <v>1</v>
      </c>
    </row>
    <row r="65723" spans="1:4" x14ac:dyDescent="0.2">
      <c r="B65723" t="s">
        <v>172</v>
      </c>
    </row>
    <row r="65724" spans="1:4" x14ac:dyDescent="0.2">
      <c r="B65724" t="s">
        <v>78</v>
      </c>
    </row>
    <row r="65725" spans="1:4" x14ac:dyDescent="0.2">
      <c r="B65725" t="s">
        <v>413</v>
      </c>
    </row>
    <row r="65727" spans="1:4" x14ac:dyDescent="0.2">
      <c r="A65727" t="s">
        <v>20446</v>
      </c>
      <c r="B65727" t="str">
        <f>HYPERLINK("https://lindat.mff.cuni.cz/services/teitok/pdtc10/index.php?action=vallex&amp;frame=v-w9020f1", "zaplatit (v-w9020f1) - substituted with v-w9020f4_ZU")</f>
        <v>zaplatit (v-w9020f1) - substituted with v-w9020f4_ZU</v>
      </c>
    </row>
    <row r="65728" spans="1:4" x14ac:dyDescent="0.2">
      <c r="B65728" t="s">
        <v>1</v>
      </c>
      <c r="C65728" t="s">
        <v>20447</v>
      </c>
      <c r="D65728" t="s">
        <v>23350</v>
      </c>
    </row>
    <row r="65729" spans="1:4" x14ac:dyDescent="0.2">
      <c r="B65729" t="s">
        <v>172</v>
      </c>
      <c r="C65729" t="s">
        <v>20448</v>
      </c>
      <c r="D65729" t="s">
        <v>23351</v>
      </c>
    </row>
    <row r="65730" spans="1:4" x14ac:dyDescent="0.2">
      <c r="B65730" t="s">
        <v>78</v>
      </c>
      <c r="C65730" t="s">
        <v>20449</v>
      </c>
      <c r="D65730" t="s">
        <v>23352</v>
      </c>
    </row>
    <row r="65731" spans="1:4" x14ac:dyDescent="0.2">
      <c r="B65731" t="s">
        <v>413</v>
      </c>
      <c r="C65731" t="s">
        <v>20450</v>
      </c>
    </row>
    <row r="65733" spans="1:4" x14ac:dyDescent="0.2">
      <c r="A65733" t="s">
        <v>20451</v>
      </c>
      <c r="B65733" t="str">
        <f>HYPERLINK("https://lindat.mff.cuni.cz/services/teitok/pdtc10/index.php?action=vallex&amp;frame=v-w9020f2", "zaplatit (v-w9020f2)")</f>
        <v>zaplatit (v-w9020f2)</v>
      </c>
    </row>
    <row r="65734" spans="1:4" x14ac:dyDescent="0.2">
      <c r="B65734" t="s">
        <v>1</v>
      </c>
      <c r="C65734" t="s">
        <v>20452</v>
      </c>
      <c r="D65734" t="s">
        <v>23350</v>
      </c>
    </row>
    <row r="65735" spans="1:4" x14ac:dyDescent="0.2">
      <c r="B65735" t="s">
        <v>524</v>
      </c>
      <c r="C65735" t="s">
        <v>20453</v>
      </c>
      <c r="D65735" t="s">
        <v>23783</v>
      </c>
    </row>
    <row r="65736" spans="1:4" x14ac:dyDescent="0.2">
      <c r="B65736" t="s">
        <v>1382</v>
      </c>
      <c r="C65736" t="s">
        <v>20454</v>
      </c>
    </row>
    <row r="65737" spans="1:4" x14ac:dyDescent="0.2">
      <c r="B65737" t="s">
        <v>78</v>
      </c>
      <c r="C65737" t="s">
        <v>20455</v>
      </c>
      <c r="D65737" t="s">
        <v>23352</v>
      </c>
    </row>
    <row r="65739" spans="1:4" x14ac:dyDescent="0.2">
      <c r="A65739" t="s">
        <v>20456</v>
      </c>
      <c r="B65739" t="str">
        <f>HYPERLINK("https://lindat.mff.cuni.cz/services/teitok/pdtc10/index.php?action=vallex&amp;frame=v-w9020f3", "zaplatit (v-w9020f3)")</f>
        <v>zaplatit (v-w9020f3)</v>
      </c>
    </row>
    <row r="65740" spans="1:4" x14ac:dyDescent="0.2">
      <c r="B65740" t="s">
        <v>455</v>
      </c>
    </row>
    <row r="65741" spans="1:4" x14ac:dyDescent="0.2">
      <c r="B65741" t="s">
        <v>14453</v>
      </c>
    </row>
    <row r="65743" spans="1:4" x14ac:dyDescent="0.2">
      <c r="A65743" t="s">
        <v>20457</v>
      </c>
      <c r="B65743" t="str">
        <f>HYPERLINK("https://lindat.mff.cuni.cz/services/teitok/pdtc10/index.php?action=vallex&amp;frame=v-w9020f5_ZU", "zaplatit (v-w9020f5_ZU)")</f>
        <v>zaplatit (v-w9020f5_ZU)</v>
      </c>
    </row>
    <row r="65744" spans="1:4" x14ac:dyDescent="0.2">
      <c r="B65744" t="s">
        <v>20458</v>
      </c>
    </row>
    <row r="65745" spans="1:3" x14ac:dyDescent="0.2">
      <c r="B65745" t="s">
        <v>20459</v>
      </c>
    </row>
    <row r="65747" spans="1:3" x14ac:dyDescent="0.2">
      <c r="A65747" t="s">
        <v>20457</v>
      </c>
      <c r="B65747" t="str">
        <f>HYPERLINK("https://lindat.mff.cuni.cz/services/teitok/pdtc10/index.php?action=vallex&amp;frame=v-w9020hsa_640", "zaplatit (v-w9020hsa_640) - substituted with v-w9020f5_ZU")</f>
        <v>zaplatit (v-w9020hsa_640) - substituted with v-w9020f5_ZU</v>
      </c>
    </row>
    <row r="65748" spans="1:3" x14ac:dyDescent="0.2">
      <c r="B65748" t="s">
        <v>20458</v>
      </c>
    </row>
    <row r="65749" spans="1:3" x14ac:dyDescent="0.2">
      <c r="B65749" t="s">
        <v>20459</v>
      </c>
    </row>
    <row r="65751" spans="1:3" x14ac:dyDescent="0.2">
      <c r="A65751" t="s">
        <v>20460</v>
      </c>
      <c r="B65751" t="str">
        <f>HYPERLINK("https://lindat.mff.cuni.cz/services/teitok/pdtc10/index.php?action=vallex&amp;frame=v-w9020hsa_639", "zaplatit (v-w9020hsa_639)")</f>
        <v>zaplatit (v-w9020hsa_639)</v>
      </c>
    </row>
    <row r="65752" spans="1:3" x14ac:dyDescent="0.2">
      <c r="B65752" t="s">
        <v>1</v>
      </c>
    </row>
    <row r="65753" spans="1:3" x14ac:dyDescent="0.2">
      <c r="B65753" t="s">
        <v>8</v>
      </c>
    </row>
    <row r="65755" spans="1:3" x14ac:dyDescent="0.2">
      <c r="A65755" t="s">
        <v>20461</v>
      </c>
      <c r="B65755" t="str">
        <f>HYPERLINK("https://lindat.mff.cuni.cz/services/teitok/pdtc10/index.php?action=vallex&amp;frame=v-w9021f1", "zaplatit se (v-w9021f1)")</f>
        <v>zaplatit se (v-w9021f1)</v>
      </c>
    </row>
    <row r="65756" spans="1:3" x14ac:dyDescent="0.2">
      <c r="B65756" t="s">
        <v>1</v>
      </c>
      <c r="C65756" t="s">
        <v>20462</v>
      </c>
    </row>
    <row r="65758" spans="1:3" x14ac:dyDescent="0.2">
      <c r="A65758" t="s">
        <v>20463</v>
      </c>
      <c r="B65758" t="str">
        <f>HYPERLINK("https://lindat.mff.cuni.cz/services/teitok/pdtc10/index.php?action=vallex&amp;frame=v-w9024f1", "zaplavat (v-w9024f1)")</f>
        <v>zaplavat (v-w9024f1)</v>
      </c>
    </row>
    <row r="65759" spans="1:3" x14ac:dyDescent="0.2">
      <c r="B65759" t="s">
        <v>1</v>
      </c>
    </row>
    <row r="65760" spans="1:3" x14ac:dyDescent="0.2">
      <c r="B65760" t="s">
        <v>8</v>
      </c>
    </row>
    <row r="65762" spans="1:4" x14ac:dyDescent="0.2">
      <c r="A65762" t="s">
        <v>20464</v>
      </c>
      <c r="B65762" t="str">
        <f>HYPERLINK("https://lindat.mff.cuni.cz/services/teitok/pdtc10/index.php?action=vallex&amp;frame=v-whsa_1090hsa_1091", "zaplavat si (v-whsa_1090hsa_1091)")</f>
        <v>zaplavat si (v-whsa_1090hsa_1091)</v>
      </c>
    </row>
    <row r="65763" spans="1:4" x14ac:dyDescent="0.2">
      <c r="B65763" t="s">
        <v>1</v>
      </c>
    </row>
    <row r="65765" spans="1:4" x14ac:dyDescent="0.2">
      <c r="A65765" t="s">
        <v>20465</v>
      </c>
      <c r="B65765" t="str">
        <f>HYPERLINK("https://lindat.mff.cuni.cz/services/teitok/pdtc10/index.php?action=vallex&amp;frame=v-w9027f2_ZU", "zaplavit (v-w9027f2_ZU)")</f>
        <v>zaplavit (v-w9027f2_ZU)</v>
      </c>
    </row>
    <row r="65766" spans="1:4" x14ac:dyDescent="0.2">
      <c r="B65766" t="s">
        <v>1</v>
      </c>
      <c r="C65766" t="s">
        <v>669</v>
      </c>
      <c r="D65766" t="s">
        <v>24490</v>
      </c>
    </row>
    <row r="65767" spans="1:4" x14ac:dyDescent="0.2">
      <c r="B65767" t="s">
        <v>8</v>
      </c>
      <c r="C65767" t="s">
        <v>335</v>
      </c>
      <c r="D65767" t="s">
        <v>11954</v>
      </c>
    </row>
    <row r="65768" spans="1:4" x14ac:dyDescent="0.2">
      <c r="B65768" t="s">
        <v>1193</v>
      </c>
      <c r="C65768" t="s">
        <v>20466</v>
      </c>
      <c r="D65768" t="s">
        <v>4150</v>
      </c>
    </row>
    <row r="65770" spans="1:4" x14ac:dyDescent="0.2">
      <c r="A65770" t="s">
        <v>20467</v>
      </c>
      <c r="B65770" t="str">
        <f>HYPERLINK("https://lindat.mff.cuni.cz/services/teitok/pdtc10/index.php?action=vallex&amp;frame=v-w9027f1", "zaplavit (v-w9027f1)")</f>
        <v>zaplavit (v-w9027f1)</v>
      </c>
    </row>
    <row r="65771" spans="1:4" x14ac:dyDescent="0.2">
      <c r="B65771" t="s">
        <v>1</v>
      </c>
      <c r="C65771" t="s">
        <v>20468</v>
      </c>
      <c r="D65771" t="s">
        <v>24491</v>
      </c>
    </row>
    <row r="65772" spans="1:4" x14ac:dyDescent="0.2">
      <c r="B65772" t="s">
        <v>8</v>
      </c>
      <c r="C65772" t="s">
        <v>14790</v>
      </c>
      <c r="D65772" t="s">
        <v>24492</v>
      </c>
    </row>
    <row r="65774" spans="1:4" x14ac:dyDescent="0.2">
      <c r="A65774" t="s">
        <v>20469</v>
      </c>
      <c r="B65774" t="str">
        <f>HYPERLINK("https://lindat.mff.cuni.cz/services/teitok/pdtc10/index.php?action=vallex&amp;frame=v-w9027f3_ZU", "zaplavit (v-w9027f3_ZU)")</f>
        <v>zaplavit (v-w9027f3_ZU)</v>
      </c>
    </row>
    <row r="65775" spans="1:4" x14ac:dyDescent="0.2">
      <c r="B65775" t="s">
        <v>1</v>
      </c>
    </row>
    <row r="65776" spans="1:4" x14ac:dyDescent="0.2">
      <c r="B65776" t="s">
        <v>8</v>
      </c>
    </row>
    <row r="65778" spans="1:4" x14ac:dyDescent="0.2">
      <c r="A65778" t="s">
        <v>20469</v>
      </c>
      <c r="B65778" t="str">
        <f>HYPERLINK("https://lindat.mff.cuni.cz/services/teitok/pdtc10/index.php?action=vallex&amp;frame=v-w9027hsa_296", "zaplavit (v-w9027hsa_296) - substituted with v-w9027f3_ZU")</f>
        <v>zaplavit (v-w9027hsa_296) - substituted with v-w9027f3_ZU</v>
      </c>
    </row>
    <row r="65779" spans="1:4" x14ac:dyDescent="0.2">
      <c r="B65779" t="s">
        <v>1</v>
      </c>
    </row>
    <row r="65780" spans="1:4" x14ac:dyDescent="0.2">
      <c r="B65780" t="s">
        <v>8</v>
      </c>
    </row>
    <row r="65782" spans="1:4" x14ac:dyDescent="0.2">
      <c r="A65782" t="s">
        <v>20470</v>
      </c>
      <c r="B65782" t="str">
        <f>HYPERLINK("https://lindat.mff.cuni.cz/services/teitok/pdtc10/index.php?action=vallex&amp;frame=v-w9028f1", "zaplavovat (v-w9028f1)")</f>
        <v>zaplavovat (v-w9028f1)</v>
      </c>
    </row>
    <row r="65783" spans="1:4" x14ac:dyDescent="0.2">
      <c r="B65783" t="s">
        <v>1</v>
      </c>
      <c r="C65783" t="s">
        <v>9364</v>
      </c>
      <c r="D65783" t="s">
        <v>23631</v>
      </c>
    </row>
    <row r="65784" spans="1:4" x14ac:dyDescent="0.2">
      <c r="B65784" t="s">
        <v>8</v>
      </c>
      <c r="C65784" t="s">
        <v>1128</v>
      </c>
      <c r="D65784" t="s">
        <v>23632</v>
      </c>
    </row>
    <row r="65785" spans="1:4" x14ac:dyDescent="0.2">
      <c r="B65785" t="s">
        <v>5479</v>
      </c>
    </row>
    <row r="65787" spans="1:4" x14ac:dyDescent="0.2">
      <c r="A65787" t="s">
        <v>20471</v>
      </c>
      <c r="B65787" t="str">
        <f>HYPERLINK("https://lindat.mff.cuni.cz/services/teitok/pdtc10/index.php?action=vallex&amp;frame=v-w11968_ZUf1_ZU", "zaplavčíkovat si (v-w11968_ZUf1_ZU)")</f>
        <v>zaplavčíkovat si (v-w11968_ZUf1_ZU)</v>
      </c>
    </row>
    <row r="65788" spans="1:4" x14ac:dyDescent="0.2">
      <c r="B65788" t="s">
        <v>1</v>
      </c>
    </row>
    <row r="65790" spans="1:4" x14ac:dyDescent="0.2">
      <c r="A65790" t="s">
        <v>20472</v>
      </c>
      <c r="B65790" t="str">
        <f>HYPERLINK("https://lindat.mff.cuni.cz/services/teitok/pdtc10/index.php?action=vallex&amp;frame=v-w9019f1", "zaplašit (v-w9019f1)")</f>
        <v>zaplašit (v-w9019f1)</v>
      </c>
    </row>
    <row r="65791" spans="1:4" x14ac:dyDescent="0.2">
      <c r="B65791" t="s">
        <v>1</v>
      </c>
    </row>
    <row r="65792" spans="1:4" x14ac:dyDescent="0.2">
      <c r="B65792" t="s">
        <v>8</v>
      </c>
    </row>
    <row r="65794" spans="1:4" x14ac:dyDescent="0.2">
      <c r="A65794" t="s">
        <v>20473</v>
      </c>
      <c r="B65794" t="str">
        <f>HYPERLINK("https://lindat.mff.cuni.cz/services/teitok/pdtc10/index.php?action=vallex&amp;frame=v-w9032f3_MM", "zaplnit (v-w9032f3_MM)")</f>
        <v>zaplnit (v-w9032f3_MM)</v>
      </c>
    </row>
    <row r="65795" spans="1:4" x14ac:dyDescent="0.2">
      <c r="B65795" t="s">
        <v>1</v>
      </c>
    </row>
    <row r="65796" spans="1:4" x14ac:dyDescent="0.2">
      <c r="B65796" t="s">
        <v>8</v>
      </c>
    </row>
    <row r="65797" spans="1:4" x14ac:dyDescent="0.2">
      <c r="B65797" t="s">
        <v>5479</v>
      </c>
    </row>
    <row r="65799" spans="1:4" x14ac:dyDescent="0.2">
      <c r="A65799" t="s">
        <v>20473</v>
      </c>
      <c r="B65799" t="str">
        <f>HYPERLINK("https://lindat.mff.cuni.cz/services/teitok/pdtc10/index.php?action=vallex&amp;frame=v-w9032f1", "zaplnit (v-w9032f1) - substituted with v-w9032f3_MM")</f>
        <v>zaplnit (v-w9032f1) - substituted with v-w9032f3_MM</v>
      </c>
    </row>
    <row r="65800" spans="1:4" x14ac:dyDescent="0.2">
      <c r="B65800" t="s">
        <v>1</v>
      </c>
      <c r="C65800" t="s">
        <v>4470</v>
      </c>
      <c r="D65800" t="s">
        <v>7907</v>
      </c>
    </row>
    <row r="65801" spans="1:4" x14ac:dyDescent="0.2">
      <c r="B65801" t="s">
        <v>8</v>
      </c>
      <c r="C65801" t="s">
        <v>5853</v>
      </c>
      <c r="D65801" t="s">
        <v>23547</v>
      </c>
    </row>
    <row r="65802" spans="1:4" x14ac:dyDescent="0.2">
      <c r="B65802" t="s">
        <v>5479</v>
      </c>
      <c r="D65802" t="s">
        <v>23548</v>
      </c>
    </row>
    <row r="65804" spans="1:4" x14ac:dyDescent="0.2">
      <c r="A65804" t="s">
        <v>20473</v>
      </c>
      <c r="B65804" t="str">
        <f>HYPERLINK("https://lindat.mff.cuni.cz/services/teitok/pdtc10/index.php?action=vallex&amp;frame=v-w9032f2_ZU", "zaplnit (v-w9032f2_ZU) - substituted with v-w9032f3_MM")</f>
        <v>zaplnit (v-w9032f2_ZU) - substituted with v-w9032f3_MM</v>
      </c>
    </row>
    <row r="65805" spans="1:4" x14ac:dyDescent="0.2">
      <c r="B65805" t="s">
        <v>1</v>
      </c>
    </row>
    <row r="65806" spans="1:4" x14ac:dyDescent="0.2">
      <c r="B65806" t="s">
        <v>8</v>
      </c>
    </row>
    <row r="65807" spans="1:4" x14ac:dyDescent="0.2">
      <c r="B65807" t="s">
        <v>5479</v>
      </c>
    </row>
    <row r="65809" spans="1:2" x14ac:dyDescent="0.2">
      <c r="A65809" t="s">
        <v>20474</v>
      </c>
      <c r="B65809" t="str">
        <f>HYPERLINK("https://lindat.mff.cuni.cz/services/teitok/pdtc10/index.php?action=vallex&amp;frame=v-w12338_MMf1_MM", "zaplnit se (v-w12338_MMf1_MM)")</f>
        <v>zaplnit se (v-w12338_MMf1_MM)</v>
      </c>
    </row>
    <row r="65810" spans="1:2" x14ac:dyDescent="0.2">
      <c r="B65810" t="s">
        <v>1</v>
      </c>
    </row>
    <row r="65811" spans="1:2" x14ac:dyDescent="0.2">
      <c r="B65811" t="s">
        <v>3225</v>
      </c>
    </row>
    <row r="65813" spans="1:2" x14ac:dyDescent="0.2">
      <c r="A65813" t="s">
        <v>20475</v>
      </c>
      <c r="B65813" t="str">
        <f>HYPERLINK("https://lindat.mff.cuni.cz/services/teitok/pdtc10/index.php?action=vallex&amp;frame=v-w10647f2", "zaplombovat (v-w10647f2)")</f>
        <v>zaplombovat (v-w10647f2)</v>
      </c>
    </row>
    <row r="65814" spans="1:2" x14ac:dyDescent="0.2">
      <c r="B65814" t="s">
        <v>1</v>
      </c>
    </row>
    <row r="65815" spans="1:2" x14ac:dyDescent="0.2">
      <c r="B65815" t="s">
        <v>8</v>
      </c>
    </row>
    <row r="65817" spans="1:2" x14ac:dyDescent="0.2">
      <c r="A65817" t="s">
        <v>20476</v>
      </c>
      <c r="B65817" t="str">
        <f>HYPERLINK("https://lindat.mff.cuni.cz/services/teitok/pdtc10/index.php?action=vallex&amp;frame=v-w12322_MMf1_MM", "zaplynovat (v-w12322_MMf1_MM)")</f>
        <v>zaplynovat (v-w12322_MMf1_MM)</v>
      </c>
    </row>
    <row r="65818" spans="1:2" x14ac:dyDescent="0.2">
      <c r="B65818" t="s">
        <v>1</v>
      </c>
    </row>
    <row r="65819" spans="1:2" x14ac:dyDescent="0.2">
      <c r="B65819" t="s">
        <v>8</v>
      </c>
    </row>
    <row r="65821" spans="1:2" x14ac:dyDescent="0.2">
      <c r="A65821" t="s">
        <v>20477</v>
      </c>
      <c r="B65821" t="str">
        <f>HYPERLINK("https://lindat.mff.cuni.cz/services/teitok/pdtc10/index.php?action=vallex&amp;frame=v-whsa_122hsa_123", "zaplácat (v-whsa_122hsa_123)")</f>
        <v>zaplácat (v-whsa_122hsa_123)</v>
      </c>
    </row>
    <row r="65822" spans="1:2" x14ac:dyDescent="0.2">
      <c r="B65822" t="s">
        <v>1</v>
      </c>
    </row>
    <row r="65824" spans="1:2" x14ac:dyDescent="0.2">
      <c r="A65824" t="s">
        <v>20478</v>
      </c>
      <c r="B65824" t="str">
        <f>HYPERLINK("https://lindat.mff.cuni.cz/services/teitok/pdtc10/index.php?action=vallex&amp;frame=v-w9029f2", "zaplést (v-w9029f2)")</f>
        <v>zaplést (v-w9029f2)</v>
      </c>
    </row>
    <row r="65825" spans="1:4" x14ac:dyDescent="0.2">
      <c r="B65825" t="s">
        <v>1</v>
      </c>
      <c r="C65825" t="s">
        <v>2698</v>
      </c>
    </row>
    <row r="65826" spans="1:4" x14ac:dyDescent="0.2">
      <c r="B65826" t="s">
        <v>817</v>
      </c>
      <c r="C65826" t="s">
        <v>20479</v>
      </c>
    </row>
    <row r="65827" spans="1:4" x14ac:dyDescent="0.2">
      <c r="B65827" t="s">
        <v>58</v>
      </c>
      <c r="C65827" t="s">
        <v>20480</v>
      </c>
    </row>
    <row r="65829" spans="1:4" x14ac:dyDescent="0.2">
      <c r="A65829" t="s">
        <v>20481</v>
      </c>
      <c r="B65829" t="str">
        <f>HYPERLINK("https://lindat.mff.cuni.cz/services/teitok/pdtc10/index.php?action=vallex&amp;frame=v-w9029f1", "zaplést (v-w9029f1)")</f>
        <v>zaplést (v-w9029f1)</v>
      </c>
    </row>
    <row r="65830" spans="1:4" x14ac:dyDescent="0.2">
      <c r="B65830" t="s">
        <v>1</v>
      </c>
    </row>
    <row r="65831" spans="1:4" x14ac:dyDescent="0.2">
      <c r="B65831" t="s">
        <v>8</v>
      </c>
    </row>
    <row r="65832" spans="1:4" x14ac:dyDescent="0.2">
      <c r="B65832" t="s">
        <v>90</v>
      </c>
    </row>
    <row r="65834" spans="1:4" x14ac:dyDescent="0.2">
      <c r="A65834" t="s">
        <v>20482</v>
      </c>
      <c r="B65834" t="str">
        <f>HYPERLINK("https://lindat.mff.cuni.cz/services/teitok/pdtc10/index.php?action=vallex&amp;frame=v-w9030f1", "zaplést se (v-w9030f1)")</f>
        <v>zaplést se (v-w9030f1)</v>
      </c>
    </row>
    <row r="65835" spans="1:4" x14ac:dyDescent="0.2">
      <c r="B65835" t="s">
        <v>1</v>
      </c>
      <c r="C65835" t="s">
        <v>20483</v>
      </c>
      <c r="D65835" t="s">
        <v>23493</v>
      </c>
    </row>
    <row r="65836" spans="1:4" x14ac:dyDescent="0.2">
      <c r="B65836" t="s">
        <v>817</v>
      </c>
      <c r="C65836" t="s">
        <v>20484</v>
      </c>
      <c r="D65836" t="s">
        <v>23494</v>
      </c>
    </row>
    <row r="65838" spans="1:4" x14ac:dyDescent="0.2">
      <c r="A65838" t="s">
        <v>20485</v>
      </c>
      <c r="B65838" t="str">
        <f>HYPERLINK("https://lindat.mff.cuni.cz/services/teitok/pdtc10/index.php?action=vallex&amp;frame=v-w9030f3_ZU", "zaplést se (v-w9030f3_ZU)")</f>
        <v>zaplést se (v-w9030f3_ZU)</v>
      </c>
    </row>
    <row r="65839" spans="1:4" x14ac:dyDescent="0.2">
      <c r="B65839" t="s">
        <v>1</v>
      </c>
      <c r="C65839" t="s">
        <v>715</v>
      </c>
    </row>
    <row r="65840" spans="1:4" x14ac:dyDescent="0.2">
      <c r="B65840" t="s">
        <v>411</v>
      </c>
      <c r="C65840" t="s">
        <v>150</v>
      </c>
    </row>
    <row r="65842" spans="1:2" x14ac:dyDescent="0.2">
      <c r="A65842" t="s">
        <v>20485</v>
      </c>
      <c r="B65842" t="str">
        <f>HYPERLINK("https://lindat.mff.cuni.cz/services/teitok/pdtc10/index.php?action=vallex&amp;frame=v-w9030f2_ZU", "zaplést se (v-w9030f2_ZU) - substituted with v-w9030f3_ZU")</f>
        <v>zaplést se (v-w9030f2_ZU) - substituted with v-w9030f3_ZU</v>
      </c>
    </row>
    <row r="65843" spans="1:2" x14ac:dyDescent="0.2">
      <c r="B65843" t="s">
        <v>1</v>
      </c>
    </row>
    <row r="65844" spans="1:2" x14ac:dyDescent="0.2">
      <c r="B65844" t="s">
        <v>411</v>
      </c>
    </row>
    <row r="65846" spans="1:2" x14ac:dyDescent="0.2">
      <c r="A65846" t="s">
        <v>20486</v>
      </c>
      <c r="B65846" t="str">
        <f>HYPERLINK("https://lindat.mff.cuni.cz/services/teitok/pdtc10/index.php?action=vallex&amp;frame=v-w9030hsa_576", "zaplést se (v-w9030hsa_576)")</f>
        <v>zaplést se (v-w9030hsa_576)</v>
      </c>
    </row>
    <row r="65847" spans="1:2" x14ac:dyDescent="0.2">
      <c r="B65847" t="s">
        <v>1</v>
      </c>
    </row>
    <row r="65848" spans="1:2" x14ac:dyDescent="0.2">
      <c r="B65848" t="s">
        <v>90</v>
      </c>
    </row>
    <row r="65850" spans="1:2" x14ac:dyDescent="0.2">
      <c r="A65850" t="s">
        <v>20487</v>
      </c>
      <c r="B65850" t="str">
        <f>HYPERLINK("https://lindat.mff.cuni.cz/services/teitok/pdtc10/index.php?action=vallex&amp;frame=v-w9031f2", "zaplétat (v-w9031f2)")</f>
        <v>zaplétat (v-w9031f2)</v>
      </c>
    </row>
    <row r="65851" spans="1:2" x14ac:dyDescent="0.2">
      <c r="B65851" t="s">
        <v>1</v>
      </c>
    </row>
    <row r="65852" spans="1:2" x14ac:dyDescent="0.2">
      <c r="B65852" t="s">
        <v>817</v>
      </c>
    </row>
    <row r="65853" spans="1:2" x14ac:dyDescent="0.2">
      <c r="B65853" t="s">
        <v>58</v>
      </c>
    </row>
    <row r="65855" spans="1:2" x14ac:dyDescent="0.2">
      <c r="A65855" t="s">
        <v>20488</v>
      </c>
      <c r="B65855" t="str">
        <f>HYPERLINK("https://lindat.mff.cuni.cz/services/teitok/pdtc10/index.php?action=vallex&amp;frame=v-w9031f1", "zaplétat (v-w9031f1)")</f>
        <v>zaplétat (v-w9031f1)</v>
      </c>
    </row>
    <row r="65856" spans="1:2" x14ac:dyDescent="0.2">
      <c r="B65856" t="s">
        <v>1</v>
      </c>
    </row>
    <row r="65857" spans="1:4" x14ac:dyDescent="0.2">
      <c r="B65857" t="s">
        <v>8</v>
      </c>
    </row>
    <row r="65858" spans="1:4" x14ac:dyDescent="0.2">
      <c r="B65858" t="s">
        <v>90</v>
      </c>
    </row>
    <row r="65860" spans="1:4" x14ac:dyDescent="0.2">
      <c r="A65860" t="s">
        <v>20489</v>
      </c>
      <c r="B65860" t="str">
        <f>HYPERLINK("https://lindat.mff.cuni.cz/services/teitok/pdtc10/index.php?action=vallex&amp;frame=v-w9034f1", "zaplňovat (v-w9034f1)")</f>
        <v>zaplňovat (v-w9034f1)</v>
      </c>
    </row>
    <row r="65861" spans="1:4" x14ac:dyDescent="0.2">
      <c r="B65861" t="s">
        <v>1</v>
      </c>
      <c r="D65861" t="s">
        <v>7907</v>
      </c>
    </row>
    <row r="65862" spans="1:4" x14ac:dyDescent="0.2">
      <c r="B65862" t="s">
        <v>8</v>
      </c>
      <c r="D65862" t="s">
        <v>23547</v>
      </c>
    </row>
    <row r="65863" spans="1:4" x14ac:dyDescent="0.2">
      <c r="B65863" t="s">
        <v>5479</v>
      </c>
      <c r="D65863" t="s">
        <v>23548</v>
      </c>
    </row>
    <row r="65865" spans="1:4" x14ac:dyDescent="0.2">
      <c r="A65865" t="s">
        <v>20490</v>
      </c>
      <c r="B65865" t="str">
        <f>HYPERLINK("https://lindat.mff.cuni.cz/services/teitok/pdtc10/index.php?action=vallex&amp;frame=v-w11637_ZUf2_ZU", "zaplňovat se (v-w11637_ZUf2_ZU)")</f>
        <v>zaplňovat se (v-w11637_ZUf2_ZU)</v>
      </c>
    </row>
    <row r="65866" spans="1:4" x14ac:dyDescent="0.2">
      <c r="B65866" t="s">
        <v>1</v>
      </c>
    </row>
    <row r="65867" spans="1:4" x14ac:dyDescent="0.2">
      <c r="B65867" t="s">
        <v>3225</v>
      </c>
    </row>
    <row r="65869" spans="1:4" x14ac:dyDescent="0.2">
      <c r="A65869" t="s">
        <v>20490</v>
      </c>
      <c r="B65869" t="str">
        <f>HYPERLINK("https://lindat.mff.cuni.cz/services/teitok/pdtc10/index.php?action=vallex&amp;frame=v-w11637_ZUf1_ZU", "zaplňovat se (v-w11637_ZUf1_ZU) - substituted with v-w11637_ZUf2_ZU")</f>
        <v>zaplňovat se (v-w11637_ZUf1_ZU) - substituted with v-w11637_ZUf2_ZU</v>
      </c>
    </row>
    <row r="65870" spans="1:4" x14ac:dyDescent="0.2">
      <c r="B65870" t="s">
        <v>1</v>
      </c>
      <c r="C65870" t="s">
        <v>140</v>
      </c>
      <c r="D65870" t="s">
        <v>140</v>
      </c>
    </row>
    <row r="65871" spans="1:4" x14ac:dyDescent="0.2">
      <c r="B65871" t="s">
        <v>3225</v>
      </c>
    </row>
    <row r="65873" spans="1:4" x14ac:dyDescent="0.2">
      <c r="A65873" t="s">
        <v>20491</v>
      </c>
      <c r="B65873" t="str">
        <f>HYPERLINK("https://lindat.mff.cuni.cz/services/teitok/pdtc10/index.php?action=vallex&amp;frame=v-w9035f1", "zapnout (v-w9035f1)")</f>
        <v>zapnout (v-w9035f1)</v>
      </c>
    </row>
    <row r="65874" spans="1:4" x14ac:dyDescent="0.2">
      <c r="B65874" t="s">
        <v>1</v>
      </c>
      <c r="D65874" t="s">
        <v>373</v>
      </c>
    </row>
    <row r="65875" spans="1:4" x14ac:dyDescent="0.2">
      <c r="B65875" t="s">
        <v>8</v>
      </c>
      <c r="D65875" t="s">
        <v>2240</v>
      </c>
    </row>
    <row r="65877" spans="1:4" x14ac:dyDescent="0.2">
      <c r="A65877" t="s">
        <v>20492</v>
      </c>
      <c r="B65877" t="str">
        <f>HYPERLINK("https://lindat.mff.cuni.cz/services/teitok/pdtc10/index.php?action=vallex&amp;frame=v-w9035f2", "zapnout (v-w9035f2)")</f>
        <v>zapnout (v-w9035f2)</v>
      </c>
    </row>
    <row r="65878" spans="1:4" x14ac:dyDescent="0.2">
      <c r="B65878" t="s">
        <v>1</v>
      </c>
    </row>
    <row r="65879" spans="1:4" x14ac:dyDescent="0.2">
      <c r="B65879" t="s">
        <v>8</v>
      </c>
    </row>
    <row r="65881" spans="1:4" x14ac:dyDescent="0.2">
      <c r="A65881" t="s">
        <v>20493</v>
      </c>
      <c r="B65881" t="str">
        <f>HYPERLINK("https://lindat.mff.cuni.cz/services/teitok/pdtc10/index.php?action=vallex&amp;frame=v-w9035hsa_1064", "zapnout (v-w9035hsa_1064)")</f>
        <v>zapnout (v-w9035hsa_1064)</v>
      </c>
    </row>
    <row r="65882" spans="1:4" x14ac:dyDescent="0.2">
      <c r="B65882" t="s">
        <v>1</v>
      </c>
    </row>
    <row r="65883" spans="1:4" x14ac:dyDescent="0.2">
      <c r="B65883" t="s">
        <v>8</v>
      </c>
    </row>
    <row r="65884" spans="1:4" x14ac:dyDescent="0.2">
      <c r="B65884" t="s">
        <v>90</v>
      </c>
    </row>
    <row r="65886" spans="1:4" x14ac:dyDescent="0.2">
      <c r="A65886" t="s">
        <v>20494</v>
      </c>
      <c r="B65886" t="str">
        <f>HYPERLINK("https://lindat.mff.cuni.cz/services/teitok/pdtc10/index.php?action=vallex&amp;frame=v-whsa_812hsa_813", "zapnout se (v-whsa_812hsa_813)")</f>
        <v>zapnout se (v-whsa_812hsa_813)</v>
      </c>
    </row>
    <row r="65887" spans="1:4" x14ac:dyDescent="0.2">
      <c r="B65887" t="s">
        <v>1</v>
      </c>
      <c r="C65887" t="s">
        <v>249</v>
      </c>
      <c r="D65887" t="s">
        <v>24493</v>
      </c>
    </row>
    <row r="65889" spans="1:4" x14ac:dyDescent="0.2">
      <c r="A65889" t="s">
        <v>20495</v>
      </c>
      <c r="B65889" t="str">
        <f>HYPERLINK("https://lindat.mff.cuni.cz/services/teitok/pdtc10/index.php?action=vallex&amp;frame=v-w9043f1", "zapochybovat (v-w9043f1)")</f>
        <v>zapochybovat (v-w9043f1)</v>
      </c>
    </row>
    <row r="65890" spans="1:4" x14ac:dyDescent="0.2">
      <c r="B65890" t="s">
        <v>1</v>
      </c>
    </row>
    <row r="65891" spans="1:4" x14ac:dyDescent="0.2">
      <c r="B65891" t="s">
        <v>8663</v>
      </c>
    </row>
    <row r="65893" spans="1:4" x14ac:dyDescent="0.2">
      <c r="A65893" t="s">
        <v>20496</v>
      </c>
      <c r="B65893" t="str">
        <f>HYPERLINK("https://lindat.mff.cuni.cz/services/teitok/pdtc10/index.php?action=vallex&amp;frame=v-w9045f1", "zapojit (v-w9045f1)")</f>
        <v>zapojit (v-w9045f1)</v>
      </c>
    </row>
    <row r="65894" spans="1:4" x14ac:dyDescent="0.2">
      <c r="B65894" t="s">
        <v>1</v>
      </c>
      <c r="C65894" t="s">
        <v>20497</v>
      </c>
      <c r="D65894" t="s">
        <v>24045</v>
      </c>
    </row>
    <row r="65895" spans="1:4" x14ac:dyDescent="0.2">
      <c r="B65895" t="s">
        <v>20498</v>
      </c>
      <c r="C65895" t="s">
        <v>20499</v>
      </c>
      <c r="D65895" t="s">
        <v>24494</v>
      </c>
    </row>
    <row r="65896" spans="1:4" x14ac:dyDescent="0.2">
      <c r="B65896" t="s">
        <v>58</v>
      </c>
      <c r="C65896" t="s">
        <v>20500</v>
      </c>
      <c r="D65896" t="s">
        <v>24495</v>
      </c>
    </row>
    <row r="65898" spans="1:4" x14ac:dyDescent="0.2">
      <c r="A65898" t="s">
        <v>20501</v>
      </c>
      <c r="B65898" t="str">
        <f>HYPERLINK("https://lindat.mff.cuni.cz/services/teitok/pdtc10/index.php?action=vallex&amp;frame=v-w9045f2", "zapojit (v-w9045f2)")</f>
        <v>zapojit (v-w9045f2)</v>
      </c>
    </row>
    <row r="65899" spans="1:4" x14ac:dyDescent="0.2">
      <c r="B65899" t="s">
        <v>1</v>
      </c>
      <c r="C65899" t="s">
        <v>249</v>
      </c>
      <c r="D65899" t="s">
        <v>4281</v>
      </c>
    </row>
    <row r="65900" spans="1:4" x14ac:dyDescent="0.2">
      <c r="B65900" t="s">
        <v>8</v>
      </c>
      <c r="C65900" t="s">
        <v>1044</v>
      </c>
      <c r="D65900" t="s">
        <v>1025</v>
      </c>
    </row>
    <row r="65901" spans="1:4" x14ac:dyDescent="0.2">
      <c r="B65901" t="s">
        <v>90</v>
      </c>
      <c r="D65901" t="s">
        <v>23551</v>
      </c>
    </row>
    <row r="65903" spans="1:4" x14ac:dyDescent="0.2">
      <c r="A65903" t="s">
        <v>20502</v>
      </c>
      <c r="B65903" t="str">
        <f>HYPERLINK("https://lindat.mff.cuni.cz/services/teitok/pdtc10/index.php?action=vallex&amp;frame=v-w9045f3", "zapojit (v-w9045f3)")</f>
        <v>zapojit (v-w9045f3)</v>
      </c>
    </row>
    <row r="65904" spans="1:4" x14ac:dyDescent="0.2">
      <c r="B65904" t="s">
        <v>1</v>
      </c>
      <c r="C65904" t="s">
        <v>20503</v>
      </c>
      <c r="D65904" t="s">
        <v>24055</v>
      </c>
    </row>
    <row r="65905" spans="1:4" x14ac:dyDescent="0.2">
      <c r="B65905" t="s">
        <v>8</v>
      </c>
      <c r="C65905" t="s">
        <v>20504</v>
      </c>
      <c r="D65905" t="s">
        <v>24056</v>
      </c>
    </row>
    <row r="65906" spans="1:4" x14ac:dyDescent="0.2">
      <c r="B65906" t="s">
        <v>90</v>
      </c>
      <c r="C65906" t="s">
        <v>20505</v>
      </c>
      <c r="D65906" t="s">
        <v>24057</v>
      </c>
    </row>
    <row r="65908" spans="1:4" x14ac:dyDescent="0.2">
      <c r="A65908" t="s">
        <v>20506</v>
      </c>
      <c r="B65908" t="str">
        <f>HYPERLINK("https://lindat.mff.cuni.cz/services/teitok/pdtc10/index.php?action=vallex&amp;frame=v-w9046f1", "zapojit se (v-w9046f1)")</f>
        <v>zapojit se (v-w9046f1)</v>
      </c>
    </row>
    <row r="65909" spans="1:4" x14ac:dyDescent="0.2">
      <c r="B65909" t="s">
        <v>1</v>
      </c>
      <c r="C65909" t="s">
        <v>20507</v>
      </c>
      <c r="D65909" t="s">
        <v>22954</v>
      </c>
    </row>
    <row r="65910" spans="1:4" x14ac:dyDescent="0.2">
      <c r="B65910" t="s">
        <v>817</v>
      </c>
      <c r="C65910" t="s">
        <v>20508</v>
      </c>
      <c r="D65910" t="s">
        <v>24462</v>
      </c>
    </row>
    <row r="65912" spans="1:4" x14ac:dyDescent="0.2">
      <c r="A65912" t="s">
        <v>20509</v>
      </c>
      <c r="B65912" t="str">
        <f>HYPERLINK("https://lindat.mff.cuni.cz/services/teitok/pdtc10/index.php?action=vallex&amp;frame=v-w9046f2", "zapojit se (v-w9046f2)")</f>
        <v>zapojit se (v-w9046f2)</v>
      </c>
    </row>
    <row r="65913" spans="1:4" x14ac:dyDescent="0.2">
      <c r="B65913" t="s">
        <v>1</v>
      </c>
      <c r="C65913" t="s">
        <v>8249</v>
      </c>
      <c r="D65913" t="s">
        <v>23334</v>
      </c>
    </row>
    <row r="65914" spans="1:4" x14ac:dyDescent="0.2">
      <c r="B65914" t="s">
        <v>90</v>
      </c>
      <c r="C65914" t="s">
        <v>11490</v>
      </c>
      <c r="D65914" t="s">
        <v>23571</v>
      </c>
    </row>
    <row r="65916" spans="1:4" x14ac:dyDescent="0.2">
      <c r="A65916" t="s">
        <v>20510</v>
      </c>
      <c r="B65916" t="str">
        <f>HYPERLINK("https://lindat.mff.cuni.cz/services/teitok/pdtc10/index.php?action=vallex&amp;frame=v-w9047f2", "zapojovat (v-w9047f2)")</f>
        <v>zapojovat (v-w9047f2)</v>
      </c>
    </row>
    <row r="65917" spans="1:4" x14ac:dyDescent="0.2">
      <c r="B65917" t="s">
        <v>1</v>
      </c>
      <c r="D65917" t="s">
        <v>4281</v>
      </c>
    </row>
    <row r="65918" spans="1:4" x14ac:dyDescent="0.2">
      <c r="B65918" t="s">
        <v>8</v>
      </c>
      <c r="D65918" t="s">
        <v>1025</v>
      </c>
    </row>
    <row r="65919" spans="1:4" x14ac:dyDescent="0.2">
      <c r="B65919" t="s">
        <v>5</v>
      </c>
      <c r="D65919" t="s">
        <v>24496</v>
      </c>
    </row>
    <row r="65921" spans="1:4" x14ac:dyDescent="0.2">
      <c r="A65921" t="s">
        <v>20511</v>
      </c>
      <c r="B65921" t="str">
        <f>HYPERLINK("https://lindat.mff.cuni.cz/services/teitok/pdtc10/index.php?action=vallex&amp;frame=v-w9047f1", "zapojovat (v-w9047f1)")</f>
        <v>zapojovat (v-w9047f1)</v>
      </c>
    </row>
    <row r="65922" spans="1:4" x14ac:dyDescent="0.2">
      <c r="B65922" t="s">
        <v>1</v>
      </c>
      <c r="C65922" t="s">
        <v>11079</v>
      </c>
      <c r="D65922" t="s">
        <v>4281</v>
      </c>
    </row>
    <row r="65923" spans="1:4" x14ac:dyDescent="0.2">
      <c r="B65923" t="s">
        <v>8</v>
      </c>
      <c r="C65923" t="s">
        <v>16916</v>
      </c>
      <c r="D65923" t="s">
        <v>1025</v>
      </c>
    </row>
    <row r="65924" spans="1:4" x14ac:dyDescent="0.2">
      <c r="B65924" t="s">
        <v>90</v>
      </c>
      <c r="D65924" t="s">
        <v>23551</v>
      </c>
    </row>
    <row r="65926" spans="1:4" x14ac:dyDescent="0.2">
      <c r="A65926" t="s">
        <v>20512</v>
      </c>
      <c r="B65926" t="str">
        <f>HYPERLINK("https://lindat.mff.cuni.cz/services/teitok/pdtc10/index.php?action=vallex&amp;frame=v-w9048f1", "zapojovat se (v-w9048f1)")</f>
        <v>zapojovat se (v-w9048f1)</v>
      </c>
    </row>
    <row r="65927" spans="1:4" x14ac:dyDescent="0.2">
      <c r="B65927" t="s">
        <v>1</v>
      </c>
      <c r="C65927" t="s">
        <v>20513</v>
      </c>
      <c r="D65927" t="s">
        <v>22962</v>
      </c>
    </row>
    <row r="65928" spans="1:4" x14ac:dyDescent="0.2">
      <c r="B65928" t="s">
        <v>817</v>
      </c>
      <c r="C65928" t="s">
        <v>20514</v>
      </c>
      <c r="D65928" t="s">
        <v>22963</v>
      </c>
    </row>
    <row r="65930" spans="1:4" x14ac:dyDescent="0.2">
      <c r="A65930" t="s">
        <v>20515</v>
      </c>
      <c r="B65930" t="str">
        <f>HYPERLINK("https://lindat.mff.cuni.cz/services/teitok/pdtc10/index.php?action=vallex&amp;frame=v-w9048f2", "zapojovat se (v-w9048f2)")</f>
        <v>zapojovat se (v-w9048f2)</v>
      </c>
    </row>
    <row r="65931" spans="1:4" x14ac:dyDescent="0.2">
      <c r="B65931" t="s">
        <v>1</v>
      </c>
      <c r="D65931" t="s">
        <v>23334</v>
      </c>
    </row>
    <row r="65932" spans="1:4" x14ac:dyDescent="0.2">
      <c r="B65932" t="s">
        <v>90</v>
      </c>
      <c r="D65932" t="s">
        <v>23571</v>
      </c>
    </row>
    <row r="65934" spans="1:4" x14ac:dyDescent="0.2">
      <c r="A65934" t="s">
        <v>20516</v>
      </c>
      <c r="B65934" t="str">
        <f>HYPERLINK("https://lindat.mff.cuni.cz/services/teitok/pdtc10/index.php?action=vallex&amp;frame=v-w9050f3_ZU", "zapomenout (v-w9050f3_ZU)")</f>
        <v>zapomenout (v-w9050f3_ZU)</v>
      </c>
    </row>
    <row r="65935" spans="1:4" x14ac:dyDescent="0.2">
      <c r="B65935" t="s">
        <v>1</v>
      </c>
    </row>
    <row r="65936" spans="1:4" x14ac:dyDescent="0.2">
      <c r="B65936" t="s">
        <v>20517</v>
      </c>
    </row>
    <row r="65938" spans="1:4" x14ac:dyDescent="0.2">
      <c r="A65938" t="s">
        <v>20516</v>
      </c>
      <c r="B65938" t="str">
        <f>HYPERLINK("https://lindat.mff.cuni.cz/services/teitok/pdtc10/index.php?action=vallex&amp;frame=v-w9050f1", "zapomenout (v-w9050f1) - substituted with v-w9050f3_ZU")</f>
        <v>zapomenout (v-w9050f1) - substituted with v-w9050f3_ZU</v>
      </c>
    </row>
    <row r="65939" spans="1:4" x14ac:dyDescent="0.2">
      <c r="B65939" t="s">
        <v>1</v>
      </c>
      <c r="C65939" t="s">
        <v>7346</v>
      </c>
      <c r="D65939" t="s">
        <v>1065</v>
      </c>
    </row>
    <row r="65940" spans="1:4" x14ac:dyDescent="0.2">
      <c r="B65940" t="s">
        <v>20517</v>
      </c>
      <c r="C65940" t="s">
        <v>3184</v>
      </c>
      <c r="D65940" t="s">
        <v>17</v>
      </c>
    </row>
    <row r="65942" spans="1:4" x14ac:dyDescent="0.2">
      <c r="A65942" t="s">
        <v>20518</v>
      </c>
      <c r="B65942" t="str">
        <f>HYPERLINK("https://lindat.mff.cuni.cz/services/teitok/pdtc10/index.php?action=vallex&amp;frame=v-w9050f2", "zapomenout (v-w9050f2)")</f>
        <v>zapomenout (v-w9050f2)</v>
      </c>
    </row>
    <row r="65943" spans="1:4" x14ac:dyDescent="0.2">
      <c r="B65943" t="s">
        <v>1</v>
      </c>
      <c r="C65943" t="s">
        <v>1065</v>
      </c>
    </row>
    <row r="65944" spans="1:4" x14ac:dyDescent="0.2">
      <c r="B65944" t="s">
        <v>8</v>
      </c>
      <c r="C65944" t="s">
        <v>17</v>
      </c>
    </row>
    <row r="65946" spans="1:4" x14ac:dyDescent="0.2">
      <c r="A65946" t="s">
        <v>20519</v>
      </c>
      <c r="B65946" t="str">
        <f>HYPERLINK("https://lindat.mff.cuni.cz/services/teitok/pdtc10/index.php?action=vallex&amp;frame=v-w9052hsa_106", "zapomínat (v-w9052hsa_106)")</f>
        <v>zapomínat (v-w9052hsa_106)</v>
      </c>
    </row>
    <row r="65947" spans="1:4" x14ac:dyDescent="0.2">
      <c r="B65947" t="s">
        <v>1</v>
      </c>
    </row>
    <row r="65948" spans="1:4" x14ac:dyDescent="0.2">
      <c r="B65948" t="s">
        <v>20520</v>
      </c>
    </row>
    <row r="65950" spans="1:4" x14ac:dyDescent="0.2">
      <c r="A65950" t="s">
        <v>20519</v>
      </c>
      <c r="B65950" t="str">
        <f>HYPERLINK("https://lindat.mff.cuni.cz/services/teitok/pdtc10/index.php?action=vallex&amp;frame=v-w9052f1", "zapomínat (v-w9052f1) - substituted with v-w9052hsa_106")</f>
        <v>zapomínat (v-w9052f1) - substituted with v-w9052hsa_106</v>
      </c>
    </row>
    <row r="65951" spans="1:4" x14ac:dyDescent="0.2">
      <c r="B65951" t="s">
        <v>1</v>
      </c>
      <c r="C65951" t="s">
        <v>10568</v>
      </c>
      <c r="D65951" t="s">
        <v>1065</v>
      </c>
    </row>
    <row r="65952" spans="1:4" x14ac:dyDescent="0.2">
      <c r="B65952" t="s">
        <v>20520</v>
      </c>
      <c r="C65952" t="s">
        <v>3072</v>
      </c>
      <c r="D65952" t="s">
        <v>17</v>
      </c>
    </row>
    <row r="65954" spans="1:4" x14ac:dyDescent="0.2">
      <c r="A65954" t="s">
        <v>20521</v>
      </c>
      <c r="B65954" t="str">
        <f>HYPERLINK("https://lindat.mff.cuni.cz/services/teitok/pdtc10/index.php?action=vallex&amp;frame=v-w9054f1", "zapotit se (v-w9054f1)")</f>
        <v>zapotit se (v-w9054f1)</v>
      </c>
    </row>
    <row r="65955" spans="1:4" x14ac:dyDescent="0.2">
      <c r="B65955" t="s">
        <v>1</v>
      </c>
    </row>
    <row r="65957" spans="1:4" x14ac:dyDescent="0.2">
      <c r="A65957" t="s">
        <v>20522</v>
      </c>
      <c r="B65957" t="str">
        <f>HYPERLINK("https://lindat.mff.cuni.cz/services/teitok/pdtc10/index.php?action=vallex&amp;frame=v-w11426f1", "zapotácet se (v-w11426f1)")</f>
        <v>zapotácet se (v-w11426f1)</v>
      </c>
    </row>
    <row r="65958" spans="1:4" x14ac:dyDescent="0.2">
      <c r="B65958" t="s">
        <v>1</v>
      </c>
    </row>
    <row r="65960" spans="1:4" x14ac:dyDescent="0.2">
      <c r="A65960" t="s">
        <v>20523</v>
      </c>
      <c r="B65960" t="str">
        <f>HYPERLINK("https://lindat.mff.cuni.cz/services/teitok/pdtc10/index.php?action=vallex&amp;frame=v-w9056f1", "zapovídat (v-w9056f1)")</f>
        <v>zapovídat (v-w9056f1)</v>
      </c>
    </row>
    <row r="65961" spans="1:4" x14ac:dyDescent="0.2">
      <c r="B65961" t="s">
        <v>1</v>
      </c>
    </row>
    <row r="65962" spans="1:4" x14ac:dyDescent="0.2">
      <c r="B65962" t="s">
        <v>1339</v>
      </c>
    </row>
    <row r="65963" spans="1:4" x14ac:dyDescent="0.2">
      <c r="B65963" t="s">
        <v>35</v>
      </c>
    </row>
    <row r="65965" spans="1:4" x14ac:dyDescent="0.2">
      <c r="A65965" t="s">
        <v>20524</v>
      </c>
      <c r="B65965" t="str">
        <f>HYPERLINK("https://lindat.mff.cuni.cz/services/teitok/pdtc10/index.php?action=vallex&amp;frame=v-w9038f2", "započíst (v-w9038f2)")</f>
        <v>započíst (v-w9038f2)</v>
      </c>
    </row>
    <row r="65966" spans="1:4" x14ac:dyDescent="0.2">
      <c r="B65966" t="s">
        <v>1</v>
      </c>
      <c r="C65966" t="s">
        <v>33</v>
      </c>
      <c r="D65966" t="s">
        <v>24497</v>
      </c>
    </row>
    <row r="65967" spans="1:4" x14ac:dyDescent="0.2">
      <c r="B65967" t="s">
        <v>8</v>
      </c>
      <c r="C65967" t="s">
        <v>54</v>
      </c>
      <c r="D65967" t="s">
        <v>14833</v>
      </c>
    </row>
    <row r="65968" spans="1:4" x14ac:dyDescent="0.2">
      <c r="B65968" t="s">
        <v>90</v>
      </c>
    </row>
    <row r="65970" spans="1:4" x14ac:dyDescent="0.2">
      <c r="A65970" t="s">
        <v>20525</v>
      </c>
      <c r="B65970" t="str">
        <f>HYPERLINK("https://lindat.mff.cuni.cz/services/teitok/pdtc10/index.php?action=vallex&amp;frame=v-w9038f3_ZU", "započíst (v-w9038f3_ZU)")</f>
        <v>započíst (v-w9038f3_ZU)</v>
      </c>
    </row>
    <row r="65971" spans="1:4" x14ac:dyDescent="0.2">
      <c r="B65971" t="s">
        <v>1</v>
      </c>
    </row>
    <row r="65972" spans="1:4" x14ac:dyDescent="0.2">
      <c r="B65972" t="s">
        <v>8</v>
      </c>
      <c r="C65972" t="s">
        <v>991</v>
      </c>
    </row>
    <row r="65974" spans="1:4" x14ac:dyDescent="0.2">
      <c r="A65974" t="s">
        <v>20525</v>
      </c>
      <c r="B65974" t="str">
        <f>HYPERLINK("https://lindat.mff.cuni.cz/services/teitok/pdtc10/index.php?action=vallex&amp;frame=v-w9038f1", "započíst (v-w9038f1) - substituted with v-w9038f3_ZU")</f>
        <v>započíst (v-w9038f1) - substituted with v-w9038f3_ZU</v>
      </c>
    </row>
    <row r="65975" spans="1:4" x14ac:dyDescent="0.2">
      <c r="B65975" t="s">
        <v>1</v>
      </c>
      <c r="C65975" t="s">
        <v>20526</v>
      </c>
    </row>
    <row r="65976" spans="1:4" x14ac:dyDescent="0.2">
      <c r="B65976" t="s">
        <v>8</v>
      </c>
      <c r="C65976" t="s">
        <v>20527</v>
      </c>
    </row>
    <row r="65978" spans="1:4" x14ac:dyDescent="0.2">
      <c r="A65978" t="s">
        <v>20528</v>
      </c>
      <c r="B65978" t="str">
        <f>HYPERLINK("https://lindat.mff.cuni.cz/services/teitok/pdtc10/index.php?action=vallex&amp;frame=v-w9038hsa_624", "započíst (v-w9038hsa_624)")</f>
        <v>započíst (v-w9038hsa_624)</v>
      </c>
    </row>
    <row r="65979" spans="1:4" x14ac:dyDescent="0.2">
      <c r="B65979" t="s">
        <v>1</v>
      </c>
    </row>
    <row r="65980" spans="1:4" x14ac:dyDescent="0.2">
      <c r="B65980" t="s">
        <v>8</v>
      </c>
    </row>
    <row r="65981" spans="1:4" x14ac:dyDescent="0.2">
      <c r="B65981" t="s">
        <v>20529</v>
      </c>
    </row>
    <row r="65983" spans="1:4" x14ac:dyDescent="0.2">
      <c r="A65983" t="s">
        <v>20530</v>
      </c>
      <c r="B65983" t="str">
        <f>HYPERLINK("https://lindat.mff.cuni.cz/services/teitok/pdtc10/index.php?action=vallex&amp;frame=v-w9039f1", "započít (v-w9039f1)")</f>
        <v>započít (v-w9039f1)</v>
      </c>
    </row>
    <row r="65984" spans="1:4" x14ac:dyDescent="0.2">
      <c r="B65984" t="s">
        <v>1</v>
      </c>
      <c r="C65984" t="s">
        <v>20531</v>
      </c>
      <c r="D65984" t="s">
        <v>22950</v>
      </c>
    </row>
    <row r="65985" spans="1:4" x14ac:dyDescent="0.2">
      <c r="B65985" t="s">
        <v>20532</v>
      </c>
      <c r="C65985" t="s">
        <v>10117</v>
      </c>
      <c r="D65985" t="s">
        <v>22951</v>
      </c>
    </row>
    <row r="65987" spans="1:4" x14ac:dyDescent="0.2">
      <c r="A65987" t="s">
        <v>20533</v>
      </c>
      <c r="B65987" t="str">
        <f>HYPERLINK("https://lindat.mff.cuni.cz/services/teitok/pdtc10/index.php?action=vallex&amp;frame=v-w9039f2", "započít (v-w9039f2)")</f>
        <v>započít (v-w9039f2)</v>
      </c>
    </row>
    <row r="65988" spans="1:4" x14ac:dyDescent="0.2">
      <c r="B65988" t="s">
        <v>196</v>
      </c>
      <c r="C65988" t="s">
        <v>11233</v>
      </c>
    </row>
    <row r="65990" spans="1:4" x14ac:dyDescent="0.2">
      <c r="A65990" t="s">
        <v>20534</v>
      </c>
      <c r="B65990" t="str">
        <f>HYPERLINK("https://lindat.mff.cuni.cz/services/teitok/pdtc10/index.php?action=vallex&amp;frame=v-w9040f2", "započítat (v-w9040f2)")</f>
        <v>započítat (v-w9040f2)</v>
      </c>
    </row>
    <row r="65991" spans="1:4" x14ac:dyDescent="0.2">
      <c r="B65991" t="s">
        <v>1</v>
      </c>
      <c r="C65991" t="s">
        <v>20535</v>
      </c>
      <c r="D65991" t="s">
        <v>24497</v>
      </c>
    </row>
    <row r="65992" spans="1:4" x14ac:dyDescent="0.2">
      <c r="B65992" t="s">
        <v>8</v>
      </c>
      <c r="C65992" t="s">
        <v>1815</v>
      </c>
      <c r="D65992" t="s">
        <v>14833</v>
      </c>
    </row>
    <row r="65993" spans="1:4" x14ac:dyDescent="0.2">
      <c r="B65993" t="s">
        <v>90</v>
      </c>
    </row>
    <row r="65995" spans="1:4" x14ac:dyDescent="0.2">
      <c r="A65995" t="s">
        <v>20536</v>
      </c>
      <c r="B65995" t="str">
        <f>HYPERLINK("https://lindat.mff.cuni.cz/services/teitok/pdtc10/index.php?action=vallex&amp;frame=v-w9040f3_ZU", "započítat (v-w9040f3_ZU)")</f>
        <v>započítat (v-w9040f3_ZU)</v>
      </c>
    </row>
    <row r="65996" spans="1:4" x14ac:dyDescent="0.2">
      <c r="B65996" t="s">
        <v>1</v>
      </c>
    </row>
    <row r="65997" spans="1:4" x14ac:dyDescent="0.2">
      <c r="B65997" t="s">
        <v>8</v>
      </c>
      <c r="C65997" t="s">
        <v>991</v>
      </c>
    </row>
    <row r="65999" spans="1:4" x14ac:dyDescent="0.2">
      <c r="A65999" t="s">
        <v>20536</v>
      </c>
      <c r="B65999" t="str">
        <f>HYPERLINK("https://lindat.mff.cuni.cz/services/teitok/pdtc10/index.php?action=vallex&amp;frame=v-w9040f1", "započítat (v-w9040f1) - substituted with v-w9040f3_ZU")</f>
        <v>započítat (v-w9040f1) - substituted with v-w9040f3_ZU</v>
      </c>
    </row>
    <row r="66000" spans="1:4" x14ac:dyDescent="0.2">
      <c r="B66000" t="s">
        <v>1</v>
      </c>
      <c r="C66000" t="s">
        <v>1065</v>
      </c>
    </row>
    <row r="66001" spans="1:4" x14ac:dyDescent="0.2">
      <c r="B66001" t="s">
        <v>8</v>
      </c>
      <c r="C66001" t="s">
        <v>2886</v>
      </c>
    </row>
    <row r="66003" spans="1:4" x14ac:dyDescent="0.2">
      <c r="A66003" t="s">
        <v>20537</v>
      </c>
      <c r="B66003" t="str">
        <f>HYPERLINK("https://lindat.mff.cuni.cz/services/teitok/pdtc10/index.php?action=vallex&amp;frame=v-w9040hsa_705", "započítat (v-w9040hsa_705)")</f>
        <v>započítat (v-w9040hsa_705)</v>
      </c>
    </row>
    <row r="66004" spans="1:4" x14ac:dyDescent="0.2">
      <c r="B66004" t="s">
        <v>1</v>
      </c>
    </row>
    <row r="66005" spans="1:4" x14ac:dyDescent="0.2">
      <c r="B66005" t="s">
        <v>8</v>
      </c>
    </row>
    <row r="66006" spans="1:4" x14ac:dyDescent="0.2">
      <c r="B66006" t="s">
        <v>20529</v>
      </c>
    </row>
    <row r="66008" spans="1:4" x14ac:dyDescent="0.2">
      <c r="A66008" t="s">
        <v>20538</v>
      </c>
      <c r="B66008" t="str">
        <f>HYPERLINK("https://lindat.mff.cuni.cz/services/teitok/pdtc10/index.php?action=vallex&amp;frame=v-w9041f1", "započítávat (v-w9041f1)")</f>
        <v>započítávat (v-w9041f1)</v>
      </c>
    </row>
    <row r="66009" spans="1:4" x14ac:dyDescent="0.2">
      <c r="B66009" t="s">
        <v>1</v>
      </c>
      <c r="C66009" t="s">
        <v>20539</v>
      </c>
      <c r="D66009" t="s">
        <v>24497</v>
      </c>
    </row>
    <row r="66010" spans="1:4" x14ac:dyDescent="0.2">
      <c r="B66010" t="s">
        <v>8</v>
      </c>
      <c r="C66010" t="s">
        <v>12897</v>
      </c>
      <c r="D66010" t="s">
        <v>14833</v>
      </c>
    </row>
    <row r="66011" spans="1:4" x14ac:dyDescent="0.2">
      <c r="B66011" t="s">
        <v>90</v>
      </c>
    </row>
    <row r="66013" spans="1:4" x14ac:dyDescent="0.2">
      <c r="A66013" t="s">
        <v>20540</v>
      </c>
      <c r="B66013" t="str">
        <f>HYPERLINK("https://lindat.mff.cuni.cz/services/teitok/pdtc10/index.php?action=vallex&amp;frame=v-w9041f2", "započítávat (v-w9041f2)")</f>
        <v>započítávat (v-w9041f2)</v>
      </c>
    </row>
    <row r="66014" spans="1:4" x14ac:dyDescent="0.2">
      <c r="B66014" t="s">
        <v>1</v>
      </c>
      <c r="C66014" t="s">
        <v>15948</v>
      </c>
    </row>
    <row r="66015" spans="1:4" x14ac:dyDescent="0.2">
      <c r="B66015" t="s">
        <v>8</v>
      </c>
      <c r="C66015" t="s">
        <v>6123</v>
      </c>
    </row>
    <row r="66017" spans="1:3" x14ac:dyDescent="0.2">
      <c r="A66017" t="s">
        <v>20541</v>
      </c>
      <c r="B66017" t="str">
        <f>HYPERLINK("https://lindat.mff.cuni.cz/services/teitok/pdtc10/index.php?action=vallex&amp;frame=v-w10143f2", "zapracovat (v-w10143f2)")</f>
        <v>zapracovat (v-w10143f2)</v>
      </c>
    </row>
    <row r="66018" spans="1:3" x14ac:dyDescent="0.2">
      <c r="B66018" t="s">
        <v>1</v>
      </c>
      <c r="C66018" t="s">
        <v>2400</v>
      </c>
    </row>
    <row r="66019" spans="1:3" x14ac:dyDescent="0.2">
      <c r="B66019" t="s">
        <v>8</v>
      </c>
      <c r="C66019" t="s">
        <v>2402</v>
      </c>
    </row>
    <row r="66020" spans="1:3" x14ac:dyDescent="0.2">
      <c r="B66020" t="s">
        <v>90</v>
      </c>
    </row>
    <row r="66022" spans="1:3" x14ac:dyDescent="0.2">
      <c r="A66022" t="s">
        <v>20542</v>
      </c>
      <c r="B66022" t="str">
        <f>HYPERLINK("https://lindat.mff.cuni.cz/services/teitok/pdtc10/index.php?action=vallex&amp;frame=v-w10143f3", "zapracovat (v-w10143f3)")</f>
        <v>zapracovat (v-w10143f3)</v>
      </c>
    </row>
    <row r="66023" spans="1:3" x14ac:dyDescent="0.2">
      <c r="B66023" t="s">
        <v>1</v>
      </c>
    </row>
    <row r="66024" spans="1:3" x14ac:dyDescent="0.2">
      <c r="B66024" t="s">
        <v>8</v>
      </c>
    </row>
    <row r="66026" spans="1:3" x14ac:dyDescent="0.2">
      <c r="A66026" t="s">
        <v>20543</v>
      </c>
      <c r="B66026" t="str">
        <f>HYPERLINK("https://lindat.mff.cuni.cz/services/teitok/pdtc10/index.php?action=vallex&amp;frame=v-w10143f4_ZU", "zapracovat (v-w10143f4_ZU)")</f>
        <v>zapracovat (v-w10143f4_ZU)</v>
      </c>
    </row>
    <row r="66027" spans="1:3" x14ac:dyDescent="0.2">
      <c r="B66027" t="s">
        <v>1</v>
      </c>
    </row>
    <row r="66028" spans="1:3" x14ac:dyDescent="0.2">
      <c r="B66028" t="s">
        <v>2712</v>
      </c>
    </row>
    <row r="66030" spans="1:3" x14ac:dyDescent="0.2">
      <c r="A66030" t="s">
        <v>20544</v>
      </c>
      <c r="B66030" t="str">
        <f>HYPERLINK("https://lindat.mff.cuni.cz/services/teitok/pdtc10/index.php?action=vallex&amp;frame=v-whsa_806f1_ZU", "zapracovat se (v-whsa_806f1_ZU)")</f>
        <v>zapracovat se (v-whsa_806f1_ZU)</v>
      </c>
    </row>
    <row r="66031" spans="1:3" x14ac:dyDescent="0.2">
      <c r="B66031" t="s">
        <v>1</v>
      </c>
    </row>
    <row r="66032" spans="1:3" x14ac:dyDescent="0.2">
      <c r="B66032" t="s">
        <v>3202</v>
      </c>
    </row>
    <row r="66034" spans="1:2" x14ac:dyDescent="0.2">
      <c r="A66034" t="s">
        <v>20544</v>
      </c>
      <c r="B66034" t="str">
        <f>HYPERLINK("https://lindat.mff.cuni.cz/services/teitok/pdtc10/index.php?action=vallex&amp;frame=v-whsa_806hsa_807", "zapracovat se (v-whsa_806hsa_807) - substituted with v-whsa_806f1_ZU")</f>
        <v>zapracovat se (v-whsa_806hsa_807) - substituted with v-whsa_806f1_ZU</v>
      </c>
    </row>
    <row r="66035" spans="1:2" x14ac:dyDescent="0.2">
      <c r="B66035" t="s">
        <v>1</v>
      </c>
    </row>
    <row r="66036" spans="1:2" x14ac:dyDescent="0.2">
      <c r="B66036" t="s">
        <v>3202</v>
      </c>
    </row>
    <row r="66038" spans="1:2" x14ac:dyDescent="0.2">
      <c r="A66038" t="s">
        <v>20545</v>
      </c>
      <c r="B66038" t="str">
        <f>HYPERLINK("https://lindat.mff.cuni.cz/services/teitok/pdtc10/index.php?action=vallex&amp;frame=v-w9058f1", "zapracovávat (v-w9058f1)")</f>
        <v>zapracovávat (v-w9058f1)</v>
      </c>
    </row>
    <row r="66039" spans="1:2" x14ac:dyDescent="0.2">
      <c r="B66039" t="s">
        <v>1</v>
      </c>
    </row>
    <row r="66040" spans="1:2" x14ac:dyDescent="0.2">
      <c r="B66040" t="s">
        <v>8</v>
      </c>
    </row>
    <row r="66041" spans="1:2" x14ac:dyDescent="0.2">
      <c r="B66041" t="s">
        <v>90</v>
      </c>
    </row>
    <row r="66043" spans="1:2" x14ac:dyDescent="0.2">
      <c r="A66043" t="s">
        <v>20546</v>
      </c>
      <c r="B66043" t="str">
        <f>HYPERLINK("https://lindat.mff.cuni.cz/services/teitok/pdtc10/index.php?action=vallex&amp;frame=v-w9058f2_ZU", "zapracovávat (v-w9058f2_ZU)")</f>
        <v>zapracovávat (v-w9058f2_ZU)</v>
      </c>
    </row>
    <row r="66044" spans="1:2" x14ac:dyDescent="0.2">
      <c r="B66044" t="s">
        <v>1</v>
      </c>
    </row>
    <row r="66045" spans="1:2" x14ac:dyDescent="0.2">
      <c r="B66045" t="s">
        <v>58</v>
      </c>
    </row>
    <row r="66046" spans="1:2" x14ac:dyDescent="0.2">
      <c r="B66046" t="s">
        <v>20547</v>
      </c>
    </row>
    <row r="66048" spans="1:2" x14ac:dyDescent="0.2">
      <c r="A66048" t="s">
        <v>20548</v>
      </c>
      <c r="B66048" t="str">
        <f>HYPERLINK("https://lindat.mff.cuni.cz/services/teitok/pdtc10/index.php?action=vallex&amp;frame=v-w12355_MMf1_MM", "zapracovávat se (v-w12355_MMf1_MM)")</f>
        <v>zapracovávat se (v-w12355_MMf1_MM)</v>
      </c>
    </row>
    <row r="66049" spans="1:3" x14ac:dyDescent="0.2">
      <c r="B66049" t="s">
        <v>1</v>
      </c>
    </row>
    <row r="66050" spans="1:3" x14ac:dyDescent="0.2">
      <c r="B66050" t="s">
        <v>3202</v>
      </c>
    </row>
    <row r="66052" spans="1:3" x14ac:dyDescent="0.2">
      <c r="A66052" t="s">
        <v>20549</v>
      </c>
      <c r="B66052" t="str">
        <f>HYPERLINK("https://lindat.mff.cuni.cz/services/teitok/pdtc10/index.php?action=vallex&amp;frame=v-w9059f1", "zapraskat (v-w9059f1)")</f>
        <v>zapraskat (v-w9059f1)</v>
      </c>
    </row>
    <row r="66053" spans="1:3" x14ac:dyDescent="0.2">
      <c r="B66053" t="s">
        <v>1</v>
      </c>
    </row>
    <row r="66055" spans="1:3" x14ac:dyDescent="0.2">
      <c r="A66055" t="s">
        <v>20550</v>
      </c>
      <c r="B66055" t="str">
        <f>HYPERLINK("https://lindat.mff.cuni.cz/services/teitok/pdtc10/index.php?action=vallex&amp;frame=v-w9059f2", "zapraskat (v-w9059f2)")</f>
        <v>zapraskat (v-w9059f2)</v>
      </c>
    </row>
    <row r="66056" spans="1:3" x14ac:dyDescent="0.2">
      <c r="B66056" t="s">
        <v>5</v>
      </c>
    </row>
    <row r="66058" spans="1:3" x14ac:dyDescent="0.2">
      <c r="A66058" t="s">
        <v>20551</v>
      </c>
      <c r="B66058" t="str">
        <f>HYPERLINK("https://lindat.mff.cuni.cz/services/teitok/pdtc10/index.php?action=vallex&amp;frame=v-w11861_ZUf1_ZU", "zaprašovat (v-w11861_ZUf1_ZU)")</f>
        <v>zaprašovat (v-w11861_ZUf1_ZU)</v>
      </c>
    </row>
    <row r="66059" spans="1:3" x14ac:dyDescent="0.2">
      <c r="B66059" t="s">
        <v>1</v>
      </c>
    </row>
    <row r="66060" spans="1:3" x14ac:dyDescent="0.2">
      <c r="B66060" t="s">
        <v>8</v>
      </c>
    </row>
    <row r="66061" spans="1:3" x14ac:dyDescent="0.2">
      <c r="B66061" t="s">
        <v>5479</v>
      </c>
    </row>
    <row r="66063" spans="1:3" x14ac:dyDescent="0.2">
      <c r="A66063" t="s">
        <v>20552</v>
      </c>
      <c r="B66063" t="str">
        <f>HYPERLINK("https://lindat.mff.cuni.cz/services/teitok/pdtc10/index.php?action=vallex&amp;frame=v-w10253f2", "zaprodat (v-w10253f2)")</f>
        <v>zaprodat (v-w10253f2)</v>
      </c>
    </row>
    <row r="66064" spans="1:3" x14ac:dyDescent="0.2">
      <c r="B66064" t="s">
        <v>1</v>
      </c>
      <c r="C66064" t="s">
        <v>140</v>
      </c>
    </row>
    <row r="66065" spans="1:3" x14ac:dyDescent="0.2">
      <c r="B66065" t="s">
        <v>8</v>
      </c>
      <c r="C66065" t="s">
        <v>34</v>
      </c>
    </row>
    <row r="66066" spans="1:3" x14ac:dyDescent="0.2">
      <c r="B66066" t="s">
        <v>78</v>
      </c>
    </row>
    <row r="66068" spans="1:3" x14ac:dyDescent="0.2">
      <c r="A66068" t="s">
        <v>20553</v>
      </c>
      <c r="B66068" t="str">
        <f>HYPERLINK("https://lindat.mff.cuni.cz/services/teitok/pdtc10/index.php?action=vallex&amp;frame=v-w9061f1", "zaprodávat (v-w9061f1)")</f>
        <v>zaprodávat (v-w9061f1)</v>
      </c>
    </row>
    <row r="66069" spans="1:3" x14ac:dyDescent="0.2">
      <c r="B66069" t="s">
        <v>1</v>
      </c>
    </row>
    <row r="66070" spans="1:3" x14ac:dyDescent="0.2">
      <c r="B66070" t="s">
        <v>8</v>
      </c>
    </row>
    <row r="66071" spans="1:3" x14ac:dyDescent="0.2">
      <c r="B66071" t="s">
        <v>78</v>
      </c>
    </row>
    <row r="66073" spans="1:3" x14ac:dyDescent="0.2">
      <c r="A66073" t="s">
        <v>20554</v>
      </c>
      <c r="B66073" t="str">
        <f>HYPERLINK("https://lindat.mff.cuni.cz/services/teitok/pdtc10/index.php?action=vallex&amp;frame=v-w9062f1", "zaprodávat se (v-w9062f1)")</f>
        <v>zaprodávat se (v-w9062f1)</v>
      </c>
    </row>
    <row r="66074" spans="1:3" x14ac:dyDescent="0.2">
      <c r="B66074" t="s">
        <v>1</v>
      </c>
    </row>
    <row r="66075" spans="1:3" x14ac:dyDescent="0.2">
      <c r="B66075" t="s">
        <v>103</v>
      </c>
    </row>
    <row r="66077" spans="1:3" x14ac:dyDescent="0.2">
      <c r="A66077" t="s">
        <v>20555</v>
      </c>
      <c r="B66077" t="str">
        <f>HYPERLINK("https://lindat.mff.cuni.cz/services/teitok/pdtc10/index.php?action=vallex&amp;frame=v-w9063f1", "zaprotokolovat (v-w9063f1)")</f>
        <v>zaprotokolovat (v-w9063f1)</v>
      </c>
    </row>
    <row r="66078" spans="1:3" x14ac:dyDescent="0.2">
      <c r="B66078" t="s">
        <v>1</v>
      </c>
    </row>
    <row r="66079" spans="1:3" x14ac:dyDescent="0.2">
      <c r="B66079" t="s">
        <v>8</v>
      </c>
    </row>
    <row r="66081" spans="1:4" x14ac:dyDescent="0.2">
      <c r="A66081" t="s">
        <v>20556</v>
      </c>
      <c r="B66081" t="str">
        <f>HYPERLINK("https://lindat.mff.cuni.cz/services/teitok/pdtc10/index.php?action=vallex&amp;frame=v-w11766_ZUf1_ZU", "zaprášit se (v-w11766_ZUf1_ZU)")</f>
        <v>zaprášit se (v-w11766_ZUf1_ZU)</v>
      </c>
    </row>
    <row r="66082" spans="1:4" x14ac:dyDescent="0.2">
      <c r="B66082" t="s">
        <v>519</v>
      </c>
    </row>
    <row r="66084" spans="1:4" x14ac:dyDescent="0.2">
      <c r="A66084" t="s">
        <v>20557</v>
      </c>
      <c r="B66084" t="str">
        <f>HYPERLINK("https://lindat.mff.cuni.cz/services/teitok/pdtc10/index.php?action=vallex&amp;frame=v-w11013f2", "zapršet (v-w11013f2)")</f>
        <v>zapršet (v-w11013f2)</v>
      </c>
    </row>
    <row r="66086" spans="1:4" x14ac:dyDescent="0.2">
      <c r="A66086" t="s">
        <v>20558</v>
      </c>
      <c r="B66086" t="str">
        <f>HYPERLINK("https://lindat.mff.cuni.cz/services/teitok/pdtc10/index.php?action=vallex&amp;frame=v-w9070f2", "zapsat (v-w9070f2)")</f>
        <v>zapsat (v-w9070f2)</v>
      </c>
    </row>
    <row r="66087" spans="1:4" x14ac:dyDescent="0.2">
      <c r="B66087" t="s">
        <v>1</v>
      </c>
      <c r="C66087" t="s">
        <v>83</v>
      </c>
      <c r="D66087" t="s">
        <v>1271</v>
      </c>
    </row>
    <row r="66088" spans="1:4" x14ac:dyDescent="0.2">
      <c r="B66088" t="s">
        <v>8</v>
      </c>
      <c r="C66088" t="s">
        <v>354</v>
      </c>
      <c r="D66088" t="s">
        <v>24114</v>
      </c>
    </row>
    <row r="66089" spans="1:4" x14ac:dyDescent="0.2">
      <c r="B66089" t="s">
        <v>5</v>
      </c>
      <c r="D66089" t="s">
        <v>24487</v>
      </c>
    </row>
    <row r="66091" spans="1:4" x14ac:dyDescent="0.2">
      <c r="A66091" t="s">
        <v>20559</v>
      </c>
      <c r="B66091" t="str">
        <f>HYPERLINK("https://lindat.mff.cuni.cz/services/teitok/pdtc10/index.php?action=vallex&amp;frame=v-w9070f1", "zapsat (v-w9070f1)")</f>
        <v>zapsat (v-w9070f1)</v>
      </c>
    </row>
    <row r="66092" spans="1:4" x14ac:dyDescent="0.2">
      <c r="B66092" t="s">
        <v>1</v>
      </c>
      <c r="C66092" t="s">
        <v>990</v>
      </c>
      <c r="D66092" t="s">
        <v>2303</v>
      </c>
    </row>
    <row r="66093" spans="1:4" x14ac:dyDescent="0.2">
      <c r="B66093" t="s">
        <v>8</v>
      </c>
      <c r="C66093" t="s">
        <v>17796</v>
      </c>
      <c r="D66093" t="s">
        <v>23561</v>
      </c>
    </row>
    <row r="66094" spans="1:4" x14ac:dyDescent="0.2">
      <c r="B66094" t="s">
        <v>90</v>
      </c>
    </row>
    <row r="66096" spans="1:4" x14ac:dyDescent="0.2">
      <c r="A66096" t="s">
        <v>20560</v>
      </c>
      <c r="B66096" t="str">
        <f>HYPERLINK("https://lindat.mff.cuni.cz/services/teitok/pdtc10/index.php?action=vallex&amp;frame=v-w9070f3", "zapsat (v-w9070f3)")</f>
        <v>zapsat (v-w9070f3)</v>
      </c>
    </row>
    <row r="66097" spans="1:4" x14ac:dyDescent="0.2">
      <c r="B66097" t="s">
        <v>1</v>
      </c>
      <c r="C66097" t="s">
        <v>20561</v>
      </c>
    </row>
    <row r="66098" spans="1:4" x14ac:dyDescent="0.2">
      <c r="B66098" t="s">
        <v>14212</v>
      </c>
      <c r="C66098" t="s">
        <v>10997</v>
      </c>
    </row>
    <row r="66100" spans="1:4" x14ac:dyDescent="0.2">
      <c r="A66100" t="s">
        <v>20562</v>
      </c>
      <c r="B66100" t="str">
        <f>HYPERLINK("https://lindat.mff.cuni.cz/services/teitok/pdtc10/index.php?action=vallex&amp;frame=v-w9070f4", "zapsat (v-w9070f4)")</f>
        <v>zapsat (v-w9070f4)</v>
      </c>
    </row>
    <row r="66101" spans="1:4" x14ac:dyDescent="0.2">
      <c r="B66101" t="s">
        <v>1</v>
      </c>
      <c r="C66101" t="s">
        <v>1680</v>
      </c>
    </row>
    <row r="66102" spans="1:4" x14ac:dyDescent="0.2">
      <c r="B66102" t="s">
        <v>3088</v>
      </c>
      <c r="C66102" t="s">
        <v>7113</v>
      </c>
    </row>
    <row r="66103" spans="1:4" x14ac:dyDescent="0.2">
      <c r="B66103" t="s">
        <v>269</v>
      </c>
      <c r="C66103" t="s">
        <v>54</v>
      </c>
    </row>
    <row r="66105" spans="1:4" x14ac:dyDescent="0.2">
      <c r="A66105" t="s">
        <v>20563</v>
      </c>
      <c r="B66105" t="str">
        <f>HYPERLINK("https://lindat.mff.cuni.cz/services/teitok/pdtc10/index.php?action=vallex&amp;frame=v-w9071f2", "zapsat se (v-w9071f2)")</f>
        <v>zapsat se (v-w9071f2)</v>
      </c>
    </row>
    <row r="66106" spans="1:4" x14ac:dyDescent="0.2">
      <c r="B66106" t="s">
        <v>1</v>
      </c>
    </row>
    <row r="66107" spans="1:4" x14ac:dyDescent="0.2">
      <c r="B66107" t="s">
        <v>5</v>
      </c>
    </row>
    <row r="66109" spans="1:4" x14ac:dyDescent="0.2">
      <c r="A66109" t="s">
        <v>20564</v>
      </c>
      <c r="B66109" t="str">
        <f>HYPERLINK("https://lindat.mff.cuni.cz/services/teitok/pdtc10/index.php?action=vallex&amp;frame=v-w9071f1", "zapsat se (v-w9071f1)")</f>
        <v>zapsat se (v-w9071f1)</v>
      </c>
    </row>
    <row r="66110" spans="1:4" x14ac:dyDescent="0.2">
      <c r="B66110" t="s">
        <v>1</v>
      </c>
      <c r="C66110" t="s">
        <v>579</v>
      </c>
      <c r="D66110" t="s">
        <v>24061</v>
      </c>
    </row>
    <row r="66111" spans="1:4" x14ac:dyDescent="0.2">
      <c r="B66111" t="s">
        <v>90</v>
      </c>
      <c r="C66111" t="s">
        <v>11296</v>
      </c>
      <c r="D66111" t="s">
        <v>24498</v>
      </c>
    </row>
    <row r="66113" spans="1:3" x14ac:dyDescent="0.2">
      <c r="A66113" t="s">
        <v>20565</v>
      </c>
      <c r="B66113" t="str">
        <f>HYPERLINK("https://lindat.mff.cuni.cz/services/teitok/pdtc10/index.php?action=vallex&amp;frame=v-w9072f1", "zapudit (v-w9072f1)")</f>
        <v>zapudit (v-w9072f1)</v>
      </c>
    </row>
    <row r="66114" spans="1:3" x14ac:dyDescent="0.2">
      <c r="B66114" t="s">
        <v>1</v>
      </c>
    </row>
    <row r="66115" spans="1:3" x14ac:dyDescent="0.2">
      <c r="B66115" t="s">
        <v>5970</v>
      </c>
    </row>
    <row r="66117" spans="1:3" x14ac:dyDescent="0.2">
      <c r="A66117" t="s">
        <v>20566</v>
      </c>
      <c r="B66117" t="str">
        <f>HYPERLINK("https://lindat.mff.cuni.cz/services/teitok/pdtc10/index.php?action=vallex&amp;frame=v-w9078f2", "zapustit (v-w9078f2)")</f>
        <v>zapustit (v-w9078f2)</v>
      </c>
    </row>
    <row r="66118" spans="1:3" x14ac:dyDescent="0.2">
      <c r="B66118" t="s">
        <v>1</v>
      </c>
      <c r="C66118" t="s">
        <v>2717</v>
      </c>
    </row>
    <row r="66119" spans="1:3" x14ac:dyDescent="0.2">
      <c r="B66119" t="s">
        <v>8</v>
      </c>
      <c r="C66119" t="s">
        <v>19490</v>
      </c>
    </row>
    <row r="66120" spans="1:3" x14ac:dyDescent="0.2">
      <c r="B66120" t="s">
        <v>5</v>
      </c>
    </row>
    <row r="66122" spans="1:3" x14ac:dyDescent="0.2">
      <c r="A66122" t="s">
        <v>20567</v>
      </c>
      <c r="B66122" t="str">
        <f>HYPERLINK("https://lindat.mff.cuni.cz/services/teitok/pdtc10/index.php?action=vallex&amp;frame=v-w9078f1", "zapustit (v-w9078f1)")</f>
        <v>zapustit (v-w9078f1)</v>
      </c>
    </row>
    <row r="66123" spans="1:3" x14ac:dyDescent="0.2">
      <c r="B66123" t="s">
        <v>1</v>
      </c>
    </row>
    <row r="66124" spans="1:3" x14ac:dyDescent="0.2">
      <c r="B66124" t="s">
        <v>8</v>
      </c>
    </row>
    <row r="66125" spans="1:3" x14ac:dyDescent="0.2">
      <c r="B66125" t="s">
        <v>90</v>
      </c>
    </row>
    <row r="66127" spans="1:3" x14ac:dyDescent="0.2">
      <c r="A66127" t="s">
        <v>20568</v>
      </c>
      <c r="B66127" t="str">
        <f>HYPERLINK("https://lindat.mff.cuni.cz/services/teitok/pdtc10/index.php?action=vallex&amp;frame=v-whsa_1367f1_ZU", "zapáchat (v-whsa_1367f1_ZU)")</f>
        <v>zapáchat (v-whsa_1367f1_ZU)</v>
      </c>
    </row>
    <row r="66128" spans="1:3" x14ac:dyDescent="0.2">
      <c r="B66128" t="s">
        <v>1</v>
      </c>
    </row>
    <row r="66129" spans="1:4" x14ac:dyDescent="0.2">
      <c r="B66129" t="s">
        <v>11136</v>
      </c>
    </row>
    <row r="66131" spans="1:4" x14ac:dyDescent="0.2">
      <c r="A66131" t="s">
        <v>20568</v>
      </c>
      <c r="B66131" t="str">
        <f>HYPERLINK("https://lindat.mff.cuni.cz/services/teitok/pdtc10/index.php?action=vallex&amp;frame=v-whsa_1367hsa_1368", "zapáchat (v-whsa_1367hsa_1368) - substituted with v-whsa_1367f1_ZU")</f>
        <v>zapáchat (v-whsa_1367hsa_1368) - substituted with v-whsa_1367f1_ZU</v>
      </c>
    </row>
    <row r="66132" spans="1:4" x14ac:dyDescent="0.2">
      <c r="B66132" t="s">
        <v>1</v>
      </c>
    </row>
    <row r="66133" spans="1:4" x14ac:dyDescent="0.2">
      <c r="B66133" t="s">
        <v>11136</v>
      </c>
    </row>
    <row r="66135" spans="1:4" x14ac:dyDescent="0.2">
      <c r="A66135" t="s">
        <v>20569</v>
      </c>
      <c r="B66135" t="str">
        <f>HYPERLINK("https://lindat.mff.cuni.cz/services/teitok/pdtc10/index.php?action=vallex&amp;frame=v-w9002f1", "zapálit (v-w9002f1)")</f>
        <v>zapálit (v-w9002f1)</v>
      </c>
    </row>
    <row r="66136" spans="1:4" x14ac:dyDescent="0.2">
      <c r="B66136" t="s">
        <v>1</v>
      </c>
      <c r="C66136" t="s">
        <v>4110</v>
      </c>
      <c r="D66136" t="s">
        <v>33</v>
      </c>
    </row>
    <row r="66137" spans="1:4" x14ac:dyDescent="0.2">
      <c r="B66137" t="s">
        <v>8</v>
      </c>
      <c r="C66137" t="s">
        <v>3433</v>
      </c>
      <c r="D66137" t="s">
        <v>113</v>
      </c>
    </row>
    <row r="66139" spans="1:4" x14ac:dyDescent="0.2">
      <c r="A66139" t="s">
        <v>20570</v>
      </c>
      <c r="B66139" t="str">
        <f>HYPERLINK("https://lindat.mff.cuni.cz/services/teitok/pdtc10/index.php?action=vallex&amp;frame=v-w12348_MMf1_MM", "zapéci (v-w12348_MMf1_MM)")</f>
        <v>zapéci (v-w12348_MMf1_MM)</v>
      </c>
    </row>
    <row r="66140" spans="1:4" x14ac:dyDescent="0.2">
      <c r="B66140" t="s">
        <v>1</v>
      </c>
    </row>
    <row r="66141" spans="1:4" x14ac:dyDescent="0.2">
      <c r="B66141" t="s">
        <v>8</v>
      </c>
    </row>
    <row r="66143" spans="1:4" x14ac:dyDescent="0.2">
      <c r="A66143" t="s">
        <v>20571</v>
      </c>
      <c r="B66143" t="str">
        <f>HYPERLINK("https://lindat.mff.cuni.cz/services/teitok/pdtc10/index.php?action=vallex&amp;frame=v-w9010f2", "zapíchnout (v-w9010f2)")</f>
        <v>zapíchnout (v-w9010f2)</v>
      </c>
    </row>
    <row r="66144" spans="1:4" x14ac:dyDescent="0.2">
      <c r="B66144" t="s">
        <v>1</v>
      </c>
    </row>
    <row r="66145" spans="1:2" x14ac:dyDescent="0.2">
      <c r="B66145" t="s">
        <v>8</v>
      </c>
    </row>
    <row r="66146" spans="1:2" x14ac:dyDescent="0.2">
      <c r="B66146" t="s">
        <v>5</v>
      </c>
    </row>
    <row r="66148" spans="1:2" x14ac:dyDescent="0.2">
      <c r="A66148" t="s">
        <v>20572</v>
      </c>
      <c r="B66148" t="str">
        <f>HYPERLINK("https://lindat.mff.cuni.cz/services/teitok/pdtc10/index.php?action=vallex&amp;frame=v-w9010f1", "zapíchnout (v-w9010f1)")</f>
        <v>zapíchnout (v-w9010f1)</v>
      </c>
    </row>
    <row r="66149" spans="1:2" x14ac:dyDescent="0.2">
      <c r="B66149" t="s">
        <v>1</v>
      </c>
    </row>
    <row r="66150" spans="1:2" x14ac:dyDescent="0.2">
      <c r="B66150" t="s">
        <v>8</v>
      </c>
    </row>
    <row r="66151" spans="1:2" x14ac:dyDescent="0.2">
      <c r="B66151" t="s">
        <v>90</v>
      </c>
    </row>
    <row r="66153" spans="1:2" x14ac:dyDescent="0.2">
      <c r="A66153" t="s">
        <v>20573</v>
      </c>
      <c r="B66153" t="str">
        <f>HYPERLINK("https://lindat.mff.cuni.cz/services/teitok/pdtc10/index.php?action=vallex&amp;frame=v-w9010hsa_573", "zapíchnout (v-w9010hsa_573)")</f>
        <v>zapíchnout (v-w9010hsa_573)</v>
      </c>
    </row>
    <row r="66154" spans="1:2" x14ac:dyDescent="0.2">
      <c r="B66154" t="s">
        <v>1</v>
      </c>
    </row>
    <row r="66155" spans="1:2" x14ac:dyDescent="0.2">
      <c r="B66155" t="s">
        <v>8</v>
      </c>
    </row>
    <row r="66157" spans="1:2" x14ac:dyDescent="0.2">
      <c r="A66157" t="s">
        <v>20574</v>
      </c>
      <c r="B66157" t="str">
        <f>HYPERLINK("https://lindat.mff.cuni.cz/services/teitok/pdtc10/index.php?action=vallex&amp;frame=v-whsa_1337hsa_1338", "zapíchávat (v-whsa_1337hsa_1338)")</f>
        <v>zapíchávat (v-whsa_1337hsa_1338)</v>
      </c>
    </row>
    <row r="66158" spans="1:2" x14ac:dyDescent="0.2">
      <c r="B66158" t="s">
        <v>1</v>
      </c>
    </row>
    <row r="66159" spans="1:2" x14ac:dyDescent="0.2">
      <c r="B66159" t="s">
        <v>8</v>
      </c>
    </row>
    <row r="66160" spans="1:2" x14ac:dyDescent="0.2">
      <c r="B66160" t="s">
        <v>90</v>
      </c>
    </row>
    <row r="66162" spans="1:4" x14ac:dyDescent="0.2">
      <c r="A66162" t="s">
        <v>20575</v>
      </c>
      <c r="B66162" t="str">
        <f>HYPERLINK("https://lindat.mff.cuni.cz/services/teitok/pdtc10/index.php?action=vallex&amp;frame=v-whsa_2045hsa_2046", "zapíjet (v-whsa_2045hsa_2046)")</f>
        <v>zapíjet (v-whsa_2045hsa_2046)</v>
      </c>
    </row>
    <row r="66163" spans="1:4" x14ac:dyDescent="0.2">
      <c r="B66163" t="s">
        <v>1</v>
      </c>
    </row>
    <row r="66164" spans="1:4" x14ac:dyDescent="0.2">
      <c r="B66164" t="s">
        <v>8</v>
      </c>
    </row>
    <row r="66166" spans="1:4" x14ac:dyDescent="0.2">
      <c r="A66166" t="s">
        <v>20576</v>
      </c>
      <c r="B66166" t="str">
        <f>HYPERLINK("https://lindat.mff.cuni.cz/services/teitok/pdtc10/index.php?action=vallex&amp;frame=v-w9011f1", "zapínat (v-w9011f1)")</f>
        <v>zapínat (v-w9011f1)</v>
      </c>
    </row>
    <row r="66167" spans="1:4" x14ac:dyDescent="0.2">
      <c r="B66167" t="s">
        <v>20577</v>
      </c>
      <c r="C66167" t="s">
        <v>140</v>
      </c>
      <c r="D66167" t="s">
        <v>373</v>
      </c>
    </row>
    <row r="66168" spans="1:4" x14ac:dyDescent="0.2">
      <c r="B66168" t="s">
        <v>8</v>
      </c>
      <c r="C66168" t="s">
        <v>113</v>
      </c>
      <c r="D66168" t="s">
        <v>2240</v>
      </c>
    </row>
    <row r="66170" spans="1:4" x14ac:dyDescent="0.2">
      <c r="A66170" t="s">
        <v>20578</v>
      </c>
      <c r="B66170" t="str">
        <f>HYPERLINK("https://lindat.mff.cuni.cz/services/teitok/pdtc10/index.php?action=vallex&amp;frame=v-w9011f2_ZU", "zapínat (v-w9011f2_ZU)")</f>
        <v>zapínat (v-w9011f2_ZU)</v>
      </c>
    </row>
    <row r="66171" spans="1:4" x14ac:dyDescent="0.2">
      <c r="B66171" t="s">
        <v>1</v>
      </c>
      <c r="C66171" t="s">
        <v>140</v>
      </c>
      <c r="D66171" t="s">
        <v>990</v>
      </c>
    </row>
    <row r="66172" spans="1:4" x14ac:dyDescent="0.2">
      <c r="B66172" t="s">
        <v>8</v>
      </c>
      <c r="C66172" t="s">
        <v>113</v>
      </c>
      <c r="D66172" t="s">
        <v>3773</v>
      </c>
    </row>
    <row r="66174" spans="1:4" x14ac:dyDescent="0.2">
      <c r="A66174" t="s">
        <v>20579</v>
      </c>
      <c r="B66174" t="str">
        <f>HYPERLINK("https://lindat.mff.cuni.cz/services/teitok/pdtc10/index.php?action=vallex&amp;frame=v-w10294f2", "zapírat (v-w10294f2)")</f>
        <v>zapírat (v-w10294f2)</v>
      </c>
    </row>
    <row r="66175" spans="1:4" x14ac:dyDescent="0.2">
      <c r="B66175" t="s">
        <v>1</v>
      </c>
    </row>
    <row r="66176" spans="1:4" x14ac:dyDescent="0.2">
      <c r="B66176" t="s">
        <v>587</v>
      </c>
    </row>
    <row r="66177" spans="1:2" x14ac:dyDescent="0.2">
      <c r="B66177" t="s">
        <v>78</v>
      </c>
    </row>
    <row r="66179" spans="1:2" x14ac:dyDescent="0.2">
      <c r="A66179" t="s">
        <v>20580</v>
      </c>
      <c r="B66179" t="str">
        <f>HYPERLINK("https://lindat.mff.cuni.cz/services/teitok/pdtc10/index.php?action=vallex&amp;frame=v-w11810_ZUf1_ZU", "zapít (v-w11810_ZUf1_ZU)")</f>
        <v>zapít (v-w11810_ZUf1_ZU)</v>
      </c>
    </row>
    <row r="66180" spans="1:2" x14ac:dyDescent="0.2">
      <c r="B66180" t="s">
        <v>1</v>
      </c>
    </row>
    <row r="66181" spans="1:2" x14ac:dyDescent="0.2">
      <c r="B66181" t="s">
        <v>8</v>
      </c>
    </row>
    <row r="66183" spans="1:2" x14ac:dyDescent="0.2">
      <c r="A66183" t="s">
        <v>20581</v>
      </c>
      <c r="B66183" t="str">
        <f>HYPERLINK("https://lindat.mff.cuni.cz/services/teitok/pdtc10/index.php?action=vallex&amp;frame=v-w9009f1", "zapět (v-w9009f1)")</f>
        <v>zapět (v-w9009f1)</v>
      </c>
    </row>
    <row r="66184" spans="1:2" x14ac:dyDescent="0.2">
      <c r="B66184" t="s">
        <v>1</v>
      </c>
    </row>
    <row r="66185" spans="1:2" x14ac:dyDescent="0.2">
      <c r="B66185" t="s">
        <v>8</v>
      </c>
    </row>
    <row r="66186" spans="1:2" x14ac:dyDescent="0.2">
      <c r="B66186" t="s">
        <v>78</v>
      </c>
    </row>
    <row r="66188" spans="1:2" x14ac:dyDescent="0.2">
      <c r="A66188" t="s">
        <v>20582</v>
      </c>
      <c r="B66188" t="str">
        <f>HYPERLINK("https://lindat.mff.cuni.cz/services/teitok/pdtc10/index.php?action=vallex&amp;frame=v-w9009f3", "zapět (v-w9009f3)")</f>
        <v>zapět (v-w9009f3)</v>
      </c>
    </row>
    <row r="66189" spans="1:2" x14ac:dyDescent="0.2">
      <c r="B66189" t="s">
        <v>1</v>
      </c>
    </row>
    <row r="66190" spans="1:2" x14ac:dyDescent="0.2">
      <c r="B66190" t="s">
        <v>183</v>
      </c>
    </row>
    <row r="66191" spans="1:2" x14ac:dyDescent="0.2">
      <c r="B66191" t="s">
        <v>78</v>
      </c>
    </row>
    <row r="66193" spans="1:2" x14ac:dyDescent="0.2">
      <c r="A66193" t="s">
        <v>20583</v>
      </c>
      <c r="B66193" t="str">
        <f>HYPERLINK("https://lindat.mff.cuni.cz/services/teitok/pdtc10/index.php?action=vallex&amp;frame=v-w9009f2", "zapět (v-w9009f2)")</f>
        <v>zapět (v-w9009f2)</v>
      </c>
    </row>
    <row r="66194" spans="1:2" x14ac:dyDescent="0.2">
      <c r="B66194" t="s">
        <v>1</v>
      </c>
    </row>
    <row r="66195" spans="1:2" x14ac:dyDescent="0.2">
      <c r="B66195" t="s">
        <v>11005</v>
      </c>
    </row>
    <row r="66196" spans="1:2" x14ac:dyDescent="0.2">
      <c r="B66196" t="s">
        <v>269</v>
      </c>
    </row>
    <row r="66197" spans="1:2" x14ac:dyDescent="0.2">
      <c r="B66197" t="s">
        <v>78</v>
      </c>
    </row>
    <row r="66199" spans="1:2" x14ac:dyDescent="0.2">
      <c r="A66199" t="s">
        <v>20584</v>
      </c>
      <c r="B66199" t="str">
        <f>HYPERLINK("https://lindat.mff.cuni.cz/services/teitok/pdtc10/index.php?action=vallex&amp;frame=v-w9064f1", "zapřáhnout (v-w9064f1)")</f>
        <v>zapřáhnout (v-w9064f1)</v>
      </c>
    </row>
    <row r="66200" spans="1:2" x14ac:dyDescent="0.2">
      <c r="B66200" t="s">
        <v>1</v>
      </c>
    </row>
    <row r="66201" spans="1:2" x14ac:dyDescent="0.2">
      <c r="B66201" t="s">
        <v>8</v>
      </c>
    </row>
    <row r="66202" spans="1:2" x14ac:dyDescent="0.2">
      <c r="B66202" t="s">
        <v>90</v>
      </c>
    </row>
    <row r="66204" spans="1:2" x14ac:dyDescent="0.2">
      <c r="A66204" t="s">
        <v>20585</v>
      </c>
      <c r="B66204" t="str">
        <f>HYPERLINK("https://lindat.mff.cuni.cz/services/teitok/pdtc10/index.php?action=vallex&amp;frame=v-w9064f2_MM", "zapřáhnout (v-w9064f2_MM)")</f>
        <v>zapřáhnout (v-w9064f2_MM)</v>
      </c>
    </row>
    <row r="66205" spans="1:2" x14ac:dyDescent="0.2">
      <c r="B66205" t="s">
        <v>1</v>
      </c>
    </row>
    <row r="66206" spans="1:2" x14ac:dyDescent="0.2">
      <c r="B66206" t="s">
        <v>58</v>
      </c>
    </row>
    <row r="66207" spans="1:2" x14ac:dyDescent="0.2">
      <c r="B66207" t="s">
        <v>3202</v>
      </c>
    </row>
    <row r="66209" spans="1:4" x14ac:dyDescent="0.2">
      <c r="A66209" t="s">
        <v>20586</v>
      </c>
      <c r="B66209" t="str">
        <f>HYPERLINK("https://lindat.mff.cuni.cz/services/teitok/pdtc10/index.php?action=vallex&amp;frame=v-whsa_134hsa_135", "zapříst (v-whsa_134hsa_135)")</f>
        <v>zapříst (v-whsa_134hsa_135)</v>
      </c>
    </row>
    <row r="66210" spans="1:4" x14ac:dyDescent="0.2">
      <c r="B66210" t="s">
        <v>1</v>
      </c>
      <c r="C66210" t="s">
        <v>14079</v>
      </c>
      <c r="D66210" t="s">
        <v>22950</v>
      </c>
    </row>
    <row r="66211" spans="1:4" x14ac:dyDescent="0.2">
      <c r="B66211" t="s">
        <v>8</v>
      </c>
      <c r="C66211" t="s">
        <v>1025</v>
      </c>
      <c r="D66211" t="s">
        <v>22951</v>
      </c>
    </row>
    <row r="66213" spans="1:4" x14ac:dyDescent="0.2">
      <c r="A66213" t="s">
        <v>20587</v>
      </c>
      <c r="B66213" t="str">
        <f>HYPERLINK("https://lindat.mff.cuni.cz/services/teitok/pdtc10/index.php?action=vallex&amp;frame=v-w9067f1", "zapřít (v-w9067f1)")</f>
        <v>zapřít (v-w9067f1)</v>
      </c>
    </row>
    <row r="66214" spans="1:4" x14ac:dyDescent="0.2">
      <c r="B66214" t="s">
        <v>1</v>
      </c>
      <c r="C66214" t="s">
        <v>2031</v>
      </c>
    </row>
    <row r="66215" spans="1:4" x14ac:dyDescent="0.2">
      <c r="B66215" t="s">
        <v>3199</v>
      </c>
      <c r="C66215" t="s">
        <v>7921</v>
      </c>
    </row>
    <row r="66216" spans="1:4" x14ac:dyDescent="0.2">
      <c r="B66216" t="s">
        <v>216</v>
      </c>
    </row>
    <row r="66218" spans="1:4" x14ac:dyDescent="0.2">
      <c r="A66218" t="s">
        <v>20588</v>
      </c>
      <c r="B66218" t="str">
        <f>HYPERLINK("https://lindat.mff.cuni.cz/services/teitok/pdtc10/index.php?action=vallex&amp;frame=v-w9068f1", "zapřít se (v-w9068f1)")</f>
        <v>zapřít se (v-w9068f1)</v>
      </c>
    </row>
    <row r="66219" spans="1:4" x14ac:dyDescent="0.2">
      <c r="B66219" t="s">
        <v>1</v>
      </c>
    </row>
    <row r="66220" spans="1:4" x14ac:dyDescent="0.2">
      <c r="B66220" t="s">
        <v>1186</v>
      </c>
    </row>
    <row r="66222" spans="1:4" x14ac:dyDescent="0.2">
      <c r="A66222" t="s">
        <v>20589</v>
      </c>
      <c r="B66222" t="str">
        <f>HYPERLINK("https://lindat.mff.cuni.cz/services/teitok/pdtc10/index.php?action=vallex&amp;frame=v-w9066f1", "zapříčinit (v-w9066f1)")</f>
        <v>zapříčinit (v-w9066f1)</v>
      </c>
    </row>
    <row r="66223" spans="1:4" x14ac:dyDescent="0.2">
      <c r="B66223" t="s">
        <v>1</v>
      </c>
      <c r="C66223" t="s">
        <v>20590</v>
      </c>
      <c r="D66223" t="s">
        <v>23017</v>
      </c>
    </row>
    <row r="66224" spans="1:4" x14ac:dyDescent="0.2">
      <c r="B66224" t="s">
        <v>5970</v>
      </c>
      <c r="C66224" t="s">
        <v>20591</v>
      </c>
      <c r="D66224" t="s">
        <v>23498</v>
      </c>
    </row>
    <row r="66226" spans="1:4" x14ac:dyDescent="0.2">
      <c r="A66226" t="s">
        <v>20592</v>
      </c>
      <c r="B66226" t="str">
        <f>HYPERLINK("https://lindat.mff.cuni.cz/services/teitok/pdtc10/index.php?action=vallex&amp;frame=v-w10475f2", "zapříčiňovat (v-w10475f2)")</f>
        <v>zapříčiňovat (v-w10475f2)</v>
      </c>
    </row>
    <row r="66227" spans="1:4" x14ac:dyDescent="0.2">
      <c r="B66227" t="s">
        <v>1</v>
      </c>
      <c r="C66227" t="s">
        <v>18990</v>
      </c>
      <c r="D66227" t="s">
        <v>23017</v>
      </c>
    </row>
    <row r="66228" spans="1:4" x14ac:dyDescent="0.2">
      <c r="B66228" t="s">
        <v>5970</v>
      </c>
      <c r="C66228" t="s">
        <v>20593</v>
      </c>
      <c r="D66228" t="s">
        <v>23498</v>
      </c>
    </row>
    <row r="66230" spans="1:4" x14ac:dyDescent="0.2">
      <c r="A66230" t="s">
        <v>20594</v>
      </c>
      <c r="B66230" t="str">
        <f>HYPERLINK("https://lindat.mff.cuni.cz/services/teitok/pdtc10/index.php?action=vallex&amp;frame=v-w9074f1", "zapůjčit (v-w9074f1)")</f>
        <v>zapůjčit (v-w9074f1)</v>
      </c>
    </row>
    <row r="66231" spans="1:4" x14ac:dyDescent="0.2">
      <c r="B66231" t="s">
        <v>1</v>
      </c>
      <c r="C66231" t="s">
        <v>964</v>
      </c>
      <c r="D66231" t="s">
        <v>23076</v>
      </c>
    </row>
    <row r="66232" spans="1:4" x14ac:dyDescent="0.2">
      <c r="B66232" t="s">
        <v>8</v>
      </c>
      <c r="C66232" t="s">
        <v>6990</v>
      </c>
      <c r="D66232" t="s">
        <v>23077</v>
      </c>
    </row>
    <row r="66233" spans="1:4" x14ac:dyDescent="0.2">
      <c r="B66233" t="s">
        <v>35</v>
      </c>
      <c r="C66233" t="s">
        <v>10763</v>
      </c>
      <c r="D66233" t="s">
        <v>23078</v>
      </c>
    </row>
    <row r="66235" spans="1:4" x14ac:dyDescent="0.2">
      <c r="A66235" t="s">
        <v>20595</v>
      </c>
      <c r="B66235" t="str">
        <f>HYPERLINK("https://lindat.mff.cuni.cz/services/teitok/pdtc10/index.php?action=vallex&amp;frame=v-w9075f1", "zapůjčit si (v-w9075f1)")</f>
        <v>zapůjčit si (v-w9075f1)</v>
      </c>
    </row>
    <row r="66236" spans="1:4" x14ac:dyDescent="0.2">
      <c r="B66236" t="s">
        <v>1</v>
      </c>
    </row>
    <row r="66237" spans="1:4" x14ac:dyDescent="0.2">
      <c r="B66237" t="s">
        <v>8</v>
      </c>
    </row>
    <row r="66238" spans="1:4" x14ac:dyDescent="0.2">
      <c r="B66238" t="s">
        <v>321</v>
      </c>
    </row>
    <row r="66240" spans="1:4" x14ac:dyDescent="0.2">
      <c r="A66240" t="s">
        <v>20596</v>
      </c>
      <c r="B66240" t="str">
        <f>HYPERLINK("https://lindat.mff.cuni.cz/services/teitok/pdtc10/index.php?action=vallex&amp;frame=v-w9077f1", "zapůsobit (v-w9077f1)")</f>
        <v>zapůsobit (v-w9077f1)</v>
      </c>
    </row>
    <row r="66241" spans="1:4" x14ac:dyDescent="0.2">
      <c r="B66241" t="s">
        <v>2969</v>
      </c>
      <c r="C66241" t="s">
        <v>20597</v>
      </c>
      <c r="D66241" t="s">
        <v>22</v>
      </c>
    </row>
    <row r="66242" spans="1:4" x14ac:dyDescent="0.2">
      <c r="B66242" t="s">
        <v>28</v>
      </c>
      <c r="C66242" t="s">
        <v>56</v>
      </c>
      <c r="D66242" t="s">
        <v>56</v>
      </c>
    </row>
    <row r="66244" spans="1:4" x14ac:dyDescent="0.2">
      <c r="A66244" t="s">
        <v>20598</v>
      </c>
      <c r="B66244" t="str">
        <f>HYPERLINK("https://lindat.mff.cuni.cz/services/teitok/pdtc10/index.php?action=vallex&amp;frame=v-w9079f1", "zaradovat se (v-w9079f1)")</f>
        <v>zaradovat se (v-w9079f1)</v>
      </c>
    </row>
    <row r="66245" spans="1:4" x14ac:dyDescent="0.2">
      <c r="B66245" t="s">
        <v>1</v>
      </c>
      <c r="D66245" t="s">
        <v>33</v>
      </c>
    </row>
    <row r="66246" spans="1:4" x14ac:dyDescent="0.2">
      <c r="B66246" t="s">
        <v>6427</v>
      </c>
      <c r="D66246" t="s">
        <v>991</v>
      </c>
    </row>
    <row r="66248" spans="1:4" x14ac:dyDescent="0.2">
      <c r="A66248" t="s">
        <v>20599</v>
      </c>
      <c r="B66248" t="str">
        <f>HYPERLINK("https://lindat.mff.cuni.cz/services/teitok/pdtc10/index.php?action=vallex&amp;frame=v-w9081f4", "zarazit (v-w9081f4)")</f>
        <v>zarazit (v-w9081f4)</v>
      </c>
    </row>
    <row r="66249" spans="1:4" x14ac:dyDescent="0.2">
      <c r="B66249" t="s">
        <v>1</v>
      </c>
    </row>
    <row r="66250" spans="1:4" x14ac:dyDescent="0.2">
      <c r="B66250" t="s">
        <v>8</v>
      </c>
    </row>
    <row r="66251" spans="1:4" x14ac:dyDescent="0.2">
      <c r="B66251" t="s">
        <v>5</v>
      </c>
    </row>
    <row r="66253" spans="1:4" x14ac:dyDescent="0.2">
      <c r="A66253" t="s">
        <v>20600</v>
      </c>
      <c r="B66253" t="str">
        <f>HYPERLINK("https://lindat.mff.cuni.cz/services/teitok/pdtc10/index.php?action=vallex&amp;frame=v-w9081f3", "zarazit (v-w9081f3)")</f>
        <v>zarazit (v-w9081f3)</v>
      </c>
    </row>
    <row r="66254" spans="1:4" x14ac:dyDescent="0.2">
      <c r="B66254" t="s">
        <v>1</v>
      </c>
      <c r="C66254" t="s">
        <v>20601</v>
      </c>
      <c r="D66254" t="s">
        <v>23181</v>
      </c>
    </row>
    <row r="66255" spans="1:4" x14ac:dyDescent="0.2">
      <c r="B66255" t="s">
        <v>8</v>
      </c>
      <c r="C66255" t="s">
        <v>20602</v>
      </c>
      <c r="D66255" t="s">
        <v>23182</v>
      </c>
    </row>
    <row r="66256" spans="1:4" x14ac:dyDescent="0.2">
      <c r="B66256" t="s">
        <v>90</v>
      </c>
      <c r="D66256" t="s">
        <v>11579</v>
      </c>
    </row>
    <row r="66258" spans="1:4" x14ac:dyDescent="0.2">
      <c r="A66258" t="s">
        <v>20603</v>
      </c>
      <c r="B66258" t="str">
        <f>HYPERLINK("https://lindat.mff.cuni.cz/services/teitok/pdtc10/index.php?action=vallex&amp;frame=v-w9081f2", "zarazit (v-w9081f2)")</f>
        <v>zarazit (v-w9081f2)</v>
      </c>
    </row>
    <row r="66259" spans="1:4" x14ac:dyDescent="0.2">
      <c r="B66259" t="s">
        <v>7753</v>
      </c>
      <c r="C66259" t="s">
        <v>1162</v>
      </c>
      <c r="D66259" t="s">
        <v>23416</v>
      </c>
    </row>
    <row r="66260" spans="1:4" x14ac:dyDescent="0.2">
      <c r="B66260" t="s">
        <v>8</v>
      </c>
      <c r="C66260" t="s">
        <v>20604</v>
      </c>
      <c r="D66260" t="s">
        <v>23417</v>
      </c>
    </row>
    <row r="66262" spans="1:4" x14ac:dyDescent="0.2">
      <c r="A66262" t="s">
        <v>20605</v>
      </c>
      <c r="B66262" t="str">
        <f>HYPERLINK("https://lindat.mff.cuni.cz/services/teitok/pdtc10/index.php?action=vallex&amp;frame=v-w9081f1", "zarazit (v-w9081f1)")</f>
        <v>zarazit (v-w9081f1)</v>
      </c>
    </row>
    <row r="66263" spans="1:4" x14ac:dyDescent="0.2">
      <c r="B66263" t="s">
        <v>1</v>
      </c>
    </row>
    <row r="66264" spans="1:4" x14ac:dyDescent="0.2">
      <c r="B66264" t="s">
        <v>8</v>
      </c>
    </row>
    <row r="66266" spans="1:4" x14ac:dyDescent="0.2">
      <c r="A66266" t="s">
        <v>20606</v>
      </c>
      <c r="B66266" t="str">
        <f>HYPERLINK("https://lindat.mff.cuni.cz/services/teitok/pdtc10/index.php?action=vallex&amp;frame=v-w11638_ZUf1_ZU", "zarazit se (v-w11638_ZUf1_ZU)")</f>
        <v>zarazit se (v-w11638_ZUf1_ZU)</v>
      </c>
    </row>
    <row r="66267" spans="1:4" x14ac:dyDescent="0.2">
      <c r="B66267" t="s">
        <v>1</v>
      </c>
      <c r="D66267" t="s">
        <v>24470</v>
      </c>
    </row>
    <row r="66268" spans="1:4" x14ac:dyDescent="0.2">
      <c r="B66268" t="s">
        <v>889</v>
      </c>
      <c r="D66268" t="s">
        <v>24499</v>
      </c>
    </row>
    <row r="66270" spans="1:4" x14ac:dyDescent="0.2">
      <c r="A66270" t="s">
        <v>20607</v>
      </c>
      <c r="B66270" t="str">
        <f>HYPERLINK("https://lindat.mff.cuni.cz/services/teitok/pdtc10/index.php?action=vallex&amp;frame=v-w11638_ZUhsa_30", "zarazit se (v-w11638_ZUhsa_30)")</f>
        <v>zarazit se (v-w11638_ZUhsa_30)</v>
      </c>
    </row>
    <row r="66271" spans="1:4" x14ac:dyDescent="0.2">
      <c r="B66271" t="s">
        <v>1</v>
      </c>
    </row>
    <row r="66272" spans="1:4" x14ac:dyDescent="0.2">
      <c r="B66272" t="s">
        <v>20608</v>
      </c>
    </row>
    <row r="66274" spans="1:4" x14ac:dyDescent="0.2">
      <c r="A66274" t="s">
        <v>20609</v>
      </c>
      <c r="B66274" t="str">
        <f>HYPERLINK("https://lindat.mff.cuni.cz/services/teitok/pdtc10/index.php?action=vallex&amp;frame=v-w11638_ZUf2_ZU", "zarazit se (v-w11638_ZUf2_ZU)")</f>
        <v>zarazit se (v-w11638_ZUf2_ZU)</v>
      </c>
    </row>
    <row r="66275" spans="1:4" x14ac:dyDescent="0.2">
      <c r="B66275" t="s">
        <v>1</v>
      </c>
    </row>
    <row r="66277" spans="1:4" x14ac:dyDescent="0.2">
      <c r="A66277" t="s">
        <v>20609</v>
      </c>
      <c r="B66277" t="str">
        <f>HYPERLINK("https://lindat.mff.cuni.cz/services/teitok/pdtc10/index.php?action=vallex&amp;frame=v-w11638_ZUhsa_32", "zarazit se (v-w11638_ZUhsa_32) - substituted with v-w11638_ZUf2_ZU")</f>
        <v>zarazit se (v-w11638_ZUhsa_32) - substituted with v-w11638_ZUf2_ZU</v>
      </c>
    </row>
    <row r="66278" spans="1:4" x14ac:dyDescent="0.2">
      <c r="B66278" t="s">
        <v>1</v>
      </c>
    </row>
    <row r="66280" spans="1:4" x14ac:dyDescent="0.2">
      <c r="A66280" t="s">
        <v>20610</v>
      </c>
      <c r="B66280" t="str">
        <f>HYPERLINK("https://lindat.mff.cuni.cz/services/teitok/pdtc10/index.php?action=vallex&amp;frame=v-w9083f1", "zareagovat (v-w9083f1)")</f>
        <v>zareagovat (v-w9083f1)</v>
      </c>
    </row>
    <row r="66281" spans="1:4" x14ac:dyDescent="0.2">
      <c r="B66281" t="s">
        <v>1</v>
      </c>
      <c r="C66281" t="s">
        <v>20611</v>
      </c>
      <c r="D66281" t="s">
        <v>3597</v>
      </c>
    </row>
    <row r="66282" spans="1:4" x14ac:dyDescent="0.2">
      <c r="B66282" t="s">
        <v>28</v>
      </c>
      <c r="C66282" t="s">
        <v>20612</v>
      </c>
      <c r="D66282" t="s">
        <v>23660</v>
      </c>
    </row>
    <row r="66284" spans="1:4" x14ac:dyDescent="0.2">
      <c r="A66284" t="s">
        <v>20613</v>
      </c>
      <c r="B66284" t="str">
        <f>HYPERLINK("https://lindat.mff.cuni.cz/services/teitok/pdtc10/index.php?action=vallex&amp;frame=v-w9083hsa_1225", "zareagovat (v-w9083hsa_1225)")</f>
        <v>zareagovat (v-w9083hsa_1225)</v>
      </c>
    </row>
    <row r="66285" spans="1:4" x14ac:dyDescent="0.2">
      <c r="B66285" t="s">
        <v>1</v>
      </c>
      <c r="D66285" t="s">
        <v>3597</v>
      </c>
    </row>
    <row r="66286" spans="1:4" x14ac:dyDescent="0.2">
      <c r="B66286" t="s">
        <v>20614</v>
      </c>
      <c r="D66286" t="s">
        <v>24500</v>
      </c>
    </row>
    <row r="66287" spans="1:4" x14ac:dyDescent="0.2">
      <c r="B66287" t="s">
        <v>46</v>
      </c>
      <c r="D66287" t="s">
        <v>23660</v>
      </c>
    </row>
    <row r="66289" spans="1:4" x14ac:dyDescent="0.2">
      <c r="A66289" t="s">
        <v>20613</v>
      </c>
      <c r="B66289" t="str">
        <f>HYPERLINK("https://lindat.mff.cuni.cz/services/teitok/pdtc10/index.php?action=vallex&amp;frame=v-w9083f2", "zareagovat (v-w9083f2) - substituted with v-w9083hsa_1225")</f>
        <v>zareagovat (v-w9083f2) - substituted with v-w9083hsa_1225</v>
      </c>
    </row>
    <row r="66290" spans="1:4" x14ac:dyDescent="0.2">
      <c r="B66290" t="s">
        <v>1</v>
      </c>
      <c r="C66290" t="s">
        <v>2145</v>
      </c>
    </row>
    <row r="66291" spans="1:4" x14ac:dyDescent="0.2">
      <c r="B66291" t="s">
        <v>20614</v>
      </c>
      <c r="C66291" t="s">
        <v>20615</v>
      </c>
    </row>
    <row r="66292" spans="1:4" x14ac:dyDescent="0.2">
      <c r="B66292" t="s">
        <v>46</v>
      </c>
      <c r="C66292" t="s">
        <v>17492</v>
      </c>
    </row>
    <row r="66294" spans="1:4" x14ac:dyDescent="0.2">
      <c r="A66294" t="s">
        <v>20616</v>
      </c>
      <c r="B66294" t="str">
        <f>HYPERLINK("https://lindat.mff.cuni.cz/services/teitok/pdtc10/index.php?action=vallex&amp;frame=v-w9085f1", "zaregistrovat (v-w9085f1)")</f>
        <v>zaregistrovat (v-w9085f1)</v>
      </c>
    </row>
    <row r="66295" spans="1:4" x14ac:dyDescent="0.2">
      <c r="B66295" t="s">
        <v>1</v>
      </c>
      <c r="C66295" t="s">
        <v>1556</v>
      </c>
      <c r="D66295" t="s">
        <v>3542</v>
      </c>
    </row>
    <row r="66296" spans="1:4" x14ac:dyDescent="0.2">
      <c r="B66296" t="s">
        <v>14212</v>
      </c>
      <c r="C66296" t="s">
        <v>4079</v>
      </c>
      <c r="D66296" t="s">
        <v>1078</v>
      </c>
    </row>
    <row r="66298" spans="1:4" x14ac:dyDescent="0.2">
      <c r="A66298" t="s">
        <v>20617</v>
      </c>
      <c r="B66298" t="str">
        <f>HYPERLINK("https://lindat.mff.cuni.cz/services/teitok/pdtc10/index.php?action=vallex&amp;frame=v-w9085f2", "zaregistrovat (v-w9085f2)")</f>
        <v>zaregistrovat (v-w9085f2)</v>
      </c>
    </row>
    <row r="66299" spans="1:4" x14ac:dyDescent="0.2">
      <c r="B66299" t="s">
        <v>1</v>
      </c>
      <c r="C66299" t="s">
        <v>6700</v>
      </c>
      <c r="D66299" t="s">
        <v>1271</v>
      </c>
    </row>
    <row r="66300" spans="1:4" x14ac:dyDescent="0.2">
      <c r="B66300" t="s">
        <v>8</v>
      </c>
      <c r="C66300" t="s">
        <v>20618</v>
      </c>
      <c r="D66300" t="s">
        <v>24114</v>
      </c>
    </row>
    <row r="66302" spans="1:4" x14ac:dyDescent="0.2">
      <c r="A66302" t="s">
        <v>20619</v>
      </c>
      <c r="B66302" t="str">
        <f>HYPERLINK("https://lindat.mff.cuni.cz/services/teitok/pdtc10/index.php?action=vallex&amp;frame=v-w10917f2", "zarezervovat (v-w10917f2)")</f>
        <v>zarezervovat (v-w10917f2)</v>
      </c>
    </row>
    <row r="66303" spans="1:4" x14ac:dyDescent="0.2">
      <c r="B66303" t="s">
        <v>1</v>
      </c>
      <c r="D66303" t="s">
        <v>3081</v>
      </c>
    </row>
    <row r="66304" spans="1:4" x14ac:dyDescent="0.2">
      <c r="B66304" t="s">
        <v>8</v>
      </c>
      <c r="D66304" t="s">
        <v>23630</v>
      </c>
    </row>
    <row r="66305" spans="1:4" x14ac:dyDescent="0.2">
      <c r="B66305" t="s">
        <v>2542</v>
      </c>
      <c r="D66305" t="s">
        <v>11333</v>
      </c>
    </row>
    <row r="66307" spans="1:4" x14ac:dyDescent="0.2">
      <c r="A66307" t="s">
        <v>20620</v>
      </c>
      <c r="B66307" t="str">
        <f>HYPERLINK("https://lindat.mff.cuni.cz/services/teitok/pdtc10/index.php?action=vallex&amp;frame=v-w9086f1", "zariskovat (v-w9086f1)")</f>
        <v>zariskovat (v-w9086f1)</v>
      </c>
    </row>
    <row r="66308" spans="1:4" x14ac:dyDescent="0.2">
      <c r="B66308" t="s">
        <v>1</v>
      </c>
      <c r="C66308" t="s">
        <v>337</v>
      </c>
    </row>
    <row r="66310" spans="1:4" x14ac:dyDescent="0.2">
      <c r="A66310" t="s">
        <v>20621</v>
      </c>
      <c r="B66310" t="str">
        <f>HYPERLINK("https://lindat.mff.cuni.cz/services/teitok/pdtc10/index.php?action=vallex&amp;frame=v-w10670f2", "zarmoutit (v-w10670f2)")</f>
        <v>zarmoutit (v-w10670f2)</v>
      </c>
    </row>
    <row r="66311" spans="1:4" x14ac:dyDescent="0.2">
      <c r="B66311" t="s">
        <v>1</v>
      </c>
      <c r="C66311" t="s">
        <v>373</v>
      </c>
      <c r="D66311" t="s">
        <v>373</v>
      </c>
    </row>
    <row r="66312" spans="1:4" x14ac:dyDescent="0.2">
      <c r="B66312" t="s">
        <v>8</v>
      </c>
      <c r="C66312" t="s">
        <v>1510</v>
      </c>
      <c r="D66312" t="s">
        <v>24148</v>
      </c>
    </row>
    <row r="66314" spans="1:4" x14ac:dyDescent="0.2">
      <c r="A66314" t="s">
        <v>20622</v>
      </c>
      <c r="B66314" t="str">
        <f>HYPERLINK("https://lindat.mff.cuni.cz/services/teitok/pdtc10/index.php?action=vallex&amp;frame=v-w9089f1", "zaručit (v-w9089f1)")</f>
        <v>zaručit (v-w9089f1)</v>
      </c>
    </row>
    <row r="66315" spans="1:4" x14ac:dyDescent="0.2">
      <c r="B66315" t="s">
        <v>1</v>
      </c>
      <c r="C66315" t="s">
        <v>20623</v>
      </c>
      <c r="D66315" t="s">
        <v>317</v>
      </c>
    </row>
    <row r="66316" spans="1:4" x14ac:dyDescent="0.2">
      <c r="B66316" t="s">
        <v>5970</v>
      </c>
      <c r="C66316" t="s">
        <v>20624</v>
      </c>
      <c r="D66316" t="s">
        <v>1241</v>
      </c>
    </row>
    <row r="66317" spans="1:4" x14ac:dyDescent="0.2">
      <c r="B66317" t="s">
        <v>1629</v>
      </c>
      <c r="C66317" t="s">
        <v>20625</v>
      </c>
      <c r="D66317" t="s">
        <v>3185</v>
      </c>
    </row>
    <row r="66319" spans="1:4" x14ac:dyDescent="0.2">
      <c r="A66319" t="s">
        <v>20626</v>
      </c>
      <c r="B66319" t="str">
        <f>HYPERLINK("https://lindat.mff.cuni.cz/services/teitok/pdtc10/index.php?action=vallex&amp;frame=v-w9090hsa_260", "zaručit se (v-w9090hsa_260)")</f>
        <v>zaručit se (v-w9090hsa_260)</v>
      </c>
    </row>
    <row r="66320" spans="1:4" x14ac:dyDescent="0.2">
      <c r="B66320" t="s">
        <v>1</v>
      </c>
      <c r="C66320" t="s">
        <v>3622</v>
      </c>
    </row>
    <row r="66321" spans="1:4" x14ac:dyDescent="0.2">
      <c r="B66321" t="s">
        <v>20627</v>
      </c>
      <c r="C66321" t="s">
        <v>977</v>
      </c>
    </row>
    <row r="66322" spans="1:4" x14ac:dyDescent="0.2">
      <c r="B66322" t="s">
        <v>35</v>
      </c>
      <c r="C66322" t="s">
        <v>3185</v>
      </c>
    </row>
    <row r="66324" spans="1:4" x14ac:dyDescent="0.2">
      <c r="A66324" t="s">
        <v>20626</v>
      </c>
      <c r="B66324" t="str">
        <f>HYPERLINK("https://lindat.mff.cuni.cz/services/teitok/pdtc10/index.php?action=vallex&amp;frame=v-w9090f1", "zaručit se (v-w9090f1) - substituted with v-w9090hsa_260")</f>
        <v>zaručit se (v-w9090f1) - substituted with v-w9090hsa_260</v>
      </c>
    </row>
    <row r="66325" spans="1:4" x14ac:dyDescent="0.2">
      <c r="B66325" t="s">
        <v>1</v>
      </c>
      <c r="C66325" t="s">
        <v>1774</v>
      </c>
    </row>
    <row r="66326" spans="1:4" x14ac:dyDescent="0.2">
      <c r="B66326" t="s">
        <v>20627</v>
      </c>
      <c r="C66326" t="s">
        <v>3324</v>
      </c>
    </row>
    <row r="66327" spans="1:4" x14ac:dyDescent="0.2">
      <c r="B66327" t="s">
        <v>35</v>
      </c>
      <c r="C66327" t="s">
        <v>3185</v>
      </c>
    </row>
    <row r="66329" spans="1:4" x14ac:dyDescent="0.2">
      <c r="A66329" t="s">
        <v>20626</v>
      </c>
      <c r="B66329" t="str">
        <f>HYPERLINK("https://lindat.mff.cuni.cz/services/teitok/pdtc10/index.php?action=vallex&amp;frame=v-w9090f2_ZU", "zaručit se (v-w9090f2_ZU) - substituted with v-w9090hsa_260")</f>
        <v>zaručit se (v-w9090f2_ZU) - substituted with v-w9090hsa_260</v>
      </c>
    </row>
    <row r="66330" spans="1:4" x14ac:dyDescent="0.2">
      <c r="B66330" t="s">
        <v>1</v>
      </c>
      <c r="C66330" t="s">
        <v>3622</v>
      </c>
    </row>
    <row r="66331" spans="1:4" x14ac:dyDescent="0.2">
      <c r="B66331" t="s">
        <v>20627</v>
      </c>
      <c r="C66331" t="s">
        <v>977</v>
      </c>
    </row>
    <row r="66332" spans="1:4" x14ac:dyDescent="0.2">
      <c r="B66332" t="s">
        <v>35</v>
      </c>
      <c r="C66332" t="s">
        <v>3185</v>
      </c>
    </row>
    <row r="66334" spans="1:4" x14ac:dyDescent="0.2">
      <c r="A66334" t="s">
        <v>20628</v>
      </c>
      <c r="B66334" t="str">
        <f>HYPERLINK("https://lindat.mff.cuni.cz/services/teitok/pdtc10/index.php?action=vallex&amp;frame=v-w9091f3_ZU", "zaručovat (v-w9091f3_ZU)")</f>
        <v>zaručovat (v-w9091f3_ZU)</v>
      </c>
    </row>
    <row r="66335" spans="1:4" x14ac:dyDescent="0.2">
      <c r="B66335" t="s">
        <v>1</v>
      </c>
      <c r="D66335" t="s">
        <v>317</v>
      </c>
    </row>
    <row r="66336" spans="1:4" x14ac:dyDescent="0.2">
      <c r="B66336" t="s">
        <v>1921</v>
      </c>
      <c r="D66336" t="s">
        <v>1241</v>
      </c>
    </row>
    <row r="66337" spans="1:4" x14ac:dyDescent="0.2">
      <c r="B66337" t="s">
        <v>1629</v>
      </c>
      <c r="D66337" t="s">
        <v>3185</v>
      </c>
    </row>
    <row r="66339" spans="1:4" x14ac:dyDescent="0.2">
      <c r="A66339" t="s">
        <v>20628</v>
      </c>
      <c r="B66339" t="str">
        <f>HYPERLINK("https://lindat.mff.cuni.cz/services/teitok/pdtc10/index.php?action=vallex&amp;frame=v-w9091f1", "zaručovat (v-w9091f1) - substituted with v-w9091f3_ZU")</f>
        <v>zaručovat (v-w9091f1) - substituted with v-w9091f3_ZU</v>
      </c>
    </row>
    <row r="66340" spans="1:4" x14ac:dyDescent="0.2">
      <c r="B66340" t="s">
        <v>1</v>
      </c>
      <c r="C66340" t="s">
        <v>19342</v>
      </c>
    </row>
    <row r="66341" spans="1:4" x14ac:dyDescent="0.2">
      <c r="B66341" t="s">
        <v>1921</v>
      </c>
      <c r="C66341" t="s">
        <v>20629</v>
      </c>
    </row>
    <row r="66342" spans="1:4" x14ac:dyDescent="0.2">
      <c r="B66342" t="s">
        <v>1629</v>
      </c>
      <c r="C66342" t="s">
        <v>20630</v>
      </c>
    </row>
    <row r="66344" spans="1:4" x14ac:dyDescent="0.2">
      <c r="A66344" t="s">
        <v>20628</v>
      </c>
      <c r="B66344" t="str">
        <f>HYPERLINK("https://lindat.mff.cuni.cz/services/teitok/pdtc10/index.php?action=vallex&amp;frame=v-w9091f2_ZU", "zaručovat (v-w9091f2_ZU) - substituted with v-w9091f3_ZU")</f>
        <v>zaručovat (v-w9091f2_ZU) - substituted with v-w9091f3_ZU</v>
      </c>
    </row>
    <row r="66345" spans="1:4" x14ac:dyDescent="0.2">
      <c r="B66345" t="s">
        <v>1</v>
      </c>
    </row>
    <row r="66346" spans="1:4" x14ac:dyDescent="0.2">
      <c r="B66346" t="s">
        <v>1921</v>
      </c>
    </row>
    <row r="66347" spans="1:4" x14ac:dyDescent="0.2">
      <c r="B66347" t="s">
        <v>1629</v>
      </c>
    </row>
    <row r="66349" spans="1:4" x14ac:dyDescent="0.2">
      <c r="A66349" t="s">
        <v>20631</v>
      </c>
      <c r="B66349" t="str">
        <f>HYPERLINK("https://lindat.mff.cuni.cz/services/teitok/pdtc10/index.php?action=vallex&amp;frame=v-w11436f1", "zarybařit si (v-w11436f1)")</f>
        <v>zarybařit si (v-w11436f1)</v>
      </c>
    </row>
    <row r="66350" spans="1:4" x14ac:dyDescent="0.2">
      <c r="B66350" t="s">
        <v>1</v>
      </c>
    </row>
    <row r="66352" spans="1:4" x14ac:dyDescent="0.2">
      <c r="A66352" t="s">
        <v>20632</v>
      </c>
      <c r="B66352" t="str">
        <f>HYPERLINK("https://lindat.mff.cuni.cz/services/teitok/pdtc10/index.php?action=vallex&amp;frame=v-whsa_292hsa_293", "zarychtovat (v-whsa_292hsa_293)")</f>
        <v>zarychtovat (v-whsa_292hsa_293)</v>
      </c>
    </row>
    <row r="66353" spans="1:2" x14ac:dyDescent="0.2">
      <c r="B66353" t="s">
        <v>1</v>
      </c>
    </row>
    <row r="66354" spans="1:2" x14ac:dyDescent="0.2">
      <c r="B66354" t="s">
        <v>8</v>
      </c>
    </row>
    <row r="66356" spans="1:2" x14ac:dyDescent="0.2">
      <c r="A66356" t="s">
        <v>20633</v>
      </c>
      <c r="B66356" t="str">
        <f>HYPERLINK("https://lindat.mff.cuni.cz/services/teitok/pdtc10/index.php?action=vallex&amp;frame=v-w9080f1", "zarámovat (v-w9080f1)")</f>
        <v>zarámovat (v-w9080f1)</v>
      </c>
    </row>
    <row r="66357" spans="1:2" x14ac:dyDescent="0.2">
      <c r="B66357" t="s">
        <v>1</v>
      </c>
    </row>
    <row r="66358" spans="1:2" x14ac:dyDescent="0.2">
      <c r="B66358" t="s">
        <v>8</v>
      </c>
    </row>
    <row r="66360" spans="1:2" x14ac:dyDescent="0.2">
      <c r="A66360" t="s">
        <v>20634</v>
      </c>
      <c r="B66360" t="str">
        <f>HYPERLINK("https://lindat.mff.cuni.cz/services/teitok/pdtc10/index.php?action=vallex&amp;frame=v-w9080f2", "zarámovat (v-w9080f2)")</f>
        <v>zarámovat (v-w9080f2)</v>
      </c>
    </row>
    <row r="66361" spans="1:2" x14ac:dyDescent="0.2">
      <c r="B66361" t="s">
        <v>1</v>
      </c>
    </row>
    <row r="66362" spans="1:2" x14ac:dyDescent="0.2">
      <c r="B66362" t="s">
        <v>8</v>
      </c>
    </row>
    <row r="66364" spans="1:2" x14ac:dyDescent="0.2">
      <c r="A66364" t="s">
        <v>20635</v>
      </c>
      <c r="B66364" t="str">
        <f>HYPERLINK("https://lindat.mff.cuni.cz/services/teitok/pdtc10/index.php?action=vallex&amp;frame=v-w9082f3", "zarážet (v-w9082f3)")</f>
        <v>zarážet (v-w9082f3)</v>
      </c>
    </row>
    <row r="66365" spans="1:2" x14ac:dyDescent="0.2">
      <c r="B66365" t="s">
        <v>1</v>
      </c>
    </row>
    <row r="66366" spans="1:2" x14ac:dyDescent="0.2">
      <c r="B66366" t="s">
        <v>8</v>
      </c>
    </row>
    <row r="66367" spans="1:2" x14ac:dyDescent="0.2">
      <c r="B66367" t="s">
        <v>5</v>
      </c>
    </row>
    <row r="66369" spans="1:4" x14ac:dyDescent="0.2">
      <c r="A66369" t="s">
        <v>20636</v>
      </c>
      <c r="B66369" t="str">
        <f>HYPERLINK("https://lindat.mff.cuni.cz/services/teitok/pdtc10/index.php?action=vallex&amp;frame=v-w9082f2", "zarážet (v-w9082f2)")</f>
        <v>zarážet (v-w9082f2)</v>
      </c>
    </row>
    <row r="66370" spans="1:4" x14ac:dyDescent="0.2">
      <c r="B66370" t="s">
        <v>1</v>
      </c>
      <c r="D66370" t="s">
        <v>23181</v>
      </c>
    </row>
    <row r="66371" spans="1:4" x14ac:dyDescent="0.2">
      <c r="B66371" t="s">
        <v>8</v>
      </c>
      <c r="D66371" t="s">
        <v>23182</v>
      </c>
    </row>
    <row r="66372" spans="1:4" x14ac:dyDescent="0.2">
      <c r="B66372" t="s">
        <v>90</v>
      </c>
      <c r="D66372" t="s">
        <v>11579</v>
      </c>
    </row>
    <row r="66374" spans="1:4" x14ac:dyDescent="0.2">
      <c r="A66374" t="s">
        <v>20637</v>
      </c>
      <c r="B66374" t="str">
        <f>HYPERLINK("https://lindat.mff.cuni.cz/services/teitok/pdtc10/index.php?action=vallex&amp;frame=v-w9082f1", "zarážet (v-w9082f1)")</f>
        <v>zarážet (v-w9082f1)</v>
      </c>
    </row>
    <row r="66375" spans="1:4" x14ac:dyDescent="0.2">
      <c r="B66375" t="s">
        <v>7753</v>
      </c>
      <c r="D66375" t="s">
        <v>23416</v>
      </c>
    </row>
    <row r="66376" spans="1:4" x14ac:dyDescent="0.2">
      <c r="B66376" t="s">
        <v>8</v>
      </c>
      <c r="D66376" t="s">
        <v>23417</v>
      </c>
    </row>
    <row r="66378" spans="1:4" x14ac:dyDescent="0.2">
      <c r="A66378" t="s">
        <v>20638</v>
      </c>
      <c r="B66378" t="str">
        <f>HYPERLINK("https://lindat.mff.cuni.cz/services/teitok/pdtc10/index.php?action=vallex&amp;frame=v-w11957_ZUf1_ZU", "zarýt se (v-w11957_ZUf1_ZU)")</f>
        <v>zarýt se (v-w11957_ZUf1_ZU)</v>
      </c>
    </row>
    <row r="66379" spans="1:4" x14ac:dyDescent="0.2">
      <c r="B66379" t="s">
        <v>1</v>
      </c>
    </row>
    <row r="66380" spans="1:4" x14ac:dyDescent="0.2">
      <c r="B66380" t="s">
        <v>252</v>
      </c>
    </row>
    <row r="66382" spans="1:4" x14ac:dyDescent="0.2">
      <c r="A66382" t="s">
        <v>20639</v>
      </c>
      <c r="B66382" t="str">
        <f>HYPERLINK("https://lindat.mff.cuni.cz/services/teitok/pdtc10/index.php?action=vallex&amp;frame=v-w9096f1", "zarývat se (v-w9096f1)")</f>
        <v>zarývat se (v-w9096f1)</v>
      </c>
    </row>
    <row r="66383" spans="1:4" x14ac:dyDescent="0.2">
      <c r="B66383" t="s">
        <v>1</v>
      </c>
    </row>
    <row r="66384" spans="1:4" x14ac:dyDescent="0.2">
      <c r="B66384" t="s">
        <v>90</v>
      </c>
    </row>
    <row r="66386" spans="1:3" x14ac:dyDescent="0.2">
      <c r="A66386" t="s">
        <v>20640</v>
      </c>
      <c r="B66386" t="str">
        <f>HYPERLINK("https://lindat.mff.cuni.cz/services/teitok/pdtc10/index.php?action=vallex&amp;frame=v-w12081_ZUf1_ZU", "zarýžovat si (v-w12081_ZUf1_ZU)")</f>
        <v>zarýžovat si (v-w12081_ZUf1_ZU)</v>
      </c>
    </row>
    <row r="66387" spans="1:3" x14ac:dyDescent="0.2">
      <c r="B66387" t="s">
        <v>1</v>
      </c>
    </row>
    <row r="66389" spans="1:3" x14ac:dyDescent="0.2">
      <c r="A66389" t="s">
        <v>20641</v>
      </c>
      <c r="B66389" t="str">
        <f>HYPERLINK("https://lindat.mff.cuni.cz/services/teitok/pdtc10/index.php?action=vallex&amp;frame=v-whsb_1305hsa_1306", "zarůst (v-whsb_1305hsa_1306)")</f>
        <v>zarůst (v-whsb_1305hsa_1306)</v>
      </c>
    </row>
    <row r="66390" spans="1:3" x14ac:dyDescent="0.2">
      <c r="B66390" t="s">
        <v>1</v>
      </c>
    </row>
    <row r="66392" spans="1:3" x14ac:dyDescent="0.2">
      <c r="A66392" t="s">
        <v>20642</v>
      </c>
      <c r="B66392" t="str">
        <f>HYPERLINK("https://lindat.mff.cuni.cz/services/teitok/pdtc10/index.php?action=vallex&amp;frame=v-w9095f1", "zarůstat (v-w9095f1)")</f>
        <v>zarůstat (v-w9095f1)</v>
      </c>
    </row>
    <row r="66393" spans="1:3" x14ac:dyDescent="0.2">
      <c r="B66393" t="s">
        <v>1</v>
      </c>
    </row>
    <row r="66395" spans="1:3" x14ac:dyDescent="0.2">
      <c r="A66395" t="s">
        <v>20643</v>
      </c>
      <c r="B66395" t="str">
        <f>HYPERLINK("https://lindat.mff.cuni.cz/services/teitok/pdtc10/index.php?action=vallex&amp;frame=v-w9095f2", "zarůstat (v-w9095f2)")</f>
        <v>zarůstat (v-w9095f2)</v>
      </c>
    </row>
    <row r="66396" spans="1:3" x14ac:dyDescent="0.2">
      <c r="B66396" t="s">
        <v>1</v>
      </c>
    </row>
    <row r="66398" spans="1:3" x14ac:dyDescent="0.2">
      <c r="A66398" t="s">
        <v>20644</v>
      </c>
      <c r="B66398" t="str">
        <f>HYPERLINK("https://lindat.mff.cuni.cz/services/teitok/pdtc10/index.php?action=vallex&amp;frame=v-w9113f2", "zasadit (v-w9113f2)")</f>
        <v>zasadit (v-w9113f2)</v>
      </c>
    </row>
    <row r="66399" spans="1:3" x14ac:dyDescent="0.2">
      <c r="B66399" t="s">
        <v>1</v>
      </c>
      <c r="C66399" t="s">
        <v>20645</v>
      </c>
    </row>
    <row r="66400" spans="1:3" x14ac:dyDescent="0.2">
      <c r="B66400" t="s">
        <v>8</v>
      </c>
      <c r="C66400" t="s">
        <v>113</v>
      </c>
    </row>
    <row r="66401" spans="1:4" x14ac:dyDescent="0.2">
      <c r="B66401" t="s">
        <v>35</v>
      </c>
      <c r="C66401" t="s">
        <v>20646</v>
      </c>
    </row>
    <row r="66403" spans="1:4" x14ac:dyDescent="0.2">
      <c r="A66403" t="s">
        <v>20647</v>
      </c>
      <c r="B66403" t="str">
        <f>HYPERLINK("https://lindat.mff.cuni.cz/services/teitok/pdtc10/index.php?action=vallex&amp;frame=v-w9113f1", "zasadit (v-w9113f1)")</f>
        <v>zasadit (v-w9113f1)</v>
      </c>
    </row>
    <row r="66404" spans="1:4" x14ac:dyDescent="0.2">
      <c r="B66404" t="s">
        <v>1</v>
      </c>
      <c r="C66404" t="s">
        <v>976</v>
      </c>
    </row>
    <row r="66405" spans="1:4" x14ac:dyDescent="0.2">
      <c r="B66405" t="s">
        <v>8</v>
      </c>
      <c r="C66405" t="s">
        <v>1107</v>
      </c>
    </row>
    <row r="66406" spans="1:4" x14ac:dyDescent="0.2">
      <c r="B66406" t="s">
        <v>90</v>
      </c>
      <c r="C66406" t="s">
        <v>6117</v>
      </c>
    </row>
    <row r="66408" spans="1:4" x14ac:dyDescent="0.2">
      <c r="A66408" t="s">
        <v>20648</v>
      </c>
      <c r="B66408" t="str">
        <f>HYPERLINK("https://lindat.mff.cuni.cz/services/teitok/pdtc10/index.php?action=vallex&amp;frame=v-w9113f4", "zasadit (v-w9113f4)")</f>
        <v>zasadit (v-w9113f4)</v>
      </c>
    </row>
    <row r="66409" spans="1:4" x14ac:dyDescent="0.2">
      <c r="B66409" t="s">
        <v>1</v>
      </c>
    </row>
    <row r="66410" spans="1:4" x14ac:dyDescent="0.2">
      <c r="B66410" t="s">
        <v>5</v>
      </c>
    </row>
    <row r="66412" spans="1:4" x14ac:dyDescent="0.2">
      <c r="A66412" t="s">
        <v>20649</v>
      </c>
      <c r="B66412" t="str">
        <f>HYPERLINK("https://lindat.mff.cuni.cz/services/teitok/pdtc10/index.php?action=vallex&amp;frame=v-w9113f5_ZU", "zasadit (v-w9113f5_ZU)")</f>
        <v>zasadit (v-w9113f5_ZU)</v>
      </c>
    </row>
    <row r="66413" spans="1:4" x14ac:dyDescent="0.2">
      <c r="B66413" t="s">
        <v>1</v>
      </c>
      <c r="C66413" t="s">
        <v>66</v>
      </c>
      <c r="D66413" t="s">
        <v>23181</v>
      </c>
    </row>
    <row r="66414" spans="1:4" x14ac:dyDescent="0.2">
      <c r="B66414" t="s">
        <v>8</v>
      </c>
      <c r="C66414" t="s">
        <v>3270</v>
      </c>
      <c r="D66414" t="s">
        <v>23182</v>
      </c>
    </row>
    <row r="66415" spans="1:4" x14ac:dyDescent="0.2">
      <c r="B66415" t="s">
        <v>90</v>
      </c>
      <c r="D66415" t="s">
        <v>11579</v>
      </c>
    </row>
    <row r="66417" spans="1:4" x14ac:dyDescent="0.2">
      <c r="A66417" t="s">
        <v>20649</v>
      </c>
      <c r="B66417" t="str">
        <f>HYPERLINK("https://lindat.mff.cuni.cz/services/teitok/pdtc10/index.php?action=vallex&amp;frame=v-w9113hsa_428", "zasadit (v-w9113hsa_428) - substituted with v-w9113f5_ZU")</f>
        <v>zasadit (v-w9113hsa_428) - substituted with v-w9113f5_ZU</v>
      </c>
    </row>
    <row r="66418" spans="1:4" x14ac:dyDescent="0.2">
      <c r="B66418" t="s">
        <v>1</v>
      </c>
    </row>
    <row r="66419" spans="1:4" x14ac:dyDescent="0.2">
      <c r="B66419" t="s">
        <v>8</v>
      </c>
    </row>
    <row r="66420" spans="1:4" x14ac:dyDescent="0.2">
      <c r="B66420" t="s">
        <v>90</v>
      </c>
    </row>
    <row r="66422" spans="1:4" x14ac:dyDescent="0.2">
      <c r="A66422" t="s">
        <v>20650</v>
      </c>
      <c r="B66422" t="str">
        <f>HYPERLINK("https://lindat.mff.cuni.cz/services/teitok/pdtc10/index.php?action=vallex&amp;frame=v-w9113f6_ZU", "zasadit (v-w9113f6_ZU)")</f>
        <v>zasadit (v-w9113f6_ZU)</v>
      </c>
    </row>
    <row r="66423" spans="1:4" x14ac:dyDescent="0.2">
      <c r="B66423" t="s">
        <v>1</v>
      </c>
    </row>
    <row r="66424" spans="1:4" x14ac:dyDescent="0.2">
      <c r="B66424" t="s">
        <v>8</v>
      </c>
    </row>
    <row r="66425" spans="1:4" x14ac:dyDescent="0.2">
      <c r="B66425" t="s">
        <v>205</v>
      </c>
    </row>
    <row r="66427" spans="1:4" x14ac:dyDescent="0.2">
      <c r="A66427" t="s">
        <v>20651</v>
      </c>
      <c r="B66427" t="str">
        <f>HYPERLINK("https://lindat.mff.cuni.cz/services/teitok/pdtc10/index.php?action=vallex&amp;frame=v-w9114f1", "zasadit se (v-w9114f1)")</f>
        <v>zasadit se (v-w9114f1)</v>
      </c>
    </row>
    <row r="66428" spans="1:4" x14ac:dyDescent="0.2">
      <c r="B66428" t="s">
        <v>1</v>
      </c>
      <c r="D66428" t="s">
        <v>23552</v>
      </c>
    </row>
    <row r="66429" spans="1:4" x14ac:dyDescent="0.2">
      <c r="B66429" t="s">
        <v>20652</v>
      </c>
      <c r="D66429" t="s">
        <v>23553</v>
      </c>
    </row>
    <row r="66431" spans="1:4" x14ac:dyDescent="0.2">
      <c r="A66431" t="s">
        <v>20653</v>
      </c>
      <c r="B66431" t="str">
        <f>HYPERLINK("https://lindat.mff.cuni.cz/services/teitok/pdtc10/index.php?action=vallex&amp;frame=v-w9118f4", "zasahovat (v-w9118f4)")</f>
        <v>zasahovat (v-w9118f4)</v>
      </c>
    </row>
    <row r="66432" spans="1:4" x14ac:dyDescent="0.2">
      <c r="B66432" t="s">
        <v>1</v>
      </c>
      <c r="C66432" t="s">
        <v>20654</v>
      </c>
      <c r="D66432" t="s">
        <v>23156</v>
      </c>
    </row>
    <row r="66433" spans="1:4" x14ac:dyDescent="0.2">
      <c r="B66433" t="s">
        <v>8</v>
      </c>
      <c r="C66433" t="s">
        <v>5971</v>
      </c>
      <c r="D66433" t="s">
        <v>23157</v>
      </c>
    </row>
    <row r="66435" spans="1:4" x14ac:dyDescent="0.2">
      <c r="A66435" t="s">
        <v>20655</v>
      </c>
      <c r="B66435" t="str">
        <f>HYPERLINK("https://lindat.mff.cuni.cz/services/teitok/pdtc10/index.php?action=vallex&amp;frame=v-w9118f1", "zasahovat (v-w9118f1)")</f>
        <v>zasahovat (v-w9118f1)</v>
      </c>
    </row>
    <row r="66436" spans="1:4" x14ac:dyDescent="0.2">
      <c r="B66436" t="s">
        <v>1</v>
      </c>
      <c r="C66436" t="s">
        <v>1805</v>
      </c>
      <c r="D66436" t="s">
        <v>23493</v>
      </c>
    </row>
    <row r="66437" spans="1:4" x14ac:dyDescent="0.2">
      <c r="B66437" t="s">
        <v>817</v>
      </c>
      <c r="C66437" t="s">
        <v>125</v>
      </c>
      <c r="D66437" t="s">
        <v>23494</v>
      </c>
    </row>
    <row r="66439" spans="1:4" x14ac:dyDescent="0.2">
      <c r="A66439" t="s">
        <v>20656</v>
      </c>
      <c r="B66439" t="str">
        <f>HYPERLINK("https://lindat.mff.cuni.cz/services/teitok/pdtc10/index.php?action=vallex&amp;frame=v-w9118f2", "zasahovat (v-w9118f2)")</f>
        <v>zasahovat (v-w9118f2)</v>
      </c>
    </row>
    <row r="66440" spans="1:4" x14ac:dyDescent="0.2">
      <c r="B66440" t="s">
        <v>1</v>
      </c>
      <c r="D66440" t="s">
        <v>24481</v>
      </c>
    </row>
    <row r="66441" spans="1:4" x14ac:dyDescent="0.2">
      <c r="B66441" t="s">
        <v>20657</v>
      </c>
      <c r="D66441" t="s">
        <v>2213</v>
      </c>
    </row>
    <row r="66443" spans="1:4" x14ac:dyDescent="0.2">
      <c r="A66443" t="s">
        <v>20658</v>
      </c>
      <c r="B66443" t="str">
        <f>HYPERLINK("https://lindat.mff.cuni.cz/services/teitok/pdtc10/index.php?action=vallex&amp;frame=v-w9118f3", "zasahovat (v-w9118f3)")</f>
        <v>zasahovat (v-w9118f3)</v>
      </c>
    </row>
    <row r="66444" spans="1:4" x14ac:dyDescent="0.2">
      <c r="B66444" t="s">
        <v>1</v>
      </c>
      <c r="C66444" t="s">
        <v>20659</v>
      </c>
      <c r="D66444" t="s">
        <v>24481</v>
      </c>
    </row>
    <row r="66445" spans="1:4" x14ac:dyDescent="0.2">
      <c r="B66445" t="s">
        <v>20211</v>
      </c>
      <c r="C66445" t="s">
        <v>359</v>
      </c>
      <c r="D66445" t="s">
        <v>2213</v>
      </c>
    </row>
    <row r="66447" spans="1:4" x14ac:dyDescent="0.2">
      <c r="A66447" t="s">
        <v>20660</v>
      </c>
      <c r="B66447" t="str">
        <f>HYPERLINK("https://lindat.mff.cuni.cz/services/teitok/pdtc10/index.php?action=vallex&amp;frame=v-w9118f5", "zasahovat (v-w9118f5)")</f>
        <v>zasahovat (v-w9118f5)</v>
      </c>
    </row>
    <row r="66448" spans="1:4" x14ac:dyDescent="0.2">
      <c r="B66448" t="s">
        <v>1</v>
      </c>
    </row>
    <row r="66449" spans="1:4" x14ac:dyDescent="0.2">
      <c r="B66449" t="s">
        <v>90</v>
      </c>
    </row>
    <row r="66451" spans="1:4" x14ac:dyDescent="0.2">
      <c r="A66451" t="s">
        <v>20661</v>
      </c>
      <c r="B66451" t="str">
        <f>HYPERLINK("https://lindat.mff.cuni.cz/services/teitok/pdtc10/index.php?action=vallex&amp;frame=v-w10522f2", "zasalutovat (v-w10522f2)")</f>
        <v>zasalutovat (v-w10522f2)</v>
      </c>
    </row>
    <row r="66452" spans="1:4" x14ac:dyDescent="0.2">
      <c r="B66452" t="s">
        <v>1</v>
      </c>
      <c r="C66452" t="s">
        <v>140</v>
      </c>
      <c r="D66452" t="s">
        <v>2303</v>
      </c>
    </row>
    <row r="66453" spans="1:4" x14ac:dyDescent="0.2">
      <c r="B66453" t="s">
        <v>86</v>
      </c>
      <c r="C66453" t="s">
        <v>113</v>
      </c>
      <c r="D66453" t="s">
        <v>202</v>
      </c>
    </row>
    <row r="66455" spans="1:4" x14ac:dyDescent="0.2">
      <c r="A66455" t="s">
        <v>20662</v>
      </c>
      <c r="B66455" t="str">
        <f>HYPERLINK("https://lindat.mff.cuni.cz/services/teitok/pdtc10/index.php?action=vallex&amp;frame=v-whsa_781hsa_782", "zasazovat (v-whsa_781hsa_782)")</f>
        <v>zasazovat (v-whsa_781hsa_782)</v>
      </c>
    </row>
    <row r="66456" spans="1:4" x14ac:dyDescent="0.2">
      <c r="B66456" t="s">
        <v>1</v>
      </c>
      <c r="C66456" t="s">
        <v>2749</v>
      </c>
      <c r="D66456" t="s">
        <v>13976</v>
      </c>
    </row>
    <row r="66457" spans="1:4" x14ac:dyDescent="0.2">
      <c r="B66457" t="s">
        <v>8</v>
      </c>
      <c r="C66457" t="s">
        <v>2750</v>
      </c>
      <c r="D66457" t="s">
        <v>10414</v>
      </c>
    </row>
    <row r="66458" spans="1:4" x14ac:dyDescent="0.2">
      <c r="B66458" t="s">
        <v>90</v>
      </c>
      <c r="D66458" t="s">
        <v>23197</v>
      </c>
    </row>
    <row r="66460" spans="1:4" x14ac:dyDescent="0.2">
      <c r="A66460" t="s">
        <v>20663</v>
      </c>
      <c r="B66460" t="str">
        <f>HYPERLINK("https://lindat.mff.cuni.cz/services/teitok/pdtc10/index.php?action=vallex&amp;frame=v-whsa_781f2_ZU", "zasazovat (v-whsa_781f2_ZU)")</f>
        <v>zasazovat (v-whsa_781f2_ZU)</v>
      </c>
    </row>
    <row r="66461" spans="1:4" x14ac:dyDescent="0.2">
      <c r="B66461" t="s">
        <v>1</v>
      </c>
    </row>
    <row r="66462" spans="1:4" x14ac:dyDescent="0.2">
      <c r="B66462" t="s">
        <v>8</v>
      </c>
    </row>
    <row r="66463" spans="1:4" x14ac:dyDescent="0.2">
      <c r="B66463" t="s">
        <v>35</v>
      </c>
    </row>
    <row r="66465" spans="1:4" x14ac:dyDescent="0.2">
      <c r="A66465" t="s">
        <v>20663</v>
      </c>
      <c r="B66465" t="str">
        <f>HYPERLINK("https://lindat.mff.cuni.cz/services/teitok/pdtc10/index.php?action=vallex&amp;frame=v-whsa_781f1_ZU", "zasazovat (v-whsa_781f1_ZU) - substituted with v-whsa_781f2_ZU")</f>
        <v>zasazovat (v-whsa_781f1_ZU) - substituted with v-whsa_781f2_ZU</v>
      </c>
    </row>
    <row r="66466" spans="1:4" x14ac:dyDescent="0.2">
      <c r="B66466" t="s">
        <v>1</v>
      </c>
      <c r="C66466" t="s">
        <v>133</v>
      </c>
    </row>
    <row r="66467" spans="1:4" x14ac:dyDescent="0.2">
      <c r="B66467" t="s">
        <v>8</v>
      </c>
      <c r="C66467" t="s">
        <v>991</v>
      </c>
    </row>
    <row r="66468" spans="1:4" x14ac:dyDescent="0.2">
      <c r="B66468" t="s">
        <v>35</v>
      </c>
      <c r="C66468" t="s">
        <v>8768</v>
      </c>
    </row>
    <row r="66470" spans="1:4" x14ac:dyDescent="0.2">
      <c r="A66470" t="s">
        <v>20664</v>
      </c>
      <c r="B66470" t="str">
        <f>HYPERLINK("https://lindat.mff.cuni.cz/services/teitok/pdtc10/index.php?action=vallex&amp;frame=v-whsa_779hsa_780", "zasazovat (v-whsa_779hsa_780)")</f>
        <v>zasazovat (v-whsa_779hsa_780)</v>
      </c>
    </row>
    <row r="66471" spans="1:4" x14ac:dyDescent="0.2">
      <c r="B66471" t="s">
        <v>1</v>
      </c>
    </row>
    <row r="66472" spans="1:4" x14ac:dyDescent="0.2">
      <c r="B66472" t="s">
        <v>8</v>
      </c>
    </row>
    <row r="66473" spans="1:4" x14ac:dyDescent="0.2">
      <c r="B66473" t="s">
        <v>35</v>
      </c>
    </row>
    <row r="66475" spans="1:4" x14ac:dyDescent="0.2">
      <c r="A66475" t="s">
        <v>20665</v>
      </c>
      <c r="B66475" t="str">
        <f>HYPERLINK("https://lindat.mff.cuni.cz/services/teitok/pdtc10/index.php?action=vallex&amp;frame=v-w9120f1", "zasazovat se (v-w9120f1)")</f>
        <v>zasazovat se (v-w9120f1)</v>
      </c>
    </row>
    <row r="66476" spans="1:4" x14ac:dyDescent="0.2">
      <c r="B66476" t="s">
        <v>1</v>
      </c>
      <c r="C66476" t="s">
        <v>2145</v>
      </c>
      <c r="D66476" t="s">
        <v>23552</v>
      </c>
    </row>
    <row r="66477" spans="1:4" x14ac:dyDescent="0.2">
      <c r="B66477" t="s">
        <v>20652</v>
      </c>
      <c r="C66477" t="s">
        <v>8880</v>
      </c>
      <c r="D66477" t="s">
        <v>23553</v>
      </c>
    </row>
    <row r="66479" spans="1:4" x14ac:dyDescent="0.2">
      <c r="A66479" t="s">
        <v>20666</v>
      </c>
      <c r="B66479" t="str">
        <f>HYPERLINK("https://lindat.mff.cuni.cz/services/teitok/pdtc10/index.php?action=vallex&amp;frame=v-w10795f2", "zaschnout (v-w10795f2)")</f>
        <v>zaschnout (v-w10795f2)</v>
      </c>
    </row>
    <row r="66480" spans="1:4" x14ac:dyDescent="0.2">
      <c r="B66480" t="s">
        <v>1</v>
      </c>
    </row>
    <row r="66482" spans="1:4" x14ac:dyDescent="0.2">
      <c r="A66482" t="s">
        <v>20667</v>
      </c>
      <c r="B66482" t="str">
        <f>HYPERLINK("https://lindat.mff.cuni.cz/services/teitok/pdtc10/index.php?action=vallex&amp;frame=v-w12323_MMf1_MM", "zasebevraždit se (v-w12323_MMf1_MM)")</f>
        <v>zasebevraždit se (v-w12323_MMf1_MM)</v>
      </c>
    </row>
    <row r="66483" spans="1:4" x14ac:dyDescent="0.2">
      <c r="B66483" t="s">
        <v>1</v>
      </c>
    </row>
    <row r="66485" spans="1:4" x14ac:dyDescent="0.2">
      <c r="A66485" t="s">
        <v>20668</v>
      </c>
      <c r="B66485" t="str">
        <f>HYPERLINK("https://lindat.mff.cuni.cz/services/teitok/pdtc10/index.php?action=vallex&amp;frame=v-w9123f2", "zasedat (v-w9123f2)")</f>
        <v>zasedat (v-w9123f2)</v>
      </c>
    </row>
    <row r="66486" spans="1:4" x14ac:dyDescent="0.2">
      <c r="B66486" t="s">
        <v>1</v>
      </c>
      <c r="C66486" t="s">
        <v>20669</v>
      </c>
      <c r="D66486" t="s">
        <v>23861</v>
      </c>
    </row>
    <row r="66487" spans="1:4" x14ac:dyDescent="0.2">
      <c r="B66487" t="s">
        <v>5</v>
      </c>
      <c r="C66487" t="s">
        <v>20670</v>
      </c>
    </row>
    <row r="66489" spans="1:4" x14ac:dyDescent="0.2">
      <c r="A66489" t="s">
        <v>20671</v>
      </c>
      <c r="B66489" t="str">
        <f>HYPERLINK("https://lindat.mff.cuni.cz/services/teitok/pdtc10/index.php?action=vallex&amp;frame=v-w9123f1", "zasedat (v-w9123f1)")</f>
        <v>zasedat (v-w9123f1)</v>
      </c>
    </row>
    <row r="66490" spans="1:4" x14ac:dyDescent="0.2">
      <c r="B66490" t="s">
        <v>1</v>
      </c>
    </row>
    <row r="66492" spans="1:4" x14ac:dyDescent="0.2">
      <c r="A66492" t="s">
        <v>20672</v>
      </c>
      <c r="B66492" t="str">
        <f>HYPERLINK("https://lindat.mff.cuni.cz/services/teitok/pdtc10/index.php?action=vallex&amp;frame=v-w9124f2", "zasednout (v-w9124f2)")</f>
        <v>zasednout (v-w9124f2)</v>
      </c>
    </row>
    <row r="66493" spans="1:4" x14ac:dyDescent="0.2">
      <c r="B66493" t="s">
        <v>1</v>
      </c>
    </row>
    <row r="66494" spans="1:4" x14ac:dyDescent="0.2">
      <c r="B66494" t="s">
        <v>8</v>
      </c>
    </row>
    <row r="66496" spans="1:4" x14ac:dyDescent="0.2">
      <c r="A66496" t="s">
        <v>20673</v>
      </c>
      <c r="B66496" t="str">
        <f>HYPERLINK("https://lindat.mff.cuni.cz/services/teitok/pdtc10/index.php?action=vallex&amp;frame=v-w9124f1", "zasednout (v-w9124f1)")</f>
        <v>zasednout (v-w9124f1)</v>
      </c>
    </row>
    <row r="66497" spans="1:4" x14ac:dyDescent="0.2">
      <c r="B66497" t="s">
        <v>1</v>
      </c>
      <c r="C66497" t="s">
        <v>201</v>
      </c>
      <c r="D66497" t="s">
        <v>127</v>
      </c>
    </row>
    <row r="66498" spans="1:4" x14ac:dyDescent="0.2">
      <c r="B66498" t="s">
        <v>90</v>
      </c>
    </row>
    <row r="66500" spans="1:4" x14ac:dyDescent="0.2">
      <c r="A66500" t="s">
        <v>20674</v>
      </c>
      <c r="B66500" t="str">
        <f>HYPERLINK("https://lindat.mff.cuni.cz/services/teitok/pdtc10/index.php?action=vallex&amp;frame=v-w9124f3_ZU", "zasednout (v-w9124f3_ZU)")</f>
        <v>zasednout (v-w9124f3_ZU)</v>
      </c>
    </row>
    <row r="66501" spans="1:4" x14ac:dyDescent="0.2">
      <c r="B66501" t="s">
        <v>1</v>
      </c>
    </row>
    <row r="66502" spans="1:4" x14ac:dyDescent="0.2">
      <c r="B66502" t="s">
        <v>889</v>
      </c>
    </row>
    <row r="66504" spans="1:4" x14ac:dyDescent="0.2">
      <c r="A66504" t="s">
        <v>20675</v>
      </c>
      <c r="B66504" t="str">
        <f>HYPERLINK("https://lindat.mff.cuni.cz/services/teitok/pdtc10/index.php?action=vallex&amp;frame=v-whsa_1966f1_ZU", "zaseknout (v-whsa_1966f1_ZU)")</f>
        <v>zaseknout (v-whsa_1966f1_ZU)</v>
      </c>
    </row>
    <row r="66505" spans="1:4" x14ac:dyDescent="0.2">
      <c r="B66505" t="s">
        <v>1</v>
      </c>
    </row>
    <row r="66506" spans="1:4" x14ac:dyDescent="0.2">
      <c r="B66506" t="s">
        <v>220</v>
      </c>
    </row>
    <row r="66508" spans="1:4" x14ac:dyDescent="0.2">
      <c r="A66508" t="s">
        <v>20675</v>
      </c>
      <c r="B66508" t="str">
        <f>HYPERLINK("https://lindat.mff.cuni.cz/services/teitok/pdtc10/index.php?action=vallex&amp;frame=v-whsa_1966hsa_1967", "zaseknout (v-whsa_1966hsa_1967) - substituted with v-whsa_1966f1_ZU")</f>
        <v>zaseknout (v-whsa_1966hsa_1967) - substituted with v-whsa_1966f1_ZU</v>
      </c>
    </row>
    <row r="66509" spans="1:4" x14ac:dyDescent="0.2">
      <c r="B66509" t="s">
        <v>1</v>
      </c>
    </row>
    <row r="66510" spans="1:4" x14ac:dyDescent="0.2">
      <c r="B66510" t="s">
        <v>220</v>
      </c>
    </row>
    <row r="66512" spans="1:4" x14ac:dyDescent="0.2">
      <c r="A66512" t="s">
        <v>20676</v>
      </c>
      <c r="B66512" t="str">
        <f>HYPERLINK("https://lindat.mff.cuni.cz/services/teitok/pdtc10/index.php?action=vallex&amp;frame=v-whsa_1966f2_ZU", "zaseknout (v-whsa_1966f2_ZU)")</f>
        <v>zaseknout (v-whsa_1966f2_ZU)</v>
      </c>
    </row>
    <row r="66513" spans="1:2" x14ac:dyDescent="0.2">
      <c r="B66513" t="s">
        <v>1</v>
      </c>
    </row>
    <row r="66514" spans="1:2" x14ac:dyDescent="0.2">
      <c r="B66514" t="s">
        <v>8</v>
      </c>
    </row>
    <row r="66515" spans="1:2" x14ac:dyDescent="0.2">
      <c r="B66515" t="s">
        <v>90</v>
      </c>
    </row>
    <row r="66517" spans="1:2" x14ac:dyDescent="0.2">
      <c r="A66517" t="s">
        <v>20676</v>
      </c>
      <c r="B66517" t="str">
        <f>HYPERLINK("https://lindat.mff.cuni.cz/services/teitok/pdtc10/index.php?action=vallex&amp;frame=v-whsa_1852hsa_1853", "zaseknout (v-whsa_1852hsa_1853) - substituted with v-whsa_1966f2_ZU")</f>
        <v>zaseknout (v-whsa_1852hsa_1853) - substituted with v-whsa_1966f2_ZU</v>
      </c>
    </row>
    <row r="66518" spans="1:2" x14ac:dyDescent="0.2">
      <c r="B66518" t="s">
        <v>1</v>
      </c>
    </row>
    <row r="66519" spans="1:2" x14ac:dyDescent="0.2">
      <c r="B66519" t="s">
        <v>8</v>
      </c>
    </row>
    <row r="66520" spans="1:2" x14ac:dyDescent="0.2">
      <c r="B66520" t="s">
        <v>90</v>
      </c>
    </row>
    <row r="66522" spans="1:2" x14ac:dyDescent="0.2">
      <c r="A66522" t="s">
        <v>20677</v>
      </c>
      <c r="B66522" t="str">
        <f>HYPERLINK("https://lindat.mff.cuni.cz/services/teitok/pdtc10/index.php?action=vallex&amp;frame=v-whsa_1966f4_ZU", "zaseknout (v-whsa_1966f4_ZU)")</f>
        <v>zaseknout (v-whsa_1966f4_ZU)</v>
      </c>
    </row>
    <row r="66523" spans="1:2" x14ac:dyDescent="0.2">
      <c r="B66523" t="s">
        <v>1</v>
      </c>
    </row>
    <row r="66524" spans="1:2" x14ac:dyDescent="0.2">
      <c r="B66524" t="s">
        <v>8</v>
      </c>
    </row>
    <row r="66526" spans="1:2" x14ac:dyDescent="0.2">
      <c r="A66526" t="s">
        <v>20678</v>
      </c>
      <c r="B66526" t="str">
        <f>HYPERLINK("https://lindat.mff.cuni.cz/services/teitok/pdtc10/index.php?action=vallex&amp;frame=v-whsa_1966f5_ZU", "zaseknout (v-whsa_1966f5_ZU)")</f>
        <v>zaseknout (v-whsa_1966f5_ZU)</v>
      </c>
    </row>
    <row r="66527" spans="1:2" x14ac:dyDescent="0.2">
      <c r="B66527" t="s">
        <v>1</v>
      </c>
    </row>
    <row r="66528" spans="1:2" x14ac:dyDescent="0.2">
      <c r="B66528" t="s">
        <v>8</v>
      </c>
    </row>
    <row r="66530" spans="1:4" x14ac:dyDescent="0.2">
      <c r="A66530" t="s">
        <v>20678</v>
      </c>
      <c r="B66530" t="str">
        <f>HYPERLINK("https://lindat.mff.cuni.cz/services/teitok/pdtc10/index.php?action=vallex&amp;frame=v-whsa_1966f3_ZU", "zaseknout (v-whsa_1966f3_ZU) - substituted with v-whsa_1966f5_ZU")</f>
        <v>zaseknout (v-whsa_1966f3_ZU) - substituted with v-whsa_1966f5_ZU</v>
      </c>
    </row>
    <row r="66531" spans="1:4" x14ac:dyDescent="0.2">
      <c r="B66531" t="s">
        <v>1</v>
      </c>
    </row>
    <row r="66532" spans="1:4" x14ac:dyDescent="0.2">
      <c r="B66532" t="s">
        <v>8</v>
      </c>
    </row>
    <row r="66534" spans="1:4" x14ac:dyDescent="0.2">
      <c r="A66534" t="s">
        <v>20679</v>
      </c>
      <c r="B66534" t="str">
        <f>HYPERLINK("https://lindat.mff.cuni.cz/services/teitok/pdtc10/index.php?action=vallex&amp;frame=v-w11469f1", "zaseknout se (v-w11469f1)")</f>
        <v>zaseknout se (v-w11469f1)</v>
      </c>
    </row>
    <row r="66535" spans="1:4" x14ac:dyDescent="0.2">
      <c r="B66535" t="s">
        <v>1</v>
      </c>
      <c r="C66535" t="s">
        <v>5699</v>
      </c>
      <c r="D66535" t="s">
        <v>24470</v>
      </c>
    </row>
    <row r="66537" spans="1:4" x14ac:dyDescent="0.2">
      <c r="A66537" t="s">
        <v>20680</v>
      </c>
      <c r="B66537" t="str">
        <f>HYPERLINK("https://lindat.mff.cuni.cz/services/teitok/pdtc10/index.php?action=vallex&amp;frame=v-whsa_815hsa_816", "zaskakovat (v-whsa_815hsa_816)")</f>
        <v>zaskakovat (v-whsa_815hsa_816)</v>
      </c>
    </row>
    <row r="66538" spans="1:4" x14ac:dyDescent="0.2">
      <c r="B66538" t="s">
        <v>1</v>
      </c>
    </row>
    <row r="66539" spans="1:4" x14ac:dyDescent="0.2">
      <c r="B66539" t="s">
        <v>357</v>
      </c>
    </row>
    <row r="66541" spans="1:4" x14ac:dyDescent="0.2">
      <c r="A66541" t="s">
        <v>20681</v>
      </c>
      <c r="B66541" t="str">
        <f>HYPERLINK("https://lindat.mff.cuni.cz/services/teitok/pdtc10/index.php?action=vallex&amp;frame=v-whsa_1776hsa_1777", "zaskotačit si (v-whsa_1776hsa_1777)")</f>
        <v>zaskotačit si (v-whsa_1776hsa_1777)</v>
      </c>
    </row>
    <row r="66542" spans="1:4" x14ac:dyDescent="0.2">
      <c r="B66542" t="s">
        <v>1</v>
      </c>
    </row>
    <row r="66544" spans="1:4" x14ac:dyDescent="0.2">
      <c r="A66544" t="s">
        <v>20682</v>
      </c>
      <c r="B66544" t="str">
        <f>HYPERLINK("https://lindat.mff.cuni.cz/services/teitok/pdtc10/index.php?action=vallex&amp;frame=v-w9128f1", "zaskočit (v-w9128f1)")</f>
        <v>zaskočit (v-w9128f1)</v>
      </c>
    </row>
    <row r="66545" spans="1:4" x14ac:dyDescent="0.2">
      <c r="B66545" t="s">
        <v>1</v>
      </c>
      <c r="C66545" t="s">
        <v>33</v>
      </c>
      <c r="D66545" t="s">
        <v>23416</v>
      </c>
    </row>
    <row r="66546" spans="1:4" x14ac:dyDescent="0.2">
      <c r="B66546" t="s">
        <v>8</v>
      </c>
      <c r="C66546" t="s">
        <v>56</v>
      </c>
      <c r="D66546" t="s">
        <v>23417</v>
      </c>
    </row>
    <row r="66548" spans="1:4" x14ac:dyDescent="0.2">
      <c r="A66548" t="s">
        <v>20683</v>
      </c>
      <c r="B66548" t="str">
        <f>HYPERLINK("https://lindat.mff.cuni.cz/services/teitok/pdtc10/index.php?action=vallex&amp;frame=v-w9128f2", "zaskočit (v-w9128f2)")</f>
        <v>zaskočit (v-w9128f2)</v>
      </c>
    </row>
    <row r="66549" spans="1:4" x14ac:dyDescent="0.2">
      <c r="B66549" t="s">
        <v>1</v>
      </c>
      <c r="C66549" t="s">
        <v>186</v>
      </c>
      <c r="D66549" t="s">
        <v>24348</v>
      </c>
    </row>
    <row r="66550" spans="1:4" x14ac:dyDescent="0.2">
      <c r="B66550" t="s">
        <v>90</v>
      </c>
      <c r="D66550" t="s">
        <v>23108</v>
      </c>
    </row>
    <row r="66552" spans="1:4" x14ac:dyDescent="0.2">
      <c r="A66552" t="s">
        <v>20684</v>
      </c>
      <c r="B66552" t="str">
        <f>HYPERLINK("https://lindat.mff.cuni.cz/services/teitok/pdtc10/index.php?action=vallex&amp;frame=v-w9128f3", "zaskočit (v-w9128f3)")</f>
        <v>zaskočit (v-w9128f3)</v>
      </c>
    </row>
    <row r="66553" spans="1:4" x14ac:dyDescent="0.2">
      <c r="B66553" t="s">
        <v>1</v>
      </c>
    </row>
    <row r="66555" spans="1:4" x14ac:dyDescent="0.2">
      <c r="A66555" t="s">
        <v>20685</v>
      </c>
      <c r="B66555" t="str">
        <f>HYPERLINK("https://lindat.mff.cuni.cz/services/teitok/pdtc10/index.php?action=vallex&amp;frame=v-w9128f4", "zaskočit (v-w9128f4)")</f>
        <v>zaskočit (v-w9128f4)</v>
      </c>
    </row>
    <row r="66556" spans="1:4" x14ac:dyDescent="0.2">
      <c r="B66556" t="s">
        <v>455</v>
      </c>
    </row>
    <row r="66558" spans="1:4" x14ac:dyDescent="0.2">
      <c r="A66558" t="s">
        <v>20686</v>
      </c>
      <c r="B66558" t="str">
        <f>HYPERLINK("https://lindat.mff.cuni.cz/services/teitok/pdtc10/index.php?action=vallex&amp;frame=v-w9131f1", "zaslat (v-w9131f1)")</f>
        <v>zaslat (v-w9131f1)</v>
      </c>
    </row>
    <row r="66559" spans="1:4" x14ac:dyDescent="0.2">
      <c r="B66559" t="s">
        <v>1</v>
      </c>
      <c r="C66559" t="s">
        <v>12786</v>
      </c>
      <c r="D66559" t="s">
        <v>8003</v>
      </c>
    </row>
    <row r="66560" spans="1:4" x14ac:dyDescent="0.2">
      <c r="B66560" t="s">
        <v>8</v>
      </c>
      <c r="C66560" t="s">
        <v>20687</v>
      </c>
      <c r="D66560" t="s">
        <v>23102</v>
      </c>
    </row>
    <row r="66561" spans="1:4" x14ac:dyDescent="0.2">
      <c r="B66561" t="s">
        <v>35</v>
      </c>
      <c r="C66561" t="s">
        <v>20688</v>
      </c>
      <c r="D66561" t="s">
        <v>23103</v>
      </c>
    </row>
    <row r="66563" spans="1:4" x14ac:dyDescent="0.2">
      <c r="A66563" t="s">
        <v>20689</v>
      </c>
      <c r="B66563" t="str">
        <f>HYPERLINK("https://lindat.mff.cuni.cz/services/teitok/pdtc10/index.php?action=vallex&amp;frame=v-w9131f2", "zaslat (v-w9131f2)")</f>
        <v>zaslat (v-w9131f2)</v>
      </c>
    </row>
    <row r="66564" spans="1:4" x14ac:dyDescent="0.2">
      <c r="B66564" t="s">
        <v>1</v>
      </c>
      <c r="C66564" t="s">
        <v>1581</v>
      </c>
      <c r="D66564" t="s">
        <v>8003</v>
      </c>
    </row>
    <row r="66565" spans="1:4" x14ac:dyDescent="0.2">
      <c r="B66565" t="s">
        <v>8</v>
      </c>
      <c r="C66565" t="s">
        <v>341</v>
      </c>
      <c r="D66565" t="s">
        <v>23102</v>
      </c>
    </row>
    <row r="66566" spans="1:4" x14ac:dyDescent="0.2">
      <c r="B66566" t="s">
        <v>90</v>
      </c>
      <c r="D66566" t="s">
        <v>23177</v>
      </c>
    </row>
    <row r="66568" spans="1:4" x14ac:dyDescent="0.2">
      <c r="A66568" t="s">
        <v>20690</v>
      </c>
      <c r="B66568" t="str">
        <f>HYPERLINK("https://lindat.mff.cuni.cz/services/teitok/pdtc10/index.php?action=vallex&amp;frame=v-w9132f3", "zaslechnout (v-w9132f3)")</f>
        <v>zaslechnout (v-w9132f3)</v>
      </c>
    </row>
    <row r="66569" spans="1:4" x14ac:dyDescent="0.2">
      <c r="B66569" t="s">
        <v>1</v>
      </c>
      <c r="D66569" t="s">
        <v>9239</v>
      </c>
    </row>
    <row r="66570" spans="1:4" x14ac:dyDescent="0.2">
      <c r="B66570" t="s">
        <v>14292</v>
      </c>
      <c r="D66570" t="s">
        <v>4452</v>
      </c>
    </row>
    <row r="66571" spans="1:4" x14ac:dyDescent="0.2">
      <c r="B66571" t="s">
        <v>321</v>
      </c>
      <c r="D66571" t="s">
        <v>23855</v>
      </c>
    </row>
    <row r="66573" spans="1:4" x14ac:dyDescent="0.2">
      <c r="A66573" t="s">
        <v>20691</v>
      </c>
      <c r="B66573" t="str">
        <f>HYPERLINK("https://lindat.mff.cuni.cz/services/teitok/pdtc10/index.php?action=vallex&amp;frame=v-w9132f1", "zaslechnout (v-w9132f1)")</f>
        <v>zaslechnout (v-w9132f1)</v>
      </c>
    </row>
    <row r="66574" spans="1:4" x14ac:dyDescent="0.2">
      <c r="B66574" t="s">
        <v>1</v>
      </c>
    </row>
    <row r="66575" spans="1:4" x14ac:dyDescent="0.2">
      <c r="B66575" t="s">
        <v>6656</v>
      </c>
    </row>
    <row r="66576" spans="1:4" x14ac:dyDescent="0.2">
      <c r="B66576" t="s">
        <v>20692</v>
      </c>
    </row>
    <row r="66578" spans="1:4" x14ac:dyDescent="0.2">
      <c r="A66578" t="s">
        <v>20693</v>
      </c>
      <c r="B66578" t="str">
        <f>HYPERLINK("https://lindat.mff.cuni.cz/services/teitok/pdtc10/index.php?action=vallex&amp;frame=v-w9132f2", "zaslechnout (v-w9132f2)")</f>
        <v>zaslechnout (v-w9132f2)</v>
      </c>
    </row>
    <row r="66579" spans="1:4" x14ac:dyDescent="0.2">
      <c r="B66579" t="s">
        <v>20694</v>
      </c>
      <c r="C66579" t="s">
        <v>967</v>
      </c>
      <c r="D66579" t="s">
        <v>7388</v>
      </c>
    </row>
    <row r="66580" spans="1:4" x14ac:dyDescent="0.2">
      <c r="B66580" t="s">
        <v>4751</v>
      </c>
      <c r="C66580" t="s">
        <v>1885</v>
      </c>
      <c r="D66580" t="s">
        <v>23188</v>
      </c>
    </row>
    <row r="66581" spans="1:4" x14ac:dyDescent="0.2">
      <c r="B66581" t="s">
        <v>269</v>
      </c>
      <c r="D66581" t="s">
        <v>23186</v>
      </c>
    </row>
    <row r="66582" spans="1:4" x14ac:dyDescent="0.2">
      <c r="B66582" t="s">
        <v>321</v>
      </c>
      <c r="C66582" t="s">
        <v>1887</v>
      </c>
      <c r="D66582" t="s">
        <v>23190</v>
      </c>
    </row>
    <row r="66584" spans="1:4" x14ac:dyDescent="0.2">
      <c r="A66584" t="s">
        <v>20695</v>
      </c>
      <c r="B66584" t="str">
        <f>HYPERLINK("https://lindat.mff.cuni.cz/services/teitok/pdtc10/index.php?action=vallex&amp;frame=v-w9134f1", "zaslepit (v-w9134f1)")</f>
        <v>zaslepit (v-w9134f1)</v>
      </c>
    </row>
    <row r="66585" spans="1:4" x14ac:dyDescent="0.2">
      <c r="B66585" t="s">
        <v>1</v>
      </c>
    </row>
    <row r="66586" spans="1:4" x14ac:dyDescent="0.2">
      <c r="B66586" t="s">
        <v>8</v>
      </c>
    </row>
    <row r="66588" spans="1:4" x14ac:dyDescent="0.2">
      <c r="A66588" t="s">
        <v>20696</v>
      </c>
      <c r="B66588" t="str">
        <f>HYPERLINK("https://lindat.mff.cuni.cz/services/teitok/pdtc10/index.php?action=vallex&amp;frame=v-w9134f2", "zaslepit (v-w9134f2)")</f>
        <v>zaslepit (v-w9134f2)</v>
      </c>
    </row>
    <row r="66589" spans="1:4" x14ac:dyDescent="0.2">
      <c r="B66589" t="s">
        <v>1</v>
      </c>
    </row>
    <row r="66590" spans="1:4" x14ac:dyDescent="0.2">
      <c r="B66590" t="s">
        <v>8</v>
      </c>
    </row>
    <row r="66592" spans="1:4" x14ac:dyDescent="0.2">
      <c r="A66592" t="s">
        <v>20697</v>
      </c>
      <c r="B66592" t="str">
        <f>HYPERLINK("https://lindat.mff.cuni.cz/services/teitok/pdtc10/index.php?action=vallex&amp;frame=v-w9135f1", "zaslepovat (v-w9135f1)")</f>
        <v>zaslepovat (v-w9135f1)</v>
      </c>
    </row>
    <row r="66593" spans="1:4" x14ac:dyDescent="0.2">
      <c r="B66593" t="s">
        <v>1</v>
      </c>
      <c r="D66593" t="s">
        <v>23416</v>
      </c>
    </row>
    <row r="66594" spans="1:4" x14ac:dyDescent="0.2">
      <c r="B66594" t="s">
        <v>8</v>
      </c>
      <c r="D66594" t="s">
        <v>23417</v>
      </c>
    </row>
    <row r="66596" spans="1:4" x14ac:dyDescent="0.2">
      <c r="A66596" t="s">
        <v>20698</v>
      </c>
      <c r="B66596" t="str">
        <f>HYPERLINK("https://lindat.mff.cuni.cz/services/teitok/pdtc10/index.php?action=vallex&amp;frame=v-w9136f1", "zasloužit (v-w9136f1)")</f>
        <v>zasloužit (v-w9136f1)</v>
      </c>
    </row>
    <row r="66597" spans="1:4" x14ac:dyDescent="0.2">
      <c r="B66597" t="s">
        <v>1</v>
      </c>
    </row>
    <row r="66598" spans="1:4" x14ac:dyDescent="0.2">
      <c r="B66598" t="s">
        <v>228</v>
      </c>
    </row>
    <row r="66600" spans="1:4" x14ac:dyDescent="0.2">
      <c r="A66600" t="s">
        <v>20699</v>
      </c>
      <c r="B66600" t="str">
        <f>HYPERLINK("https://lindat.mff.cuni.cz/services/teitok/pdtc10/index.php?action=vallex&amp;frame=v-w9137f1", "zasloužit se (v-w9137f1)")</f>
        <v>zasloužit se (v-w9137f1)</v>
      </c>
    </row>
    <row r="66601" spans="1:4" x14ac:dyDescent="0.2">
      <c r="B66601" t="s">
        <v>1</v>
      </c>
      <c r="C66601" t="s">
        <v>6044</v>
      </c>
      <c r="D66601" t="s">
        <v>23478</v>
      </c>
    </row>
    <row r="66602" spans="1:4" x14ac:dyDescent="0.2">
      <c r="B66602" t="s">
        <v>3285</v>
      </c>
      <c r="C66602" t="s">
        <v>20700</v>
      </c>
      <c r="D66602" t="s">
        <v>23479</v>
      </c>
    </row>
    <row r="66604" spans="1:4" x14ac:dyDescent="0.2">
      <c r="A66604" t="s">
        <v>20701</v>
      </c>
      <c r="B66604" t="str">
        <f>HYPERLINK("https://lindat.mff.cuni.cz/services/teitok/pdtc10/index.php?action=vallex&amp;frame=v-w9138f1", "zasloužit si (v-w9138f1)")</f>
        <v>zasloužit si (v-w9138f1)</v>
      </c>
    </row>
    <row r="66605" spans="1:4" x14ac:dyDescent="0.2">
      <c r="B66605" t="s">
        <v>1</v>
      </c>
      <c r="C66605" t="s">
        <v>20702</v>
      </c>
      <c r="D66605" t="s">
        <v>370</v>
      </c>
    </row>
    <row r="66606" spans="1:4" x14ac:dyDescent="0.2">
      <c r="B66606" t="s">
        <v>1921</v>
      </c>
      <c r="C66606" t="s">
        <v>20703</v>
      </c>
      <c r="D66606" t="s">
        <v>116</v>
      </c>
    </row>
    <row r="66607" spans="1:4" x14ac:dyDescent="0.2">
      <c r="B66607" t="s">
        <v>321</v>
      </c>
    </row>
    <row r="66609" spans="1:4" x14ac:dyDescent="0.2">
      <c r="A66609" t="s">
        <v>20704</v>
      </c>
      <c r="B66609" t="str">
        <f>HYPERLINK("https://lindat.mff.cuni.cz/services/teitok/pdtc10/index.php?action=vallex&amp;frame=v-w9140f1", "zasluhovat (v-w9140f1)")</f>
        <v>zasluhovat (v-w9140f1)</v>
      </c>
    </row>
    <row r="66610" spans="1:4" x14ac:dyDescent="0.2">
      <c r="B66610" t="s">
        <v>1</v>
      </c>
    </row>
    <row r="66611" spans="1:4" x14ac:dyDescent="0.2">
      <c r="B66611" t="s">
        <v>8</v>
      </c>
    </row>
    <row r="66613" spans="1:4" x14ac:dyDescent="0.2">
      <c r="A66613" t="s">
        <v>20705</v>
      </c>
      <c r="B66613" t="str">
        <f>HYPERLINK("https://lindat.mff.cuni.cz/services/teitok/pdtc10/index.php?action=vallex&amp;frame=v-w9141f1", "zasluhovat se (v-w9141f1)")</f>
        <v>zasluhovat se (v-w9141f1)</v>
      </c>
    </row>
    <row r="66614" spans="1:4" x14ac:dyDescent="0.2">
      <c r="B66614" t="s">
        <v>1</v>
      </c>
    </row>
    <row r="66615" spans="1:4" x14ac:dyDescent="0.2">
      <c r="B66615" t="s">
        <v>467</v>
      </c>
    </row>
    <row r="66617" spans="1:4" x14ac:dyDescent="0.2">
      <c r="A66617" t="s">
        <v>20706</v>
      </c>
      <c r="B66617" t="str">
        <f>HYPERLINK("https://lindat.mff.cuni.cz/services/teitok/pdtc10/index.php?action=vallex&amp;frame=v-w9142f1", "zasluhovat si (v-w9142f1)")</f>
        <v>zasluhovat si (v-w9142f1)</v>
      </c>
    </row>
    <row r="66618" spans="1:4" x14ac:dyDescent="0.2">
      <c r="B66618" t="s">
        <v>1</v>
      </c>
      <c r="C66618" t="s">
        <v>1566</v>
      </c>
      <c r="D66618" t="s">
        <v>370</v>
      </c>
    </row>
    <row r="66619" spans="1:4" x14ac:dyDescent="0.2">
      <c r="B66619" t="s">
        <v>1921</v>
      </c>
      <c r="C66619" t="s">
        <v>2886</v>
      </c>
      <c r="D66619" t="s">
        <v>116</v>
      </c>
    </row>
    <row r="66620" spans="1:4" x14ac:dyDescent="0.2">
      <c r="B66620" t="s">
        <v>321</v>
      </c>
    </row>
    <row r="66622" spans="1:4" x14ac:dyDescent="0.2">
      <c r="A66622" t="s">
        <v>20707</v>
      </c>
      <c r="B66622" t="str">
        <f>HYPERLINK("https://lindat.mff.cuni.cz/services/teitok/pdtc10/index.php?action=vallex&amp;frame=v-w9144f1", "zasmečovat si (v-w9144f1)")</f>
        <v>zasmečovat si (v-w9144f1)</v>
      </c>
    </row>
    <row r="66623" spans="1:4" x14ac:dyDescent="0.2">
      <c r="B66623" t="s">
        <v>1</v>
      </c>
    </row>
    <row r="66625" spans="1:2" x14ac:dyDescent="0.2">
      <c r="A66625" t="s">
        <v>20708</v>
      </c>
      <c r="B66625" t="str">
        <f>HYPERLINK("https://lindat.mff.cuni.cz/services/teitok/pdtc10/index.php?action=vallex&amp;frame=v-w12153_ZUf1_ZU", "zasmrdět (v-w12153_ZUf1_ZU)")</f>
        <v>zasmrdět (v-w12153_ZUf1_ZU)</v>
      </c>
    </row>
    <row r="66626" spans="1:2" x14ac:dyDescent="0.2">
      <c r="B66626" t="s">
        <v>1</v>
      </c>
    </row>
    <row r="66627" spans="1:2" x14ac:dyDescent="0.2">
      <c r="B66627" t="s">
        <v>8</v>
      </c>
    </row>
    <row r="66629" spans="1:2" x14ac:dyDescent="0.2">
      <c r="A66629" t="s">
        <v>20709</v>
      </c>
      <c r="B66629" t="str">
        <f>HYPERLINK("https://lindat.mff.cuni.cz/services/teitok/pdtc10/index.php?action=vallex&amp;frame=v-w9143hsa_440", "zasmát se (v-w9143hsa_440)")</f>
        <v>zasmát se (v-w9143hsa_440)</v>
      </c>
    </row>
    <row r="66630" spans="1:2" x14ac:dyDescent="0.2">
      <c r="B66630" t="s">
        <v>1</v>
      </c>
    </row>
    <row r="66631" spans="1:2" x14ac:dyDescent="0.2">
      <c r="B66631" t="s">
        <v>6113</v>
      </c>
    </row>
    <row r="66633" spans="1:2" x14ac:dyDescent="0.2">
      <c r="A66633" t="s">
        <v>20709</v>
      </c>
      <c r="B66633" t="str">
        <f>HYPERLINK("https://lindat.mff.cuni.cz/services/teitok/pdtc10/index.php?action=vallex&amp;frame=v-w9143f1", "zasmát se (v-w9143f1) - substituted with v-w9143hsa_440")</f>
        <v>zasmát se (v-w9143f1) - substituted with v-w9143hsa_440</v>
      </c>
    </row>
    <row r="66634" spans="1:2" x14ac:dyDescent="0.2">
      <c r="B66634" t="s">
        <v>1</v>
      </c>
    </row>
    <row r="66635" spans="1:2" x14ac:dyDescent="0.2">
      <c r="B66635" t="s">
        <v>6113</v>
      </c>
    </row>
    <row r="66637" spans="1:2" x14ac:dyDescent="0.2">
      <c r="A66637" t="s">
        <v>20710</v>
      </c>
      <c r="B66637" t="str">
        <f>HYPERLINK("https://lindat.mff.cuni.cz/services/teitok/pdtc10/index.php?action=vallex&amp;frame=v-w11416f1", "zasnoubit se (v-w11416f1)")</f>
        <v>zasnoubit se (v-w11416f1)</v>
      </c>
    </row>
    <row r="66638" spans="1:2" x14ac:dyDescent="0.2">
      <c r="B66638" t="s">
        <v>1</v>
      </c>
    </row>
    <row r="66639" spans="1:2" x14ac:dyDescent="0.2">
      <c r="B66639" t="s">
        <v>411</v>
      </c>
    </row>
    <row r="66641" spans="1:2" x14ac:dyDescent="0.2">
      <c r="A66641" t="s">
        <v>20711</v>
      </c>
      <c r="B66641" t="str">
        <f>HYPERLINK("https://lindat.mff.cuni.cz/services/teitok/pdtc10/index.php?action=vallex&amp;frame=v-w9149f1", "zaspat (v-w9149f1)")</f>
        <v>zaspat (v-w9149f1)</v>
      </c>
    </row>
    <row r="66642" spans="1:2" x14ac:dyDescent="0.2">
      <c r="B66642" t="s">
        <v>1</v>
      </c>
    </row>
    <row r="66643" spans="1:2" x14ac:dyDescent="0.2">
      <c r="B66643" t="s">
        <v>220</v>
      </c>
    </row>
    <row r="66645" spans="1:2" x14ac:dyDescent="0.2">
      <c r="A66645" t="s">
        <v>20712</v>
      </c>
      <c r="B66645" t="str">
        <f>HYPERLINK("https://lindat.mff.cuni.cz/services/teitok/pdtc10/index.php?action=vallex&amp;frame=v-w9149f2", "zaspat (v-w9149f2)")</f>
        <v>zaspat (v-w9149f2)</v>
      </c>
    </row>
    <row r="66646" spans="1:2" x14ac:dyDescent="0.2">
      <c r="B66646" t="s">
        <v>1</v>
      </c>
    </row>
    <row r="66647" spans="1:2" x14ac:dyDescent="0.2">
      <c r="B66647" t="s">
        <v>220</v>
      </c>
    </row>
    <row r="66649" spans="1:2" x14ac:dyDescent="0.2">
      <c r="A66649" t="s">
        <v>20713</v>
      </c>
      <c r="B66649" t="str">
        <f>HYPERLINK("https://lindat.mff.cuni.cz/services/teitok/pdtc10/index.php?action=vallex&amp;frame=v-w9149f3", "zaspat (v-w9149f3)")</f>
        <v>zaspat (v-w9149f3)</v>
      </c>
    </row>
    <row r="66650" spans="1:2" x14ac:dyDescent="0.2">
      <c r="B66650" t="s">
        <v>1</v>
      </c>
    </row>
    <row r="66651" spans="1:2" x14ac:dyDescent="0.2">
      <c r="B66651" t="s">
        <v>220</v>
      </c>
    </row>
    <row r="66653" spans="1:2" x14ac:dyDescent="0.2">
      <c r="A66653" t="s">
        <v>20714</v>
      </c>
      <c r="B66653" t="str">
        <f>HYPERLINK("https://lindat.mff.cuni.cz/services/teitok/pdtc10/index.php?action=vallex&amp;frame=v-whsa_1606hsa_1607", "zasportovat si (v-whsa_1606hsa_1607)")</f>
        <v>zasportovat si (v-whsa_1606hsa_1607)</v>
      </c>
    </row>
    <row r="66654" spans="1:2" x14ac:dyDescent="0.2">
      <c r="B66654" t="s">
        <v>1</v>
      </c>
    </row>
    <row r="66656" spans="1:2" x14ac:dyDescent="0.2">
      <c r="A66656" t="s">
        <v>20715</v>
      </c>
      <c r="B66656" t="str">
        <f>HYPERLINK("https://lindat.mff.cuni.cz/services/teitok/pdtc10/index.php?action=vallex&amp;frame=v-whsa_1147hsa_1148", "zastarat (v-whsa_1147hsa_1148)")</f>
        <v>zastarat (v-whsa_1147hsa_1148)</v>
      </c>
    </row>
    <row r="66657" spans="1:4" x14ac:dyDescent="0.2">
      <c r="B66657" t="s">
        <v>1</v>
      </c>
      <c r="D66657" t="s">
        <v>23674</v>
      </c>
    </row>
    <row r="66659" spans="1:4" x14ac:dyDescent="0.2">
      <c r="A66659" t="s">
        <v>20716</v>
      </c>
      <c r="B66659" t="str">
        <f>HYPERLINK("https://lindat.mff.cuni.cz/services/teitok/pdtc10/index.php?action=vallex&amp;frame=v-whsa_836hsa_837", "zastarávat (v-whsa_836hsa_837)")</f>
        <v>zastarávat (v-whsa_836hsa_837)</v>
      </c>
    </row>
    <row r="66660" spans="1:4" x14ac:dyDescent="0.2">
      <c r="B66660" t="s">
        <v>1</v>
      </c>
      <c r="C66660" t="s">
        <v>5699</v>
      </c>
      <c r="D66660" t="s">
        <v>23674</v>
      </c>
    </row>
    <row r="66662" spans="1:4" x14ac:dyDescent="0.2">
      <c r="A66662" t="s">
        <v>20717</v>
      </c>
      <c r="B66662" t="str">
        <f>HYPERLINK("https://lindat.mff.cuni.cz/services/teitok/pdtc10/index.php?action=vallex&amp;frame=v-w9151f1", "zastat (v-w9151f1)")</f>
        <v>zastat (v-w9151f1)</v>
      </c>
    </row>
    <row r="66663" spans="1:4" x14ac:dyDescent="0.2">
      <c r="B66663" t="s">
        <v>1</v>
      </c>
      <c r="D66663" t="s">
        <v>23861</v>
      </c>
    </row>
    <row r="66664" spans="1:4" x14ac:dyDescent="0.2">
      <c r="B66664" t="s">
        <v>8</v>
      </c>
    </row>
    <row r="66666" spans="1:4" x14ac:dyDescent="0.2">
      <c r="A66666" t="s">
        <v>20718</v>
      </c>
      <c r="B66666" t="str">
        <f>HYPERLINK("https://lindat.mff.cuni.cz/services/teitok/pdtc10/index.php?action=vallex&amp;frame=v-w9152f1", "zastat se (v-w9152f1)")</f>
        <v>zastat se (v-w9152f1)</v>
      </c>
    </row>
    <row r="66667" spans="1:4" x14ac:dyDescent="0.2">
      <c r="B66667" t="s">
        <v>1</v>
      </c>
      <c r="D66667" t="s">
        <v>1504</v>
      </c>
    </row>
    <row r="66668" spans="1:4" x14ac:dyDescent="0.2">
      <c r="B66668" t="s">
        <v>917</v>
      </c>
      <c r="D66668" t="s">
        <v>3233</v>
      </c>
    </row>
    <row r="66670" spans="1:4" x14ac:dyDescent="0.2">
      <c r="A66670" t="s">
        <v>20719</v>
      </c>
      <c r="B66670" t="str">
        <f>HYPERLINK("https://lindat.mff.cuni.cz/services/teitok/pdtc10/index.php?action=vallex&amp;frame=v-w9160f1", "zastavit (v-w9160f1)")</f>
        <v>zastavit (v-w9160f1)</v>
      </c>
    </row>
    <row r="66671" spans="1:4" x14ac:dyDescent="0.2">
      <c r="B66671" t="s">
        <v>1</v>
      </c>
      <c r="C66671" t="s">
        <v>20720</v>
      </c>
      <c r="D66671" t="s">
        <v>23140</v>
      </c>
    </row>
    <row r="66672" spans="1:4" x14ac:dyDescent="0.2">
      <c r="B66672" t="s">
        <v>8</v>
      </c>
      <c r="C66672" t="s">
        <v>20721</v>
      </c>
      <c r="D66672" t="s">
        <v>23141</v>
      </c>
    </row>
    <row r="66674" spans="1:4" x14ac:dyDescent="0.2">
      <c r="A66674" t="s">
        <v>20722</v>
      </c>
      <c r="B66674" t="str">
        <f>HYPERLINK("https://lindat.mff.cuni.cz/services/teitok/pdtc10/index.php?action=vallex&amp;frame=v-w9160f2", "zastavit (v-w9160f2)")</f>
        <v>zastavit (v-w9160f2)</v>
      </c>
    </row>
    <row r="66675" spans="1:4" x14ac:dyDescent="0.2">
      <c r="B66675" t="s">
        <v>1</v>
      </c>
    </row>
    <row r="66676" spans="1:4" x14ac:dyDescent="0.2">
      <c r="B66676" t="s">
        <v>8</v>
      </c>
      <c r="C66676" t="s">
        <v>113</v>
      </c>
    </row>
    <row r="66678" spans="1:4" x14ac:dyDescent="0.2">
      <c r="A66678" t="s">
        <v>20723</v>
      </c>
      <c r="B66678" t="str">
        <f>HYPERLINK("https://lindat.mff.cuni.cz/services/teitok/pdtc10/index.php?action=vallex&amp;frame=v-w9160f7_ZU", "zastavit (v-w9160f7_ZU)")</f>
        <v>zastavit (v-w9160f7_ZU)</v>
      </c>
    </row>
    <row r="66679" spans="1:4" x14ac:dyDescent="0.2">
      <c r="B66679" t="s">
        <v>1</v>
      </c>
    </row>
    <row r="66680" spans="1:4" x14ac:dyDescent="0.2">
      <c r="B66680" t="s">
        <v>8</v>
      </c>
    </row>
    <row r="66682" spans="1:4" x14ac:dyDescent="0.2">
      <c r="A66682" t="s">
        <v>20723</v>
      </c>
      <c r="B66682" t="str">
        <f>HYPERLINK("https://lindat.mff.cuni.cz/services/teitok/pdtc10/index.php?action=vallex&amp;frame=v-w9160f3", "zastavit (v-w9160f3) - substituted with v-w9160f7_ZU")</f>
        <v>zastavit (v-w9160f3) - substituted with v-w9160f7_ZU</v>
      </c>
    </row>
    <row r="66683" spans="1:4" x14ac:dyDescent="0.2">
      <c r="B66683" t="s">
        <v>1</v>
      </c>
      <c r="C66683" t="s">
        <v>5401</v>
      </c>
      <c r="D66683" t="s">
        <v>24028</v>
      </c>
    </row>
    <row r="66684" spans="1:4" x14ac:dyDescent="0.2">
      <c r="B66684" t="s">
        <v>8</v>
      </c>
      <c r="C66684" t="s">
        <v>20724</v>
      </c>
      <c r="D66684" t="s">
        <v>24029</v>
      </c>
    </row>
    <row r="66686" spans="1:4" x14ac:dyDescent="0.2">
      <c r="A66686" t="s">
        <v>20725</v>
      </c>
      <c r="B66686" t="str">
        <f>HYPERLINK("https://lindat.mff.cuni.cz/services/teitok/pdtc10/index.php?action=vallex&amp;frame=v-w9160f6_ZU", "zastavit (v-w9160f6_ZU)")</f>
        <v>zastavit (v-w9160f6_ZU)</v>
      </c>
    </row>
    <row r="66687" spans="1:4" x14ac:dyDescent="0.2">
      <c r="B66687" t="s">
        <v>1</v>
      </c>
    </row>
    <row r="66689" spans="1:4" x14ac:dyDescent="0.2">
      <c r="A66689" t="s">
        <v>20725</v>
      </c>
      <c r="B66689" t="str">
        <f>HYPERLINK("https://lindat.mff.cuni.cz/services/teitok/pdtc10/index.php?action=vallex&amp;frame=v-w9160f4", "zastavit (v-w9160f4) - substituted with v-w9160f6_ZU")</f>
        <v>zastavit (v-w9160f4) - substituted with v-w9160f6_ZU</v>
      </c>
    </row>
    <row r="66690" spans="1:4" x14ac:dyDescent="0.2">
      <c r="B66690" t="s">
        <v>1</v>
      </c>
      <c r="C66690" t="s">
        <v>20726</v>
      </c>
      <c r="D66690" t="s">
        <v>21560</v>
      </c>
    </row>
    <row r="66692" spans="1:4" x14ac:dyDescent="0.2">
      <c r="A66692" t="s">
        <v>20727</v>
      </c>
      <c r="B66692" t="str">
        <f>HYPERLINK("https://lindat.mff.cuni.cz/services/teitok/pdtc10/index.php?action=vallex&amp;frame=v-w9160f5_ZU", "zastavit (v-w9160f5_ZU)")</f>
        <v>zastavit (v-w9160f5_ZU)</v>
      </c>
    </row>
    <row r="66693" spans="1:4" x14ac:dyDescent="0.2">
      <c r="B66693" t="s">
        <v>1</v>
      </c>
      <c r="C66693" t="s">
        <v>133</v>
      </c>
    </row>
    <row r="66694" spans="1:4" x14ac:dyDescent="0.2">
      <c r="B66694" t="s">
        <v>290</v>
      </c>
      <c r="C66694" t="s">
        <v>2691</v>
      </c>
    </row>
    <row r="66695" spans="1:4" x14ac:dyDescent="0.2">
      <c r="B66695" t="s">
        <v>58</v>
      </c>
      <c r="C66695" t="s">
        <v>2901</v>
      </c>
    </row>
    <row r="66697" spans="1:4" x14ac:dyDescent="0.2">
      <c r="A66697" t="s">
        <v>20728</v>
      </c>
      <c r="B66697" t="str">
        <f>HYPERLINK("https://lindat.mff.cuni.cz/services/teitok/pdtc10/index.php?action=vallex&amp;frame=v-w9160hsa_960", "zastavit (v-w9160hsa_960)")</f>
        <v>zastavit (v-w9160hsa_960)</v>
      </c>
    </row>
    <row r="66698" spans="1:4" x14ac:dyDescent="0.2">
      <c r="B66698" t="s">
        <v>1</v>
      </c>
    </row>
    <row r="66699" spans="1:4" x14ac:dyDescent="0.2">
      <c r="B66699" t="s">
        <v>8</v>
      </c>
    </row>
    <row r="66701" spans="1:4" x14ac:dyDescent="0.2">
      <c r="A66701" t="s">
        <v>20729</v>
      </c>
      <c r="B66701" t="str">
        <f>HYPERLINK("https://lindat.mff.cuni.cz/services/teitok/pdtc10/index.php?action=vallex&amp;frame=v-w9161f1", "zastavit se (v-w9161f1)")</f>
        <v>zastavit se (v-w9161f1)</v>
      </c>
    </row>
    <row r="66702" spans="1:4" x14ac:dyDescent="0.2">
      <c r="B66702" t="s">
        <v>1</v>
      </c>
      <c r="C66702" t="s">
        <v>20730</v>
      </c>
      <c r="D66702" t="s">
        <v>24501</v>
      </c>
    </row>
    <row r="66703" spans="1:4" x14ac:dyDescent="0.2">
      <c r="B66703" t="s">
        <v>5</v>
      </c>
      <c r="C66703" t="s">
        <v>20731</v>
      </c>
      <c r="D66703" t="s">
        <v>24502</v>
      </c>
    </row>
    <row r="66705" spans="1:4" x14ac:dyDescent="0.2">
      <c r="A66705" t="s">
        <v>20732</v>
      </c>
      <c r="B66705" t="str">
        <f>HYPERLINK("https://lindat.mff.cuni.cz/services/teitok/pdtc10/index.php?action=vallex&amp;frame=v-w9161f2", "zastavit se (v-w9161f2)")</f>
        <v>zastavit se (v-w9161f2)</v>
      </c>
    </row>
    <row r="66706" spans="1:4" x14ac:dyDescent="0.2">
      <c r="B66706" t="s">
        <v>1</v>
      </c>
      <c r="C66706" t="s">
        <v>20733</v>
      </c>
      <c r="D66706" t="s">
        <v>24503</v>
      </c>
    </row>
    <row r="66708" spans="1:4" x14ac:dyDescent="0.2">
      <c r="A66708" t="s">
        <v>20734</v>
      </c>
      <c r="B66708" t="str">
        <f>HYPERLINK("https://lindat.mff.cuni.cz/services/teitok/pdtc10/index.php?action=vallex&amp;frame=v-w9161f3", "zastavit se (v-w9161f3)")</f>
        <v>zastavit se (v-w9161f3)</v>
      </c>
    </row>
    <row r="66709" spans="1:4" x14ac:dyDescent="0.2">
      <c r="B66709" t="s">
        <v>1</v>
      </c>
      <c r="C66709" t="s">
        <v>20735</v>
      </c>
      <c r="D66709" t="s">
        <v>24504</v>
      </c>
    </row>
    <row r="66711" spans="1:4" x14ac:dyDescent="0.2">
      <c r="A66711" t="s">
        <v>20736</v>
      </c>
      <c r="B66711" t="str">
        <f>HYPERLINK("https://lindat.mff.cuni.cz/services/teitok/pdtc10/index.php?action=vallex&amp;frame=v-w9161f4_ZU", "zastavit se (v-w9161f4_ZU)")</f>
        <v>zastavit se (v-w9161f4_ZU)</v>
      </c>
    </row>
    <row r="66712" spans="1:4" x14ac:dyDescent="0.2">
      <c r="B66712" t="s">
        <v>1</v>
      </c>
      <c r="C66712" t="s">
        <v>83</v>
      </c>
    </row>
    <row r="66714" spans="1:4" x14ac:dyDescent="0.2">
      <c r="A66714" t="s">
        <v>20737</v>
      </c>
      <c r="B66714" t="str">
        <f>HYPERLINK("https://lindat.mff.cuni.cz/services/teitok/pdtc10/index.php?action=vallex&amp;frame=v-w9162f1", "zastavovat (v-w9162f1)")</f>
        <v>zastavovat (v-w9162f1)</v>
      </c>
    </row>
    <row r="66715" spans="1:4" x14ac:dyDescent="0.2">
      <c r="B66715" t="s">
        <v>1</v>
      </c>
    </row>
    <row r="66716" spans="1:4" x14ac:dyDescent="0.2">
      <c r="B66716" t="s">
        <v>8</v>
      </c>
    </row>
    <row r="66718" spans="1:4" x14ac:dyDescent="0.2">
      <c r="A66718" t="s">
        <v>20738</v>
      </c>
      <c r="B66718" t="str">
        <f>HYPERLINK("https://lindat.mff.cuni.cz/services/teitok/pdtc10/index.php?action=vallex&amp;frame=v-w9162f3", "zastavovat (v-w9162f3)")</f>
        <v>zastavovat (v-w9162f3)</v>
      </c>
    </row>
    <row r="66719" spans="1:4" x14ac:dyDescent="0.2">
      <c r="B66719" t="s">
        <v>1</v>
      </c>
      <c r="C66719" t="s">
        <v>20739</v>
      </c>
      <c r="D66719" t="s">
        <v>23598</v>
      </c>
    </row>
    <row r="66720" spans="1:4" x14ac:dyDescent="0.2">
      <c r="B66720" t="s">
        <v>8</v>
      </c>
      <c r="C66720" t="s">
        <v>2305</v>
      </c>
      <c r="D66720" t="s">
        <v>23599</v>
      </c>
    </row>
    <row r="66722" spans="1:4" x14ac:dyDescent="0.2">
      <c r="A66722" t="s">
        <v>20740</v>
      </c>
      <c r="B66722" t="str">
        <f>HYPERLINK("https://lindat.mff.cuni.cz/services/teitok/pdtc10/index.php?action=vallex&amp;frame=v-w9162f4", "zastavovat (v-w9162f4)")</f>
        <v>zastavovat (v-w9162f4)</v>
      </c>
    </row>
    <row r="66723" spans="1:4" x14ac:dyDescent="0.2">
      <c r="B66723" t="s">
        <v>1</v>
      </c>
      <c r="C66723" t="s">
        <v>715</v>
      </c>
      <c r="D66723" t="s">
        <v>24028</v>
      </c>
    </row>
    <row r="66724" spans="1:4" x14ac:dyDescent="0.2">
      <c r="B66724" t="s">
        <v>8</v>
      </c>
      <c r="D66724" t="s">
        <v>24029</v>
      </c>
    </row>
    <row r="66726" spans="1:4" x14ac:dyDescent="0.2">
      <c r="A66726" t="s">
        <v>20741</v>
      </c>
      <c r="B66726" t="str">
        <f>HYPERLINK("https://lindat.mff.cuni.cz/services/teitok/pdtc10/index.php?action=vallex&amp;frame=v-w9162f2", "zastavovat (v-w9162f2)")</f>
        <v>zastavovat (v-w9162f2)</v>
      </c>
    </row>
    <row r="66727" spans="1:4" x14ac:dyDescent="0.2">
      <c r="B66727" t="s">
        <v>1</v>
      </c>
      <c r="D66727" t="s">
        <v>21560</v>
      </c>
    </row>
    <row r="66729" spans="1:4" x14ac:dyDescent="0.2">
      <c r="A66729" t="s">
        <v>20742</v>
      </c>
      <c r="B66729" t="str">
        <f>HYPERLINK("https://lindat.mff.cuni.cz/services/teitok/pdtc10/index.php?action=vallex&amp;frame=v-w9163f1", "zastavovat se (v-w9163f1)")</f>
        <v>zastavovat se (v-w9163f1)</v>
      </c>
    </row>
    <row r="66730" spans="1:4" x14ac:dyDescent="0.2">
      <c r="B66730" t="s">
        <v>1</v>
      </c>
      <c r="C66730" t="s">
        <v>20743</v>
      </c>
    </row>
    <row r="66732" spans="1:4" x14ac:dyDescent="0.2">
      <c r="A66732" t="s">
        <v>20744</v>
      </c>
      <c r="B66732" t="str">
        <f>HYPERLINK("https://lindat.mff.cuni.cz/services/teitok/pdtc10/index.php?action=vallex&amp;frame=v-w11904_ZUf1_ZU", "zastavět (v-w11904_ZUf1_ZU)")</f>
        <v>zastavět (v-w11904_ZUf1_ZU)</v>
      </c>
    </row>
    <row r="66733" spans="1:4" x14ac:dyDescent="0.2">
      <c r="B66733" t="s">
        <v>1</v>
      </c>
    </row>
    <row r="66734" spans="1:4" x14ac:dyDescent="0.2">
      <c r="B66734" t="s">
        <v>8</v>
      </c>
    </row>
    <row r="66736" spans="1:4" x14ac:dyDescent="0.2">
      <c r="A66736" t="s">
        <v>20745</v>
      </c>
      <c r="B66736" t="str">
        <f>HYPERLINK("https://lindat.mff.cuni.cz/services/teitok/pdtc10/index.php?action=vallex&amp;frame=v-w9164f1", "zastihnout (v-w9164f1)")</f>
        <v>zastihnout (v-w9164f1)</v>
      </c>
    </row>
    <row r="66737" spans="1:4" x14ac:dyDescent="0.2">
      <c r="B66737" t="s">
        <v>1</v>
      </c>
      <c r="C66737" t="s">
        <v>2698</v>
      </c>
      <c r="D66737" t="s">
        <v>1125</v>
      </c>
    </row>
    <row r="66738" spans="1:4" x14ac:dyDescent="0.2">
      <c r="B66738" t="s">
        <v>8</v>
      </c>
      <c r="C66738" t="s">
        <v>7127</v>
      </c>
      <c r="D66738" t="s">
        <v>3233</v>
      </c>
    </row>
    <row r="66740" spans="1:4" x14ac:dyDescent="0.2">
      <c r="A66740" t="s">
        <v>20746</v>
      </c>
      <c r="B66740" t="str">
        <f>HYPERLINK("https://lindat.mff.cuni.cz/services/teitok/pdtc10/index.php?action=vallex&amp;frame=v-w9164f2_ZU", "zastihnout (v-w9164f2_ZU)")</f>
        <v>zastihnout (v-w9164f2_ZU)</v>
      </c>
    </row>
    <row r="66741" spans="1:4" x14ac:dyDescent="0.2">
      <c r="B66741" t="s">
        <v>1</v>
      </c>
      <c r="C66741" t="s">
        <v>140</v>
      </c>
    </row>
    <row r="66742" spans="1:4" x14ac:dyDescent="0.2">
      <c r="B66742" t="s">
        <v>8</v>
      </c>
      <c r="C66742" t="s">
        <v>56</v>
      </c>
    </row>
    <row r="66743" spans="1:4" x14ac:dyDescent="0.2">
      <c r="B66743" t="s">
        <v>20747</v>
      </c>
      <c r="C66743" t="s">
        <v>13878</v>
      </c>
    </row>
    <row r="66745" spans="1:4" x14ac:dyDescent="0.2">
      <c r="A66745" t="s">
        <v>20746</v>
      </c>
      <c r="B66745" t="str">
        <f>HYPERLINK("https://lindat.mff.cuni.cz/services/teitok/pdtc10/index.php?action=vallex&amp;frame=v-w9164hsa_464", "zastihnout (v-w9164hsa_464) - substituted with v-w9164f2_ZU")</f>
        <v>zastihnout (v-w9164hsa_464) - substituted with v-w9164f2_ZU</v>
      </c>
    </row>
    <row r="66746" spans="1:4" x14ac:dyDescent="0.2">
      <c r="B66746" t="s">
        <v>1</v>
      </c>
    </row>
    <row r="66747" spans="1:4" x14ac:dyDescent="0.2">
      <c r="B66747" t="s">
        <v>8</v>
      </c>
    </row>
    <row r="66748" spans="1:4" x14ac:dyDescent="0.2">
      <c r="B66748" t="s">
        <v>20747</v>
      </c>
    </row>
    <row r="66750" spans="1:4" x14ac:dyDescent="0.2">
      <c r="A66750" t="s">
        <v>20748</v>
      </c>
      <c r="B66750" t="str">
        <f>HYPERLINK("https://lindat.mff.cuni.cz/services/teitok/pdtc10/index.php?action=vallex&amp;frame=v-w9166f3", "zastiňovat (v-w9166f3)")</f>
        <v>zastiňovat (v-w9166f3)</v>
      </c>
    </row>
    <row r="66751" spans="1:4" x14ac:dyDescent="0.2">
      <c r="B66751" t="s">
        <v>1</v>
      </c>
    </row>
    <row r="66752" spans="1:4" x14ac:dyDescent="0.2">
      <c r="B66752" t="s">
        <v>3199</v>
      </c>
    </row>
    <row r="66753" spans="1:4" x14ac:dyDescent="0.2">
      <c r="B66753" t="s">
        <v>3200</v>
      </c>
    </row>
    <row r="66755" spans="1:4" x14ac:dyDescent="0.2">
      <c r="A66755" t="s">
        <v>20749</v>
      </c>
      <c r="B66755" t="str">
        <f>HYPERLINK("https://lindat.mff.cuni.cz/services/teitok/pdtc10/index.php?action=vallex&amp;frame=v-w9166f1", "zastiňovat (v-w9166f1)")</f>
        <v>zastiňovat (v-w9166f1)</v>
      </c>
    </row>
    <row r="66756" spans="1:4" x14ac:dyDescent="0.2">
      <c r="B66756" t="s">
        <v>1</v>
      </c>
      <c r="C66756" t="s">
        <v>249</v>
      </c>
    </row>
    <row r="66757" spans="1:4" x14ac:dyDescent="0.2">
      <c r="B66757" t="s">
        <v>8</v>
      </c>
      <c r="C66757" t="s">
        <v>1128</v>
      </c>
    </row>
    <row r="66759" spans="1:4" x14ac:dyDescent="0.2">
      <c r="A66759" t="s">
        <v>20750</v>
      </c>
      <c r="B66759" t="str">
        <f>HYPERLINK("https://lindat.mff.cuni.cz/services/teitok/pdtc10/index.php?action=vallex&amp;frame=v-w9166f4", "zastiňovat (v-w9166f4)")</f>
        <v>zastiňovat (v-w9166f4)</v>
      </c>
    </row>
    <row r="66760" spans="1:4" x14ac:dyDescent="0.2">
      <c r="B66760" t="s">
        <v>1</v>
      </c>
      <c r="C66760" t="s">
        <v>990</v>
      </c>
      <c r="D66760" t="s">
        <v>1065</v>
      </c>
    </row>
    <row r="66761" spans="1:4" x14ac:dyDescent="0.2">
      <c r="B66761" t="s">
        <v>8</v>
      </c>
      <c r="C66761" t="s">
        <v>1025</v>
      </c>
      <c r="D66761" t="s">
        <v>3773</v>
      </c>
    </row>
    <row r="66763" spans="1:4" x14ac:dyDescent="0.2">
      <c r="A66763" t="s">
        <v>20751</v>
      </c>
      <c r="B66763" t="str">
        <f>HYPERLINK("https://lindat.mff.cuni.cz/services/teitok/pdtc10/index.php?action=vallex&amp;frame=v-w9171f1", "zastoupit (v-w9171f1)")</f>
        <v>zastoupit (v-w9171f1)</v>
      </c>
    </row>
    <row r="66764" spans="1:4" x14ac:dyDescent="0.2">
      <c r="B66764" t="s">
        <v>1</v>
      </c>
      <c r="C66764" t="s">
        <v>20752</v>
      </c>
      <c r="D66764" t="s">
        <v>13005</v>
      </c>
    </row>
    <row r="66765" spans="1:4" x14ac:dyDescent="0.2">
      <c r="B66765" t="s">
        <v>8</v>
      </c>
      <c r="C66765" t="s">
        <v>20753</v>
      </c>
      <c r="D66765" t="s">
        <v>14823</v>
      </c>
    </row>
    <row r="66767" spans="1:4" x14ac:dyDescent="0.2">
      <c r="A66767" t="s">
        <v>20754</v>
      </c>
      <c r="B66767" t="str">
        <f>HYPERLINK("https://lindat.mff.cuni.cz/services/teitok/pdtc10/index.php?action=vallex&amp;frame=v-w9171f2", "zastoupit (v-w9171f2)")</f>
        <v>zastoupit (v-w9171f2)</v>
      </c>
    </row>
    <row r="66768" spans="1:4" x14ac:dyDescent="0.2">
      <c r="B66768" t="s">
        <v>1</v>
      </c>
      <c r="C66768" t="s">
        <v>20755</v>
      </c>
    </row>
    <row r="66769" spans="1:4" x14ac:dyDescent="0.2">
      <c r="B66769" t="s">
        <v>5</v>
      </c>
      <c r="C66769" t="s">
        <v>9059</v>
      </c>
    </row>
    <row r="66770" spans="1:4" x14ac:dyDescent="0.2">
      <c r="B66770" t="s">
        <v>2136</v>
      </c>
    </row>
    <row r="66772" spans="1:4" x14ac:dyDescent="0.2">
      <c r="A66772" t="s">
        <v>20756</v>
      </c>
      <c r="B66772" t="str">
        <f>HYPERLINK("https://lindat.mff.cuni.cz/services/teitok/pdtc10/index.php?action=vallex&amp;frame=v-w9172f1", "zastrašit (v-w9172f1)")</f>
        <v>zastrašit (v-w9172f1)</v>
      </c>
    </row>
    <row r="66773" spans="1:4" x14ac:dyDescent="0.2">
      <c r="B66773" t="s">
        <v>1</v>
      </c>
      <c r="C66773" t="s">
        <v>22</v>
      </c>
      <c r="D66773" t="s">
        <v>23316</v>
      </c>
    </row>
    <row r="66774" spans="1:4" x14ac:dyDescent="0.2">
      <c r="B66774" t="s">
        <v>8</v>
      </c>
      <c r="C66774" t="s">
        <v>20757</v>
      </c>
      <c r="D66774" t="s">
        <v>2213</v>
      </c>
    </row>
    <row r="66776" spans="1:4" x14ac:dyDescent="0.2">
      <c r="A66776" t="s">
        <v>20758</v>
      </c>
      <c r="B66776" t="str">
        <f>HYPERLINK("https://lindat.mff.cuni.cz/services/teitok/pdtc10/index.php?action=vallex&amp;frame=v-w9174f1", "zastrašovat (v-w9174f1)")</f>
        <v>zastrašovat (v-w9174f1)</v>
      </c>
    </row>
    <row r="66777" spans="1:4" x14ac:dyDescent="0.2">
      <c r="B66777" t="s">
        <v>1</v>
      </c>
      <c r="C66777" t="s">
        <v>133</v>
      </c>
      <c r="D66777" t="s">
        <v>23316</v>
      </c>
    </row>
    <row r="66778" spans="1:4" x14ac:dyDescent="0.2">
      <c r="B66778" t="s">
        <v>8</v>
      </c>
      <c r="C66778" t="s">
        <v>84</v>
      </c>
      <c r="D66778" t="s">
        <v>2213</v>
      </c>
    </row>
    <row r="66780" spans="1:4" x14ac:dyDescent="0.2">
      <c r="A66780" t="s">
        <v>20759</v>
      </c>
      <c r="B66780" t="str">
        <f>HYPERLINK("https://lindat.mff.cuni.cz/services/teitok/pdtc10/index.php?action=vallex&amp;frame=v-w10565f2", "zastrkovat (v-w10565f2)")</f>
        <v>zastrkovat (v-w10565f2)</v>
      </c>
    </row>
    <row r="66781" spans="1:4" x14ac:dyDescent="0.2">
      <c r="B66781" t="s">
        <v>1</v>
      </c>
    </row>
    <row r="66782" spans="1:4" x14ac:dyDescent="0.2">
      <c r="B66782" t="s">
        <v>20760</v>
      </c>
    </row>
    <row r="66784" spans="1:4" x14ac:dyDescent="0.2">
      <c r="A66784" t="s">
        <v>20761</v>
      </c>
      <c r="B66784" t="str">
        <f>HYPERLINK("https://lindat.mff.cuni.cz/services/teitok/pdtc10/index.php?action=vallex&amp;frame=v-w9175f1", "zastrkávat (v-w9175f1)")</f>
        <v>zastrkávat (v-w9175f1)</v>
      </c>
    </row>
    <row r="66785" spans="1:4" x14ac:dyDescent="0.2">
      <c r="B66785" t="s">
        <v>1</v>
      </c>
    </row>
    <row r="66786" spans="1:4" x14ac:dyDescent="0.2">
      <c r="B66786" t="s">
        <v>8</v>
      </c>
    </row>
    <row r="66787" spans="1:4" x14ac:dyDescent="0.2">
      <c r="B66787" t="s">
        <v>90</v>
      </c>
    </row>
    <row r="66789" spans="1:4" x14ac:dyDescent="0.2">
      <c r="A66789" t="s">
        <v>20762</v>
      </c>
      <c r="B66789" t="str">
        <f>HYPERLINK("https://lindat.mff.cuni.cz/services/teitok/pdtc10/index.php?action=vallex&amp;frame=v-w10212f2", "zastrčit (v-w10212f2)")</f>
        <v>zastrčit (v-w10212f2)</v>
      </c>
    </row>
    <row r="66790" spans="1:4" x14ac:dyDescent="0.2">
      <c r="B66790" t="s">
        <v>1</v>
      </c>
    </row>
    <row r="66791" spans="1:4" x14ac:dyDescent="0.2">
      <c r="B66791" t="s">
        <v>8</v>
      </c>
    </row>
    <row r="66792" spans="1:4" x14ac:dyDescent="0.2">
      <c r="B66792" t="s">
        <v>90</v>
      </c>
    </row>
    <row r="66794" spans="1:4" x14ac:dyDescent="0.2">
      <c r="A66794" t="s">
        <v>20763</v>
      </c>
      <c r="B66794" t="str">
        <f>HYPERLINK("https://lindat.mff.cuni.cz/services/teitok/pdtc10/index.php?action=vallex&amp;frame=v-w9187f2_ZU", "zastupovat (v-w9187f2_ZU)")</f>
        <v>zastupovat (v-w9187f2_ZU)</v>
      </c>
    </row>
    <row r="66795" spans="1:4" x14ac:dyDescent="0.2">
      <c r="B66795" t="s">
        <v>1</v>
      </c>
    </row>
    <row r="66796" spans="1:4" x14ac:dyDescent="0.2">
      <c r="B66796" t="s">
        <v>8</v>
      </c>
    </row>
    <row r="66798" spans="1:4" x14ac:dyDescent="0.2">
      <c r="A66798" t="s">
        <v>20763</v>
      </c>
      <c r="B66798" t="str">
        <f>HYPERLINK("https://lindat.mff.cuni.cz/services/teitok/pdtc10/index.php?action=vallex&amp;frame=v-w9187f1", "zastupovat (v-w9187f1) - substituted with v-w9187f2_ZU")</f>
        <v>zastupovat (v-w9187f1) - substituted with v-w9187f2_ZU</v>
      </c>
    </row>
    <row r="66799" spans="1:4" x14ac:dyDescent="0.2">
      <c r="B66799" t="s">
        <v>1</v>
      </c>
      <c r="C66799" t="s">
        <v>20764</v>
      </c>
      <c r="D66799" t="s">
        <v>13005</v>
      </c>
    </row>
    <row r="66800" spans="1:4" x14ac:dyDescent="0.2">
      <c r="B66800" t="s">
        <v>8</v>
      </c>
      <c r="C66800" t="s">
        <v>14823</v>
      </c>
      <c r="D66800" t="s">
        <v>14823</v>
      </c>
    </row>
    <row r="66802" spans="1:4" x14ac:dyDescent="0.2">
      <c r="A66802" t="s">
        <v>20765</v>
      </c>
      <c r="B66802" t="str">
        <f>HYPERLINK("https://lindat.mff.cuni.cz/services/teitok/pdtc10/index.php?action=vallex&amp;frame=v-w9189f1", "zastydět se (v-w9189f1)")</f>
        <v>zastydět se (v-w9189f1)</v>
      </c>
    </row>
    <row r="66803" spans="1:4" x14ac:dyDescent="0.2">
      <c r="B66803" t="s">
        <v>1</v>
      </c>
    </row>
    <row r="66804" spans="1:4" x14ac:dyDescent="0.2">
      <c r="B66804" t="s">
        <v>20766</v>
      </c>
    </row>
    <row r="66806" spans="1:4" x14ac:dyDescent="0.2">
      <c r="A66806" t="s">
        <v>20767</v>
      </c>
      <c r="B66806" t="str">
        <f>HYPERLINK("https://lindat.mff.cuni.cz/services/teitok/pdtc10/index.php?action=vallex&amp;frame=v-w9154f1", "zastávat (v-w9154f1)")</f>
        <v>zastávat (v-w9154f1)</v>
      </c>
    </row>
    <row r="66807" spans="1:4" x14ac:dyDescent="0.2">
      <c r="B66807" t="s">
        <v>1</v>
      </c>
      <c r="C66807" t="s">
        <v>20768</v>
      </c>
      <c r="D66807" t="s">
        <v>23861</v>
      </c>
    </row>
    <row r="66808" spans="1:4" x14ac:dyDescent="0.2">
      <c r="B66808" t="s">
        <v>8</v>
      </c>
      <c r="C66808" t="s">
        <v>20769</v>
      </c>
    </row>
    <row r="66810" spans="1:4" x14ac:dyDescent="0.2">
      <c r="A66810" t="s">
        <v>20770</v>
      </c>
      <c r="B66810" t="str">
        <f>HYPERLINK("https://lindat.mff.cuni.cz/services/teitok/pdtc10/index.php?action=vallex&amp;frame=v-w9154f4_ZU", "zastávat (v-w9154f4_ZU)")</f>
        <v>zastávat (v-w9154f4_ZU)</v>
      </c>
    </row>
    <row r="66811" spans="1:4" x14ac:dyDescent="0.2">
      <c r="B66811" t="s">
        <v>1</v>
      </c>
      <c r="C66811" t="s">
        <v>20771</v>
      </c>
      <c r="D66811" t="s">
        <v>33</v>
      </c>
    </row>
    <row r="66812" spans="1:4" x14ac:dyDescent="0.2">
      <c r="B66812" t="s">
        <v>8</v>
      </c>
      <c r="C66812" t="s">
        <v>20772</v>
      </c>
      <c r="D66812" t="s">
        <v>991</v>
      </c>
    </row>
    <row r="66814" spans="1:4" x14ac:dyDescent="0.2">
      <c r="A66814" t="s">
        <v>20773</v>
      </c>
      <c r="B66814" t="str">
        <f>HYPERLINK("https://lindat.mff.cuni.cz/services/teitok/pdtc10/index.php?action=vallex&amp;frame=v-w9154f5_ZU", "zastávat (v-w9154f5_ZU)")</f>
        <v>zastávat (v-w9154f5_ZU)</v>
      </c>
    </row>
    <row r="66815" spans="1:4" x14ac:dyDescent="0.2">
      <c r="B66815" t="s">
        <v>1</v>
      </c>
      <c r="C66815" t="s">
        <v>2717</v>
      </c>
      <c r="D66815" t="s">
        <v>24505</v>
      </c>
    </row>
    <row r="66816" spans="1:4" x14ac:dyDescent="0.2">
      <c r="B66816" t="s">
        <v>20774</v>
      </c>
      <c r="C66816" t="s">
        <v>12673</v>
      </c>
      <c r="D66816" t="s">
        <v>24506</v>
      </c>
    </row>
    <row r="66818" spans="1:4" x14ac:dyDescent="0.2">
      <c r="A66818" t="s">
        <v>20773</v>
      </c>
      <c r="B66818" t="str">
        <f>HYPERLINK("https://lindat.mff.cuni.cz/services/teitok/pdtc10/index.php?action=vallex&amp;frame=v-w9154f2", "zastávat (v-w9154f2) - substituted with v-w9154f5_ZU")</f>
        <v>zastávat (v-w9154f2) - substituted with v-w9154f5_ZU</v>
      </c>
    </row>
    <row r="66819" spans="1:4" x14ac:dyDescent="0.2">
      <c r="B66819" t="s">
        <v>1</v>
      </c>
      <c r="C66819" t="s">
        <v>20775</v>
      </c>
    </row>
    <row r="66820" spans="1:4" x14ac:dyDescent="0.2">
      <c r="B66820" t="s">
        <v>20774</v>
      </c>
      <c r="C66820" t="s">
        <v>20776</v>
      </c>
    </row>
    <row r="66822" spans="1:4" x14ac:dyDescent="0.2">
      <c r="A66822" t="s">
        <v>20773</v>
      </c>
      <c r="B66822" t="str">
        <f>HYPERLINK("https://lindat.mff.cuni.cz/services/teitok/pdtc10/index.php?action=vallex&amp;frame=v-w9154f3_ZU", "zastávat (v-w9154f3_ZU) - substituted with v-w9154f5_ZU")</f>
        <v>zastávat (v-w9154f3_ZU) - substituted with v-w9154f5_ZU</v>
      </c>
    </row>
    <row r="66823" spans="1:4" x14ac:dyDescent="0.2">
      <c r="B66823" t="s">
        <v>1</v>
      </c>
      <c r="C66823" t="s">
        <v>20777</v>
      </c>
    </row>
    <row r="66824" spans="1:4" x14ac:dyDescent="0.2">
      <c r="B66824" t="s">
        <v>20774</v>
      </c>
      <c r="C66824" t="s">
        <v>20778</v>
      </c>
    </row>
    <row r="66826" spans="1:4" x14ac:dyDescent="0.2">
      <c r="A66826" t="s">
        <v>20773</v>
      </c>
      <c r="B66826" t="str">
        <f>HYPERLINK("https://lindat.mff.cuni.cz/services/teitok/pdtc10/index.php?action=vallex&amp;frame=v-w9154hsa_472", "zastávat (v-w9154hsa_472) - substituted with v-w9154f5_ZU")</f>
        <v>zastávat (v-w9154hsa_472) - substituted with v-w9154f5_ZU</v>
      </c>
    </row>
    <row r="66827" spans="1:4" x14ac:dyDescent="0.2">
      <c r="B66827" t="s">
        <v>1</v>
      </c>
    </row>
    <row r="66828" spans="1:4" x14ac:dyDescent="0.2">
      <c r="B66828" t="s">
        <v>20774</v>
      </c>
    </row>
    <row r="66830" spans="1:4" x14ac:dyDescent="0.2">
      <c r="A66830" t="s">
        <v>20779</v>
      </c>
      <c r="B66830" t="str">
        <f>HYPERLINK("https://lindat.mff.cuni.cz/services/teitok/pdtc10/index.php?action=vallex&amp;frame=v-w9155f1", "zastávat se (v-w9155f1)")</f>
        <v>zastávat se (v-w9155f1)</v>
      </c>
    </row>
    <row r="66831" spans="1:4" x14ac:dyDescent="0.2">
      <c r="B66831" t="s">
        <v>1</v>
      </c>
      <c r="C66831" t="s">
        <v>306</v>
      </c>
      <c r="D66831" t="s">
        <v>1504</v>
      </c>
    </row>
    <row r="66832" spans="1:4" x14ac:dyDescent="0.2">
      <c r="B66832" t="s">
        <v>917</v>
      </c>
      <c r="C66832" t="s">
        <v>307</v>
      </c>
      <c r="D66832" t="s">
        <v>3233</v>
      </c>
    </row>
    <row r="66834" spans="1:4" x14ac:dyDescent="0.2">
      <c r="A66834" t="s">
        <v>20780</v>
      </c>
      <c r="B66834" t="str">
        <f>HYPERLINK("https://lindat.mff.cuni.cz/services/teitok/pdtc10/index.php?action=vallex&amp;frame=v-w9165f1", "zastínit (v-w9165f1)")</f>
        <v>zastínit (v-w9165f1)</v>
      </c>
    </row>
    <row r="66835" spans="1:4" x14ac:dyDescent="0.2">
      <c r="B66835" t="s">
        <v>1</v>
      </c>
      <c r="C66835" t="s">
        <v>334</v>
      </c>
      <c r="D66835" t="s">
        <v>1065</v>
      </c>
    </row>
    <row r="66836" spans="1:4" x14ac:dyDescent="0.2">
      <c r="B66836" t="s">
        <v>8</v>
      </c>
      <c r="C66836" t="s">
        <v>1190</v>
      </c>
      <c r="D66836" t="s">
        <v>3773</v>
      </c>
    </row>
    <row r="66838" spans="1:4" x14ac:dyDescent="0.2">
      <c r="A66838" t="s">
        <v>20781</v>
      </c>
      <c r="B66838" t="str">
        <f>HYPERLINK("https://lindat.mff.cuni.cz/services/teitok/pdtc10/index.php?action=vallex&amp;frame=v-w9168f1", "zastírat (v-w9168f1)")</f>
        <v>zastírat (v-w9168f1)</v>
      </c>
    </row>
    <row r="66839" spans="1:4" x14ac:dyDescent="0.2">
      <c r="B66839" t="s">
        <v>1</v>
      </c>
      <c r="C66839" t="s">
        <v>1326</v>
      </c>
      <c r="D66839" t="s">
        <v>23440</v>
      </c>
    </row>
    <row r="66840" spans="1:4" x14ac:dyDescent="0.2">
      <c r="B66840" t="s">
        <v>3199</v>
      </c>
      <c r="C66840" t="s">
        <v>991</v>
      </c>
      <c r="D66840" t="s">
        <v>23441</v>
      </c>
    </row>
    <row r="66841" spans="1:4" x14ac:dyDescent="0.2">
      <c r="B66841" t="s">
        <v>216</v>
      </c>
      <c r="D66841" t="s">
        <v>14173</v>
      </c>
    </row>
    <row r="66843" spans="1:4" x14ac:dyDescent="0.2">
      <c r="A66843" t="s">
        <v>20782</v>
      </c>
      <c r="B66843" t="str">
        <f>HYPERLINK("https://lindat.mff.cuni.cz/services/teitok/pdtc10/index.php?action=vallex&amp;frame=v-w9168f2", "zastírat (v-w9168f2)")</f>
        <v>zastírat (v-w9168f2)</v>
      </c>
    </row>
    <row r="66844" spans="1:4" x14ac:dyDescent="0.2">
      <c r="B66844" t="s">
        <v>1</v>
      </c>
    </row>
    <row r="66845" spans="1:4" x14ac:dyDescent="0.2">
      <c r="B66845" t="s">
        <v>13705</v>
      </c>
    </row>
    <row r="66846" spans="1:4" x14ac:dyDescent="0.2">
      <c r="B66846" t="s">
        <v>269</v>
      </c>
    </row>
    <row r="66847" spans="1:4" x14ac:dyDescent="0.2">
      <c r="B66847" t="s">
        <v>216</v>
      </c>
    </row>
    <row r="66849" spans="1:4" x14ac:dyDescent="0.2">
      <c r="A66849" t="s">
        <v>20783</v>
      </c>
      <c r="B66849" t="str">
        <f>HYPERLINK("https://lindat.mff.cuni.cz/services/teitok/pdtc10/index.php?action=vallex&amp;frame=v-w9177f2_ZU", "zastřelit (v-w9177f2_ZU)")</f>
        <v>zastřelit (v-w9177f2_ZU)</v>
      </c>
    </row>
    <row r="66850" spans="1:4" x14ac:dyDescent="0.2">
      <c r="B66850" t="s">
        <v>1</v>
      </c>
    </row>
    <row r="66851" spans="1:4" x14ac:dyDescent="0.2">
      <c r="B66851" t="s">
        <v>172</v>
      </c>
    </row>
    <row r="66853" spans="1:4" x14ac:dyDescent="0.2">
      <c r="A66853" t="s">
        <v>20783</v>
      </c>
      <c r="B66853" t="str">
        <f>HYPERLINK("https://lindat.mff.cuni.cz/services/teitok/pdtc10/index.php?action=vallex&amp;frame=v-w9177f1", "zastřelit (v-w9177f1) - substituted with v-w9177f2_ZU")</f>
        <v>zastřelit (v-w9177f1) - substituted with v-w9177f2_ZU</v>
      </c>
    </row>
    <row r="66854" spans="1:4" x14ac:dyDescent="0.2">
      <c r="B66854" t="s">
        <v>1</v>
      </c>
      <c r="C66854" t="s">
        <v>22</v>
      </c>
      <c r="D66854" t="s">
        <v>11295</v>
      </c>
    </row>
    <row r="66855" spans="1:4" x14ac:dyDescent="0.2">
      <c r="B66855" t="s">
        <v>172</v>
      </c>
      <c r="C66855" t="s">
        <v>991</v>
      </c>
      <c r="D66855" t="s">
        <v>13639</v>
      </c>
    </row>
    <row r="66857" spans="1:4" x14ac:dyDescent="0.2">
      <c r="A66857" t="s">
        <v>20784</v>
      </c>
      <c r="B66857" t="str">
        <f>HYPERLINK("https://lindat.mff.cuni.cz/services/teitok/pdtc10/index.php?action=vallex&amp;frame=v-w11142f2", "zastřešit (v-w11142f2)")</f>
        <v>zastřešit (v-w11142f2)</v>
      </c>
    </row>
    <row r="66858" spans="1:4" x14ac:dyDescent="0.2">
      <c r="B66858" t="s">
        <v>1</v>
      </c>
    </row>
    <row r="66859" spans="1:4" x14ac:dyDescent="0.2">
      <c r="B66859" t="s">
        <v>8</v>
      </c>
    </row>
    <row r="66861" spans="1:4" x14ac:dyDescent="0.2">
      <c r="A66861" t="s">
        <v>20785</v>
      </c>
      <c r="B66861" t="str">
        <f>HYPERLINK("https://lindat.mff.cuni.cz/services/teitok/pdtc10/index.php?action=vallex&amp;frame=v-w11142f4_ZU", "zastřešit (v-w11142f4_ZU)")</f>
        <v>zastřešit (v-w11142f4_ZU)</v>
      </c>
    </row>
    <row r="66862" spans="1:4" x14ac:dyDescent="0.2">
      <c r="B66862" t="s">
        <v>1</v>
      </c>
    </row>
    <row r="66863" spans="1:4" x14ac:dyDescent="0.2">
      <c r="B66863" t="s">
        <v>8</v>
      </c>
    </row>
    <row r="66864" spans="1:4" x14ac:dyDescent="0.2">
      <c r="B66864" t="s">
        <v>1462</v>
      </c>
    </row>
    <row r="66866" spans="1:2" x14ac:dyDescent="0.2">
      <c r="A66866" t="s">
        <v>20786</v>
      </c>
      <c r="B66866" t="str">
        <f>HYPERLINK("https://lindat.mff.cuni.cz/services/teitok/pdtc10/index.php?action=vallex&amp;frame=v-w11142f5_ZU", "zastřešit (v-w11142f5_ZU)")</f>
        <v>zastřešit (v-w11142f5_ZU)</v>
      </c>
    </row>
    <row r="66867" spans="1:2" x14ac:dyDescent="0.2">
      <c r="B66867" t="s">
        <v>1</v>
      </c>
    </row>
    <row r="66868" spans="1:2" x14ac:dyDescent="0.2">
      <c r="B66868" t="s">
        <v>8</v>
      </c>
    </row>
    <row r="66870" spans="1:2" x14ac:dyDescent="0.2">
      <c r="A66870" t="s">
        <v>20786</v>
      </c>
      <c r="B66870" t="str">
        <f>HYPERLINK("https://lindat.mff.cuni.cz/services/teitok/pdtc10/index.php?action=vallex&amp;frame=v-w11142f3_ZU", "zastřešit (v-w11142f3_ZU) - substituted with v-w11142f5_ZU")</f>
        <v>zastřešit (v-w11142f3_ZU) - substituted with v-w11142f5_ZU</v>
      </c>
    </row>
    <row r="66871" spans="1:2" x14ac:dyDescent="0.2">
      <c r="B66871" t="s">
        <v>1</v>
      </c>
    </row>
    <row r="66872" spans="1:2" x14ac:dyDescent="0.2">
      <c r="B66872" t="s">
        <v>8</v>
      </c>
    </row>
    <row r="66874" spans="1:2" x14ac:dyDescent="0.2">
      <c r="A66874" t="s">
        <v>20787</v>
      </c>
      <c r="B66874" t="str">
        <f>HYPERLINK("https://lindat.mff.cuni.cz/services/teitok/pdtc10/index.php?action=vallex&amp;frame=v-w9179f1", "zastřešovat (v-w9179f1)")</f>
        <v>zastřešovat (v-w9179f1)</v>
      </c>
    </row>
    <row r="66875" spans="1:2" x14ac:dyDescent="0.2">
      <c r="B66875" t="s">
        <v>1</v>
      </c>
    </row>
    <row r="66876" spans="1:2" x14ac:dyDescent="0.2">
      <c r="B66876" t="s">
        <v>8</v>
      </c>
    </row>
    <row r="66878" spans="1:2" x14ac:dyDescent="0.2">
      <c r="A66878" t="s">
        <v>20788</v>
      </c>
      <c r="B66878" t="str">
        <f>HYPERLINK("https://lindat.mff.cuni.cz/services/teitok/pdtc10/index.php?action=vallex&amp;frame=v-w9179f2", "zastřešovat (v-w9179f2)")</f>
        <v>zastřešovat (v-w9179f2)</v>
      </c>
    </row>
    <row r="66879" spans="1:2" x14ac:dyDescent="0.2">
      <c r="B66879" t="s">
        <v>1</v>
      </c>
    </row>
    <row r="66880" spans="1:2" x14ac:dyDescent="0.2">
      <c r="B66880" t="s">
        <v>8</v>
      </c>
    </row>
    <row r="66882" spans="1:4" x14ac:dyDescent="0.2">
      <c r="A66882" t="s">
        <v>20789</v>
      </c>
      <c r="B66882" t="str">
        <f>HYPERLINK("https://lindat.mff.cuni.cz/services/teitok/pdtc10/index.php?action=vallex&amp;frame=v-whsa_542hsa_543", "zastřihávat (v-whsa_542hsa_543)")</f>
        <v>zastřihávat (v-whsa_542hsa_543)</v>
      </c>
    </row>
    <row r="66883" spans="1:4" x14ac:dyDescent="0.2">
      <c r="B66883" t="s">
        <v>1</v>
      </c>
    </row>
    <row r="66884" spans="1:4" x14ac:dyDescent="0.2">
      <c r="B66884" t="s">
        <v>8</v>
      </c>
    </row>
    <row r="66885" spans="1:4" x14ac:dyDescent="0.2">
      <c r="B66885" t="s">
        <v>24</v>
      </c>
    </row>
    <row r="66886" spans="1:4" x14ac:dyDescent="0.2">
      <c r="B66886" t="s">
        <v>61</v>
      </c>
    </row>
    <row r="66888" spans="1:4" x14ac:dyDescent="0.2">
      <c r="A66888" t="s">
        <v>20790</v>
      </c>
      <c r="B66888" t="str">
        <f>HYPERLINK("https://lindat.mff.cuni.cz/services/teitok/pdtc10/index.php?action=vallex&amp;frame=v-w11837_ZUf1_ZU", "zastříkat (v-w11837_ZUf1_ZU)")</f>
        <v>zastříkat (v-w11837_ZUf1_ZU)</v>
      </c>
    </row>
    <row r="66889" spans="1:4" x14ac:dyDescent="0.2">
      <c r="B66889" t="s">
        <v>1</v>
      </c>
    </row>
    <row r="66890" spans="1:4" x14ac:dyDescent="0.2">
      <c r="B66890" t="s">
        <v>8</v>
      </c>
    </row>
    <row r="66892" spans="1:4" x14ac:dyDescent="0.2">
      <c r="A66892" t="s">
        <v>20791</v>
      </c>
      <c r="B66892" t="str">
        <f>HYPERLINK("https://lindat.mff.cuni.cz/services/teitok/pdtc10/index.php?action=vallex&amp;frame=v-w9180f2", "zastřít (v-w9180f2)")</f>
        <v>zastřít (v-w9180f2)</v>
      </c>
    </row>
    <row r="66893" spans="1:4" x14ac:dyDescent="0.2">
      <c r="B66893" t="s">
        <v>1</v>
      </c>
      <c r="D66893" t="s">
        <v>23440</v>
      </c>
    </row>
    <row r="66894" spans="1:4" x14ac:dyDescent="0.2">
      <c r="B66894" t="s">
        <v>3199</v>
      </c>
      <c r="C66894" t="s">
        <v>113</v>
      </c>
      <c r="D66894" t="s">
        <v>23441</v>
      </c>
    </row>
    <row r="66895" spans="1:4" x14ac:dyDescent="0.2">
      <c r="B66895" t="s">
        <v>216</v>
      </c>
      <c r="D66895" t="s">
        <v>14173</v>
      </c>
    </row>
    <row r="66897" spans="1:3" x14ac:dyDescent="0.2">
      <c r="A66897" t="s">
        <v>20792</v>
      </c>
      <c r="B66897" t="str">
        <f>HYPERLINK("https://lindat.mff.cuni.cz/services/teitok/pdtc10/index.php?action=vallex&amp;frame=v-w9180f1", "zastřít (v-w9180f1)")</f>
        <v>zastřít (v-w9180f1)</v>
      </c>
    </row>
    <row r="66898" spans="1:3" x14ac:dyDescent="0.2">
      <c r="B66898" t="s">
        <v>1</v>
      </c>
      <c r="C66898" t="s">
        <v>1326</v>
      </c>
    </row>
    <row r="66899" spans="1:3" x14ac:dyDescent="0.2">
      <c r="B66899" t="s">
        <v>8</v>
      </c>
      <c r="C66899" t="s">
        <v>991</v>
      </c>
    </row>
    <row r="66901" spans="1:3" x14ac:dyDescent="0.2">
      <c r="A66901" t="s">
        <v>20793</v>
      </c>
      <c r="B66901" t="str">
        <f>HYPERLINK("https://lindat.mff.cuni.cz/services/teitok/pdtc10/index.php?action=vallex&amp;frame=v-w9180f3", "zastřít (v-w9180f3)")</f>
        <v>zastřít (v-w9180f3)</v>
      </c>
    </row>
    <row r="66902" spans="1:3" x14ac:dyDescent="0.2">
      <c r="B66902" t="s">
        <v>1</v>
      </c>
    </row>
    <row r="66903" spans="1:3" x14ac:dyDescent="0.2">
      <c r="B66903" t="s">
        <v>13705</v>
      </c>
    </row>
    <row r="66904" spans="1:3" x14ac:dyDescent="0.2">
      <c r="B66904" t="s">
        <v>269</v>
      </c>
    </row>
    <row r="66905" spans="1:3" x14ac:dyDescent="0.2">
      <c r="B66905" t="s">
        <v>216</v>
      </c>
    </row>
    <row r="66907" spans="1:3" x14ac:dyDescent="0.2">
      <c r="A66907" t="s">
        <v>20794</v>
      </c>
      <c r="B66907" t="str">
        <f>HYPERLINK("https://lindat.mff.cuni.cz/services/teitok/pdtc10/index.php?action=vallex&amp;frame=v-w9190f1", "zasunout (v-w9190f1)")</f>
        <v>zasunout (v-w9190f1)</v>
      </c>
    </row>
    <row r="66908" spans="1:3" x14ac:dyDescent="0.2">
      <c r="B66908" t="s">
        <v>1</v>
      </c>
    </row>
    <row r="66909" spans="1:3" x14ac:dyDescent="0.2">
      <c r="B66909" t="s">
        <v>8</v>
      </c>
    </row>
    <row r="66910" spans="1:3" x14ac:dyDescent="0.2">
      <c r="B66910" t="s">
        <v>90</v>
      </c>
    </row>
    <row r="66912" spans="1:3" x14ac:dyDescent="0.2">
      <c r="A66912" t="s">
        <v>20795</v>
      </c>
      <c r="B66912" t="str">
        <f>HYPERLINK("https://lindat.mff.cuni.cz/services/teitok/pdtc10/index.php?action=vallex&amp;frame=v-w9192f2", "zasvítit (v-w9192f2)")</f>
        <v>zasvítit (v-w9192f2)</v>
      </c>
    </row>
    <row r="66913" spans="1:4" x14ac:dyDescent="0.2">
      <c r="B66913" t="s">
        <v>455</v>
      </c>
    </row>
    <row r="66914" spans="1:4" x14ac:dyDescent="0.2">
      <c r="B66914" t="s">
        <v>5</v>
      </c>
    </row>
    <row r="66916" spans="1:4" x14ac:dyDescent="0.2">
      <c r="A66916" t="s">
        <v>20796</v>
      </c>
      <c r="B66916" t="str">
        <f>HYPERLINK("https://lindat.mff.cuni.cz/services/teitok/pdtc10/index.php?action=vallex&amp;frame=v-w9192f1", "zasvítit (v-w9192f1)")</f>
        <v>zasvítit (v-w9192f1)</v>
      </c>
    </row>
    <row r="66917" spans="1:4" x14ac:dyDescent="0.2">
      <c r="B66917" t="s">
        <v>1</v>
      </c>
    </row>
    <row r="66919" spans="1:4" x14ac:dyDescent="0.2">
      <c r="A66919" t="s">
        <v>20797</v>
      </c>
      <c r="B66919" t="str">
        <f>HYPERLINK("https://lindat.mff.cuni.cz/services/teitok/pdtc10/index.php?action=vallex&amp;frame=v-whsa_1501f1_ZU", "zasvěcovat (v-whsa_1501f1_ZU)")</f>
        <v>zasvěcovat (v-whsa_1501f1_ZU)</v>
      </c>
    </row>
    <row r="66920" spans="1:4" x14ac:dyDescent="0.2">
      <c r="B66920" t="s">
        <v>1</v>
      </c>
    </row>
    <row r="66921" spans="1:4" x14ac:dyDescent="0.2">
      <c r="B66921" t="s">
        <v>8</v>
      </c>
    </row>
    <row r="66923" spans="1:4" x14ac:dyDescent="0.2">
      <c r="A66923" t="s">
        <v>20798</v>
      </c>
      <c r="B66923" t="str">
        <f>HYPERLINK("https://lindat.mff.cuni.cz/services/teitok/pdtc10/index.php?action=vallex&amp;frame=v-whsa_1501hsa_1502", "zasvěcovat (v-whsa_1501hsa_1502)")</f>
        <v>zasvěcovat (v-whsa_1501hsa_1502)</v>
      </c>
    </row>
    <row r="66924" spans="1:4" x14ac:dyDescent="0.2">
      <c r="B66924" t="s">
        <v>1</v>
      </c>
    </row>
    <row r="66925" spans="1:4" x14ac:dyDescent="0.2">
      <c r="B66925" t="s">
        <v>8</v>
      </c>
    </row>
    <row r="66927" spans="1:4" x14ac:dyDescent="0.2">
      <c r="A66927" t="s">
        <v>20799</v>
      </c>
      <c r="B66927" t="str">
        <f>HYPERLINK("https://lindat.mff.cuni.cz/services/teitok/pdtc10/index.php?action=vallex&amp;frame=v-w9191f2", "zasvětit (v-w9191f2)")</f>
        <v>zasvětit (v-w9191f2)</v>
      </c>
    </row>
    <row r="66928" spans="1:4" x14ac:dyDescent="0.2">
      <c r="B66928" t="s">
        <v>331</v>
      </c>
      <c r="C66928" t="s">
        <v>249</v>
      </c>
      <c r="D66928" t="s">
        <v>1106</v>
      </c>
    </row>
    <row r="66929" spans="1:4" x14ac:dyDescent="0.2">
      <c r="B66929" t="s">
        <v>817</v>
      </c>
      <c r="C66929" t="s">
        <v>20800</v>
      </c>
      <c r="D66929" t="s">
        <v>23573</v>
      </c>
    </row>
    <row r="66930" spans="1:4" x14ac:dyDescent="0.2">
      <c r="B66930" t="s">
        <v>58</v>
      </c>
      <c r="C66930" t="s">
        <v>20801</v>
      </c>
      <c r="D66930" t="s">
        <v>23574</v>
      </c>
    </row>
    <row r="66932" spans="1:4" x14ac:dyDescent="0.2">
      <c r="A66932" t="s">
        <v>20802</v>
      </c>
      <c r="B66932" t="str">
        <f>HYPERLINK("https://lindat.mff.cuni.cz/services/teitok/pdtc10/index.php?action=vallex&amp;frame=v-w9191f1", "zasvětit (v-w9191f1)")</f>
        <v>zasvětit (v-w9191f1)</v>
      </c>
    </row>
    <row r="66933" spans="1:4" x14ac:dyDescent="0.2">
      <c r="B66933" t="s">
        <v>1</v>
      </c>
    </row>
    <row r="66934" spans="1:4" x14ac:dyDescent="0.2">
      <c r="B66934" t="s">
        <v>8</v>
      </c>
    </row>
    <row r="66935" spans="1:4" x14ac:dyDescent="0.2">
      <c r="B66935" t="s">
        <v>35</v>
      </c>
    </row>
    <row r="66937" spans="1:4" x14ac:dyDescent="0.2">
      <c r="A66937" t="s">
        <v>20803</v>
      </c>
      <c r="B66937" t="str">
        <f>HYPERLINK("https://lindat.mff.cuni.cz/services/teitok/pdtc10/index.php?action=vallex&amp;frame=v-w9191f3", "zasvětit (v-w9191f3)")</f>
        <v>zasvětit (v-w9191f3)</v>
      </c>
    </row>
    <row r="66938" spans="1:4" x14ac:dyDescent="0.2">
      <c r="B66938" t="s">
        <v>1</v>
      </c>
      <c r="C66938" t="s">
        <v>33</v>
      </c>
    </row>
    <row r="66939" spans="1:4" x14ac:dyDescent="0.2">
      <c r="B66939" t="s">
        <v>8</v>
      </c>
      <c r="C66939" t="s">
        <v>7244</v>
      </c>
    </row>
    <row r="66940" spans="1:4" x14ac:dyDescent="0.2">
      <c r="B66940" t="s">
        <v>35</v>
      </c>
      <c r="C66940" t="s">
        <v>7074</v>
      </c>
    </row>
    <row r="66942" spans="1:4" x14ac:dyDescent="0.2">
      <c r="A66942" t="s">
        <v>20804</v>
      </c>
      <c r="B66942" t="str">
        <f>HYPERLINK("https://lindat.mff.cuni.cz/services/teitok/pdtc10/index.php?action=vallex&amp;frame=v-w9194f1", "zasypat (v-w9194f1)")</f>
        <v>zasypat (v-w9194f1)</v>
      </c>
    </row>
    <row r="66943" spans="1:4" x14ac:dyDescent="0.2">
      <c r="B66943" t="s">
        <v>1</v>
      </c>
    </row>
    <row r="66944" spans="1:4" x14ac:dyDescent="0.2">
      <c r="B66944" t="s">
        <v>8</v>
      </c>
    </row>
    <row r="66946" spans="1:4" x14ac:dyDescent="0.2">
      <c r="A66946" t="s">
        <v>20805</v>
      </c>
      <c r="B66946" t="str">
        <f>HYPERLINK("https://lindat.mff.cuni.cz/services/teitok/pdtc10/index.php?action=vallex&amp;frame=v-w9194f2", "zasypat (v-w9194f2)")</f>
        <v>zasypat (v-w9194f2)</v>
      </c>
    </row>
    <row r="66947" spans="1:4" x14ac:dyDescent="0.2">
      <c r="B66947" t="s">
        <v>1</v>
      </c>
    </row>
    <row r="66948" spans="1:4" x14ac:dyDescent="0.2">
      <c r="B66948" t="s">
        <v>8</v>
      </c>
      <c r="C66948" t="s">
        <v>113</v>
      </c>
    </row>
    <row r="66950" spans="1:4" x14ac:dyDescent="0.2">
      <c r="A66950" t="s">
        <v>20806</v>
      </c>
      <c r="B66950" t="str">
        <f>HYPERLINK("https://lindat.mff.cuni.cz/services/teitok/pdtc10/index.php?action=vallex&amp;frame=v-w9194f3", "zasypat (v-w9194f3)")</f>
        <v>zasypat (v-w9194f3)</v>
      </c>
    </row>
    <row r="66951" spans="1:4" x14ac:dyDescent="0.2">
      <c r="B66951" t="s">
        <v>1</v>
      </c>
    </row>
    <row r="66952" spans="1:4" x14ac:dyDescent="0.2">
      <c r="B66952" t="s">
        <v>8</v>
      </c>
    </row>
    <row r="66954" spans="1:4" x14ac:dyDescent="0.2">
      <c r="A66954" t="s">
        <v>20807</v>
      </c>
      <c r="B66954" t="str">
        <f>HYPERLINK("https://lindat.mff.cuni.cz/services/teitok/pdtc10/index.php?action=vallex&amp;frame=v-w10513f2", "zasypávat (v-w10513f2)")</f>
        <v>zasypávat (v-w10513f2)</v>
      </c>
    </row>
    <row r="66955" spans="1:4" x14ac:dyDescent="0.2">
      <c r="B66955" t="s">
        <v>1</v>
      </c>
      <c r="C66955" t="s">
        <v>140</v>
      </c>
      <c r="D66955" t="s">
        <v>24490</v>
      </c>
    </row>
    <row r="66956" spans="1:4" x14ac:dyDescent="0.2">
      <c r="B66956" t="s">
        <v>158</v>
      </c>
      <c r="D66956" t="s">
        <v>5736</v>
      </c>
    </row>
    <row r="66957" spans="1:4" x14ac:dyDescent="0.2">
      <c r="B66957" t="s">
        <v>58</v>
      </c>
      <c r="C66957" t="s">
        <v>2810</v>
      </c>
      <c r="D66957" t="s">
        <v>14481</v>
      </c>
    </row>
    <row r="66959" spans="1:4" x14ac:dyDescent="0.2">
      <c r="A66959" t="s">
        <v>20808</v>
      </c>
      <c r="B66959" t="str">
        <f>HYPERLINK("https://lindat.mff.cuni.cz/services/teitok/pdtc10/index.php?action=vallex&amp;frame=v-w10293f2", "zasyčet (v-w10293f2)")</f>
        <v>zasyčet (v-w10293f2)</v>
      </c>
    </row>
    <row r="66960" spans="1:4" x14ac:dyDescent="0.2">
      <c r="B66960" t="s">
        <v>1</v>
      </c>
      <c r="C66960" t="s">
        <v>140</v>
      </c>
    </row>
    <row r="66961" spans="1:4" x14ac:dyDescent="0.2">
      <c r="B66961" t="s">
        <v>6437</v>
      </c>
      <c r="C66961" t="s">
        <v>268</v>
      </c>
    </row>
    <row r="66962" spans="1:4" x14ac:dyDescent="0.2">
      <c r="B66962" t="s">
        <v>269</v>
      </c>
    </row>
    <row r="66963" spans="1:4" x14ac:dyDescent="0.2">
      <c r="B66963" t="s">
        <v>78</v>
      </c>
    </row>
    <row r="66965" spans="1:4" x14ac:dyDescent="0.2">
      <c r="A66965" t="s">
        <v>20809</v>
      </c>
      <c r="B66965" t="str">
        <f>HYPERLINK("https://lindat.mff.cuni.cz/services/teitok/pdtc10/index.php?action=vallex&amp;frame=v-w10293f3_ZU", "zasyčet (v-w10293f3_ZU)")</f>
        <v>zasyčet (v-w10293f3_ZU)</v>
      </c>
    </row>
    <row r="66966" spans="1:4" x14ac:dyDescent="0.2">
      <c r="B66966" t="s">
        <v>1</v>
      </c>
    </row>
    <row r="66968" spans="1:4" x14ac:dyDescent="0.2">
      <c r="A66968" t="s">
        <v>20810</v>
      </c>
      <c r="B66968" t="str">
        <f>HYPERLINK("https://lindat.mff.cuni.cz/services/teitok/pdtc10/index.php?action=vallex&amp;frame=v-w9116f1", "zasáhnout (v-w9116f1)")</f>
        <v>zasáhnout (v-w9116f1)</v>
      </c>
    </row>
    <row r="66969" spans="1:4" x14ac:dyDescent="0.2">
      <c r="B66969" t="s">
        <v>1</v>
      </c>
      <c r="C66969" t="s">
        <v>20811</v>
      </c>
      <c r="D66969" t="s">
        <v>23156</v>
      </c>
    </row>
    <row r="66970" spans="1:4" x14ac:dyDescent="0.2">
      <c r="B66970" t="s">
        <v>8</v>
      </c>
      <c r="C66970" t="s">
        <v>20812</v>
      </c>
      <c r="D66970" t="s">
        <v>23157</v>
      </c>
    </row>
    <row r="66972" spans="1:4" x14ac:dyDescent="0.2">
      <c r="A66972" t="s">
        <v>20813</v>
      </c>
      <c r="B66972" t="str">
        <f>HYPERLINK("https://lindat.mff.cuni.cz/services/teitok/pdtc10/index.php?action=vallex&amp;frame=v-w9116f5", "zasáhnout (v-w9116f5)")</f>
        <v>zasáhnout (v-w9116f5)</v>
      </c>
    </row>
    <row r="66973" spans="1:4" x14ac:dyDescent="0.2">
      <c r="B66973" t="s">
        <v>1</v>
      </c>
    </row>
    <row r="66974" spans="1:4" x14ac:dyDescent="0.2">
      <c r="B66974" t="s">
        <v>8</v>
      </c>
    </row>
    <row r="66976" spans="1:4" x14ac:dyDescent="0.2">
      <c r="A66976" t="s">
        <v>20814</v>
      </c>
      <c r="B66976" t="str">
        <f>HYPERLINK("https://lindat.mff.cuni.cz/services/teitok/pdtc10/index.php?action=vallex&amp;frame=v-w9116f4", "zasáhnout (v-w9116f4)")</f>
        <v>zasáhnout (v-w9116f4)</v>
      </c>
    </row>
    <row r="66977" spans="1:4" x14ac:dyDescent="0.2">
      <c r="B66977" t="s">
        <v>1</v>
      </c>
      <c r="C66977" t="s">
        <v>22</v>
      </c>
      <c r="D66977" t="s">
        <v>23493</v>
      </c>
    </row>
    <row r="66978" spans="1:4" x14ac:dyDescent="0.2">
      <c r="B66978" t="s">
        <v>817</v>
      </c>
      <c r="C66978" t="s">
        <v>20815</v>
      </c>
      <c r="D66978" t="s">
        <v>23494</v>
      </c>
    </row>
    <row r="66980" spans="1:4" x14ac:dyDescent="0.2">
      <c r="A66980" t="s">
        <v>20816</v>
      </c>
      <c r="B66980" t="str">
        <f>HYPERLINK("https://lindat.mff.cuni.cz/services/teitok/pdtc10/index.php?action=vallex&amp;frame=v-w9116f2", "zasáhnout (v-w9116f2)")</f>
        <v>zasáhnout (v-w9116f2)</v>
      </c>
    </row>
    <row r="66981" spans="1:4" x14ac:dyDescent="0.2">
      <c r="B66981" t="s">
        <v>1</v>
      </c>
      <c r="C66981" t="s">
        <v>20817</v>
      </c>
      <c r="D66981" t="s">
        <v>24481</v>
      </c>
    </row>
    <row r="66982" spans="1:4" x14ac:dyDescent="0.2">
      <c r="B66982" t="s">
        <v>20211</v>
      </c>
      <c r="C66982" t="s">
        <v>3328</v>
      </c>
      <c r="D66982" t="s">
        <v>2213</v>
      </c>
    </row>
    <row r="66984" spans="1:4" x14ac:dyDescent="0.2">
      <c r="A66984" t="s">
        <v>20818</v>
      </c>
      <c r="B66984" t="str">
        <f>HYPERLINK("https://lindat.mff.cuni.cz/services/teitok/pdtc10/index.php?action=vallex&amp;frame=v-w9116f3", "zasáhnout (v-w9116f3)")</f>
        <v>zasáhnout (v-w9116f3)</v>
      </c>
    </row>
    <row r="66985" spans="1:4" x14ac:dyDescent="0.2">
      <c r="B66985" t="s">
        <v>1</v>
      </c>
    </row>
    <row r="66986" spans="1:4" x14ac:dyDescent="0.2">
      <c r="B66986" t="s">
        <v>90</v>
      </c>
    </row>
    <row r="66988" spans="1:4" x14ac:dyDescent="0.2">
      <c r="A66988" t="s">
        <v>20819</v>
      </c>
      <c r="B66988" t="str">
        <f>HYPERLINK("https://lindat.mff.cuni.cz/services/teitok/pdtc10/index.php?action=vallex&amp;frame=v-w9126f1", "zasílat (v-w9126f1)")</f>
        <v>zasílat (v-w9126f1)</v>
      </c>
    </row>
    <row r="66989" spans="1:4" x14ac:dyDescent="0.2">
      <c r="B66989" t="s">
        <v>1</v>
      </c>
      <c r="C66989" t="s">
        <v>66</v>
      </c>
      <c r="D66989" t="s">
        <v>8003</v>
      </c>
    </row>
    <row r="66990" spans="1:4" x14ac:dyDescent="0.2">
      <c r="B66990" t="s">
        <v>8</v>
      </c>
      <c r="C66990" t="s">
        <v>3270</v>
      </c>
      <c r="D66990" t="s">
        <v>23102</v>
      </c>
    </row>
    <row r="66991" spans="1:4" x14ac:dyDescent="0.2">
      <c r="B66991" t="s">
        <v>35</v>
      </c>
      <c r="C66991" t="s">
        <v>20820</v>
      </c>
      <c r="D66991" t="s">
        <v>23103</v>
      </c>
    </row>
    <row r="66993" spans="1:4" x14ac:dyDescent="0.2">
      <c r="A66993" t="s">
        <v>20821</v>
      </c>
      <c r="B66993" t="str">
        <f>HYPERLINK("https://lindat.mff.cuni.cz/services/teitok/pdtc10/index.php?action=vallex&amp;frame=v-w9126f2", "zasílat (v-w9126f2)")</f>
        <v>zasílat (v-w9126f2)</v>
      </c>
    </row>
    <row r="66994" spans="1:4" x14ac:dyDescent="0.2">
      <c r="B66994" t="s">
        <v>1</v>
      </c>
      <c r="C66994" t="s">
        <v>2303</v>
      </c>
      <c r="D66994" t="s">
        <v>8003</v>
      </c>
    </row>
    <row r="66995" spans="1:4" x14ac:dyDescent="0.2">
      <c r="B66995" t="s">
        <v>8</v>
      </c>
      <c r="C66995" t="s">
        <v>6123</v>
      </c>
      <c r="D66995" t="s">
        <v>23102</v>
      </c>
    </row>
    <row r="66996" spans="1:4" x14ac:dyDescent="0.2">
      <c r="B66996" t="s">
        <v>90</v>
      </c>
      <c r="C66996" t="s">
        <v>20822</v>
      </c>
      <c r="D66996" t="s">
        <v>23177</v>
      </c>
    </row>
    <row r="66998" spans="1:4" x14ac:dyDescent="0.2">
      <c r="A66998" t="s">
        <v>20823</v>
      </c>
      <c r="B66998" t="str">
        <f>HYPERLINK("https://lindat.mff.cuni.cz/services/teitok/pdtc10/index.php?action=vallex&amp;frame=v-w10058f2", "zasít (v-w10058f2)")</f>
        <v>zasít (v-w10058f2)</v>
      </c>
    </row>
    <row r="66999" spans="1:4" x14ac:dyDescent="0.2">
      <c r="B66999" t="s">
        <v>1</v>
      </c>
      <c r="C66999" t="s">
        <v>83</v>
      </c>
      <c r="D66999" t="s">
        <v>83</v>
      </c>
    </row>
    <row r="67000" spans="1:4" x14ac:dyDescent="0.2">
      <c r="B67000" t="s">
        <v>8</v>
      </c>
      <c r="C67000" t="s">
        <v>1128</v>
      </c>
      <c r="D67000" t="s">
        <v>1128</v>
      </c>
    </row>
    <row r="67001" spans="1:4" x14ac:dyDescent="0.2">
      <c r="B67001" t="s">
        <v>90</v>
      </c>
    </row>
    <row r="67003" spans="1:4" x14ac:dyDescent="0.2">
      <c r="A67003" t="s">
        <v>20824</v>
      </c>
      <c r="B67003" t="str">
        <f>HYPERLINK("https://lindat.mff.cuni.cz/services/teitok/pdtc10/index.php?action=vallex&amp;frame=v-whsa_755f1_ZU", "zatahat (v-whsa_755f1_ZU)")</f>
        <v>zatahat (v-whsa_755f1_ZU)</v>
      </c>
    </row>
    <row r="67004" spans="1:4" x14ac:dyDescent="0.2">
      <c r="B67004" t="s">
        <v>1</v>
      </c>
    </row>
    <row r="67005" spans="1:4" x14ac:dyDescent="0.2">
      <c r="B67005" t="s">
        <v>20825</v>
      </c>
    </row>
    <row r="67007" spans="1:4" x14ac:dyDescent="0.2">
      <c r="A67007" t="s">
        <v>20824</v>
      </c>
      <c r="B67007" t="str">
        <f>HYPERLINK("https://lindat.mff.cuni.cz/services/teitok/pdtc10/index.php?action=vallex&amp;frame=v-whsa_755hsa_756", "zatahat (v-whsa_755hsa_756) - substituted with v-whsa_755f1_ZU")</f>
        <v>zatahat (v-whsa_755hsa_756) - substituted with v-whsa_755f1_ZU</v>
      </c>
    </row>
    <row r="67008" spans="1:4" x14ac:dyDescent="0.2">
      <c r="B67008" t="s">
        <v>1</v>
      </c>
    </row>
    <row r="67009" spans="1:4" x14ac:dyDescent="0.2">
      <c r="B67009" t="s">
        <v>20825</v>
      </c>
    </row>
    <row r="67011" spans="1:4" x14ac:dyDescent="0.2">
      <c r="A67011" t="s">
        <v>20826</v>
      </c>
      <c r="B67011" t="str">
        <f>HYPERLINK("https://lindat.mff.cuni.cz/services/teitok/pdtc10/index.php?action=vallex&amp;frame=v-w10601f2", "zatahovat (v-w10601f2)")</f>
        <v>zatahovat (v-w10601f2)</v>
      </c>
    </row>
    <row r="67012" spans="1:4" x14ac:dyDescent="0.2">
      <c r="B67012" t="s">
        <v>1</v>
      </c>
      <c r="C67012" t="s">
        <v>16759</v>
      </c>
    </row>
    <row r="67013" spans="1:4" x14ac:dyDescent="0.2">
      <c r="B67013" t="s">
        <v>8</v>
      </c>
      <c r="C67013" t="s">
        <v>68</v>
      </c>
    </row>
    <row r="67015" spans="1:4" x14ac:dyDescent="0.2">
      <c r="A67015" t="s">
        <v>20827</v>
      </c>
      <c r="B67015" t="str">
        <f>HYPERLINK("https://lindat.mff.cuni.cz/services/teitok/pdtc10/index.php?action=vallex&amp;frame=v-w10601hsa_650", "zatahovat (v-w10601hsa_650)")</f>
        <v>zatahovat (v-w10601hsa_650)</v>
      </c>
    </row>
    <row r="67016" spans="1:4" x14ac:dyDescent="0.2">
      <c r="B67016" t="s">
        <v>1</v>
      </c>
    </row>
    <row r="67017" spans="1:4" x14ac:dyDescent="0.2">
      <c r="B67017" t="s">
        <v>8</v>
      </c>
    </row>
    <row r="67018" spans="1:4" x14ac:dyDescent="0.2">
      <c r="B67018" t="s">
        <v>90</v>
      </c>
    </row>
    <row r="67020" spans="1:4" x14ac:dyDescent="0.2">
      <c r="A67020" t="s">
        <v>20828</v>
      </c>
      <c r="B67020" t="str">
        <f>HYPERLINK("https://lindat.mff.cuni.cz/services/teitok/pdtc10/index.php?action=vallex&amp;frame=v-w9208f3", "zatajit (v-w9208f3)")</f>
        <v>zatajit (v-w9208f3)</v>
      </c>
    </row>
    <row r="67021" spans="1:4" x14ac:dyDescent="0.2">
      <c r="B67021" t="s">
        <v>1</v>
      </c>
      <c r="C67021" t="s">
        <v>430</v>
      </c>
      <c r="D67021" t="s">
        <v>23440</v>
      </c>
    </row>
    <row r="67022" spans="1:4" x14ac:dyDescent="0.2">
      <c r="B67022" t="s">
        <v>3199</v>
      </c>
      <c r="C67022" t="s">
        <v>359</v>
      </c>
      <c r="D67022" t="s">
        <v>23441</v>
      </c>
    </row>
    <row r="67023" spans="1:4" x14ac:dyDescent="0.2">
      <c r="B67023" t="s">
        <v>216</v>
      </c>
      <c r="C67023" t="s">
        <v>987</v>
      </c>
      <c r="D67023" t="s">
        <v>14173</v>
      </c>
    </row>
    <row r="67025" spans="1:4" x14ac:dyDescent="0.2">
      <c r="A67025" t="s">
        <v>20829</v>
      </c>
      <c r="B67025" t="str">
        <f>HYPERLINK("https://lindat.mff.cuni.cz/services/teitok/pdtc10/index.php?action=vallex&amp;frame=v-w9208f2", "zatajit (v-w9208f2)")</f>
        <v>zatajit (v-w9208f2)</v>
      </c>
    </row>
    <row r="67026" spans="1:4" x14ac:dyDescent="0.2">
      <c r="B67026" t="s">
        <v>1</v>
      </c>
    </row>
    <row r="67027" spans="1:4" x14ac:dyDescent="0.2">
      <c r="B67027" t="s">
        <v>13705</v>
      </c>
    </row>
    <row r="67028" spans="1:4" x14ac:dyDescent="0.2">
      <c r="B67028" t="s">
        <v>269</v>
      </c>
    </row>
    <row r="67029" spans="1:4" x14ac:dyDescent="0.2">
      <c r="B67029" t="s">
        <v>216</v>
      </c>
    </row>
    <row r="67031" spans="1:4" x14ac:dyDescent="0.2">
      <c r="A67031" t="s">
        <v>20830</v>
      </c>
      <c r="B67031" t="str">
        <f>HYPERLINK("https://lindat.mff.cuni.cz/services/teitok/pdtc10/index.php?action=vallex&amp;frame=v-w9208f1", "zatajit (v-w9208f1)")</f>
        <v>zatajit (v-w9208f1)</v>
      </c>
    </row>
    <row r="67032" spans="1:4" x14ac:dyDescent="0.2">
      <c r="B67032" t="s">
        <v>1</v>
      </c>
    </row>
    <row r="67033" spans="1:4" x14ac:dyDescent="0.2">
      <c r="B67033" t="s">
        <v>9394</v>
      </c>
    </row>
    <row r="67035" spans="1:4" x14ac:dyDescent="0.2">
      <c r="A67035" t="s">
        <v>20831</v>
      </c>
      <c r="B67035" t="str">
        <f>HYPERLINK("https://lindat.mff.cuni.cz/services/teitok/pdtc10/index.php?action=vallex&amp;frame=v-w9209f1", "zatajit se (v-w9209f1)")</f>
        <v>zatajit se (v-w9209f1)</v>
      </c>
    </row>
    <row r="67036" spans="1:4" x14ac:dyDescent="0.2">
      <c r="B67036" t="s">
        <v>20832</v>
      </c>
    </row>
    <row r="67038" spans="1:4" x14ac:dyDescent="0.2">
      <c r="A67038" t="s">
        <v>20833</v>
      </c>
      <c r="B67038" t="str">
        <f>HYPERLINK("https://lindat.mff.cuni.cz/services/teitok/pdtc10/index.php?action=vallex&amp;frame=v-w9210f1", "zatajovat (v-w9210f1)")</f>
        <v>zatajovat (v-w9210f1)</v>
      </c>
    </row>
    <row r="67039" spans="1:4" x14ac:dyDescent="0.2">
      <c r="B67039" t="s">
        <v>1</v>
      </c>
      <c r="C67039" t="s">
        <v>133</v>
      </c>
      <c r="D67039" t="s">
        <v>23440</v>
      </c>
    </row>
    <row r="67040" spans="1:4" x14ac:dyDescent="0.2">
      <c r="B67040" t="s">
        <v>3199</v>
      </c>
      <c r="C67040" t="s">
        <v>15344</v>
      </c>
      <c r="D67040" t="s">
        <v>23441</v>
      </c>
    </row>
    <row r="67041" spans="1:4" x14ac:dyDescent="0.2">
      <c r="B67041" t="s">
        <v>216</v>
      </c>
      <c r="C67041" t="s">
        <v>8768</v>
      </c>
      <c r="D67041" t="s">
        <v>14173</v>
      </c>
    </row>
    <row r="67043" spans="1:4" x14ac:dyDescent="0.2">
      <c r="A67043" t="s">
        <v>20834</v>
      </c>
      <c r="B67043" t="str">
        <f>HYPERLINK("https://lindat.mff.cuni.cz/services/teitok/pdtc10/index.php?action=vallex&amp;frame=v-w9210f2", "zatajovat (v-w9210f2)")</f>
        <v>zatajovat (v-w9210f2)</v>
      </c>
    </row>
    <row r="67044" spans="1:4" x14ac:dyDescent="0.2">
      <c r="B67044" t="s">
        <v>1</v>
      </c>
    </row>
    <row r="67045" spans="1:4" x14ac:dyDescent="0.2">
      <c r="B67045" t="s">
        <v>13705</v>
      </c>
    </row>
    <row r="67046" spans="1:4" x14ac:dyDescent="0.2">
      <c r="B67046" t="s">
        <v>269</v>
      </c>
    </row>
    <row r="67047" spans="1:4" x14ac:dyDescent="0.2">
      <c r="B67047" t="s">
        <v>216</v>
      </c>
    </row>
    <row r="67049" spans="1:4" x14ac:dyDescent="0.2">
      <c r="A67049" t="s">
        <v>20835</v>
      </c>
      <c r="B67049" t="str">
        <f>HYPERLINK("https://lindat.mff.cuni.cz/services/teitok/pdtc10/index.php?action=vallex&amp;frame=v-w10296f2", "zatancovat (v-w10296f2)")</f>
        <v>zatancovat (v-w10296f2)</v>
      </c>
    </row>
    <row r="67050" spans="1:4" x14ac:dyDescent="0.2">
      <c r="B67050" t="s">
        <v>1</v>
      </c>
    </row>
    <row r="67051" spans="1:4" x14ac:dyDescent="0.2">
      <c r="B67051" t="s">
        <v>8</v>
      </c>
    </row>
    <row r="67053" spans="1:4" x14ac:dyDescent="0.2">
      <c r="A67053" t="s">
        <v>20836</v>
      </c>
      <c r="B67053" t="str">
        <f>HYPERLINK("https://lindat.mff.cuni.cz/services/teitok/pdtc10/index.php?action=vallex&amp;frame=v-w11279f1", "zatancovat si (v-w11279f1)")</f>
        <v>zatancovat si (v-w11279f1)</v>
      </c>
    </row>
    <row r="67054" spans="1:4" x14ac:dyDescent="0.2">
      <c r="B67054" t="s">
        <v>1</v>
      </c>
    </row>
    <row r="67055" spans="1:4" x14ac:dyDescent="0.2">
      <c r="B67055" t="s">
        <v>8</v>
      </c>
    </row>
    <row r="67057" spans="1:2" x14ac:dyDescent="0.2">
      <c r="A67057" t="s">
        <v>20837</v>
      </c>
      <c r="B67057" t="str">
        <f>HYPERLINK("https://lindat.mff.cuni.cz/services/teitok/pdtc10/index.php?action=vallex&amp;frame=v-w11279hsa_1657", "zatancovat si (v-w11279hsa_1657)")</f>
        <v>zatancovat si (v-w11279hsa_1657)</v>
      </c>
    </row>
    <row r="67058" spans="1:2" x14ac:dyDescent="0.2">
      <c r="B67058" t="s">
        <v>1</v>
      </c>
    </row>
    <row r="67059" spans="1:2" x14ac:dyDescent="0.2">
      <c r="B67059" t="s">
        <v>8</v>
      </c>
    </row>
    <row r="67060" spans="1:2" x14ac:dyDescent="0.2">
      <c r="B67060" t="s">
        <v>2328</v>
      </c>
    </row>
    <row r="67062" spans="1:2" x14ac:dyDescent="0.2">
      <c r="A67062" t="s">
        <v>20838</v>
      </c>
      <c r="B67062" t="str">
        <f>HYPERLINK("https://lindat.mff.cuni.cz/services/teitok/pdtc10/index.php?action=vallex&amp;frame=v-w11706_ZUf1_ZU", "zatančit (v-w11706_ZUf1_ZU)")</f>
        <v>zatančit (v-w11706_ZUf1_ZU)</v>
      </c>
    </row>
    <row r="67063" spans="1:2" x14ac:dyDescent="0.2">
      <c r="B67063" t="s">
        <v>1</v>
      </c>
    </row>
    <row r="67064" spans="1:2" x14ac:dyDescent="0.2">
      <c r="B67064" t="s">
        <v>8</v>
      </c>
    </row>
    <row r="67066" spans="1:2" x14ac:dyDescent="0.2">
      <c r="A67066" t="s">
        <v>20839</v>
      </c>
      <c r="B67066" t="str">
        <f>HYPERLINK("https://lindat.mff.cuni.cz/services/teitok/pdtc10/index.php?action=vallex&amp;frame=v-whsa_1485f1_ZU", "zatančit si (v-whsa_1485f1_ZU)")</f>
        <v>zatančit si (v-whsa_1485f1_ZU)</v>
      </c>
    </row>
    <row r="67067" spans="1:2" x14ac:dyDescent="0.2">
      <c r="B67067" t="s">
        <v>1</v>
      </c>
    </row>
    <row r="67068" spans="1:2" x14ac:dyDescent="0.2">
      <c r="B67068" t="s">
        <v>8</v>
      </c>
    </row>
    <row r="67069" spans="1:2" x14ac:dyDescent="0.2">
      <c r="B67069" t="s">
        <v>2328</v>
      </c>
    </row>
    <row r="67071" spans="1:2" x14ac:dyDescent="0.2">
      <c r="A67071" t="s">
        <v>20839</v>
      </c>
      <c r="B67071" t="str">
        <f>HYPERLINK("https://lindat.mff.cuni.cz/services/teitok/pdtc10/index.php?action=vallex&amp;frame=v-whsa_1485hsa_1486", "zatančit si (v-whsa_1485hsa_1486) - substituted with v-whsa_1485f1_ZU")</f>
        <v>zatančit si (v-whsa_1485hsa_1486) - substituted with v-whsa_1485f1_ZU</v>
      </c>
    </row>
    <row r="67072" spans="1:2" x14ac:dyDescent="0.2">
      <c r="B67072" t="s">
        <v>1</v>
      </c>
    </row>
    <row r="67073" spans="1:4" x14ac:dyDescent="0.2">
      <c r="B67073" t="s">
        <v>8</v>
      </c>
    </row>
    <row r="67074" spans="1:4" x14ac:dyDescent="0.2">
      <c r="B67074" t="s">
        <v>2328</v>
      </c>
    </row>
    <row r="67076" spans="1:4" x14ac:dyDescent="0.2">
      <c r="A67076" t="s">
        <v>20840</v>
      </c>
      <c r="B67076" t="str">
        <f>HYPERLINK("https://lindat.mff.cuni.cz/services/teitok/pdtc10/index.php?action=vallex&amp;frame=v-w9211f1", "zatarasit (v-w9211f1)")</f>
        <v>zatarasit (v-w9211f1)</v>
      </c>
    </row>
    <row r="67077" spans="1:4" x14ac:dyDescent="0.2">
      <c r="B67077" t="s">
        <v>1</v>
      </c>
      <c r="C67077" t="s">
        <v>20841</v>
      </c>
      <c r="D67077" t="s">
        <v>133</v>
      </c>
    </row>
    <row r="67078" spans="1:4" x14ac:dyDescent="0.2">
      <c r="B67078" t="s">
        <v>8</v>
      </c>
      <c r="C67078" t="s">
        <v>20842</v>
      </c>
      <c r="D67078" t="s">
        <v>34</v>
      </c>
    </row>
    <row r="67080" spans="1:4" x14ac:dyDescent="0.2">
      <c r="A67080" t="s">
        <v>20843</v>
      </c>
      <c r="B67080" t="str">
        <f>HYPERLINK("https://lindat.mff.cuni.cz/services/teitok/pdtc10/index.php?action=vallex&amp;frame=v-w9212f1", "zatavit (v-w9212f1)")</f>
        <v>zatavit (v-w9212f1)</v>
      </c>
    </row>
    <row r="67081" spans="1:4" x14ac:dyDescent="0.2">
      <c r="B67081" t="s">
        <v>1</v>
      </c>
    </row>
    <row r="67082" spans="1:4" x14ac:dyDescent="0.2">
      <c r="B67082" t="s">
        <v>8</v>
      </c>
    </row>
    <row r="67083" spans="1:4" x14ac:dyDescent="0.2">
      <c r="B67083" t="s">
        <v>90</v>
      </c>
    </row>
    <row r="67085" spans="1:4" x14ac:dyDescent="0.2">
      <c r="A67085" t="s">
        <v>20844</v>
      </c>
      <c r="B67085" t="str">
        <f>HYPERLINK("https://lindat.mff.cuni.cz/services/teitok/pdtc10/index.php?action=vallex&amp;frame=v-w9215f4", "zatelefonovat (v-w9215f4)")</f>
        <v>zatelefonovat (v-w9215f4)</v>
      </c>
    </row>
    <row r="67086" spans="1:4" x14ac:dyDescent="0.2">
      <c r="B67086" t="s">
        <v>1</v>
      </c>
    </row>
    <row r="67087" spans="1:4" x14ac:dyDescent="0.2">
      <c r="B67087" t="s">
        <v>273</v>
      </c>
    </row>
    <row r="67088" spans="1:4" x14ac:dyDescent="0.2">
      <c r="B67088" t="s">
        <v>35</v>
      </c>
    </row>
    <row r="67090" spans="1:3" x14ac:dyDescent="0.2">
      <c r="A67090" t="s">
        <v>20845</v>
      </c>
      <c r="B67090" t="str">
        <f>HYPERLINK("https://lindat.mff.cuni.cz/services/teitok/pdtc10/index.php?action=vallex&amp;frame=v-w9215f3", "zatelefonovat (v-w9215f3)")</f>
        <v>zatelefonovat (v-w9215f3)</v>
      </c>
    </row>
    <row r="67091" spans="1:3" x14ac:dyDescent="0.2">
      <c r="B67091" t="s">
        <v>1</v>
      </c>
    </row>
    <row r="67092" spans="1:3" x14ac:dyDescent="0.2">
      <c r="B67092" t="s">
        <v>35</v>
      </c>
    </row>
    <row r="67093" spans="1:3" x14ac:dyDescent="0.2">
      <c r="B67093" t="s">
        <v>269</v>
      </c>
    </row>
    <row r="67095" spans="1:3" x14ac:dyDescent="0.2">
      <c r="A67095" t="s">
        <v>20846</v>
      </c>
      <c r="B67095" t="str">
        <f>HYPERLINK("https://lindat.mff.cuni.cz/services/teitok/pdtc10/index.php?action=vallex&amp;frame=v-w9215f1", "zatelefonovat (v-w9215f1)")</f>
        <v>zatelefonovat (v-w9215f1)</v>
      </c>
    </row>
    <row r="67096" spans="1:3" x14ac:dyDescent="0.2">
      <c r="B67096" t="s">
        <v>1</v>
      </c>
      <c r="C67096" t="s">
        <v>430</v>
      </c>
    </row>
    <row r="67097" spans="1:3" x14ac:dyDescent="0.2">
      <c r="B67097" t="s">
        <v>35</v>
      </c>
      <c r="C67097" t="s">
        <v>15358</v>
      </c>
    </row>
    <row r="67098" spans="1:3" x14ac:dyDescent="0.2">
      <c r="B67098" t="s">
        <v>4742</v>
      </c>
      <c r="C67098" t="s">
        <v>3966</v>
      </c>
    </row>
    <row r="67099" spans="1:3" x14ac:dyDescent="0.2">
      <c r="B67099" t="s">
        <v>269</v>
      </c>
    </row>
    <row r="67101" spans="1:3" x14ac:dyDescent="0.2">
      <c r="A67101" t="s">
        <v>20847</v>
      </c>
      <c r="B67101" t="str">
        <f>HYPERLINK("https://lindat.mff.cuni.cz/services/teitok/pdtc10/index.php?action=vallex&amp;frame=v-w9215f2", "zatelefonovat (v-w9215f2)")</f>
        <v>zatelefonovat (v-w9215f2)</v>
      </c>
    </row>
    <row r="67102" spans="1:3" x14ac:dyDescent="0.2">
      <c r="B67102" t="s">
        <v>1</v>
      </c>
    </row>
    <row r="67103" spans="1:3" x14ac:dyDescent="0.2">
      <c r="B67103" t="s">
        <v>90</v>
      </c>
    </row>
    <row r="67104" spans="1:3" x14ac:dyDescent="0.2">
      <c r="B67104" t="s">
        <v>269</v>
      </c>
    </row>
    <row r="67106" spans="1:2" x14ac:dyDescent="0.2">
      <c r="A67106" t="s">
        <v>20848</v>
      </c>
      <c r="B67106" t="str">
        <f>HYPERLINK("https://lindat.mff.cuni.cz/services/teitok/pdtc10/index.php?action=vallex&amp;frame=v-w9216f1", "zatelefonovat si (v-w9216f1)")</f>
        <v>zatelefonovat si (v-w9216f1)</v>
      </c>
    </row>
    <row r="67107" spans="1:2" x14ac:dyDescent="0.2">
      <c r="B67107" t="s">
        <v>1</v>
      </c>
    </row>
    <row r="67108" spans="1:2" x14ac:dyDescent="0.2">
      <c r="B67108" t="s">
        <v>2287</v>
      </c>
    </row>
    <row r="67109" spans="1:2" x14ac:dyDescent="0.2">
      <c r="B67109" t="s">
        <v>78</v>
      </c>
    </row>
    <row r="67111" spans="1:2" x14ac:dyDescent="0.2">
      <c r="A67111" t="s">
        <v>20849</v>
      </c>
      <c r="B67111" t="str">
        <f>HYPERLINK("https://lindat.mff.cuni.cz/services/teitok/pdtc10/index.php?action=vallex&amp;frame=v-w9216f2", "zatelefonovat si (v-w9216f2)")</f>
        <v>zatelefonovat si (v-w9216f2)</v>
      </c>
    </row>
    <row r="67112" spans="1:2" x14ac:dyDescent="0.2">
      <c r="B67112" t="s">
        <v>1</v>
      </c>
    </row>
    <row r="67113" spans="1:2" x14ac:dyDescent="0.2">
      <c r="B67113" t="s">
        <v>90</v>
      </c>
    </row>
    <row r="67114" spans="1:2" x14ac:dyDescent="0.2">
      <c r="B67114" t="s">
        <v>2287</v>
      </c>
    </row>
    <row r="67116" spans="1:2" x14ac:dyDescent="0.2">
      <c r="A67116" t="s">
        <v>20850</v>
      </c>
      <c r="B67116" t="str">
        <f>HYPERLINK("https://lindat.mff.cuni.cz/services/teitok/pdtc10/index.php?action=vallex&amp;frame=v-w9216hsa_1545", "zatelefonovat si (v-w9216hsa_1545)")</f>
        <v>zatelefonovat si (v-w9216hsa_1545)</v>
      </c>
    </row>
    <row r="67117" spans="1:2" x14ac:dyDescent="0.2">
      <c r="B67117" t="s">
        <v>1</v>
      </c>
    </row>
    <row r="67118" spans="1:2" x14ac:dyDescent="0.2">
      <c r="B67118" t="s">
        <v>8</v>
      </c>
    </row>
    <row r="67119" spans="1:2" x14ac:dyDescent="0.2">
      <c r="B67119" t="s">
        <v>153</v>
      </c>
    </row>
    <row r="67121" spans="1:4" x14ac:dyDescent="0.2">
      <c r="A67121" t="s">
        <v>20851</v>
      </c>
      <c r="B67121" t="str">
        <f>HYPERLINK("https://lindat.mff.cuni.cz/services/teitok/pdtc10/index.php?action=vallex&amp;frame=v-w9217f1", "zatemnit (v-w9217f1)")</f>
        <v>zatemnit (v-w9217f1)</v>
      </c>
    </row>
    <row r="67122" spans="1:4" x14ac:dyDescent="0.2">
      <c r="B67122" t="s">
        <v>1</v>
      </c>
    </row>
    <row r="67123" spans="1:4" x14ac:dyDescent="0.2">
      <c r="B67123" t="s">
        <v>8</v>
      </c>
    </row>
    <row r="67125" spans="1:4" x14ac:dyDescent="0.2">
      <c r="A67125" t="s">
        <v>20852</v>
      </c>
      <c r="B67125" t="str">
        <f>HYPERLINK("https://lindat.mff.cuni.cz/services/teitok/pdtc10/index.php?action=vallex&amp;frame=v-w9217f2", "zatemnit (v-w9217f2)")</f>
        <v>zatemnit (v-w9217f2)</v>
      </c>
    </row>
    <row r="67126" spans="1:4" x14ac:dyDescent="0.2">
      <c r="B67126" t="s">
        <v>1</v>
      </c>
    </row>
    <row r="67127" spans="1:4" x14ac:dyDescent="0.2">
      <c r="B67127" t="s">
        <v>8</v>
      </c>
    </row>
    <row r="67129" spans="1:4" x14ac:dyDescent="0.2">
      <c r="A67129" t="s">
        <v>20853</v>
      </c>
      <c r="B67129" t="str">
        <f>HYPERLINK("https://lindat.mff.cuni.cz/services/teitok/pdtc10/index.php?action=vallex&amp;frame=v-w9218f1", "zatemňovat (v-w9218f1)")</f>
        <v>zatemňovat (v-w9218f1)</v>
      </c>
    </row>
    <row r="67130" spans="1:4" x14ac:dyDescent="0.2">
      <c r="B67130" t="s">
        <v>1</v>
      </c>
      <c r="C67130" t="s">
        <v>140</v>
      </c>
      <c r="D67130" t="s">
        <v>2239</v>
      </c>
    </row>
    <row r="67131" spans="1:4" x14ac:dyDescent="0.2">
      <c r="B67131" t="s">
        <v>8</v>
      </c>
      <c r="C67131" t="s">
        <v>113</v>
      </c>
      <c r="D67131" t="s">
        <v>354</v>
      </c>
    </row>
    <row r="67133" spans="1:4" x14ac:dyDescent="0.2">
      <c r="A67133" t="s">
        <v>20854</v>
      </c>
      <c r="B67133" t="str">
        <f>HYPERLINK("https://lindat.mff.cuni.cz/services/teitok/pdtc10/index.php?action=vallex&amp;frame=v-w9221f1", "zateplovat (v-w9221f1)")</f>
        <v>zateplovat (v-w9221f1)</v>
      </c>
    </row>
    <row r="67134" spans="1:4" x14ac:dyDescent="0.2">
      <c r="B67134" t="s">
        <v>1</v>
      </c>
    </row>
    <row r="67135" spans="1:4" x14ac:dyDescent="0.2">
      <c r="B67135" t="s">
        <v>8</v>
      </c>
    </row>
    <row r="67137" spans="1:4" x14ac:dyDescent="0.2">
      <c r="A67137" t="s">
        <v>20855</v>
      </c>
      <c r="B67137" t="str">
        <f>HYPERLINK("https://lindat.mff.cuni.cz/services/teitok/pdtc10/index.php?action=vallex&amp;frame=v-w9228f1", "zatknout (v-w9228f1)")</f>
        <v>zatknout (v-w9228f1)</v>
      </c>
    </row>
    <row r="67138" spans="1:4" x14ac:dyDescent="0.2">
      <c r="B67138" t="s">
        <v>1</v>
      </c>
      <c r="C67138" t="s">
        <v>1524</v>
      </c>
      <c r="D67138" t="s">
        <v>294</v>
      </c>
    </row>
    <row r="67139" spans="1:4" x14ac:dyDescent="0.2">
      <c r="B67139" t="s">
        <v>8</v>
      </c>
      <c r="C67139" t="s">
        <v>1066</v>
      </c>
      <c r="D67139" t="s">
        <v>1351</v>
      </c>
    </row>
    <row r="67141" spans="1:4" x14ac:dyDescent="0.2">
      <c r="A67141" t="s">
        <v>20856</v>
      </c>
      <c r="B67141" t="str">
        <f>HYPERLINK("https://lindat.mff.cuni.cz/services/teitok/pdtc10/index.php?action=vallex&amp;frame=v-w9229f1", "zatlačit (v-w9229f1)")</f>
        <v>zatlačit (v-w9229f1)</v>
      </c>
    </row>
    <row r="67142" spans="1:4" x14ac:dyDescent="0.2">
      <c r="B67142" t="s">
        <v>1</v>
      </c>
      <c r="C67142" t="s">
        <v>1366</v>
      </c>
    </row>
    <row r="67143" spans="1:4" x14ac:dyDescent="0.2">
      <c r="B67143" t="s">
        <v>8</v>
      </c>
      <c r="C67143" t="s">
        <v>20857</v>
      </c>
    </row>
    <row r="67144" spans="1:4" x14ac:dyDescent="0.2">
      <c r="B67144" t="s">
        <v>90</v>
      </c>
      <c r="C67144" t="s">
        <v>20858</v>
      </c>
    </row>
    <row r="67146" spans="1:4" x14ac:dyDescent="0.2">
      <c r="A67146" t="s">
        <v>20859</v>
      </c>
      <c r="B67146" t="str">
        <f>HYPERLINK("https://lindat.mff.cuni.cz/services/teitok/pdtc10/index.php?action=vallex&amp;frame=v-w9229f3_ZU", "zatlačit (v-w9229f3_ZU)")</f>
        <v>zatlačit (v-w9229f3_ZU)</v>
      </c>
    </row>
    <row r="67147" spans="1:4" x14ac:dyDescent="0.2">
      <c r="B67147" t="s">
        <v>1</v>
      </c>
      <c r="C67147" t="s">
        <v>2303</v>
      </c>
    </row>
    <row r="67148" spans="1:4" x14ac:dyDescent="0.2">
      <c r="B67148" t="s">
        <v>28</v>
      </c>
      <c r="C67148" t="s">
        <v>20860</v>
      </c>
    </row>
    <row r="67150" spans="1:4" x14ac:dyDescent="0.2">
      <c r="A67150" t="s">
        <v>20859</v>
      </c>
      <c r="B67150" t="str">
        <f>HYPERLINK("https://lindat.mff.cuni.cz/services/teitok/pdtc10/index.php?action=vallex&amp;frame=v-w9229f2", "zatlačit (v-w9229f2) - substituted with v-w9229f3_ZU")</f>
        <v>zatlačit (v-w9229f2) - substituted with v-w9229f3_ZU</v>
      </c>
    </row>
    <row r="67151" spans="1:4" x14ac:dyDescent="0.2">
      <c r="B67151" t="s">
        <v>1</v>
      </c>
    </row>
    <row r="67152" spans="1:4" x14ac:dyDescent="0.2">
      <c r="B67152" t="s">
        <v>28</v>
      </c>
    </row>
    <row r="67154" spans="1:2" x14ac:dyDescent="0.2">
      <c r="A67154" t="s">
        <v>20861</v>
      </c>
      <c r="B67154" t="str">
        <f>HYPERLINK("https://lindat.mff.cuni.cz/services/teitok/pdtc10/index.php?action=vallex&amp;frame=v-w9229f4_ZU", "zatlačit (v-w9229f4_ZU)")</f>
        <v>zatlačit (v-w9229f4_ZU)</v>
      </c>
    </row>
    <row r="67155" spans="1:2" x14ac:dyDescent="0.2">
      <c r="B67155" t="s">
        <v>1</v>
      </c>
    </row>
    <row r="67156" spans="1:2" x14ac:dyDescent="0.2">
      <c r="B67156" t="s">
        <v>14718</v>
      </c>
    </row>
    <row r="67157" spans="1:2" x14ac:dyDescent="0.2">
      <c r="B67157" t="s">
        <v>103</v>
      </c>
    </row>
    <row r="67159" spans="1:2" x14ac:dyDescent="0.2">
      <c r="A67159" t="s">
        <v>20861</v>
      </c>
      <c r="B67159" t="str">
        <f>HYPERLINK("https://lindat.mff.cuni.cz/services/teitok/pdtc10/index.php?action=vallex&amp;frame=v-w9229hsa_688", "zatlačit (v-w9229hsa_688) - substituted with v-w9229f4_ZU")</f>
        <v>zatlačit (v-w9229hsa_688) - substituted with v-w9229f4_ZU</v>
      </c>
    </row>
    <row r="67160" spans="1:2" x14ac:dyDescent="0.2">
      <c r="B67160" t="s">
        <v>1</v>
      </c>
    </row>
    <row r="67161" spans="1:2" x14ac:dyDescent="0.2">
      <c r="B67161" t="s">
        <v>14718</v>
      </c>
    </row>
    <row r="67162" spans="1:2" x14ac:dyDescent="0.2">
      <c r="B67162" t="s">
        <v>103</v>
      </c>
    </row>
    <row r="67164" spans="1:2" x14ac:dyDescent="0.2">
      <c r="A67164" t="s">
        <v>20862</v>
      </c>
      <c r="B67164" t="str">
        <f>HYPERLINK("https://lindat.mff.cuni.cz/services/teitok/pdtc10/index.php?action=vallex&amp;frame=v-w9229hsa_816", "zatlačit (v-w9229hsa_816)")</f>
        <v>zatlačit (v-w9229hsa_816)</v>
      </c>
    </row>
    <row r="67165" spans="1:2" x14ac:dyDescent="0.2">
      <c r="B67165" t="s">
        <v>1</v>
      </c>
    </row>
    <row r="67166" spans="1:2" x14ac:dyDescent="0.2">
      <c r="B67166" t="s">
        <v>28</v>
      </c>
    </row>
    <row r="67168" spans="1:2" x14ac:dyDescent="0.2">
      <c r="A67168" t="s">
        <v>20863</v>
      </c>
      <c r="B67168" t="str">
        <f>HYPERLINK("https://lindat.mff.cuni.cz/services/teitok/pdtc10/index.php?action=vallex&amp;frame=v-whsa_375f1_ZU", "zatlačovat (v-whsa_375f1_ZU)")</f>
        <v>zatlačovat (v-whsa_375f1_ZU)</v>
      </c>
    </row>
    <row r="67169" spans="1:4" x14ac:dyDescent="0.2">
      <c r="B67169" t="s">
        <v>1</v>
      </c>
      <c r="C67169" t="s">
        <v>33</v>
      </c>
    </row>
    <row r="67170" spans="1:4" x14ac:dyDescent="0.2">
      <c r="B67170" t="s">
        <v>8</v>
      </c>
      <c r="C67170" t="s">
        <v>34</v>
      </c>
    </row>
    <row r="67171" spans="1:4" x14ac:dyDescent="0.2">
      <c r="B67171" t="s">
        <v>252</v>
      </c>
    </row>
    <row r="67173" spans="1:4" x14ac:dyDescent="0.2">
      <c r="A67173" t="s">
        <v>20863</v>
      </c>
      <c r="B67173" t="str">
        <f>HYPERLINK("https://lindat.mff.cuni.cz/services/teitok/pdtc10/index.php?action=vallex&amp;frame=v-whsa_375hsa_376", "zatlačovat (v-whsa_375hsa_376) - substituted with v-whsa_375f1_ZU")</f>
        <v>zatlačovat (v-whsa_375hsa_376) - substituted with v-whsa_375f1_ZU</v>
      </c>
    </row>
    <row r="67174" spans="1:4" x14ac:dyDescent="0.2">
      <c r="B67174" t="s">
        <v>1</v>
      </c>
    </row>
    <row r="67175" spans="1:4" x14ac:dyDescent="0.2">
      <c r="B67175" t="s">
        <v>8</v>
      </c>
    </row>
    <row r="67176" spans="1:4" x14ac:dyDescent="0.2">
      <c r="B67176" t="s">
        <v>252</v>
      </c>
    </row>
    <row r="67178" spans="1:4" x14ac:dyDescent="0.2">
      <c r="A67178" t="s">
        <v>20864</v>
      </c>
      <c r="B67178" t="str">
        <f>HYPERLINK("https://lindat.mff.cuni.cz/services/teitok/pdtc10/index.php?action=vallex&amp;frame=v-w11140f2", "zatleskat (v-w11140f2)")</f>
        <v>zatleskat (v-w11140f2)</v>
      </c>
    </row>
    <row r="67179" spans="1:4" x14ac:dyDescent="0.2">
      <c r="B67179" t="s">
        <v>1</v>
      </c>
      <c r="C67179" t="s">
        <v>990</v>
      </c>
      <c r="D67179" t="s">
        <v>990</v>
      </c>
    </row>
    <row r="67180" spans="1:4" x14ac:dyDescent="0.2">
      <c r="B67180" t="s">
        <v>86</v>
      </c>
      <c r="C67180" t="s">
        <v>1340</v>
      </c>
      <c r="D67180" t="s">
        <v>1340</v>
      </c>
    </row>
    <row r="67182" spans="1:4" x14ac:dyDescent="0.2">
      <c r="A67182" t="s">
        <v>20865</v>
      </c>
      <c r="B67182" t="str">
        <f>HYPERLINK("https://lindat.mff.cuni.cz/services/teitok/pdtc10/index.php?action=vallex&amp;frame=v-whsa_2013f1_ZU", "zatlouct (v-whsa_2013f1_ZU)")</f>
        <v>zatlouct (v-whsa_2013f1_ZU)</v>
      </c>
    </row>
    <row r="67183" spans="1:4" x14ac:dyDescent="0.2">
      <c r="B67183" t="s">
        <v>1</v>
      </c>
    </row>
    <row r="67184" spans="1:4" x14ac:dyDescent="0.2">
      <c r="B67184" t="s">
        <v>8</v>
      </c>
    </row>
    <row r="67185" spans="1:2" x14ac:dyDescent="0.2">
      <c r="B67185" t="s">
        <v>90</v>
      </c>
    </row>
    <row r="67187" spans="1:2" x14ac:dyDescent="0.2">
      <c r="A67187" t="s">
        <v>20865</v>
      </c>
      <c r="B67187" t="str">
        <f>HYPERLINK("https://lindat.mff.cuni.cz/services/teitok/pdtc10/index.php?action=vallex&amp;frame=v-whsa_2013hsa_2014", "zatlouct (v-whsa_2013hsa_2014) - substituted with v-whsa_2013f1_ZU")</f>
        <v>zatlouct (v-whsa_2013hsa_2014) - substituted with v-whsa_2013f1_ZU</v>
      </c>
    </row>
    <row r="67188" spans="1:2" x14ac:dyDescent="0.2">
      <c r="B67188" t="s">
        <v>1</v>
      </c>
    </row>
    <row r="67189" spans="1:2" x14ac:dyDescent="0.2">
      <c r="B67189" t="s">
        <v>8</v>
      </c>
    </row>
    <row r="67190" spans="1:2" x14ac:dyDescent="0.2">
      <c r="B67190" t="s">
        <v>90</v>
      </c>
    </row>
    <row r="67192" spans="1:2" x14ac:dyDescent="0.2">
      <c r="A67192" t="s">
        <v>20866</v>
      </c>
      <c r="B67192" t="str">
        <f>HYPERLINK("https://lindat.mff.cuni.cz/services/teitok/pdtc10/index.php?action=vallex&amp;frame=v-whsa_1549hsa_1550", "zatloukat (v-whsa_1549hsa_1550)")</f>
        <v>zatloukat (v-whsa_1549hsa_1550)</v>
      </c>
    </row>
    <row r="67193" spans="1:2" x14ac:dyDescent="0.2">
      <c r="B67193" t="s">
        <v>1</v>
      </c>
    </row>
    <row r="67194" spans="1:2" x14ac:dyDescent="0.2">
      <c r="B67194" t="s">
        <v>8</v>
      </c>
    </row>
    <row r="67196" spans="1:2" x14ac:dyDescent="0.2">
      <c r="A67196" t="s">
        <v>20867</v>
      </c>
      <c r="B67196" t="str">
        <f>HYPERLINK("https://lindat.mff.cuni.cz/services/teitok/pdtc10/index.php?action=vallex&amp;frame=v-w10394f2", "zatmelit (v-w10394f2)")</f>
        <v>zatmelit (v-w10394f2)</v>
      </c>
    </row>
    <row r="67197" spans="1:2" x14ac:dyDescent="0.2">
      <c r="B67197" t="s">
        <v>1</v>
      </c>
    </row>
    <row r="67198" spans="1:2" x14ac:dyDescent="0.2">
      <c r="B67198" t="s">
        <v>8</v>
      </c>
    </row>
    <row r="67200" spans="1:2" x14ac:dyDescent="0.2">
      <c r="A67200" t="s">
        <v>20868</v>
      </c>
      <c r="B67200" t="str">
        <f>HYPERLINK("https://lindat.mff.cuni.cz/services/teitok/pdtc10/index.php?action=vallex&amp;frame=v-w11853_ZUf1_ZU", "zatnout (v-w11853_ZUf1_ZU)")</f>
        <v>zatnout (v-w11853_ZUf1_ZU)</v>
      </c>
    </row>
    <row r="67201" spans="1:3" x14ac:dyDescent="0.2">
      <c r="B67201" t="s">
        <v>1</v>
      </c>
    </row>
    <row r="67202" spans="1:3" x14ac:dyDescent="0.2">
      <c r="B67202" t="s">
        <v>20869</v>
      </c>
    </row>
    <row r="67203" spans="1:3" x14ac:dyDescent="0.2">
      <c r="B67203" t="s">
        <v>103</v>
      </c>
    </row>
    <row r="67205" spans="1:3" x14ac:dyDescent="0.2">
      <c r="A67205" t="s">
        <v>20870</v>
      </c>
      <c r="B67205" t="str">
        <f>HYPERLINK("https://lindat.mff.cuni.cz/services/teitok/pdtc10/index.php?action=vallex&amp;frame=v-w11048f3", "zatopit (v-w11048f3)")</f>
        <v>zatopit (v-w11048f3)</v>
      </c>
    </row>
    <row r="67206" spans="1:3" x14ac:dyDescent="0.2">
      <c r="B67206" t="s">
        <v>1</v>
      </c>
      <c r="C67206" t="s">
        <v>2239</v>
      </c>
    </row>
    <row r="67207" spans="1:3" x14ac:dyDescent="0.2">
      <c r="B67207" t="s">
        <v>103</v>
      </c>
    </row>
    <row r="67209" spans="1:3" x14ac:dyDescent="0.2">
      <c r="A67209" t="s">
        <v>20871</v>
      </c>
      <c r="B67209" t="str">
        <f>HYPERLINK("https://lindat.mff.cuni.cz/services/teitok/pdtc10/index.php?action=vallex&amp;frame=v-w11048hsa_151", "zatopit (v-w11048hsa_151)")</f>
        <v>zatopit (v-w11048hsa_151)</v>
      </c>
    </row>
    <row r="67210" spans="1:3" x14ac:dyDescent="0.2">
      <c r="B67210" t="s">
        <v>1</v>
      </c>
    </row>
    <row r="67211" spans="1:3" x14ac:dyDescent="0.2">
      <c r="B67211" t="s">
        <v>8</v>
      </c>
    </row>
    <row r="67213" spans="1:3" x14ac:dyDescent="0.2">
      <c r="A67213" t="s">
        <v>20872</v>
      </c>
      <c r="B67213" t="str">
        <f>HYPERLINK("https://lindat.mff.cuni.cz/services/teitok/pdtc10/index.php?action=vallex&amp;frame=v-w11048hsa_152", "zatopit (v-w11048hsa_152)")</f>
        <v>zatopit (v-w11048hsa_152)</v>
      </c>
    </row>
    <row r="67214" spans="1:3" x14ac:dyDescent="0.2">
      <c r="B67214" t="s">
        <v>1</v>
      </c>
    </row>
    <row r="67216" spans="1:3" x14ac:dyDescent="0.2">
      <c r="A67216" t="s">
        <v>20873</v>
      </c>
      <c r="B67216" t="str">
        <f>HYPERLINK("https://lindat.mff.cuni.cz/services/teitok/pdtc10/index.php?action=vallex&amp;frame=v-w9232f1", "zatoulat se (v-w9232f1)")</f>
        <v>zatoulat se (v-w9232f1)</v>
      </c>
    </row>
    <row r="67217" spans="1:4" x14ac:dyDescent="0.2">
      <c r="B67217" t="s">
        <v>1</v>
      </c>
    </row>
    <row r="67219" spans="1:4" x14ac:dyDescent="0.2">
      <c r="A67219" t="s">
        <v>20874</v>
      </c>
      <c r="B67219" t="str">
        <f>HYPERLINK("https://lindat.mff.cuni.cz/services/teitok/pdtc10/index.php?action=vallex&amp;frame=v-w9233f1", "zatoužit (v-w9233f1)")</f>
        <v>zatoužit (v-w9233f1)</v>
      </c>
    </row>
    <row r="67220" spans="1:4" x14ac:dyDescent="0.2">
      <c r="B67220" t="s">
        <v>1</v>
      </c>
    </row>
    <row r="67221" spans="1:4" x14ac:dyDescent="0.2">
      <c r="B67221" t="s">
        <v>2483</v>
      </c>
    </row>
    <row r="67223" spans="1:4" x14ac:dyDescent="0.2">
      <c r="A67223" t="s">
        <v>20875</v>
      </c>
      <c r="B67223" t="str">
        <f>HYPERLINK("https://lindat.mff.cuni.cz/services/teitok/pdtc10/index.php?action=vallex&amp;frame=v-w10346f3", "zatočit (v-w10346f3)")</f>
        <v>zatočit (v-w10346f3)</v>
      </c>
    </row>
    <row r="67224" spans="1:4" x14ac:dyDescent="0.2">
      <c r="B67224" t="s">
        <v>1</v>
      </c>
      <c r="C67224" t="s">
        <v>83</v>
      </c>
      <c r="D67224" t="s">
        <v>33</v>
      </c>
    </row>
    <row r="67225" spans="1:4" x14ac:dyDescent="0.2">
      <c r="B67225" t="s">
        <v>411</v>
      </c>
      <c r="C67225" t="s">
        <v>2240</v>
      </c>
      <c r="D67225" t="s">
        <v>1044</v>
      </c>
    </row>
    <row r="67227" spans="1:4" x14ac:dyDescent="0.2">
      <c r="A67227" t="s">
        <v>20876</v>
      </c>
      <c r="B67227" t="str">
        <f>HYPERLINK("https://lindat.mff.cuni.cz/services/teitok/pdtc10/index.php?action=vallex&amp;frame=v-w10346f4_ZU", "zatočit (v-w10346f4_ZU)")</f>
        <v>zatočit (v-w10346f4_ZU)</v>
      </c>
    </row>
    <row r="67228" spans="1:4" x14ac:dyDescent="0.2">
      <c r="B67228" t="s">
        <v>1</v>
      </c>
    </row>
    <row r="67229" spans="1:4" x14ac:dyDescent="0.2">
      <c r="B67229" t="s">
        <v>158</v>
      </c>
    </row>
    <row r="67231" spans="1:4" x14ac:dyDescent="0.2">
      <c r="A67231" t="s">
        <v>20877</v>
      </c>
      <c r="B67231" t="str">
        <f>HYPERLINK("https://lindat.mff.cuni.cz/services/teitok/pdtc10/index.php?action=vallex&amp;frame=v-whsa_2001hsa_2002", "zatočit se (v-whsa_2001hsa_2002)")</f>
        <v>zatočit se (v-whsa_2001hsa_2002)</v>
      </c>
    </row>
    <row r="67232" spans="1:4" x14ac:dyDescent="0.2">
      <c r="B67232" t="s">
        <v>1</v>
      </c>
    </row>
    <row r="67234" spans="1:4" x14ac:dyDescent="0.2">
      <c r="A67234" t="s">
        <v>20878</v>
      </c>
      <c r="B67234" t="str">
        <f>HYPERLINK("https://lindat.mff.cuni.cz/services/teitok/pdtc10/index.php?action=vallex&amp;frame=v-w10799f2", "zatraktivnit (v-w10799f2)")</f>
        <v>zatraktivnit (v-w10799f2)</v>
      </c>
    </row>
    <row r="67235" spans="1:4" x14ac:dyDescent="0.2">
      <c r="B67235" t="s">
        <v>1</v>
      </c>
      <c r="C67235" t="s">
        <v>2787</v>
      </c>
      <c r="D67235" t="s">
        <v>23442</v>
      </c>
    </row>
    <row r="67236" spans="1:4" x14ac:dyDescent="0.2">
      <c r="B67236" t="s">
        <v>8</v>
      </c>
      <c r="C67236" t="s">
        <v>16200</v>
      </c>
      <c r="D67236" t="s">
        <v>23443</v>
      </c>
    </row>
    <row r="67238" spans="1:4" x14ac:dyDescent="0.2">
      <c r="A67238" t="s">
        <v>20879</v>
      </c>
      <c r="B67238" t="str">
        <f>HYPERLINK("https://lindat.mff.cuni.cz/services/teitok/pdtc10/index.php?action=vallex&amp;frame=v-w9234f1", "zatratit (v-w9234f1)")</f>
        <v>zatratit (v-w9234f1)</v>
      </c>
    </row>
    <row r="67239" spans="1:4" x14ac:dyDescent="0.2">
      <c r="B67239" t="s">
        <v>1</v>
      </c>
    </row>
    <row r="67240" spans="1:4" x14ac:dyDescent="0.2">
      <c r="B67240" t="s">
        <v>5074</v>
      </c>
    </row>
    <row r="67242" spans="1:4" x14ac:dyDescent="0.2">
      <c r="A67242" t="s">
        <v>20880</v>
      </c>
      <c r="B67242" t="str">
        <f>HYPERLINK("https://lindat.mff.cuni.cz/services/teitok/pdtc10/index.php?action=vallex&amp;frame=v-w9236f1", "zatrhnout (v-w9236f1)")</f>
        <v>zatrhnout (v-w9236f1)</v>
      </c>
    </row>
    <row r="67243" spans="1:4" x14ac:dyDescent="0.2">
      <c r="B67243" t="s">
        <v>1</v>
      </c>
    </row>
    <row r="67244" spans="1:4" x14ac:dyDescent="0.2">
      <c r="B67244" t="s">
        <v>20881</v>
      </c>
    </row>
    <row r="67245" spans="1:4" x14ac:dyDescent="0.2">
      <c r="B67245" t="s">
        <v>35</v>
      </c>
    </row>
    <row r="67247" spans="1:4" x14ac:dyDescent="0.2">
      <c r="A67247" t="s">
        <v>20882</v>
      </c>
      <c r="B67247" t="str">
        <f>HYPERLINK("https://lindat.mff.cuni.cz/services/teitok/pdtc10/index.php?action=vallex&amp;frame=v-whsa_673hsa_674", "zatrnout (v-whsa_673hsa_674)")</f>
        <v>zatrnout (v-whsa_673hsa_674)</v>
      </c>
    </row>
    <row r="67248" spans="1:4" x14ac:dyDescent="0.2">
      <c r="B67248" t="s">
        <v>455</v>
      </c>
    </row>
    <row r="67250" spans="1:4" x14ac:dyDescent="0.2">
      <c r="A67250" t="s">
        <v>20883</v>
      </c>
      <c r="B67250" t="str">
        <f>HYPERLINK("https://lindat.mff.cuni.cz/services/teitok/pdtc10/index.php?action=vallex&amp;frame=v-whsa_157hsa_158", "zatrpknout (v-whsa_157hsa_158)")</f>
        <v>zatrpknout (v-whsa_157hsa_158)</v>
      </c>
    </row>
    <row r="67251" spans="1:4" x14ac:dyDescent="0.2">
      <c r="B67251" t="s">
        <v>1</v>
      </c>
    </row>
    <row r="67253" spans="1:4" x14ac:dyDescent="0.2">
      <c r="A67253" t="s">
        <v>20884</v>
      </c>
      <c r="B67253" t="str">
        <f>HYPERLINK("https://lindat.mff.cuni.cz/services/teitok/pdtc10/index.php?action=vallex&amp;frame=v-w9235f1", "zatrénovat si (v-w9235f1)")</f>
        <v>zatrénovat si (v-w9235f1)</v>
      </c>
    </row>
    <row r="67254" spans="1:4" x14ac:dyDescent="0.2">
      <c r="B67254" t="s">
        <v>1</v>
      </c>
    </row>
    <row r="67256" spans="1:4" x14ac:dyDescent="0.2">
      <c r="A67256" t="s">
        <v>20885</v>
      </c>
      <c r="B67256" t="str">
        <f>HYPERLINK("https://lindat.mff.cuni.cz/services/teitok/pdtc10/index.php?action=vallex&amp;frame=v-w9239f1", "zatvářit se (v-w9239f1)")</f>
        <v>zatvářit se (v-w9239f1)</v>
      </c>
    </row>
    <row r="67257" spans="1:4" x14ac:dyDescent="0.2">
      <c r="B67257" t="s">
        <v>1</v>
      </c>
    </row>
    <row r="67258" spans="1:4" x14ac:dyDescent="0.2">
      <c r="B67258" t="s">
        <v>346</v>
      </c>
    </row>
    <row r="67259" spans="1:4" x14ac:dyDescent="0.2">
      <c r="B67259" t="s">
        <v>349</v>
      </c>
    </row>
    <row r="67260" spans="1:4" x14ac:dyDescent="0.2">
      <c r="B67260" t="s">
        <v>350</v>
      </c>
    </row>
    <row r="67261" spans="1:4" x14ac:dyDescent="0.2">
      <c r="B67261" t="s">
        <v>351</v>
      </c>
    </row>
    <row r="67263" spans="1:4" x14ac:dyDescent="0.2">
      <c r="A67263" t="s">
        <v>20886</v>
      </c>
      <c r="B67263" t="str">
        <f>HYPERLINK("https://lindat.mff.cuni.cz/services/teitok/pdtc10/index.php?action=vallex&amp;frame=v-w9206f1", "zatáhnout (v-w9206f1)")</f>
        <v>zatáhnout (v-w9206f1)</v>
      </c>
    </row>
    <row r="67264" spans="1:4" x14ac:dyDescent="0.2">
      <c r="B67264" t="s">
        <v>1</v>
      </c>
      <c r="C67264" t="s">
        <v>33</v>
      </c>
      <c r="D67264" t="s">
        <v>13976</v>
      </c>
    </row>
    <row r="67265" spans="1:4" x14ac:dyDescent="0.2">
      <c r="B67265" t="s">
        <v>8</v>
      </c>
      <c r="C67265" t="s">
        <v>2886</v>
      </c>
      <c r="D67265" t="s">
        <v>10414</v>
      </c>
    </row>
    <row r="67266" spans="1:4" x14ac:dyDescent="0.2">
      <c r="B67266" t="s">
        <v>90</v>
      </c>
      <c r="C67266" t="s">
        <v>20887</v>
      </c>
      <c r="D67266" t="s">
        <v>23197</v>
      </c>
    </row>
    <row r="67268" spans="1:4" x14ac:dyDescent="0.2">
      <c r="A67268" t="s">
        <v>20888</v>
      </c>
      <c r="B67268" t="str">
        <f>HYPERLINK("https://lindat.mff.cuni.cz/services/teitok/pdtc10/index.php?action=vallex&amp;frame=v-w9206f2", "zatáhnout (v-w9206f2)")</f>
        <v>zatáhnout (v-w9206f2)</v>
      </c>
    </row>
    <row r="67269" spans="1:4" x14ac:dyDescent="0.2">
      <c r="B67269" t="s">
        <v>1</v>
      </c>
    </row>
    <row r="67270" spans="1:4" x14ac:dyDescent="0.2">
      <c r="B67270" t="s">
        <v>8</v>
      </c>
    </row>
    <row r="67272" spans="1:4" x14ac:dyDescent="0.2">
      <c r="A67272" t="s">
        <v>20889</v>
      </c>
      <c r="B67272" t="str">
        <f>HYPERLINK("https://lindat.mff.cuni.cz/services/teitok/pdtc10/index.php?action=vallex&amp;frame=v-w9206f3_ZU", "zatáhnout (v-w9206f3_ZU)")</f>
        <v>zatáhnout (v-w9206f3_ZU)</v>
      </c>
    </row>
    <row r="67273" spans="1:4" x14ac:dyDescent="0.2">
      <c r="B67273" t="s">
        <v>1</v>
      </c>
    </row>
    <row r="67274" spans="1:4" x14ac:dyDescent="0.2">
      <c r="B67274" t="s">
        <v>20890</v>
      </c>
    </row>
    <row r="67275" spans="1:4" x14ac:dyDescent="0.2">
      <c r="B67275" t="s">
        <v>917</v>
      </c>
    </row>
    <row r="67277" spans="1:4" x14ac:dyDescent="0.2">
      <c r="A67277" t="s">
        <v>20889</v>
      </c>
      <c r="B67277" t="str">
        <f>HYPERLINK("https://lindat.mff.cuni.cz/services/teitok/pdtc10/index.php?action=vallex&amp;frame=v-w9206hsa_778", "zatáhnout (v-w9206hsa_778) - substituted with v-w9206f3_ZU")</f>
        <v>zatáhnout (v-w9206hsa_778) - substituted with v-w9206f3_ZU</v>
      </c>
    </row>
    <row r="67278" spans="1:4" x14ac:dyDescent="0.2">
      <c r="B67278" t="s">
        <v>1</v>
      </c>
    </row>
    <row r="67279" spans="1:4" x14ac:dyDescent="0.2">
      <c r="B67279" t="s">
        <v>20890</v>
      </c>
    </row>
    <row r="67280" spans="1:4" x14ac:dyDescent="0.2">
      <c r="B67280" t="s">
        <v>917</v>
      </c>
    </row>
    <row r="67282" spans="1:2" x14ac:dyDescent="0.2">
      <c r="A67282" t="s">
        <v>20891</v>
      </c>
      <c r="B67282" t="str">
        <f>HYPERLINK("https://lindat.mff.cuni.cz/services/teitok/pdtc10/index.php?action=vallex&amp;frame=v-w9206f4_ZU", "zatáhnout (v-w9206f4_ZU)")</f>
        <v>zatáhnout (v-w9206f4_ZU)</v>
      </c>
    </row>
    <row r="67283" spans="1:2" x14ac:dyDescent="0.2">
      <c r="B67283" t="s">
        <v>1</v>
      </c>
    </row>
    <row r="67284" spans="1:2" x14ac:dyDescent="0.2">
      <c r="B67284" t="s">
        <v>357</v>
      </c>
    </row>
    <row r="67286" spans="1:2" x14ac:dyDescent="0.2">
      <c r="A67286" t="s">
        <v>20892</v>
      </c>
      <c r="B67286" t="str">
        <f>HYPERLINK("https://lindat.mff.cuni.cz/services/teitok/pdtc10/index.php?action=vallex&amp;frame=v-w9206f5_ZU", "zatáhnout (v-w9206f5_ZU)")</f>
        <v>zatáhnout (v-w9206f5_ZU)</v>
      </c>
    </row>
    <row r="67287" spans="1:2" x14ac:dyDescent="0.2">
      <c r="B67287" t="s">
        <v>1</v>
      </c>
    </row>
    <row r="67288" spans="1:2" x14ac:dyDescent="0.2">
      <c r="B67288" t="s">
        <v>8</v>
      </c>
    </row>
    <row r="67290" spans="1:2" x14ac:dyDescent="0.2">
      <c r="A67290" t="s">
        <v>20893</v>
      </c>
      <c r="B67290" t="str">
        <f>HYPERLINK("https://lindat.mff.cuni.cz/services/teitok/pdtc10/index.php?action=vallex&amp;frame=v-w9206hsa_668", "zatáhnout (v-w9206hsa_668)")</f>
        <v>zatáhnout (v-w9206hsa_668)</v>
      </c>
    </row>
    <row r="67291" spans="1:2" x14ac:dyDescent="0.2">
      <c r="B67291" t="s">
        <v>1</v>
      </c>
    </row>
    <row r="67292" spans="1:2" x14ac:dyDescent="0.2">
      <c r="B67292" t="s">
        <v>8</v>
      </c>
    </row>
    <row r="67294" spans="1:2" x14ac:dyDescent="0.2">
      <c r="A67294" t="s">
        <v>20894</v>
      </c>
      <c r="B67294" t="str">
        <f>HYPERLINK("https://lindat.mff.cuni.cz/services/teitok/pdtc10/index.php?action=vallex&amp;frame=v-w9207f2", "zatáhnout se (v-w9207f2)")</f>
        <v>zatáhnout se (v-w9207f2)</v>
      </c>
    </row>
    <row r="67295" spans="1:2" x14ac:dyDescent="0.2">
      <c r="B67295" t="s">
        <v>1</v>
      </c>
    </row>
    <row r="67297" spans="1:2" x14ac:dyDescent="0.2">
      <c r="A67297" t="s">
        <v>20895</v>
      </c>
      <c r="B67297" t="str">
        <f>HYPERLINK("https://lindat.mff.cuni.cz/services/teitok/pdtc10/index.php?action=vallex&amp;frame=v-w9207f1", "zatáhnout se (v-w9207f1)")</f>
        <v>zatáhnout se (v-w9207f1)</v>
      </c>
    </row>
    <row r="67299" spans="1:2" x14ac:dyDescent="0.2">
      <c r="A67299" t="s">
        <v>20896</v>
      </c>
      <c r="B67299" t="str">
        <f>HYPERLINK("https://lindat.mff.cuni.cz/services/teitok/pdtc10/index.php?action=vallex&amp;frame=v-w12264_ZUf1_ZU", "zatápět (v-w12264_ZUf1_ZU)")</f>
        <v>zatápět (v-w12264_ZUf1_ZU)</v>
      </c>
    </row>
    <row r="67300" spans="1:2" x14ac:dyDescent="0.2">
      <c r="B67300" t="s">
        <v>1</v>
      </c>
    </row>
    <row r="67302" spans="1:2" x14ac:dyDescent="0.2">
      <c r="A67302" t="s">
        <v>20897</v>
      </c>
      <c r="B67302" t="str">
        <f>HYPERLINK("https://lindat.mff.cuni.cz/services/teitok/pdtc10/index.php?action=vallex&amp;frame=v-w9204f3", "zatáčet (v-w9204f3)")</f>
        <v>zatáčet (v-w9204f3)</v>
      </c>
    </row>
    <row r="67303" spans="1:2" x14ac:dyDescent="0.2">
      <c r="B67303" t="s">
        <v>1</v>
      </c>
    </row>
    <row r="67304" spans="1:2" x14ac:dyDescent="0.2">
      <c r="B67304" t="s">
        <v>1532</v>
      </c>
    </row>
    <row r="67306" spans="1:2" x14ac:dyDescent="0.2">
      <c r="A67306" t="s">
        <v>20898</v>
      </c>
      <c r="B67306" t="str">
        <f>HYPERLINK("https://lindat.mff.cuni.cz/services/teitok/pdtc10/index.php?action=vallex&amp;frame=v-w9204f2", "zatáčet (v-w9204f2)")</f>
        <v>zatáčet (v-w9204f2)</v>
      </c>
    </row>
    <row r="67307" spans="1:2" x14ac:dyDescent="0.2">
      <c r="B67307" t="s">
        <v>1</v>
      </c>
    </row>
    <row r="67308" spans="1:2" x14ac:dyDescent="0.2">
      <c r="B67308" t="s">
        <v>8</v>
      </c>
    </row>
    <row r="67310" spans="1:2" x14ac:dyDescent="0.2">
      <c r="A67310" t="s">
        <v>20899</v>
      </c>
      <c r="B67310" t="str">
        <f>HYPERLINK("https://lindat.mff.cuni.cz/services/teitok/pdtc10/index.php?action=vallex&amp;frame=v-w9204f1", "zatáčet (v-w9204f1)")</f>
        <v>zatáčet (v-w9204f1)</v>
      </c>
    </row>
    <row r="67311" spans="1:2" x14ac:dyDescent="0.2">
      <c r="B67311" t="s">
        <v>1</v>
      </c>
    </row>
    <row r="67313" spans="1:4" x14ac:dyDescent="0.2">
      <c r="A67313" t="s">
        <v>20900</v>
      </c>
      <c r="B67313" t="str">
        <f>HYPERLINK("https://lindat.mff.cuni.cz/services/teitok/pdtc10/index.php?action=vallex&amp;frame=v-w9214f1", "zatékat (v-w9214f1)")</f>
        <v>zatékat (v-w9214f1)</v>
      </c>
    </row>
    <row r="67314" spans="1:4" x14ac:dyDescent="0.2">
      <c r="B67314" t="s">
        <v>1</v>
      </c>
    </row>
    <row r="67315" spans="1:4" x14ac:dyDescent="0.2">
      <c r="B67315" t="s">
        <v>90</v>
      </c>
    </row>
    <row r="67317" spans="1:4" x14ac:dyDescent="0.2">
      <c r="A67317" t="s">
        <v>20901</v>
      </c>
      <c r="B67317" t="str">
        <f>HYPERLINK("https://lindat.mff.cuni.cz/services/teitok/pdtc10/index.php?action=vallex&amp;frame=v-w9214f2", "zatékat (v-w9214f2)")</f>
        <v>zatékat (v-w9214f2)</v>
      </c>
    </row>
    <row r="67318" spans="1:4" x14ac:dyDescent="0.2">
      <c r="B67318" t="s">
        <v>5</v>
      </c>
    </row>
    <row r="67320" spans="1:4" x14ac:dyDescent="0.2">
      <c r="A67320" t="s">
        <v>20902</v>
      </c>
      <c r="B67320" t="str">
        <f>HYPERLINK("https://lindat.mff.cuni.cz/services/teitok/pdtc10/index.php?action=vallex&amp;frame=v-w9214f3", "zatékat (v-w9214f3)")</f>
        <v>zatékat (v-w9214f3)</v>
      </c>
    </row>
    <row r="67321" spans="1:4" x14ac:dyDescent="0.2">
      <c r="B67321" t="s">
        <v>90</v>
      </c>
    </row>
    <row r="67323" spans="1:4" x14ac:dyDescent="0.2">
      <c r="A67323" t="s">
        <v>20903</v>
      </c>
      <c r="B67323" t="str">
        <f>HYPERLINK("https://lindat.mff.cuni.cz/services/teitok/pdtc10/index.php?action=vallex&amp;frame=v-w9227f1", "zatížit (v-w9227f1)")</f>
        <v>zatížit (v-w9227f1)</v>
      </c>
    </row>
    <row r="67324" spans="1:4" x14ac:dyDescent="0.2">
      <c r="B67324" t="s">
        <v>2969</v>
      </c>
      <c r="C67324" t="s">
        <v>20904</v>
      </c>
      <c r="D67324" t="s">
        <v>23156</v>
      </c>
    </row>
    <row r="67325" spans="1:4" x14ac:dyDescent="0.2">
      <c r="B67325" t="s">
        <v>8</v>
      </c>
      <c r="C67325" t="s">
        <v>20905</v>
      </c>
      <c r="D67325" t="s">
        <v>23157</v>
      </c>
    </row>
    <row r="67327" spans="1:4" x14ac:dyDescent="0.2">
      <c r="A67327" t="s">
        <v>20906</v>
      </c>
      <c r="B67327" t="str">
        <f>HYPERLINK("https://lindat.mff.cuni.cz/services/teitok/pdtc10/index.php?action=vallex&amp;frame=v-w9243f1", "zatýkat (v-w9243f1)")</f>
        <v>zatýkat (v-w9243f1)</v>
      </c>
    </row>
    <row r="67328" spans="1:4" x14ac:dyDescent="0.2">
      <c r="B67328" t="s">
        <v>1</v>
      </c>
    </row>
    <row r="67329" spans="1:3" x14ac:dyDescent="0.2">
      <c r="B67329" t="s">
        <v>8</v>
      </c>
    </row>
    <row r="67331" spans="1:3" x14ac:dyDescent="0.2">
      <c r="A67331" t="s">
        <v>20907</v>
      </c>
      <c r="B67331" t="str">
        <f>HYPERLINK("https://lindat.mff.cuni.cz/services/teitok/pdtc10/index.php?action=vallex&amp;frame=v-whsa_1282hsa_1283", "zatěsnit (v-whsa_1282hsa_1283)")</f>
        <v>zatěsnit (v-whsa_1282hsa_1283)</v>
      </c>
    </row>
    <row r="67332" spans="1:3" x14ac:dyDescent="0.2">
      <c r="B67332" t="s">
        <v>1</v>
      </c>
    </row>
    <row r="67333" spans="1:3" x14ac:dyDescent="0.2">
      <c r="B67333" t="s">
        <v>8</v>
      </c>
    </row>
    <row r="67335" spans="1:3" x14ac:dyDescent="0.2">
      <c r="A67335" t="s">
        <v>20908</v>
      </c>
      <c r="B67335" t="str">
        <f>HYPERLINK("https://lindat.mff.cuni.cz/services/teitok/pdtc10/index.php?action=vallex&amp;frame=v-w9223f1", "zatěžovat (v-w9223f1)")</f>
        <v>zatěžovat (v-w9223f1)</v>
      </c>
    </row>
    <row r="67336" spans="1:3" x14ac:dyDescent="0.2">
      <c r="B67336" t="s">
        <v>1</v>
      </c>
      <c r="C67336" t="s">
        <v>2571</v>
      </c>
    </row>
    <row r="67337" spans="1:3" x14ac:dyDescent="0.2">
      <c r="B67337" t="s">
        <v>8</v>
      </c>
      <c r="C67337" t="s">
        <v>20909</v>
      </c>
    </row>
    <row r="67339" spans="1:3" x14ac:dyDescent="0.2">
      <c r="A67339" t="s">
        <v>20910</v>
      </c>
      <c r="B67339" t="str">
        <f>HYPERLINK("https://lindat.mff.cuni.cz/services/teitok/pdtc10/index.php?action=vallex&amp;frame=v-w9223f2_ZU", "zatěžovat (v-w9223f2_ZU)")</f>
        <v>zatěžovat (v-w9223f2_ZU)</v>
      </c>
    </row>
    <row r="67340" spans="1:3" x14ac:dyDescent="0.2">
      <c r="B67340" t="s">
        <v>1</v>
      </c>
      <c r="C67340" t="s">
        <v>20911</v>
      </c>
    </row>
    <row r="67341" spans="1:3" x14ac:dyDescent="0.2">
      <c r="B67341" t="s">
        <v>8</v>
      </c>
      <c r="C67341" t="s">
        <v>991</v>
      </c>
    </row>
    <row r="67343" spans="1:3" x14ac:dyDescent="0.2">
      <c r="A67343" t="s">
        <v>20912</v>
      </c>
      <c r="B67343" t="str">
        <f>HYPERLINK("https://lindat.mff.cuni.cz/services/teitok/pdtc10/index.php?action=vallex&amp;frame=v-whsa_1269f1_ZU", "zatřepat (v-whsa_1269f1_ZU)")</f>
        <v>zatřepat (v-whsa_1269f1_ZU)</v>
      </c>
    </row>
    <row r="67344" spans="1:3" x14ac:dyDescent="0.2">
      <c r="B67344" t="s">
        <v>1</v>
      </c>
    </row>
    <row r="67345" spans="1:2" x14ac:dyDescent="0.2">
      <c r="B67345" t="s">
        <v>411</v>
      </c>
    </row>
    <row r="67347" spans="1:2" x14ac:dyDescent="0.2">
      <c r="A67347" t="s">
        <v>20913</v>
      </c>
      <c r="B67347" t="str">
        <f>HYPERLINK("https://lindat.mff.cuni.cz/services/teitok/pdtc10/index.php?action=vallex&amp;frame=v-whsa_1269f2_MM", "zatřepat (v-whsa_1269f2_MM)")</f>
        <v>zatřepat (v-whsa_1269f2_MM)</v>
      </c>
    </row>
    <row r="67348" spans="1:2" x14ac:dyDescent="0.2">
      <c r="B67348" t="s">
        <v>1</v>
      </c>
    </row>
    <row r="67349" spans="1:2" x14ac:dyDescent="0.2">
      <c r="B67349" t="s">
        <v>411</v>
      </c>
    </row>
    <row r="67351" spans="1:2" x14ac:dyDescent="0.2">
      <c r="A67351" t="s">
        <v>20914</v>
      </c>
      <c r="B67351" t="str">
        <f>HYPERLINK("https://lindat.mff.cuni.cz/services/teitok/pdtc10/index.php?action=vallex&amp;frame=v-whsb_1269hsa_1270", "zatřepat (v-whsb_1269hsa_1270)")</f>
        <v>zatřepat (v-whsb_1269hsa_1270)</v>
      </c>
    </row>
    <row r="67352" spans="1:2" x14ac:dyDescent="0.2">
      <c r="B67352" t="s">
        <v>1</v>
      </c>
    </row>
    <row r="67353" spans="1:2" x14ac:dyDescent="0.2">
      <c r="B67353" t="s">
        <v>411</v>
      </c>
    </row>
    <row r="67355" spans="1:2" x14ac:dyDescent="0.2">
      <c r="A67355" t="s">
        <v>20915</v>
      </c>
      <c r="B67355" t="str">
        <f>HYPERLINK("https://lindat.mff.cuni.cz/services/teitok/pdtc10/index.php?action=vallex&amp;frame=v-w9238f1", "zatřepat se (v-w9238f1)")</f>
        <v>zatřepat se (v-w9238f1)</v>
      </c>
    </row>
    <row r="67356" spans="1:2" x14ac:dyDescent="0.2">
      <c r="B67356" t="s">
        <v>1</v>
      </c>
    </row>
    <row r="67358" spans="1:2" x14ac:dyDescent="0.2">
      <c r="A67358" t="s">
        <v>20916</v>
      </c>
      <c r="B67358" t="str">
        <f>HYPERLINK("https://lindat.mff.cuni.cz/services/teitok/pdtc10/index.php?action=vallex&amp;frame=v-w9238f2_ZU", "zatřepat se (v-w9238f2_ZU)")</f>
        <v>zatřepat se (v-w9238f2_ZU)</v>
      </c>
    </row>
    <row r="67359" spans="1:2" x14ac:dyDescent="0.2">
      <c r="B67359" t="s">
        <v>1</v>
      </c>
    </row>
    <row r="67361" spans="1:3" x14ac:dyDescent="0.2">
      <c r="A67361" t="s">
        <v>20917</v>
      </c>
      <c r="B67361" t="str">
        <f>HYPERLINK("https://lindat.mff.cuni.cz/services/teitok/pdtc10/index.php?action=vallex&amp;frame=v-w9237f2", "zatřást (v-w9237f2)")</f>
        <v>zatřást (v-w9237f2)</v>
      </c>
    </row>
    <row r="67362" spans="1:3" x14ac:dyDescent="0.2">
      <c r="B67362" t="s">
        <v>1</v>
      </c>
      <c r="C67362" t="s">
        <v>3583</v>
      </c>
    </row>
    <row r="67363" spans="1:3" x14ac:dyDescent="0.2">
      <c r="B67363" t="s">
        <v>3215</v>
      </c>
      <c r="C67363" t="s">
        <v>969</v>
      </c>
    </row>
    <row r="67365" spans="1:3" x14ac:dyDescent="0.2">
      <c r="A67365" t="s">
        <v>20918</v>
      </c>
      <c r="B67365" t="str">
        <f>HYPERLINK("https://lindat.mff.cuni.cz/services/teitok/pdtc10/index.php?action=vallex&amp;frame=v-w9237hsa_42", "zatřást (v-w9237hsa_42)")</f>
        <v>zatřást (v-w9237hsa_42)</v>
      </c>
    </row>
    <row r="67366" spans="1:3" x14ac:dyDescent="0.2">
      <c r="B67366" t="s">
        <v>1</v>
      </c>
    </row>
    <row r="67367" spans="1:3" x14ac:dyDescent="0.2">
      <c r="B67367" t="s">
        <v>3215</v>
      </c>
    </row>
    <row r="67369" spans="1:3" x14ac:dyDescent="0.2">
      <c r="A67369" t="s">
        <v>20918</v>
      </c>
      <c r="B67369" t="str">
        <f>HYPERLINK("https://lindat.mff.cuni.cz/services/teitok/pdtc10/index.php?action=vallex&amp;frame=v-w9237f1", "zatřást (v-w9237f1) - substituted with v-w9237hsa_42")</f>
        <v>zatřást (v-w9237f1) - substituted with v-w9237hsa_42</v>
      </c>
    </row>
    <row r="67370" spans="1:3" x14ac:dyDescent="0.2">
      <c r="B67370" t="s">
        <v>1</v>
      </c>
    </row>
    <row r="67371" spans="1:3" x14ac:dyDescent="0.2">
      <c r="B67371" t="s">
        <v>3215</v>
      </c>
    </row>
    <row r="67373" spans="1:3" x14ac:dyDescent="0.2">
      <c r="A67373" t="s">
        <v>20918</v>
      </c>
      <c r="B67373" t="str">
        <f>HYPERLINK("https://lindat.mff.cuni.cz/services/teitok/pdtc10/index.php?action=vallex&amp;frame=v-w9237f3", "zatřást (v-w9237f3) - substituted with v-w9237hsa_42")</f>
        <v>zatřást (v-w9237f3) - substituted with v-w9237hsa_42</v>
      </c>
    </row>
    <row r="67374" spans="1:3" x14ac:dyDescent="0.2">
      <c r="B67374" t="s">
        <v>1</v>
      </c>
    </row>
    <row r="67375" spans="1:3" x14ac:dyDescent="0.2">
      <c r="B67375" t="s">
        <v>3215</v>
      </c>
    </row>
    <row r="67377" spans="1:3" x14ac:dyDescent="0.2">
      <c r="A67377" t="s">
        <v>20919</v>
      </c>
      <c r="B67377" t="str">
        <f>HYPERLINK("https://lindat.mff.cuni.cz/services/teitok/pdtc10/index.php?action=vallex&amp;frame=v-whsa_317f1_ZU", "zatřást se (v-whsa_317f1_ZU)")</f>
        <v>zatřást se (v-whsa_317f1_ZU)</v>
      </c>
    </row>
    <row r="67378" spans="1:3" x14ac:dyDescent="0.2">
      <c r="B67378" t="s">
        <v>1</v>
      </c>
    </row>
    <row r="67380" spans="1:3" x14ac:dyDescent="0.2">
      <c r="A67380" t="s">
        <v>20919</v>
      </c>
      <c r="B67380" t="str">
        <f>HYPERLINK("https://lindat.mff.cuni.cz/services/teitok/pdtc10/index.php?action=vallex&amp;frame=v-whsa_317hsa_318", "zatřást se (v-whsa_317hsa_318) - substituted with v-whsa_317f1_ZU")</f>
        <v>zatřást se (v-whsa_317hsa_318) - substituted with v-whsa_317f1_ZU</v>
      </c>
    </row>
    <row r="67381" spans="1:3" x14ac:dyDescent="0.2">
      <c r="B67381" t="s">
        <v>1</v>
      </c>
    </row>
    <row r="67383" spans="1:3" x14ac:dyDescent="0.2">
      <c r="A67383" t="s">
        <v>20920</v>
      </c>
      <c r="B67383" t="str">
        <f>HYPERLINK("https://lindat.mff.cuni.cz/services/teitok/pdtc10/index.php?action=vallex&amp;frame=v-whsa_317f2_ZU", "zatřást se (v-whsa_317f2_ZU)")</f>
        <v>zatřást se (v-whsa_317f2_ZU)</v>
      </c>
    </row>
    <row r="67384" spans="1:3" x14ac:dyDescent="0.2">
      <c r="B67384" t="s">
        <v>1</v>
      </c>
    </row>
    <row r="67386" spans="1:3" x14ac:dyDescent="0.2">
      <c r="A67386" t="s">
        <v>20921</v>
      </c>
      <c r="B67386" t="str">
        <f>HYPERLINK("https://lindat.mff.cuni.cz/services/teitok/pdtc10/index.php?action=vallex&amp;frame=v-w9247f8_ZU", "zaujmout (v-w9247f8_ZU)")</f>
        <v>zaujmout (v-w9247f8_ZU)</v>
      </c>
    </row>
    <row r="67387" spans="1:3" x14ac:dyDescent="0.2">
      <c r="B67387" t="s">
        <v>20922</v>
      </c>
    </row>
    <row r="67388" spans="1:3" x14ac:dyDescent="0.2">
      <c r="B67388" t="s">
        <v>8</v>
      </c>
    </row>
    <row r="67390" spans="1:3" x14ac:dyDescent="0.2">
      <c r="A67390" t="s">
        <v>20921</v>
      </c>
      <c r="B67390" t="str">
        <f>HYPERLINK("https://lindat.mff.cuni.cz/services/teitok/pdtc10/index.php?action=vallex&amp;frame=v-w9247f1", "zaujmout (v-w9247f1) - substituted with v-w9247f8_ZU")</f>
        <v>zaujmout (v-w9247f1) - substituted with v-w9247f8_ZU</v>
      </c>
    </row>
    <row r="67391" spans="1:3" x14ac:dyDescent="0.2">
      <c r="B67391" t="s">
        <v>20922</v>
      </c>
      <c r="C67391" t="s">
        <v>20923</v>
      </c>
    </row>
    <row r="67392" spans="1:3" x14ac:dyDescent="0.2">
      <c r="B67392" t="s">
        <v>8</v>
      </c>
      <c r="C67392" t="s">
        <v>20924</v>
      </c>
    </row>
    <row r="67394" spans="1:4" x14ac:dyDescent="0.2">
      <c r="A67394" t="s">
        <v>20921</v>
      </c>
      <c r="B67394" t="str">
        <f>HYPERLINK("https://lindat.mff.cuni.cz/services/teitok/pdtc10/index.php?action=vallex&amp;frame=v-w9247f7_ZU", "zaujmout (v-w9247f7_ZU) - substituted with v-w9247f8_ZU")</f>
        <v>zaujmout (v-w9247f7_ZU) - substituted with v-w9247f8_ZU</v>
      </c>
    </row>
    <row r="67395" spans="1:4" x14ac:dyDescent="0.2">
      <c r="B67395" t="s">
        <v>20922</v>
      </c>
      <c r="C67395" t="s">
        <v>4195</v>
      </c>
      <c r="D67395" t="s">
        <v>23742</v>
      </c>
    </row>
    <row r="67396" spans="1:4" x14ac:dyDescent="0.2">
      <c r="B67396" t="s">
        <v>8</v>
      </c>
      <c r="D67396" t="s">
        <v>56</v>
      </c>
    </row>
    <row r="67398" spans="1:4" x14ac:dyDescent="0.2">
      <c r="A67398" t="s">
        <v>20925</v>
      </c>
      <c r="B67398" t="str">
        <f>HYPERLINK("https://lindat.mff.cuni.cz/services/teitok/pdtc10/index.php?action=vallex&amp;frame=v-w9247f3", "zaujmout (v-w9247f3)")</f>
        <v>zaujmout (v-w9247f3)</v>
      </c>
    </row>
    <row r="67399" spans="1:4" x14ac:dyDescent="0.2">
      <c r="B67399" t="s">
        <v>1</v>
      </c>
      <c r="C67399" t="s">
        <v>1524</v>
      </c>
      <c r="D67399" t="s">
        <v>294</v>
      </c>
    </row>
    <row r="67400" spans="1:4" x14ac:dyDescent="0.2">
      <c r="B67400" t="s">
        <v>8</v>
      </c>
      <c r="C67400" t="s">
        <v>1078</v>
      </c>
      <c r="D67400" t="s">
        <v>6566</v>
      </c>
    </row>
    <row r="67402" spans="1:4" x14ac:dyDescent="0.2">
      <c r="A67402" t="s">
        <v>20926</v>
      </c>
      <c r="B67402" t="str">
        <f>HYPERLINK("https://lindat.mff.cuni.cz/services/teitok/pdtc10/index.php?action=vallex&amp;frame=v-w9247f5_ZU", "zaujmout (v-w9247f5_ZU)")</f>
        <v>zaujmout (v-w9247f5_ZU)</v>
      </c>
    </row>
    <row r="67403" spans="1:4" x14ac:dyDescent="0.2">
      <c r="B67403" t="s">
        <v>1</v>
      </c>
      <c r="C67403" t="s">
        <v>7589</v>
      </c>
      <c r="D67403" t="s">
        <v>294</v>
      </c>
    </row>
    <row r="67404" spans="1:4" x14ac:dyDescent="0.2">
      <c r="B67404" t="s">
        <v>8</v>
      </c>
      <c r="C67404" t="s">
        <v>7725</v>
      </c>
      <c r="D67404" t="s">
        <v>6566</v>
      </c>
    </row>
    <row r="67406" spans="1:4" x14ac:dyDescent="0.2">
      <c r="A67406" t="s">
        <v>20927</v>
      </c>
      <c r="B67406" t="str">
        <f>HYPERLINK("https://lindat.mff.cuni.cz/services/teitok/pdtc10/index.php?action=vallex&amp;frame=v-w9247f6_ZU", "zaujmout (v-w9247f6_ZU)")</f>
        <v>zaujmout (v-w9247f6_ZU)</v>
      </c>
    </row>
    <row r="67407" spans="1:4" x14ac:dyDescent="0.2">
      <c r="B67407" t="s">
        <v>1</v>
      </c>
      <c r="C67407" t="s">
        <v>20928</v>
      </c>
    </row>
    <row r="67408" spans="1:4" x14ac:dyDescent="0.2">
      <c r="B67408" t="s">
        <v>20929</v>
      </c>
      <c r="C67408" t="s">
        <v>20930</v>
      </c>
    </row>
    <row r="67410" spans="1:4" x14ac:dyDescent="0.2">
      <c r="A67410" t="s">
        <v>20927</v>
      </c>
      <c r="B67410" t="str">
        <f>HYPERLINK("https://lindat.mff.cuni.cz/services/teitok/pdtc10/index.php?action=vallex&amp;frame=v-w9247f2", "zaujmout (v-w9247f2) - substituted with v-w9247f6_ZU")</f>
        <v>zaujmout (v-w9247f2) - substituted with v-w9247f6_ZU</v>
      </c>
    </row>
    <row r="67411" spans="1:4" x14ac:dyDescent="0.2">
      <c r="B67411" t="s">
        <v>1</v>
      </c>
      <c r="C67411" t="s">
        <v>20931</v>
      </c>
    </row>
    <row r="67412" spans="1:4" x14ac:dyDescent="0.2">
      <c r="B67412" t="s">
        <v>20929</v>
      </c>
      <c r="C67412" t="s">
        <v>20932</v>
      </c>
    </row>
    <row r="67414" spans="1:4" x14ac:dyDescent="0.2">
      <c r="A67414" t="s">
        <v>20927</v>
      </c>
      <c r="B67414" t="str">
        <f>HYPERLINK("https://lindat.mff.cuni.cz/services/teitok/pdtc10/index.php?action=vallex&amp;frame=v-w9247f4_ZU", "zaujmout (v-w9247f4_ZU) - substituted with v-w9247f6_ZU")</f>
        <v>zaujmout (v-w9247f4_ZU) - substituted with v-w9247f6_ZU</v>
      </c>
    </row>
    <row r="67415" spans="1:4" x14ac:dyDescent="0.2">
      <c r="B67415" t="s">
        <v>1</v>
      </c>
      <c r="C67415" t="s">
        <v>2717</v>
      </c>
    </row>
    <row r="67416" spans="1:4" x14ac:dyDescent="0.2">
      <c r="B67416" t="s">
        <v>20929</v>
      </c>
      <c r="C67416" t="s">
        <v>12673</v>
      </c>
    </row>
    <row r="67418" spans="1:4" x14ac:dyDescent="0.2">
      <c r="A67418" t="s">
        <v>20927</v>
      </c>
      <c r="B67418" t="str">
        <f>HYPERLINK("https://lindat.mff.cuni.cz/services/teitok/pdtc10/index.php?action=vallex&amp;frame=v-w9247hsa_1003", "zaujmout (v-w9247hsa_1003) - substituted with v-w9247f6_ZU")</f>
        <v>zaujmout (v-w9247hsa_1003) - substituted with v-w9247f6_ZU</v>
      </c>
    </row>
    <row r="67419" spans="1:4" x14ac:dyDescent="0.2">
      <c r="B67419" t="s">
        <v>1</v>
      </c>
    </row>
    <row r="67420" spans="1:4" x14ac:dyDescent="0.2">
      <c r="B67420" t="s">
        <v>20929</v>
      </c>
    </row>
    <row r="67422" spans="1:4" x14ac:dyDescent="0.2">
      <c r="A67422" t="s">
        <v>20933</v>
      </c>
      <c r="B67422" t="str">
        <f>HYPERLINK("https://lindat.mff.cuni.cz/services/teitok/pdtc10/index.php?action=vallex&amp;frame=v-w9246f4", "zaujímat (v-w9246f4)")</f>
        <v>zaujímat (v-w9246f4)</v>
      </c>
    </row>
    <row r="67423" spans="1:4" x14ac:dyDescent="0.2">
      <c r="B67423" t="s">
        <v>604</v>
      </c>
      <c r="D67423" t="s">
        <v>23742</v>
      </c>
    </row>
    <row r="67424" spans="1:4" x14ac:dyDescent="0.2">
      <c r="B67424" t="s">
        <v>8</v>
      </c>
      <c r="D67424" t="s">
        <v>56</v>
      </c>
    </row>
    <row r="67426" spans="1:4" x14ac:dyDescent="0.2">
      <c r="A67426" t="s">
        <v>20934</v>
      </c>
      <c r="B67426" t="str">
        <f>HYPERLINK("https://lindat.mff.cuni.cz/services/teitok/pdtc10/index.php?action=vallex&amp;frame=v-w9246f1", "zaujímat (v-w9246f1)")</f>
        <v>zaujímat (v-w9246f1)</v>
      </c>
    </row>
    <row r="67427" spans="1:4" x14ac:dyDescent="0.2">
      <c r="B67427" t="s">
        <v>1</v>
      </c>
      <c r="D67427" t="s">
        <v>294</v>
      </c>
    </row>
    <row r="67428" spans="1:4" x14ac:dyDescent="0.2">
      <c r="B67428" t="s">
        <v>8</v>
      </c>
      <c r="D67428" t="s">
        <v>6566</v>
      </c>
    </row>
    <row r="67430" spans="1:4" x14ac:dyDescent="0.2">
      <c r="A67430" t="s">
        <v>20935</v>
      </c>
      <c r="B67430" t="str">
        <f>HYPERLINK("https://lindat.mff.cuni.cz/services/teitok/pdtc10/index.php?action=vallex&amp;frame=v-w9246f3", "zaujímat (v-w9246f3)")</f>
        <v>zaujímat (v-w9246f3)</v>
      </c>
    </row>
    <row r="67431" spans="1:4" x14ac:dyDescent="0.2">
      <c r="B67431" t="s">
        <v>1</v>
      </c>
      <c r="C67431" t="s">
        <v>20936</v>
      </c>
    </row>
    <row r="67432" spans="1:4" x14ac:dyDescent="0.2">
      <c r="B67432" t="s">
        <v>8</v>
      </c>
      <c r="C67432" t="s">
        <v>20937</v>
      </c>
    </row>
    <row r="67434" spans="1:4" x14ac:dyDescent="0.2">
      <c r="A67434" t="s">
        <v>20938</v>
      </c>
      <c r="B67434" t="str">
        <f>HYPERLINK("https://lindat.mff.cuni.cz/services/teitok/pdtc10/index.php?action=vallex&amp;frame=v-w9246f2", "zaujímat (v-w9246f2)")</f>
        <v>zaujímat (v-w9246f2)</v>
      </c>
    </row>
    <row r="67435" spans="1:4" x14ac:dyDescent="0.2">
      <c r="B67435" t="s">
        <v>1</v>
      </c>
      <c r="C67435" t="s">
        <v>20939</v>
      </c>
    </row>
    <row r="67436" spans="1:4" x14ac:dyDescent="0.2">
      <c r="B67436" t="s">
        <v>20940</v>
      </c>
      <c r="C67436" t="s">
        <v>20941</v>
      </c>
    </row>
    <row r="67438" spans="1:4" x14ac:dyDescent="0.2">
      <c r="A67438" t="s">
        <v>20942</v>
      </c>
      <c r="B67438" t="str">
        <f>HYPERLINK("https://lindat.mff.cuni.cz/services/teitok/pdtc10/index.php?action=vallex&amp;frame=v-w9249f1", "zauzlovat (v-w9249f1)")</f>
        <v>zauzlovat (v-w9249f1)</v>
      </c>
    </row>
    <row r="67439" spans="1:4" x14ac:dyDescent="0.2">
      <c r="B67439" t="s">
        <v>1</v>
      </c>
    </row>
    <row r="67440" spans="1:4" x14ac:dyDescent="0.2">
      <c r="B67440" t="s">
        <v>8</v>
      </c>
    </row>
    <row r="67442" spans="1:2" x14ac:dyDescent="0.2">
      <c r="A67442" t="s">
        <v>20943</v>
      </c>
      <c r="B67442" t="str">
        <f>HYPERLINK("https://lindat.mff.cuni.cz/services/teitok/pdtc10/index.php?action=vallex&amp;frame=v-w9249f2", "zauzlovat (v-w9249f2)")</f>
        <v>zauzlovat (v-w9249f2)</v>
      </c>
    </row>
    <row r="67443" spans="1:2" x14ac:dyDescent="0.2">
      <c r="B67443" t="s">
        <v>1</v>
      </c>
    </row>
    <row r="67444" spans="1:2" x14ac:dyDescent="0.2">
      <c r="B67444" t="s">
        <v>8</v>
      </c>
    </row>
    <row r="67446" spans="1:2" x14ac:dyDescent="0.2">
      <c r="A67446" t="s">
        <v>20944</v>
      </c>
      <c r="B67446" t="str">
        <f>HYPERLINK("https://lindat.mff.cuni.cz/services/teitok/pdtc10/index.php?action=vallex&amp;frame=v-whsa_1604f1_ZU", "zaučit (v-whsa_1604f1_ZU)")</f>
        <v>zaučit (v-whsa_1604f1_ZU)</v>
      </c>
    </row>
    <row r="67447" spans="1:2" x14ac:dyDescent="0.2">
      <c r="B67447" t="s">
        <v>1</v>
      </c>
    </row>
    <row r="67448" spans="1:2" x14ac:dyDescent="0.2">
      <c r="B67448" t="s">
        <v>58</v>
      </c>
    </row>
    <row r="67449" spans="1:2" x14ac:dyDescent="0.2">
      <c r="B67449" t="s">
        <v>20547</v>
      </c>
    </row>
    <row r="67451" spans="1:2" x14ac:dyDescent="0.2">
      <c r="A67451" t="s">
        <v>20944</v>
      </c>
      <c r="B67451" t="str">
        <f>HYPERLINK("https://lindat.mff.cuni.cz/services/teitok/pdtc10/index.php?action=vallex&amp;frame=v-whsa_1604hsa_1605", "zaučit (v-whsa_1604hsa_1605) - substituted with v-whsa_1604f1_ZU")</f>
        <v>zaučit (v-whsa_1604hsa_1605) - substituted with v-whsa_1604f1_ZU</v>
      </c>
    </row>
    <row r="67452" spans="1:2" x14ac:dyDescent="0.2">
      <c r="B67452" t="s">
        <v>1</v>
      </c>
    </row>
    <row r="67453" spans="1:2" x14ac:dyDescent="0.2">
      <c r="B67453" t="s">
        <v>58</v>
      </c>
    </row>
    <row r="67454" spans="1:2" x14ac:dyDescent="0.2">
      <c r="B67454" t="s">
        <v>20547</v>
      </c>
    </row>
    <row r="67456" spans="1:2" x14ac:dyDescent="0.2">
      <c r="A67456" t="s">
        <v>20945</v>
      </c>
      <c r="B67456" t="str">
        <f>HYPERLINK("https://lindat.mff.cuni.cz/services/teitok/pdtc10/index.php?action=vallex&amp;frame=v-whsa_1633hsa_1634", "zaučit se (v-whsa_1633hsa_1634)")</f>
        <v>zaučit se (v-whsa_1633hsa_1634)</v>
      </c>
    </row>
    <row r="67457" spans="1:2" x14ac:dyDescent="0.2">
      <c r="B67457" t="s">
        <v>1</v>
      </c>
    </row>
    <row r="67458" spans="1:2" x14ac:dyDescent="0.2">
      <c r="B67458" t="s">
        <v>20946</v>
      </c>
    </row>
    <row r="67460" spans="1:2" x14ac:dyDescent="0.2">
      <c r="A67460" t="s">
        <v>20947</v>
      </c>
      <c r="B67460" t="str">
        <f>HYPERLINK("https://lindat.mff.cuni.cz/services/teitok/pdtc10/index.php?action=vallex&amp;frame=v-whsa_1765f2_ZU", "zaučovat (v-whsa_1765f2_ZU)")</f>
        <v>zaučovat (v-whsa_1765f2_ZU)</v>
      </c>
    </row>
    <row r="67461" spans="1:2" x14ac:dyDescent="0.2">
      <c r="B67461" t="s">
        <v>1</v>
      </c>
    </row>
    <row r="67462" spans="1:2" x14ac:dyDescent="0.2">
      <c r="B67462" t="s">
        <v>58</v>
      </c>
    </row>
    <row r="67463" spans="1:2" x14ac:dyDescent="0.2">
      <c r="B67463" t="s">
        <v>20948</v>
      </c>
    </row>
    <row r="67465" spans="1:2" x14ac:dyDescent="0.2">
      <c r="A67465" t="s">
        <v>20947</v>
      </c>
      <c r="B67465" t="str">
        <f>HYPERLINK("https://lindat.mff.cuni.cz/services/teitok/pdtc10/index.php?action=vallex&amp;frame=v-whsa_1765f1_ZU", "zaučovat (v-whsa_1765f1_ZU) - substituted with v-whsa_1765f2_ZU")</f>
        <v>zaučovat (v-whsa_1765f1_ZU) - substituted with v-whsa_1765f2_ZU</v>
      </c>
    </row>
    <row r="67466" spans="1:2" x14ac:dyDescent="0.2">
      <c r="B67466" t="s">
        <v>1</v>
      </c>
    </row>
    <row r="67467" spans="1:2" x14ac:dyDescent="0.2">
      <c r="B67467" t="s">
        <v>58</v>
      </c>
    </row>
    <row r="67468" spans="1:2" x14ac:dyDescent="0.2">
      <c r="B67468" t="s">
        <v>20948</v>
      </c>
    </row>
    <row r="67470" spans="1:2" x14ac:dyDescent="0.2">
      <c r="A67470" t="s">
        <v>20947</v>
      </c>
      <c r="B67470" t="str">
        <f>HYPERLINK("https://lindat.mff.cuni.cz/services/teitok/pdtc10/index.php?action=vallex&amp;frame=v-whsa_1765hsa_1766", "zaučovat (v-whsa_1765hsa_1766) - substituted with v-whsa_1765f2_ZU")</f>
        <v>zaučovat (v-whsa_1765hsa_1766) - substituted with v-whsa_1765f2_ZU</v>
      </c>
    </row>
    <row r="67471" spans="1:2" x14ac:dyDescent="0.2">
      <c r="B67471" t="s">
        <v>1</v>
      </c>
    </row>
    <row r="67472" spans="1:2" x14ac:dyDescent="0.2">
      <c r="B67472" t="s">
        <v>58</v>
      </c>
    </row>
    <row r="67473" spans="1:4" x14ac:dyDescent="0.2">
      <c r="B67473" t="s">
        <v>20948</v>
      </c>
    </row>
    <row r="67475" spans="1:4" x14ac:dyDescent="0.2">
      <c r="A67475" t="s">
        <v>20949</v>
      </c>
      <c r="B67475" t="str">
        <f>HYPERLINK("https://lindat.mff.cuni.cz/services/teitok/pdtc10/index.php?action=vallex&amp;frame=v-w12337_MMf1_MM", "zaučovat se (v-w12337_MMf1_MM)")</f>
        <v>zaučovat se (v-w12337_MMf1_MM)</v>
      </c>
    </row>
    <row r="67476" spans="1:4" x14ac:dyDescent="0.2">
      <c r="B67476" t="s">
        <v>1</v>
      </c>
    </row>
    <row r="67477" spans="1:4" x14ac:dyDescent="0.2">
      <c r="B67477" t="s">
        <v>20946</v>
      </c>
    </row>
    <row r="67479" spans="1:4" x14ac:dyDescent="0.2">
      <c r="A67479" t="s">
        <v>20950</v>
      </c>
      <c r="B67479" t="str">
        <f>HYPERLINK("https://lindat.mff.cuni.cz/services/teitok/pdtc10/index.php?action=vallex&amp;frame=v-w9252f1", "zavadit (v-w9252f1)")</f>
        <v>zavadit (v-w9252f1)</v>
      </c>
    </row>
    <row r="67480" spans="1:4" x14ac:dyDescent="0.2">
      <c r="B67480" t="s">
        <v>1</v>
      </c>
    </row>
    <row r="67481" spans="1:4" x14ac:dyDescent="0.2">
      <c r="B67481" t="s">
        <v>467</v>
      </c>
    </row>
    <row r="67483" spans="1:4" x14ac:dyDescent="0.2">
      <c r="A67483" t="s">
        <v>20951</v>
      </c>
      <c r="B67483" t="str">
        <f>HYPERLINK("https://lindat.mff.cuni.cz/services/teitok/pdtc10/index.php?action=vallex&amp;frame=v-w9256f1", "zavalit (v-w9256f1)")</f>
        <v>zavalit (v-w9256f1)</v>
      </c>
    </row>
    <row r="67484" spans="1:4" x14ac:dyDescent="0.2">
      <c r="B67484" t="s">
        <v>1</v>
      </c>
      <c r="C67484" t="s">
        <v>20952</v>
      </c>
      <c r="D67484" t="s">
        <v>24507</v>
      </c>
    </row>
    <row r="67485" spans="1:4" x14ac:dyDescent="0.2">
      <c r="B67485" t="s">
        <v>8</v>
      </c>
      <c r="C67485" t="s">
        <v>8049</v>
      </c>
      <c r="D67485" t="s">
        <v>24508</v>
      </c>
    </row>
    <row r="67487" spans="1:4" x14ac:dyDescent="0.2">
      <c r="A67487" t="s">
        <v>20953</v>
      </c>
      <c r="B67487" t="str">
        <f>HYPERLINK("https://lindat.mff.cuni.cz/services/teitok/pdtc10/index.php?action=vallex&amp;frame=v-w9256f2", "zavalit (v-w9256f2)")</f>
        <v>zavalit (v-w9256f2)</v>
      </c>
    </row>
    <row r="67488" spans="1:4" x14ac:dyDescent="0.2">
      <c r="B67488" t="s">
        <v>1</v>
      </c>
    </row>
    <row r="67489" spans="1:4" x14ac:dyDescent="0.2">
      <c r="B67489" t="s">
        <v>8</v>
      </c>
    </row>
    <row r="67491" spans="1:4" x14ac:dyDescent="0.2">
      <c r="A67491" t="s">
        <v>20954</v>
      </c>
      <c r="B67491" t="str">
        <f>HYPERLINK("https://lindat.mff.cuni.cz/services/teitok/pdtc10/index.php?action=vallex&amp;frame=v-w9256hsa_1089", "zavalit (v-w9256hsa_1089)")</f>
        <v>zavalit (v-w9256hsa_1089)</v>
      </c>
    </row>
    <row r="67492" spans="1:4" x14ac:dyDescent="0.2">
      <c r="B67492" t="s">
        <v>1</v>
      </c>
    </row>
    <row r="67493" spans="1:4" x14ac:dyDescent="0.2">
      <c r="B67493" t="s">
        <v>8</v>
      </c>
    </row>
    <row r="67495" spans="1:4" x14ac:dyDescent="0.2">
      <c r="A67495" t="s">
        <v>20955</v>
      </c>
      <c r="B67495" t="str">
        <f>HYPERLINK("https://lindat.mff.cuni.cz/services/teitok/pdtc10/index.php?action=vallex&amp;frame=v-w9261f1", "zavazovat (v-w9261f1)")</f>
        <v>zavazovat (v-w9261f1)</v>
      </c>
    </row>
    <row r="67496" spans="1:4" x14ac:dyDescent="0.2">
      <c r="B67496" t="s">
        <v>1</v>
      </c>
      <c r="C67496" t="s">
        <v>20956</v>
      </c>
      <c r="D67496" t="s">
        <v>1992</v>
      </c>
    </row>
    <row r="67497" spans="1:4" x14ac:dyDescent="0.2">
      <c r="B67497" t="s">
        <v>58</v>
      </c>
      <c r="C67497" t="s">
        <v>20957</v>
      </c>
      <c r="D67497" t="s">
        <v>23097</v>
      </c>
    </row>
    <row r="67498" spans="1:4" x14ac:dyDescent="0.2">
      <c r="B67498" t="s">
        <v>19588</v>
      </c>
      <c r="C67498" t="s">
        <v>20958</v>
      </c>
      <c r="D67498" t="s">
        <v>23096</v>
      </c>
    </row>
    <row r="67500" spans="1:4" x14ac:dyDescent="0.2">
      <c r="A67500" t="s">
        <v>20959</v>
      </c>
      <c r="B67500" t="str">
        <f>HYPERLINK("https://lindat.mff.cuni.cz/services/teitok/pdtc10/index.php?action=vallex&amp;frame=v-w9261f2_ZU", "zavazovat (v-w9261f2_ZU)")</f>
        <v>zavazovat (v-w9261f2_ZU)</v>
      </c>
    </row>
    <row r="67501" spans="1:4" x14ac:dyDescent="0.2">
      <c r="B67501" t="s">
        <v>1</v>
      </c>
    </row>
    <row r="67502" spans="1:4" x14ac:dyDescent="0.2">
      <c r="B67502" t="s">
        <v>8</v>
      </c>
    </row>
    <row r="67504" spans="1:4" x14ac:dyDescent="0.2">
      <c r="A67504" t="s">
        <v>20960</v>
      </c>
      <c r="B67504" t="str">
        <f>HYPERLINK("https://lindat.mff.cuni.cz/services/teitok/pdtc10/index.php?action=vallex&amp;frame=v-w9262f1", "zavazovat se (v-w9262f1)")</f>
        <v>zavazovat se (v-w9262f1)</v>
      </c>
    </row>
    <row r="67505" spans="1:4" x14ac:dyDescent="0.2">
      <c r="B67505" t="s">
        <v>1</v>
      </c>
      <c r="C67505" t="s">
        <v>20961</v>
      </c>
      <c r="D67505" t="s">
        <v>24089</v>
      </c>
    </row>
    <row r="67506" spans="1:4" x14ac:dyDescent="0.2">
      <c r="B67506" t="s">
        <v>16197</v>
      </c>
      <c r="C67506" t="s">
        <v>20962</v>
      </c>
      <c r="D67506" t="s">
        <v>24090</v>
      </c>
    </row>
    <row r="67507" spans="1:4" x14ac:dyDescent="0.2">
      <c r="B67507" t="s">
        <v>78</v>
      </c>
      <c r="C67507" t="s">
        <v>20963</v>
      </c>
      <c r="D67507" t="s">
        <v>24091</v>
      </c>
    </row>
    <row r="67509" spans="1:4" x14ac:dyDescent="0.2">
      <c r="A67509" t="s">
        <v>20964</v>
      </c>
      <c r="B67509" t="str">
        <f>HYPERLINK("https://lindat.mff.cuni.cz/services/teitok/pdtc10/index.php?action=vallex&amp;frame=v-whsa_1419f1_ZU", "zavařit (v-whsa_1419f1_ZU)")</f>
        <v>zavařit (v-whsa_1419f1_ZU)</v>
      </c>
    </row>
    <row r="67510" spans="1:4" x14ac:dyDescent="0.2">
      <c r="B67510" t="s">
        <v>1</v>
      </c>
    </row>
    <row r="67511" spans="1:4" x14ac:dyDescent="0.2">
      <c r="B67511" t="s">
        <v>8</v>
      </c>
    </row>
    <row r="67513" spans="1:4" x14ac:dyDescent="0.2">
      <c r="A67513" t="s">
        <v>20964</v>
      </c>
      <c r="B67513" t="str">
        <f>HYPERLINK("https://lindat.mff.cuni.cz/services/teitok/pdtc10/index.php?action=vallex&amp;frame=v-whsa_1419hsa_1420", "zavařit (v-whsa_1419hsa_1420) - substituted with v-whsa_1419f1_ZU")</f>
        <v>zavařit (v-whsa_1419hsa_1420) - substituted with v-whsa_1419f1_ZU</v>
      </c>
    </row>
    <row r="67514" spans="1:4" x14ac:dyDescent="0.2">
      <c r="B67514" t="s">
        <v>1</v>
      </c>
    </row>
    <row r="67515" spans="1:4" x14ac:dyDescent="0.2">
      <c r="B67515" t="s">
        <v>8</v>
      </c>
    </row>
    <row r="67517" spans="1:4" x14ac:dyDescent="0.2">
      <c r="A67517" t="s">
        <v>20965</v>
      </c>
      <c r="B67517" t="str">
        <f>HYPERLINK("https://lindat.mff.cuni.cz/services/teitok/pdtc10/index.php?action=vallex&amp;frame=v-whsa_1570hsa_1571", "zavařovat (v-whsa_1570hsa_1571)")</f>
        <v>zavařovat (v-whsa_1570hsa_1571)</v>
      </c>
    </row>
    <row r="67518" spans="1:4" x14ac:dyDescent="0.2">
      <c r="B67518" t="s">
        <v>1</v>
      </c>
    </row>
    <row r="67519" spans="1:4" x14ac:dyDescent="0.2">
      <c r="B67519" t="s">
        <v>8</v>
      </c>
    </row>
    <row r="67521" spans="1:3" x14ac:dyDescent="0.2">
      <c r="A67521" t="s">
        <v>20966</v>
      </c>
      <c r="B67521" t="str">
        <f>HYPERLINK("https://lindat.mff.cuni.cz/services/teitok/pdtc10/index.php?action=vallex&amp;frame=v-w9265f1", "zavdat (v-w9265f1)")</f>
        <v>zavdat (v-w9265f1)</v>
      </c>
    </row>
    <row r="67522" spans="1:3" x14ac:dyDescent="0.2">
      <c r="B67522" t="s">
        <v>1</v>
      </c>
      <c r="C67522" t="s">
        <v>2530</v>
      </c>
    </row>
    <row r="67523" spans="1:3" x14ac:dyDescent="0.2">
      <c r="B67523" t="s">
        <v>20967</v>
      </c>
      <c r="C67523" t="s">
        <v>2545</v>
      </c>
    </row>
    <row r="67524" spans="1:3" x14ac:dyDescent="0.2">
      <c r="B67524" t="s">
        <v>35</v>
      </c>
      <c r="C67524" t="s">
        <v>2546</v>
      </c>
    </row>
    <row r="67526" spans="1:3" x14ac:dyDescent="0.2">
      <c r="A67526" t="s">
        <v>20968</v>
      </c>
      <c r="B67526" t="str">
        <f>HYPERLINK("https://lindat.mff.cuni.cz/services/teitok/pdtc10/index.php?action=vallex&amp;frame=v-w9266f1", "zavdávat (v-w9266f1)")</f>
        <v>zavdávat (v-w9266f1)</v>
      </c>
    </row>
    <row r="67527" spans="1:3" x14ac:dyDescent="0.2">
      <c r="B67527" t="s">
        <v>1</v>
      </c>
    </row>
    <row r="67528" spans="1:3" x14ac:dyDescent="0.2">
      <c r="B67528" t="s">
        <v>20967</v>
      </c>
    </row>
    <row r="67529" spans="1:3" x14ac:dyDescent="0.2">
      <c r="B67529" t="s">
        <v>35</v>
      </c>
    </row>
    <row r="67531" spans="1:3" x14ac:dyDescent="0.2">
      <c r="A67531" t="s">
        <v>20969</v>
      </c>
      <c r="B67531" t="str">
        <f>HYPERLINK("https://lindat.mff.cuni.cz/services/teitok/pdtc10/index.php?action=vallex&amp;frame=v-w9267f1", "zavděčit se (v-w9267f1)")</f>
        <v>zavděčit se (v-w9267f1)</v>
      </c>
    </row>
    <row r="67532" spans="1:3" x14ac:dyDescent="0.2">
      <c r="B67532" t="s">
        <v>1</v>
      </c>
      <c r="C67532" t="s">
        <v>13402</v>
      </c>
    </row>
    <row r="67533" spans="1:3" x14ac:dyDescent="0.2">
      <c r="B67533" t="s">
        <v>103</v>
      </c>
      <c r="C67533" t="s">
        <v>1190</v>
      </c>
    </row>
    <row r="67535" spans="1:3" x14ac:dyDescent="0.2">
      <c r="A67535" t="s">
        <v>20970</v>
      </c>
      <c r="B67535" t="str">
        <f>HYPERLINK("https://lindat.mff.cuni.cz/services/teitok/pdtc10/index.php?action=vallex&amp;frame=v-w9270f1", "zavelet (v-w9270f1)")</f>
        <v>zavelet (v-w9270f1)</v>
      </c>
    </row>
    <row r="67536" spans="1:3" x14ac:dyDescent="0.2">
      <c r="B67536" t="s">
        <v>1</v>
      </c>
    </row>
    <row r="67537" spans="1:4" x14ac:dyDescent="0.2">
      <c r="B67537" t="s">
        <v>20971</v>
      </c>
    </row>
    <row r="67538" spans="1:4" x14ac:dyDescent="0.2">
      <c r="B67538" t="s">
        <v>35</v>
      </c>
    </row>
    <row r="67540" spans="1:4" x14ac:dyDescent="0.2">
      <c r="A67540" t="s">
        <v>20972</v>
      </c>
      <c r="B67540" t="str">
        <f>HYPERLINK("https://lindat.mff.cuni.cz/services/teitok/pdtc10/index.php?action=vallex&amp;frame=v-w9279f1", "zavinit (v-w9279f1)")</f>
        <v>zavinit (v-w9279f1)</v>
      </c>
    </row>
    <row r="67541" spans="1:4" x14ac:dyDescent="0.2">
      <c r="B67541" t="s">
        <v>1</v>
      </c>
      <c r="C67541" t="s">
        <v>20973</v>
      </c>
      <c r="D67541" t="s">
        <v>23496</v>
      </c>
    </row>
    <row r="67542" spans="1:4" x14ac:dyDescent="0.2">
      <c r="B67542" t="s">
        <v>5970</v>
      </c>
      <c r="C67542" t="s">
        <v>20974</v>
      </c>
      <c r="D67542" t="s">
        <v>23497</v>
      </c>
    </row>
    <row r="67544" spans="1:4" x14ac:dyDescent="0.2">
      <c r="A67544" t="s">
        <v>20975</v>
      </c>
      <c r="B67544" t="str">
        <f>HYPERLINK("https://lindat.mff.cuni.cz/services/teitok/pdtc10/index.php?action=vallex&amp;frame=v-w9280f1", "zavinout (v-w9280f1)")</f>
        <v>zavinout (v-w9280f1)</v>
      </c>
    </row>
    <row r="67545" spans="1:4" x14ac:dyDescent="0.2">
      <c r="B67545" t="s">
        <v>1</v>
      </c>
    </row>
    <row r="67546" spans="1:4" x14ac:dyDescent="0.2">
      <c r="B67546" t="s">
        <v>8</v>
      </c>
    </row>
    <row r="67547" spans="1:4" x14ac:dyDescent="0.2">
      <c r="B67547" t="s">
        <v>130</v>
      </c>
    </row>
    <row r="67549" spans="1:4" x14ac:dyDescent="0.2">
      <c r="A67549" t="s">
        <v>20976</v>
      </c>
      <c r="B67549" t="str">
        <f>HYPERLINK("https://lindat.mff.cuni.cz/services/teitok/pdtc10/index.php?action=vallex&amp;frame=v-w9289f1", "zavládnout (v-w9289f1)")</f>
        <v>zavládnout (v-w9289f1)</v>
      </c>
    </row>
    <row r="67550" spans="1:4" x14ac:dyDescent="0.2">
      <c r="B67550" t="s">
        <v>1</v>
      </c>
      <c r="C67550" t="s">
        <v>4011</v>
      </c>
      <c r="D67550" t="s">
        <v>24138</v>
      </c>
    </row>
    <row r="67552" spans="1:4" x14ac:dyDescent="0.2">
      <c r="A67552" t="s">
        <v>20977</v>
      </c>
      <c r="B67552" t="str">
        <f>HYPERLINK("https://lindat.mff.cuni.cz/services/teitok/pdtc10/index.php?action=vallex&amp;frame=v-w9290f1", "zavlát (v-w9290f1)")</f>
        <v>zavlát (v-w9290f1)</v>
      </c>
    </row>
    <row r="67553" spans="1:4" x14ac:dyDescent="0.2">
      <c r="B67553" t="s">
        <v>1</v>
      </c>
    </row>
    <row r="67555" spans="1:4" x14ac:dyDescent="0.2">
      <c r="A67555" t="s">
        <v>20978</v>
      </c>
      <c r="B67555" t="str">
        <f>HYPERLINK("https://lindat.mff.cuni.cz/services/teitok/pdtc10/index.php?action=vallex&amp;frame=v-w9291f1", "zavléci (v-w9291f1)")</f>
        <v>zavléci (v-w9291f1)</v>
      </c>
    </row>
    <row r="67556" spans="1:4" x14ac:dyDescent="0.2">
      <c r="B67556" t="s">
        <v>1</v>
      </c>
    </row>
    <row r="67557" spans="1:4" x14ac:dyDescent="0.2">
      <c r="B67557" t="s">
        <v>8</v>
      </c>
    </row>
    <row r="67558" spans="1:4" x14ac:dyDescent="0.2">
      <c r="B67558" t="s">
        <v>90</v>
      </c>
    </row>
    <row r="67560" spans="1:4" x14ac:dyDescent="0.2">
      <c r="A67560" t="s">
        <v>20979</v>
      </c>
      <c r="B67560" t="str">
        <f>HYPERLINK("https://lindat.mff.cuni.cz/services/teitok/pdtc10/index.php?action=vallex&amp;frame=v-w9297f9_ZU", "zavolat (v-w9297f9_ZU)")</f>
        <v>zavolat (v-w9297f9_ZU)</v>
      </c>
    </row>
    <row r="67561" spans="1:4" x14ac:dyDescent="0.2">
      <c r="B67561" t="s">
        <v>1</v>
      </c>
    </row>
    <row r="67562" spans="1:4" x14ac:dyDescent="0.2">
      <c r="B67562" t="s">
        <v>20980</v>
      </c>
    </row>
    <row r="67563" spans="1:4" x14ac:dyDescent="0.2">
      <c r="B67563" t="s">
        <v>35</v>
      </c>
    </row>
    <row r="67565" spans="1:4" x14ac:dyDescent="0.2">
      <c r="A67565" t="s">
        <v>20979</v>
      </c>
      <c r="B67565" t="str">
        <f>HYPERLINK("https://lindat.mff.cuni.cz/services/teitok/pdtc10/index.php?action=vallex&amp;frame=v-w9297f2", "zavolat (v-w9297f2) - substituted with v-w9297f9_ZU")</f>
        <v>zavolat (v-w9297f2) - substituted with v-w9297f9_ZU</v>
      </c>
    </row>
    <row r="67566" spans="1:4" x14ac:dyDescent="0.2">
      <c r="B67566" t="s">
        <v>1</v>
      </c>
      <c r="C67566" t="s">
        <v>3307</v>
      </c>
      <c r="D67566" t="s">
        <v>2353</v>
      </c>
    </row>
    <row r="67567" spans="1:4" x14ac:dyDescent="0.2">
      <c r="B67567" t="s">
        <v>20980</v>
      </c>
      <c r="D67567" t="s">
        <v>20757</v>
      </c>
    </row>
    <row r="67568" spans="1:4" x14ac:dyDescent="0.2">
      <c r="B67568" t="s">
        <v>35</v>
      </c>
      <c r="C67568" t="s">
        <v>17133</v>
      </c>
      <c r="D67568" t="s">
        <v>22998</v>
      </c>
    </row>
    <row r="67570" spans="1:4" x14ac:dyDescent="0.2">
      <c r="A67570" t="s">
        <v>20981</v>
      </c>
      <c r="B67570" t="str">
        <f>HYPERLINK("https://lindat.mff.cuni.cz/services/teitok/pdtc10/index.php?action=vallex&amp;frame=v-w9297f4", "zavolat (v-w9297f4)")</f>
        <v>zavolat (v-w9297f4)</v>
      </c>
    </row>
    <row r="67571" spans="1:4" x14ac:dyDescent="0.2">
      <c r="B67571" t="s">
        <v>1</v>
      </c>
      <c r="C67571" t="s">
        <v>140</v>
      </c>
      <c r="D67571" t="s">
        <v>2353</v>
      </c>
    </row>
    <row r="67572" spans="1:4" x14ac:dyDescent="0.2">
      <c r="B67572" t="s">
        <v>3727</v>
      </c>
      <c r="C67572" t="s">
        <v>113</v>
      </c>
      <c r="D67572" t="s">
        <v>20757</v>
      </c>
    </row>
    <row r="67573" spans="1:4" x14ac:dyDescent="0.2">
      <c r="B67573" t="s">
        <v>3527</v>
      </c>
      <c r="C67573" t="s">
        <v>987</v>
      </c>
      <c r="D67573" t="s">
        <v>22998</v>
      </c>
    </row>
    <row r="67575" spans="1:4" x14ac:dyDescent="0.2">
      <c r="A67575" t="s">
        <v>20982</v>
      </c>
      <c r="B67575" t="str">
        <f>HYPERLINK("https://lindat.mff.cuni.cz/services/teitok/pdtc10/index.php?action=vallex&amp;frame=v-w9297f1", "zavolat (v-w9297f1)")</f>
        <v>zavolat (v-w9297f1)</v>
      </c>
    </row>
    <row r="67576" spans="1:4" x14ac:dyDescent="0.2">
      <c r="B67576" t="s">
        <v>1</v>
      </c>
      <c r="C67576" t="s">
        <v>3622</v>
      </c>
      <c r="D67576" t="s">
        <v>13118</v>
      </c>
    </row>
    <row r="67577" spans="1:4" x14ac:dyDescent="0.2">
      <c r="B67577" t="s">
        <v>8</v>
      </c>
      <c r="C67577" t="s">
        <v>2262</v>
      </c>
      <c r="D67577" t="s">
        <v>13080</v>
      </c>
    </row>
    <row r="67579" spans="1:4" x14ac:dyDescent="0.2">
      <c r="A67579" t="s">
        <v>20983</v>
      </c>
      <c r="B67579" t="str">
        <f>HYPERLINK("https://lindat.mff.cuni.cz/services/teitok/pdtc10/index.php?action=vallex&amp;frame=v-w9297f8_ZU", "zavolat (v-w9297f8_ZU)")</f>
        <v>zavolat (v-w9297f8_ZU)</v>
      </c>
    </row>
    <row r="67580" spans="1:4" x14ac:dyDescent="0.2">
      <c r="B67580" t="s">
        <v>1</v>
      </c>
    </row>
    <row r="67581" spans="1:4" x14ac:dyDescent="0.2">
      <c r="B67581" t="s">
        <v>6464</v>
      </c>
    </row>
    <row r="67583" spans="1:4" x14ac:dyDescent="0.2">
      <c r="A67583" t="s">
        <v>20983</v>
      </c>
      <c r="B67583" t="str">
        <f>HYPERLINK("https://lindat.mff.cuni.cz/services/teitok/pdtc10/index.php?action=vallex&amp;frame=v-w9297f5", "zavolat (v-w9297f5) - substituted with v-w9297f8_ZU")</f>
        <v>zavolat (v-w9297f5) - substituted with v-w9297f8_ZU</v>
      </c>
    </row>
    <row r="67584" spans="1:4" x14ac:dyDescent="0.2">
      <c r="B67584" t="s">
        <v>1</v>
      </c>
      <c r="C67584" t="s">
        <v>3307</v>
      </c>
      <c r="D67584" t="s">
        <v>13118</v>
      </c>
    </row>
    <row r="67585" spans="1:4" x14ac:dyDescent="0.2">
      <c r="B67585" t="s">
        <v>6464</v>
      </c>
      <c r="C67585" t="s">
        <v>2213</v>
      </c>
      <c r="D67585" t="s">
        <v>13080</v>
      </c>
    </row>
    <row r="67587" spans="1:4" x14ac:dyDescent="0.2">
      <c r="A67587" t="s">
        <v>20984</v>
      </c>
      <c r="B67587" t="str">
        <f>HYPERLINK("https://lindat.mff.cuni.cz/services/teitok/pdtc10/index.php?action=vallex&amp;frame=v-w9297f6", "zavolat (v-w9297f6)")</f>
        <v>zavolat (v-w9297f6)</v>
      </c>
    </row>
    <row r="67588" spans="1:4" x14ac:dyDescent="0.2">
      <c r="B67588" t="s">
        <v>1</v>
      </c>
      <c r="C67588" t="s">
        <v>2571</v>
      </c>
      <c r="D67588" t="s">
        <v>2353</v>
      </c>
    </row>
    <row r="67589" spans="1:4" x14ac:dyDescent="0.2">
      <c r="B67589" t="s">
        <v>35</v>
      </c>
      <c r="C67589" t="s">
        <v>20985</v>
      </c>
      <c r="D67589" t="s">
        <v>22998</v>
      </c>
    </row>
    <row r="67590" spans="1:4" x14ac:dyDescent="0.2">
      <c r="B67590" t="s">
        <v>269</v>
      </c>
      <c r="D67590" t="s">
        <v>20757</v>
      </c>
    </row>
    <row r="67592" spans="1:4" x14ac:dyDescent="0.2">
      <c r="A67592" t="s">
        <v>20986</v>
      </c>
      <c r="B67592" t="str">
        <f>HYPERLINK("https://lindat.mff.cuni.cz/services/teitok/pdtc10/index.php?action=vallex&amp;frame=v-w9297f7", "zavolat (v-w9297f7)")</f>
        <v>zavolat (v-w9297f7)</v>
      </c>
    </row>
    <row r="67593" spans="1:4" x14ac:dyDescent="0.2">
      <c r="B67593" t="s">
        <v>1</v>
      </c>
    </row>
    <row r="67594" spans="1:4" x14ac:dyDescent="0.2">
      <c r="B67594" t="s">
        <v>35</v>
      </c>
    </row>
    <row r="67595" spans="1:4" x14ac:dyDescent="0.2">
      <c r="B67595" t="s">
        <v>4742</v>
      </c>
    </row>
    <row r="67596" spans="1:4" x14ac:dyDescent="0.2">
      <c r="B67596" t="s">
        <v>269</v>
      </c>
    </row>
    <row r="67598" spans="1:4" x14ac:dyDescent="0.2">
      <c r="A67598" t="s">
        <v>20987</v>
      </c>
      <c r="B67598" t="str">
        <f>HYPERLINK("https://lindat.mff.cuni.cz/services/teitok/pdtc10/index.php?action=vallex&amp;frame=v-w9297f3", "zavolat (v-w9297f3)")</f>
        <v>zavolat (v-w9297f3)</v>
      </c>
    </row>
    <row r="67599" spans="1:4" x14ac:dyDescent="0.2">
      <c r="B67599" t="s">
        <v>1</v>
      </c>
      <c r="C67599" t="s">
        <v>3307</v>
      </c>
      <c r="D67599" t="s">
        <v>2353</v>
      </c>
    </row>
    <row r="67600" spans="1:4" x14ac:dyDescent="0.2">
      <c r="B67600" t="s">
        <v>90</v>
      </c>
      <c r="C67600" t="s">
        <v>20988</v>
      </c>
      <c r="D67600" t="s">
        <v>24229</v>
      </c>
    </row>
    <row r="67601" spans="1:4" x14ac:dyDescent="0.2">
      <c r="B67601" t="s">
        <v>269</v>
      </c>
      <c r="D67601" t="s">
        <v>20757</v>
      </c>
    </row>
    <row r="67603" spans="1:4" x14ac:dyDescent="0.2">
      <c r="A67603" t="s">
        <v>20989</v>
      </c>
      <c r="B67603" t="str">
        <f>HYPERLINK("https://lindat.mff.cuni.cz/services/teitok/pdtc10/index.php?action=vallex&amp;frame=v-whsa_398hsa_399", "zavolat si (v-whsa_398hsa_399)")</f>
        <v>zavolat si (v-whsa_398hsa_399)</v>
      </c>
    </row>
    <row r="67604" spans="1:4" x14ac:dyDescent="0.2">
      <c r="B67604" t="s">
        <v>1</v>
      </c>
    </row>
    <row r="67605" spans="1:4" x14ac:dyDescent="0.2">
      <c r="B67605" t="s">
        <v>8</v>
      </c>
    </row>
    <row r="67606" spans="1:4" x14ac:dyDescent="0.2">
      <c r="B67606" t="s">
        <v>153</v>
      </c>
    </row>
    <row r="67608" spans="1:4" x14ac:dyDescent="0.2">
      <c r="A67608" t="s">
        <v>20990</v>
      </c>
      <c r="B67608" t="str">
        <f>HYPERLINK("https://lindat.mff.cuni.cz/services/teitok/pdtc10/index.php?action=vallex&amp;frame=v-w11965_ZUf1_ZU", "zavonět (v-w11965_ZUf1_ZU)")</f>
        <v>zavonět (v-w11965_ZUf1_ZU)</v>
      </c>
    </row>
    <row r="67609" spans="1:4" x14ac:dyDescent="0.2">
      <c r="B67609" t="s">
        <v>1</v>
      </c>
    </row>
    <row r="67610" spans="1:4" x14ac:dyDescent="0.2">
      <c r="B67610" t="s">
        <v>11136</v>
      </c>
    </row>
    <row r="67612" spans="1:4" x14ac:dyDescent="0.2">
      <c r="A67612" t="s">
        <v>20991</v>
      </c>
      <c r="B67612" t="str">
        <f>HYPERLINK("https://lindat.mff.cuni.cz/services/teitok/pdtc10/index.php?action=vallex&amp;frame=v-w9299f1", "zavraždit (v-w9299f1)")</f>
        <v>zavraždit (v-w9299f1)</v>
      </c>
    </row>
    <row r="67613" spans="1:4" x14ac:dyDescent="0.2">
      <c r="B67613" t="s">
        <v>1</v>
      </c>
      <c r="C67613" t="s">
        <v>3622</v>
      </c>
      <c r="D67613" t="s">
        <v>11295</v>
      </c>
    </row>
    <row r="67614" spans="1:4" x14ac:dyDescent="0.2">
      <c r="B67614" t="s">
        <v>8</v>
      </c>
      <c r="C67614" t="s">
        <v>20992</v>
      </c>
      <c r="D67614" t="s">
        <v>13639</v>
      </c>
    </row>
    <row r="67616" spans="1:4" x14ac:dyDescent="0.2">
      <c r="A67616" t="s">
        <v>20993</v>
      </c>
      <c r="B67616" t="str">
        <f>HYPERLINK("https://lindat.mff.cuni.cz/services/teitok/pdtc10/index.php?action=vallex&amp;frame=v-w9300f1", "zavrhnout (v-w9300f1)")</f>
        <v>zavrhnout (v-w9300f1)</v>
      </c>
    </row>
    <row r="67617" spans="1:4" x14ac:dyDescent="0.2">
      <c r="B67617" t="s">
        <v>1</v>
      </c>
      <c r="C67617" t="s">
        <v>7346</v>
      </c>
      <c r="D67617" t="s">
        <v>22989</v>
      </c>
    </row>
    <row r="67618" spans="1:4" x14ac:dyDescent="0.2">
      <c r="B67618" t="s">
        <v>5074</v>
      </c>
      <c r="C67618" t="s">
        <v>3324</v>
      </c>
      <c r="D67618" t="s">
        <v>22990</v>
      </c>
    </row>
    <row r="67620" spans="1:4" x14ac:dyDescent="0.2">
      <c r="A67620" t="s">
        <v>20994</v>
      </c>
      <c r="B67620" t="str">
        <f>HYPERLINK("https://lindat.mff.cuni.cz/services/teitok/pdtc10/index.php?action=vallex&amp;frame=v-w9302f1", "zavrhovat (v-w9302f1)")</f>
        <v>zavrhovat (v-w9302f1)</v>
      </c>
    </row>
    <row r="67621" spans="1:4" x14ac:dyDescent="0.2">
      <c r="B67621" t="s">
        <v>1</v>
      </c>
      <c r="C67621" t="s">
        <v>1566</v>
      </c>
      <c r="D67621" t="s">
        <v>22989</v>
      </c>
    </row>
    <row r="67622" spans="1:4" x14ac:dyDescent="0.2">
      <c r="B67622" t="s">
        <v>8</v>
      </c>
      <c r="C67622" t="s">
        <v>2213</v>
      </c>
      <c r="D67622" t="s">
        <v>22990</v>
      </c>
    </row>
    <row r="67624" spans="1:4" x14ac:dyDescent="0.2">
      <c r="A67624" t="s">
        <v>20995</v>
      </c>
      <c r="B67624" t="str">
        <f>HYPERLINK("https://lindat.mff.cuni.cz/services/teitok/pdtc10/index.php?action=vallex&amp;frame=v-w11674_ZUf1_ZU", "zavrtávat se (v-w11674_ZUf1_ZU)")</f>
        <v>zavrtávat se (v-w11674_ZUf1_ZU)</v>
      </c>
    </row>
    <row r="67625" spans="1:4" x14ac:dyDescent="0.2">
      <c r="B67625" t="s">
        <v>1</v>
      </c>
    </row>
    <row r="67626" spans="1:4" x14ac:dyDescent="0.2">
      <c r="B67626" t="s">
        <v>252</v>
      </c>
    </row>
    <row r="67628" spans="1:4" x14ac:dyDescent="0.2">
      <c r="A67628" t="s">
        <v>20996</v>
      </c>
      <c r="B67628" t="str">
        <f>HYPERLINK("https://lindat.mff.cuni.cz/services/teitok/pdtc10/index.php?action=vallex&amp;frame=v-whsa_752hsa_753", "zavrtávat se (v-whsa_752hsa_753)")</f>
        <v>zavrtávat se (v-whsa_752hsa_753)</v>
      </c>
    </row>
    <row r="67629" spans="1:4" x14ac:dyDescent="0.2">
      <c r="B67629" t="s">
        <v>1</v>
      </c>
    </row>
    <row r="67630" spans="1:4" x14ac:dyDescent="0.2">
      <c r="B67630" t="s">
        <v>90</v>
      </c>
    </row>
    <row r="67632" spans="1:4" x14ac:dyDescent="0.2">
      <c r="A67632" t="s">
        <v>20997</v>
      </c>
      <c r="B67632" t="str">
        <f>HYPERLINK("https://lindat.mff.cuni.cz/services/teitok/pdtc10/index.php?action=vallex&amp;frame=v-w9307f1", "zavrtět (v-w9307f1)")</f>
        <v>zavrtět (v-w9307f1)</v>
      </c>
    </row>
    <row r="67633" spans="1:4" x14ac:dyDescent="0.2">
      <c r="B67633" t="s">
        <v>1</v>
      </c>
      <c r="C67633" t="s">
        <v>83</v>
      </c>
      <c r="D67633" t="s">
        <v>140</v>
      </c>
    </row>
    <row r="67634" spans="1:4" x14ac:dyDescent="0.2">
      <c r="B67634" t="s">
        <v>158</v>
      </c>
      <c r="C67634" t="s">
        <v>1128</v>
      </c>
      <c r="D67634" t="s">
        <v>113</v>
      </c>
    </row>
    <row r="67636" spans="1:4" x14ac:dyDescent="0.2">
      <c r="A67636" t="s">
        <v>20998</v>
      </c>
      <c r="B67636" t="str">
        <f>HYPERLINK("https://lindat.mff.cuni.cz/services/teitok/pdtc10/index.php?action=vallex&amp;frame=v-whsa_1231hsa_1232", "zavrtět se (v-whsa_1231hsa_1232)")</f>
        <v>zavrtět se (v-whsa_1231hsa_1232)</v>
      </c>
    </row>
    <row r="67637" spans="1:4" x14ac:dyDescent="0.2">
      <c r="B67637" t="s">
        <v>1</v>
      </c>
    </row>
    <row r="67639" spans="1:4" x14ac:dyDescent="0.2">
      <c r="A67639" t="s">
        <v>20999</v>
      </c>
      <c r="B67639" t="str">
        <f>HYPERLINK("https://lindat.mff.cuni.cz/services/teitok/pdtc10/index.php?action=vallex&amp;frame=v-w10091f2", "zavrávorat (v-w10091f2)")</f>
        <v>zavrávorat (v-w10091f2)</v>
      </c>
    </row>
    <row r="67640" spans="1:4" x14ac:dyDescent="0.2">
      <c r="B67640" t="s">
        <v>1</v>
      </c>
      <c r="C67640" t="s">
        <v>186</v>
      </c>
    </row>
    <row r="67642" spans="1:4" x14ac:dyDescent="0.2">
      <c r="A67642" t="s">
        <v>21000</v>
      </c>
      <c r="B67642" t="str">
        <f>HYPERLINK("https://lindat.mff.cuni.cz/services/teitok/pdtc10/index.php?action=vallex&amp;frame=v-w9304f1", "završit (v-w9304f1)")</f>
        <v>završit (v-w9304f1)</v>
      </c>
    </row>
    <row r="67643" spans="1:4" x14ac:dyDescent="0.2">
      <c r="B67643" t="s">
        <v>1</v>
      </c>
      <c r="C67643" t="s">
        <v>21001</v>
      </c>
      <c r="D67643" t="s">
        <v>23140</v>
      </c>
    </row>
    <row r="67644" spans="1:4" x14ac:dyDescent="0.2">
      <c r="B67644" t="s">
        <v>8</v>
      </c>
      <c r="C67644" t="s">
        <v>6040</v>
      </c>
      <c r="D67644" t="s">
        <v>23141</v>
      </c>
    </row>
    <row r="67646" spans="1:4" x14ac:dyDescent="0.2">
      <c r="A67646" t="s">
        <v>21002</v>
      </c>
      <c r="B67646" t="str">
        <f>HYPERLINK("https://lindat.mff.cuni.cz/services/teitok/pdtc10/index.php?action=vallex&amp;frame=v-w9305f1", "završit se (v-w9305f1)")</f>
        <v>završit se (v-w9305f1)</v>
      </c>
    </row>
    <row r="67647" spans="1:4" x14ac:dyDescent="0.2">
      <c r="B67647" t="s">
        <v>1</v>
      </c>
    </row>
    <row r="67649" spans="1:4" x14ac:dyDescent="0.2">
      <c r="A67649" t="s">
        <v>21003</v>
      </c>
      <c r="B67649" t="str">
        <f>HYPERLINK("https://lindat.mff.cuni.cz/services/teitok/pdtc10/index.php?action=vallex&amp;frame=v-w9306f1", "završovat (v-w9306f1)")</f>
        <v>završovat (v-w9306f1)</v>
      </c>
    </row>
    <row r="67650" spans="1:4" x14ac:dyDescent="0.2">
      <c r="B67650" t="s">
        <v>1</v>
      </c>
      <c r="C67650" t="s">
        <v>13890</v>
      </c>
      <c r="D67650" t="s">
        <v>23140</v>
      </c>
    </row>
    <row r="67651" spans="1:4" x14ac:dyDescent="0.2">
      <c r="B67651" t="s">
        <v>8</v>
      </c>
      <c r="C67651" t="s">
        <v>1301</v>
      </c>
      <c r="D67651" t="s">
        <v>23141</v>
      </c>
    </row>
    <row r="67653" spans="1:4" x14ac:dyDescent="0.2">
      <c r="A67653" t="s">
        <v>21004</v>
      </c>
      <c r="B67653" t="str">
        <f>HYPERLINK("https://lindat.mff.cuni.cz/services/teitok/pdtc10/index.php?action=vallex&amp;frame=v-whsa_644hsa_645", "zavtipkovat (v-whsa_644hsa_645)")</f>
        <v>zavtipkovat (v-whsa_644hsa_645)</v>
      </c>
    </row>
    <row r="67654" spans="1:4" x14ac:dyDescent="0.2">
      <c r="B67654" t="s">
        <v>1</v>
      </c>
      <c r="C67654" t="s">
        <v>373</v>
      </c>
      <c r="D67654" t="s">
        <v>990</v>
      </c>
    </row>
    <row r="67655" spans="1:4" x14ac:dyDescent="0.2">
      <c r="B67655" t="s">
        <v>17314</v>
      </c>
      <c r="C67655" t="s">
        <v>1044</v>
      </c>
      <c r="D67655" t="s">
        <v>17315</v>
      </c>
    </row>
    <row r="67656" spans="1:4" x14ac:dyDescent="0.2">
      <c r="B67656" t="s">
        <v>2328</v>
      </c>
    </row>
    <row r="67658" spans="1:4" x14ac:dyDescent="0.2">
      <c r="A67658" t="s">
        <v>21005</v>
      </c>
      <c r="B67658" t="str">
        <f>HYPERLINK("https://lindat.mff.cuni.cz/services/teitok/pdtc10/index.php?action=vallex&amp;frame=v-w9311f1", "zavzpomínat (v-w9311f1)")</f>
        <v>zavzpomínat (v-w9311f1)</v>
      </c>
    </row>
    <row r="67659" spans="1:4" x14ac:dyDescent="0.2">
      <c r="B67659" t="s">
        <v>1</v>
      </c>
    </row>
    <row r="67660" spans="1:4" x14ac:dyDescent="0.2">
      <c r="B67660" t="s">
        <v>13397</v>
      </c>
    </row>
    <row r="67662" spans="1:4" x14ac:dyDescent="0.2">
      <c r="A67662" t="s">
        <v>21006</v>
      </c>
      <c r="B67662" t="str">
        <f>HYPERLINK("https://lindat.mff.cuni.cz/services/teitok/pdtc10/index.php?action=vallex&amp;frame=v-w9312f1", "zavzpomínat si (v-w9312f1)")</f>
        <v>zavzpomínat si (v-w9312f1)</v>
      </c>
    </row>
    <row r="67663" spans="1:4" x14ac:dyDescent="0.2">
      <c r="B67663" t="s">
        <v>1</v>
      </c>
    </row>
    <row r="67664" spans="1:4" x14ac:dyDescent="0.2">
      <c r="B67664" t="s">
        <v>21007</v>
      </c>
    </row>
    <row r="67666" spans="1:4" x14ac:dyDescent="0.2">
      <c r="A67666" t="s">
        <v>21008</v>
      </c>
      <c r="B67666" t="str">
        <f>HYPERLINK("https://lindat.mff.cuni.cz/services/teitok/pdtc10/index.php?action=vallex&amp;frame=v-w9251f2", "zavádět (v-w9251f2)")</f>
        <v>zavádět (v-w9251f2)</v>
      </c>
    </row>
    <row r="67667" spans="1:4" x14ac:dyDescent="0.2">
      <c r="B67667" t="s">
        <v>1</v>
      </c>
      <c r="C67667" t="s">
        <v>133</v>
      </c>
      <c r="D67667" t="s">
        <v>13976</v>
      </c>
    </row>
    <row r="67668" spans="1:4" x14ac:dyDescent="0.2">
      <c r="B67668" t="s">
        <v>8</v>
      </c>
      <c r="C67668" t="s">
        <v>23</v>
      </c>
      <c r="D67668" t="s">
        <v>10414</v>
      </c>
    </row>
    <row r="67669" spans="1:4" x14ac:dyDescent="0.2">
      <c r="B67669" t="s">
        <v>90</v>
      </c>
      <c r="D67669" t="s">
        <v>23197</v>
      </c>
    </row>
    <row r="67671" spans="1:4" x14ac:dyDescent="0.2">
      <c r="A67671" t="s">
        <v>21009</v>
      </c>
      <c r="B67671" t="str">
        <f>HYPERLINK("https://lindat.mff.cuni.cz/services/teitok/pdtc10/index.php?action=vallex&amp;frame=v-w9251f5", "zavádět (v-w9251f5)")</f>
        <v>zavádět (v-w9251f5)</v>
      </c>
    </row>
    <row r="67672" spans="1:4" x14ac:dyDescent="0.2">
      <c r="B67672" t="s">
        <v>1</v>
      </c>
    </row>
    <row r="67673" spans="1:4" x14ac:dyDescent="0.2">
      <c r="B67673" t="s">
        <v>8</v>
      </c>
    </row>
    <row r="67674" spans="1:4" x14ac:dyDescent="0.2">
      <c r="B67674" t="s">
        <v>90</v>
      </c>
    </row>
    <row r="67676" spans="1:4" x14ac:dyDescent="0.2">
      <c r="A67676" t="s">
        <v>21010</v>
      </c>
      <c r="B67676" t="str">
        <f>HYPERLINK("https://lindat.mff.cuni.cz/services/teitok/pdtc10/index.php?action=vallex&amp;frame=v-w9251f1", "zavádět (v-w9251f1)")</f>
        <v>zavádět (v-w9251f1)</v>
      </c>
    </row>
    <row r="67677" spans="1:4" x14ac:dyDescent="0.2">
      <c r="B67677" t="s">
        <v>1</v>
      </c>
      <c r="C67677" t="s">
        <v>21011</v>
      </c>
      <c r="D67677" t="s">
        <v>1792</v>
      </c>
    </row>
    <row r="67678" spans="1:4" x14ac:dyDescent="0.2">
      <c r="B67678" t="s">
        <v>8</v>
      </c>
      <c r="C67678" t="s">
        <v>21012</v>
      </c>
      <c r="D67678" t="s">
        <v>24113</v>
      </c>
    </row>
    <row r="67680" spans="1:4" x14ac:dyDescent="0.2">
      <c r="A67680" t="s">
        <v>21013</v>
      </c>
      <c r="B67680" t="str">
        <f>HYPERLINK("https://lindat.mff.cuni.cz/services/teitok/pdtc10/index.php?action=vallex&amp;frame=v-w9251f3", "zavádět (v-w9251f3)")</f>
        <v>zavádět (v-w9251f3)</v>
      </c>
    </row>
    <row r="67681" spans="1:4" x14ac:dyDescent="0.2">
      <c r="B67681" t="s">
        <v>1</v>
      </c>
      <c r="C67681" t="s">
        <v>21014</v>
      </c>
      <c r="D67681" t="s">
        <v>1792</v>
      </c>
    </row>
    <row r="67682" spans="1:4" x14ac:dyDescent="0.2">
      <c r="B67682" t="s">
        <v>8</v>
      </c>
      <c r="C67682" t="s">
        <v>4079</v>
      </c>
      <c r="D67682" t="s">
        <v>24113</v>
      </c>
    </row>
    <row r="67684" spans="1:4" x14ac:dyDescent="0.2">
      <c r="A67684" t="s">
        <v>21015</v>
      </c>
      <c r="B67684" t="str">
        <f>HYPERLINK("https://lindat.mff.cuni.cz/services/teitok/pdtc10/index.php?action=vallex&amp;frame=v-w9251f4", "zavádět (v-w9251f4)")</f>
        <v>zavádět (v-w9251f4)</v>
      </c>
    </row>
    <row r="67685" spans="1:4" x14ac:dyDescent="0.2">
      <c r="B67685" t="s">
        <v>1</v>
      </c>
    </row>
    <row r="67686" spans="1:4" x14ac:dyDescent="0.2">
      <c r="B67686" t="s">
        <v>21016</v>
      </c>
    </row>
    <row r="67687" spans="1:4" x14ac:dyDescent="0.2">
      <c r="B67687" t="s">
        <v>28</v>
      </c>
    </row>
    <row r="67689" spans="1:4" x14ac:dyDescent="0.2">
      <c r="A67689" t="s">
        <v>21017</v>
      </c>
      <c r="B67689" t="str">
        <f>HYPERLINK("https://lindat.mff.cuni.cz/services/teitok/pdtc10/index.php?action=vallex&amp;frame=v-w9254f1", "zaváhat (v-w9254f1)")</f>
        <v>zaváhat (v-w9254f1)</v>
      </c>
    </row>
    <row r="67690" spans="1:4" x14ac:dyDescent="0.2">
      <c r="B67690" t="s">
        <v>1</v>
      </c>
      <c r="C67690" t="s">
        <v>6793</v>
      </c>
    </row>
    <row r="67691" spans="1:4" x14ac:dyDescent="0.2">
      <c r="B67691" t="s">
        <v>20157</v>
      </c>
    </row>
    <row r="67693" spans="1:4" x14ac:dyDescent="0.2">
      <c r="A67693" t="s">
        <v>21018</v>
      </c>
      <c r="B67693" t="str">
        <f>HYPERLINK("https://lindat.mff.cuni.cz/services/teitok/pdtc10/index.php?action=vallex&amp;frame=v-w9257f1", "zavánět (v-w9257f1)")</f>
        <v>zavánět (v-w9257f1)</v>
      </c>
    </row>
    <row r="67694" spans="1:4" x14ac:dyDescent="0.2">
      <c r="B67694" t="s">
        <v>1</v>
      </c>
      <c r="C67694" t="s">
        <v>33</v>
      </c>
      <c r="D67694" t="s">
        <v>140</v>
      </c>
    </row>
    <row r="67695" spans="1:4" x14ac:dyDescent="0.2">
      <c r="B67695" t="s">
        <v>158</v>
      </c>
      <c r="C67695" t="s">
        <v>991</v>
      </c>
      <c r="D67695" t="s">
        <v>34</v>
      </c>
    </row>
    <row r="67697" spans="1:4" x14ac:dyDescent="0.2">
      <c r="A67697" t="s">
        <v>21019</v>
      </c>
      <c r="B67697" t="str">
        <f>HYPERLINK("https://lindat.mff.cuni.cz/services/teitok/pdtc10/index.php?action=vallex&amp;frame=v-w9257f2", "zavánět (v-w9257f2)")</f>
        <v>zavánět (v-w9257f2)</v>
      </c>
    </row>
    <row r="67698" spans="1:4" x14ac:dyDescent="0.2">
      <c r="B67698" t="s">
        <v>1</v>
      </c>
    </row>
    <row r="67699" spans="1:4" x14ac:dyDescent="0.2">
      <c r="B67699" t="s">
        <v>11136</v>
      </c>
    </row>
    <row r="67701" spans="1:4" x14ac:dyDescent="0.2">
      <c r="A67701" t="s">
        <v>21020</v>
      </c>
      <c r="B67701" t="str">
        <f>HYPERLINK("https://lindat.mff.cuni.cz/services/teitok/pdtc10/index.php?action=vallex&amp;frame=v-whsa_1655hsa_1656", "zavát (v-whsa_1655hsa_1656)")</f>
        <v>zavát (v-whsa_1655hsa_1656)</v>
      </c>
    </row>
    <row r="67702" spans="1:4" x14ac:dyDescent="0.2">
      <c r="B67702" t="s">
        <v>1</v>
      </c>
    </row>
    <row r="67704" spans="1:4" x14ac:dyDescent="0.2">
      <c r="A67704" t="s">
        <v>21021</v>
      </c>
      <c r="B67704" t="str">
        <f>HYPERLINK("https://lindat.mff.cuni.cz/services/teitok/pdtc10/index.php?action=vallex&amp;frame=v-w12363_MMf1_MM", "zavávat (v-w12363_MMf1_MM)")</f>
        <v>zavávat (v-w12363_MMf1_MM)</v>
      </c>
    </row>
    <row r="67705" spans="1:4" x14ac:dyDescent="0.2">
      <c r="B67705" t="s">
        <v>1</v>
      </c>
    </row>
    <row r="67706" spans="1:4" x14ac:dyDescent="0.2">
      <c r="B67706" t="s">
        <v>8</v>
      </c>
    </row>
    <row r="67708" spans="1:4" x14ac:dyDescent="0.2">
      <c r="A67708" t="s">
        <v>21022</v>
      </c>
      <c r="B67708" t="str">
        <f>HYPERLINK("https://lindat.mff.cuni.cz/services/teitok/pdtc10/index.php?action=vallex&amp;frame=v-w9258f1", "zavázat (v-w9258f1)")</f>
        <v>zavázat (v-w9258f1)</v>
      </c>
    </row>
    <row r="67709" spans="1:4" x14ac:dyDescent="0.2">
      <c r="B67709" t="s">
        <v>1</v>
      </c>
      <c r="C67709" t="s">
        <v>133</v>
      </c>
      <c r="D67709" t="s">
        <v>1992</v>
      </c>
    </row>
    <row r="67710" spans="1:4" x14ac:dyDescent="0.2">
      <c r="B67710" t="s">
        <v>58</v>
      </c>
      <c r="C67710" t="s">
        <v>21023</v>
      </c>
      <c r="D67710" t="s">
        <v>23097</v>
      </c>
    </row>
    <row r="67711" spans="1:4" x14ac:dyDescent="0.2">
      <c r="B67711" t="s">
        <v>19588</v>
      </c>
      <c r="C67711" t="s">
        <v>21024</v>
      </c>
      <c r="D67711" t="s">
        <v>23096</v>
      </c>
    </row>
    <row r="67713" spans="1:4" x14ac:dyDescent="0.2">
      <c r="A67713" t="s">
        <v>21025</v>
      </c>
      <c r="B67713" t="str">
        <f>HYPERLINK("https://lindat.mff.cuni.cz/services/teitok/pdtc10/index.php?action=vallex&amp;frame=v-w9259f1", "zavázat se (v-w9259f1)")</f>
        <v>zavázat se (v-w9259f1)</v>
      </c>
    </row>
    <row r="67714" spans="1:4" x14ac:dyDescent="0.2">
      <c r="B67714" t="s">
        <v>1</v>
      </c>
      <c r="C67714" t="s">
        <v>21026</v>
      </c>
      <c r="D67714" t="s">
        <v>24089</v>
      </c>
    </row>
    <row r="67715" spans="1:4" x14ac:dyDescent="0.2">
      <c r="B67715" t="s">
        <v>16197</v>
      </c>
      <c r="C67715" t="s">
        <v>21027</v>
      </c>
      <c r="D67715" t="s">
        <v>24090</v>
      </c>
    </row>
    <row r="67716" spans="1:4" x14ac:dyDescent="0.2">
      <c r="B67716" t="s">
        <v>78</v>
      </c>
      <c r="C67716" t="s">
        <v>21028</v>
      </c>
      <c r="D67716" t="s">
        <v>24091</v>
      </c>
    </row>
    <row r="67718" spans="1:4" x14ac:dyDescent="0.2">
      <c r="A67718" t="s">
        <v>21029</v>
      </c>
      <c r="B67718" t="str">
        <f>HYPERLINK("https://lindat.mff.cuni.cz/services/teitok/pdtc10/index.php?action=vallex&amp;frame=v-w12365_MMf1_MM", "zavářet (v-w12365_MMf1_MM)")</f>
        <v>zavářet (v-w12365_MMf1_MM)</v>
      </c>
    </row>
    <row r="67719" spans="1:4" x14ac:dyDescent="0.2">
      <c r="B67719" t="s">
        <v>1</v>
      </c>
    </row>
    <row r="67720" spans="1:4" x14ac:dyDescent="0.2">
      <c r="B67720" t="s">
        <v>8</v>
      </c>
    </row>
    <row r="67722" spans="1:4" x14ac:dyDescent="0.2">
      <c r="A67722" t="s">
        <v>21030</v>
      </c>
      <c r="B67722" t="str">
        <f>HYPERLINK("https://lindat.mff.cuni.cz/services/teitok/pdtc10/index.php?action=vallex&amp;frame=v-w9264f1", "zavážet (v-w9264f1)")</f>
        <v>zavážet (v-w9264f1)</v>
      </c>
    </row>
    <row r="67723" spans="1:4" x14ac:dyDescent="0.2">
      <c r="B67723" t="s">
        <v>1</v>
      </c>
    </row>
    <row r="67724" spans="1:4" x14ac:dyDescent="0.2">
      <c r="B67724" t="s">
        <v>8</v>
      </c>
    </row>
    <row r="67725" spans="1:4" x14ac:dyDescent="0.2">
      <c r="B67725" t="s">
        <v>90</v>
      </c>
    </row>
    <row r="67727" spans="1:4" x14ac:dyDescent="0.2">
      <c r="A67727" t="s">
        <v>21031</v>
      </c>
      <c r="B67727" t="str">
        <f>HYPERLINK("https://lindat.mff.cuni.cz/services/teitok/pdtc10/index.php?action=vallex&amp;frame=v-w9264hsa_253", "zavážet (v-w9264hsa_253)")</f>
        <v>zavážet (v-w9264hsa_253)</v>
      </c>
    </row>
    <row r="67728" spans="1:4" x14ac:dyDescent="0.2">
      <c r="B67728" t="s">
        <v>1</v>
      </c>
    </row>
    <row r="67729" spans="1:4" x14ac:dyDescent="0.2">
      <c r="B67729" t="s">
        <v>8</v>
      </c>
    </row>
    <row r="67731" spans="1:4" x14ac:dyDescent="0.2">
      <c r="A67731" t="s">
        <v>21032</v>
      </c>
      <c r="B67731" t="str">
        <f>HYPERLINK("https://lindat.mff.cuni.cz/services/teitok/pdtc10/index.php?action=vallex&amp;frame=v-w9273f3", "zavést (v-w9273f3)")</f>
        <v>zavést (v-w9273f3)</v>
      </c>
    </row>
    <row r="67732" spans="1:4" x14ac:dyDescent="0.2">
      <c r="B67732" t="s">
        <v>1</v>
      </c>
      <c r="C67732" t="s">
        <v>21033</v>
      </c>
      <c r="D67732" t="s">
        <v>7595</v>
      </c>
    </row>
    <row r="67733" spans="1:4" x14ac:dyDescent="0.2">
      <c r="B67733" t="s">
        <v>8</v>
      </c>
      <c r="C67733" t="s">
        <v>986</v>
      </c>
      <c r="D67733" t="s">
        <v>24336</v>
      </c>
    </row>
    <row r="67734" spans="1:4" x14ac:dyDescent="0.2">
      <c r="B67734" t="s">
        <v>90</v>
      </c>
      <c r="D67734" t="s">
        <v>1466</v>
      </c>
    </row>
    <row r="67736" spans="1:4" x14ac:dyDescent="0.2">
      <c r="A67736" t="s">
        <v>21034</v>
      </c>
      <c r="B67736" t="str">
        <f>HYPERLINK("https://lindat.mff.cuni.cz/services/teitok/pdtc10/index.php?action=vallex&amp;frame=v-w9273f4", "zavést (v-w9273f4)")</f>
        <v>zavést (v-w9273f4)</v>
      </c>
    </row>
    <row r="67737" spans="1:4" x14ac:dyDescent="0.2">
      <c r="B67737" t="s">
        <v>1</v>
      </c>
      <c r="C67737" t="s">
        <v>7313</v>
      </c>
    </row>
    <row r="67738" spans="1:4" x14ac:dyDescent="0.2">
      <c r="B67738" t="s">
        <v>8</v>
      </c>
      <c r="C67738" t="s">
        <v>12897</v>
      </c>
    </row>
    <row r="67739" spans="1:4" x14ac:dyDescent="0.2">
      <c r="B67739" t="s">
        <v>90</v>
      </c>
    </row>
    <row r="67741" spans="1:4" x14ac:dyDescent="0.2">
      <c r="A67741" t="s">
        <v>21035</v>
      </c>
      <c r="B67741" t="str">
        <f>HYPERLINK("https://lindat.mff.cuni.cz/services/teitok/pdtc10/index.php?action=vallex&amp;frame=v-w9273f1", "zavést (v-w9273f1)")</f>
        <v>zavést (v-w9273f1)</v>
      </c>
    </row>
    <row r="67742" spans="1:4" x14ac:dyDescent="0.2">
      <c r="B67742" t="s">
        <v>1</v>
      </c>
      <c r="C67742" t="s">
        <v>21036</v>
      </c>
      <c r="D67742" t="s">
        <v>1792</v>
      </c>
    </row>
    <row r="67743" spans="1:4" x14ac:dyDescent="0.2">
      <c r="B67743" t="s">
        <v>8</v>
      </c>
      <c r="C67743" t="s">
        <v>21037</v>
      </c>
      <c r="D67743" t="s">
        <v>24113</v>
      </c>
    </row>
    <row r="67745" spans="1:4" x14ac:dyDescent="0.2">
      <c r="A67745" t="s">
        <v>21038</v>
      </c>
      <c r="B67745" t="str">
        <f>HYPERLINK("https://lindat.mff.cuni.cz/services/teitok/pdtc10/index.php?action=vallex&amp;frame=v-w9273f2", "zavést (v-w9273f2)")</f>
        <v>zavést (v-w9273f2)</v>
      </c>
    </row>
    <row r="67746" spans="1:4" x14ac:dyDescent="0.2">
      <c r="B67746" t="s">
        <v>1</v>
      </c>
      <c r="C67746" t="s">
        <v>21039</v>
      </c>
      <c r="D67746" t="s">
        <v>1792</v>
      </c>
    </row>
    <row r="67747" spans="1:4" x14ac:dyDescent="0.2">
      <c r="B67747" t="s">
        <v>8</v>
      </c>
      <c r="C67747" t="s">
        <v>21040</v>
      </c>
      <c r="D67747" t="s">
        <v>24113</v>
      </c>
    </row>
    <row r="67749" spans="1:4" x14ac:dyDescent="0.2">
      <c r="A67749" t="s">
        <v>21041</v>
      </c>
      <c r="B67749" t="str">
        <f>HYPERLINK("https://lindat.mff.cuni.cz/services/teitok/pdtc10/index.php?action=vallex&amp;frame=v-w9273f5", "zavést (v-w9273f5)")</f>
        <v>zavést (v-w9273f5)</v>
      </c>
    </row>
    <row r="67750" spans="1:4" x14ac:dyDescent="0.2">
      <c r="B67750" t="s">
        <v>1</v>
      </c>
    </row>
    <row r="67751" spans="1:4" x14ac:dyDescent="0.2">
      <c r="B67751" t="s">
        <v>21016</v>
      </c>
    </row>
    <row r="67752" spans="1:4" x14ac:dyDescent="0.2">
      <c r="B67752" t="s">
        <v>28</v>
      </c>
    </row>
    <row r="67754" spans="1:4" x14ac:dyDescent="0.2">
      <c r="A67754" t="s">
        <v>21042</v>
      </c>
      <c r="B67754" t="str">
        <f>HYPERLINK("https://lindat.mff.cuni.cz/services/teitok/pdtc10/index.php?action=vallex&amp;frame=v-w9273f6_ZU", "zavést (v-w9273f6_ZU)")</f>
        <v>zavést (v-w9273f6_ZU)</v>
      </c>
    </row>
    <row r="67755" spans="1:4" x14ac:dyDescent="0.2">
      <c r="B67755" t="s">
        <v>1</v>
      </c>
      <c r="C67755" t="s">
        <v>2749</v>
      </c>
      <c r="D67755" t="s">
        <v>13976</v>
      </c>
    </row>
    <row r="67756" spans="1:4" x14ac:dyDescent="0.2">
      <c r="B67756" t="s">
        <v>8</v>
      </c>
      <c r="C67756" t="s">
        <v>2750</v>
      </c>
      <c r="D67756" t="s">
        <v>10414</v>
      </c>
    </row>
    <row r="67757" spans="1:4" x14ac:dyDescent="0.2">
      <c r="B67757" t="s">
        <v>205</v>
      </c>
      <c r="D67757" t="s">
        <v>23197</v>
      </c>
    </row>
    <row r="67759" spans="1:4" x14ac:dyDescent="0.2">
      <c r="A67759" t="s">
        <v>21042</v>
      </c>
      <c r="B67759" t="str">
        <f>HYPERLINK("https://lindat.mff.cuni.cz/services/teitok/pdtc10/index.php?action=vallex&amp;frame=v-w9273hsa_745", "zavést (v-w9273hsa_745) - substituted with v-w9273f6_ZU")</f>
        <v>zavést (v-w9273hsa_745) - substituted with v-w9273f6_ZU</v>
      </c>
    </row>
    <row r="67760" spans="1:4" x14ac:dyDescent="0.2">
      <c r="B67760" t="s">
        <v>1</v>
      </c>
    </row>
    <row r="67761" spans="1:4" x14ac:dyDescent="0.2">
      <c r="B67761" t="s">
        <v>8</v>
      </c>
    </row>
    <row r="67762" spans="1:4" x14ac:dyDescent="0.2">
      <c r="B67762" t="s">
        <v>205</v>
      </c>
    </row>
    <row r="67764" spans="1:4" x14ac:dyDescent="0.2">
      <c r="A67764" t="s">
        <v>21043</v>
      </c>
      <c r="B67764" t="str">
        <f>HYPERLINK("https://lindat.mff.cuni.cz/services/teitok/pdtc10/index.php?action=vallex&amp;frame=v-w9273f7_ZU", "zavést (v-w9273f7_ZU)")</f>
        <v>zavést (v-w9273f7_ZU)</v>
      </c>
    </row>
    <row r="67765" spans="1:4" x14ac:dyDescent="0.2">
      <c r="B67765" t="s">
        <v>1</v>
      </c>
    </row>
    <row r="67766" spans="1:4" x14ac:dyDescent="0.2">
      <c r="B67766" t="s">
        <v>8</v>
      </c>
    </row>
    <row r="67767" spans="1:4" x14ac:dyDescent="0.2">
      <c r="B67767" t="s">
        <v>252</v>
      </c>
    </row>
    <row r="67769" spans="1:4" x14ac:dyDescent="0.2">
      <c r="A67769" t="s">
        <v>21044</v>
      </c>
      <c r="B67769" t="str">
        <f>HYPERLINK("https://lindat.mff.cuni.cz/services/teitok/pdtc10/index.php?action=vallex&amp;frame=v-whsa_880f1_ZU", "zavést se (v-whsa_880f1_ZU)")</f>
        <v>zavést se (v-whsa_880f1_ZU)</v>
      </c>
    </row>
    <row r="67770" spans="1:4" x14ac:dyDescent="0.2">
      <c r="B67770" t="s">
        <v>1</v>
      </c>
      <c r="C67770" t="s">
        <v>3081</v>
      </c>
    </row>
    <row r="67772" spans="1:4" x14ac:dyDescent="0.2">
      <c r="A67772" t="s">
        <v>21044</v>
      </c>
      <c r="B67772" t="str">
        <f>HYPERLINK("https://lindat.mff.cuni.cz/services/teitok/pdtc10/index.php?action=vallex&amp;frame=v-whsa_880hsa_881", "zavést se (v-whsa_880hsa_881) - substituted with v-whsa_880f1_ZU")</f>
        <v>zavést se (v-whsa_880hsa_881) - substituted with v-whsa_880f1_ZU</v>
      </c>
    </row>
    <row r="67773" spans="1:4" x14ac:dyDescent="0.2">
      <c r="B67773" t="s">
        <v>1</v>
      </c>
    </row>
    <row r="67775" spans="1:4" x14ac:dyDescent="0.2">
      <c r="A67775" t="s">
        <v>21045</v>
      </c>
      <c r="B67775" t="str">
        <f>HYPERLINK("https://lindat.mff.cuni.cz/services/teitok/pdtc10/index.php?action=vallex&amp;frame=v-w9275f1", "zavézt (v-w9275f1)")</f>
        <v>zavézt (v-w9275f1)</v>
      </c>
    </row>
    <row r="67776" spans="1:4" x14ac:dyDescent="0.2">
      <c r="B67776" t="s">
        <v>1</v>
      </c>
      <c r="D67776" t="s">
        <v>7595</v>
      </c>
    </row>
    <row r="67777" spans="1:4" x14ac:dyDescent="0.2">
      <c r="B67777" t="s">
        <v>8</v>
      </c>
      <c r="D67777" t="s">
        <v>24336</v>
      </c>
    </row>
    <row r="67778" spans="1:4" x14ac:dyDescent="0.2">
      <c r="B67778" t="s">
        <v>90</v>
      </c>
      <c r="D67778" t="s">
        <v>1466</v>
      </c>
    </row>
    <row r="67780" spans="1:4" x14ac:dyDescent="0.2">
      <c r="A67780" t="s">
        <v>21046</v>
      </c>
      <c r="B67780" t="str">
        <f>HYPERLINK("https://lindat.mff.cuni.cz/services/teitok/pdtc10/index.php?action=vallex&amp;frame=v-w9275hsa_998", "zavézt (v-w9275hsa_998)")</f>
        <v>zavézt (v-w9275hsa_998)</v>
      </c>
    </row>
    <row r="67781" spans="1:4" x14ac:dyDescent="0.2">
      <c r="B67781" t="s">
        <v>1</v>
      </c>
    </row>
    <row r="67782" spans="1:4" x14ac:dyDescent="0.2">
      <c r="B67782" t="s">
        <v>8</v>
      </c>
    </row>
    <row r="67784" spans="1:4" x14ac:dyDescent="0.2">
      <c r="A67784" t="s">
        <v>21047</v>
      </c>
      <c r="B67784" t="str">
        <f>HYPERLINK("https://lindat.mff.cuni.cz/services/teitok/pdtc10/index.php?action=vallex&amp;frame=v-w9282f1", "zavírat (v-w9282f1)")</f>
        <v>zavírat (v-w9282f1)</v>
      </c>
    </row>
    <row r="67785" spans="1:4" x14ac:dyDescent="0.2">
      <c r="B67785" t="s">
        <v>1</v>
      </c>
      <c r="D67785" t="s">
        <v>24312</v>
      </c>
    </row>
    <row r="67786" spans="1:4" x14ac:dyDescent="0.2">
      <c r="B67786" t="s">
        <v>8</v>
      </c>
      <c r="C67786" t="s">
        <v>991</v>
      </c>
      <c r="D67786" t="s">
        <v>3789</v>
      </c>
    </row>
    <row r="67788" spans="1:4" x14ac:dyDescent="0.2">
      <c r="A67788" t="s">
        <v>21048</v>
      </c>
      <c r="B67788" t="str">
        <f>HYPERLINK("https://lindat.mff.cuni.cz/services/teitok/pdtc10/index.php?action=vallex&amp;frame=v-w9282f3", "zavírat (v-w9282f3)")</f>
        <v>zavírat (v-w9282f3)</v>
      </c>
    </row>
    <row r="67789" spans="1:4" x14ac:dyDescent="0.2">
      <c r="B67789" t="s">
        <v>1</v>
      </c>
      <c r="C67789" t="s">
        <v>334</v>
      </c>
    </row>
    <row r="67790" spans="1:4" x14ac:dyDescent="0.2">
      <c r="B67790" t="s">
        <v>8</v>
      </c>
      <c r="C67790" t="s">
        <v>21049</v>
      </c>
    </row>
    <row r="67792" spans="1:4" x14ac:dyDescent="0.2">
      <c r="A67792" t="s">
        <v>21050</v>
      </c>
      <c r="B67792" t="str">
        <f>HYPERLINK("https://lindat.mff.cuni.cz/services/teitok/pdtc10/index.php?action=vallex&amp;frame=v-w9282f2", "zavírat (v-w9282f2)")</f>
        <v>zavírat (v-w9282f2)</v>
      </c>
    </row>
    <row r="67793" spans="1:3" x14ac:dyDescent="0.2">
      <c r="B67793" t="s">
        <v>1</v>
      </c>
    </row>
    <row r="67794" spans="1:3" x14ac:dyDescent="0.2">
      <c r="B67794" t="s">
        <v>8</v>
      </c>
    </row>
    <row r="67796" spans="1:3" x14ac:dyDescent="0.2">
      <c r="A67796" t="s">
        <v>21051</v>
      </c>
      <c r="B67796" t="str">
        <f>HYPERLINK("https://lindat.mff.cuni.cz/services/teitok/pdtc10/index.php?action=vallex&amp;frame=v-w9282f5_ZU", "zavírat (v-w9282f5_ZU)")</f>
        <v>zavírat (v-w9282f5_ZU)</v>
      </c>
    </row>
    <row r="67797" spans="1:3" x14ac:dyDescent="0.2">
      <c r="B67797" t="s">
        <v>1</v>
      </c>
    </row>
    <row r="67798" spans="1:3" x14ac:dyDescent="0.2">
      <c r="B67798" t="s">
        <v>3495</v>
      </c>
    </row>
    <row r="67799" spans="1:3" x14ac:dyDescent="0.2">
      <c r="B67799" t="s">
        <v>8149</v>
      </c>
    </row>
    <row r="67801" spans="1:3" x14ac:dyDescent="0.2">
      <c r="A67801" t="s">
        <v>21051</v>
      </c>
      <c r="B67801" t="str">
        <f>HYPERLINK("https://lindat.mff.cuni.cz/services/teitok/pdtc10/index.php?action=vallex&amp;frame=v-w9282f4_ZU", "zavírat (v-w9282f4_ZU) - substituted with v-w9282f5_ZU")</f>
        <v>zavírat (v-w9282f4_ZU) - substituted with v-w9282f5_ZU</v>
      </c>
    </row>
    <row r="67802" spans="1:3" x14ac:dyDescent="0.2">
      <c r="B67802" t="s">
        <v>1</v>
      </c>
    </row>
    <row r="67803" spans="1:3" x14ac:dyDescent="0.2">
      <c r="B67803" t="s">
        <v>3495</v>
      </c>
    </row>
    <row r="67804" spans="1:3" x14ac:dyDescent="0.2">
      <c r="B67804" t="s">
        <v>8149</v>
      </c>
    </row>
    <row r="67806" spans="1:3" x14ac:dyDescent="0.2">
      <c r="A67806" t="s">
        <v>21052</v>
      </c>
      <c r="B67806" t="str">
        <f>HYPERLINK("https://lindat.mff.cuni.cz/services/teitok/pdtc10/index.php?action=vallex&amp;frame=v-w9282hsa_1211", "zavírat (v-w9282hsa_1211)")</f>
        <v>zavírat (v-w9282hsa_1211)</v>
      </c>
    </row>
    <row r="67807" spans="1:3" x14ac:dyDescent="0.2">
      <c r="B67807" t="s">
        <v>1</v>
      </c>
      <c r="C67807" t="s">
        <v>16759</v>
      </c>
    </row>
    <row r="67809" spans="1:3" x14ac:dyDescent="0.2">
      <c r="A67809" t="s">
        <v>21053</v>
      </c>
      <c r="B67809" t="str">
        <f>HYPERLINK("https://lindat.mff.cuni.cz/services/teitok/pdtc10/index.php?action=vallex&amp;frame=v-w9282f6_ZU", "zavírat (v-w9282f6_ZU)")</f>
        <v>zavírat (v-w9282f6_ZU)</v>
      </c>
    </row>
    <row r="67810" spans="1:3" x14ac:dyDescent="0.2">
      <c r="B67810" t="s">
        <v>1</v>
      </c>
      <c r="C67810" t="s">
        <v>249</v>
      </c>
    </row>
    <row r="67811" spans="1:3" x14ac:dyDescent="0.2">
      <c r="B67811" t="s">
        <v>14718</v>
      </c>
    </row>
    <row r="67812" spans="1:3" x14ac:dyDescent="0.2">
      <c r="B67812" t="s">
        <v>5328</v>
      </c>
    </row>
    <row r="67814" spans="1:3" x14ac:dyDescent="0.2">
      <c r="A67814" t="s">
        <v>21053</v>
      </c>
      <c r="B67814" t="str">
        <f>HYPERLINK("https://lindat.mff.cuni.cz/services/teitok/pdtc10/index.php?action=vallex&amp;frame=v-w9282hsa_1212", "zavírat (v-w9282hsa_1212) - substituted with v-w9282f6_ZU")</f>
        <v>zavírat (v-w9282hsa_1212) - substituted with v-w9282f6_ZU</v>
      </c>
    </row>
    <row r="67815" spans="1:3" x14ac:dyDescent="0.2">
      <c r="B67815" t="s">
        <v>1</v>
      </c>
    </row>
    <row r="67816" spans="1:3" x14ac:dyDescent="0.2">
      <c r="B67816" t="s">
        <v>14718</v>
      </c>
    </row>
    <row r="67817" spans="1:3" x14ac:dyDescent="0.2">
      <c r="B67817" t="s">
        <v>5328</v>
      </c>
    </row>
    <row r="67819" spans="1:3" x14ac:dyDescent="0.2">
      <c r="A67819" t="s">
        <v>21054</v>
      </c>
      <c r="B67819" t="str">
        <f>HYPERLINK("https://lindat.mff.cuni.cz/services/teitok/pdtc10/index.php?action=vallex&amp;frame=v-w9282f7_ZU", "zavírat (v-w9282f7_ZU)")</f>
        <v>zavírat (v-w9282f7_ZU)</v>
      </c>
    </row>
    <row r="67820" spans="1:3" x14ac:dyDescent="0.2">
      <c r="B67820" t="s">
        <v>1</v>
      </c>
    </row>
    <row r="67821" spans="1:3" x14ac:dyDescent="0.2">
      <c r="B67821" t="s">
        <v>8</v>
      </c>
    </row>
    <row r="67823" spans="1:3" x14ac:dyDescent="0.2">
      <c r="A67823" t="s">
        <v>21055</v>
      </c>
      <c r="B67823" t="str">
        <f>HYPERLINK("https://lindat.mff.cuni.cz/services/teitok/pdtc10/index.php?action=vallex&amp;frame=v-w9288f1", "zavítat (v-w9288f1)")</f>
        <v>zavítat (v-w9288f1)</v>
      </c>
    </row>
    <row r="67824" spans="1:3" x14ac:dyDescent="0.2">
      <c r="B67824" t="s">
        <v>1</v>
      </c>
    </row>
    <row r="67825" spans="1:4" x14ac:dyDescent="0.2">
      <c r="B67825" t="s">
        <v>90</v>
      </c>
    </row>
    <row r="67827" spans="1:4" x14ac:dyDescent="0.2">
      <c r="A67827" t="s">
        <v>21056</v>
      </c>
      <c r="B67827" t="str">
        <f>HYPERLINK("https://lindat.mff.cuni.cz/services/teitok/pdtc10/index.php?action=vallex&amp;frame=v-w9272f1", "zavěsit (v-w9272f1)")</f>
        <v>zavěsit (v-w9272f1)</v>
      </c>
    </row>
    <row r="67828" spans="1:4" x14ac:dyDescent="0.2">
      <c r="B67828" t="s">
        <v>1</v>
      </c>
      <c r="C67828" t="s">
        <v>2458</v>
      </c>
    </row>
    <row r="67829" spans="1:4" x14ac:dyDescent="0.2">
      <c r="B67829" t="s">
        <v>8</v>
      </c>
      <c r="C67829" t="s">
        <v>21057</v>
      </c>
    </row>
    <row r="67831" spans="1:4" x14ac:dyDescent="0.2">
      <c r="A67831" t="s">
        <v>21058</v>
      </c>
      <c r="B67831" t="str">
        <f>HYPERLINK("https://lindat.mff.cuni.cz/services/teitok/pdtc10/index.php?action=vallex&amp;frame=v-w11640_ZUf1_ZU", "zavětřit (v-w11640_ZUf1_ZU)")</f>
        <v>zavětřit (v-w11640_ZUf1_ZU)</v>
      </c>
    </row>
    <row r="67832" spans="1:4" x14ac:dyDescent="0.2">
      <c r="B67832" t="s">
        <v>1</v>
      </c>
      <c r="D67832" t="s">
        <v>3542</v>
      </c>
    </row>
    <row r="67833" spans="1:4" x14ac:dyDescent="0.2">
      <c r="B67833" t="s">
        <v>8</v>
      </c>
      <c r="D67833" t="s">
        <v>1078</v>
      </c>
    </row>
    <row r="67835" spans="1:4" x14ac:dyDescent="0.2">
      <c r="A67835" t="s">
        <v>21059</v>
      </c>
      <c r="B67835" t="str">
        <f>HYPERLINK("https://lindat.mff.cuni.cz/services/teitok/pdtc10/index.php?action=vallex&amp;frame=v-w10970f2", "zavěšovat (v-w10970f2)")</f>
        <v>zavěšovat (v-w10970f2)</v>
      </c>
    </row>
    <row r="67836" spans="1:4" x14ac:dyDescent="0.2">
      <c r="B67836" t="s">
        <v>1</v>
      </c>
    </row>
    <row r="67837" spans="1:4" x14ac:dyDescent="0.2">
      <c r="B67837" t="s">
        <v>8</v>
      </c>
    </row>
    <row r="67839" spans="1:4" x14ac:dyDescent="0.2">
      <c r="A67839" t="s">
        <v>21060</v>
      </c>
      <c r="B67839" t="str">
        <f>HYPERLINK("https://lindat.mff.cuni.cz/services/teitok/pdtc10/index.php?action=vallex&amp;frame=v-w9309f9_ZU", "zavřít (v-w9309f9_ZU)")</f>
        <v>zavřít (v-w9309f9_ZU)</v>
      </c>
    </row>
    <row r="67840" spans="1:4" x14ac:dyDescent="0.2">
      <c r="B67840" t="s">
        <v>1</v>
      </c>
    </row>
    <row r="67841" spans="1:4" x14ac:dyDescent="0.2">
      <c r="B67841" t="s">
        <v>8</v>
      </c>
    </row>
    <row r="67843" spans="1:4" x14ac:dyDescent="0.2">
      <c r="A67843" t="s">
        <v>21060</v>
      </c>
      <c r="B67843" t="str">
        <f>HYPERLINK("https://lindat.mff.cuni.cz/services/teitok/pdtc10/index.php?action=vallex&amp;frame=v-w9309f1", "zavřít (v-w9309f1) - substituted with v-w9309f9_ZU")</f>
        <v>zavřít (v-w9309f1) - substituted with v-w9309f9_ZU</v>
      </c>
    </row>
    <row r="67844" spans="1:4" x14ac:dyDescent="0.2">
      <c r="B67844" t="s">
        <v>1</v>
      </c>
      <c r="C67844" t="s">
        <v>21061</v>
      </c>
      <c r="D67844" t="s">
        <v>24313</v>
      </c>
    </row>
    <row r="67845" spans="1:4" x14ac:dyDescent="0.2">
      <c r="B67845" t="s">
        <v>8</v>
      </c>
      <c r="C67845" t="s">
        <v>14835</v>
      </c>
      <c r="D67845" t="s">
        <v>1721</v>
      </c>
    </row>
    <row r="67847" spans="1:4" x14ac:dyDescent="0.2">
      <c r="A67847" t="s">
        <v>21062</v>
      </c>
      <c r="B67847" t="str">
        <f>HYPERLINK("https://lindat.mff.cuni.cz/services/teitok/pdtc10/index.php?action=vallex&amp;frame=v-w9309f2", "zavřít (v-w9309f2)")</f>
        <v>zavřít (v-w9309f2)</v>
      </c>
    </row>
    <row r="67848" spans="1:4" x14ac:dyDescent="0.2">
      <c r="B67848" t="s">
        <v>1</v>
      </c>
      <c r="C67848" t="s">
        <v>21063</v>
      </c>
    </row>
    <row r="67849" spans="1:4" x14ac:dyDescent="0.2">
      <c r="B67849" t="s">
        <v>8</v>
      </c>
      <c r="C67849" t="s">
        <v>1996</v>
      </c>
    </row>
    <row r="67851" spans="1:4" x14ac:dyDescent="0.2">
      <c r="A67851" t="s">
        <v>21064</v>
      </c>
      <c r="B67851" t="str">
        <f>HYPERLINK("https://lindat.mff.cuni.cz/services/teitok/pdtc10/index.php?action=vallex&amp;frame=v-w9309f4", "zavřít (v-w9309f4)")</f>
        <v>zavřít (v-w9309f4)</v>
      </c>
    </row>
    <row r="67852" spans="1:4" x14ac:dyDescent="0.2">
      <c r="B67852" t="s">
        <v>1</v>
      </c>
      <c r="C67852" t="s">
        <v>2749</v>
      </c>
      <c r="D67852" t="s">
        <v>2303</v>
      </c>
    </row>
    <row r="67853" spans="1:4" x14ac:dyDescent="0.2">
      <c r="B67853" t="s">
        <v>8</v>
      </c>
      <c r="C67853" t="s">
        <v>2750</v>
      </c>
      <c r="D67853" t="s">
        <v>3433</v>
      </c>
    </row>
    <row r="67855" spans="1:4" x14ac:dyDescent="0.2">
      <c r="A67855" t="s">
        <v>21065</v>
      </c>
      <c r="B67855" t="str">
        <f>HYPERLINK("https://lindat.mff.cuni.cz/services/teitok/pdtc10/index.php?action=vallex&amp;frame=v-w9309f5", "zavřít (v-w9309f5)")</f>
        <v>zavřít (v-w9309f5)</v>
      </c>
    </row>
    <row r="67856" spans="1:4" x14ac:dyDescent="0.2">
      <c r="B67856" t="s">
        <v>1</v>
      </c>
      <c r="C67856" t="s">
        <v>16759</v>
      </c>
    </row>
    <row r="67857" spans="1:3" x14ac:dyDescent="0.2">
      <c r="B67857" t="s">
        <v>8</v>
      </c>
      <c r="C67857" t="s">
        <v>68</v>
      </c>
    </row>
    <row r="67859" spans="1:3" x14ac:dyDescent="0.2">
      <c r="A67859" t="s">
        <v>21066</v>
      </c>
      <c r="B67859" t="str">
        <f>HYPERLINK("https://lindat.mff.cuni.cz/services/teitok/pdtc10/index.php?action=vallex&amp;frame=v-w9309f7_ZU", "zavřít (v-w9309f7_ZU)")</f>
        <v>zavřít (v-w9309f7_ZU)</v>
      </c>
    </row>
    <row r="67860" spans="1:3" x14ac:dyDescent="0.2">
      <c r="B67860" t="s">
        <v>1</v>
      </c>
    </row>
    <row r="67862" spans="1:3" x14ac:dyDescent="0.2">
      <c r="A67862" t="s">
        <v>21066</v>
      </c>
      <c r="B67862" t="str">
        <f>HYPERLINK("https://lindat.mff.cuni.cz/services/teitok/pdtc10/index.php?action=vallex&amp;frame=v-w9309f6_ZU", "zavřít (v-w9309f6_ZU) - substituted with v-w9309f7_ZU")</f>
        <v>zavřít (v-w9309f6_ZU) - substituted with v-w9309f7_ZU</v>
      </c>
    </row>
    <row r="67863" spans="1:3" x14ac:dyDescent="0.2">
      <c r="B67863" t="s">
        <v>1</v>
      </c>
    </row>
    <row r="67865" spans="1:3" x14ac:dyDescent="0.2">
      <c r="A67865" t="s">
        <v>21067</v>
      </c>
      <c r="B67865" t="str">
        <f>HYPERLINK("https://lindat.mff.cuni.cz/services/teitok/pdtc10/index.php?action=vallex&amp;frame=v-w9309f3", "zavřít (v-w9309f3)")</f>
        <v>zavřít (v-w9309f3)</v>
      </c>
    </row>
    <row r="67866" spans="1:3" x14ac:dyDescent="0.2">
      <c r="B67866" t="s">
        <v>1</v>
      </c>
    </row>
    <row r="67867" spans="1:3" x14ac:dyDescent="0.2">
      <c r="B67867" t="s">
        <v>21068</v>
      </c>
    </row>
    <row r="67868" spans="1:3" x14ac:dyDescent="0.2">
      <c r="B67868" t="s">
        <v>103</v>
      </c>
    </row>
    <row r="67870" spans="1:3" x14ac:dyDescent="0.2">
      <c r="A67870" t="s">
        <v>21069</v>
      </c>
      <c r="B67870" t="str">
        <f>HYPERLINK("https://lindat.mff.cuni.cz/services/teitok/pdtc10/index.php?action=vallex&amp;frame=v-w9309hsa_312", "zavřít (v-w9309hsa_312)")</f>
        <v>zavřít (v-w9309hsa_312)</v>
      </c>
    </row>
    <row r="67871" spans="1:3" x14ac:dyDescent="0.2">
      <c r="B67871" t="s">
        <v>1</v>
      </c>
    </row>
    <row r="67872" spans="1:3" x14ac:dyDescent="0.2">
      <c r="B67872" t="s">
        <v>1245</v>
      </c>
    </row>
    <row r="67873" spans="1:4" x14ac:dyDescent="0.2">
      <c r="B67873" t="s">
        <v>346</v>
      </c>
    </row>
    <row r="67874" spans="1:4" x14ac:dyDescent="0.2">
      <c r="B67874" t="s">
        <v>349</v>
      </c>
    </row>
    <row r="67876" spans="1:4" x14ac:dyDescent="0.2">
      <c r="A67876" t="s">
        <v>21070</v>
      </c>
      <c r="B67876" t="str">
        <f>HYPERLINK("https://lindat.mff.cuni.cz/services/teitok/pdtc10/index.php?action=vallex&amp;frame=v-w9309f8_ZU", "zavřít (v-w9309f8_ZU)")</f>
        <v>zavřít (v-w9309f8_ZU)</v>
      </c>
    </row>
    <row r="67877" spans="1:4" x14ac:dyDescent="0.2">
      <c r="B67877" t="s">
        <v>1</v>
      </c>
    </row>
    <row r="67878" spans="1:4" x14ac:dyDescent="0.2">
      <c r="B67878" t="s">
        <v>14718</v>
      </c>
    </row>
    <row r="67880" spans="1:4" x14ac:dyDescent="0.2">
      <c r="A67880" t="s">
        <v>21070</v>
      </c>
      <c r="B67880" t="str">
        <f>HYPERLINK("https://lindat.mff.cuni.cz/services/teitok/pdtc10/index.php?action=vallex&amp;frame=v-w9309hsa_244", "zavřít (v-w9309hsa_244) - substituted with v-w9309f8_ZU")</f>
        <v>zavřít (v-w9309hsa_244) - substituted with v-w9309f8_ZU</v>
      </c>
    </row>
    <row r="67881" spans="1:4" x14ac:dyDescent="0.2">
      <c r="B67881" t="s">
        <v>1</v>
      </c>
    </row>
    <row r="67882" spans="1:4" x14ac:dyDescent="0.2">
      <c r="B67882" t="s">
        <v>14718</v>
      </c>
    </row>
    <row r="67884" spans="1:4" x14ac:dyDescent="0.2">
      <c r="A67884" t="s">
        <v>21071</v>
      </c>
      <c r="B67884" t="str">
        <f>HYPERLINK("https://lindat.mff.cuni.cz/services/teitok/pdtc10/index.php?action=vallex&amp;frame=v-w9310f1", "zavřít se (v-w9310f1)")</f>
        <v>zavřít se (v-w9310f1)</v>
      </c>
    </row>
    <row r="67885" spans="1:4" x14ac:dyDescent="0.2">
      <c r="B67885" t="s">
        <v>1</v>
      </c>
      <c r="D67885" t="s">
        <v>24509</v>
      </c>
    </row>
    <row r="67887" spans="1:4" x14ac:dyDescent="0.2">
      <c r="A67887" t="s">
        <v>21072</v>
      </c>
      <c r="B67887" t="str">
        <f>HYPERLINK("https://lindat.mff.cuni.cz/services/teitok/pdtc10/index.php?action=vallex&amp;frame=v-w12336_MMf1_MM", "zazelenit se (v-w12336_MMf1_MM)")</f>
        <v>zazelenit se (v-w12336_MMf1_MM)</v>
      </c>
    </row>
    <row r="67888" spans="1:4" x14ac:dyDescent="0.2">
      <c r="B67888" t="s">
        <v>1</v>
      </c>
    </row>
    <row r="67890" spans="1:4" x14ac:dyDescent="0.2">
      <c r="A67890" t="s">
        <v>21073</v>
      </c>
      <c r="B67890" t="str">
        <f>HYPERLINK("https://lindat.mff.cuni.cz/services/teitok/pdtc10/index.php?action=vallex&amp;frame=v-whsa_1227hsa_1228", "zazimovat (v-whsa_1227hsa_1228)")</f>
        <v>zazimovat (v-whsa_1227hsa_1228)</v>
      </c>
    </row>
    <row r="67891" spans="1:4" x14ac:dyDescent="0.2">
      <c r="B67891" t="s">
        <v>1</v>
      </c>
    </row>
    <row r="67892" spans="1:4" x14ac:dyDescent="0.2">
      <c r="B67892" t="s">
        <v>8</v>
      </c>
    </row>
    <row r="67894" spans="1:4" x14ac:dyDescent="0.2">
      <c r="A67894" t="s">
        <v>21074</v>
      </c>
      <c r="B67894" t="str">
        <f>HYPERLINK("https://lindat.mff.cuni.cz/services/teitok/pdtc10/index.php?action=vallex&amp;frame=v-w11783_ZUf1_ZU", "zazimovávat (v-w11783_ZUf1_ZU)")</f>
        <v>zazimovávat (v-w11783_ZUf1_ZU)</v>
      </c>
    </row>
    <row r="67895" spans="1:4" x14ac:dyDescent="0.2">
      <c r="B67895" t="s">
        <v>1</v>
      </c>
    </row>
    <row r="67896" spans="1:4" x14ac:dyDescent="0.2">
      <c r="B67896" t="s">
        <v>8</v>
      </c>
    </row>
    <row r="67898" spans="1:4" x14ac:dyDescent="0.2">
      <c r="A67898" t="s">
        <v>21075</v>
      </c>
      <c r="B67898" t="str">
        <f>HYPERLINK("https://lindat.mff.cuni.cz/services/teitok/pdtc10/index.php?action=vallex&amp;frame=v-w9314f1", "zazlívat (v-w9314f1)")</f>
        <v>zazlívat (v-w9314f1)</v>
      </c>
    </row>
    <row r="67899" spans="1:4" x14ac:dyDescent="0.2">
      <c r="B67899" t="s">
        <v>1</v>
      </c>
      <c r="C67899" t="s">
        <v>1524</v>
      </c>
      <c r="D67899" t="s">
        <v>990</v>
      </c>
    </row>
    <row r="67900" spans="1:4" x14ac:dyDescent="0.2">
      <c r="B67900" t="s">
        <v>41</v>
      </c>
      <c r="C67900" t="s">
        <v>21076</v>
      </c>
      <c r="D67900" t="s">
        <v>4141</v>
      </c>
    </row>
    <row r="67901" spans="1:4" x14ac:dyDescent="0.2">
      <c r="B67901" t="s">
        <v>35</v>
      </c>
      <c r="C67901" t="s">
        <v>21077</v>
      </c>
      <c r="D67901" t="s">
        <v>7520</v>
      </c>
    </row>
    <row r="67903" spans="1:4" x14ac:dyDescent="0.2">
      <c r="A67903" t="s">
        <v>21078</v>
      </c>
      <c r="B67903" t="str">
        <f>HYPERLINK("https://lindat.mff.cuni.cz/services/teitok/pdtc10/index.php?action=vallex&amp;frame=v-w11641_ZUf1_ZU", "zazmatkovat (v-w11641_ZUf1_ZU)")</f>
        <v>zazmatkovat (v-w11641_ZUf1_ZU)</v>
      </c>
    </row>
    <row r="67904" spans="1:4" x14ac:dyDescent="0.2">
      <c r="B67904" t="s">
        <v>1</v>
      </c>
    </row>
    <row r="67906" spans="1:4" x14ac:dyDescent="0.2">
      <c r="A67906" t="s">
        <v>21079</v>
      </c>
      <c r="B67906" t="str">
        <f>HYPERLINK("https://lindat.mff.cuni.cz/services/teitok/pdtc10/index.php?action=vallex&amp;frame=v-w9317f1", "zaznamenat (v-w9317f1)")</f>
        <v>zaznamenat (v-w9317f1)</v>
      </c>
    </row>
    <row r="67907" spans="1:4" x14ac:dyDescent="0.2">
      <c r="B67907" t="s">
        <v>1</v>
      </c>
      <c r="C67907" t="s">
        <v>21080</v>
      </c>
      <c r="D67907" t="s">
        <v>24458</v>
      </c>
    </row>
    <row r="67908" spans="1:4" x14ac:dyDescent="0.2">
      <c r="B67908" t="s">
        <v>14212</v>
      </c>
      <c r="C67908" t="s">
        <v>21081</v>
      </c>
      <c r="D67908" t="s">
        <v>24459</v>
      </c>
    </row>
    <row r="67910" spans="1:4" x14ac:dyDescent="0.2">
      <c r="A67910" t="s">
        <v>21082</v>
      </c>
      <c r="B67910" t="str">
        <f>HYPERLINK("https://lindat.mff.cuni.cz/services/teitok/pdtc10/index.php?action=vallex&amp;frame=v-w9317f5", "zaznamenat (v-w9317f5)")</f>
        <v>zaznamenat (v-w9317f5)</v>
      </c>
    </row>
    <row r="67911" spans="1:4" x14ac:dyDescent="0.2">
      <c r="B67911" t="s">
        <v>1</v>
      </c>
      <c r="C67911" t="s">
        <v>21083</v>
      </c>
      <c r="D67911" t="s">
        <v>1271</v>
      </c>
    </row>
    <row r="67912" spans="1:4" x14ac:dyDescent="0.2">
      <c r="B67912" t="s">
        <v>14212</v>
      </c>
      <c r="C67912" t="s">
        <v>21084</v>
      </c>
      <c r="D67912" t="s">
        <v>24114</v>
      </c>
    </row>
    <row r="67914" spans="1:4" x14ac:dyDescent="0.2">
      <c r="A67914" t="s">
        <v>21085</v>
      </c>
      <c r="B67914" t="str">
        <f>HYPERLINK("https://lindat.mff.cuni.cz/services/teitok/pdtc10/index.php?action=vallex&amp;frame=v-w9317f3", "zaznamenat (v-w9317f3)")</f>
        <v>zaznamenat (v-w9317f3)</v>
      </c>
    </row>
    <row r="67915" spans="1:4" x14ac:dyDescent="0.2">
      <c r="B67915" t="s">
        <v>1</v>
      </c>
      <c r="C67915" t="s">
        <v>21086</v>
      </c>
      <c r="D67915" t="s">
        <v>23142</v>
      </c>
    </row>
    <row r="67916" spans="1:4" x14ac:dyDescent="0.2">
      <c r="B67916" t="s">
        <v>8</v>
      </c>
      <c r="C67916" t="s">
        <v>21087</v>
      </c>
      <c r="D67916" t="s">
        <v>23143</v>
      </c>
    </row>
    <row r="67918" spans="1:4" x14ac:dyDescent="0.2">
      <c r="A67918" t="s">
        <v>21088</v>
      </c>
      <c r="B67918" t="str">
        <f>HYPERLINK("https://lindat.mff.cuni.cz/services/teitok/pdtc10/index.php?action=vallex&amp;frame=v-w9317f4", "zaznamenat (v-w9317f4)")</f>
        <v>zaznamenat (v-w9317f4)</v>
      </c>
    </row>
    <row r="67919" spans="1:4" x14ac:dyDescent="0.2">
      <c r="B67919" t="s">
        <v>1</v>
      </c>
    </row>
    <row r="67920" spans="1:4" x14ac:dyDescent="0.2">
      <c r="B67920" t="s">
        <v>11405</v>
      </c>
    </row>
    <row r="67921" spans="1:4" x14ac:dyDescent="0.2">
      <c r="B67921" t="s">
        <v>269</v>
      </c>
    </row>
    <row r="67923" spans="1:4" x14ac:dyDescent="0.2">
      <c r="A67923" t="s">
        <v>21089</v>
      </c>
      <c r="B67923" t="str">
        <f>HYPERLINK("https://lindat.mff.cuni.cz/services/teitok/pdtc10/index.php?action=vallex&amp;frame=v-w9317f20_ZU", "zaznamenat (v-w9317f20_ZU)")</f>
        <v>zaznamenat (v-w9317f20_ZU)</v>
      </c>
    </row>
    <row r="67924" spans="1:4" x14ac:dyDescent="0.2">
      <c r="B67924" t="s">
        <v>1</v>
      </c>
      <c r="C67924" t="s">
        <v>21090</v>
      </c>
      <c r="D67924" t="s">
        <v>24510</v>
      </c>
    </row>
    <row r="67925" spans="1:4" x14ac:dyDescent="0.2">
      <c r="B67925" t="s">
        <v>21091</v>
      </c>
      <c r="C67925" t="s">
        <v>21092</v>
      </c>
      <c r="D67925" t="s">
        <v>24511</v>
      </c>
    </row>
    <row r="67927" spans="1:4" x14ac:dyDescent="0.2">
      <c r="A67927" t="s">
        <v>21089</v>
      </c>
      <c r="B67927" t="str">
        <f>HYPERLINK("https://lindat.mff.cuni.cz/services/teitok/pdtc10/index.php?action=vallex&amp;frame=v-w9317f10_ZU", "zaznamenat (v-w9317f10_ZU) - substituted with v-w9317f20_ZU")</f>
        <v>zaznamenat (v-w9317f10_ZU) - substituted with v-w9317f20_ZU</v>
      </c>
    </row>
    <row r="67928" spans="1:4" x14ac:dyDescent="0.2">
      <c r="B67928" t="s">
        <v>1</v>
      </c>
      <c r="C67928" t="s">
        <v>21093</v>
      </c>
    </row>
    <row r="67929" spans="1:4" x14ac:dyDescent="0.2">
      <c r="B67929" t="s">
        <v>21091</v>
      </c>
      <c r="C67929" t="s">
        <v>21094</v>
      </c>
    </row>
    <row r="67931" spans="1:4" x14ac:dyDescent="0.2">
      <c r="A67931" t="s">
        <v>21089</v>
      </c>
      <c r="B67931" t="str">
        <f>HYPERLINK("https://lindat.mff.cuni.cz/services/teitok/pdtc10/index.php?action=vallex&amp;frame=v-w9317f11_ZU", "zaznamenat (v-w9317f11_ZU) - substituted with v-w9317f20_ZU")</f>
        <v>zaznamenat (v-w9317f11_ZU) - substituted with v-w9317f20_ZU</v>
      </c>
    </row>
    <row r="67932" spans="1:4" x14ac:dyDescent="0.2">
      <c r="B67932" t="s">
        <v>1</v>
      </c>
    </row>
    <row r="67933" spans="1:4" x14ac:dyDescent="0.2">
      <c r="B67933" t="s">
        <v>21091</v>
      </c>
    </row>
    <row r="67935" spans="1:4" x14ac:dyDescent="0.2">
      <c r="A67935" t="s">
        <v>21089</v>
      </c>
      <c r="B67935" t="str">
        <f>HYPERLINK("https://lindat.mff.cuni.cz/services/teitok/pdtc10/index.php?action=vallex&amp;frame=v-w9317f12_ZU", "zaznamenat (v-w9317f12_ZU) - substituted with v-w9317f20_ZU")</f>
        <v>zaznamenat (v-w9317f12_ZU) - substituted with v-w9317f20_ZU</v>
      </c>
    </row>
    <row r="67936" spans="1:4" x14ac:dyDescent="0.2">
      <c r="B67936" t="s">
        <v>1</v>
      </c>
    </row>
    <row r="67937" spans="1:3" x14ac:dyDescent="0.2">
      <c r="B67937" t="s">
        <v>21091</v>
      </c>
    </row>
    <row r="67939" spans="1:3" x14ac:dyDescent="0.2">
      <c r="A67939" t="s">
        <v>21089</v>
      </c>
      <c r="B67939" t="str">
        <f>HYPERLINK("https://lindat.mff.cuni.cz/services/teitok/pdtc10/index.php?action=vallex&amp;frame=v-w9317f13_ZU", "zaznamenat (v-w9317f13_ZU) - substituted with v-w9317f20_ZU")</f>
        <v>zaznamenat (v-w9317f13_ZU) - substituted with v-w9317f20_ZU</v>
      </c>
    </row>
    <row r="67940" spans="1:3" x14ac:dyDescent="0.2">
      <c r="B67940" t="s">
        <v>1</v>
      </c>
      <c r="C67940" t="s">
        <v>21095</v>
      </c>
    </row>
    <row r="67941" spans="1:3" x14ac:dyDescent="0.2">
      <c r="B67941" t="s">
        <v>21091</v>
      </c>
      <c r="C67941" t="s">
        <v>21096</v>
      </c>
    </row>
    <row r="67943" spans="1:3" x14ac:dyDescent="0.2">
      <c r="A67943" t="s">
        <v>21089</v>
      </c>
      <c r="B67943" t="str">
        <f>HYPERLINK("https://lindat.mff.cuni.cz/services/teitok/pdtc10/index.php?action=vallex&amp;frame=v-w9317f14_ZU", "zaznamenat (v-w9317f14_ZU) - substituted with v-w9317f20_ZU")</f>
        <v>zaznamenat (v-w9317f14_ZU) - substituted with v-w9317f20_ZU</v>
      </c>
    </row>
    <row r="67944" spans="1:3" x14ac:dyDescent="0.2">
      <c r="B67944" t="s">
        <v>1</v>
      </c>
      <c r="C67944" t="s">
        <v>21097</v>
      </c>
    </row>
    <row r="67945" spans="1:3" x14ac:dyDescent="0.2">
      <c r="B67945" t="s">
        <v>21091</v>
      </c>
      <c r="C67945" t="s">
        <v>21098</v>
      </c>
    </row>
    <row r="67947" spans="1:3" x14ac:dyDescent="0.2">
      <c r="A67947" t="s">
        <v>21089</v>
      </c>
      <c r="B67947" t="str">
        <f>HYPERLINK("https://lindat.mff.cuni.cz/services/teitok/pdtc10/index.php?action=vallex&amp;frame=v-w9317f15_ZU", "zaznamenat (v-w9317f15_ZU) - substituted with v-w9317f20_ZU")</f>
        <v>zaznamenat (v-w9317f15_ZU) - substituted with v-w9317f20_ZU</v>
      </c>
    </row>
    <row r="67948" spans="1:3" x14ac:dyDescent="0.2">
      <c r="B67948" t="s">
        <v>1</v>
      </c>
      <c r="C67948" t="s">
        <v>21099</v>
      </c>
    </row>
    <row r="67949" spans="1:3" x14ac:dyDescent="0.2">
      <c r="B67949" t="s">
        <v>21091</v>
      </c>
      <c r="C67949" t="s">
        <v>21100</v>
      </c>
    </row>
    <row r="67951" spans="1:3" x14ac:dyDescent="0.2">
      <c r="A67951" t="s">
        <v>21089</v>
      </c>
      <c r="B67951" t="str">
        <f>HYPERLINK("https://lindat.mff.cuni.cz/services/teitok/pdtc10/index.php?action=vallex&amp;frame=v-w9317f16_ZU", "zaznamenat (v-w9317f16_ZU) - substituted with v-w9317f20_ZU")</f>
        <v>zaznamenat (v-w9317f16_ZU) - substituted with v-w9317f20_ZU</v>
      </c>
    </row>
    <row r="67952" spans="1:3" x14ac:dyDescent="0.2">
      <c r="B67952" t="s">
        <v>1</v>
      </c>
      <c r="C67952" t="s">
        <v>3358</v>
      </c>
    </row>
    <row r="67953" spans="1:3" x14ac:dyDescent="0.2">
      <c r="B67953" t="s">
        <v>21091</v>
      </c>
      <c r="C67953" t="s">
        <v>21101</v>
      </c>
    </row>
    <row r="67955" spans="1:3" x14ac:dyDescent="0.2">
      <c r="A67955" t="s">
        <v>21089</v>
      </c>
      <c r="B67955" t="str">
        <f>HYPERLINK("https://lindat.mff.cuni.cz/services/teitok/pdtc10/index.php?action=vallex&amp;frame=v-w9317f17_ZU", "zaznamenat (v-w9317f17_ZU) - substituted with v-w9317f20_ZU")</f>
        <v>zaznamenat (v-w9317f17_ZU) - substituted with v-w9317f20_ZU</v>
      </c>
    </row>
    <row r="67956" spans="1:3" x14ac:dyDescent="0.2">
      <c r="B67956" t="s">
        <v>1</v>
      </c>
      <c r="C67956" t="s">
        <v>230</v>
      </c>
    </row>
    <row r="67957" spans="1:3" x14ac:dyDescent="0.2">
      <c r="B67957" t="s">
        <v>21091</v>
      </c>
      <c r="C67957" t="s">
        <v>21102</v>
      </c>
    </row>
    <row r="67959" spans="1:3" x14ac:dyDescent="0.2">
      <c r="A67959" t="s">
        <v>21089</v>
      </c>
      <c r="B67959" t="str">
        <f>HYPERLINK("https://lindat.mff.cuni.cz/services/teitok/pdtc10/index.php?action=vallex&amp;frame=v-w9317f18_ZU", "zaznamenat (v-w9317f18_ZU) - substituted with v-w9317f20_ZU")</f>
        <v>zaznamenat (v-w9317f18_ZU) - substituted with v-w9317f20_ZU</v>
      </c>
    </row>
    <row r="67960" spans="1:3" x14ac:dyDescent="0.2">
      <c r="B67960" t="s">
        <v>1</v>
      </c>
    </row>
    <row r="67961" spans="1:3" x14ac:dyDescent="0.2">
      <c r="B67961" t="s">
        <v>21091</v>
      </c>
    </row>
    <row r="67963" spans="1:3" x14ac:dyDescent="0.2">
      <c r="A67963" t="s">
        <v>21089</v>
      </c>
      <c r="B67963" t="str">
        <f>HYPERLINK("https://lindat.mff.cuni.cz/services/teitok/pdtc10/index.php?action=vallex&amp;frame=v-w9317f19_ZU", "zaznamenat (v-w9317f19_ZU) - substituted with v-w9317f20_ZU")</f>
        <v>zaznamenat (v-w9317f19_ZU) - substituted with v-w9317f20_ZU</v>
      </c>
    </row>
    <row r="67964" spans="1:3" x14ac:dyDescent="0.2">
      <c r="B67964" t="s">
        <v>1</v>
      </c>
      <c r="C67964" t="s">
        <v>3277</v>
      </c>
    </row>
    <row r="67965" spans="1:3" x14ac:dyDescent="0.2">
      <c r="B67965" t="s">
        <v>21091</v>
      </c>
      <c r="C67965" t="s">
        <v>21103</v>
      </c>
    </row>
    <row r="67967" spans="1:3" x14ac:dyDescent="0.2">
      <c r="A67967" t="s">
        <v>21104</v>
      </c>
      <c r="B67967" t="str">
        <f>HYPERLINK("https://lindat.mff.cuni.cz/services/teitok/pdtc10/index.php?action=vallex&amp;frame=v-w9317f9_ZU", "zaznamenat (v-w9317f9_ZU)")</f>
        <v>zaznamenat (v-w9317f9_ZU)</v>
      </c>
    </row>
    <row r="67968" spans="1:3" x14ac:dyDescent="0.2">
      <c r="B67968" t="s">
        <v>1</v>
      </c>
    </row>
    <row r="67969" spans="1:2" x14ac:dyDescent="0.2">
      <c r="B67969" t="s">
        <v>21105</v>
      </c>
    </row>
    <row r="67971" spans="1:2" x14ac:dyDescent="0.2">
      <c r="A67971" t="s">
        <v>21104</v>
      </c>
      <c r="B67971" t="str">
        <f>HYPERLINK("https://lindat.mff.cuni.cz/services/teitok/pdtc10/index.php?action=vallex&amp;frame=v-w9317f2", "zaznamenat (v-w9317f2) - substituted with v-w9317f9_ZU")</f>
        <v>zaznamenat (v-w9317f2) - substituted with v-w9317f9_ZU</v>
      </c>
    </row>
    <row r="67972" spans="1:2" x14ac:dyDescent="0.2">
      <c r="B67972" t="s">
        <v>1</v>
      </c>
    </row>
    <row r="67973" spans="1:2" x14ac:dyDescent="0.2">
      <c r="B67973" t="s">
        <v>21105</v>
      </c>
    </row>
    <row r="67975" spans="1:2" x14ac:dyDescent="0.2">
      <c r="A67975" t="s">
        <v>21104</v>
      </c>
      <c r="B67975" t="str">
        <f>HYPERLINK("https://lindat.mff.cuni.cz/services/teitok/pdtc10/index.php?action=vallex&amp;frame=v-w9317f6_ZU", "zaznamenat (v-w9317f6_ZU) - substituted with v-w9317f9_ZU")</f>
        <v>zaznamenat (v-w9317f6_ZU) - substituted with v-w9317f9_ZU</v>
      </c>
    </row>
    <row r="67976" spans="1:2" x14ac:dyDescent="0.2">
      <c r="B67976" t="s">
        <v>1</v>
      </c>
    </row>
    <row r="67977" spans="1:2" x14ac:dyDescent="0.2">
      <c r="B67977" t="s">
        <v>21105</v>
      </c>
    </row>
    <row r="67979" spans="1:2" x14ac:dyDescent="0.2">
      <c r="A67979" t="s">
        <v>21104</v>
      </c>
      <c r="B67979" t="str">
        <f>HYPERLINK("https://lindat.mff.cuni.cz/services/teitok/pdtc10/index.php?action=vallex&amp;frame=v-w9317f7_ZU", "zaznamenat (v-w9317f7_ZU) - substituted with v-w9317f9_ZU")</f>
        <v>zaznamenat (v-w9317f7_ZU) - substituted with v-w9317f9_ZU</v>
      </c>
    </row>
    <row r="67980" spans="1:2" x14ac:dyDescent="0.2">
      <c r="B67980" t="s">
        <v>1</v>
      </c>
    </row>
    <row r="67981" spans="1:2" x14ac:dyDescent="0.2">
      <c r="B67981" t="s">
        <v>21105</v>
      </c>
    </row>
    <row r="67983" spans="1:2" x14ac:dyDescent="0.2">
      <c r="A67983" t="s">
        <v>21104</v>
      </c>
      <c r="B67983" t="str">
        <f>HYPERLINK("https://lindat.mff.cuni.cz/services/teitok/pdtc10/index.php?action=vallex&amp;frame=v-w9317f8_ZU", "zaznamenat (v-w9317f8_ZU) - substituted with v-w9317f9_ZU")</f>
        <v>zaznamenat (v-w9317f8_ZU) - substituted with v-w9317f9_ZU</v>
      </c>
    </row>
    <row r="67984" spans="1:2" x14ac:dyDescent="0.2">
      <c r="B67984" t="s">
        <v>1</v>
      </c>
    </row>
    <row r="67985" spans="1:4" x14ac:dyDescent="0.2">
      <c r="B67985" t="s">
        <v>21105</v>
      </c>
    </row>
    <row r="67987" spans="1:4" x14ac:dyDescent="0.2">
      <c r="A67987" t="s">
        <v>21106</v>
      </c>
      <c r="B67987" t="str">
        <f>HYPERLINK("https://lindat.mff.cuni.cz/services/teitok/pdtc10/index.php?action=vallex&amp;frame=v-w9319f3", "zaznamenávat (v-w9319f3)")</f>
        <v>zaznamenávat (v-w9319f3)</v>
      </c>
    </row>
    <row r="67988" spans="1:4" x14ac:dyDescent="0.2">
      <c r="B67988" t="s">
        <v>1</v>
      </c>
      <c r="C67988" t="s">
        <v>7126</v>
      </c>
      <c r="D67988" t="s">
        <v>1271</v>
      </c>
    </row>
    <row r="67989" spans="1:4" x14ac:dyDescent="0.2">
      <c r="B67989" t="s">
        <v>14212</v>
      </c>
      <c r="C67989" t="s">
        <v>1107</v>
      </c>
      <c r="D67989" t="s">
        <v>24114</v>
      </c>
    </row>
    <row r="67991" spans="1:4" x14ac:dyDescent="0.2">
      <c r="A67991" t="s">
        <v>21107</v>
      </c>
      <c r="B67991" t="str">
        <f>HYPERLINK("https://lindat.mff.cuni.cz/services/teitok/pdtc10/index.php?action=vallex&amp;frame=v-w9319f1", "zaznamenávat (v-w9319f1)")</f>
        <v>zaznamenávat (v-w9319f1)</v>
      </c>
    </row>
    <row r="67992" spans="1:4" x14ac:dyDescent="0.2">
      <c r="B67992" t="s">
        <v>1</v>
      </c>
      <c r="C67992" t="s">
        <v>13012</v>
      </c>
      <c r="D67992" t="s">
        <v>24458</v>
      </c>
    </row>
    <row r="67993" spans="1:4" x14ac:dyDescent="0.2">
      <c r="B67993" t="s">
        <v>21108</v>
      </c>
      <c r="C67993" t="s">
        <v>11355</v>
      </c>
      <c r="D67993" t="s">
        <v>24459</v>
      </c>
    </row>
    <row r="67995" spans="1:4" x14ac:dyDescent="0.2">
      <c r="A67995" t="s">
        <v>21109</v>
      </c>
      <c r="B67995" t="str">
        <f>HYPERLINK("https://lindat.mff.cuni.cz/services/teitok/pdtc10/index.php?action=vallex&amp;frame=v-w9319f4", "zaznamenávat (v-w9319f4)")</f>
        <v>zaznamenávat (v-w9319f4)</v>
      </c>
    </row>
    <row r="67996" spans="1:4" x14ac:dyDescent="0.2">
      <c r="B67996" t="s">
        <v>1</v>
      </c>
    </row>
    <row r="67997" spans="1:4" x14ac:dyDescent="0.2">
      <c r="B67997" t="s">
        <v>11405</v>
      </c>
    </row>
    <row r="67998" spans="1:4" x14ac:dyDescent="0.2">
      <c r="B67998" t="s">
        <v>269</v>
      </c>
    </row>
    <row r="68000" spans="1:4" x14ac:dyDescent="0.2">
      <c r="A68000" t="s">
        <v>21110</v>
      </c>
      <c r="B68000" t="str">
        <f>HYPERLINK("https://lindat.mff.cuni.cz/services/teitok/pdtc10/index.php?action=vallex&amp;frame=v-w9319f8_ZU", "zaznamenávat (v-w9319f8_ZU)")</f>
        <v>zaznamenávat (v-w9319f8_ZU)</v>
      </c>
    </row>
    <row r="68001" spans="1:4" x14ac:dyDescent="0.2">
      <c r="B68001" t="s">
        <v>1</v>
      </c>
      <c r="C68001" t="s">
        <v>20051</v>
      </c>
      <c r="D68001" t="s">
        <v>24510</v>
      </c>
    </row>
    <row r="68002" spans="1:4" x14ac:dyDescent="0.2">
      <c r="B68002" t="s">
        <v>21111</v>
      </c>
      <c r="C68002" t="s">
        <v>21112</v>
      </c>
      <c r="D68002" t="s">
        <v>24511</v>
      </c>
    </row>
    <row r="68004" spans="1:4" x14ac:dyDescent="0.2">
      <c r="A68004" t="s">
        <v>21110</v>
      </c>
      <c r="B68004" t="str">
        <f>HYPERLINK("https://lindat.mff.cuni.cz/services/teitok/pdtc10/index.php?action=vallex&amp;frame=v-w9319f2", "zaznamenávat (v-w9319f2) - substituted with v-w9319f8_ZU")</f>
        <v>zaznamenávat (v-w9319f2) - substituted with v-w9319f8_ZU</v>
      </c>
    </row>
    <row r="68005" spans="1:4" x14ac:dyDescent="0.2">
      <c r="B68005" t="s">
        <v>1</v>
      </c>
    </row>
    <row r="68006" spans="1:4" x14ac:dyDescent="0.2">
      <c r="B68006" t="s">
        <v>21111</v>
      </c>
    </row>
    <row r="68008" spans="1:4" x14ac:dyDescent="0.2">
      <c r="A68008" t="s">
        <v>21113</v>
      </c>
      <c r="B68008" t="str">
        <f>HYPERLINK("https://lindat.mff.cuni.cz/services/teitok/pdtc10/index.php?action=vallex&amp;frame=v-w9319f7_ZU", "zaznamenávat (v-w9319f7_ZU)")</f>
        <v>zaznamenávat (v-w9319f7_ZU)</v>
      </c>
    </row>
    <row r="68009" spans="1:4" x14ac:dyDescent="0.2">
      <c r="B68009" t="s">
        <v>1</v>
      </c>
    </row>
    <row r="68010" spans="1:4" x14ac:dyDescent="0.2">
      <c r="B68010" t="s">
        <v>21114</v>
      </c>
    </row>
    <row r="68012" spans="1:4" x14ac:dyDescent="0.2">
      <c r="A68012" t="s">
        <v>21113</v>
      </c>
      <c r="B68012" t="str">
        <f>HYPERLINK("https://lindat.mff.cuni.cz/services/teitok/pdtc10/index.php?action=vallex&amp;frame=v-w9319f5_ZU", "zaznamenávat (v-w9319f5_ZU) - substituted with v-w9319f7_ZU")</f>
        <v>zaznamenávat (v-w9319f5_ZU) - substituted with v-w9319f7_ZU</v>
      </c>
    </row>
    <row r="68013" spans="1:4" x14ac:dyDescent="0.2">
      <c r="B68013" t="s">
        <v>1</v>
      </c>
    </row>
    <row r="68014" spans="1:4" x14ac:dyDescent="0.2">
      <c r="B68014" t="s">
        <v>21114</v>
      </c>
    </row>
    <row r="68016" spans="1:4" x14ac:dyDescent="0.2">
      <c r="A68016" t="s">
        <v>21113</v>
      </c>
      <c r="B68016" t="str">
        <f>HYPERLINK("https://lindat.mff.cuni.cz/services/teitok/pdtc10/index.php?action=vallex&amp;frame=v-w9319f6_ZU", "zaznamenávat (v-w9319f6_ZU) - substituted with v-w9319f7_ZU")</f>
        <v>zaznamenávat (v-w9319f6_ZU) - substituted with v-w9319f7_ZU</v>
      </c>
    </row>
    <row r="68017" spans="1:4" x14ac:dyDescent="0.2">
      <c r="B68017" t="s">
        <v>1</v>
      </c>
    </row>
    <row r="68018" spans="1:4" x14ac:dyDescent="0.2">
      <c r="B68018" t="s">
        <v>21114</v>
      </c>
    </row>
    <row r="68020" spans="1:4" x14ac:dyDescent="0.2">
      <c r="A68020" t="s">
        <v>21113</v>
      </c>
      <c r="B68020" t="str">
        <f>HYPERLINK("https://lindat.mff.cuni.cz/services/teitok/pdtc10/index.php?action=vallex&amp;frame=v-w9319hsa_1146", "zaznamenávat (v-w9319hsa_1146) - substituted with v-w9319f7_ZU")</f>
        <v>zaznamenávat (v-w9319hsa_1146) - substituted with v-w9319f7_ZU</v>
      </c>
    </row>
    <row r="68021" spans="1:4" x14ac:dyDescent="0.2">
      <c r="B68021" t="s">
        <v>1</v>
      </c>
    </row>
    <row r="68022" spans="1:4" x14ac:dyDescent="0.2">
      <c r="B68022" t="s">
        <v>21114</v>
      </c>
    </row>
    <row r="68024" spans="1:4" x14ac:dyDescent="0.2">
      <c r="A68024" t="s">
        <v>21115</v>
      </c>
      <c r="B68024" t="str">
        <f>HYPERLINK("https://lindat.mff.cuni.cz/services/teitok/pdtc10/index.php?action=vallex&amp;frame=v-w9320f1", "zaznít (v-w9320f1)")</f>
        <v>zaznít (v-w9320f1)</v>
      </c>
    </row>
    <row r="68025" spans="1:4" x14ac:dyDescent="0.2">
      <c r="B68025" t="s">
        <v>488</v>
      </c>
      <c r="C68025" t="s">
        <v>4011</v>
      </c>
    </row>
    <row r="68027" spans="1:4" x14ac:dyDescent="0.2">
      <c r="A68027" t="s">
        <v>21116</v>
      </c>
      <c r="B68027" t="str">
        <f>HYPERLINK("https://lindat.mff.cuni.cz/services/teitok/pdtc10/index.php?action=vallex&amp;frame=v-w9320f2_ZU", "zaznít (v-w9320f2_ZU)")</f>
        <v>zaznít (v-w9320f2_ZU)</v>
      </c>
    </row>
    <row r="68028" spans="1:4" x14ac:dyDescent="0.2">
      <c r="B68028" t="s">
        <v>1</v>
      </c>
      <c r="D68028" t="s">
        <v>20743</v>
      </c>
    </row>
    <row r="68030" spans="1:4" x14ac:dyDescent="0.2">
      <c r="A68030" t="s">
        <v>21117</v>
      </c>
      <c r="B68030" t="str">
        <f>HYPERLINK("https://lindat.mff.cuni.cz/services/teitok/pdtc10/index.php?action=vallex&amp;frame=v-whsa_931hsa_932", "zaznít (v-whsa_931hsa_932)")</f>
        <v>zaznít (v-whsa_931hsa_932)</v>
      </c>
    </row>
    <row r="68031" spans="1:4" x14ac:dyDescent="0.2">
      <c r="B68031" t="s">
        <v>1</v>
      </c>
    </row>
    <row r="68033" spans="1:4" x14ac:dyDescent="0.2">
      <c r="A68033" t="s">
        <v>21118</v>
      </c>
      <c r="B68033" t="str">
        <f>HYPERLINK("https://lindat.mff.cuni.cz/services/teitok/pdtc10/index.php?action=vallex&amp;frame=v-w9321f1", "zaznívat (v-w9321f1)")</f>
        <v>zaznívat (v-w9321f1)</v>
      </c>
    </row>
    <row r="68034" spans="1:4" x14ac:dyDescent="0.2">
      <c r="B68034" t="s">
        <v>488</v>
      </c>
    </row>
    <row r="68035" spans="1:4" x14ac:dyDescent="0.2">
      <c r="B68035" t="s">
        <v>21119</v>
      </c>
    </row>
    <row r="68037" spans="1:4" x14ac:dyDescent="0.2">
      <c r="A68037" t="s">
        <v>21120</v>
      </c>
      <c r="B68037" t="str">
        <f>HYPERLINK("https://lindat.mff.cuni.cz/services/teitok/pdtc10/index.php?action=vallex&amp;frame=v-w9322f1", "zazpívat (v-w9322f1)")</f>
        <v>zazpívat (v-w9322f1)</v>
      </c>
    </row>
    <row r="68038" spans="1:4" x14ac:dyDescent="0.2">
      <c r="B68038" t="s">
        <v>1</v>
      </c>
      <c r="C68038" t="s">
        <v>334</v>
      </c>
      <c r="D68038" t="s">
        <v>115</v>
      </c>
    </row>
    <row r="68039" spans="1:4" x14ac:dyDescent="0.2">
      <c r="B68039" t="s">
        <v>8</v>
      </c>
      <c r="C68039" t="s">
        <v>54</v>
      </c>
      <c r="D68039" t="s">
        <v>1340</v>
      </c>
    </row>
    <row r="68040" spans="1:4" x14ac:dyDescent="0.2">
      <c r="B68040" t="s">
        <v>78</v>
      </c>
    </row>
    <row r="68042" spans="1:4" x14ac:dyDescent="0.2">
      <c r="A68042" t="s">
        <v>21121</v>
      </c>
      <c r="B68042" t="str">
        <f>HYPERLINK("https://lindat.mff.cuni.cz/services/teitok/pdtc10/index.php?action=vallex&amp;frame=v-w9322f3", "zazpívat (v-w9322f3)")</f>
        <v>zazpívat (v-w9322f3)</v>
      </c>
    </row>
    <row r="68043" spans="1:4" x14ac:dyDescent="0.2">
      <c r="B68043" t="s">
        <v>1</v>
      </c>
    </row>
    <row r="68044" spans="1:4" x14ac:dyDescent="0.2">
      <c r="B68044" t="s">
        <v>183</v>
      </c>
    </row>
    <row r="68045" spans="1:4" x14ac:dyDescent="0.2">
      <c r="B68045" t="s">
        <v>78</v>
      </c>
    </row>
    <row r="68047" spans="1:4" x14ac:dyDescent="0.2">
      <c r="A68047" t="s">
        <v>21122</v>
      </c>
      <c r="B68047" t="str">
        <f>HYPERLINK("https://lindat.mff.cuni.cz/services/teitok/pdtc10/index.php?action=vallex&amp;frame=v-w9322f2", "zazpívat (v-w9322f2)")</f>
        <v>zazpívat (v-w9322f2)</v>
      </c>
    </row>
    <row r="68048" spans="1:4" x14ac:dyDescent="0.2">
      <c r="B68048" t="s">
        <v>1</v>
      </c>
    </row>
    <row r="68049" spans="1:4" x14ac:dyDescent="0.2">
      <c r="B68049" t="s">
        <v>11005</v>
      </c>
    </row>
    <row r="68050" spans="1:4" x14ac:dyDescent="0.2">
      <c r="B68050" t="s">
        <v>269</v>
      </c>
    </row>
    <row r="68051" spans="1:4" x14ac:dyDescent="0.2">
      <c r="B68051" t="s">
        <v>78</v>
      </c>
    </row>
    <row r="68053" spans="1:4" x14ac:dyDescent="0.2">
      <c r="A68053" t="s">
        <v>21123</v>
      </c>
      <c r="B68053" t="str">
        <f>HYPERLINK("https://lindat.mff.cuni.cz/services/teitok/pdtc10/index.php?action=vallex&amp;frame=v-whsa_862hsa_863", "zazpívat si (v-whsa_862hsa_863)")</f>
        <v>zazpívat si (v-whsa_862hsa_863)</v>
      </c>
    </row>
    <row r="68054" spans="1:4" x14ac:dyDescent="0.2">
      <c r="B68054" t="s">
        <v>1</v>
      </c>
    </row>
    <row r="68056" spans="1:4" x14ac:dyDescent="0.2">
      <c r="A68056" t="s">
        <v>21124</v>
      </c>
      <c r="B68056" t="str">
        <f>HYPERLINK("https://lindat.mff.cuni.cz/services/teitok/pdtc10/index.php?action=vallex&amp;frame=v-whsa_668f1_ZU", "zazvonit (v-whsa_668f1_ZU)")</f>
        <v>zazvonit (v-whsa_668f1_ZU)</v>
      </c>
    </row>
    <row r="68057" spans="1:4" x14ac:dyDescent="0.2">
      <c r="B68057" t="s">
        <v>1</v>
      </c>
    </row>
    <row r="68059" spans="1:4" x14ac:dyDescent="0.2">
      <c r="A68059" t="s">
        <v>21124</v>
      </c>
      <c r="B68059" t="str">
        <f>HYPERLINK("https://lindat.mff.cuni.cz/services/teitok/pdtc10/index.php?action=vallex&amp;frame=v-whsa_668hsa_669", "zazvonit (v-whsa_668hsa_669) - substituted with v-whsa_668f1_ZU")</f>
        <v>zazvonit (v-whsa_668hsa_669) - substituted with v-whsa_668f1_ZU</v>
      </c>
    </row>
    <row r="68060" spans="1:4" x14ac:dyDescent="0.2">
      <c r="B68060" t="s">
        <v>1</v>
      </c>
      <c r="C68060" t="s">
        <v>2698</v>
      </c>
      <c r="D68060" t="s">
        <v>5817</v>
      </c>
    </row>
    <row r="68062" spans="1:4" x14ac:dyDescent="0.2">
      <c r="A68062" t="s">
        <v>21125</v>
      </c>
      <c r="B68062" t="str">
        <f>HYPERLINK("https://lindat.mff.cuni.cz/services/teitok/pdtc10/index.php?action=vallex&amp;frame=v-w9313f2", "zazářit (v-w9313f2)")</f>
        <v>zazářit (v-w9313f2)</v>
      </c>
    </row>
    <row r="68063" spans="1:4" x14ac:dyDescent="0.2">
      <c r="B68063" t="s">
        <v>455</v>
      </c>
    </row>
    <row r="68064" spans="1:4" x14ac:dyDescent="0.2">
      <c r="B68064" t="s">
        <v>5</v>
      </c>
    </row>
    <row r="68066" spans="1:4" x14ac:dyDescent="0.2">
      <c r="A68066" t="s">
        <v>21126</v>
      </c>
      <c r="B68066" t="str">
        <f>HYPERLINK("https://lindat.mff.cuni.cz/services/teitok/pdtc10/index.php?action=vallex&amp;frame=v-w9313f1", "zazářit (v-w9313f1)")</f>
        <v>zazářit (v-w9313f1)</v>
      </c>
    </row>
    <row r="68067" spans="1:4" x14ac:dyDescent="0.2">
      <c r="B68067" t="s">
        <v>1</v>
      </c>
    </row>
    <row r="68069" spans="1:4" x14ac:dyDescent="0.2">
      <c r="A68069" t="s">
        <v>21127</v>
      </c>
      <c r="B68069" t="str">
        <f>HYPERLINK("https://lindat.mff.cuni.cz/services/teitok/pdtc10/index.php?action=vallex&amp;frame=v-w10652f2", "zaúpět (v-w10652f2)")</f>
        <v>zaúpět (v-w10652f2)</v>
      </c>
    </row>
    <row r="68070" spans="1:4" x14ac:dyDescent="0.2">
      <c r="B68070" t="s">
        <v>1</v>
      </c>
      <c r="C68070" t="s">
        <v>33</v>
      </c>
      <c r="D68070" t="s">
        <v>2571</v>
      </c>
    </row>
    <row r="68071" spans="1:4" x14ac:dyDescent="0.2">
      <c r="B68071" t="s">
        <v>21128</v>
      </c>
      <c r="C68071" t="s">
        <v>113</v>
      </c>
      <c r="D68071" t="s">
        <v>338</v>
      </c>
    </row>
    <row r="68073" spans="1:4" x14ac:dyDescent="0.2">
      <c r="A68073" t="s">
        <v>21129</v>
      </c>
      <c r="B68073" t="str">
        <f>HYPERLINK("https://lindat.mff.cuni.cz/services/teitok/pdtc10/index.php?action=vallex&amp;frame=v-w9248f1", "zaútočit (v-w9248f1)")</f>
        <v>zaútočit (v-w9248f1)</v>
      </c>
    </row>
    <row r="68074" spans="1:4" x14ac:dyDescent="0.2">
      <c r="B68074" t="s">
        <v>1</v>
      </c>
      <c r="C68074" t="s">
        <v>3292</v>
      </c>
      <c r="D68074" t="s">
        <v>22964</v>
      </c>
    </row>
    <row r="68075" spans="1:4" x14ac:dyDescent="0.2">
      <c r="B68075" t="s">
        <v>8012</v>
      </c>
      <c r="C68075" t="s">
        <v>2113</v>
      </c>
      <c r="D68075" t="s">
        <v>1798</v>
      </c>
    </row>
    <row r="68077" spans="1:4" x14ac:dyDescent="0.2">
      <c r="A68077" t="s">
        <v>21130</v>
      </c>
      <c r="B68077" t="str">
        <f>HYPERLINK("https://lindat.mff.cuni.cz/services/teitok/pdtc10/index.php?action=vallex&amp;frame=v-w10170f2", "zaúčtovat (v-w10170f2)")</f>
        <v>zaúčtovat (v-w10170f2)</v>
      </c>
    </row>
    <row r="68078" spans="1:4" x14ac:dyDescent="0.2">
      <c r="B68078" t="s">
        <v>1</v>
      </c>
      <c r="C68078" t="s">
        <v>1065</v>
      </c>
      <c r="D68078" t="s">
        <v>8467</v>
      </c>
    </row>
    <row r="68079" spans="1:4" x14ac:dyDescent="0.2">
      <c r="B68079" t="s">
        <v>172</v>
      </c>
      <c r="C68079" t="s">
        <v>2886</v>
      </c>
      <c r="D68079" t="s">
        <v>2439</v>
      </c>
    </row>
    <row r="68081" spans="1:4" x14ac:dyDescent="0.2">
      <c r="A68081" t="s">
        <v>21131</v>
      </c>
      <c r="B68081" t="str">
        <f>HYPERLINK("https://lindat.mff.cuni.cz/services/teitok/pdtc10/index.php?action=vallex&amp;frame=v-w8759f1", "začlenit (v-w8759f1)")</f>
        <v>začlenit (v-w8759f1)</v>
      </c>
    </row>
    <row r="68082" spans="1:4" x14ac:dyDescent="0.2">
      <c r="B68082" t="s">
        <v>1</v>
      </c>
      <c r="C68082" t="s">
        <v>17094</v>
      </c>
      <c r="D68082" t="s">
        <v>24055</v>
      </c>
    </row>
    <row r="68083" spans="1:4" x14ac:dyDescent="0.2">
      <c r="B68083" t="s">
        <v>8</v>
      </c>
      <c r="C68083" t="s">
        <v>110</v>
      </c>
      <c r="D68083" t="s">
        <v>24056</v>
      </c>
    </row>
    <row r="68084" spans="1:4" x14ac:dyDescent="0.2">
      <c r="B68084" t="s">
        <v>90</v>
      </c>
      <c r="C68084" t="s">
        <v>8949</v>
      </c>
      <c r="D68084" t="s">
        <v>24057</v>
      </c>
    </row>
    <row r="68086" spans="1:4" x14ac:dyDescent="0.2">
      <c r="A68086" t="s">
        <v>21132</v>
      </c>
      <c r="B68086" t="str">
        <f>HYPERLINK("https://lindat.mff.cuni.cz/services/teitok/pdtc10/index.php?action=vallex&amp;frame=v-whsa_825hsa_826", "začlenit se (v-whsa_825hsa_826)")</f>
        <v>začlenit se (v-whsa_825hsa_826)</v>
      </c>
    </row>
    <row r="68087" spans="1:4" x14ac:dyDescent="0.2">
      <c r="B68087" t="s">
        <v>1</v>
      </c>
      <c r="D68087" t="s">
        <v>23365</v>
      </c>
    </row>
    <row r="68088" spans="1:4" x14ac:dyDescent="0.2">
      <c r="B68088" t="s">
        <v>90</v>
      </c>
      <c r="D68088" t="s">
        <v>23366</v>
      </c>
    </row>
    <row r="68090" spans="1:4" x14ac:dyDescent="0.2">
      <c r="A68090" t="s">
        <v>21133</v>
      </c>
      <c r="B68090" t="str">
        <f>HYPERLINK("https://lindat.mff.cuni.cz/services/teitok/pdtc10/index.php?action=vallex&amp;frame=v-w8761f1", "začleňovat (v-w8761f1)")</f>
        <v>začleňovat (v-w8761f1)</v>
      </c>
    </row>
    <row r="68091" spans="1:4" x14ac:dyDescent="0.2">
      <c r="B68091" t="s">
        <v>1</v>
      </c>
      <c r="D68091" t="s">
        <v>24055</v>
      </c>
    </row>
    <row r="68092" spans="1:4" x14ac:dyDescent="0.2">
      <c r="B68092" t="s">
        <v>8</v>
      </c>
      <c r="D68092" t="s">
        <v>24056</v>
      </c>
    </row>
    <row r="68093" spans="1:4" x14ac:dyDescent="0.2">
      <c r="B68093" t="s">
        <v>90</v>
      </c>
      <c r="D68093" t="s">
        <v>24057</v>
      </c>
    </row>
    <row r="68095" spans="1:4" x14ac:dyDescent="0.2">
      <c r="A68095" t="s">
        <v>21134</v>
      </c>
      <c r="B68095" t="str">
        <f>HYPERLINK("https://lindat.mff.cuni.cz/services/teitok/pdtc10/index.php?action=vallex&amp;frame=v-w11634_ZUf1_ZU", "začmuchat (v-w11634_ZUf1_ZU)")</f>
        <v>začmuchat (v-w11634_ZUf1_ZU)</v>
      </c>
    </row>
    <row r="68096" spans="1:4" x14ac:dyDescent="0.2">
      <c r="B68096" t="s">
        <v>1</v>
      </c>
    </row>
    <row r="68098" spans="1:4" x14ac:dyDescent="0.2">
      <c r="A68098" t="s">
        <v>21135</v>
      </c>
      <c r="B68098" t="str">
        <f>HYPERLINK("https://lindat.mff.cuni.cz/services/teitok/pdtc10/index.php?action=vallex&amp;frame=v-whsa_1332hsa_1333", "začoudit se (v-whsa_1332hsa_1333)")</f>
        <v>začoudit se (v-whsa_1332hsa_1333)</v>
      </c>
    </row>
    <row r="68099" spans="1:4" x14ac:dyDescent="0.2">
      <c r="B68099" t="s">
        <v>1</v>
      </c>
    </row>
    <row r="68101" spans="1:4" x14ac:dyDescent="0.2">
      <c r="A68101" t="s">
        <v>21136</v>
      </c>
      <c r="B68101" t="str">
        <f>HYPERLINK("https://lindat.mff.cuni.cz/services/teitok/pdtc10/index.php?action=vallex&amp;frame=v-w8753f1", "začínat (v-w8753f1)")</f>
        <v>začínat (v-w8753f1)</v>
      </c>
    </row>
    <row r="68102" spans="1:4" x14ac:dyDescent="0.2">
      <c r="B68102" t="s">
        <v>1</v>
      </c>
      <c r="C68102" t="s">
        <v>21137</v>
      </c>
      <c r="D68102" t="s">
        <v>22950</v>
      </c>
    </row>
    <row r="68103" spans="1:4" x14ac:dyDescent="0.2">
      <c r="B68103" t="s">
        <v>20532</v>
      </c>
      <c r="C68103" t="s">
        <v>21138</v>
      </c>
      <c r="D68103" t="s">
        <v>22951</v>
      </c>
    </row>
    <row r="68105" spans="1:4" x14ac:dyDescent="0.2">
      <c r="A68105" t="s">
        <v>21139</v>
      </c>
      <c r="B68105" t="str">
        <f>HYPERLINK("https://lindat.mff.cuni.cz/services/teitok/pdtc10/index.php?action=vallex&amp;frame=v-w8753f6_ZU", "začínat (v-w8753f6_ZU)")</f>
        <v>začínat (v-w8753f6_ZU)</v>
      </c>
    </row>
    <row r="68106" spans="1:4" x14ac:dyDescent="0.2">
      <c r="B68106" t="s">
        <v>1</v>
      </c>
    </row>
    <row r="68107" spans="1:4" x14ac:dyDescent="0.2">
      <c r="B68107" t="s">
        <v>889</v>
      </c>
    </row>
    <row r="68109" spans="1:4" x14ac:dyDescent="0.2">
      <c r="A68109" t="s">
        <v>21139</v>
      </c>
      <c r="B68109" t="str">
        <f>HYPERLINK("https://lindat.mff.cuni.cz/services/teitok/pdtc10/index.php?action=vallex&amp;frame=v-w8753f4_ZU", "začínat (v-w8753f4_ZU) - substituted with v-w8753f6_ZU")</f>
        <v>začínat (v-w8753f4_ZU) - substituted with v-w8753f6_ZU</v>
      </c>
    </row>
    <row r="68110" spans="1:4" x14ac:dyDescent="0.2">
      <c r="B68110" t="s">
        <v>1</v>
      </c>
      <c r="C68110" t="s">
        <v>21140</v>
      </c>
    </row>
    <row r="68111" spans="1:4" x14ac:dyDescent="0.2">
      <c r="B68111" t="s">
        <v>889</v>
      </c>
    </row>
    <row r="68113" spans="1:4" x14ac:dyDescent="0.2">
      <c r="A68113" t="s">
        <v>21141</v>
      </c>
      <c r="B68113" t="str">
        <f>HYPERLINK("https://lindat.mff.cuni.cz/services/teitok/pdtc10/index.php?action=vallex&amp;frame=v-w8753f2", "začínat (v-w8753f2)")</f>
        <v>začínat (v-w8753f2)</v>
      </c>
    </row>
    <row r="68114" spans="1:4" x14ac:dyDescent="0.2">
      <c r="B68114" t="s">
        <v>196</v>
      </c>
      <c r="C68114" t="s">
        <v>21142</v>
      </c>
      <c r="D68114" t="s">
        <v>22988</v>
      </c>
    </row>
    <row r="68116" spans="1:4" x14ac:dyDescent="0.2">
      <c r="A68116" t="s">
        <v>21143</v>
      </c>
      <c r="B68116" t="str">
        <f>HYPERLINK("https://lindat.mff.cuni.cz/services/teitok/pdtc10/index.php?action=vallex&amp;frame=v-w8753f3", "začínat (v-w8753f3)")</f>
        <v>začínat (v-w8753f3)</v>
      </c>
    </row>
    <row r="68117" spans="1:4" x14ac:dyDescent="0.2">
      <c r="B68117" t="s">
        <v>1</v>
      </c>
      <c r="C68117" t="s">
        <v>21144</v>
      </c>
    </row>
    <row r="68118" spans="1:4" x14ac:dyDescent="0.2">
      <c r="B68118" t="s">
        <v>415</v>
      </c>
    </row>
    <row r="68119" spans="1:4" x14ac:dyDescent="0.2">
      <c r="B68119" t="s">
        <v>346</v>
      </c>
    </row>
    <row r="68120" spans="1:4" x14ac:dyDescent="0.2">
      <c r="B68120" t="s">
        <v>348</v>
      </c>
      <c r="C68120" t="s">
        <v>21145</v>
      </c>
    </row>
    <row r="68121" spans="1:4" x14ac:dyDescent="0.2">
      <c r="B68121" t="s">
        <v>349</v>
      </c>
    </row>
    <row r="68122" spans="1:4" x14ac:dyDescent="0.2">
      <c r="B68122" t="s">
        <v>350</v>
      </c>
    </row>
    <row r="68124" spans="1:4" x14ac:dyDescent="0.2">
      <c r="A68124" t="s">
        <v>21146</v>
      </c>
      <c r="B68124" t="str">
        <f>HYPERLINK("https://lindat.mff.cuni.cz/services/teitok/pdtc10/index.php?action=vallex&amp;frame=v-w8753f5_ZU", "začínat (v-w8753f5_ZU)")</f>
        <v>začínat (v-w8753f5_ZU)</v>
      </c>
    </row>
    <row r="68125" spans="1:4" x14ac:dyDescent="0.2">
      <c r="B68125" t="s">
        <v>1</v>
      </c>
    </row>
    <row r="68126" spans="1:4" x14ac:dyDescent="0.2">
      <c r="B68126" t="s">
        <v>21147</v>
      </c>
    </row>
    <row r="68127" spans="1:4" x14ac:dyDescent="0.2">
      <c r="B68127" t="s">
        <v>21148</v>
      </c>
    </row>
    <row r="68129" spans="1:2" x14ac:dyDescent="0.2">
      <c r="A68129" t="s">
        <v>21146</v>
      </c>
      <c r="B68129" t="str">
        <f>HYPERLINK("https://lindat.mff.cuni.cz/services/teitok/pdtc10/index.php?action=vallex&amp;frame=v-w8753hsa_1020", "začínat (v-w8753hsa_1020) - substituted with v-w8753f5_ZU")</f>
        <v>začínat (v-w8753hsa_1020) - substituted with v-w8753f5_ZU</v>
      </c>
    </row>
    <row r="68130" spans="1:2" x14ac:dyDescent="0.2">
      <c r="B68130" t="s">
        <v>1</v>
      </c>
    </row>
    <row r="68131" spans="1:2" x14ac:dyDescent="0.2">
      <c r="B68131" t="s">
        <v>21147</v>
      </c>
    </row>
    <row r="68132" spans="1:2" x14ac:dyDescent="0.2">
      <c r="B68132" t="s">
        <v>21148</v>
      </c>
    </row>
    <row r="68134" spans="1:2" x14ac:dyDescent="0.2">
      <c r="A68134" t="s">
        <v>21149</v>
      </c>
      <c r="B68134" t="str">
        <f>HYPERLINK("https://lindat.mff.cuni.cz/services/teitok/pdtc10/index.php?action=vallex&amp;frame=v-w8754f1", "začínat si (v-w8754f1)")</f>
        <v>začínat si (v-w8754f1)</v>
      </c>
    </row>
    <row r="68135" spans="1:2" x14ac:dyDescent="0.2">
      <c r="B68135" t="s">
        <v>1</v>
      </c>
    </row>
    <row r="68136" spans="1:2" x14ac:dyDescent="0.2">
      <c r="B68136" t="s">
        <v>8</v>
      </c>
    </row>
    <row r="68137" spans="1:2" x14ac:dyDescent="0.2">
      <c r="B68137" t="s">
        <v>153</v>
      </c>
    </row>
    <row r="68139" spans="1:2" x14ac:dyDescent="0.2">
      <c r="A68139" t="s">
        <v>21150</v>
      </c>
      <c r="B68139" t="str">
        <f>HYPERLINK("https://lindat.mff.cuni.cz/services/teitok/pdtc10/index.php?action=vallex&amp;frame=v-w8755f1", "začíst se (v-w8755f1)")</f>
        <v>začíst se (v-w8755f1)</v>
      </c>
    </row>
    <row r="68140" spans="1:2" x14ac:dyDescent="0.2">
      <c r="B68140" t="s">
        <v>1</v>
      </c>
    </row>
    <row r="68141" spans="1:2" x14ac:dyDescent="0.2">
      <c r="B68141" t="s">
        <v>817</v>
      </c>
    </row>
    <row r="68143" spans="1:2" x14ac:dyDescent="0.2">
      <c r="A68143" t="s">
        <v>21151</v>
      </c>
      <c r="B68143" t="str">
        <f>HYPERLINK("https://lindat.mff.cuni.cz/services/teitok/pdtc10/index.php?action=vallex&amp;frame=v-w8756f4_ZU", "začít (v-w8756f4_ZU)")</f>
        <v>začít (v-w8756f4_ZU)</v>
      </c>
    </row>
    <row r="68144" spans="1:2" x14ac:dyDescent="0.2">
      <c r="B68144" t="s">
        <v>15082</v>
      </c>
    </row>
    <row r="68145" spans="1:4" x14ac:dyDescent="0.2">
      <c r="B68145" t="s">
        <v>20532</v>
      </c>
    </row>
    <row r="68147" spans="1:4" x14ac:dyDescent="0.2">
      <c r="A68147" t="s">
        <v>21151</v>
      </c>
      <c r="B68147" t="str">
        <f>HYPERLINK("https://lindat.mff.cuni.cz/services/teitok/pdtc10/index.php?action=vallex&amp;frame=v-w8756f1", "začít (v-w8756f1) - substituted with v-w8756f4_ZU")</f>
        <v>začít (v-w8756f1) - substituted with v-w8756f4_ZU</v>
      </c>
    </row>
    <row r="68148" spans="1:4" x14ac:dyDescent="0.2">
      <c r="B68148" t="s">
        <v>15082</v>
      </c>
      <c r="C68148" t="s">
        <v>21152</v>
      </c>
      <c r="D68148" t="s">
        <v>22950</v>
      </c>
    </row>
    <row r="68149" spans="1:4" x14ac:dyDescent="0.2">
      <c r="B68149" t="s">
        <v>20532</v>
      </c>
      <c r="C68149" t="s">
        <v>21153</v>
      </c>
      <c r="D68149" t="s">
        <v>22951</v>
      </c>
    </row>
    <row r="68151" spans="1:4" x14ac:dyDescent="0.2">
      <c r="A68151" t="s">
        <v>21154</v>
      </c>
      <c r="B68151" t="str">
        <f>HYPERLINK("https://lindat.mff.cuni.cz/services/teitok/pdtc10/index.php?action=vallex&amp;frame=v-w8756f2", "začít (v-w8756f2)")</f>
        <v>začít (v-w8756f2)</v>
      </c>
    </row>
    <row r="68152" spans="1:4" x14ac:dyDescent="0.2">
      <c r="B68152" t="s">
        <v>196</v>
      </c>
      <c r="C68152" t="s">
        <v>21155</v>
      </c>
      <c r="D68152" t="s">
        <v>22988</v>
      </c>
    </row>
    <row r="68154" spans="1:4" x14ac:dyDescent="0.2">
      <c r="A68154" t="s">
        <v>21156</v>
      </c>
      <c r="B68154" t="str">
        <f>HYPERLINK("https://lindat.mff.cuni.cz/services/teitok/pdtc10/index.php?action=vallex&amp;frame=v-w8756f3_ZU", "začít (v-w8756f3_ZU)")</f>
        <v>začít (v-w8756f3_ZU)</v>
      </c>
    </row>
    <row r="68155" spans="1:4" x14ac:dyDescent="0.2">
      <c r="B68155" t="s">
        <v>1</v>
      </c>
      <c r="C68155" t="s">
        <v>21157</v>
      </c>
    </row>
    <row r="68156" spans="1:4" x14ac:dyDescent="0.2">
      <c r="B68156" t="s">
        <v>21158</v>
      </c>
    </row>
    <row r="68157" spans="1:4" x14ac:dyDescent="0.2">
      <c r="B68157" t="s">
        <v>63</v>
      </c>
      <c r="C68157" t="s">
        <v>2146</v>
      </c>
    </row>
    <row r="68159" spans="1:4" x14ac:dyDescent="0.2">
      <c r="A68159" t="s">
        <v>21159</v>
      </c>
      <c r="B68159" t="str">
        <f>HYPERLINK("https://lindat.mff.cuni.cz/services/teitok/pdtc10/index.php?action=vallex&amp;frame=v-w8756hsa_337", "začít (v-w8756hsa_337)")</f>
        <v>začít (v-w8756hsa_337)</v>
      </c>
    </row>
    <row r="68160" spans="1:4" x14ac:dyDescent="0.2">
      <c r="B68160" t="s">
        <v>1</v>
      </c>
    </row>
    <row r="68161" spans="1:2" x14ac:dyDescent="0.2">
      <c r="B68161" t="s">
        <v>415</v>
      </c>
    </row>
    <row r="68162" spans="1:2" x14ac:dyDescent="0.2">
      <c r="B68162" t="s">
        <v>346</v>
      </c>
    </row>
    <row r="68163" spans="1:2" x14ac:dyDescent="0.2">
      <c r="B68163" t="s">
        <v>348</v>
      </c>
    </row>
    <row r="68164" spans="1:2" x14ac:dyDescent="0.2">
      <c r="B68164" t="s">
        <v>349</v>
      </c>
    </row>
    <row r="68165" spans="1:2" x14ac:dyDescent="0.2">
      <c r="B68165" t="s">
        <v>350</v>
      </c>
    </row>
    <row r="68167" spans="1:2" x14ac:dyDescent="0.2">
      <c r="A68167" t="s">
        <v>21160</v>
      </c>
      <c r="B68167" t="str">
        <f>HYPERLINK("https://lindat.mff.cuni.cz/services/teitok/pdtc10/index.php?action=vallex&amp;frame=v-w8757f1", "začít si (v-w8757f1)")</f>
        <v>začít si (v-w8757f1)</v>
      </c>
    </row>
    <row r="68168" spans="1:2" x14ac:dyDescent="0.2">
      <c r="B68168" t="s">
        <v>1</v>
      </c>
    </row>
    <row r="68169" spans="1:2" x14ac:dyDescent="0.2">
      <c r="B68169" t="s">
        <v>8</v>
      </c>
    </row>
    <row r="68170" spans="1:2" x14ac:dyDescent="0.2">
      <c r="B68170" t="s">
        <v>153</v>
      </c>
    </row>
    <row r="68172" spans="1:2" x14ac:dyDescent="0.2">
      <c r="A68172" t="s">
        <v>21161</v>
      </c>
      <c r="B68172" t="str">
        <f>HYPERLINK("https://lindat.mff.cuni.cz/services/teitok/pdtc10/index.php?action=vallex&amp;frame=v-w9097f4_ZU", "zařadit (v-w9097f4_ZU)")</f>
        <v>zařadit (v-w9097f4_ZU)</v>
      </c>
    </row>
    <row r="68173" spans="1:2" x14ac:dyDescent="0.2">
      <c r="B68173" t="s">
        <v>1</v>
      </c>
    </row>
    <row r="68174" spans="1:2" x14ac:dyDescent="0.2">
      <c r="B68174" t="s">
        <v>8</v>
      </c>
    </row>
    <row r="68175" spans="1:2" x14ac:dyDescent="0.2">
      <c r="B68175" t="s">
        <v>90</v>
      </c>
    </row>
    <row r="68177" spans="1:4" x14ac:dyDescent="0.2">
      <c r="A68177" t="s">
        <v>21161</v>
      </c>
      <c r="B68177" t="str">
        <f>HYPERLINK("https://lindat.mff.cuni.cz/services/teitok/pdtc10/index.php?action=vallex&amp;frame=v-w9097f1", "zařadit (v-w9097f1) - substituted with v-w9097f4_ZU")</f>
        <v>zařadit (v-w9097f1) - substituted with v-w9097f4_ZU</v>
      </c>
    </row>
    <row r="68178" spans="1:4" x14ac:dyDescent="0.2">
      <c r="B68178" t="s">
        <v>1</v>
      </c>
    </row>
    <row r="68179" spans="1:4" x14ac:dyDescent="0.2">
      <c r="B68179" t="s">
        <v>8</v>
      </c>
      <c r="C68179" t="s">
        <v>21162</v>
      </c>
    </row>
    <row r="68180" spans="1:4" x14ac:dyDescent="0.2">
      <c r="B68180" t="s">
        <v>90</v>
      </c>
      <c r="C68180" t="s">
        <v>21163</v>
      </c>
    </row>
    <row r="68182" spans="1:4" x14ac:dyDescent="0.2">
      <c r="A68182" t="s">
        <v>21164</v>
      </c>
      <c r="B68182" t="str">
        <f>HYPERLINK("https://lindat.mff.cuni.cz/services/teitok/pdtc10/index.php?action=vallex&amp;frame=v-w9097f2", "zařadit (v-w9097f2)")</f>
        <v>zařadit (v-w9097f2)</v>
      </c>
    </row>
    <row r="68183" spans="1:4" x14ac:dyDescent="0.2">
      <c r="B68183" t="s">
        <v>1</v>
      </c>
      <c r="C68183" t="s">
        <v>2400</v>
      </c>
      <c r="D68183" t="s">
        <v>24045</v>
      </c>
    </row>
    <row r="68184" spans="1:4" x14ac:dyDescent="0.2">
      <c r="B68184" t="s">
        <v>8</v>
      </c>
      <c r="C68184" t="s">
        <v>4111</v>
      </c>
      <c r="D68184" t="s">
        <v>24046</v>
      </c>
    </row>
    <row r="68185" spans="1:4" x14ac:dyDescent="0.2">
      <c r="B68185" t="s">
        <v>90</v>
      </c>
      <c r="C68185" t="s">
        <v>11242</v>
      </c>
      <c r="D68185" t="s">
        <v>23366</v>
      </c>
    </row>
    <row r="68187" spans="1:4" x14ac:dyDescent="0.2">
      <c r="A68187" t="s">
        <v>21165</v>
      </c>
      <c r="B68187" t="str">
        <f>HYPERLINK("https://lindat.mff.cuni.cz/services/teitok/pdtc10/index.php?action=vallex&amp;frame=v-w9097f3", "zařadit (v-w9097f3)")</f>
        <v>zařadit (v-w9097f3)</v>
      </c>
    </row>
    <row r="68188" spans="1:4" x14ac:dyDescent="0.2">
      <c r="B68188" t="s">
        <v>1</v>
      </c>
    </row>
    <row r="68189" spans="1:4" x14ac:dyDescent="0.2">
      <c r="B68189" t="s">
        <v>8</v>
      </c>
    </row>
    <row r="68191" spans="1:4" x14ac:dyDescent="0.2">
      <c r="A68191" t="s">
        <v>21166</v>
      </c>
      <c r="B68191" t="str">
        <f>HYPERLINK("https://lindat.mff.cuni.cz/services/teitok/pdtc10/index.php?action=vallex&amp;frame=v-w9097hsa_609", "zařadit (v-w9097hsa_609)")</f>
        <v>zařadit (v-w9097hsa_609)</v>
      </c>
    </row>
    <row r="68192" spans="1:4" x14ac:dyDescent="0.2">
      <c r="B68192" t="s">
        <v>1</v>
      </c>
    </row>
    <row r="68193" spans="1:4" x14ac:dyDescent="0.2">
      <c r="B68193" t="s">
        <v>8</v>
      </c>
    </row>
    <row r="68194" spans="1:4" x14ac:dyDescent="0.2">
      <c r="B68194" t="s">
        <v>1260</v>
      </c>
    </row>
    <row r="68196" spans="1:4" x14ac:dyDescent="0.2">
      <c r="A68196" t="s">
        <v>21167</v>
      </c>
      <c r="B68196" t="str">
        <f>HYPERLINK("https://lindat.mff.cuni.cz/services/teitok/pdtc10/index.php?action=vallex&amp;frame=v-w9098f1", "zařadit se (v-w9098f1)")</f>
        <v>zařadit se (v-w9098f1)</v>
      </c>
    </row>
    <row r="68197" spans="1:4" x14ac:dyDescent="0.2">
      <c r="B68197" t="s">
        <v>1</v>
      </c>
      <c r="C68197" t="s">
        <v>21168</v>
      </c>
      <c r="D68197" t="s">
        <v>23602</v>
      </c>
    </row>
    <row r="68198" spans="1:4" x14ac:dyDescent="0.2">
      <c r="B68198" t="s">
        <v>90</v>
      </c>
      <c r="C68198" t="s">
        <v>21169</v>
      </c>
      <c r="D68198" t="s">
        <v>23603</v>
      </c>
    </row>
    <row r="68200" spans="1:4" x14ac:dyDescent="0.2">
      <c r="A68200" t="s">
        <v>21170</v>
      </c>
      <c r="B68200" t="str">
        <f>HYPERLINK("https://lindat.mff.cuni.cz/services/teitok/pdtc10/index.php?action=vallex&amp;frame=v-w9098hsa_924", "zařadit se (v-w9098hsa_924)")</f>
        <v>zařadit se (v-w9098hsa_924)</v>
      </c>
    </row>
    <row r="68201" spans="1:4" x14ac:dyDescent="0.2">
      <c r="B68201" t="s">
        <v>1</v>
      </c>
    </row>
    <row r="68202" spans="1:4" x14ac:dyDescent="0.2">
      <c r="B68202" t="s">
        <v>90</v>
      </c>
    </row>
    <row r="68204" spans="1:4" x14ac:dyDescent="0.2">
      <c r="A68204" t="s">
        <v>21171</v>
      </c>
      <c r="B68204" t="str">
        <f>HYPERLINK("https://lindat.mff.cuni.cz/services/teitok/pdtc10/index.php?action=vallex&amp;frame=v-w9102f1", "zařazovat (v-w9102f1)")</f>
        <v>zařazovat (v-w9102f1)</v>
      </c>
    </row>
    <row r="68205" spans="1:4" x14ac:dyDescent="0.2">
      <c r="B68205" t="s">
        <v>1</v>
      </c>
    </row>
    <row r="68206" spans="1:4" x14ac:dyDescent="0.2">
      <c r="B68206" t="s">
        <v>8</v>
      </c>
    </row>
    <row r="68207" spans="1:4" x14ac:dyDescent="0.2">
      <c r="B68207" t="s">
        <v>90</v>
      </c>
    </row>
    <row r="68209" spans="1:4" x14ac:dyDescent="0.2">
      <c r="A68209" t="s">
        <v>21172</v>
      </c>
      <c r="B68209" t="str">
        <f>HYPERLINK("https://lindat.mff.cuni.cz/services/teitok/pdtc10/index.php?action=vallex&amp;frame=v-w9102f2", "zařazovat (v-w9102f2)")</f>
        <v>zařazovat (v-w9102f2)</v>
      </c>
    </row>
    <row r="68210" spans="1:4" x14ac:dyDescent="0.2">
      <c r="B68210" t="s">
        <v>1</v>
      </c>
      <c r="C68210" t="s">
        <v>140</v>
      </c>
      <c r="D68210" t="s">
        <v>24512</v>
      </c>
    </row>
    <row r="68211" spans="1:4" x14ac:dyDescent="0.2">
      <c r="B68211" t="s">
        <v>8</v>
      </c>
      <c r="C68211" t="s">
        <v>113</v>
      </c>
      <c r="D68211" t="s">
        <v>24513</v>
      </c>
    </row>
    <row r="68212" spans="1:4" x14ac:dyDescent="0.2">
      <c r="B68212" t="s">
        <v>90</v>
      </c>
      <c r="C68212" t="s">
        <v>21173</v>
      </c>
      <c r="D68212" t="s">
        <v>24514</v>
      </c>
    </row>
    <row r="68214" spans="1:4" x14ac:dyDescent="0.2">
      <c r="A68214" t="s">
        <v>21174</v>
      </c>
      <c r="B68214" t="str">
        <f>HYPERLINK("https://lindat.mff.cuni.cz/services/teitok/pdtc10/index.php?action=vallex&amp;frame=v-whsa_1195f1_ZU", "zařazovat se (v-whsa_1195f1_ZU)")</f>
        <v>zařazovat se (v-whsa_1195f1_ZU)</v>
      </c>
    </row>
    <row r="68215" spans="1:4" x14ac:dyDescent="0.2">
      <c r="B68215" t="s">
        <v>1</v>
      </c>
    </row>
    <row r="68216" spans="1:4" x14ac:dyDescent="0.2">
      <c r="B68216" t="s">
        <v>21175</v>
      </c>
    </row>
    <row r="68218" spans="1:4" x14ac:dyDescent="0.2">
      <c r="A68218" t="s">
        <v>21174</v>
      </c>
      <c r="B68218" t="str">
        <f>HYPERLINK("https://lindat.mff.cuni.cz/services/teitok/pdtc10/index.php?action=vallex&amp;frame=v-whsa_1195hsa_1196", "zařazovat se (v-whsa_1195hsa_1196) - substituted with v-whsa_1195f1_ZU")</f>
        <v>zařazovat se (v-whsa_1195hsa_1196) - substituted with v-whsa_1195f1_ZU</v>
      </c>
    </row>
    <row r="68219" spans="1:4" x14ac:dyDescent="0.2">
      <c r="B68219" t="s">
        <v>1</v>
      </c>
    </row>
    <row r="68220" spans="1:4" x14ac:dyDescent="0.2">
      <c r="B68220" t="s">
        <v>21175</v>
      </c>
    </row>
    <row r="68222" spans="1:4" x14ac:dyDescent="0.2">
      <c r="A68222" t="s">
        <v>21176</v>
      </c>
      <c r="B68222" t="str">
        <f>HYPERLINK("https://lindat.mff.cuni.cz/services/teitok/pdtc10/index.php?action=vallex&amp;frame=v-w9103f1", "zařeknout se (v-w9103f1)")</f>
        <v>zařeknout se (v-w9103f1)</v>
      </c>
    </row>
    <row r="68223" spans="1:4" x14ac:dyDescent="0.2">
      <c r="B68223" t="s">
        <v>1</v>
      </c>
      <c r="C68223" t="s">
        <v>964</v>
      </c>
      <c r="D68223" t="s">
        <v>24089</v>
      </c>
    </row>
    <row r="68224" spans="1:4" x14ac:dyDescent="0.2">
      <c r="B68224" t="s">
        <v>2480</v>
      </c>
      <c r="C68224" t="s">
        <v>4676</v>
      </c>
      <c r="D68224" t="s">
        <v>24090</v>
      </c>
    </row>
    <row r="68226" spans="1:4" x14ac:dyDescent="0.2">
      <c r="A68226" t="s">
        <v>21177</v>
      </c>
      <c r="B68226" t="str">
        <f>HYPERLINK("https://lindat.mff.cuni.cz/services/teitok/pdtc10/index.php?action=vallex&amp;frame=v-w11639_ZUf1_ZU", "zařezávat se (v-w11639_ZUf1_ZU)")</f>
        <v>zařezávat se (v-w11639_ZUf1_ZU)</v>
      </c>
    </row>
    <row r="68227" spans="1:4" x14ac:dyDescent="0.2">
      <c r="B68227" t="s">
        <v>1</v>
      </c>
      <c r="C68227" t="s">
        <v>22</v>
      </c>
    </row>
    <row r="68228" spans="1:4" x14ac:dyDescent="0.2">
      <c r="B68228" t="s">
        <v>817</v>
      </c>
      <c r="C68228" t="s">
        <v>20815</v>
      </c>
    </row>
    <row r="68230" spans="1:4" x14ac:dyDescent="0.2">
      <c r="A68230" t="s">
        <v>21178</v>
      </c>
      <c r="B68230" t="str">
        <f>HYPERLINK("https://lindat.mff.cuni.cz/services/teitok/pdtc10/index.php?action=vallex&amp;frame=v-w9110f1", "zařizovat (v-w9110f1)")</f>
        <v>zařizovat (v-w9110f1)</v>
      </c>
    </row>
    <row r="68231" spans="1:4" x14ac:dyDescent="0.2">
      <c r="B68231" t="s">
        <v>1</v>
      </c>
      <c r="C68231" t="s">
        <v>33</v>
      </c>
      <c r="D68231" t="s">
        <v>23711</v>
      </c>
    </row>
    <row r="68232" spans="1:4" x14ac:dyDescent="0.2">
      <c r="B68232" t="s">
        <v>8</v>
      </c>
      <c r="C68232" t="s">
        <v>1044</v>
      </c>
      <c r="D68232" t="s">
        <v>23712</v>
      </c>
    </row>
    <row r="68234" spans="1:4" x14ac:dyDescent="0.2">
      <c r="A68234" t="s">
        <v>21179</v>
      </c>
      <c r="B68234" t="str">
        <f>HYPERLINK("https://lindat.mff.cuni.cz/services/teitok/pdtc10/index.php?action=vallex&amp;frame=v-w9110hsa_1617", "zařizovat (v-w9110hsa_1617)")</f>
        <v>zařizovat (v-w9110hsa_1617)</v>
      </c>
    </row>
    <row r="68235" spans="1:4" x14ac:dyDescent="0.2">
      <c r="B68235" t="s">
        <v>1</v>
      </c>
    </row>
    <row r="68236" spans="1:4" x14ac:dyDescent="0.2">
      <c r="B68236" t="s">
        <v>8</v>
      </c>
    </row>
    <row r="68238" spans="1:4" x14ac:dyDescent="0.2">
      <c r="A68238" t="s">
        <v>21180</v>
      </c>
      <c r="B68238" t="str">
        <f>HYPERLINK("https://lindat.mff.cuni.cz/services/teitok/pdtc10/index.php?action=vallex&amp;frame=v-w9111f1", "zařvat (v-w9111f1)")</f>
        <v>zařvat (v-w9111f1)</v>
      </c>
    </row>
    <row r="68239" spans="1:4" x14ac:dyDescent="0.2">
      <c r="B68239" t="s">
        <v>1</v>
      </c>
      <c r="C68239" t="s">
        <v>249</v>
      </c>
      <c r="D68239" t="s">
        <v>2571</v>
      </c>
    </row>
    <row r="68240" spans="1:4" x14ac:dyDescent="0.2">
      <c r="B68240" t="s">
        <v>21128</v>
      </c>
      <c r="C68240" t="s">
        <v>991</v>
      </c>
      <c r="D68240" t="s">
        <v>338</v>
      </c>
    </row>
    <row r="68241" spans="1:4" x14ac:dyDescent="0.2">
      <c r="B68241" t="s">
        <v>3527</v>
      </c>
      <c r="D68241" t="s">
        <v>3728</v>
      </c>
    </row>
    <row r="68243" spans="1:4" x14ac:dyDescent="0.2">
      <c r="A68243" t="s">
        <v>21181</v>
      </c>
      <c r="B68243" t="str">
        <f>HYPERLINK("https://lindat.mff.cuni.cz/services/teitok/pdtc10/index.php?action=vallex&amp;frame=v-w9104hsa_354", "zařídit (v-w9104hsa_354)")</f>
        <v>zařídit (v-w9104hsa_354)</v>
      </c>
    </row>
    <row r="68244" spans="1:4" x14ac:dyDescent="0.2">
      <c r="B68244" t="s">
        <v>1</v>
      </c>
    </row>
    <row r="68245" spans="1:4" x14ac:dyDescent="0.2">
      <c r="B68245" t="s">
        <v>21182</v>
      </c>
    </row>
    <row r="68247" spans="1:4" x14ac:dyDescent="0.2">
      <c r="A68247" t="s">
        <v>21181</v>
      </c>
      <c r="B68247" t="str">
        <f>HYPERLINK("https://lindat.mff.cuni.cz/services/teitok/pdtc10/index.php?action=vallex&amp;frame=v-w9104f1", "zařídit (v-w9104f1) - substituted with v-w9104hsa_354")</f>
        <v>zařídit (v-w9104f1) - substituted with v-w9104hsa_354</v>
      </c>
    </row>
    <row r="68248" spans="1:4" x14ac:dyDescent="0.2">
      <c r="B68248" t="s">
        <v>1</v>
      </c>
      <c r="C68248" t="s">
        <v>6459</v>
      </c>
      <c r="D68248" t="s">
        <v>3081</v>
      </c>
    </row>
    <row r="68249" spans="1:4" x14ac:dyDescent="0.2">
      <c r="B68249" t="s">
        <v>21182</v>
      </c>
      <c r="C68249" t="s">
        <v>7921</v>
      </c>
      <c r="D68249" t="s">
        <v>23630</v>
      </c>
    </row>
    <row r="68251" spans="1:4" x14ac:dyDescent="0.2">
      <c r="A68251" t="s">
        <v>21183</v>
      </c>
      <c r="B68251" t="str">
        <f>HYPERLINK("https://lindat.mff.cuni.cz/services/teitok/pdtc10/index.php?action=vallex&amp;frame=v-w9104f2", "zařídit (v-w9104f2)")</f>
        <v>zařídit (v-w9104f2)</v>
      </c>
    </row>
    <row r="68252" spans="1:4" x14ac:dyDescent="0.2">
      <c r="B68252" t="s">
        <v>1</v>
      </c>
      <c r="C68252" t="s">
        <v>3580</v>
      </c>
      <c r="D68252" t="s">
        <v>23711</v>
      </c>
    </row>
    <row r="68253" spans="1:4" x14ac:dyDescent="0.2">
      <c r="B68253" t="s">
        <v>8</v>
      </c>
      <c r="C68253" t="s">
        <v>21184</v>
      </c>
      <c r="D68253" t="s">
        <v>23712</v>
      </c>
    </row>
    <row r="68255" spans="1:4" x14ac:dyDescent="0.2">
      <c r="A68255" t="s">
        <v>21185</v>
      </c>
      <c r="B68255" t="str">
        <f>HYPERLINK("https://lindat.mff.cuni.cz/services/teitok/pdtc10/index.php?action=vallex&amp;frame=v-w9104f3_ZU", "zařídit (v-w9104f3_ZU)")</f>
        <v>zařídit (v-w9104f3_ZU)</v>
      </c>
    </row>
    <row r="68256" spans="1:4" x14ac:dyDescent="0.2">
      <c r="B68256" t="s">
        <v>1</v>
      </c>
    </row>
    <row r="68257" spans="1:4" x14ac:dyDescent="0.2">
      <c r="B68257" t="s">
        <v>8</v>
      </c>
    </row>
    <row r="68258" spans="1:4" x14ac:dyDescent="0.2">
      <c r="B68258" t="s">
        <v>24</v>
      </c>
    </row>
    <row r="68260" spans="1:4" x14ac:dyDescent="0.2">
      <c r="A68260" t="s">
        <v>21186</v>
      </c>
      <c r="B68260" t="str">
        <f>HYPERLINK("https://lindat.mff.cuni.cz/services/teitok/pdtc10/index.php?action=vallex&amp;frame=v-w9104hsa_353", "zařídit (v-w9104hsa_353)")</f>
        <v>zařídit (v-w9104hsa_353)</v>
      </c>
    </row>
    <row r="68261" spans="1:4" x14ac:dyDescent="0.2">
      <c r="B68261" t="s">
        <v>1</v>
      </c>
    </row>
    <row r="68262" spans="1:4" x14ac:dyDescent="0.2">
      <c r="B68262" t="s">
        <v>8</v>
      </c>
    </row>
    <row r="68264" spans="1:4" x14ac:dyDescent="0.2">
      <c r="A68264" t="s">
        <v>21187</v>
      </c>
      <c r="B68264" t="str">
        <f>HYPERLINK("https://lindat.mff.cuni.cz/services/teitok/pdtc10/index.php?action=vallex&amp;frame=v-w9105f1", "zařídit se (v-w9105f1)")</f>
        <v>zařídit se (v-w9105f1)</v>
      </c>
    </row>
    <row r="68265" spans="1:4" x14ac:dyDescent="0.2">
      <c r="B68265" t="s">
        <v>1</v>
      </c>
      <c r="C68265" t="s">
        <v>2008</v>
      </c>
      <c r="D68265" t="s">
        <v>24515</v>
      </c>
    </row>
    <row r="68266" spans="1:4" x14ac:dyDescent="0.2">
      <c r="B68266" t="s">
        <v>21188</v>
      </c>
      <c r="C68266" t="s">
        <v>1331</v>
      </c>
      <c r="D68266" t="s">
        <v>1478</v>
      </c>
    </row>
    <row r="68268" spans="1:4" x14ac:dyDescent="0.2">
      <c r="A68268" t="s">
        <v>21189</v>
      </c>
      <c r="B68268" t="str">
        <f>HYPERLINK("https://lindat.mff.cuni.cz/services/teitok/pdtc10/index.php?action=vallex&amp;frame=v-w9105f3_ZU", "zařídit se (v-w9105f3_ZU)")</f>
        <v>zařídit se (v-w9105f3_ZU)</v>
      </c>
    </row>
    <row r="68269" spans="1:4" x14ac:dyDescent="0.2">
      <c r="B68269" t="s">
        <v>1</v>
      </c>
    </row>
    <row r="68270" spans="1:4" x14ac:dyDescent="0.2">
      <c r="B68270" t="s">
        <v>3920</v>
      </c>
    </row>
    <row r="68272" spans="1:4" x14ac:dyDescent="0.2">
      <c r="A68272" t="s">
        <v>21190</v>
      </c>
      <c r="B68272" t="str">
        <f>HYPERLINK("https://lindat.mff.cuni.cz/services/teitok/pdtc10/index.php?action=vallex&amp;frame=v-w9105f2", "zařídit se (v-w9105f2)")</f>
        <v>zařídit se (v-w9105f2)</v>
      </c>
    </row>
    <row r="68273" spans="1:4" x14ac:dyDescent="0.2">
      <c r="B68273" t="s">
        <v>1</v>
      </c>
    </row>
    <row r="68275" spans="1:4" x14ac:dyDescent="0.2">
      <c r="A68275" t="s">
        <v>21191</v>
      </c>
      <c r="B68275" t="str">
        <f>HYPERLINK("https://lindat.mff.cuni.cz/services/teitok/pdtc10/index.php?action=vallex&amp;frame=v-w9105hsa_1388", "zařídit se (v-w9105hsa_1388)")</f>
        <v>zařídit se (v-w9105hsa_1388)</v>
      </c>
    </row>
    <row r="68276" spans="1:4" x14ac:dyDescent="0.2">
      <c r="B68276" t="s">
        <v>1</v>
      </c>
    </row>
    <row r="68277" spans="1:4" x14ac:dyDescent="0.2">
      <c r="B68277" t="s">
        <v>411</v>
      </c>
    </row>
    <row r="68279" spans="1:4" x14ac:dyDescent="0.2">
      <c r="A68279" t="s">
        <v>21192</v>
      </c>
      <c r="B68279" t="str">
        <f>HYPERLINK("https://lindat.mff.cuni.cz/services/teitok/pdtc10/index.php?action=vallex&amp;frame=v-w10442f2", "zaříkávat (v-w10442f2)")</f>
        <v>zaříkávat (v-w10442f2)</v>
      </c>
    </row>
    <row r="68280" spans="1:4" x14ac:dyDescent="0.2">
      <c r="B68280" t="s">
        <v>1</v>
      </c>
    </row>
    <row r="68281" spans="1:4" x14ac:dyDescent="0.2">
      <c r="B68281" t="s">
        <v>8</v>
      </c>
      <c r="C68281" t="s">
        <v>113</v>
      </c>
    </row>
    <row r="68283" spans="1:4" x14ac:dyDescent="0.2">
      <c r="A68283" t="s">
        <v>21193</v>
      </c>
      <c r="B68283" t="str">
        <f>HYPERLINK("https://lindat.mff.cuni.cz/services/teitok/pdtc10/index.php?action=vallex&amp;frame=v-w9108f2", "zaříznout (v-w9108f2)")</f>
        <v>zaříznout (v-w9108f2)</v>
      </c>
    </row>
    <row r="68284" spans="1:4" x14ac:dyDescent="0.2">
      <c r="B68284" t="s">
        <v>1</v>
      </c>
      <c r="D68284" t="s">
        <v>11295</v>
      </c>
    </row>
    <row r="68285" spans="1:4" x14ac:dyDescent="0.2">
      <c r="B68285" t="s">
        <v>8</v>
      </c>
      <c r="D68285" t="s">
        <v>13639</v>
      </c>
    </row>
    <row r="68287" spans="1:4" x14ac:dyDescent="0.2">
      <c r="A68287" t="s">
        <v>21194</v>
      </c>
      <c r="B68287" t="str">
        <f>HYPERLINK("https://lindat.mff.cuni.cz/services/teitok/pdtc10/index.php?action=vallex&amp;frame=v-w9108f1", "zaříznout (v-w9108f1)")</f>
        <v>zaříznout (v-w9108f1)</v>
      </c>
    </row>
    <row r="68288" spans="1:4" x14ac:dyDescent="0.2">
      <c r="B68288" t="s">
        <v>1</v>
      </c>
    </row>
    <row r="68289" spans="1:2" x14ac:dyDescent="0.2">
      <c r="B68289" t="s">
        <v>90</v>
      </c>
    </row>
    <row r="68291" spans="1:2" x14ac:dyDescent="0.2">
      <c r="A68291" t="s">
        <v>21195</v>
      </c>
      <c r="B68291" t="str">
        <f>HYPERLINK("https://lindat.mff.cuni.cz/services/teitok/pdtc10/index.php?action=vallex&amp;frame=v-w9108hsa_1277", "zaříznout (v-w9108hsa_1277)")</f>
        <v>zaříznout (v-w9108hsa_1277)</v>
      </c>
    </row>
    <row r="68292" spans="1:2" x14ac:dyDescent="0.2">
      <c r="B68292" t="s">
        <v>1</v>
      </c>
    </row>
    <row r="68293" spans="1:2" x14ac:dyDescent="0.2">
      <c r="B68293" t="s">
        <v>8</v>
      </c>
    </row>
    <row r="68295" spans="1:2" x14ac:dyDescent="0.2">
      <c r="A68295" t="s">
        <v>21196</v>
      </c>
      <c r="B68295" t="str">
        <f>HYPERLINK("https://lindat.mff.cuni.cz/services/teitok/pdtc10/index.php?action=vallex&amp;frame=v-w11911_ZUf1_ZU", "zaříznout se (v-w11911_ZUf1_ZU)")</f>
        <v>zaříznout se (v-w11911_ZUf1_ZU)</v>
      </c>
    </row>
    <row r="68296" spans="1:2" x14ac:dyDescent="0.2">
      <c r="B68296" t="s">
        <v>1</v>
      </c>
    </row>
    <row r="68297" spans="1:2" x14ac:dyDescent="0.2">
      <c r="B68297" t="s">
        <v>252</v>
      </c>
    </row>
    <row r="68299" spans="1:2" x14ac:dyDescent="0.2">
      <c r="A68299" t="s">
        <v>21197</v>
      </c>
      <c r="B68299" t="str">
        <f>HYPERLINK("https://lindat.mff.cuni.cz/services/teitok/pdtc10/index.php?action=vallex&amp;frame=v-w9197f2", "zašeptat (v-w9197f2)")</f>
        <v>zašeptat (v-w9197f2)</v>
      </c>
    </row>
    <row r="68300" spans="1:2" x14ac:dyDescent="0.2">
      <c r="B68300" t="s">
        <v>1</v>
      </c>
    </row>
    <row r="68301" spans="1:2" x14ac:dyDescent="0.2">
      <c r="B68301" t="s">
        <v>183</v>
      </c>
    </row>
    <row r="68302" spans="1:2" x14ac:dyDescent="0.2">
      <c r="B68302" t="s">
        <v>35</v>
      </c>
    </row>
    <row r="68304" spans="1:2" x14ac:dyDescent="0.2">
      <c r="A68304" t="s">
        <v>21198</v>
      </c>
      <c r="B68304" t="str">
        <f>HYPERLINK("https://lindat.mff.cuni.cz/services/teitok/pdtc10/index.php?action=vallex&amp;frame=v-w9197f3", "zašeptat (v-w9197f3)")</f>
        <v>zašeptat (v-w9197f3)</v>
      </c>
    </row>
    <row r="68305" spans="1:4" x14ac:dyDescent="0.2">
      <c r="B68305" t="s">
        <v>1</v>
      </c>
    </row>
    <row r="68306" spans="1:4" x14ac:dyDescent="0.2">
      <c r="B68306" t="s">
        <v>8</v>
      </c>
    </row>
    <row r="68307" spans="1:4" x14ac:dyDescent="0.2">
      <c r="B68307" t="s">
        <v>78</v>
      </c>
    </row>
    <row r="68309" spans="1:4" x14ac:dyDescent="0.2">
      <c r="A68309" t="s">
        <v>21199</v>
      </c>
      <c r="B68309" t="str">
        <f>HYPERLINK("https://lindat.mff.cuni.cz/services/teitok/pdtc10/index.php?action=vallex&amp;frame=v-w9197f1", "zašeptat (v-w9197f1)")</f>
        <v>zašeptat (v-w9197f1)</v>
      </c>
    </row>
    <row r="68310" spans="1:4" x14ac:dyDescent="0.2">
      <c r="B68310" t="s">
        <v>1</v>
      </c>
      <c r="D68310" t="s">
        <v>16715</v>
      </c>
    </row>
    <row r="68311" spans="1:4" x14ac:dyDescent="0.2">
      <c r="B68311" t="s">
        <v>6437</v>
      </c>
      <c r="D68311" t="s">
        <v>24516</v>
      </c>
    </row>
    <row r="68312" spans="1:4" x14ac:dyDescent="0.2">
      <c r="B68312" t="s">
        <v>269</v>
      </c>
    </row>
    <row r="68313" spans="1:4" x14ac:dyDescent="0.2">
      <c r="B68313" t="s">
        <v>78</v>
      </c>
      <c r="D68313" t="s">
        <v>24517</v>
      </c>
    </row>
    <row r="68315" spans="1:4" x14ac:dyDescent="0.2">
      <c r="A68315" t="s">
        <v>21200</v>
      </c>
      <c r="B68315" t="str">
        <f>HYPERLINK("https://lindat.mff.cuni.cz/services/teitok/pdtc10/index.php?action=vallex&amp;frame=v-w9198f1", "zašermovat (v-w9198f1)")</f>
        <v>zašermovat (v-w9198f1)</v>
      </c>
    </row>
    <row r="68316" spans="1:4" x14ac:dyDescent="0.2">
      <c r="B68316" t="s">
        <v>1</v>
      </c>
    </row>
    <row r="68317" spans="1:4" x14ac:dyDescent="0.2">
      <c r="B68317" t="s">
        <v>158</v>
      </c>
    </row>
    <row r="68318" spans="1:4" x14ac:dyDescent="0.2">
      <c r="B68318" t="s">
        <v>3527</v>
      </c>
    </row>
    <row r="68320" spans="1:4" x14ac:dyDescent="0.2">
      <c r="A68320" t="s">
        <v>21201</v>
      </c>
      <c r="B68320" t="str">
        <f>HYPERLINK("https://lindat.mff.cuni.cz/services/teitok/pdtc10/index.php?action=vallex&amp;frame=v-w11248f1", "zašklebit se (v-w11248f1)")</f>
        <v>zašklebit se (v-w11248f1)</v>
      </c>
    </row>
    <row r="68321" spans="1:4" x14ac:dyDescent="0.2">
      <c r="B68321" t="s">
        <v>1</v>
      </c>
      <c r="C68321" t="s">
        <v>33</v>
      </c>
      <c r="D68321" t="s">
        <v>33</v>
      </c>
    </row>
    <row r="68322" spans="1:4" x14ac:dyDescent="0.2">
      <c r="B68322" t="s">
        <v>346</v>
      </c>
    </row>
    <row r="68323" spans="1:4" x14ac:dyDescent="0.2">
      <c r="B68323" t="s">
        <v>349</v>
      </c>
    </row>
    <row r="68324" spans="1:4" x14ac:dyDescent="0.2">
      <c r="B68324" t="s">
        <v>350</v>
      </c>
    </row>
    <row r="68325" spans="1:4" x14ac:dyDescent="0.2">
      <c r="B68325" t="s">
        <v>351</v>
      </c>
    </row>
    <row r="68327" spans="1:4" x14ac:dyDescent="0.2">
      <c r="A68327" t="s">
        <v>21202</v>
      </c>
      <c r="B68327" t="str">
        <f>HYPERLINK("https://lindat.mff.cuni.cz/services/teitok/pdtc10/index.php?action=vallex&amp;frame=v-whsa_1165f1_ZU", "zaškrtnout (v-whsa_1165f1_ZU)")</f>
        <v>zaškrtnout (v-whsa_1165f1_ZU)</v>
      </c>
    </row>
    <row r="68328" spans="1:4" x14ac:dyDescent="0.2">
      <c r="B68328" t="s">
        <v>1</v>
      </c>
    </row>
    <row r="68329" spans="1:4" x14ac:dyDescent="0.2">
      <c r="B68329" t="s">
        <v>8</v>
      </c>
      <c r="C68329" t="s">
        <v>113</v>
      </c>
      <c r="D68329" t="s">
        <v>991</v>
      </c>
    </row>
    <row r="68331" spans="1:4" x14ac:dyDescent="0.2">
      <c r="A68331" t="s">
        <v>21202</v>
      </c>
      <c r="B68331" t="str">
        <f>HYPERLINK("https://lindat.mff.cuni.cz/services/teitok/pdtc10/index.php?action=vallex&amp;frame=v-whsa_1165hsa_1166", "zaškrtnout (v-whsa_1165hsa_1166) - substituted with v-whsa_1165f1_ZU")</f>
        <v>zaškrtnout (v-whsa_1165hsa_1166) - substituted with v-whsa_1165f1_ZU</v>
      </c>
    </row>
    <row r="68332" spans="1:4" x14ac:dyDescent="0.2">
      <c r="B68332" t="s">
        <v>1</v>
      </c>
    </row>
    <row r="68333" spans="1:4" x14ac:dyDescent="0.2">
      <c r="B68333" t="s">
        <v>8</v>
      </c>
    </row>
    <row r="68335" spans="1:4" x14ac:dyDescent="0.2">
      <c r="A68335" t="s">
        <v>21203</v>
      </c>
      <c r="B68335" t="str">
        <f>HYPERLINK("https://lindat.mff.cuni.cz/services/teitok/pdtc10/index.php?action=vallex&amp;frame=v-w11944_ZUf1_ZU", "zašmodrchat (v-w11944_ZUf1_ZU)")</f>
        <v>zašmodrchat (v-w11944_ZUf1_ZU)</v>
      </c>
    </row>
    <row r="68336" spans="1:4" x14ac:dyDescent="0.2">
      <c r="B68336" t="s">
        <v>1</v>
      </c>
    </row>
    <row r="68337" spans="1:3" x14ac:dyDescent="0.2">
      <c r="B68337" t="s">
        <v>8</v>
      </c>
    </row>
    <row r="68339" spans="1:3" x14ac:dyDescent="0.2">
      <c r="A68339" t="s">
        <v>21204</v>
      </c>
      <c r="B68339" t="str">
        <f>HYPERLINK("https://lindat.mff.cuni.cz/services/teitok/pdtc10/index.php?action=vallex&amp;frame=v-whsa_449hsa_450", "zašněrovat (v-whsa_449hsa_450)")</f>
        <v>zašněrovat (v-whsa_449hsa_450)</v>
      </c>
    </row>
    <row r="68340" spans="1:3" x14ac:dyDescent="0.2">
      <c r="B68340" t="s">
        <v>1</v>
      </c>
    </row>
    <row r="68341" spans="1:3" x14ac:dyDescent="0.2">
      <c r="B68341" t="s">
        <v>8</v>
      </c>
    </row>
    <row r="68343" spans="1:3" x14ac:dyDescent="0.2">
      <c r="A68343" t="s">
        <v>21205</v>
      </c>
      <c r="B68343" t="str">
        <f>HYPERLINK("https://lindat.mff.cuni.cz/services/teitok/pdtc10/index.php?action=vallex&amp;frame=v-w11820_ZUf1_ZU", "zašoupnout (v-w11820_ZUf1_ZU)")</f>
        <v>zašoupnout (v-w11820_ZUf1_ZU)</v>
      </c>
    </row>
    <row r="68344" spans="1:3" x14ac:dyDescent="0.2">
      <c r="B68344" t="s">
        <v>1</v>
      </c>
    </row>
    <row r="68345" spans="1:3" x14ac:dyDescent="0.2">
      <c r="B68345" t="s">
        <v>8</v>
      </c>
    </row>
    <row r="68346" spans="1:3" x14ac:dyDescent="0.2">
      <c r="B68346" t="s">
        <v>90</v>
      </c>
    </row>
    <row r="68348" spans="1:3" x14ac:dyDescent="0.2">
      <c r="A68348" t="s">
        <v>21206</v>
      </c>
      <c r="B68348" t="str">
        <f>HYPERLINK("https://lindat.mff.cuni.cz/services/teitok/pdtc10/index.php?action=vallex&amp;frame=v-w9203f1", "zaštiťovat (v-w9203f1)")</f>
        <v>zaštiťovat (v-w9203f1)</v>
      </c>
    </row>
    <row r="68349" spans="1:3" x14ac:dyDescent="0.2">
      <c r="B68349" t="s">
        <v>1</v>
      </c>
      <c r="C68349" t="s">
        <v>2145</v>
      </c>
    </row>
    <row r="68350" spans="1:3" x14ac:dyDescent="0.2">
      <c r="B68350" t="s">
        <v>8</v>
      </c>
      <c r="C68350" t="s">
        <v>8880</v>
      </c>
    </row>
    <row r="68351" spans="1:3" x14ac:dyDescent="0.2">
      <c r="B68351" t="s">
        <v>308</v>
      </c>
    </row>
    <row r="68353" spans="1:4" x14ac:dyDescent="0.2">
      <c r="A68353" t="s">
        <v>21207</v>
      </c>
      <c r="B68353" t="str">
        <f>HYPERLINK("https://lindat.mff.cuni.cz/services/teitok/pdtc10/index.php?action=vallex&amp;frame=v-w10415f2", "zaštukovat (v-w10415f2)")</f>
        <v>zaštukovat (v-w10415f2)</v>
      </c>
    </row>
    <row r="68354" spans="1:4" x14ac:dyDescent="0.2">
      <c r="B68354" t="s">
        <v>1</v>
      </c>
    </row>
    <row r="68355" spans="1:4" x14ac:dyDescent="0.2">
      <c r="B68355" t="s">
        <v>8</v>
      </c>
    </row>
    <row r="68357" spans="1:4" x14ac:dyDescent="0.2">
      <c r="A68357" t="s">
        <v>21208</v>
      </c>
      <c r="B68357" t="str">
        <f>HYPERLINK("https://lindat.mff.cuni.cz/services/teitok/pdtc10/index.php?action=vallex&amp;frame=v-w11804_ZUf1_ZU", "zaštípnout se (v-w11804_ZUf1_ZU)")</f>
        <v>zaštípnout se (v-w11804_ZUf1_ZU)</v>
      </c>
    </row>
    <row r="68358" spans="1:4" x14ac:dyDescent="0.2">
      <c r="B68358" t="s">
        <v>1</v>
      </c>
    </row>
    <row r="68359" spans="1:4" x14ac:dyDescent="0.2">
      <c r="B68359" t="s">
        <v>252</v>
      </c>
    </row>
    <row r="68361" spans="1:4" x14ac:dyDescent="0.2">
      <c r="A68361" t="s">
        <v>21209</v>
      </c>
      <c r="B68361" t="str">
        <f>HYPERLINK("https://lindat.mff.cuni.cz/services/teitok/pdtc10/index.php?action=vallex&amp;frame=v-w9202f1", "zaštítit (v-w9202f1)")</f>
        <v>zaštítit (v-w9202f1)</v>
      </c>
    </row>
    <row r="68362" spans="1:4" x14ac:dyDescent="0.2">
      <c r="B68362" t="s">
        <v>1</v>
      </c>
    </row>
    <row r="68363" spans="1:4" x14ac:dyDescent="0.2">
      <c r="B68363" t="s">
        <v>8</v>
      </c>
    </row>
    <row r="68364" spans="1:4" x14ac:dyDescent="0.2">
      <c r="B68364" t="s">
        <v>308</v>
      </c>
    </row>
    <row r="68366" spans="1:4" x14ac:dyDescent="0.2">
      <c r="A68366" t="s">
        <v>21210</v>
      </c>
      <c r="B68366" t="str">
        <f>HYPERLINK("https://lindat.mff.cuni.cz/services/teitok/pdtc10/index.php?action=vallex&amp;frame=v-w9196f2", "zašátrat (v-w9196f2)")</f>
        <v>zašátrat (v-w9196f2)</v>
      </c>
    </row>
    <row r="68367" spans="1:4" x14ac:dyDescent="0.2">
      <c r="B68367" t="s">
        <v>1</v>
      </c>
      <c r="D68367" t="s">
        <v>133</v>
      </c>
    </row>
    <row r="68368" spans="1:4" x14ac:dyDescent="0.2">
      <c r="B68368" t="s">
        <v>5</v>
      </c>
      <c r="D68368" t="s">
        <v>19394</v>
      </c>
    </row>
    <row r="68370" spans="1:4" x14ac:dyDescent="0.2">
      <c r="A68370" t="s">
        <v>21211</v>
      </c>
      <c r="B68370" t="str">
        <f>HYPERLINK("https://lindat.mff.cuni.cz/services/teitok/pdtc10/index.php?action=vallex&amp;frame=v-w9196f1", "zašátrat (v-w9196f1)")</f>
        <v>zašátrat (v-w9196f1)</v>
      </c>
    </row>
    <row r="68371" spans="1:4" x14ac:dyDescent="0.2">
      <c r="B68371" t="s">
        <v>1</v>
      </c>
      <c r="D68371" t="s">
        <v>133</v>
      </c>
    </row>
    <row r="68372" spans="1:4" x14ac:dyDescent="0.2">
      <c r="B68372" t="s">
        <v>90</v>
      </c>
      <c r="D68372" t="s">
        <v>3819</v>
      </c>
    </row>
    <row r="68374" spans="1:4" x14ac:dyDescent="0.2">
      <c r="A68374" t="s">
        <v>21212</v>
      </c>
      <c r="B68374" t="str">
        <f>HYPERLINK("https://lindat.mff.cuni.cz/services/teitok/pdtc10/index.php?action=vallex&amp;frame=v-whsa_1176hsa_1177", "zašít (v-whsa_1176hsa_1177)")</f>
        <v>zašít (v-whsa_1176hsa_1177)</v>
      </c>
    </row>
    <row r="68375" spans="1:4" x14ac:dyDescent="0.2">
      <c r="B68375" t="s">
        <v>1</v>
      </c>
    </row>
    <row r="68376" spans="1:4" x14ac:dyDescent="0.2">
      <c r="B68376" t="s">
        <v>8</v>
      </c>
    </row>
    <row r="68378" spans="1:4" x14ac:dyDescent="0.2">
      <c r="A68378" t="s">
        <v>21213</v>
      </c>
      <c r="B68378" t="str">
        <f>HYPERLINK("https://lindat.mff.cuni.cz/services/teitok/pdtc10/index.php?action=vallex&amp;frame=v-w9199f1", "zašívat (v-w9199f1)")</f>
        <v>zašívat (v-w9199f1)</v>
      </c>
    </row>
    <row r="68379" spans="1:4" x14ac:dyDescent="0.2">
      <c r="B68379" t="s">
        <v>1</v>
      </c>
    </row>
    <row r="68380" spans="1:4" x14ac:dyDescent="0.2">
      <c r="B68380" t="s">
        <v>8</v>
      </c>
    </row>
    <row r="68382" spans="1:4" x14ac:dyDescent="0.2">
      <c r="A68382" t="s">
        <v>21214</v>
      </c>
      <c r="B68382" t="str">
        <f>HYPERLINK("https://lindat.mff.cuni.cz/services/teitok/pdtc10/index.php?action=vallex&amp;frame=v-w11052f2", "zaťukat (v-w11052f2)")</f>
        <v>zaťukat (v-w11052f2)</v>
      </c>
    </row>
    <row r="68383" spans="1:4" x14ac:dyDescent="0.2">
      <c r="B68383" t="s">
        <v>1</v>
      </c>
      <c r="C68383" t="s">
        <v>249</v>
      </c>
      <c r="D68383" t="s">
        <v>249</v>
      </c>
    </row>
    <row r="68385" spans="1:4" x14ac:dyDescent="0.2">
      <c r="A68385" t="s">
        <v>21215</v>
      </c>
      <c r="B68385" t="str">
        <f>HYPERLINK("https://lindat.mff.cuni.cz/services/teitok/pdtc10/index.php?action=vallex&amp;frame=v-w9324f1", "zažalovat (v-w9324f1)")</f>
        <v>zažalovat (v-w9324f1)</v>
      </c>
    </row>
    <row r="68386" spans="1:4" x14ac:dyDescent="0.2">
      <c r="B68386" t="s">
        <v>1</v>
      </c>
      <c r="C68386" t="s">
        <v>1366</v>
      </c>
      <c r="D68386" t="s">
        <v>6301</v>
      </c>
    </row>
    <row r="68387" spans="1:4" x14ac:dyDescent="0.2">
      <c r="B68387" t="s">
        <v>8</v>
      </c>
      <c r="C68387" t="s">
        <v>5674</v>
      </c>
      <c r="D68387" t="s">
        <v>23635</v>
      </c>
    </row>
    <row r="68389" spans="1:4" x14ac:dyDescent="0.2">
      <c r="A68389" t="s">
        <v>21216</v>
      </c>
      <c r="B68389" t="str">
        <f>HYPERLINK("https://lindat.mff.cuni.cz/services/teitok/pdtc10/index.php?action=vallex&amp;frame=v-w9324f2", "zažalovat (v-w9324f2)")</f>
        <v>zažalovat (v-w9324f2)</v>
      </c>
    </row>
    <row r="68390" spans="1:4" x14ac:dyDescent="0.2">
      <c r="B68390" t="s">
        <v>1</v>
      </c>
    </row>
    <row r="68391" spans="1:4" x14ac:dyDescent="0.2">
      <c r="B68391" t="s">
        <v>35</v>
      </c>
    </row>
    <row r="68392" spans="1:4" x14ac:dyDescent="0.2">
      <c r="B68392" t="s">
        <v>4127</v>
      </c>
    </row>
    <row r="68393" spans="1:4" x14ac:dyDescent="0.2">
      <c r="B68393" t="s">
        <v>46</v>
      </c>
    </row>
    <row r="68395" spans="1:4" x14ac:dyDescent="0.2">
      <c r="A68395" t="s">
        <v>21217</v>
      </c>
      <c r="B68395" t="str">
        <f>HYPERLINK("https://lindat.mff.cuni.cz/services/teitok/pdtc10/index.php?action=vallex&amp;frame=v-w9325f1", "zažehnat (v-w9325f1)")</f>
        <v>zažehnat (v-w9325f1)</v>
      </c>
    </row>
    <row r="68396" spans="1:4" x14ac:dyDescent="0.2">
      <c r="B68396" t="s">
        <v>1</v>
      </c>
      <c r="C68396" t="s">
        <v>33</v>
      </c>
      <c r="D68396" t="s">
        <v>249</v>
      </c>
    </row>
    <row r="68397" spans="1:4" x14ac:dyDescent="0.2">
      <c r="B68397" t="s">
        <v>8</v>
      </c>
      <c r="C68397" t="s">
        <v>56</v>
      </c>
      <c r="D68397" t="s">
        <v>2886</v>
      </c>
    </row>
    <row r="68399" spans="1:4" x14ac:dyDescent="0.2">
      <c r="A68399" t="s">
        <v>21218</v>
      </c>
      <c r="B68399" t="str">
        <f>HYPERLINK("https://lindat.mff.cuni.cz/services/teitok/pdtc10/index.php?action=vallex&amp;frame=v-w10520f3", "zažehnout (v-w10520f3)")</f>
        <v>zažehnout (v-w10520f3)</v>
      </c>
    </row>
    <row r="68400" spans="1:4" x14ac:dyDescent="0.2">
      <c r="B68400" t="s">
        <v>1</v>
      </c>
      <c r="C68400" t="s">
        <v>140</v>
      </c>
    </row>
    <row r="68401" spans="1:4" x14ac:dyDescent="0.2">
      <c r="B68401" t="s">
        <v>8</v>
      </c>
      <c r="C68401" t="s">
        <v>113</v>
      </c>
    </row>
    <row r="68403" spans="1:4" x14ac:dyDescent="0.2">
      <c r="A68403" t="s">
        <v>21219</v>
      </c>
      <c r="B68403" t="str">
        <f>HYPERLINK("https://lindat.mff.cuni.cz/services/teitok/pdtc10/index.php?action=vallex&amp;frame=v-w10520f2", "zažehnout (v-w10520f2)")</f>
        <v>zažehnout (v-w10520f2)</v>
      </c>
    </row>
    <row r="68404" spans="1:4" x14ac:dyDescent="0.2">
      <c r="B68404" t="s">
        <v>1</v>
      </c>
      <c r="C68404" t="s">
        <v>967</v>
      </c>
      <c r="D68404" t="s">
        <v>22950</v>
      </c>
    </row>
    <row r="68405" spans="1:4" x14ac:dyDescent="0.2">
      <c r="B68405" t="s">
        <v>8</v>
      </c>
      <c r="C68405" t="s">
        <v>2213</v>
      </c>
      <c r="D68405" t="s">
        <v>22951</v>
      </c>
    </row>
    <row r="68407" spans="1:4" x14ac:dyDescent="0.2">
      <c r="A68407" t="s">
        <v>21220</v>
      </c>
      <c r="B68407" t="str">
        <f>HYPERLINK("https://lindat.mff.cuni.cz/services/teitok/pdtc10/index.php?action=vallex&amp;frame=v-w9323f2_ZU", "zažádat (v-w9323f2_ZU)")</f>
        <v>zažádat (v-w9323f2_ZU)</v>
      </c>
    </row>
    <row r="68408" spans="1:4" x14ac:dyDescent="0.2">
      <c r="B68408" t="s">
        <v>1</v>
      </c>
      <c r="C68408" t="s">
        <v>3637</v>
      </c>
      <c r="D68408" t="s">
        <v>23055</v>
      </c>
    </row>
    <row r="68409" spans="1:4" x14ac:dyDescent="0.2">
      <c r="B68409" t="s">
        <v>467</v>
      </c>
      <c r="C68409" t="s">
        <v>8709</v>
      </c>
      <c r="D68409" t="s">
        <v>23056</v>
      </c>
    </row>
    <row r="68410" spans="1:4" x14ac:dyDescent="0.2">
      <c r="B68410" t="s">
        <v>58</v>
      </c>
      <c r="C68410" t="s">
        <v>4765</v>
      </c>
      <c r="D68410" t="s">
        <v>23917</v>
      </c>
    </row>
    <row r="68412" spans="1:4" x14ac:dyDescent="0.2">
      <c r="A68412" t="s">
        <v>21221</v>
      </c>
      <c r="B68412" t="str">
        <f>HYPERLINK("https://lindat.mff.cuni.cz/services/teitok/pdtc10/index.php?action=vallex&amp;frame=v-w9323f3_ZU", "zažádat (v-w9323f3_ZU)")</f>
        <v>zažádat (v-w9323f3_ZU)</v>
      </c>
    </row>
    <row r="68413" spans="1:4" x14ac:dyDescent="0.2">
      <c r="B68413" t="s">
        <v>1</v>
      </c>
    </row>
    <row r="68414" spans="1:4" x14ac:dyDescent="0.2">
      <c r="B68414" t="s">
        <v>21222</v>
      </c>
    </row>
    <row r="68416" spans="1:4" x14ac:dyDescent="0.2">
      <c r="A68416" t="s">
        <v>21221</v>
      </c>
      <c r="B68416" t="str">
        <f>HYPERLINK("https://lindat.mff.cuni.cz/services/teitok/pdtc10/index.php?action=vallex&amp;frame=v-w9323f1", "zažádat (v-w9323f1) - substituted with v-w9323f3_ZU")</f>
        <v>zažádat (v-w9323f1) - substituted with v-w9323f3_ZU</v>
      </c>
    </row>
    <row r="68417" spans="1:4" x14ac:dyDescent="0.2">
      <c r="B68417" t="s">
        <v>1</v>
      </c>
      <c r="C68417" t="s">
        <v>21223</v>
      </c>
      <c r="D68417" t="s">
        <v>24337</v>
      </c>
    </row>
    <row r="68418" spans="1:4" x14ac:dyDescent="0.2">
      <c r="B68418" t="s">
        <v>21222</v>
      </c>
      <c r="C68418" t="s">
        <v>21224</v>
      </c>
      <c r="D68418" t="s">
        <v>24338</v>
      </c>
    </row>
    <row r="68420" spans="1:4" x14ac:dyDescent="0.2">
      <c r="A68420" t="s">
        <v>21225</v>
      </c>
      <c r="B68420" t="str">
        <f>HYPERLINK("https://lindat.mff.cuni.cz/services/teitok/pdtc10/index.php?action=vallex&amp;frame=v-w9326f1", "zažíhat (v-w9326f1)")</f>
        <v>zažíhat (v-w9326f1)</v>
      </c>
    </row>
    <row r="68421" spans="1:4" x14ac:dyDescent="0.2">
      <c r="B68421" t="s">
        <v>1</v>
      </c>
    </row>
    <row r="68422" spans="1:4" x14ac:dyDescent="0.2">
      <c r="B68422" t="s">
        <v>8</v>
      </c>
    </row>
    <row r="68424" spans="1:4" x14ac:dyDescent="0.2">
      <c r="A68424" t="s">
        <v>21226</v>
      </c>
      <c r="B68424" t="str">
        <f>HYPERLINK("https://lindat.mff.cuni.cz/services/teitok/pdtc10/index.php?action=vallex&amp;frame=v-w9327f5_ZU", "zažít (v-w9327f5_ZU)")</f>
        <v>zažít (v-w9327f5_ZU)</v>
      </c>
    </row>
    <row r="68425" spans="1:4" x14ac:dyDescent="0.2">
      <c r="B68425" t="s">
        <v>1</v>
      </c>
    </row>
    <row r="68426" spans="1:4" x14ac:dyDescent="0.2">
      <c r="B68426" t="s">
        <v>21227</v>
      </c>
    </row>
    <row r="68427" spans="1:4" x14ac:dyDescent="0.2">
      <c r="B68427" t="s">
        <v>321</v>
      </c>
    </row>
    <row r="68429" spans="1:4" x14ac:dyDescent="0.2">
      <c r="A68429" t="s">
        <v>21226</v>
      </c>
      <c r="B68429" t="str">
        <f>HYPERLINK("https://lindat.mff.cuni.cz/services/teitok/pdtc10/index.php?action=vallex&amp;frame=v-w9327f1", "zažít (v-w9327f1) - substituted with v-w9327f5_ZU")</f>
        <v>zažít (v-w9327f1) - substituted with v-w9327f5_ZU</v>
      </c>
    </row>
    <row r="68430" spans="1:4" x14ac:dyDescent="0.2">
      <c r="B68430" t="s">
        <v>1</v>
      </c>
      <c r="C68430" t="s">
        <v>21228</v>
      </c>
      <c r="D68430" t="s">
        <v>23818</v>
      </c>
    </row>
    <row r="68431" spans="1:4" x14ac:dyDescent="0.2">
      <c r="B68431" t="s">
        <v>21227</v>
      </c>
      <c r="C68431" t="s">
        <v>21229</v>
      </c>
      <c r="D68431" t="s">
        <v>23819</v>
      </c>
    </row>
    <row r="68432" spans="1:4" x14ac:dyDescent="0.2">
      <c r="B68432" t="s">
        <v>321</v>
      </c>
    </row>
    <row r="68434" spans="1:2" x14ac:dyDescent="0.2">
      <c r="A68434" t="s">
        <v>21226</v>
      </c>
      <c r="B68434" t="str">
        <f>HYPERLINK("https://lindat.mff.cuni.cz/services/teitok/pdtc10/index.php?action=vallex&amp;frame=v-w9327f3_ZU", "zažít (v-w9327f3_ZU) - substituted with v-w9327f5_ZU")</f>
        <v>zažít (v-w9327f3_ZU) - substituted with v-w9327f5_ZU</v>
      </c>
    </row>
    <row r="68435" spans="1:2" x14ac:dyDescent="0.2">
      <c r="B68435" t="s">
        <v>1</v>
      </c>
    </row>
    <row r="68436" spans="1:2" x14ac:dyDescent="0.2">
      <c r="B68436" t="s">
        <v>21227</v>
      </c>
    </row>
    <row r="68437" spans="1:2" x14ac:dyDescent="0.2">
      <c r="B68437" t="s">
        <v>321</v>
      </c>
    </row>
    <row r="68439" spans="1:2" x14ac:dyDescent="0.2">
      <c r="A68439" t="s">
        <v>21226</v>
      </c>
      <c r="B68439" t="str">
        <f>HYPERLINK("https://lindat.mff.cuni.cz/services/teitok/pdtc10/index.php?action=vallex&amp;frame=v-w9327f4_ZU", "zažít (v-w9327f4_ZU) - substituted with v-w9327f5_ZU")</f>
        <v>zažít (v-w9327f4_ZU) - substituted with v-w9327f5_ZU</v>
      </c>
    </row>
    <row r="68440" spans="1:2" x14ac:dyDescent="0.2">
      <c r="B68440" t="s">
        <v>1</v>
      </c>
    </row>
    <row r="68441" spans="1:2" x14ac:dyDescent="0.2">
      <c r="B68441" t="s">
        <v>21227</v>
      </c>
    </row>
    <row r="68442" spans="1:2" x14ac:dyDescent="0.2">
      <c r="B68442" t="s">
        <v>321</v>
      </c>
    </row>
    <row r="68444" spans="1:2" x14ac:dyDescent="0.2">
      <c r="A68444" t="s">
        <v>21226</v>
      </c>
      <c r="B68444" t="str">
        <f>HYPERLINK("https://lindat.mff.cuni.cz/services/teitok/pdtc10/index.php?action=vallex&amp;frame=v-w9327hsa_769", "zažít (v-w9327hsa_769) - substituted with v-w9327f5_ZU")</f>
        <v>zažít (v-w9327hsa_769) - substituted with v-w9327f5_ZU</v>
      </c>
    </row>
    <row r="68445" spans="1:2" x14ac:dyDescent="0.2">
      <c r="B68445" t="s">
        <v>1</v>
      </c>
    </row>
    <row r="68446" spans="1:2" x14ac:dyDescent="0.2">
      <c r="B68446" t="s">
        <v>21227</v>
      </c>
    </row>
    <row r="68447" spans="1:2" x14ac:dyDescent="0.2">
      <c r="B68447" t="s">
        <v>321</v>
      </c>
    </row>
    <row r="68449" spans="1:4" x14ac:dyDescent="0.2">
      <c r="A68449" t="s">
        <v>21230</v>
      </c>
      <c r="B68449" t="str">
        <f>HYPERLINK("https://lindat.mff.cuni.cz/services/teitok/pdtc10/index.php?action=vallex&amp;frame=v-w9327f2", "zažít (v-w9327f2)")</f>
        <v>zažít (v-w9327f2)</v>
      </c>
    </row>
    <row r="68450" spans="1:4" x14ac:dyDescent="0.2">
      <c r="B68450" t="s">
        <v>1</v>
      </c>
    </row>
    <row r="68451" spans="1:4" x14ac:dyDescent="0.2">
      <c r="B68451" t="s">
        <v>11047</v>
      </c>
    </row>
    <row r="68452" spans="1:4" x14ac:dyDescent="0.2">
      <c r="B68452" t="s">
        <v>124</v>
      </c>
    </row>
    <row r="68454" spans="1:4" x14ac:dyDescent="0.2">
      <c r="A68454" t="s">
        <v>21231</v>
      </c>
      <c r="B68454" t="str">
        <f>HYPERLINK("https://lindat.mff.cuni.cz/services/teitok/pdtc10/index.php?action=vallex&amp;frame=v-w9329f1", "zažít se (v-w9329f1)")</f>
        <v>zažít se (v-w9329f1)</v>
      </c>
    </row>
    <row r="68455" spans="1:4" x14ac:dyDescent="0.2">
      <c r="B68455" t="s">
        <v>1</v>
      </c>
    </row>
    <row r="68457" spans="1:4" x14ac:dyDescent="0.2">
      <c r="A68457" t="s">
        <v>21232</v>
      </c>
      <c r="B68457" t="str">
        <f>HYPERLINK("https://lindat.mff.cuni.cz/services/teitok/pdtc10/index.php?action=vallex&amp;frame=v-w9331f1", "zažívat (v-w9331f1)")</f>
        <v>zažívat (v-w9331f1)</v>
      </c>
    </row>
    <row r="68458" spans="1:4" x14ac:dyDescent="0.2">
      <c r="B68458" t="s">
        <v>1</v>
      </c>
      <c r="C68458" t="s">
        <v>21233</v>
      </c>
      <c r="D68458" t="s">
        <v>23818</v>
      </c>
    </row>
    <row r="68459" spans="1:4" x14ac:dyDescent="0.2">
      <c r="B68459" t="s">
        <v>41</v>
      </c>
      <c r="C68459" t="s">
        <v>21234</v>
      </c>
      <c r="D68459" t="s">
        <v>23819</v>
      </c>
    </row>
    <row r="68461" spans="1:4" x14ac:dyDescent="0.2">
      <c r="A68461" t="s">
        <v>21235</v>
      </c>
      <c r="B68461" t="str">
        <f>HYPERLINK("https://lindat.mff.cuni.cz/services/teitok/pdtc10/index.php?action=vallex&amp;frame=v-w12282_ZUf2_MM", "zbandat (v-w12282_ZUf2_MM)")</f>
        <v>zbandat (v-w12282_ZUf2_MM)</v>
      </c>
    </row>
    <row r="68462" spans="1:4" x14ac:dyDescent="0.2">
      <c r="B68462" t="s">
        <v>1</v>
      </c>
    </row>
    <row r="68463" spans="1:4" x14ac:dyDescent="0.2">
      <c r="B68463" t="s">
        <v>58</v>
      </c>
    </row>
    <row r="68464" spans="1:4" x14ac:dyDescent="0.2">
      <c r="B68464" t="s">
        <v>21236</v>
      </c>
    </row>
    <row r="68466" spans="1:4" x14ac:dyDescent="0.2">
      <c r="A68466" t="s">
        <v>21235</v>
      </c>
      <c r="B68466" t="str">
        <f>HYPERLINK("https://lindat.mff.cuni.cz/services/teitok/pdtc10/index.php?action=vallex&amp;frame=v-w12282_ZUf1_ZU", "zbandat (v-w12282_ZUf1_ZU) - substituted with v-w12282_ZUf2_MM")</f>
        <v>zbandat (v-w12282_ZUf1_ZU) - substituted with v-w12282_ZUf2_MM</v>
      </c>
    </row>
    <row r="68467" spans="1:4" x14ac:dyDescent="0.2">
      <c r="B68467" t="s">
        <v>1</v>
      </c>
    </row>
    <row r="68468" spans="1:4" x14ac:dyDescent="0.2">
      <c r="B68468" t="s">
        <v>58</v>
      </c>
    </row>
    <row r="68469" spans="1:4" x14ac:dyDescent="0.2">
      <c r="B68469" t="s">
        <v>21236</v>
      </c>
    </row>
    <row r="68471" spans="1:4" x14ac:dyDescent="0.2">
      <c r="A68471" t="s">
        <v>21237</v>
      </c>
      <c r="B68471" t="str">
        <f>HYPERLINK("https://lindat.mff.cuni.cz/services/teitok/pdtc10/index.php?action=vallex&amp;frame=v-whsa_2029hsa_2030", "zbankat (v-whsa_2029hsa_2030)")</f>
        <v>zbankat (v-whsa_2029hsa_2030)</v>
      </c>
    </row>
    <row r="68472" spans="1:4" x14ac:dyDescent="0.2">
      <c r="B68472" t="s">
        <v>1</v>
      </c>
    </row>
    <row r="68473" spans="1:4" x14ac:dyDescent="0.2">
      <c r="B68473" t="s">
        <v>58</v>
      </c>
    </row>
    <row r="68474" spans="1:4" x14ac:dyDescent="0.2">
      <c r="B68474" t="s">
        <v>21238</v>
      </c>
    </row>
    <row r="68476" spans="1:4" x14ac:dyDescent="0.2">
      <c r="A68476" t="s">
        <v>21239</v>
      </c>
      <c r="B68476" t="str">
        <f>HYPERLINK("https://lindat.mff.cuni.cz/services/teitok/pdtc10/index.php?action=vallex&amp;frame=v-w9332f1", "zbankrotovat (v-w9332f1)")</f>
        <v>zbankrotovat (v-w9332f1)</v>
      </c>
    </row>
    <row r="68477" spans="1:4" x14ac:dyDescent="0.2">
      <c r="B68477" t="s">
        <v>1</v>
      </c>
      <c r="C68477" t="s">
        <v>186</v>
      </c>
      <c r="D68477" t="s">
        <v>1593</v>
      </c>
    </row>
    <row r="68479" spans="1:4" x14ac:dyDescent="0.2">
      <c r="A68479" t="s">
        <v>21240</v>
      </c>
      <c r="B68479" t="str">
        <f>HYPERLINK("https://lindat.mff.cuni.cz/services/teitok/pdtc10/index.php?action=vallex&amp;frame=v-w10209f2", "zbarvit (v-w10209f2)")</f>
        <v>zbarvit (v-w10209f2)</v>
      </c>
    </row>
    <row r="68480" spans="1:4" x14ac:dyDescent="0.2">
      <c r="B68480" t="s">
        <v>1</v>
      </c>
      <c r="D68480" t="s">
        <v>4110</v>
      </c>
    </row>
    <row r="68481" spans="1:4" x14ac:dyDescent="0.2">
      <c r="B68481" t="s">
        <v>8</v>
      </c>
      <c r="C68481" t="s">
        <v>1264</v>
      </c>
      <c r="D68481" t="s">
        <v>1264</v>
      </c>
    </row>
    <row r="68482" spans="1:4" x14ac:dyDescent="0.2">
      <c r="B68482" t="s">
        <v>507</v>
      </c>
      <c r="C68482" t="s">
        <v>21241</v>
      </c>
      <c r="D68482" t="s">
        <v>21241</v>
      </c>
    </row>
    <row r="68484" spans="1:4" x14ac:dyDescent="0.2">
      <c r="A68484" t="s">
        <v>21242</v>
      </c>
      <c r="B68484" t="str">
        <f>HYPERLINK("https://lindat.mff.cuni.cz/services/teitok/pdtc10/index.php?action=vallex&amp;frame=v-whsa_490hsa_491", "zbarvit se (v-whsa_490hsa_491)")</f>
        <v>zbarvit se (v-whsa_490hsa_491)</v>
      </c>
    </row>
    <row r="68485" spans="1:4" x14ac:dyDescent="0.2">
      <c r="B68485" t="s">
        <v>1</v>
      </c>
    </row>
    <row r="68487" spans="1:4" x14ac:dyDescent="0.2">
      <c r="A68487" t="s">
        <v>21243</v>
      </c>
      <c r="B68487" t="str">
        <f>HYPERLINK("https://lindat.mff.cuni.cz/services/teitok/pdtc10/index.php?action=vallex&amp;frame=v-w9335f1", "zbavit (v-w9335f1)")</f>
        <v>zbavit (v-w9335f1)</v>
      </c>
    </row>
    <row r="68488" spans="1:4" x14ac:dyDescent="0.2">
      <c r="B68488" t="s">
        <v>1</v>
      </c>
      <c r="C68488" t="s">
        <v>1271</v>
      </c>
      <c r="D68488" t="s">
        <v>2303</v>
      </c>
    </row>
    <row r="68489" spans="1:4" x14ac:dyDescent="0.2">
      <c r="B68489" t="s">
        <v>917</v>
      </c>
      <c r="C68489" t="s">
        <v>21244</v>
      </c>
      <c r="D68489" t="s">
        <v>24518</v>
      </c>
    </row>
    <row r="68490" spans="1:4" x14ac:dyDescent="0.2">
      <c r="B68490" t="s">
        <v>58</v>
      </c>
      <c r="C68490" t="s">
        <v>21245</v>
      </c>
      <c r="D68490" t="s">
        <v>24519</v>
      </c>
    </row>
    <row r="68492" spans="1:4" x14ac:dyDescent="0.2">
      <c r="A68492" t="s">
        <v>21246</v>
      </c>
      <c r="B68492" t="str">
        <f>HYPERLINK("https://lindat.mff.cuni.cz/services/teitok/pdtc10/index.php?action=vallex&amp;frame=v-w9336f1", "zbavit se (v-w9336f1)")</f>
        <v>zbavit se (v-w9336f1)</v>
      </c>
    </row>
    <row r="68493" spans="1:4" x14ac:dyDescent="0.2">
      <c r="B68493" t="s">
        <v>1</v>
      </c>
      <c r="C68493" t="s">
        <v>21247</v>
      </c>
      <c r="D68493" t="s">
        <v>2148</v>
      </c>
    </row>
    <row r="68494" spans="1:4" x14ac:dyDescent="0.2">
      <c r="B68494" t="s">
        <v>917</v>
      </c>
      <c r="C68494" t="s">
        <v>21248</v>
      </c>
      <c r="D68494" t="s">
        <v>8988</v>
      </c>
    </row>
    <row r="68496" spans="1:4" x14ac:dyDescent="0.2">
      <c r="A68496" t="s">
        <v>21249</v>
      </c>
      <c r="B68496" t="str">
        <f>HYPERLINK("https://lindat.mff.cuni.cz/services/teitok/pdtc10/index.php?action=vallex&amp;frame=v-w9337f1", "zbavovat (v-w9337f1)")</f>
        <v>zbavovat (v-w9337f1)</v>
      </c>
    </row>
    <row r="68497" spans="1:4" x14ac:dyDescent="0.2">
      <c r="B68497" t="s">
        <v>1</v>
      </c>
      <c r="C68497" t="s">
        <v>3622</v>
      </c>
      <c r="D68497" t="s">
        <v>2303</v>
      </c>
    </row>
    <row r="68498" spans="1:4" x14ac:dyDescent="0.2">
      <c r="B68498" t="s">
        <v>917</v>
      </c>
      <c r="C68498" t="s">
        <v>12884</v>
      </c>
      <c r="D68498" t="s">
        <v>24518</v>
      </c>
    </row>
    <row r="68499" spans="1:4" x14ac:dyDescent="0.2">
      <c r="B68499" t="s">
        <v>58</v>
      </c>
      <c r="C68499" t="s">
        <v>21250</v>
      </c>
      <c r="D68499" t="s">
        <v>24519</v>
      </c>
    </row>
    <row r="68501" spans="1:4" x14ac:dyDescent="0.2">
      <c r="A68501" t="s">
        <v>21251</v>
      </c>
      <c r="B68501" t="str">
        <f>HYPERLINK("https://lindat.mff.cuni.cz/services/teitok/pdtc10/index.php?action=vallex&amp;frame=v-w9338f1", "zbavovat se (v-w9338f1)")</f>
        <v>zbavovat se (v-w9338f1)</v>
      </c>
    </row>
    <row r="68502" spans="1:4" x14ac:dyDescent="0.2">
      <c r="B68502" t="s">
        <v>1</v>
      </c>
      <c r="C68502" t="s">
        <v>1275</v>
      </c>
      <c r="D68502" t="s">
        <v>2148</v>
      </c>
    </row>
    <row r="68503" spans="1:4" x14ac:dyDescent="0.2">
      <c r="B68503" t="s">
        <v>917</v>
      </c>
      <c r="C68503" t="s">
        <v>21252</v>
      </c>
      <c r="D68503" t="s">
        <v>8988</v>
      </c>
    </row>
    <row r="68505" spans="1:4" x14ac:dyDescent="0.2">
      <c r="A68505" t="s">
        <v>21253</v>
      </c>
      <c r="B68505" t="str">
        <f>HYPERLINK("https://lindat.mff.cuni.cz/services/teitok/pdtc10/index.php?action=vallex&amp;frame=v-whsa_360hsa_361", "zbaštit (v-whsa_360hsa_361)")</f>
        <v>zbaštit (v-whsa_360hsa_361)</v>
      </c>
    </row>
    <row r="68506" spans="1:4" x14ac:dyDescent="0.2">
      <c r="B68506" t="s">
        <v>1</v>
      </c>
    </row>
    <row r="68507" spans="1:4" x14ac:dyDescent="0.2">
      <c r="B68507" t="s">
        <v>8</v>
      </c>
    </row>
    <row r="68509" spans="1:4" x14ac:dyDescent="0.2">
      <c r="A68509" t="s">
        <v>21254</v>
      </c>
      <c r="B68509" t="str">
        <f>HYPERLINK("https://lindat.mff.cuni.cz/services/teitok/pdtc10/index.php?action=vallex&amp;frame=v-w9343f1", "zblbnout (v-w9343f1)")</f>
        <v>zblbnout (v-w9343f1)</v>
      </c>
    </row>
    <row r="68510" spans="1:4" x14ac:dyDescent="0.2">
      <c r="B68510" t="s">
        <v>1</v>
      </c>
    </row>
    <row r="68512" spans="1:4" x14ac:dyDescent="0.2">
      <c r="A68512" t="s">
        <v>21255</v>
      </c>
      <c r="B68512" t="str">
        <f>HYPERLINK("https://lindat.mff.cuni.cz/services/teitok/pdtc10/index.php?action=vallex&amp;frame=v-w9344f1", "zblokovat (v-w9344f1)")</f>
        <v>zblokovat (v-w9344f1)</v>
      </c>
    </row>
    <row r="68513" spans="1:3" x14ac:dyDescent="0.2">
      <c r="B68513" t="s">
        <v>1</v>
      </c>
    </row>
    <row r="68514" spans="1:3" x14ac:dyDescent="0.2">
      <c r="B68514" t="s">
        <v>8</v>
      </c>
    </row>
    <row r="68516" spans="1:3" x14ac:dyDescent="0.2">
      <c r="A68516" t="s">
        <v>21256</v>
      </c>
      <c r="B68516" t="str">
        <f>HYPERLINK("https://lindat.mff.cuni.cz/services/teitok/pdtc10/index.php?action=vallex&amp;frame=v-w9342f1", "zbláznit se (v-w9342f1)")</f>
        <v>zbláznit se (v-w9342f1)</v>
      </c>
    </row>
    <row r="68517" spans="1:3" x14ac:dyDescent="0.2">
      <c r="B68517" t="s">
        <v>1</v>
      </c>
      <c r="C68517" t="s">
        <v>5699</v>
      </c>
    </row>
    <row r="68519" spans="1:3" x14ac:dyDescent="0.2">
      <c r="A68519" t="s">
        <v>21257</v>
      </c>
      <c r="B68519" t="str">
        <f>HYPERLINK("https://lindat.mff.cuni.cz/services/teitok/pdtc10/index.php?action=vallex&amp;frame=v-w9342f2_ZU", "zbláznit se (v-w9342f2_ZU)")</f>
        <v>zbláznit se (v-w9342f2_ZU)</v>
      </c>
    </row>
    <row r="68520" spans="1:3" x14ac:dyDescent="0.2">
      <c r="B68520" t="s">
        <v>1</v>
      </c>
    </row>
    <row r="68521" spans="1:3" x14ac:dyDescent="0.2">
      <c r="B68521" t="s">
        <v>438</v>
      </c>
    </row>
    <row r="68523" spans="1:3" x14ac:dyDescent="0.2">
      <c r="A68523" t="s">
        <v>21258</v>
      </c>
      <c r="B68523" t="str">
        <f>HYPERLINK("https://lindat.mff.cuni.cz/services/teitok/pdtc10/index.php?action=vallex&amp;frame=v-w9345f1", "zbohatnout (v-w9345f1)")</f>
        <v>zbohatnout (v-w9345f1)</v>
      </c>
    </row>
    <row r="68524" spans="1:3" x14ac:dyDescent="0.2">
      <c r="B68524" t="s">
        <v>1</v>
      </c>
    </row>
    <row r="68525" spans="1:3" x14ac:dyDescent="0.2">
      <c r="B68525" t="s">
        <v>225</v>
      </c>
    </row>
    <row r="68526" spans="1:3" x14ac:dyDescent="0.2">
      <c r="B68526" t="s">
        <v>226</v>
      </c>
    </row>
    <row r="68528" spans="1:3" x14ac:dyDescent="0.2">
      <c r="A68528" t="s">
        <v>21259</v>
      </c>
      <c r="B68528" t="str">
        <f>HYPERLINK("https://lindat.mff.cuni.cz/services/teitok/pdtc10/index.php?action=vallex&amp;frame=v-w9347f1", "zbortit se (v-w9347f1)")</f>
        <v>zbortit se (v-w9347f1)</v>
      </c>
    </row>
    <row r="68529" spans="1:4" x14ac:dyDescent="0.2">
      <c r="B68529" t="s">
        <v>1</v>
      </c>
    </row>
    <row r="68531" spans="1:4" x14ac:dyDescent="0.2">
      <c r="A68531" t="s">
        <v>21260</v>
      </c>
      <c r="B68531" t="str">
        <f>HYPERLINK("https://lindat.mff.cuni.cz/services/teitok/pdtc10/index.php?action=vallex&amp;frame=v-w9351f1", "zbourat (v-w9351f1)")</f>
        <v>zbourat (v-w9351f1)</v>
      </c>
    </row>
    <row r="68532" spans="1:4" x14ac:dyDescent="0.2">
      <c r="B68532" t="s">
        <v>1</v>
      </c>
      <c r="C68532" t="s">
        <v>133</v>
      </c>
      <c r="D68532" t="s">
        <v>23088</v>
      </c>
    </row>
    <row r="68533" spans="1:4" x14ac:dyDescent="0.2">
      <c r="B68533" t="s">
        <v>8</v>
      </c>
      <c r="C68533" t="s">
        <v>1044</v>
      </c>
      <c r="D68533" t="s">
        <v>986</v>
      </c>
    </row>
    <row r="68535" spans="1:4" x14ac:dyDescent="0.2">
      <c r="A68535" t="s">
        <v>21261</v>
      </c>
      <c r="B68535" t="str">
        <f>HYPERLINK("https://lindat.mff.cuni.cz/services/teitok/pdtc10/index.php?action=vallex&amp;frame=v-w9351hsa_1371", "zbourat (v-w9351hsa_1371)")</f>
        <v>zbourat (v-w9351hsa_1371)</v>
      </c>
    </row>
    <row r="68536" spans="1:4" x14ac:dyDescent="0.2">
      <c r="B68536" t="s">
        <v>1</v>
      </c>
    </row>
    <row r="68537" spans="1:4" x14ac:dyDescent="0.2">
      <c r="B68537" t="s">
        <v>8</v>
      </c>
    </row>
    <row r="68539" spans="1:4" x14ac:dyDescent="0.2">
      <c r="A68539" t="s">
        <v>21262</v>
      </c>
      <c r="B68539" t="str">
        <f>HYPERLINK("https://lindat.mff.cuni.cz/services/teitok/pdtc10/index.php?action=vallex&amp;frame=v-w9349f1", "zbořit (v-w9349f1)")</f>
        <v>zbořit (v-w9349f1)</v>
      </c>
    </row>
    <row r="68540" spans="1:4" x14ac:dyDescent="0.2">
      <c r="B68540" t="s">
        <v>1</v>
      </c>
    </row>
    <row r="68541" spans="1:4" x14ac:dyDescent="0.2">
      <c r="B68541" t="s">
        <v>8</v>
      </c>
    </row>
    <row r="68543" spans="1:4" x14ac:dyDescent="0.2">
      <c r="A68543" t="s">
        <v>21263</v>
      </c>
      <c r="B68543" t="str">
        <f>HYPERLINK("https://lindat.mff.cuni.cz/services/teitok/pdtc10/index.php?action=vallex&amp;frame=v-w9350f1", "zbořit se (v-w9350f1)")</f>
        <v>zbořit se (v-w9350f1)</v>
      </c>
    </row>
    <row r="68544" spans="1:4" x14ac:dyDescent="0.2">
      <c r="B68544" t="s">
        <v>1</v>
      </c>
      <c r="C68544" t="s">
        <v>566</v>
      </c>
      <c r="D68544" t="s">
        <v>24520</v>
      </c>
    </row>
    <row r="68546" spans="1:4" x14ac:dyDescent="0.2">
      <c r="A68546" t="s">
        <v>21264</v>
      </c>
      <c r="B68546" t="str">
        <f>HYPERLINK("https://lindat.mff.cuni.cz/services/teitok/pdtc10/index.php?action=vallex&amp;frame=v-w9353f1", "zbožňovat (v-w9353f1)")</f>
        <v>zbožňovat (v-w9353f1)</v>
      </c>
    </row>
    <row r="68547" spans="1:4" x14ac:dyDescent="0.2">
      <c r="B68547" t="s">
        <v>1</v>
      </c>
    </row>
    <row r="68548" spans="1:4" x14ac:dyDescent="0.2">
      <c r="B68548" t="s">
        <v>8</v>
      </c>
    </row>
    <row r="68550" spans="1:4" x14ac:dyDescent="0.2">
      <c r="A68550" t="s">
        <v>21265</v>
      </c>
      <c r="B68550" t="str">
        <f>HYPERLINK("https://lindat.mff.cuni.cz/services/teitok/pdtc10/index.php?action=vallex&amp;frame=v-w10465f2", "zbrojit (v-w10465f2)")</f>
        <v>zbrojit (v-w10465f2)</v>
      </c>
    </row>
    <row r="68551" spans="1:4" x14ac:dyDescent="0.2">
      <c r="B68551" t="s">
        <v>1</v>
      </c>
    </row>
    <row r="68552" spans="1:4" x14ac:dyDescent="0.2">
      <c r="B68552" t="s">
        <v>20657</v>
      </c>
    </row>
    <row r="68554" spans="1:4" x14ac:dyDescent="0.2">
      <c r="A68554" t="s">
        <v>21266</v>
      </c>
      <c r="B68554" t="str">
        <f>HYPERLINK("https://lindat.mff.cuni.cz/services/teitok/pdtc10/index.php?action=vallex&amp;frame=v-w9356f1", "zbrousit (v-w9356f1)")</f>
        <v>zbrousit (v-w9356f1)</v>
      </c>
    </row>
    <row r="68555" spans="1:4" x14ac:dyDescent="0.2">
      <c r="B68555" t="s">
        <v>1</v>
      </c>
      <c r="D68555" t="s">
        <v>430</v>
      </c>
    </row>
    <row r="68556" spans="1:4" x14ac:dyDescent="0.2">
      <c r="B68556" t="s">
        <v>8</v>
      </c>
      <c r="D68556" t="s">
        <v>34</v>
      </c>
    </row>
    <row r="68558" spans="1:4" x14ac:dyDescent="0.2">
      <c r="A68558" t="s">
        <v>21267</v>
      </c>
      <c r="B68558" t="str">
        <f>HYPERLINK("https://lindat.mff.cuni.cz/services/teitok/pdtc10/index.php?action=vallex&amp;frame=v-w9358f1", "zbrzdit (v-w9358f1)")</f>
        <v>zbrzdit (v-w9358f1)</v>
      </c>
    </row>
    <row r="68559" spans="1:4" x14ac:dyDescent="0.2">
      <c r="B68559" t="s">
        <v>1</v>
      </c>
      <c r="C68559" t="s">
        <v>990</v>
      </c>
      <c r="D68559" t="s">
        <v>9760</v>
      </c>
    </row>
    <row r="68560" spans="1:4" x14ac:dyDescent="0.2">
      <c r="B68560" t="s">
        <v>8</v>
      </c>
      <c r="C68560" t="s">
        <v>1109</v>
      </c>
      <c r="D68560" t="s">
        <v>22997</v>
      </c>
    </row>
    <row r="68562" spans="1:4" x14ac:dyDescent="0.2">
      <c r="A68562" t="s">
        <v>21268</v>
      </c>
      <c r="B68562" t="str">
        <f>HYPERLINK("https://lindat.mff.cuni.cz/services/teitok/pdtc10/index.php?action=vallex&amp;frame=v-w9359f1", "zbrzdit se (v-w9359f1)")</f>
        <v>zbrzdit se (v-w9359f1)</v>
      </c>
    </row>
    <row r="68563" spans="1:4" x14ac:dyDescent="0.2">
      <c r="B68563" t="s">
        <v>1</v>
      </c>
      <c r="C68563" t="s">
        <v>21269</v>
      </c>
      <c r="D68563" t="s">
        <v>23636</v>
      </c>
    </row>
    <row r="68565" spans="1:4" x14ac:dyDescent="0.2">
      <c r="A68565" t="s">
        <v>21270</v>
      </c>
      <c r="B68565" t="str">
        <f>HYPERLINK("https://lindat.mff.cuni.cz/services/teitok/pdtc10/index.php?action=vallex&amp;frame=v-w9354f1", "zbrázdit (v-w9354f1)")</f>
        <v>zbrázdit (v-w9354f1)</v>
      </c>
    </row>
    <row r="68566" spans="1:4" x14ac:dyDescent="0.2">
      <c r="B68566" t="s">
        <v>1</v>
      </c>
    </row>
    <row r="68567" spans="1:4" x14ac:dyDescent="0.2">
      <c r="B68567" t="s">
        <v>8</v>
      </c>
    </row>
    <row r="68569" spans="1:4" x14ac:dyDescent="0.2">
      <c r="A68569" t="s">
        <v>21271</v>
      </c>
      <c r="B68569" t="str">
        <f>HYPERLINK("https://lindat.mff.cuni.cz/services/teitok/pdtc10/index.php?action=vallex&amp;frame=v-w9354f2", "zbrázdit (v-w9354f2)")</f>
        <v>zbrázdit (v-w9354f2)</v>
      </c>
    </row>
    <row r="68570" spans="1:4" x14ac:dyDescent="0.2">
      <c r="B68570" t="s">
        <v>1</v>
      </c>
    </row>
    <row r="68571" spans="1:4" x14ac:dyDescent="0.2">
      <c r="B68571" t="s">
        <v>8</v>
      </c>
    </row>
    <row r="68573" spans="1:4" x14ac:dyDescent="0.2">
      <c r="A68573" t="s">
        <v>21272</v>
      </c>
      <c r="B68573" t="str">
        <f>HYPERLINK("https://lindat.mff.cuni.cz/services/teitok/pdtc10/index.php?action=vallex&amp;frame=v-w9361f1", "zbudovat (v-w9361f1)")</f>
        <v>zbudovat (v-w9361f1)</v>
      </c>
    </row>
    <row r="68574" spans="1:4" x14ac:dyDescent="0.2">
      <c r="B68574" t="s">
        <v>1</v>
      </c>
      <c r="D68574" t="s">
        <v>23021</v>
      </c>
    </row>
    <row r="68575" spans="1:4" x14ac:dyDescent="0.2">
      <c r="B68575" t="s">
        <v>8</v>
      </c>
      <c r="D68575" t="s">
        <v>23022</v>
      </c>
    </row>
    <row r="68576" spans="1:4" x14ac:dyDescent="0.2">
      <c r="B68576" t="s">
        <v>24</v>
      </c>
      <c r="D68576" t="s">
        <v>23023</v>
      </c>
    </row>
    <row r="68578" spans="1:2" x14ac:dyDescent="0.2">
      <c r="A68578" t="s">
        <v>21273</v>
      </c>
      <c r="B68578" t="str">
        <f>HYPERLINK("https://lindat.mff.cuni.cz/services/teitok/pdtc10/index.php?action=vallex&amp;frame=v-w9362f1", "zbuntovat (v-w9362f1)")</f>
        <v>zbuntovat (v-w9362f1)</v>
      </c>
    </row>
    <row r="68579" spans="1:2" x14ac:dyDescent="0.2">
      <c r="B68579" t="s">
        <v>1</v>
      </c>
    </row>
    <row r="68580" spans="1:2" x14ac:dyDescent="0.2">
      <c r="B68580" t="s">
        <v>8</v>
      </c>
    </row>
    <row r="68582" spans="1:2" x14ac:dyDescent="0.2">
      <c r="A68582" t="s">
        <v>21274</v>
      </c>
      <c r="B68582" t="str">
        <f>HYPERLINK("https://lindat.mff.cuni.cz/services/teitok/pdtc10/index.php?action=vallex&amp;frame=v-w9363f2", "zbystřit (v-w9363f2)")</f>
        <v>zbystřit (v-w9363f2)</v>
      </c>
    </row>
    <row r="68583" spans="1:2" x14ac:dyDescent="0.2">
      <c r="B68583" t="s">
        <v>1</v>
      </c>
    </row>
    <row r="68584" spans="1:2" x14ac:dyDescent="0.2">
      <c r="B68584" t="s">
        <v>8</v>
      </c>
    </row>
    <row r="68586" spans="1:2" x14ac:dyDescent="0.2">
      <c r="A68586" t="s">
        <v>21275</v>
      </c>
      <c r="B68586" t="str">
        <f>HYPERLINK("https://lindat.mff.cuni.cz/services/teitok/pdtc10/index.php?action=vallex&amp;frame=v-w9363f3", "zbystřit (v-w9363f3)")</f>
        <v>zbystřit (v-w9363f3)</v>
      </c>
    </row>
    <row r="68587" spans="1:2" x14ac:dyDescent="0.2">
      <c r="B68587" t="s">
        <v>1</v>
      </c>
    </row>
    <row r="68588" spans="1:2" x14ac:dyDescent="0.2">
      <c r="B68588" t="s">
        <v>8</v>
      </c>
    </row>
    <row r="68590" spans="1:2" x14ac:dyDescent="0.2">
      <c r="A68590" t="s">
        <v>21276</v>
      </c>
      <c r="B68590" t="str">
        <f>HYPERLINK("https://lindat.mff.cuni.cz/services/teitok/pdtc10/index.php?action=vallex&amp;frame=v-w9363f1", "zbystřit (v-w9363f1)")</f>
        <v>zbystřit (v-w9363f1)</v>
      </c>
    </row>
    <row r="68591" spans="1:2" x14ac:dyDescent="0.2">
      <c r="B68591" t="s">
        <v>1</v>
      </c>
    </row>
    <row r="68593" spans="1:4" x14ac:dyDescent="0.2">
      <c r="A68593" t="s">
        <v>21277</v>
      </c>
      <c r="B68593" t="str">
        <f>HYPERLINK("https://lindat.mff.cuni.cz/services/teitok/pdtc10/index.php?action=vallex&amp;frame=v-w9340f1", "zbít (v-w9340f1)")</f>
        <v>zbít (v-w9340f1)</v>
      </c>
    </row>
    <row r="68594" spans="1:4" x14ac:dyDescent="0.2">
      <c r="B68594" t="s">
        <v>1</v>
      </c>
      <c r="C68594" t="s">
        <v>133</v>
      </c>
      <c r="D68594" t="s">
        <v>430</v>
      </c>
    </row>
    <row r="68595" spans="1:4" x14ac:dyDescent="0.2">
      <c r="B68595" t="s">
        <v>8</v>
      </c>
      <c r="C68595" t="s">
        <v>23</v>
      </c>
      <c r="D68595" t="s">
        <v>1340</v>
      </c>
    </row>
    <row r="68597" spans="1:4" x14ac:dyDescent="0.2">
      <c r="A68597" t="s">
        <v>21278</v>
      </c>
      <c r="B68597" t="str">
        <f>HYPERLINK("https://lindat.mff.cuni.cz/services/teitok/pdtc10/index.php?action=vallex&amp;frame=v-w9364f2", "zbýt (v-w9364f2)")</f>
        <v>zbýt (v-w9364f2)</v>
      </c>
    </row>
    <row r="68598" spans="1:4" x14ac:dyDescent="0.2">
      <c r="B68598" t="s">
        <v>196</v>
      </c>
      <c r="C68598" t="s">
        <v>21279</v>
      </c>
      <c r="D68598" t="s">
        <v>24521</v>
      </c>
    </row>
    <row r="68599" spans="1:4" x14ac:dyDescent="0.2">
      <c r="B68599" t="s">
        <v>103</v>
      </c>
      <c r="C68599" t="s">
        <v>6505</v>
      </c>
      <c r="D68599" t="s">
        <v>24522</v>
      </c>
    </row>
    <row r="68601" spans="1:4" x14ac:dyDescent="0.2">
      <c r="A68601" t="s">
        <v>21280</v>
      </c>
      <c r="B68601" t="str">
        <f>HYPERLINK("https://lindat.mff.cuni.cz/services/teitok/pdtc10/index.php?action=vallex&amp;frame=v-w9364f4", "zbýt (v-w9364f4)")</f>
        <v>zbýt (v-w9364f4)</v>
      </c>
    </row>
    <row r="68602" spans="1:4" x14ac:dyDescent="0.2">
      <c r="B68602" t="s">
        <v>1</v>
      </c>
    </row>
    <row r="68603" spans="1:4" x14ac:dyDescent="0.2">
      <c r="B68603" t="s">
        <v>8445</v>
      </c>
    </row>
    <row r="68605" spans="1:4" x14ac:dyDescent="0.2">
      <c r="A68605" t="s">
        <v>21281</v>
      </c>
      <c r="B68605" t="str">
        <f>HYPERLINK("https://lindat.mff.cuni.cz/services/teitok/pdtc10/index.php?action=vallex&amp;frame=v-w9364f5", "zbýt (v-w9364f5)")</f>
        <v>zbýt (v-w9364f5)</v>
      </c>
    </row>
    <row r="68606" spans="1:4" x14ac:dyDescent="0.2">
      <c r="B68606" t="s">
        <v>1</v>
      </c>
      <c r="C68606" t="s">
        <v>1162</v>
      </c>
    </row>
    <row r="68607" spans="1:4" x14ac:dyDescent="0.2">
      <c r="B68607" t="s">
        <v>21282</v>
      </c>
      <c r="C68607" t="s">
        <v>21283</v>
      </c>
    </row>
    <row r="68609" spans="1:4" x14ac:dyDescent="0.2">
      <c r="A68609" t="s">
        <v>21284</v>
      </c>
      <c r="B68609" t="str">
        <f>HYPERLINK("https://lindat.mff.cuni.cz/services/teitok/pdtc10/index.php?action=vallex&amp;frame=v-w9364f6_ZU", "zbýt (v-w9364f6_ZU)")</f>
        <v>zbýt (v-w9364f6_ZU)</v>
      </c>
    </row>
    <row r="68610" spans="1:4" x14ac:dyDescent="0.2">
      <c r="B68610" t="s">
        <v>1</v>
      </c>
    </row>
    <row r="68611" spans="1:4" x14ac:dyDescent="0.2">
      <c r="B68611" t="s">
        <v>21119</v>
      </c>
    </row>
    <row r="68613" spans="1:4" x14ac:dyDescent="0.2">
      <c r="A68613" t="s">
        <v>21284</v>
      </c>
      <c r="B68613" t="str">
        <f>HYPERLINK("https://lindat.mff.cuni.cz/services/teitok/pdtc10/index.php?action=vallex&amp;frame=v-w9364f1", "zbýt (v-w9364f1) - substituted with v-w9364f6_ZU")</f>
        <v>zbýt (v-w9364f1) - substituted with v-w9364f6_ZU</v>
      </c>
    </row>
    <row r="68614" spans="1:4" x14ac:dyDescent="0.2">
      <c r="B68614" t="s">
        <v>1</v>
      </c>
      <c r="C68614" t="s">
        <v>21285</v>
      </c>
      <c r="D68614" t="s">
        <v>715</v>
      </c>
    </row>
    <row r="68615" spans="1:4" x14ac:dyDescent="0.2">
      <c r="B68615" t="s">
        <v>21119</v>
      </c>
      <c r="C68615" t="s">
        <v>21286</v>
      </c>
      <c r="D68615" t="s">
        <v>24523</v>
      </c>
    </row>
    <row r="68617" spans="1:4" x14ac:dyDescent="0.2">
      <c r="A68617" t="s">
        <v>21287</v>
      </c>
      <c r="B68617" t="str">
        <f>HYPERLINK("https://lindat.mff.cuni.cz/services/teitok/pdtc10/index.php?action=vallex&amp;frame=v-w9364f3", "zbýt (v-w9364f3)")</f>
        <v>zbýt (v-w9364f3)</v>
      </c>
    </row>
    <row r="68618" spans="1:4" x14ac:dyDescent="0.2">
      <c r="B68618" t="s">
        <v>1</v>
      </c>
    </row>
    <row r="68619" spans="1:4" x14ac:dyDescent="0.2">
      <c r="B68619" t="s">
        <v>5</v>
      </c>
    </row>
    <row r="68621" spans="1:4" x14ac:dyDescent="0.2">
      <c r="A68621" t="s">
        <v>21288</v>
      </c>
      <c r="B68621" t="str">
        <f>HYPERLINK("https://lindat.mff.cuni.cz/services/teitok/pdtc10/index.php?action=vallex&amp;frame=v-w9367f1", "zbývat (v-w9367f1)")</f>
        <v>zbývat (v-w9367f1)</v>
      </c>
    </row>
    <row r="68622" spans="1:4" x14ac:dyDescent="0.2">
      <c r="B68622" t="s">
        <v>899</v>
      </c>
      <c r="C68622" t="s">
        <v>21289</v>
      </c>
      <c r="D68622" t="s">
        <v>24521</v>
      </c>
    </row>
    <row r="68623" spans="1:4" x14ac:dyDescent="0.2">
      <c r="B68623" t="s">
        <v>103</v>
      </c>
      <c r="C68623" t="s">
        <v>21290</v>
      </c>
      <c r="D68623" t="s">
        <v>24522</v>
      </c>
    </row>
    <row r="68625" spans="1:4" x14ac:dyDescent="0.2">
      <c r="A68625" t="s">
        <v>21291</v>
      </c>
      <c r="B68625" t="str">
        <f>HYPERLINK("https://lindat.mff.cuni.cz/services/teitok/pdtc10/index.php?action=vallex&amp;frame=v-w9367f3", "zbývat (v-w9367f3)")</f>
        <v>zbývat (v-w9367f3)</v>
      </c>
    </row>
    <row r="68626" spans="1:4" x14ac:dyDescent="0.2">
      <c r="B68626" t="s">
        <v>1</v>
      </c>
      <c r="D68626" t="s">
        <v>24521</v>
      </c>
    </row>
    <row r="68627" spans="1:4" x14ac:dyDescent="0.2">
      <c r="B68627" t="s">
        <v>8445</v>
      </c>
      <c r="D68627" t="s">
        <v>24522</v>
      </c>
    </row>
    <row r="68629" spans="1:4" x14ac:dyDescent="0.2">
      <c r="A68629" t="s">
        <v>21292</v>
      </c>
      <c r="B68629" t="str">
        <f>HYPERLINK("https://lindat.mff.cuni.cz/services/teitok/pdtc10/index.php?action=vallex&amp;frame=v-w9367f4", "zbývat (v-w9367f4)")</f>
        <v>zbývat (v-w9367f4)</v>
      </c>
    </row>
    <row r="68630" spans="1:4" x14ac:dyDescent="0.2">
      <c r="B68630" t="s">
        <v>1</v>
      </c>
    </row>
    <row r="68631" spans="1:4" x14ac:dyDescent="0.2">
      <c r="B68631" t="s">
        <v>28</v>
      </c>
    </row>
    <row r="68633" spans="1:4" x14ac:dyDescent="0.2">
      <c r="A68633" t="s">
        <v>21293</v>
      </c>
      <c r="B68633" t="str">
        <f>HYPERLINK("https://lindat.mff.cuni.cz/services/teitok/pdtc10/index.php?action=vallex&amp;frame=v-w9367f2", "zbývat (v-w9367f2)")</f>
        <v>zbývat (v-w9367f2)</v>
      </c>
    </row>
    <row r="68634" spans="1:4" x14ac:dyDescent="0.2">
      <c r="B68634" t="s">
        <v>1</v>
      </c>
      <c r="C68634" t="s">
        <v>21294</v>
      </c>
      <c r="D68634" t="s">
        <v>715</v>
      </c>
    </row>
    <row r="68635" spans="1:4" x14ac:dyDescent="0.2">
      <c r="B68635" t="s">
        <v>438</v>
      </c>
      <c r="D68635" t="s">
        <v>24523</v>
      </c>
    </row>
    <row r="68637" spans="1:4" x14ac:dyDescent="0.2">
      <c r="A68637" t="s">
        <v>21295</v>
      </c>
      <c r="B68637" t="str">
        <f>HYPERLINK("https://lindat.mff.cuni.cz/services/teitok/pdtc10/index.php?action=vallex&amp;frame=v-w9367f5", "zbývat (v-w9367f5)")</f>
        <v>zbývat (v-w9367f5)</v>
      </c>
    </row>
    <row r="68638" spans="1:4" x14ac:dyDescent="0.2">
      <c r="B68638" t="s">
        <v>1</v>
      </c>
    </row>
    <row r="68639" spans="1:4" x14ac:dyDescent="0.2">
      <c r="B68639" t="s">
        <v>5</v>
      </c>
    </row>
    <row r="68641" spans="1:4" x14ac:dyDescent="0.2">
      <c r="A68641" t="s">
        <v>21296</v>
      </c>
      <c r="B68641" t="str">
        <f>HYPERLINK("https://lindat.mff.cuni.cz/services/teitok/pdtc10/index.php?action=vallex&amp;frame=v-whsa_1303hsa_1304", "zběhnout (v-whsa_1303hsa_1304)")</f>
        <v>zběhnout (v-whsa_1303hsa_1304)</v>
      </c>
    </row>
    <row r="68642" spans="1:4" x14ac:dyDescent="0.2">
      <c r="B68642" t="s">
        <v>1</v>
      </c>
    </row>
    <row r="68643" spans="1:4" x14ac:dyDescent="0.2">
      <c r="B68643" t="s">
        <v>333</v>
      </c>
    </row>
    <row r="68645" spans="1:4" x14ac:dyDescent="0.2">
      <c r="A68645" t="s">
        <v>21297</v>
      </c>
      <c r="B68645" t="str">
        <f>HYPERLINK("https://lindat.mff.cuni.cz/services/teitok/pdtc10/index.php?action=vallex&amp;frame=v-w12356_MMf1_MM", "zcestovat (v-w12356_MMf1_MM)")</f>
        <v>zcestovat (v-w12356_MMf1_MM)</v>
      </c>
    </row>
    <row r="68646" spans="1:4" x14ac:dyDescent="0.2">
      <c r="B68646" t="s">
        <v>1</v>
      </c>
    </row>
    <row r="68647" spans="1:4" x14ac:dyDescent="0.2">
      <c r="B68647" t="s">
        <v>8</v>
      </c>
    </row>
    <row r="68649" spans="1:4" x14ac:dyDescent="0.2">
      <c r="A68649" t="s">
        <v>21298</v>
      </c>
      <c r="B68649" t="str">
        <f>HYPERLINK("https://lindat.mff.cuni.cz/services/teitok/pdtc10/index.php?action=vallex&amp;frame=v-w9491f1", "zchladit (v-w9491f1)")</f>
        <v>zchladit (v-w9491f1)</v>
      </c>
    </row>
    <row r="68650" spans="1:4" x14ac:dyDescent="0.2">
      <c r="B68650" t="s">
        <v>1</v>
      </c>
    </row>
    <row r="68651" spans="1:4" x14ac:dyDescent="0.2">
      <c r="B68651" t="s">
        <v>8</v>
      </c>
    </row>
    <row r="68652" spans="1:4" x14ac:dyDescent="0.2">
      <c r="B68652" t="s">
        <v>24</v>
      </c>
    </row>
    <row r="68653" spans="1:4" x14ac:dyDescent="0.2">
      <c r="B68653" t="s">
        <v>61</v>
      </c>
    </row>
    <row r="68655" spans="1:4" x14ac:dyDescent="0.2">
      <c r="A68655" t="s">
        <v>21299</v>
      </c>
      <c r="B68655" t="str">
        <f>HYPERLINK("https://lindat.mff.cuni.cz/services/teitok/pdtc10/index.php?action=vallex&amp;frame=v-w9491f2", "zchladit (v-w9491f2)")</f>
        <v>zchladit (v-w9491f2)</v>
      </c>
    </row>
    <row r="68656" spans="1:4" x14ac:dyDescent="0.2">
      <c r="B68656" t="s">
        <v>1</v>
      </c>
      <c r="C68656" t="s">
        <v>133</v>
      </c>
      <c r="D68656" t="s">
        <v>3580</v>
      </c>
    </row>
    <row r="68657" spans="1:4" x14ac:dyDescent="0.2">
      <c r="B68657" t="s">
        <v>8</v>
      </c>
      <c r="C68657" t="s">
        <v>335</v>
      </c>
      <c r="D68657" t="s">
        <v>23751</v>
      </c>
    </row>
    <row r="68659" spans="1:4" x14ac:dyDescent="0.2">
      <c r="A68659" t="s">
        <v>21300</v>
      </c>
      <c r="B68659" t="str">
        <f>HYPERLINK("https://lindat.mff.cuni.cz/services/teitok/pdtc10/index.php?action=vallex&amp;frame=v-whsa_753hsa_754", "zchladit se (v-whsa_753hsa_754)")</f>
        <v>zchladit se (v-whsa_753hsa_754)</v>
      </c>
    </row>
    <row r="68660" spans="1:4" x14ac:dyDescent="0.2">
      <c r="B68660" t="s">
        <v>1</v>
      </c>
    </row>
    <row r="68662" spans="1:4" x14ac:dyDescent="0.2">
      <c r="A68662" t="s">
        <v>21301</v>
      </c>
      <c r="B68662" t="str">
        <f>HYPERLINK("https://lindat.mff.cuni.cz/services/teitok/pdtc10/index.php?action=vallex&amp;frame=v-w9492f1", "zchladnout (v-w9492f1)")</f>
        <v>zchladnout (v-w9492f1)</v>
      </c>
    </row>
    <row r="68663" spans="1:4" x14ac:dyDescent="0.2">
      <c r="B68663" t="s">
        <v>1</v>
      </c>
      <c r="C68663" t="s">
        <v>186</v>
      </c>
      <c r="D68663" t="s">
        <v>23636</v>
      </c>
    </row>
    <row r="68664" spans="1:4" x14ac:dyDescent="0.2">
      <c r="B68664" t="s">
        <v>46</v>
      </c>
    </row>
    <row r="68665" spans="1:4" x14ac:dyDescent="0.2">
      <c r="B68665" t="s">
        <v>24</v>
      </c>
    </row>
    <row r="68667" spans="1:4" x14ac:dyDescent="0.2">
      <c r="A68667" t="s">
        <v>21302</v>
      </c>
      <c r="B68667" t="str">
        <f>HYPERLINK("https://lindat.mff.cuni.cz/services/teitok/pdtc10/index.php?action=vallex&amp;frame=v-w9492f2", "zchladnout (v-w9492f2)")</f>
        <v>zchladnout (v-w9492f2)</v>
      </c>
    </row>
    <row r="68668" spans="1:4" x14ac:dyDescent="0.2">
      <c r="B68668" t="s">
        <v>1</v>
      </c>
      <c r="C68668" t="s">
        <v>147</v>
      </c>
    </row>
    <row r="68669" spans="1:4" x14ac:dyDescent="0.2">
      <c r="B68669" t="s">
        <v>28</v>
      </c>
      <c r="C68669" t="s">
        <v>8502</v>
      </c>
    </row>
    <row r="68671" spans="1:4" x14ac:dyDescent="0.2">
      <c r="A68671" t="s">
        <v>21303</v>
      </c>
      <c r="B68671" t="str">
        <f>HYPERLINK("https://lindat.mff.cuni.cz/services/teitok/pdtc10/index.php?action=vallex&amp;frame=v-whsa_1651hsa_1652", "zchodit (v-whsa_1651hsa_1652)")</f>
        <v>zchodit (v-whsa_1651hsa_1652)</v>
      </c>
    </row>
    <row r="68672" spans="1:4" x14ac:dyDescent="0.2">
      <c r="B68672" t="s">
        <v>1</v>
      </c>
    </row>
    <row r="68673" spans="1:4" x14ac:dyDescent="0.2">
      <c r="B68673" t="s">
        <v>8</v>
      </c>
    </row>
    <row r="68675" spans="1:4" x14ac:dyDescent="0.2">
      <c r="A68675" t="s">
        <v>21304</v>
      </c>
      <c r="B68675" t="str">
        <f>HYPERLINK("https://lindat.mff.cuni.cz/services/teitok/pdtc10/index.php?action=vallex&amp;frame=v-w11642_ZUf1_ZU", "zchudnout (v-w11642_ZUf1_ZU)")</f>
        <v>zchudnout (v-w11642_ZUf1_ZU)</v>
      </c>
    </row>
    <row r="68676" spans="1:4" x14ac:dyDescent="0.2">
      <c r="B68676" t="s">
        <v>1</v>
      </c>
    </row>
    <row r="68678" spans="1:4" x14ac:dyDescent="0.2">
      <c r="A68678" t="s">
        <v>21305</v>
      </c>
      <c r="B68678" t="str">
        <f>HYPERLINK("https://lindat.mff.cuni.cz/services/teitok/pdtc10/index.php?action=vallex&amp;frame=v-w9369f1", "zcizit (v-w9369f1)")</f>
        <v>zcizit (v-w9369f1)</v>
      </c>
    </row>
    <row r="68679" spans="1:4" x14ac:dyDescent="0.2">
      <c r="B68679" t="s">
        <v>1</v>
      </c>
    </row>
    <row r="68680" spans="1:4" x14ac:dyDescent="0.2">
      <c r="B68680" t="s">
        <v>8</v>
      </c>
    </row>
    <row r="68681" spans="1:4" x14ac:dyDescent="0.2">
      <c r="B68681" t="s">
        <v>35</v>
      </c>
    </row>
    <row r="68683" spans="1:4" x14ac:dyDescent="0.2">
      <c r="A68683" t="s">
        <v>21306</v>
      </c>
      <c r="B68683" t="str">
        <f>HYPERLINK("https://lindat.mff.cuni.cz/services/teitok/pdtc10/index.php?action=vallex&amp;frame=v-w10257f2", "zdanit (v-w10257f2)")</f>
        <v>zdanit (v-w10257f2)</v>
      </c>
    </row>
    <row r="68684" spans="1:4" x14ac:dyDescent="0.2">
      <c r="B68684" t="s">
        <v>1</v>
      </c>
      <c r="C68684" t="s">
        <v>140</v>
      </c>
      <c r="D68684" t="s">
        <v>140</v>
      </c>
    </row>
    <row r="68685" spans="1:4" x14ac:dyDescent="0.2">
      <c r="B68685" t="s">
        <v>8</v>
      </c>
      <c r="C68685" t="s">
        <v>21307</v>
      </c>
      <c r="D68685" t="s">
        <v>21307</v>
      </c>
    </row>
    <row r="68687" spans="1:4" x14ac:dyDescent="0.2">
      <c r="A68687" t="s">
        <v>21308</v>
      </c>
      <c r="B68687" t="str">
        <f>HYPERLINK("https://lindat.mff.cuni.cz/services/teitok/pdtc10/index.php?action=vallex&amp;frame=v-w9375f1", "zdaňovat (v-w9375f1)")</f>
        <v>zdaňovat (v-w9375f1)</v>
      </c>
    </row>
    <row r="68688" spans="1:4" x14ac:dyDescent="0.2">
      <c r="B68688" t="s">
        <v>1</v>
      </c>
      <c r="C68688" t="s">
        <v>140</v>
      </c>
      <c r="D68688" t="s">
        <v>140</v>
      </c>
    </row>
    <row r="68689" spans="1:4" x14ac:dyDescent="0.2">
      <c r="B68689" t="s">
        <v>8</v>
      </c>
      <c r="C68689" t="s">
        <v>21309</v>
      </c>
      <c r="D68689" t="s">
        <v>21307</v>
      </c>
    </row>
    <row r="68691" spans="1:4" x14ac:dyDescent="0.2">
      <c r="A68691" t="s">
        <v>21310</v>
      </c>
      <c r="B68691" t="str">
        <f>HYPERLINK("https://lindat.mff.cuni.cz/services/teitok/pdtc10/index.php?action=vallex&amp;frame=v-w9376f1", "zdařit se (v-w9376f1)")</f>
        <v>zdařit se (v-w9376f1)</v>
      </c>
    </row>
    <row r="68692" spans="1:4" x14ac:dyDescent="0.2">
      <c r="B68692" t="s">
        <v>455</v>
      </c>
      <c r="C68692" t="s">
        <v>21311</v>
      </c>
      <c r="D68692" t="s">
        <v>23079</v>
      </c>
    </row>
    <row r="68693" spans="1:4" x14ac:dyDescent="0.2">
      <c r="B68693" t="s">
        <v>8742</v>
      </c>
      <c r="C68693" t="s">
        <v>21312</v>
      </c>
      <c r="D68693" t="s">
        <v>23080</v>
      </c>
    </row>
    <row r="68695" spans="1:4" x14ac:dyDescent="0.2">
      <c r="A68695" t="s">
        <v>21313</v>
      </c>
      <c r="B68695" t="str">
        <f>HYPERLINK("https://lindat.mff.cuni.cz/services/teitok/pdtc10/index.php?action=vallex&amp;frame=v-whsa_679hsa_680", "zdechnout (v-whsa_679hsa_680)")</f>
        <v>zdechnout (v-whsa_679hsa_680)</v>
      </c>
    </row>
    <row r="68696" spans="1:4" x14ac:dyDescent="0.2">
      <c r="B68696" t="s">
        <v>1</v>
      </c>
    </row>
    <row r="68698" spans="1:4" x14ac:dyDescent="0.2">
      <c r="A68698" t="s">
        <v>21314</v>
      </c>
      <c r="B68698" t="str">
        <f>HYPERLINK("https://lindat.mff.cuni.cz/services/teitok/pdtc10/index.php?action=vallex&amp;frame=v-w11061f2", "zdecimovat (v-w11061f2)")</f>
        <v>zdecimovat (v-w11061f2)</v>
      </c>
    </row>
    <row r="68699" spans="1:4" x14ac:dyDescent="0.2">
      <c r="B68699" t="s">
        <v>1</v>
      </c>
      <c r="C68699" t="s">
        <v>140</v>
      </c>
      <c r="D68699" t="s">
        <v>249</v>
      </c>
    </row>
    <row r="68700" spans="1:4" x14ac:dyDescent="0.2">
      <c r="B68700" t="s">
        <v>8</v>
      </c>
      <c r="C68700" t="s">
        <v>113</v>
      </c>
      <c r="D68700" t="s">
        <v>23</v>
      </c>
    </row>
    <row r="68702" spans="1:4" x14ac:dyDescent="0.2">
      <c r="A68702" t="s">
        <v>21315</v>
      </c>
      <c r="B68702" t="str">
        <f>HYPERLINK("https://lindat.mff.cuni.cz/services/teitok/pdtc10/index.php?action=vallex&amp;frame=v-w9381f1", "zdeformovat (v-w9381f1)")</f>
        <v>zdeformovat (v-w9381f1)</v>
      </c>
    </row>
    <row r="68703" spans="1:4" x14ac:dyDescent="0.2">
      <c r="B68703" t="s">
        <v>1</v>
      </c>
    </row>
    <row r="68704" spans="1:4" x14ac:dyDescent="0.2">
      <c r="B68704" t="s">
        <v>8</v>
      </c>
    </row>
    <row r="68706" spans="1:4" x14ac:dyDescent="0.2">
      <c r="A68706" t="s">
        <v>21316</v>
      </c>
      <c r="B68706" t="str">
        <f>HYPERLINK("https://lindat.mff.cuni.cz/services/teitok/pdtc10/index.php?action=vallex&amp;frame=v-w9381f2_ZU", "zdeformovat (v-w9381f2_ZU)")</f>
        <v>zdeformovat (v-w9381f2_ZU)</v>
      </c>
    </row>
    <row r="68707" spans="1:4" x14ac:dyDescent="0.2">
      <c r="B68707" t="s">
        <v>1</v>
      </c>
    </row>
    <row r="68708" spans="1:4" x14ac:dyDescent="0.2">
      <c r="B68708" t="s">
        <v>8</v>
      </c>
    </row>
    <row r="68710" spans="1:4" x14ac:dyDescent="0.2">
      <c r="A68710" t="s">
        <v>21317</v>
      </c>
      <c r="B68710" t="str">
        <f>HYPERLINK("https://lindat.mff.cuni.cz/services/teitok/pdtc10/index.php?action=vallex&amp;frame=v-w11643_ZUf1_ZU", "zdeformovat se (v-w11643_ZUf1_ZU)")</f>
        <v>zdeformovat se (v-w11643_ZUf1_ZU)</v>
      </c>
    </row>
    <row r="68711" spans="1:4" x14ac:dyDescent="0.2">
      <c r="B68711" t="s">
        <v>1</v>
      </c>
      <c r="C68711" t="s">
        <v>5499</v>
      </c>
      <c r="D68711" t="s">
        <v>23506</v>
      </c>
    </row>
    <row r="68713" spans="1:4" x14ac:dyDescent="0.2">
      <c r="A68713" t="s">
        <v>21318</v>
      </c>
      <c r="B68713" t="str">
        <f>HYPERLINK("https://lindat.mff.cuni.cz/services/teitok/pdtc10/index.php?action=vallex&amp;frame=v-w9382f1", "zdemolovat (v-w9382f1)")</f>
        <v>zdemolovat (v-w9382f1)</v>
      </c>
    </row>
    <row r="68714" spans="1:4" x14ac:dyDescent="0.2">
      <c r="B68714" t="s">
        <v>1</v>
      </c>
      <c r="C68714" t="s">
        <v>4597</v>
      </c>
      <c r="D68714" t="s">
        <v>23088</v>
      </c>
    </row>
    <row r="68715" spans="1:4" x14ac:dyDescent="0.2">
      <c r="B68715" t="s">
        <v>8</v>
      </c>
      <c r="C68715" t="s">
        <v>54</v>
      </c>
      <c r="D68715" t="s">
        <v>986</v>
      </c>
    </row>
    <row r="68717" spans="1:4" x14ac:dyDescent="0.2">
      <c r="A68717" t="s">
        <v>21319</v>
      </c>
      <c r="B68717" t="str">
        <f>HYPERLINK("https://lindat.mff.cuni.cz/services/teitok/pdtc10/index.php?action=vallex&amp;frame=v-whsa_1226hsa_1227", "zdeptat (v-whsa_1226hsa_1227)")</f>
        <v>zdeptat (v-whsa_1226hsa_1227)</v>
      </c>
    </row>
    <row r="68718" spans="1:4" x14ac:dyDescent="0.2">
      <c r="B68718" t="s">
        <v>1</v>
      </c>
      <c r="D68718" t="s">
        <v>23088</v>
      </c>
    </row>
    <row r="68719" spans="1:4" x14ac:dyDescent="0.2">
      <c r="B68719" t="s">
        <v>8</v>
      </c>
      <c r="C68719" t="s">
        <v>113</v>
      </c>
      <c r="D68719" t="s">
        <v>986</v>
      </c>
    </row>
    <row r="68721" spans="1:4" x14ac:dyDescent="0.2">
      <c r="A68721" t="s">
        <v>21320</v>
      </c>
      <c r="B68721" t="str">
        <f>HYPERLINK("https://lindat.mff.cuni.cz/services/teitok/pdtc10/index.php?action=vallex&amp;frame=v-w10205f3", "zdesetinásobit (v-w10205f3)")</f>
        <v>zdesetinásobit (v-w10205f3)</v>
      </c>
    </row>
    <row r="68722" spans="1:4" x14ac:dyDescent="0.2">
      <c r="B68722" t="s">
        <v>1</v>
      </c>
    </row>
    <row r="68723" spans="1:4" x14ac:dyDescent="0.2">
      <c r="B68723" t="s">
        <v>8</v>
      </c>
    </row>
    <row r="68725" spans="1:4" x14ac:dyDescent="0.2">
      <c r="A68725" t="s">
        <v>21321</v>
      </c>
      <c r="B68725" t="str">
        <f>HYPERLINK("https://lindat.mff.cuni.cz/services/teitok/pdtc10/index.php?action=vallex&amp;frame=v-w11261f1", "zdesetinásobit se (v-w11261f1)")</f>
        <v>zdesetinásobit se (v-w11261f1)</v>
      </c>
    </row>
    <row r="68726" spans="1:4" x14ac:dyDescent="0.2">
      <c r="B68726" t="s">
        <v>1</v>
      </c>
      <c r="C68726" t="s">
        <v>21322</v>
      </c>
    </row>
    <row r="68727" spans="1:4" x14ac:dyDescent="0.2">
      <c r="B68727" t="s">
        <v>46</v>
      </c>
      <c r="C68727" t="s">
        <v>6055</v>
      </c>
    </row>
    <row r="68728" spans="1:4" x14ac:dyDescent="0.2">
      <c r="B68728" t="s">
        <v>24</v>
      </c>
      <c r="C68728" t="s">
        <v>6056</v>
      </c>
    </row>
    <row r="68730" spans="1:4" x14ac:dyDescent="0.2">
      <c r="A68730" t="s">
        <v>21323</v>
      </c>
      <c r="B68730" t="str">
        <f>HYPERLINK("https://lindat.mff.cuni.cz/services/teitok/pdtc10/index.php?action=vallex&amp;frame=v-w10943f2", "zdevastovat (v-w10943f2)")</f>
        <v>zdevastovat (v-w10943f2)</v>
      </c>
    </row>
    <row r="68731" spans="1:4" x14ac:dyDescent="0.2">
      <c r="B68731" t="s">
        <v>1</v>
      </c>
    </row>
    <row r="68732" spans="1:4" x14ac:dyDescent="0.2">
      <c r="B68732" t="s">
        <v>8</v>
      </c>
    </row>
    <row r="68734" spans="1:4" x14ac:dyDescent="0.2">
      <c r="A68734" t="s">
        <v>21324</v>
      </c>
      <c r="B68734" t="str">
        <f>HYPERLINK("https://lindat.mff.cuni.cz/services/teitok/pdtc10/index.php?action=vallex&amp;frame=v-w9385f1", "zdiskreditovat (v-w9385f1)")</f>
        <v>zdiskreditovat (v-w9385f1)</v>
      </c>
    </row>
    <row r="68735" spans="1:4" x14ac:dyDescent="0.2">
      <c r="B68735" t="s">
        <v>1</v>
      </c>
      <c r="C68735" t="s">
        <v>33</v>
      </c>
      <c r="D68735" t="s">
        <v>133</v>
      </c>
    </row>
    <row r="68736" spans="1:4" x14ac:dyDescent="0.2">
      <c r="B68736" t="s">
        <v>8</v>
      </c>
      <c r="C68736" t="s">
        <v>23</v>
      </c>
      <c r="D68736" t="s">
        <v>23099</v>
      </c>
    </row>
    <row r="68738" spans="1:4" x14ac:dyDescent="0.2">
      <c r="A68738" t="s">
        <v>21325</v>
      </c>
      <c r="B68738" t="str">
        <f>HYPERLINK("https://lindat.mff.cuni.cz/services/teitok/pdtc10/index.php?action=vallex&amp;frame=v-w10134f2", "zdivočet (v-w10134f2)")</f>
        <v>zdivočet (v-w10134f2)</v>
      </c>
    </row>
    <row r="68739" spans="1:4" x14ac:dyDescent="0.2">
      <c r="B68739" t="s">
        <v>1</v>
      </c>
    </row>
    <row r="68741" spans="1:4" x14ac:dyDescent="0.2">
      <c r="A68741" t="s">
        <v>21326</v>
      </c>
      <c r="B68741" t="str">
        <f>HYPERLINK("https://lindat.mff.cuni.cz/services/teitok/pdtc10/index.php?action=vallex&amp;frame=v-w9387f1", "zdobit (v-w9387f1)")</f>
        <v>zdobit (v-w9387f1)</v>
      </c>
    </row>
    <row r="68742" spans="1:4" x14ac:dyDescent="0.2">
      <c r="B68742" t="s">
        <v>1</v>
      </c>
      <c r="C68742" t="s">
        <v>3600</v>
      </c>
      <c r="D68742" t="s">
        <v>18422</v>
      </c>
    </row>
    <row r="68743" spans="1:4" x14ac:dyDescent="0.2">
      <c r="B68743" t="s">
        <v>8</v>
      </c>
      <c r="C68743" t="s">
        <v>84</v>
      </c>
      <c r="D68743" t="s">
        <v>1025</v>
      </c>
    </row>
    <row r="68745" spans="1:4" x14ac:dyDescent="0.2">
      <c r="A68745" t="s">
        <v>21327</v>
      </c>
      <c r="B68745" t="str">
        <f>HYPERLINK("https://lindat.mff.cuni.cz/services/teitok/pdtc10/index.php?action=vallex&amp;frame=v-w9387hsa_1400", "zdobit (v-w9387hsa_1400)")</f>
        <v>zdobit (v-w9387hsa_1400)</v>
      </c>
    </row>
    <row r="68746" spans="1:4" x14ac:dyDescent="0.2">
      <c r="B68746" t="s">
        <v>1</v>
      </c>
    </row>
    <row r="68747" spans="1:4" x14ac:dyDescent="0.2">
      <c r="B68747" t="s">
        <v>8</v>
      </c>
    </row>
    <row r="68749" spans="1:4" x14ac:dyDescent="0.2">
      <c r="A68749" t="s">
        <v>21328</v>
      </c>
      <c r="B68749" t="str">
        <f>HYPERLINK("https://lindat.mff.cuni.cz/services/teitok/pdtc10/index.php?action=vallex&amp;frame=v-w9389f1", "zdokonalit (v-w9389f1)")</f>
        <v>zdokonalit (v-w9389f1)</v>
      </c>
    </row>
    <row r="68750" spans="1:4" x14ac:dyDescent="0.2">
      <c r="B68750" t="s">
        <v>1</v>
      </c>
      <c r="C68750" t="s">
        <v>3542</v>
      </c>
      <c r="D68750" t="s">
        <v>23442</v>
      </c>
    </row>
    <row r="68751" spans="1:4" x14ac:dyDescent="0.2">
      <c r="B68751" t="s">
        <v>8</v>
      </c>
      <c r="C68751" t="s">
        <v>4083</v>
      </c>
      <c r="D68751" t="s">
        <v>23443</v>
      </c>
    </row>
    <row r="68753" spans="1:4" x14ac:dyDescent="0.2">
      <c r="A68753" t="s">
        <v>21329</v>
      </c>
      <c r="B68753" t="str">
        <f>HYPERLINK("https://lindat.mff.cuni.cz/services/teitok/pdtc10/index.php?action=vallex&amp;frame=v-whsa_750hsa_751", "zdokonalit se (v-whsa_750hsa_751)")</f>
        <v>zdokonalit se (v-whsa_750hsa_751)</v>
      </c>
    </row>
    <row r="68754" spans="1:4" x14ac:dyDescent="0.2">
      <c r="B68754" t="s">
        <v>1</v>
      </c>
    </row>
    <row r="68755" spans="1:4" x14ac:dyDescent="0.2">
      <c r="B68755" t="s">
        <v>551</v>
      </c>
    </row>
    <row r="68757" spans="1:4" x14ac:dyDescent="0.2">
      <c r="A68757" t="s">
        <v>21330</v>
      </c>
      <c r="B68757" t="str">
        <f>HYPERLINK("https://lindat.mff.cuni.cz/services/teitok/pdtc10/index.php?action=vallex&amp;frame=v-w9391f1", "zdokonalovat (v-w9391f1)")</f>
        <v>zdokonalovat (v-w9391f1)</v>
      </c>
    </row>
    <row r="68758" spans="1:4" x14ac:dyDescent="0.2">
      <c r="B68758" t="s">
        <v>1</v>
      </c>
      <c r="C68758" t="s">
        <v>3542</v>
      </c>
      <c r="D68758" t="s">
        <v>23442</v>
      </c>
    </row>
    <row r="68759" spans="1:4" x14ac:dyDescent="0.2">
      <c r="B68759" t="s">
        <v>8</v>
      </c>
      <c r="C68759" t="s">
        <v>1362</v>
      </c>
      <c r="D68759" t="s">
        <v>23443</v>
      </c>
    </row>
    <row r="68761" spans="1:4" x14ac:dyDescent="0.2">
      <c r="A68761" t="s">
        <v>21331</v>
      </c>
      <c r="B68761" t="str">
        <f>HYPERLINK("https://lindat.mff.cuni.cz/services/teitok/pdtc10/index.php?action=vallex&amp;frame=v-w9392f1", "zdokonalovat se (v-w9392f1)")</f>
        <v>zdokonalovat se (v-w9392f1)</v>
      </c>
    </row>
    <row r="68762" spans="1:4" x14ac:dyDescent="0.2">
      <c r="B68762" t="s">
        <v>1</v>
      </c>
    </row>
    <row r="68763" spans="1:4" x14ac:dyDescent="0.2">
      <c r="B68763" t="s">
        <v>551</v>
      </c>
    </row>
    <row r="68765" spans="1:4" x14ac:dyDescent="0.2">
      <c r="A68765" t="s">
        <v>21332</v>
      </c>
      <c r="B68765" t="str">
        <f>HYPERLINK("https://lindat.mff.cuni.cz/services/teitok/pdtc10/index.php?action=vallex&amp;frame=v-w9394f1", "zdolat (v-w9394f1)")</f>
        <v>zdolat (v-w9394f1)</v>
      </c>
    </row>
    <row r="68766" spans="1:4" x14ac:dyDescent="0.2">
      <c r="B68766" t="s">
        <v>1</v>
      </c>
      <c r="C68766" t="s">
        <v>133</v>
      </c>
      <c r="D68766" t="s">
        <v>83</v>
      </c>
    </row>
    <row r="68767" spans="1:4" x14ac:dyDescent="0.2">
      <c r="B68767" t="s">
        <v>8</v>
      </c>
      <c r="C68767" t="s">
        <v>2240</v>
      </c>
      <c r="D68767" t="s">
        <v>354</v>
      </c>
    </row>
    <row r="68769" spans="1:4" x14ac:dyDescent="0.2">
      <c r="A68769" t="s">
        <v>21333</v>
      </c>
      <c r="B68769" t="str">
        <f>HYPERLINK("https://lindat.mff.cuni.cz/services/teitok/pdtc10/index.php?action=vallex&amp;frame=v-w9395f1", "zdolávat (v-w9395f1)")</f>
        <v>zdolávat (v-w9395f1)</v>
      </c>
    </row>
    <row r="68770" spans="1:4" x14ac:dyDescent="0.2">
      <c r="B68770" t="s">
        <v>1</v>
      </c>
    </row>
    <row r="68771" spans="1:4" x14ac:dyDescent="0.2">
      <c r="B68771" t="s">
        <v>8</v>
      </c>
    </row>
    <row r="68773" spans="1:4" x14ac:dyDescent="0.2">
      <c r="A68773" t="s">
        <v>21334</v>
      </c>
      <c r="B68773" t="str">
        <f>HYPERLINK("https://lindat.mff.cuni.cz/services/teitok/pdtc10/index.php?action=vallex&amp;frame=v-w9395f2", "zdolávat (v-w9395f2)")</f>
        <v>zdolávat (v-w9395f2)</v>
      </c>
    </row>
    <row r="68774" spans="1:4" x14ac:dyDescent="0.2">
      <c r="B68774" t="s">
        <v>1</v>
      </c>
      <c r="D68774" t="s">
        <v>83</v>
      </c>
    </row>
    <row r="68775" spans="1:4" x14ac:dyDescent="0.2">
      <c r="B68775" t="s">
        <v>8</v>
      </c>
      <c r="D68775" t="s">
        <v>354</v>
      </c>
    </row>
    <row r="68777" spans="1:4" x14ac:dyDescent="0.2">
      <c r="A68777" t="s">
        <v>21335</v>
      </c>
      <c r="B68777" t="str">
        <f>HYPERLINK("https://lindat.mff.cuni.cz/services/teitok/pdtc10/index.php?action=vallex&amp;frame=v-w9396f1", "zdomácnět (v-w9396f1)")</f>
        <v>zdomácnět (v-w9396f1)</v>
      </c>
    </row>
    <row r="68778" spans="1:4" x14ac:dyDescent="0.2">
      <c r="B68778" t="s">
        <v>1</v>
      </c>
    </row>
    <row r="68780" spans="1:4" x14ac:dyDescent="0.2">
      <c r="A68780" t="s">
        <v>21336</v>
      </c>
      <c r="B68780" t="str">
        <f>HYPERLINK("https://lindat.mff.cuni.cz/services/teitok/pdtc10/index.php?action=vallex&amp;frame=v-w11644_ZUf1_ZU", "zdostupnit (v-w11644_ZUf1_ZU)")</f>
        <v>zdostupnit (v-w11644_ZUf1_ZU)</v>
      </c>
    </row>
    <row r="68781" spans="1:4" x14ac:dyDescent="0.2">
      <c r="B68781" t="s">
        <v>1</v>
      </c>
    </row>
    <row r="68782" spans="1:4" x14ac:dyDescent="0.2">
      <c r="B68782" t="s">
        <v>8</v>
      </c>
    </row>
    <row r="68783" spans="1:4" x14ac:dyDescent="0.2">
      <c r="B68783" t="s">
        <v>35</v>
      </c>
    </row>
    <row r="68785" spans="1:4" x14ac:dyDescent="0.2">
      <c r="A68785" t="s">
        <v>21337</v>
      </c>
      <c r="B68785" t="str">
        <f>HYPERLINK("https://lindat.mff.cuni.cz/services/teitok/pdtc10/index.php?action=vallex&amp;frame=v-w9398f1", "zdramatizovat (v-w9398f1)")</f>
        <v>zdramatizovat (v-w9398f1)</v>
      </c>
    </row>
    <row r="68786" spans="1:4" x14ac:dyDescent="0.2">
      <c r="B68786" t="s">
        <v>1</v>
      </c>
    </row>
    <row r="68787" spans="1:4" x14ac:dyDescent="0.2">
      <c r="B68787" t="s">
        <v>8</v>
      </c>
    </row>
    <row r="68789" spans="1:4" x14ac:dyDescent="0.2">
      <c r="A68789" t="s">
        <v>21338</v>
      </c>
      <c r="B68789" t="str">
        <f>HYPERLINK("https://lindat.mff.cuni.cz/services/teitok/pdtc10/index.php?action=vallex&amp;frame=v-w9399f1", "zdravit (v-w9399f1)")</f>
        <v>zdravit (v-w9399f1)</v>
      </c>
    </row>
    <row r="68790" spans="1:4" x14ac:dyDescent="0.2">
      <c r="B68790" t="s">
        <v>1</v>
      </c>
    </row>
    <row r="68791" spans="1:4" x14ac:dyDescent="0.2">
      <c r="B68791" t="s">
        <v>8</v>
      </c>
    </row>
    <row r="68793" spans="1:4" x14ac:dyDescent="0.2">
      <c r="A68793" t="s">
        <v>21339</v>
      </c>
      <c r="B68793" t="str">
        <f>HYPERLINK("https://lindat.mff.cuni.cz/services/teitok/pdtc10/index.php?action=vallex&amp;frame=v-whsa_343hsa_344", "zdravit se (v-whsa_343hsa_344)")</f>
        <v>zdravit se (v-whsa_343hsa_344)</v>
      </c>
    </row>
    <row r="68794" spans="1:4" x14ac:dyDescent="0.2">
      <c r="B68794" t="s">
        <v>1</v>
      </c>
    </row>
    <row r="68795" spans="1:4" x14ac:dyDescent="0.2">
      <c r="B68795" t="s">
        <v>411</v>
      </c>
    </row>
    <row r="68797" spans="1:4" x14ac:dyDescent="0.2">
      <c r="A68797" t="s">
        <v>21340</v>
      </c>
      <c r="B68797" t="str">
        <f>HYPERLINK("https://lindat.mff.cuni.cz/services/teitok/pdtc10/index.php?action=vallex&amp;frame=v-w9401f1", "zdražit (v-w9401f1)")</f>
        <v>zdražit (v-w9401f1)</v>
      </c>
    </row>
    <row r="68798" spans="1:4" x14ac:dyDescent="0.2">
      <c r="B68798" t="s">
        <v>1</v>
      </c>
      <c r="C68798" t="s">
        <v>21341</v>
      </c>
      <c r="D68798" t="s">
        <v>23523</v>
      </c>
    </row>
    <row r="68799" spans="1:4" x14ac:dyDescent="0.2">
      <c r="B68799" t="s">
        <v>8</v>
      </c>
      <c r="C68799" t="s">
        <v>14835</v>
      </c>
      <c r="D68799" t="s">
        <v>23524</v>
      </c>
    </row>
    <row r="68800" spans="1:4" x14ac:dyDescent="0.2">
      <c r="B68800" t="s">
        <v>24</v>
      </c>
      <c r="C68800" t="s">
        <v>21342</v>
      </c>
      <c r="D68800" t="s">
        <v>23525</v>
      </c>
    </row>
    <row r="68801" spans="1:4" x14ac:dyDescent="0.2">
      <c r="B68801" t="s">
        <v>61</v>
      </c>
      <c r="C68801" t="s">
        <v>21343</v>
      </c>
      <c r="D68801" t="s">
        <v>23526</v>
      </c>
    </row>
    <row r="68803" spans="1:4" x14ac:dyDescent="0.2">
      <c r="A68803" t="s">
        <v>21344</v>
      </c>
      <c r="B68803" t="str">
        <f>HYPERLINK("https://lindat.mff.cuni.cz/services/teitok/pdtc10/index.php?action=vallex&amp;frame=v-w9401f2_ZU", "zdražit (v-w9401f2_ZU)")</f>
        <v>zdražit (v-w9401f2_ZU)</v>
      </c>
    </row>
    <row r="68804" spans="1:4" x14ac:dyDescent="0.2">
      <c r="B68804" t="s">
        <v>1</v>
      </c>
      <c r="C68804" t="s">
        <v>1162</v>
      </c>
    </row>
    <row r="68805" spans="1:4" x14ac:dyDescent="0.2">
      <c r="B68805" t="s">
        <v>46</v>
      </c>
      <c r="C68805" t="s">
        <v>9369</v>
      </c>
    </row>
    <row r="68806" spans="1:4" x14ac:dyDescent="0.2">
      <c r="B68806" t="s">
        <v>24</v>
      </c>
    </row>
    <row r="68808" spans="1:4" x14ac:dyDescent="0.2">
      <c r="A68808" t="s">
        <v>21345</v>
      </c>
      <c r="B68808" t="str">
        <f>HYPERLINK("https://lindat.mff.cuni.cz/services/teitok/pdtc10/index.php?action=vallex&amp;frame=v-w9403f1", "zdražovat (v-w9403f1)")</f>
        <v>zdražovat (v-w9403f1)</v>
      </c>
    </row>
    <row r="68809" spans="1:4" x14ac:dyDescent="0.2">
      <c r="B68809" t="s">
        <v>1</v>
      </c>
      <c r="C68809" t="s">
        <v>2787</v>
      </c>
      <c r="D68809" t="s">
        <v>23523</v>
      </c>
    </row>
    <row r="68810" spans="1:4" x14ac:dyDescent="0.2">
      <c r="B68810" t="s">
        <v>8</v>
      </c>
      <c r="C68810" t="s">
        <v>2788</v>
      </c>
      <c r="D68810" t="s">
        <v>23524</v>
      </c>
    </row>
    <row r="68811" spans="1:4" x14ac:dyDescent="0.2">
      <c r="B68811" t="s">
        <v>24</v>
      </c>
      <c r="D68811" t="s">
        <v>23525</v>
      </c>
    </row>
    <row r="68812" spans="1:4" x14ac:dyDescent="0.2">
      <c r="B68812" t="s">
        <v>61</v>
      </c>
      <c r="D68812" t="s">
        <v>23526</v>
      </c>
    </row>
    <row r="68814" spans="1:4" x14ac:dyDescent="0.2">
      <c r="A68814" t="s">
        <v>21346</v>
      </c>
      <c r="B68814" t="str">
        <f>HYPERLINK("https://lindat.mff.cuni.cz/services/teitok/pdtc10/index.php?action=vallex&amp;frame=v-w11111f2", "zdrhnout (v-w11111f2)")</f>
        <v>zdrhnout (v-w11111f2)</v>
      </c>
    </row>
    <row r="68815" spans="1:4" x14ac:dyDescent="0.2">
      <c r="B68815" t="s">
        <v>1</v>
      </c>
    </row>
    <row r="68816" spans="1:4" x14ac:dyDescent="0.2">
      <c r="B68816" t="s">
        <v>10232</v>
      </c>
    </row>
    <row r="68818" spans="1:4" x14ac:dyDescent="0.2">
      <c r="A68818" t="s">
        <v>21347</v>
      </c>
      <c r="B68818" t="str">
        <f>HYPERLINK("https://lindat.mff.cuni.cz/services/teitok/pdtc10/index.php?action=vallex&amp;frame=v-w9405f1", "zdrsnit (v-w9405f1)")</f>
        <v>zdrsnit (v-w9405f1)</v>
      </c>
    </row>
    <row r="68819" spans="1:4" x14ac:dyDescent="0.2">
      <c r="B68819" t="s">
        <v>1</v>
      </c>
    </row>
    <row r="68820" spans="1:4" x14ac:dyDescent="0.2">
      <c r="B68820" t="s">
        <v>8</v>
      </c>
    </row>
    <row r="68822" spans="1:4" x14ac:dyDescent="0.2">
      <c r="A68822" t="s">
        <v>21348</v>
      </c>
      <c r="B68822" t="str">
        <f>HYPERLINK("https://lindat.mff.cuni.cz/services/teitok/pdtc10/index.php?action=vallex&amp;frame=v-w11645_ZUf1_ZU", "zdrsnět (v-w11645_ZUf1_ZU)")</f>
        <v>zdrsnět (v-w11645_ZUf1_ZU)</v>
      </c>
    </row>
    <row r="68823" spans="1:4" x14ac:dyDescent="0.2">
      <c r="B68823" t="s">
        <v>1</v>
      </c>
      <c r="C68823" t="s">
        <v>5499</v>
      </c>
    </row>
    <row r="68825" spans="1:4" x14ac:dyDescent="0.2">
      <c r="A68825" t="s">
        <v>21349</v>
      </c>
      <c r="B68825" t="str">
        <f>HYPERLINK("https://lindat.mff.cuni.cz/services/teitok/pdtc10/index.php?action=vallex&amp;frame=v-w10275f2", "zdrtit (v-w10275f2)")</f>
        <v>zdrtit (v-w10275f2)</v>
      </c>
    </row>
    <row r="68826" spans="1:4" x14ac:dyDescent="0.2">
      <c r="B68826" t="s">
        <v>1</v>
      </c>
      <c r="C68826" t="s">
        <v>6895</v>
      </c>
      <c r="D68826" t="s">
        <v>24524</v>
      </c>
    </row>
    <row r="68827" spans="1:4" x14ac:dyDescent="0.2">
      <c r="B68827" t="s">
        <v>8</v>
      </c>
      <c r="D68827" t="s">
        <v>11319</v>
      </c>
    </row>
    <row r="68829" spans="1:4" x14ac:dyDescent="0.2">
      <c r="A68829" t="s">
        <v>21350</v>
      </c>
      <c r="B68829" t="str">
        <f>HYPERLINK("https://lindat.mff.cuni.cz/services/teitok/pdtc10/index.php?action=vallex&amp;frame=v-w9397f1", "zdráhat se (v-w9397f1)")</f>
        <v>zdráhat se (v-w9397f1)</v>
      </c>
    </row>
    <row r="68830" spans="1:4" x14ac:dyDescent="0.2">
      <c r="B68830" t="s">
        <v>1</v>
      </c>
      <c r="C68830" t="s">
        <v>364</v>
      </c>
    </row>
    <row r="68831" spans="1:4" x14ac:dyDescent="0.2">
      <c r="B68831" t="s">
        <v>21351</v>
      </c>
    </row>
    <row r="68833" spans="1:4" x14ac:dyDescent="0.2">
      <c r="A68833" t="s">
        <v>21352</v>
      </c>
      <c r="B68833" t="str">
        <f>HYPERLINK("https://lindat.mff.cuni.cz/services/teitok/pdtc10/index.php?action=vallex&amp;frame=v-w11646_ZUf1_ZU", "zdržet (v-w11646_ZUf1_ZU)")</f>
        <v>zdržet (v-w11646_ZUf1_ZU)</v>
      </c>
    </row>
    <row r="68834" spans="1:4" x14ac:dyDescent="0.2">
      <c r="B68834" t="s">
        <v>1</v>
      </c>
      <c r="C68834" t="s">
        <v>3542</v>
      </c>
      <c r="D68834" t="s">
        <v>9760</v>
      </c>
    </row>
    <row r="68835" spans="1:4" x14ac:dyDescent="0.2">
      <c r="B68835" t="s">
        <v>8</v>
      </c>
      <c r="C68835" t="s">
        <v>8709</v>
      </c>
      <c r="D68835" t="s">
        <v>22997</v>
      </c>
    </row>
    <row r="68837" spans="1:4" x14ac:dyDescent="0.2">
      <c r="A68837" t="s">
        <v>21353</v>
      </c>
      <c r="B68837" t="str">
        <f>HYPERLINK("https://lindat.mff.cuni.cz/services/teitok/pdtc10/index.php?action=vallex&amp;frame=v-w9409f1", "zdržet se (v-w9409f1)")</f>
        <v>zdržet se (v-w9409f1)</v>
      </c>
    </row>
    <row r="68838" spans="1:4" x14ac:dyDescent="0.2">
      <c r="B68838" t="s">
        <v>1</v>
      </c>
      <c r="C68838" t="s">
        <v>33</v>
      </c>
      <c r="D68838" t="s">
        <v>33</v>
      </c>
    </row>
    <row r="68839" spans="1:4" x14ac:dyDescent="0.2">
      <c r="B68839" t="s">
        <v>917</v>
      </c>
      <c r="C68839" t="s">
        <v>84</v>
      </c>
      <c r="D68839" t="s">
        <v>84</v>
      </c>
    </row>
    <row r="68841" spans="1:4" x14ac:dyDescent="0.2">
      <c r="A68841" t="s">
        <v>21354</v>
      </c>
      <c r="B68841" t="str">
        <f>HYPERLINK("https://lindat.mff.cuni.cz/services/teitok/pdtc10/index.php?action=vallex&amp;frame=v-w9409f2", "zdržet se (v-w9409f2)")</f>
        <v>zdržet se (v-w9409f2)</v>
      </c>
    </row>
    <row r="68842" spans="1:4" x14ac:dyDescent="0.2">
      <c r="B68842" t="s">
        <v>1</v>
      </c>
      <c r="D68842" t="s">
        <v>23245</v>
      </c>
    </row>
    <row r="68843" spans="1:4" x14ac:dyDescent="0.2">
      <c r="B68843" t="s">
        <v>5</v>
      </c>
      <c r="D68843" t="s">
        <v>23246</v>
      </c>
    </row>
    <row r="68845" spans="1:4" x14ac:dyDescent="0.2">
      <c r="A68845" t="s">
        <v>21355</v>
      </c>
      <c r="B68845" t="str">
        <f>HYPERLINK("https://lindat.mff.cuni.cz/services/teitok/pdtc10/index.php?action=vallex&amp;frame=v-w9409f3", "zdržet se (v-w9409f3)")</f>
        <v>zdržet se (v-w9409f3)</v>
      </c>
    </row>
    <row r="68846" spans="1:4" x14ac:dyDescent="0.2">
      <c r="B68846" t="s">
        <v>1</v>
      </c>
      <c r="C68846" t="s">
        <v>21356</v>
      </c>
    </row>
    <row r="68848" spans="1:4" x14ac:dyDescent="0.2">
      <c r="A68848" t="s">
        <v>21357</v>
      </c>
      <c r="B68848" t="str">
        <f>HYPERLINK("https://lindat.mff.cuni.cz/services/teitok/pdtc10/index.php?action=vallex&amp;frame=v-w9410f2", "zdržovat (v-w9410f2)")</f>
        <v>zdržovat (v-w9410f2)</v>
      </c>
    </row>
    <row r="68849" spans="1:4" x14ac:dyDescent="0.2">
      <c r="B68849" t="s">
        <v>1</v>
      </c>
      <c r="C68849" t="s">
        <v>1581</v>
      </c>
    </row>
    <row r="68850" spans="1:4" x14ac:dyDescent="0.2">
      <c r="B68850" t="s">
        <v>21358</v>
      </c>
      <c r="C68850" t="s">
        <v>3789</v>
      </c>
    </row>
    <row r="68851" spans="1:4" x14ac:dyDescent="0.2">
      <c r="B68851" t="s">
        <v>58</v>
      </c>
    </row>
    <row r="68853" spans="1:4" x14ac:dyDescent="0.2">
      <c r="A68853" t="s">
        <v>21359</v>
      </c>
      <c r="B68853" t="str">
        <f>HYPERLINK("https://lindat.mff.cuni.cz/services/teitok/pdtc10/index.php?action=vallex&amp;frame=v-w9410f1", "zdržovat (v-w9410f1)")</f>
        <v>zdržovat (v-w9410f1)</v>
      </c>
    </row>
    <row r="68854" spans="1:4" x14ac:dyDescent="0.2">
      <c r="B68854" t="s">
        <v>1</v>
      </c>
      <c r="C68854" t="s">
        <v>976</v>
      </c>
      <c r="D68854" t="s">
        <v>9760</v>
      </c>
    </row>
    <row r="68855" spans="1:4" x14ac:dyDescent="0.2">
      <c r="B68855" t="s">
        <v>8</v>
      </c>
      <c r="C68855" t="s">
        <v>2439</v>
      </c>
      <c r="D68855" t="s">
        <v>22997</v>
      </c>
    </row>
    <row r="68857" spans="1:4" x14ac:dyDescent="0.2">
      <c r="A68857" t="s">
        <v>21360</v>
      </c>
      <c r="B68857" t="str">
        <f>HYPERLINK("https://lindat.mff.cuni.cz/services/teitok/pdtc10/index.php?action=vallex&amp;frame=v-w9411f1", "zdržovat se (v-w9411f1)")</f>
        <v>zdržovat se (v-w9411f1)</v>
      </c>
    </row>
    <row r="68858" spans="1:4" x14ac:dyDescent="0.2">
      <c r="B68858" t="s">
        <v>1</v>
      </c>
      <c r="C68858" t="s">
        <v>2458</v>
      </c>
      <c r="D68858" t="s">
        <v>23245</v>
      </c>
    </row>
    <row r="68859" spans="1:4" x14ac:dyDescent="0.2">
      <c r="B68859" t="s">
        <v>5</v>
      </c>
      <c r="C68859" t="s">
        <v>11211</v>
      </c>
      <c r="D68859" t="s">
        <v>23246</v>
      </c>
    </row>
    <row r="68861" spans="1:4" x14ac:dyDescent="0.2">
      <c r="A68861" t="s">
        <v>21361</v>
      </c>
      <c r="B68861" t="str">
        <f>HYPERLINK("https://lindat.mff.cuni.cz/services/teitok/pdtc10/index.php?action=vallex&amp;frame=v-w11714_ZUf1_ZU", "zdvihat (v-w11714_ZUf1_ZU)")</f>
        <v>zdvihat (v-w11714_ZUf1_ZU)</v>
      </c>
    </row>
    <row r="68862" spans="1:4" x14ac:dyDescent="0.2">
      <c r="B68862" t="s">
        <v>1</v>
      </c>
    </row>
    <row r="68863" spans="1:4" x14ac:dyDescent="0.2">
      <c r="B68863" t="s">
        <v>8</v>
      </c>
    </row>
    <row r="68865" spans="1:4" x14ac:dyDescent="0.2">
      <c r="A68865" t="s">
        <v>21362</v>
      </c>
      <c r="B68865" t="str">
        <f>HYPERLINK("https://lindat.mff.cuni.cz/services/teitok/pdtc10/index.php?action=vallex&amp;frame=v-w11055f2", "zdvihnout (v-w11055f2)")</f>
        <v>zdvihnout (v-w11055f2)</v>
      </c>
    </row>
    <row r="68866" spans="1:4" x14ac:dyDescent="0.2">
      <c r="B68866" t="s">
        <v>1</v>
      </c>
    </row>
    <row r="68867" spans="1:4" x14ac:dyDescent="0.2">
      <c r="B68867" t="s">
        <v>8</v>
      </c>
    </row>
    <row r="68868" spans="1:4" x14ac:dyDescent="0.2">
      <c r="B68868" t="s">
        <v>24</v>
      </c>
    </row>
    <row r="68869" spans="1:4" x14ac:dyDescent="0.2">
      <c r="B68869" t="s">
        <v>61</v>
      </c>
    </row>
    <row r="68871" spans="1:4" x14ac:dyDescent="0.2">
      <c r="A68871" t="s">
        <v>21363</v>
      </c>
      <c r="B68871" t="str">
        <f>HYPERLINK("https://lindat.mff.cuni.cz/services/teitok/pdtc10/index.php?action=vallex&amp;frame=v-w11055hsa_565", "zdvihnout (v-w11055hsa_565)")</f>
        <v>zdvihnout (v-w11055hsa_565)</v>
      </c>
    </row>
    <row r="68872" spans="1:4" x14ac:dyDescent="0.2">
      <c r="B68872" t="s">
        <v>1</v>
      </c>
      <c r="C68872" t="s">
        <v>249</v>
      </c>
      <c r="D68872" t="s">
        <v>334</v>
      </c>
    </row>
    <row r="68873" spans="1:4" x14ac:dyDescent="0.2">
      <c r="B68873" t="s">
        <v>8</v>
      </c>
      <c r="C68873" t="s">
        <v>1340</v>
      </c>
      <c r="D68873" t="s">
        <v>2240</v>
      </c>
    </row>
    <row r="68875" spans="1:4" x14ac:dyDescent="0.2">
      <c r="A68875" t="s">
        <v>21364</v>
      </c>
      <c r="B68875" t="str">
        <f>HYPERLINK("https://lindat.mff.cuni.cz/services/teitok/pdtc10/index.php?action=vallex&amp;frame=v-w11055f3_ZU", "zdvihnout (v-w11055f3_ZU)")</f>
        <v>zdvihnout (v-w11055f3_ZU)</v>
      </c>
    </row>
    <row r="68876" spans="1:4" x14ac:dyDescent="0.2">
      <c r="B68876" t="s">
        <v>1</v>
      </c>
      <c r="C68876" t="s">
        <v>140</v>
      </c>
      <c r="D68876" t="s">
        <v>334</v>
      </c>
    </row>
    <row r="68877" spans="1:4" x14ac:dyDescent="0.2">
      <c r="B68877" t="s">
        <v>8</v>
      </c>
      <c r="C68877" t="s">
        <v>34</v>
      </c>
      <c r="D68877" t="s">
        <v>2240</v>
      </c>
    </row>
    <row r="68879" spans="1:4" x14ac:dyDescent="0.2">
      <c r="A68879" t="s">
        <v>21364</v>
      </c>
      <c r="B68879" t="str">
        <f>HYPERLINK("https://lindat.mff.cuni.cz/services/teitok/pdtc10/index.php?action=vallex&amp;frame=v-w11055hsa_566", "zdvihnout (v-w11055hsa_566) - substituted with v-w11055f3_ZU")</f>
        <v>zdvihnout (v-w11055hsa_566) - substituted with v-w11055f3_ZU</v>
      </c>
    </row>
    <row r="68880" spans="1:4" x14ac:dyDescent="0.2">
      <c r="B68880" t="s">
        <v>1</v>
      </c>
    </row>
    <row r="68881" spans="1:4" x14ac:dyDescent="0.2">
      <c r="B68881" t="s">
        <v>8</v>
      </c>
    </row>
    <row r="68883" spans="1:4" x14ac:dyDescent="0.2">
      <c r="A68883" t="s">
        <v>21365</v>
      </c>
      <c r="B68883" t="str">
        <f>HYPERLINK("https://lindat.mff.cuni.cz/services/teitok/pdtc10/index.php?action=vallex&amp;frame=v-w9422f1", "zdvojnásobit (v-w9422f1)")</f>
        <v>zdvojnásobit (v-w9422f1)</v>
      </c>
    </row>
    <row r="68884" spans="1:4" x14ac:dyDescent="0.2">
      <c r="B68884" t="s">
        <v>1</v>
      </c>
      <c r="C68884" t="s">
        <v>16</v>
      </c>
      <c r="D68884" t="s">
        <v>23604</v>
      </c>
    </row>
    <row r="68885" spans="1:4" x14ac:dyDescent="0.2">
      <c r="B68885" t="s">
        <v>8</v>
      </c>
      <c r="C68885" t="s">
        <v>328</v>
      </c>
      <c r="D68885" t="s">
        <v>155</v>
      </c>
    </row>
    <row r="68886" spans="1:4" x14ac:dyDescent="0.2">
      <c r="B68886" t="s">
        <v>24</v>
      </c>
      <c r="C68886" t="s">
        <v>21366</v>
      </c>
      <c r="D68886" t="s">
        <v>24525</v>
      </c>
    </row>
    <row r="68887" spans="1:4" x14ac:dyDescent="0.2">
      <c r="B68887" t="s">
        <v>61</v>
      </c>
      <c r="C68887" t="s">
        <v>21367</v>
      </c>
      <c r="D68887" t="s">
        <v>24526</v>
      </c>
    </row>
    <row r="68889" spans="1:4" x14ac:dyDescent="0.2">
      <c r="A68889" t="s">
        <v>21368</v>
      </c>
      <c r="B68889" t="str">
        <f>HYPERLINK("https://lindat.mff.cuni.cz/services/teitok/pdtc10/index.php?action=vallex&amp;frame=v-w9423f1", "zdvojnásobit se (v-w9423f1)")</f>
        <v>zdvojnásobit se (v-w9423f1)</v>
      </c>
    </row>
    <row r="68890" spans="1:4" x14ac:dyDescent="0.2">
      <c r="B68890" t="s">
        <v>1</v>
      </c>
      <c r="C68890" t="s">
        <v>9513</v>
      </c>
      <c r="D68890" t="s">
        <v>24527</v>
      </c>
    </row>
    <row r="68891" spans="1:4" x14ac:dyDescent="0.2">
      <c r="B68891" t="s">
        <v>46</v>
      </c>
      <c r="C68891" t="s">
        <v>21369</v>
      </c>
      <c r="D68891" t="s">
        <v>24528</v>
      </c>
    </row>
    <row r="68892" spans="1:4" x14ac:dyDescent="0.2">
      <c r="B68892" t="s">
        <v>24</v>
      </c>
      <c r="C68892" t="s">
        <v>21366</v>
      </c>
      <c r="D68892" t="s">
        <v>24525</v>
      </c>
    </row>
    <row r="68894" spans="1:4" x14ac:dyDescent="0.2">
      <c r="A68894" t="s">
        <v>21370</v>
      </c>
      <c r="B68894" t="str">
        <f>HYPERLINK("https://lindat.mff.cuni.cz/services/teitok/pdtc10/index.php?action=vallex&amp;frame=v-w9424f1", "zdvojnásobovat (v-w9424f1)")</f>
        <v>zdvojnásobovat (v-w9424f1)</v>
      </c>
    </row>
    <row r="68895" spans="1:4" x14ac:dyDescent="0.2">
      <c r="B68895" t="s">
        <v>1</v>
      </c>
      <c r="C68895" t="s">
        <v>16</v>
      </c>
      <c r="D68895" t="s">
        <v>23604</v>
      </c>
    </row>
    <row r="68896" spans="1:4" x14ac:dyDescent="0.2">
      <c r="B68896" t="s">
        <v>8</v>
      </c>
      <c r="C68896" t="s">
        <v>17</v>
      </c>
      <c r="D68896" t="s">
        <v>155</v>
      </c>
    </row>
    <row r="68897" spans="1:4" x14ac:dyDescent="0.2">
      <c r="B68897" t="s">
        <v>24</v>
      </c>
      <c r="C68897" t="s">
        <v>5435</v>
      </c>
      <c r="D68897" t="s">
        <v>24525</v>
      </c>
    </row>
    <row r="68898" spans="1:4" x14ac:dyDescent="0.2">
      <c r="B68898" t="s">
        <v>61</v>
      </c>
      <c r="C68898" t="s">
        <v>9764</v>
      </c>
      <c r="D68898" t="s">
        <v>24526</v>
      </c>
    </row>
    <row r="68900" spans="1:4" x14ac:dyDescent="0.2">
      <c r="A68900" t="s">
        <v>21371</v>
      </c>
      <c r="B68900" t="str">
        <f>HYPERLINK("https://lindat.mff.cuni.cz/services/teitok/pdtc10/index.php?action=vallex&amp;frame=v-w9425f1", "zdvojnásobovat se (v-w9425f1)")</f>
        <v>zdvojnásobovat se (v-w9425f1)</v>
      </c>
    </row>
    <row r="68901" spans="1:4" x14ac:dyDescent="0.2">
      <c r="B68901" t="s">
        <v>1</v>
      </c>
      <c r="D68901" t="s">
        <v>24527</v>
      </c>
    </row>
    <row r="68902" spans="1:4" x14ac:dyDescent="0.2">
      <c r="B68902" t="s">
        <v>46</v>
      </c>
      <c r="D68902" t="s">
        <v>24528</v>
      </c>
    </row>
    <row r="68903" spans="1:4" x14ac:dyDescent="0.2">
      <c r="B68903" t="s">
        <v>24</v>
      </c>
      <c r="D68903" t="s">
        <v>24525</v>
      </c>
    </row>
    <row r="68905" spans="1:4" x14ac:dyDescent="0.2">
      <c r="A68905" t="s">
        <v>21372</v>
      </c>
      <c r="B68905" t="str">
        <f>HYPERLINK("https://lindat.mff.cuni.cz/services/teitok/pdtc10/index.php?action=vallex&amp;frame=v-w9378f6_ZU", "zdát se (v-w9378f6_ZU)")</f>
        <v>zdát se (v-w9378f6_ZU)</v>
      </c>
    </row>
    <row r="68906" spans="1:4" x14ac:dyDescent="0.2">
      <c r="B68906" t="s">
        <v>21373</v>
      </c>
      <c r="C68906" t="s">
        <v>21374</v>
      </c>
      <c r="D68906" t="s">
        <v>23008</v>
      </c>
    </row>
    <row r="68907" spans="1:4" x14ac:dyDescent="0.2">
      <c r="B68907" t="s">
        <v>21375</v>
      </c>
      <c r="C68907" t="s">
        <v>21376</v>
      </c>
      <c r="D68907" t="s">
        <v>17729</v>
      </c>
    </row>
    <row r="68908" spans="1:4" x14ac:dyDescent="0.2">
      <c r="B68908" t="s">
        <v>21377</v>
      </c>
      <c r="C68908" t="s">
        <v>21378</v>
      </c>
      <c r="D68908" t="s">
        <v>23009</v>
      </c>
    </row>
    <row r="68910" spans="1:4" x14ac:dyDescent="0.2">
      <c r="A68910" t="s">
        <v>21372</v>
      </c>
      <c r="B68910" t="str">
        <f>HYPERLINK("https://lindat.mff.cuni.cz/services/teitok/pdtc10/index.php?action=vallex&amp;frame=v-w9378f2", "zdát se (v-w9378f2) - substituted with v-w9378f6_ZU")</f>
        <v>zdát se (v-w9378f2) - substituted with v-w9378f6_ZU</v>
      </c>
    </row>
    <row r="68911" spans="1:4" x14ac:dyDescent="0.2">
      <c r="B68911" t="s">
        <v>21373</v>
      </c>
      <c r="C68911" t="s">
        <v>21379</v>
      </c>
    </row>
    <row r="68912" spans="1:4" x14ac:dyDescent="0.2">
      <c r="B68912" t="s">
        <v>21375</v>
      </c>
      <c r="C68912" t="s">
        <v>6384</v>
      </c>
    </row>
    <row r="68913" spans="1:4" x14ac:dyDescent="0.2">
      <c r="B68913" t="s">
        <v>21377</v>
      </c>
      <c r="C68913" t="s">
        <v>21380</v>
      </c>
    </row>
    <row r="68915" spans="1:4" x14ac:dyDescent="0.2">
      <c r="A68915" t="s">
        <v>21381</v>
      </c>
      <c r="B68915" t="str">
        <f>HYPERLINK("https://lindat.mff.cuni.cz/services/teitok/pdtc10/index.php?action=vallex&amp;frame=v-w9378f3", "zdát se (v-w9378f3)")</f>
        <v>zdát se (v-w9378f3)</v>
      </c>
    </row>
    <row r="68916" spans="1:4" x14ac:dyDescent="0.2">
      <c r="B68916" t="s">
        <v>455</v>
      </c>
      <c r="C68916" t="s">
        <v>21382</v>
      </c>
    </row>
    <row r="68917" spans="1:4" x14ac:dyDescent="0.2">
      <c r="B68917" t="s">
        <v>12478</v>
      </c>
      <c r="C68917" t="s">
        <v>18093</v>
      </c>
    </row>
    <row r="68918" spans="1:4" x14ac:dyDescent="0.2">
      <c r="B68918" t="s">
        <v>14422</v>
      </c>
      <c r="C68918" t="s">
        <v>21383</v>
      </c>
    </row>
    <row r="68920" spans="1:4" x14ac:dyDescent="0.2">
      <c r="A68920" t="s">
        <v>21384</v>
      </c>
      <c r="B68920" t="str">
        <f>HYPERLINK("https://lindat.mff.cuni.cz/services/teitok/pdtc10/index.php?action=vallex&amp;frame=v-w9378f4", "zdát se (v-w9378f4)")</f>
        <v>zdát se (v-w9378f4)</v>
      </c>
    </row>
    <row r="68921" spans="1:4" x14ac:dyDescent="0.2">
      <c r="B68921" t="s">
        <v>455</v>
      </c>
      <c r="C68921" t="s">
        <v>147</v>
      </c>
    </row>
    <row r="68922" spans="1:4" x14ac:dyDescent="0.2">
      <c r="B68922" t="s">
        <v>4374</v>
      </c>
      <c r="C68922" t="s">
        <v>1264</v>
      </c>
    </row>
    <row r="68924" spans="1:4" x14ac:dyDescent="0.2">
      <c r="A68924" t="s">
        <v>21385</v>
      </c>
      <c r="B68924" t="str">
        <f>HYPERLINK("https://lindat.mff.cuni.cz/services/teitok/pdtc10/index.php?action=vallex&amp;frame=v-w9378f1", "zdát se (v-w9378f1)")</f>
        <v>zdát se (v-w9378f1)</v>
      </c>
    </row>
    <row r="68925" spans="1:4" x14ac:dyDescent="0.2">
      <c r="B68925" t="s">
        <v>455</v>
      </c>
      <c r="C68925" t="s">
        <v>21386</v>
      </c>
      <c r="D68925" t="s">
        <v>24075</v>
      </c>
    </row>
    <row r="68926" spans="1:4" x14ac:dyDescent="0.2">
      <c r="B68926" t="s">
        <v>3708</v>
      </c>
      <c r="C68926" t="s">
        <v>21387</v>
      </c>
      <c r="D68926" t="s">
        <v>24076</v>
      </c>
    </row>
    <row r="68928" spans="1:4" x14ac:dyDescent="0.2">
      <c r="A68928" t="s">
        <v>21388</v>
      </c>
      <c r="B68928" t="str">
        <f>HYPERLINK("https://lindat.mff.cuni.cz/services/teitok/pdtc10/index.php?action=vallex&amp;frame=v-w9378f5", "zdát se (v-w9378f5)")</f>
        <v>zdát se (v-w9378f5)</v>
      </c>
    </row>
    <row r="68929" spans="1:4" x14ac:dyDescent="0.2">
      <c r="B68929" t="s">
        <v>455</v>
      </c>
    </row>
    <row r="68930" spans="1:4" x14ac:dyDescent="0.2">
      <c r="B68930" t="s">
        <v>21389</v>
      </c>
    </row>
    <row r="68932" spans="1:4" x14ac:dyDescent="0.2">
      <c r="A68932" t="s">
        <v>21390</v>
      </c>
      <c r="B68932" t="str">
        <f>HYPERLINK("https://lindat.mff.cuni.cz/services/teitok/pdtc10/index.php?action=vallex&amp;frame=v-w12126_ZUf2_ZU", "zdít (v-w12126_ZUf2_ZU)")</f>
        <v>zdít (v-w12126_ZUf2_ZU)</v>
      </c>
    </row>
    <row r="68933" spans="1:4" x14ac:dyDescent="0.2">
      <c r="B68933" t="s">
        <v>1</v>
      </c>
    </row>
    <row r="68934" spans="1:4" x14ac:dyDescent="0.2">
      <c r="B68934" t="s">
        <v>8</v>
      </c>
    </row>
    <row r="68935" spans="1:4" x14ac:dyDescent="0.2">
      <c r="B68935" t="s">
        <v>24</v>
      </c>
    </row>
    <row r="68937" spans="1:4" x14ac:dyDescent="0.2">
      <c r="A68937" t="s">
        <v>21390</v>
      </c>
      <c r="B68937" t="str">
        <f>HYPERLINK("https://lindat.mff.cuni.cz/services/teitok/pdtc10/index.php?action=vallex&amp;frame=v-w12126_ZUf1_ZU", "zdít (v-w12126_ZUf1_ZU) - substituted with v-w12126_ZUf2_ZU")</f>
        <v>zdít (v-w12126_ZUf1_ZU) - substituted with v-w12126_ZUf2_ZU</v>
      </c>
    </row>
    <row r="68938" spans="1:4" x14ac:dyDescent="0.2">
      <c r="B68938" t="s">
        <v>1</v>
      </c>
    </row>
    <row r="68939" spans="1:4" x14ac:dyDescent="0.2">
      <c r="B68939" t="s">
        <v>8</v>
      </c>
    </row>
    <row r="68940" spans="1:4" x14ac:dyDescent="0.2">
      <c r="B68940" t="s">
        <v>24</v>
      </c>
    </row>
    <row r="68942" spans="1:4" x14ac:dyDescent="0.2">
      <c r="A68942" t="s">
        <v>21391</v>
      </c>
      <c r="B68942" t="str">
        <f>HYPERLINK("https://lindat.mff.cuni.cz/services/teitok/pdtc10/index.php?action=vallex&amp;frame=v-w9380hsa_403", "zdědit (v-w9380hsa_403)")</f>
        <v>zdědit (v-w9380hsa_403)</v>
      </c>
    </row>
    <row r="68943" spans="1:4" x14ac:dyDescent="0.2">
      <c r="B68943" t="s">
        <v>1</v>
      </c>
      <c r="C68943" t="s">
        <v>2239</v>
      </c>
      <c r="D68943" t="s">
        <v>2239</v>
      </c>
    </row>
    <row r="68944" spans="1:4" x14ac:dyDescent="0.2">
      <c r="B68944" t="s">
        <v>8</v>
      </c>
      <c r="C68944" t="s">
        <v>54</v>
      </c>
      <c r="D68944" t="s">
        <v>54</v>
      </c>
    </row>
    <row r="68945" spans="1:4" x14ac:dyDescent="0.2">
      <c r="B68945" t="s">
        <v>321</v>
      </c>
    </row>
    <row r="68947" spans="1:4" x14ac:dyDescent="0.2">
      <c r="A68947" t="s">
        <v>21391</v>
      </c>
      <c r="B68947" t="str">
        <f>HYPERLINK("https://lindat.mff.cuni.cz/services/teitok/pdtc10/index.php?action=vallex&amp;frame=v-w9380f1", "zdědit (v-w9380f1) - substituted with v-w9380hsa_403")</f>
        <v>zdědit (v-w9380f1) - substituted with v-w9380hsa_403</v>
      </c>
    </row>
    <row r="68948" spans="1:4" x14ac:dyDescent="0.2">
      <c r="B68948" t="s">
        <v>1</v>
      </c>
      <c r="C68948" t="s">
        <v>2239</v>
      </c>
    </row>
    <row r="68949" spans="1:4" x14ac:dyDescent="0.2">
      <c r="B68949" t="s">
        <v>8</v>
      </c>
      <c r="C68949" t="s">
        <v>54</v>
      </c>
    </row>
    <row r="68950" spans="1:4" x14ac:dyDescent="0.2">
      <c r="B68950" t="s">
        <v>321</v>
      </c>
    </row>
    <row r="68952" spans="1:4" x14ac:dyDescent="0.2">
      <c r="A68952" t="s">
        <v>21392</v>
      </c>
      <c r="B68952" t="str">
        <f>HYPERLINK("https://lindat.mff.cuni.cz/services/teitok/pdtc10/index.php?action=vallex&amp;frame=v-w11093f3", "zděsit (v-w11093f3)")</f>
        <v>zděsit (v-w11093f3)</v>
      </c>
    </row>
    <row r="68953" spans="1:4" x14ac:dyDescent="0.2">
      <c r="B68953" t="s">
        <v>1</v>
      </c>
      <c r="C68953" t="s">
        <v>33</v>
      </c>
      <c r="D68953" t="s">
        <v>23316</v>
      </c>
    </row>
    <row r="68954" spans="1:4" x14ac:dyDescent="0.2">
      <c r="B68954" t="s">
        <v>8</v>
      </c>
      <c r="C68954" t="s">
        <v>34</v>
      </c>
      <c r="D68954" t="s">
        <v>2213</v>
      </c>
    </row>
    <row r="68956" spans="1:4" x14ac:dyDescent="0.2">
      <c r="A68956" t="s">
        <v>21393</v>
      </c>
      <c r="B68956" t="str">
        <f>HYPERLINK("https://lindat.mff.cuni.cz/services/teitok/pdtc10/index.php?action=vallex&amp;frame=v-w11459f1", "zděsit se (v-w11459f1)")</f>
        <v>zděsit se (v-w11459f1)</v>
      </c>
    </row>
    <row r="68957" spans="1:4" x14ac:dyDescent="0.2">
      <c r="B68957" t="s">
        <v>1</v>
      </c>
      <c r="D68957" t="s">
        <v>24529</v>
      </c>
    </row>
    <row r="68959" spans="1:4" x14ac:dyDescent="0.2">
      <c r="A68959" t="s">
        <v>21394</v>
      </c>
      <c r="B68959" t="str">
        <f>HYPERLINK("https://lindat.mff.cuni.cz/services/teitok/pdtc10/index.php?action=vallex&amp;frame=v-whsa_922hsa_923", "zdřímnout si (v-whsa_922hsa_923)")</f>
        <v>zdřímnout si (v-whsa_922hsa_923)</v>
      </c>
    </row>
    <row r="68960" spans="1:4" x14ac:dyDescent="0.2">
      <c r="B68960" t="s">
        <v>1</v>
      </c>
    </row>
    <row r="68962" spans="1:4" x14ac:dyDescent="0.2">
      <c r="A68962" t="s">
        <v>21395</v>
      </c>
      <c r="B68962" t="str">
        <f>HYPERLINK("https://lindat.mff.cuni.cz/services/teitok/pdtc10/index.php?action=vallex&amp;frame=v-w9413f1", "zdůraznit (v-w9413f1)")</f>
        <v>zdůraznit (v-w9413f1)</v>
      </c>
    </row>
    <row r="68963" spans="1:4" x14ac:dyDescent="0.2">
      <c r="B68963" t="s">
        <v>1</v>
      </c>
      <c r="C68963" t="s">
        <v>234</v>
      </c>
      <c r="D68963" t="s">
        <v>10977</v>
      </c>
    </row>
    <row r="68964" spans="1:4" x14ac:dyDescent="0.2">
      <c r="B68964" t="s">
        <v>21396</v>
      </c>
      <c r="C68964" t="s">
        <v>3403</v>
      </c>
      <c r="D68964" t="s">
        <v>13080</v>
      </c>
    </row>
    <row r="68965" spans="1:4" x14ac:dyDescent="0.2">
      <c r="B68965" t="s">
        <v>78</v>
      </c>
    </row>
    <row r="68967" spans="1:4" x14ac:dyDescent="0.2">
      <c r="A68967" t="s">
        <v>21397</v>
      </c>
      <c r="B68967" t="str">
        <f>HYPERLINK("https://lindat.mff.cuni.cz/services/teitok/pdtc10/index.php?action=vallex&amp;frame=v-w9413f2", "zdůraznit (v-w9413f2)")</f>
        <v>zdůraznit (v-w9413f2)</v>
      </c>
    </row>
    <row r="68968" spans="1:4" x14ac:dyDescent="0.2">
      <c r="B68968" t="s">
        <v>1</v>
      </c>
      <c r="C68968" t="s">
        <v>5974</v>
      </c>
    </row>
    <row r="68969" spans="1:4" x14ac:dyDescent="0.2">
      <c r="B68969" t="s">
        <v>8</v>
      </c>
      <c r="C68969" t="s">
        <v>1437</v>
      </c>
    </row>
    <row r="68971" spans="1:4" x14ac:dyDescent="0.2">
      <c r="A68971" t="s">
        <v>21398</v>
      </c>
      <c r="B68971" t="str">
        <f>HYPERLINK("https://lindat.mff.cuni.cz/services/teitok/pdtc10/index.php?action=vallex&amp;frame=v-w9415f1", "zdůrazňovat (v-w9415f1)")</f>
        <v>zdůrazňovat (v-w9415f1)</v>
      </c>
    </row>
    <row r="68972" spans="1:4" x14ac:dyDescent="0.2">
      <c r="B68972" t="s">
        <v>1</v>
      </c>
      <c r="C68972" t="s">
        <v>9447</v>
      </c>
      <c r="D68972" t="s">
        <v>10977</v>
      </c>
    </row>
    <row r="68973" spans="1:4" x14ac:dyDescent="0.2">
      <c r="B68973" t="s">
        <v>21399</v>
      </c>
      <c r="C68973" t="s">
        <v>12087</v>
      </c>
      <c r="D68973" t="s">
        <v>13080</v>
      </c>
    </row>
    <row r="68974" spans="1:4" x14ac:dyDescent="0.2">
      <c r="B68974" t="s">
        <v>78</v>
      </c>
      <c r="C68974" t="s">
        <v>14173</v>
      </c>
    </row>
    <row r="68976" spans="1:4" x14ac:dyDescent="0.2">
      <c r="A68976" t="s">
        <v>21400</v>
      </c>
      <c r="B68976" t="str">
        <f>HYPERLINK("https://lindat.mff.cuni.cz/services/teitok/pdtc10/index.php?action=vallex&amp;frame=v-w9415f2", "zdůrazňovat (v-w9415f2)")</f>
        <v>zdůrazňovat (v-w9415f2)</v>
      </c>
    </row>
    <row r="68977" spans="1:4" x14ac:dyDescent="0.2">
      <c r="B68977" t="s">
        <v>1</v>
      </c>
      <c r="C68977" t="s">
        <v>43</v>
      </c>
    </row>
    <row r="68978" spans="1:4" x14ac:dyDescent="0.2">
      <c r="B68978" t="s">
        <v>8</v>
      </c>
      <c r="C68978" t="s">
        <v>18453</v>
      </c>
    </row>
    <row r="68980" spans="1:4" x14ac:dyDescent="0.2">
      <c r="A68980" t="s">
        <v>21401</v>
      </c>
      <c r="B68980" t="str">
        <f>HYPERLINK("https://lindat.mff.cuni.cz/services/teitok/pdtc10/index.php?action=vallex&amp;frame=v-w9418f1", "zdůvodnit (v-w9418f1)")</f>
        <v>zdůvodnit (v-w9418f1)</v>
      </c>
    </row>
    <row r="68981" spans="1:4" x14ac:dyDescent="0.2">
      <c r="B68981" t="s">
        <v>1</v>
      </c>
      <c r="C68981" t="s">
        <v>109</v>
      </c>
      <c r="D68981" t="s">
        <v>22960</v>
      </c>
    </row>
    <row r="68982" spans="1:4" x14ac:dyDescent="0.2">
      <c r="B68982" t="s">
        <v>15830</v>
      </c>
      <c r="C68982" t="s">
        <v>338</v>
      </c>
      <c r="D68982" t="s">
        <v>22961</v>
      </c>
    </row>
    <row r="68984" spans="1:4" x14ac:dyDescent="0.2">
      <c r="A68984" t="s">
        <v>21402</v>
      </c>
      <c r="B68984" t="str">
        <f>HYPERLINK("https://lindat.mff.cuni.cz/services/teitok/pdtc10/index.php?action=vallex&amp;frame=v-w9420f1", "zdůvodňovat (v-w9420f1)")</f>
        <v>zdůvodňovat (v-w9420f1)</v>
      </c>
    </row>
    <row r="68985" spans="1:4" x14ac:dyDescent="0.2">
      <c r="B68985" t="s">
        <v>1</v>
      </c>
      <c r="C68985" t="s">
        <v>83</v>
      </c>
      <c r="D68985" t="s">
        <v>22960</v>
      </c>
    </row>
    <row r="68986" spans="1:4" x14ac:dyDescent="0.2">
      <c r="B68986" t="s">
        <v>124</v>
      </c>
      <c r="C68986" t="s">
        <v>1044</v>
      </c>
      <c r="D68986" t="s">
        <v>22961</v>
      </c>
    </row>
    <row r="68988" spans="1:4" x14ac:dyDescent="0.2">
      <c r="A68988" t="s">
        <v>21403</v>
      </c>
      <c r="B68988" t="str">
        <f>HYPERLINK("https://lindat.mff.cuni.cz/services/teitok/pdtc10/index.php?action=vallex&amp;frame=v-whsa_787hsa_788", "zedničit (v-whsa_787hsa_788)")</f>
        <v>zedničit (v-whsa_787hsa_788)</v>
      </c>
    </row>
    <row r="68989" spans="1:4" x14ac:dyDescent="0.2">
      <c r="B68989" t="s">
        <v>1</v>
      </c>
    </row>
    <row r="68990" spans="1:4" x14ac:dyDescent="0.2">
      <c r="B68990" t="s">
        <v>8</v>
      </c>
    </row>
    <row r="68992" spans="1:4" x14ac:dyDescent="0.2">
      <c r="A68992" t="s">
        <v>21404</v>
      </c>
      <c r="B68992" t="str">
        <f>HYPERLINK("https://lindat.mff.cuni.cz/services/teitok/pdtc10/index.php?action=vallex&amp;frame=v-w11083f2", "zefektivnit (v-w11083f2)")</f>
        <v>zefektivnit (v-w11083f2)</v>
      </c>
    </row>
    <row r="68993" spans="1:2" x14ac:dyDescent="0.2">
      <c r="B68993" t="s">
        <v>1</v>
      </c>
    </row>
    <row r="68994" spans="1:2" x14ac:dyDescent="0.2">
      <c r="B68994" t="s">
        <v>8</v>
      </c>
    </row>
    <row r="68996" spans="1:2" x14ac:dyDescent="0.2">
      <c r="A68996" t="s">
        <v>21405</v>
      </c>
      <c r="B68996" t="str">
        <f>HYPERLINK("https://lindat.mff.cuni.cz/services/teitok/pdtc10/index.php?action=vallex&amp;frame=v-w9428f1", "zefektivňovat (v-w9428f1)")</f>
        <v>zefektivňovat (v-w9428f1)</v>
      </c>
    </row>
    <row r="68997" spans="1:2" x14ac:dyDescent="0.2">
      <c r="B68997" t="s">
        <v>1</v>
      </c>
    </row>
    <row r="68998" spans="1:2" x14ac:dyDescent="0.2">
      <c r="B68998" t="s">
        <v>8</v>
      </c>
    </row>
    <row r="69000" spans="1:2" x14ac:dyDescent="0.2">
      <c r="A69000" t="s">
        <v>21406</v>
      </c>
      <c r="B69000" t="str">
        <f>HYPERLINK("https://lindat.mff.cuni.cz/services/teitok/pdtc10/index.php?action=vallex&amp;frame=v-w9429f1", "zelenat se (v-w9429f1)")</f>
        <v>zelenat se (v-w9429f1)</v>
      </c>
    </row>
    <row r="69001" spans="1:2" x14ac:dyDescent="0.2">
      <c r="B69001" t="s">
        <v>1</v>
      </c>
    </row>
    <row r="69003" spans="1:2" x14ac:dyDescent="0.2">
      <c r="A69003" t="s">
        <v>21407</v>
      </c>
      <c r="B69003" t="str">
        <f>HYPERLINK("https://lindat.mff.cuni.cz/services/teitok/pdtc10/index.php?action=vallex&amp;frame=v-w9429f2", "zelenat se (v-w9429f2)")</f>
        <v>zelenat se (v-w9429f2)</v>
      </c>
    </row>
    <row r="69004" spans="1:2" x14ac:dyDescent="0.2">
      <c r="B69004" t="s">
        <v>1</v>
      </c>
    </row>
    <row r="69006" spans="1:2" x14ac:dyDescent="0.2">
      <c r="A69006" t="s">
        <v>21408</v>
      </c>
      <c r="B69006" t="str">
        <f>HYPERLINK("https://lindat.mff.cuni.cz/services/teitok/pdtc10/index.php?action=vallex&amp;frame=v-w12223_ZUf1_ZU", "zemdlévat (v-w12223_ZUf1_ZU)")</f>
        <v>zemdlévat (v-w12223_ZUf1_ZU)</v>
      </c>
    </row>
    <row r="69007" spans="1:2" x14ac:dyDescent="0.2">
      <c r="B69007" t="s">
        <v>1</v>
      </c>
    </row>
    <row r="69009" spans="1:4" x14ac:dyDescent="0.2">
      <c r="A69009" t="s">
        <v>21409</v>
      </c>
      <c r="B69009" t="str">
        <f>HYPERLINK("https://lindat.mff.cuni.cz/services/teitok/pdtc10/index.php?action=vallex&amp;frame=v-w9430f1", "zemřít (v-w9430f1)")</f>
        <v>zemřít (v-w9430f1)</v>
      </c>
    </row>
    <row r="69010" spans="1:4" x14ac:dyDescent="0.2">
      <c r="B69010" t="s">
        <v>1</v>
      </c>
      <c r="C69010" t="s">
        <v>21410</v>
      </c>
      <c r="D69010" t="s">
        <v>7571</v>
      </c>
    </row>
    <row r="69012" spans="1:4" x14ac:dyDescent="0.2">
      <c r="A69012" t="s">
        <v>21411</v>
      </c>
      <c r="B69012" t="str">
        <f>HYPERLINK("https://lindat.mff.cuni.cz/services/teitok/pdtc10/index.php?action=vallex&amp;frame=v-w9431f1", "zepsout (v-w9431f1)")</f>
        <v>zepsout (v-w9431f1)</v>
      </c>
    </row>
    <row r="69013" spans="1:4" x14ac:dyDescent="0.2">
      <c r="B69013" t="s">
        <v>1</v>
      </c>
    </row>
    <row r="69014" spans="1:4" x14ac:dyDescent="0.2">
      <c r="B69014" t="s">
        <v>8</v>
      </c>
    </row>
    <row r="69016" spans="1:4" x14ac:dyDescent="0.2">
      <c r="A69016" t="s">
        <v>21412</v>
      </c>
      <c r="B69016" t="str">
        <f>HYPERLINK("https://lindat.mff.cuni.cz/services/teitok/pdtc10/index.php?action=vallex&amp;frame=v-w9432f1", "zeptat se (v-w9432f1)")</f>
        <v>zeptat se (v-w9432f1)</v>
      </c>
    </row>
    <row r="69017" spans="1:4" x14ac:dyDescent="0.2">
      <c r="B69017" t="s">
        <v>1</v>
      </c>
      <c r="C69017" t="s">
        <v>21413</v>
      </c>
      <c r="D69017" t="s">
        <v>23213</v>
      </c>
    </row>
    <row r="69018" spans="1:4" x14ac:dyDescent="0.2">
      <c r="B69018" t="s">
        <v>7958</v>
      </c>
      <c r="C69018" t="s">
        <v>21414</v>
      </c>
      <c r="D69018" t="s">
        <v>23214</v>
      </c>
    </row>
    <row r="69019" spans="1:4" x14ac:dyDescent="0.2">
      <c r="B69019" t="s">
        <v>2131</v>
      </c>
      <c r="C69019" t="s">
        <v>21415</v>
      </c>
      <c r="D69019" t="s">
        <v>23215</v>
      </c>
    </row>
    <row r="69021" spans="1:4" x14ac:dyDescent="0.2">
      <c r="A69021" t="s">
        <v>21416</v>
      </c>
      <c r="B69021" t="str">
        <f>HYPERLINK("https://lindat.mff.cuni.cz/services/teitok/pdtc10/index.php?action=vallex&amp;frame=v-w11264f1", "zesilovat (v-w11264f1)")</f>
        <v>zesilovat (v-w11264f1)</v>
      </c>
    </row>
    <row r="69022" spans="1:4" x14ac:dyDescent="0.2">
      <c r="B69022" t="s">
        <v>1</v>
      </c>
    </row>
    <row r="69023" spans="1:4" x14ac:dyDescent="0.2">
      <c r="B69023" t="s">
        <v>46</v>
      </c>
    </row>
    <row r="69024" spans="1:4" x14ac:dyDescent="0.2">
      <c r="B69024" t="s">
        <v>24</v>
      </c>
    </row>
    <row r="69026" spans="1:3" x14ac:dyDescent="0.2">
      <c r="A69026" t="s">
        <v>21417</v>
      </c>
      <c r="B69026" t="str">
        <f>HYPERLINK("https://lindat.mff.cuni.cz/services/teitok/pdtc10/index.php?action=vallex&amp;frame=v-w11264f2", "zesilovat (v-w11264f2)")</f>
        <v>zesilovat (v-w11264f2)</v>
      </c>
    </row>
    <row r="69027" spans="1:3" x14ac:dyDescent="0.2">
      <c r="B69027" t="s">
        <v>1</v>
      </c>
      <c r="C69027" t="s">
        <v>7489</v>
      </c>
    </row>
    <row r="69029" spans="1:3" x14ac:dyDescent="0.2">
      <c r="A69029" t="s">
        <v>21418</v>
      </c>
      <c r="B69029" t="str">
        <f>HYPERLINK("https://lindat.mff.cuni.cz/services/teitok/pdtc10/index.php?action=vallex&amp;frame=v-w11264f4_ZU", "zesilovat (v-w11264f4_ZU)")</f>
        <v>zesilovat (v-w11264f4_ZU)</v>
      </c>
    </row>
    <row r="69030" spans="1:3" x14ac:dyDescent="0.2">
      <c r="B69030" t="s">
        <v>1</v>
      </c>
      <c r="C69030" t="s">
        <v>140</v>
      </c>
    </row>
    <row r="69031" spans="1:3" x14ac:dyDescent="0.2">
      <c r="B69031" t="s">
        <v>8</v>
      </c>
      <c r="C69031" t="s">
        <v>34</v>
      </c>
    </row>
    <row r="69032" spans="1:3" x14ac:dyDescent="0.2">
      <c r="B69032" t="s">
        <v>24</v>
      </c>
    </row>
    <row r="69033" spans="1:3" x14ac:dyDescent="0.2">
      <c r="B69033" t="s">
        <v>61</v>
      </c>
    </row>
    <row r="69035" spans="1:3" x14ac:dyDescent="0.2">
      <c r="A69035" t="s">
        <v>21418</v>
      </c>
      <c r="B69035" t="str">
        <f>HYPERLINK("https://lindat.mff.cuni.cz/services/teitok/pdtc10/index.php?action=vallex&amp;frame=v-w11264f3_ZU", "zesilovat (v-w11264f3_ZU) - substituted with v-w11264f4_ZU")</f>
        <v>zesilovat (v-w11264f3_ZU) - substituted with v-w11264f4_ZU</v>
      </c>
    </row>
    <row r="69036" spans="1:3" x14ac:dyDescent="0.2">
      <c r="B69036" t="s">
        <v>1</v>
      </c>
    </row>
    <row r="69037" spans="1:3" x14ac:dyDescent="0.2">
      <c r="B69037" t="s">
        <v>8</v>
      </c>
    </row>
    <row r="69038" spans="1:3" x14ac:dyDescent="0.2">
      <c r="B69038" t="s">
        <v>24</v>
      </c>
    </row>
    <row r="69039" spans="1:3" x14ac:dyDescent="0.2">
      <c r="B69039" t="s">
        <v>61</v>
      </c>
    </row>
    <row r="69041" spans="1:4" x14ac:dyDescent="0.2">
      <c r="A69041" t="s">
        <v>21418</v>
      </c>
      <c r="B69041" t="str">
        <f>HYPERLINK("https://lindat.mff.cuni.cz/services/teitok/pdtc10/index.php?action=vallex&amp;frame=v-w11264hsa_1323", "zesilovat (v-w11264hsa_1323) - substituted with v-w11264f4_ZU")</f>
        <v>zesilovat (v-w11264hsa_1323) - substituted with v-w11264f4_ZU</v>
      </c>
    </row>
    <row r="69042" spans="1:4" x14ac:dyDescent="0.2">
      <c r="B69042" t="s">
        <v>1</v>
      </c>
    </row>
    <row r="69043" spans="1:4" x14ac:dyDescent="0.2">
      <c r="B69043" t="s">
        <v>8</v>
      </c>
    </row>
    <row r="69044" spans="1:4" x14ac:dyDescent="0.2">
      <c r="B69044" t="s">
        <v>24</v>
      </c>
    </row>
    <row r="69045" spans="1:4" x14ac:dyDescent="0.2">
      <c r="B69045" t="s">
        <v>61</v>
      </c>
    </row>
    <row r="69047" spans="1:4" x14ac:dyDescent="0.2">
      <c r="A69047" t="s">
        <v>21419</v>
      </c>
      <c r="B69047" t="str">
        <f>HYPERLINK("https://lindat.mff.cuni.cz/services/teitok/pdtc10/index.php?action=vallex&amp;frame=v-w9436f1", "zesilovat se (v-w9436f1)")</f>
        <v>zesilovat se (v-w9436f1)</v>
      </c>
    </row>
    <row r="69048" spans="1:4" x14ac:dyDescent="0.2">
      <c r="B69048" t="s">
        <v>1</v>
      </c>
    </row>
    <row r="69049" spans="1:4" x14ac:dyDescent="0.2">
      <c r="B69049" t="s">
        <v>46</v>
      </c>
    </row>
    <row r="69050" spans="1:4" x14ac:dyDescent="0.2">
      <c r="B69050" t="s">
        <v>24</v>
      </c>
    </row>
    <row r="69052" spans="1:4" x14ac:dyDescent="0.2">
      <c r="A69052" t="s">
        <v>21420</v>
      </c>
      <c r="B69052" t="str">
        <f>HYPERLINK("https://lindat.mff.cuni.cz/services/teitok/pdtc10/index.php?action=vallex&amp;frame=v-whsa_1206f1_ZU", "zeslabit (v-whsa_1206f1_ZU)")</f>
        <v>zeslabit (v-whsa_1206f1_ZU)</v>
      </c>
    </row>
    <row r="69053" spans="1:4" x14ac:dyDescent="0.2">
      <c r="B69053" t="s">
        <v>1</v>
      </c>
      <c r="C69053" t="s">
        <v>140</v>
      </c>
      <c r="D69053" t="s">
        <v>24530</v>
      </c>
    </row>
    <row r="69054" spans="1:4" x14ac:dyDescent="0.2">
      <c r="B69054" t="s">
        <v>8</v>
      </c>
      <c r="C69054" t="s">
        <v>113</v>
      </c>
      <c r="D69054" t="s">
        <v>24531</v>
      </c>
    </row>
    <row r="69055" spans="1:4" x14ac:dyDescent="0.2">
      <c r="B69055" t="s">
        <v>24</v>
      </c>
      <c r="D69055" t="s">
        <v>24532</v>
      </c>
    </row>
    <row r="69056" spans="1:4" x14ac:dyDescent="0.2">
      <c r="B69056" t="s">
        <v>61</v>
      </c>
      <c r="D69056" t="s">
        <v>24533</v>
      </c>
    </row>
    <row r="69058" spans="1:4" x14ac:dyDescent="0.2">
      <c r="A69058" t="s">
        <v>21420</v>
      </c>
      <c r="B69058" t="str">
        <f>HYPERLINK("https://lindat.mff.cuni.cz/services/teitok/pdtc10/index.php?action=vallex&amp;frame=v-whsa_1206hsa_1207", "zeslabit (v-whsa_1206hsa_1207) - substituted with v-whsa_1206f1_ZU")</f>
        <v>zeslabit (v-whsa_1206hsa_1207) - substituted with v-whsa_1206f1_ZU</v>
      </c>
    </row>
    <row r="69059" spans="1:4" x14ac:dyDescent="0.2">
      <c r="B69059" t="s">
        <v>1</v>
      </c>
    </row>
    <row r="69060" spans="1:4" x14ac:dyDescent="0.2">
      <c r="B69060" t="s">
        <v>8</v>
      </c>
    </row>
    <row r="69061" spans="1:4" x14ac:dyDescent="0.2">
      <c r="B69061" t="s">
        <v>24</v>
      </c>
    </row>
    <row r="69062" spans="1:4" x14ac:dyDescent="0.2">
      <c r="B69062" t="s">
        <v>61</v>
      </c>
    </row>
    <row r="69064" spans="1:4" x14ac:dyDescent="0.2">
      <c r="A69064" t="s">
        <v>21421</v>
      </c>
      <c r="B69064" t="str">
        <f>HYPERLINK("https://lindat.mff.cuni.cz/services/teitok/pdtc10/index.php?action=vallex&amp;frame=v-w9439f1", "zeslabovat (v-w9439f1)")</f>
        <v>zeslabovat (v-w9439f1)</v>
      </c>
    </row>
    <row r="69065" spans="1:4" x14ac:dyDescent="0.2">
      <c r="B69065" t="s">
        <v>1</v>
      </c>
      <c r="C69065" t="s">
        <v>140</v>
      </c>
    </row>
    <row r="69066" spans="1:4" x14ac:dyDescent="0.2">
      <c r="B69066" t="s">
        <v>8</v>
      </c>
      <c r="C69066" t="s">
        <v>113</v>
      </c>
    </row>
    <row r="69067" spans="1:4" x14ac:dyDescent="0.2">
      <c r="B69067" t="s">
        <v>24</v>
      </c>
    </row>
    <row r="69068" spans="1:4" x14ac:dyDescent="0.2">
      <c r="B69068" t="s">
        <v>61</v>
      </c>
    </row>
    <row r="69070" spans="1:4" x14ac:dyDescent="0.2">
      <c r="A69070" t="s">
        <v>21422</v>
      </c>
      <c r="B69070" t="str">
        <f>HYPERLINK("https://lindat.mff.cuni.cz/services/teitok/pdtc10/index.php?action=vallex&amp;frame=v-w10781f2", "zeslábnout (v-w10781f2)")</f>
        <v>zeslábnout (v-w10781f2)</v>
      </c>
    </row>
    <row r="69071" spans="1:4" x14ac:dyDescent="0.2">
      <c r="B69071" t="s">
        <v>1</v>
      </c>
      <c r="C69071" t="s">
        <v>21423</v>
      </c>
      <c r="D69071" t="s">
        <v>23735</v>
      </c>
    </row>
    <row r="69072" spans="1:4" x14ac:dyDescent="0.2">
      <c r="B69072" t="s">
        <v>46</v>
      </c>
      <c r="C69072" t="s">
        <v>21424</v>
      </c>
      <c r="D69072" t="s">
        <v>8502</v>
      </c>
    </row>
    <row r="69073" spans="1:4" x14ac:dyDescent="0.2">
      <c r="B69073" t="s">
        <v>24</v>
      </c>
      <c r="C69073" t="s">
        <v>6056</v>
      </c>
    </row>
    <row r="69075" spans="1:4" x14ac:dyDescent="0.2">
      <c r="A69075" t="s">
        <v>21425</v>
      </c>
      <c r="B69075" t="str">
        <f>HYPERLINK("https://lindat.mff.cuni.cz/services/teitok/pdtc10/index.php?action=vallex&amp;frame=v-w11073f2", "zesměšnit (v-w11073f2)")</f>
        <v>zesměšnit (v-w11073f2)</v>
      </c>
    </row>
    <row r="69076" spans="1:4" x14ac:dyDescent="0.2">
      <c r="B69076" t="s">
        <v>1</v>
      </c>
      <c r="D69076" t="s">
        <v>334</v>
      </c>
    </row>
    <row r="69077" spans="1:4" x14ac:dyDescent="0.2">
      <c r="B69077" t="s">
        <v>8</v>
      </c>
      <c r="D69077" t="s">
        <v>24534</v>
      </c>
    </row>
    <row r="69079" spans="1:4" x14ac:dyDescent="0.2">
      <c r="A69079" t="s">
        <v>21426</v>
      </c>
      <c r="B69079" t="str">
        <f>HYPERLINK("https://lindat.mff.cuni.cz/services/teitok/pdtc10/index.php?action=vallex&amp;frame=v-w9441f1", "zesměšňovat (v-w9441f1)")</f>
        <v>zesměšňovat (v-w9441f1)</v>
      </c>
    </row>
    <row r="69080" spans="1:4" x14ac:dyDescent="0.2">
      <c r="B69080" t="s">
        <v>1</v>
      </c>
      <c r="D69080" t="s">
        <v>133</v>
      </c>
    </row>
    <row r="69081" spans="1:4" x14ac:dyDescent="0.2">
      <c r="B69081" t="s">
        <v>8</v>
      </c>
      <c r="D69081" t="s">
        <v>23099</v>
      </c>
    </row>
    <row r="69083" spans="1:4" x14ac:dyDescent="0.2">
      <c r="A69083" t="s">
        <v>21427</v>
      </c>
      <c r="B69083" t="str">
        <f>HYPERLINK("https://lindat.mff.cuni.cz/services/teitok/pdtc10/index.php?action=vallex&amp;frame=v-w9445f1", "zestručnit (v-w9445f1)")</f>
        <v>zestručnit (v-w9445f1)</v>
      </c>
    </row>
    <row r="69084" spans="1:4" x14ac:dyDescent="0.2">
      <c r="B69084" t="s">
        <v>1</v>
      </c>
    </row>
    <row r="69085" spans="1:4" x14ac:dyDescent="0.2">
      <c r="B69085" t="s">
        <v>8</v>
      </c>
    </row>
    <row r="69086" spans="1:4" x14ac:dyDescent="0.2">
      <c r="B69086" t="s">
        <v>24</v>
      </c>
    </row>
    <row r="69087" spans="1:4" x14ac:dyDescent="0.2">
      <c r="B69087" t="s">
        <v>61</v>
      </c>
    </row>
    <row r="69089" spans="1:4" x14ac:dyDescent="0.2">
      <c r="A69089" t="s">
        <v>21428</v>
      </c>
      <c r="B69089" t="str">
        <f>HYPERLINK("https://lindat.mff.cuni.cz/services/teitok/pdtc10/index.php?action=vallex&amp;frame=v-w9442f1", "zestárnout (v-w9442f1)")</f>
        <v>zestárnout (v-w9442f1)</v>
      </c>
    </row>
    <row r="69090" spans="1:4" x14ac:dyDescent="0.2">
      <c r="B69090" t="s">
        <v>1</v>
      </c>
      <c r="C69090" t="s">
        <v>147</v>
      </c>
      <c r="D69090" t="s">
        <v>23674</v>
      </c>
    </row>
    <row r="69092" spans="1:4" x14ac:dyDescent="0.2">
      <c r="A69092" t="s">
        <v>21429</v>
      </c>
      <c r="B69092" t="str">
        <f>HYPERLINK("https://lindat.mff.cuni.cz/services/teitok/pdtc10/index.php?action=vallex&amp;frame=v-w9443f1", "zestátnit (v-w9443f1)")</f>
        <v>zestátnit (v-w9443f1)</v>
      </c>
    </row>
    <row r="69093" spans="1:4" x14ac:dyDescent="0.2">
      <c r="B69093" t="s">
        <v>1</v>
      </c>
      <c r="C69093" t="s">
        <v>140</v>
      </c>
      <c r="D69093" t="s">
        <v>430</v>
      </c>
    </row>
    <row r="69094" spans="1:4" x14ac:dyDescent="0.2">
      <c r="B69094" t="s">
        <v>8</v>
      </c>
      <c r="C69094" t="s">
        <v>113</v>
      </c>
      <c r="D69094" t="s">
        <v>335</v>
      </c>
    </row>
    <row r="69096" spans="1:4" x14ac:dyDescent="0.2">
      <c r="A69096" t="s">
        <v>21430</v>
      </c>
      <c r="B69096" t="str">
        <f>HYPERLINK("https://lindat.mff.cuni.cz/services/teitok/pdtc10/index.php?action=vallex&amp;frame=v-w9444f1", "zestátňovat (v-w9444f1)")</f>
        <v>zestátňovat (v-w9444f1)</v>
      </c>
    </row>
    <row r="69097" spans="1:4" x14ac:dyDescent="0.2">
      <c r="B69097" t="s">
        <v>1</v>
      </c>
    </row>
    <row r="69098" spans="1:4" x14ac:dyDescent="0.2">
      <c r="B69098" t="s">
        <v>8</v>
      </c>
    </row>
    <row r="69100" spans="1:4" x14ac:dyDescent="0.2">
      <c r="A69100" t="s">
        <v>21431</v>
      </c>
      <c r="B69100" t="str">
        <f>HYPERLINK("https://lindat.mff.cuni.cz/services/teitok/pdtc10/index.php?action=vallex&amp;frame=v-w9434f2", "zesílit (v-w9434f2)")</f>
        <v>zesílit (v-w9434f2)</v>
      </c>
    </row>
    <row r="69101" spans="1:4" x14ac:dyDescent="0.2">
      <c r="B69101" t="s">
        <v>1</v>
      </c>
      <c r="C69101" t="s">
        <v>11768</v>
      </c>
      <c r="D69101" t="s">
        <v>23523</v>
      </c>
    </row>
    <row r="69102" spans="1:4" x14ac:dyDescent="0.2">
      <c r="B69102" t="s">
        <v>8</v>
      </c>
      <c r="C69102" t="s">
        <v>1681</v>
      </c>
      <c r="D69102" t="s">
        <v>23524</v>
      </c>
    </row>
    <row r="69103" spans="1:4" x14ac:dyDescent="0.2">
      <c r="B69103" t="s">
        <v>24</v>
      </c>
      <c r="D69103" t="s">
        <v>23525</v>
      </c>
    </row>
    <row r="69104" spans="1:4" x14ac:dyDescent="0.2">
      <c r="B69104" t="s">
        <v>61</v>
      </c>
      <c r="D69104" t="s">
        <v>23526</v>
      </c>
    </row>
    <row r="69106" spans="1:4" x14ac:dyDescent="0.2">
      <c r="A69106" t="s">
        <v>21432</v>
      </c>
      <c r="B69106" t="str">
        <f>HYPERLINK("https://lindat.mff.cuni.cz/services/teitok/pdtc10/index.php?action=vallex&amp;frame=v-w9434f1", "zesílit (v-w9434f1)")</f>
        <v>zesílit (v-w9434f1)</v>
      </c>
    </row>
    <row r="69107" spans="1:4" x14ac:dyDescent="0.2">
      <c r="B69107" t="s">
        <v>1</v>
      </c>
      <c r="C69107" t="s">
        <v>21433</v>
      </c>
      <c r="D69107" t="s">
        <v>24074</v>
      </c>
    </row>
    <row r="69108" spans="1:4" x14ac:dyDescent="0.2">
      <c r="B69108" t="s">
        <v>46</v>
      </c>
      <c r="C69108" t="s">
        <v>21434</v>
      </c>
    </row>
    <row r="69109" spans="1:4" x14ac:dyDescent="0.2">
      <c r="B69109" t="s">
        <v>24</v>
      </c>
      <c r="C69109" t="s">
        <v>1289</v>
      </c>
    </row>
    <row r="69111" spans="1:4" x14ac:dyDescent="0.2">
      <c r="A69111" t="s">
        <v>21435</v>
      </c>
      <c r="B69111" t="str">
        <f>HYPERLINK("https://lindat.mff.cuni.cz/services/teitok/pdtc10/index.php?action=vallex&amp;frame=v-w9450f2", "zet (v-w9450f2)")</f>
        <v>zet (v-w9450f2)</v>
      </c>
    </row>
    <row r="69112" spans="1:4" x14ac:dyDescent="0.2">
      <c r="B69112" t="s">
        <v>1</v>
      </c>
    </row>
    <row r="69113" spans="1:4" x14ac:dyDescent="0.2">
      <c r="B69113" t="s">
        <v>5</v>
      </c>
    </row>
    <row r="69115" spans="1:4" x14ac:dyDescent="0.2">
      <c r="A69115" t="s">
        <v>21436</v>
      </c>
      <c r="B69115" t="str">
        <f>HYPERLINK("https://lindat.mff.cuni.cz/services/teitok/pdtc10/index.php?action=vallex&amp;frame=v-w9450f1", "zet (v-w9450f1)")</f>
        <v>zet (v-w9450f1)</v>
      </c>
    </row>
    <row r="69116" spans="1:4" x14ac:dyDescent="0.2">
      <c r="B69116" t="s">
        <v>1</v>
      </c>
    </row>
    <row r="69117" spans="1:4" x14ac:dyDescent="0.2">
      <c r="B69117" t="s">
        <v>21437</v>
      </c>
    </row>
    <row r="69119" spans="1:4" x14ac:dyDescent="0.2">
      <c r="A69119" t="s">
        <v>21438</v>
      </c>
      <c r="B69119" t="str">
        <f>HYPERLINK("https://lindat.mff.cuni.cz/services/teitok/pdtc10/index.php?action=vallex&amp;frame=v-w9453f1", "zevšeobecňovat (v-w9453f1)")</f>
        <v>zevšeobecňovat (v-w9453f1)</v>
      </c>
    </row>
    <row r="69120" spans="1:4" x14ac:dyDescent="0.2">
      <c r="B69120" t="s">
        <v>1</v>
      </c>
    </row>
    <row r="69121" spans="1:4" x14ac:dyDescent="0.2">
      <c r="B69121" t="s">
        <v>8</v>
      </c>
      <c r="D69121" t="s">
        <v>113</v>
      </c>
    </row>
    <row r="69123" spans="1:4" x14ac:dyDescent="0.2">
      <c r="A69123" t="s">
        <v>21439</v>
      </c>
      <c r="B69123" t="str">
        <f>HYPERLINK("https://lindat.mff.cuni.cz/services/teitok/pdtc10/index.php?action=vallex&amp;frame=v-w10499f4_ZU", "zezelenat (v-w10499f4_ZU)")</f>
        <v>zezelenat (v-w10499f4_ZU)</v>
      </c>
    </row>
    <row r="69124" spans="1:4" x14ac:dyDescent="0.2">
      <c r="B69124" t="s">
        <v>1</v>
      </c>
    </row>
    <row r="69126" spans="1:4" x14ac:dyDescent="0.2">
      <c r="A69126" t="s">
        <v>21439</v>
      </c>
      <c r="B69126" t="str">
        <f>HYPERLINK("https://lindat.mff.cuni.cz/services/teitok/pdtc10/index.php?action=vallex&amp;frame=v-w10499f3", "zezelenat (v-w10499f3) - substituted with v-w10499f4_ZU")</f>
        <v>zezelenat (v-w10499f3) - substituted with v-w10499f4_ZU</v>
      </c>
    </row>
    <row r="69127" spans="1:4" x14ac:dyDescent="0.2">
      <c r="B69127" t="s">
        <v>1</v>
      </c>
    </row>
    <row r="69129" spans="1:4" x14ac:dyDescent="0.2">
      <c r="A69129" t="s">
        <v>21440</v>
      </c>
      <c r="B69129" t="str">
        <f>HYPERLINK("https://lindat.mff.cuni.cz/services/teitok/pdtc10/index.php?action=vallex&amp;frame=v-w10974f2", "zečtyřnásobit (v-w10974f2)")</f>
        <v>zečtyřnásobit (v-w10974f2)</v>
      </c>
    </row>
    <row r="69130" spans="1:4" x14ac:dyDescent="0.2">
      <c r="B69130" t="s">
        <v>1</v>
      </c>
      <c r="D69130" t="s">
        <v>23604</v>
      </c>
    </row>
    <row r="69131" spans="1:4" x14ac:dyDescent="0.2">
      <c r="B69131" t="s">
        <v>8</v>
      </c>
      <c r="D69131" t="s">
        <v>155</v>
      </c>
    </row>
    <row r="69132" spans="1:4" x14ac:dyDescent="0.2">
      <c r="B69132" t="s">
        <v>24</v>
      </c>
      <c r="D69132" t="s">
        <v>24525</v>
      </c>
    </row>
    <row r="69133" spans="1:4" x14ac:dyDescent="0.2">
      <c r="B69133" t="s">
        <v>61</v>
      </c>
      <c r="D69133" t="s">
        <v>24526</v>
      </c>
    </row>
    <row r="69135" spans="1:4" x14ac:dyDescent="0.2">
      <c r="A69135" t="s">
        <v>21441</v>
      </c>
      <c r="B69135" t="str">
        <f>HYPERLINK("https://lindat.mff.cuni.cz/services/teitok/pdtc10/index.php?action=vallex&amp;frame=v-w11431f1", "zečtyřnásobit se (v-w11431f1)")</f>
        <v>zečtyřnásobit se (v-w11431f1)</v>
      </c>
    </row>
    <row r="69136" spans="1:4" x14ac:dyDescent="0.2">
      <c r="B69136" t="s">
        <v>1</v>
      </c>
      <c r="C69136" t="s">
        <v>2172</v>
      </c>
      <c r="D69136" t="s">
        <v>24527</v>
      </c>
    </row>
    <row r="69138" spans="1:4" x14ac:dyDescent="0.2">
      <c r="A69138" t="s">
        <v>21442</v>
      </c>
      <c r="B69138" t="str">
        <f>HYPERLINK("https://lindat.mff.cuni.cz/services/teitok/pdtc10/index.php?action=vallex&amp;frame=v-w10793f3_ZU", "zešedivět (v-w10793f3_ZU)")</f>
        <v>zešedivět (v-w10793f3_ZU)</v>
      </c>
    </row>
    <row r="69139" spans="1:4" x14ac:dyDescent="0.2">
      <c r="B69139" t="s">
        <v>1</v>
      </c>
      <c r="D69139" t="s">
        <v>23674</v>
      </c>
    </row>
    <row r="69141" spans="1:4" x14ac:dyDescent="0.2">
      <c r="A69141" t="s">
        <v>21442</v>
      </c>
      <c r="B69141" t="str">
        <f>HYPERLINK("https://lindat.mff.cuni.cz/services/teitok/pdtc10/index.php?action=vallex&amp;frame=v-w10793f2", "zešedivět (v-w10793f2) - substituted with v-w10793f3_ZU")</f>
        <v>zešedivět (v-w10793f2) - substituted with v-w10793f3_ZU</v>
      </c>
    </row>
    <row r="69142" spans="1:4" x14ac:dyDescent="0.2">
      <c r="B69142" t="s">
        <v>1</v>
      </c>
    </row>
    <row r="69144" spans="1:4" x14ac:dyDescent="0.2">
      <c r="A69144" t="s">
        <v>21443</v>
      </c>
      <c r="B69144" t="str">
        <f>HYPERLINK("https://lindat.mff.cuni.cz/services/teitok/pdtc10/index.php?action=vallex&amp;frame=v-w9447f1", "zeštíhlet (v-w9447f1)")</f>
        <v>zeštíhlet (v-w9447f1)</v>
      </c>
    </row>
    <row r="69145" spans="1:4" x14ac:dyDescent="0.2">
      <c r="B69145" t="s">
        <v>1</v>
      </c>
    </row>
    <row r="69146" spans="1:4" x14ac:dyDescent="0.2">
      <c r="B69146" t="s">
        <v>8</v>
      </c>
    </row>
    <row r="69148" spans="1:4" x14ac:dyDescent="0.2">
      <c r="A69148" t="s">
        <v>21444</v>
      </c>
      <c r="B69148" t="str">
        <f>HYPERLINK("https://lindat.mff.cuni.cz/services/teitok/pdtc10/index.php?action=vallex&amp;frame=v-w9447f2", "zeštíhlet (v-w9447f2)")</f>
        <v>zeštíhlet (v-w9447f2)</v>
      </c>
    </row>
    <row r="69149" spans="1:4" x14ac:dyDescent="0.2">
      <c r="B69149" t="s">
        <v>1</v>
      </c>
    </row>
    <row r="69151" spans="1:4" x14ac:dyDescent="0.2">
      <c r="A69151" t="s">
        <v>21445</v>
      </c>
      <c r="B69151" t="str">
        <f>HYPERLINK("https://lindat.mff.cuni.cz/services/teitok/pdtc10/index.php?action=vallex&amp;frame=v-w9448f1", "zeštíhlit (v-w9448f1)")</f>
        <v>zeštíhlit (v-w9448f1)</v>
      </c>
    </row>
    <row r="69152" spans="1:4" x14ac:dyDescent="0.2">
      <c r="B69152" t="s">
        <v>1</v>
      </c>
      <c r="C69152" t="s">
        <v>133</v>
      </c>
      <c r="D69152" t="s">
        <v>249</v>
      </c>
    </row>
    <row r="69153" spans="1:4" x14ac:dyDescent="0.2">
      <c r="B69153" t="s">
        <v>8</v>
      </c>
      <c r="C69153" t="s">
        <v>1109</v>
      </c>
      <c r="D69153" t="s">
        <v>125</v>
      </c>
    </row>
    <row r="69155" spans="1:4" x14ac:dyDescent="0.2">
      <c r="A69155" t="s">
        <v>21446</v>
      </c>
      <c r="B69155" t="str">
        <f>HYPERLINK("https://lindat.mff.cuni.cz/services/teitok/pdtc10/index.php?action=vallex&amp;frame=v-w11018f2", "zeštíhlovat (v-w11018f2)")</f>
        <v>zeštíhlovat (v-w11018f2)</v>
      </c>
    </row>
    <row r="69156" spans="1:4" x14ac:dyDescent="0.2">
      <c r="B69156" t="s">
        <v>1</v>
      </c>
      <c r="C69156" t="s">
        <v>186</v>
      </c>
    </row>
    <row r="69157" spans="1:4" x14ac:dyDescent="0.2">
      <c r="B69157" t="s">
        <v>8</v>
      </c>
    </row>
    <row r="69159" spans="1:4" x14ac:dyDescent="0.2">
      <c r="A69159" t="s">
        <v>21447</v>
      </c>
      <c r="B69159" t="str">
        <f>HYPERLINK("https://lindat.mff.cuni.cz/services/teitok/pdtc10/index.php?action=vallex&amp;frame=v-w12058_ZUf1_ZU", "zežloutnout (v-w12058_ZUf1_ZU)")</f>
        <v>zežloutnout (v-w12058_ZUf1_ZU)</v>
      </c>
    </row>
    <row r="69160" spans="1:4" x14ac:dyDescent="0.2">
      <c r="B69160" t="s">
        <v>1</v>
      </c>
    </row>
    <row r="69162" spans="1:4" x14ac:dyDescent="0.2">
      <c r="A69162" t="s">
        <v>21448</v>
      </c>
      <c r="B69162" t="str">
        <f>HYPERLINK("https://lindat.mff.cuni.cz/services/teitok/pdtc10/index.php?action=vallex&amp;frame=v-w9454f1", "zfalšovat (v-w9454f1)")</f>
        <v>zfalšovat (v-w9454f1)</v>
      </c>
    </row>
    <row r="69163" spans="1:4" x14ac:dyDescent="0.2">
      <c r="B69163" t="s">
        <v>1</v>
      </c>
      <c r="C69163" t="s">
        <v>133</v>
      </c>
      <c r="D69163" t="s">
        <v>80</v>
      </c>
    </row>
    <row r="69164" spans="1:4" x14ac:dyDescent="0.2">
      <c r="B69164" t="s">
        <v>8</v>
      </c>
      <c r="C69164" t="s">
        <v>84</v>
      </c>
      <c r="D69164" t="s">
        <v>1066</v>
      </c>
    </row>
    <row r="69166" spans="1:4" x14ac:dyDescent="0.2">
      <c r="A69166" t="s">
        <v>21449</v>
      </c>
      <c r="B69166" t="str">
        <f>HYPERLINK("https://lindat.mff.cuni.cz/services/teitok/pdtc10/index.php?action=vallex&amp;frame=v-w12375_MMf1_MM", "zfanatizovat (v-w12375_MMf1_MM)")</f>
        <v>zfanatizovat (v-w12375_MMf1_MM)</v>
      </c>
    </row>
    <row r="69167" spans="1:4" x14ac:dyDescent="0.2">
      <c r="B69167" t="s">
        <v>1</v>
      </c>
    </row>
    <row r="69168" spans="1:4" x14ac:dyDescent="0.2">
      <c r="B69168" t="s">
        <v>8</v>
      </c>
    </row>
    <row r="69170" spans="1:2" x14ac:dyDescent="0.2">
      <c r="A69170" t="s">
        <v>21450</v>
      </c>
      <c r="B69170" t="str">
        <f>HYPERLINK("https://lindat.mff.cuni.cz/services/teitok/pdtc10/index.php?action=vallex&amp;frame=v-w9455f1", "zfilmovat (v-w9455f1)")</f>
        <v>zfilmovat (v-w9455f1)</v>
      </c>
    </row>
    <row r="69171" spans="1:2" x14ac:dyDescent="0.2">
      <c r="B69171" t="s">
        <v>1</v>
      </c>
    </row>
    <row r="69172" spans="1:2" x14ac:dyDescent="0.2">
      <c r="B69172" t="s">
        <v>8</v>
      </c>
    </row>
    <row r="69174" spans="1:2" x14ac:dyDescent="0.2">
      <c r="A69174" t="s">
        <v>21451</v>
      </c>
      <c r="B69174" t="str">
        <f>HYPERLINK("https://lindat.mff.cuni.cz/services/teitok/pdtc10/index.php?action=vallex&amp;frame=v-w9457f2_ZU", "zformovat (v-w9457f2_ZU)")</f>
        <v>zformovat (v-w9457f2_ZU)</v>
      </c>
    </row>
    <row r="69175" spans="1:2" x14ac:dyDescent="0.2">
      <c r="B69175" t="s">
        <v>1</v>
      </c>
    </row>
    <row r="69176" spans="1:2" x14ac:dyDescent="0.2">
      <c r="B69176" t="s">
        <v>8</v>
      </c>
    </row>
    <row r="69177" spans="1:2" x14ac:dyDescent="0.2">
      <c r="B69177" t="s">
        <v>2156</v>
      </c>
    </row>
    <row r="69179" spans="1:2" x14ac:dyDescent="0.2">
      <c r="A69179" t="s">
        <v>21451</v>
      </c>
      <c r="B69179" t="str">
        <f>HYPERLINK("https://lindat.mff.cuni.cz/services/teitok/pdtc10/index.php?action=vallex&amp;frame=v-w9457f1", "zformovat (v-w9457f1) - substituted with v-w9457f2_ZU")</f>
        <v>zformovat (v-w9457f1) - substituted with v-w9457f2_ZU</v>
      </c>
    </row>
    <row r="69180" spans="1:2" x14ac:dyDescent="0.2">
      <c r="B69180" t="s">
        <v>1</v>
      </c>
    </row>
    <row r="69181" spans="1:2" x14ac:dyDescent="0.2">
      <c r="B69181" t="s">
        <v>8</v>
      </c>
    </row>
    <row r="69182" spans="1:2" x14ac:dyDescent="0.2">
      <c r="B69182" t="s">
        <v>2156</v>
      </c>
    </row>
    <row r="69184" spans="1:2" x14ac:dyDescent="0.2">
      <c r="A69184" t="s">
        <v>21452</v>
      </c>
      <c r="B69184" t="str">
        <f>HYPERLINK("https://lindat.mff.cuni.cz/services/teitok/pdtc10/index.php?action=vallex&amp;frame=v-w9458f1", "zformovat se (v-w9458f1)")</f>
        <v>zformovat se (v-w9458f1)</v>
      </c>
    </row>
    <row r="69185" spans="1:4" x14ac:dyDescent="0.2">
      <c r="B69185" t="s">
        <v>1</v>
      </c>
      <c r="C69185" t="s">
        <v>2444</v>
      </c>
    </row>
    <row r="69186" spans="1:4" x14ac:dyDescent="0.2">
      <c r="B69186" t="s">
        <v>438</v>
      </c>
    </row>
    <row r="69188" spans="1:4" x14ac:dyDescent="0.2">
      <c r="A69188" t="s">
        <v>21453</v>
      </c>
      <c r="B69188" t="str">
        <f>HYPERLINK("https://lindat.mff.cuni.cz/services/teitok/pdtc10/index.php?action=vallex&amp;frame=v-w9459f1", "zformulovat (v-w9459f1)")</f>
        <v>zformulovat (v-w9459f1)</v>
      </c>
    </row>
    <row r="69189" spans="1:4" x14ac:dyDescent="0.2">
      <c r="B69189" t="s">
        <v>1</v>
      </c>
      <c r="C69189" t="s">
        <v>249</v>
      </c>
      <c r="D69189" t="s">
        <v>1805</v>
      </c>
    </row>
    <row r="69190" spans="1:4" x14ac:dyDescent="0.2">
      <c r="B69190" t="s">
        <v>8</v>
      </c>
      <c r="C69190" t="s">
        <v>56</v>
      </c>
      <c r="D69190" t="s">
        <v>17</v>
      </c>
    </row>
    <row r="69192" spans="1:4" x14ac:dyDescent="0.2">
      <c r="A69192" t="s">
        <v>21454</v>
      </c>
      <c r="B69192" t="str">
        <f>HYPERLINK("https://lindat.mff.cuni.cz/services/teitok/pdtc10/index.php?action=vallex&amp;frame=v-w9460f1", "zhanobit (v-w9460f1)")</f>
        <v>zhanobit (v-w9460f1)</v>
      </c>
    </row>
    <row r="69193" spans="1:4" x14ac:dyDescent="0.2">
      <c r="B69193" t="s">
        <v>1</v>
      </c>
    </row>
    <row r="69194" spans="1:4" x14ac:dyDescent="0.2">
      <c r="B69194" t="s">
        <v>8</v>
      </c>
    </row>
    <row r="69196" spans="1:4" x14ac:dyDescent="0.2">
      <c r="A69196" t="s">
        <v>21455</v>
      </c>
      <c r="B69196" t="str">
        <f>HYPERLINK("https://lindat.mff.cuni.cz/services/teitok/pdtc10/index.php?action=vallex&amp;frame=v-w9461f2", "zhasnout (v-w9461f2)")</f>
        <v>zhasnout (v-w9461f2)</v>
      </c>
    </row>
    <row r="69197" spans="1:4" x14ac:dyDescent="0.2">
      <c r="B69197" t="s">
        <v>1</v>
      </c>
    </row>
    <row r="69198" spans="1:4" x14ac:dyDescent="0.2">
      <c r="B69198" t="s">
        <v>8</v>
      </c>
    </row>
    <row r="69200" spans="1:4" x14ac:dyDescent="0.2">
      <c r="A69200" t="s">
        <v>21456</v>
      </c>
      <c r="B69200" t="str">
        <f>HYPERLINK("https://lindat.mff.cuni.cz/services/teitok/pdtc10/index.php?action=vallex&amp;frame=v-w9461f1", "zhasnout (v-w9461f1)")</f>
        <v>zhasnout (v-w9461f1)</v>
      </c>
    </row>
    <row r="69201" spans="1:4" x14ac:dyDescent="0.2">
      <c r="B69201" t="s">
        <v>1</v>
      </c>
      <c r="C69201" t="s">
        <v>186</v>
      </c>
      <c r="D69201" t="s">
        <v>23324</v>
      </c>
    </row>
    <row r="69203" spans="1:4" x14ac:dyDescent="0.2">
      <c r="A69203" t="s">
        <v>21457</v>
      </c>
      <c r="B69203" t="str">
        <f>HYPERLINK("https://lindat.mff.cuni.cz/services/teitok/pdtc10/index.php?action=vallex&amp;frame=v-w9461hsa_1803", "zhasnout (v-w9461hsa_1803)")</f>
        <v>zhasnout (v-w9461hsa_1803)</v>
      </c>
    </row>
    <row r="69204" spans="1:4" x14ac:dyDescent="0.2">
      <c r="B69204" t="s">
        <v>1</v>
      </c>
    </row>
    <row r="69206" spans="1:4" x14ac:dyDescent="0.2">
      <c r="A69206" t="s">
        <v>21458</v>
      </c>
      <c r="B69206" t="str">
        <f>HYPERLINK("https://lindat.mff.cuni.cz/services/teitok/pdtc10/index.php?action=vallex&amp;frame=v-w12387_MMf1_MM", "zhasnout se (v-w12387_MMf1_MM)")</f>
        <v>zhasnout se (v-w12387_MMf1_MM)</v>
      </c>
    </row>
    <row r="69207" spans="1:4" x14ac:dyDescent="0.2">
      <c r="B69207" t="s">
        <v>1</v>
      </c>
    </row>
    <row r="69209" spans="1:4" x14ac:dyDescent="0.2">
      <c r="A69209" t="s">
        <v>21459</v>
      </c>
      <c r="B69209" t="str">
        <f>HYPERLINK("https://lindat.mff.cuni.cz/services/teitok/pdtc10/index.php?action=vallex&amp;frame=v-w10174f2", "zhasínat (v-w10174f2)")</f>
        <v>zhasínat (v-w10174f2)</v>
      </c>
    </row>
    <row r="69210" spans="1:4" x14ac:dyDescent="0.2">
      <c r="B69210" t="s">
        <v>1</v>
      </c>
    </row>
    <row r="69211" spans="1:4" x14ac:dyDescent="0.2">
      <c r="B69211" t="s">
        <v>8</v>
      </c>
    </row>
    <row r="69213" spans="1:4" x14ac:dyDescent="0.2">
      <c r="A69213" t="s">
        <v>21460</v>
      </c>
      <c r="B69213" t="str">
        <f>HYPERLINK("https://lindat.mff.cuni.cz/services/teitok/pdtc10/index.php?action=vallex&amp;frame=v-w10888f3_MM", "zhatit (v-w10888f3_MM)")</f>
        <v>zhatit (v-w10888f3_MM)</v>
      </c>
    </row>
    <row r="69214" spans="1:4" x14ac:dyDescent="0.2">
      <c r="B69214" t="s">
        <v>1</v>
      </c>
    </row>
    <row r="69215" spans="1:4" x14ac:dyDescent="0.2">
      <c r="B69215" t="s">
        <v>3526</v>
      </c>
    </row>
    <row r="69216" spans="1:4" x14ac:dyDescent="0.2">
      <c r="B69216" t="s">
        <v>78</v>
      </c>
    </row>
    <row r="69218" spans="1:4" x14ac:dyDescent="0.2">
      <c r="A69218" t="s">
        <v>21460</v>
      </c>
      <c r="B69218" t="str">
        <f>HYPERLINK("https://lindat.mff.cuni.cz/services/teitok/pdtc10/index.php?action=vallex&amp;frame=v-w10888f2", "zhatit (v-w10888f2) - substituted with v-w10888f3_MM")</f>
        <v>zhatit (v-w10888f2) - substituted with v-w10888f3_MM</v>
      </c>
    </row>
    <row r="69219" spans="1:4" x14ac:dyDescent="0.2">
      <c r="B69219" t="s">
        <v>1</v>
      </c>
      <c r="C69219" t="s">
        <v>334</v>
      </c>
      <c r="D69219" t="s">
        <v>22980</v>
      </c>
    </row>
    <row r="69220" spans="1:4" x14ac:dyDescent="0.2">
      <c r="B69220" t="s">
        <v>3526</v>
      </c>
      <c r="C69220" t="s">
        <v>3773</v>
      </c>
      <c r="D69220" t="s">
        <v>22981</v>
      </c>
    </row>
    <row r="69221" spans="1:4" x14ac:dyDescent="0.2">
      <c r="B69221" t="s">
        <v>78</v>
      </c>
    </row>
    <row r="69223" spans="1:4" x14ac:dyDescent="0.2">
      <c r="A69223" t="s">
        <v>21461</v>
      </c>
      <c r="B69223" t="str">
        <f>HYPERLINK("https://lindat.mff.cuni.cz/services/teitok/pdtc10/index.php?action=vallex&amp;frame=v-w9462f1", "zhlavovat (v-w9462f1)")</f>
        <v>zhlavovat (v-w9462f1)</v>
      </c>
    </row>
    <row r="69224" spans="1:4" x14ac:dyDescent="0.2">
      <c r="B69224" t="s">
        <v>1</v>
      </c>
    </row>
    <row r="69225" spans="1:4" x14ac:dyDescent="0.2">
      <c r="B69225" t="s">
        <v>8</v>
      </c>
    </row>
    <row r="69227" spans="1:4" x14ac:dyDescent="0.2">
      <c r="A69227" t="s">
        <v>21462</v>
      </c>
      <c r="B69227" t="str">
        <f>HYPERLINK("https://lindat.mff.cuni.cz/services/teitok/pdtc10/index.php?action=vallex&amp;frame=v-w9463f3_ZU", "zhlédnout (v-w9463f3_ZU)")</f>
        <v>zhlédnout (v-w9463f3_ZU)</v>
      </c>
    </row>
    <row r="69228" spans="1:4" x14ac:dyDescent="0.2">
      <c r="B69228" t="s">
        <v>1</v>
      </c>
      <c r="C69228" t="s">
        <v>682</v>
      </c>
      <c r="D69228" t="s">
        <v>24183</v>
      </c>
    </row>
    <row r="69229" spans="1:4" x14ac:dyDescent="0.2">
      <c r="B69229" t="s">
        <v>8</v>
      </c>
      <c r="C69229" t="s">
        <v>2293</v>
      </c>
      <c r="D69229" t="s">
        <v>24184</v>
      </c>
    </row>
    <row r="69231" spans="1:4" x14ac:dyDescent="0.2">
      <c r="A69231" t="s">
        <v>21462</v>
      </c>
      <c r="B69231" t="str">
        <f>HYPERLINK("https://lindat.mff.cuni.cz/services/teitok/pdtc10/index.php?action=vallex&amp;frame=v-w9463f1", "zhlédnout (v-w9463f1) - substituted with v-w9463f3_ZU")</f>
        <v>zhlédnout (v-w9463f1) - substituted with v-w9463f3_ZU</v>
      </c>
    </row>
    <row r="69232" spans="1:4" x14ac:dyDescent="0.2">
      <c r="B69232" t="s">
        <v>1</v>
      </c>
      <c r="C69232" t="s">
        <v>682</v>
      </c>
    </row>
    <row r="69233" spans="1:3" x14ac:dyDescent="0.2">
      <c r="B69233" t="s">
        <v>8</v>
      </c>
      <c r="C69233" t="s">
        <v>2293</v>
      </c>
    </row>
    <row r="69235" spans="1:3" x14ac:dyDescent="0.2">
      <c r="A69235" t="s">
        <v>21463</v>
      </c>
      <c r="B69235" t="str">
        <f>HYPERLINK("https://lindat.mff.cuni.cz/services/teitok/pdtc10/index.php?action=vallex&amp;frame=v-w9463f2", "zhlédnout (v-w9463f2)")</f>
        <v>zhlédnout (v-w9463f2)</v>
      </c>
    </row>
    <row r="69236" spans="1:3" x14ac:dyDescent="0.2">
      <c r="B69236" t="s">
        <v>1</v>
      </c>
    </row>
    <row r="69237" spans="1:3" x14ac:dyDescent="0.2">
      <c r="B69237" t="s">
        <v>8</v>
      </c>
    </row>
    <row r="69239" spans="1:3" x14ac:dyDescent="0.2">
      <c r="A69239" t="s">
        <v>21464</v>
      </c>
      <c r="B69239" t="str">
        <f>HYPERLINK("https://lindat.mff.cuni.cz/services/teitok/pdtc10/index.php?action=vallex&amp;frame=v-w9465f1", "zhlížet se (v-w9465f1)")</f>
        <v>zhlížet se (v-w9465f1)</v>
      </c>
    </row>
    <row r="69240" spans="1:3" x14ac:dyDescent="0.2">
      <c r="B69240" t="s">
        <v>1</v>
      </c>
    </row>
    <row r="69241" spans="1:3" x14ac:dyDescent="0.2">
      <c r="B69241" t="s">
        <v>290</v>
      </c>
    </row>
    <row r="69243" spans="1:3" x14ac:dyDescent="0.2">
      <c r="A69243" t="s">
        <v>21465</v>
      </c>
      <c r="B69243" t="str">
        <f>HYPERLINK("https://lindat.mff.cuni.cz/services/teitok/pdtc10/index.php?action=vallex&amp;frame=v-w10777f2", "zhmotnit (v-w10777f2)")</f>
        <v>zhmotnit (v-w10777f2)</v>
      </c>
    </row>
    <row r="69244" spans="1:3" x14ac:dyDescent="0.2">
      <c r="B69244" t="s">
        <v>1</v>
      </c>
    </row>
    <row r="69245" spans="1:3" x14ac:dyDescent="0.2">
      <c r="B69245" t="s">
        <v>8</v>
      </c>
    </row>
    <row r="69247" spans="1:3" x14ac:dyDescent="0.2">
      <c r="A69247" t="s">
        <v>21466</v>
      </c>
      <c r="B69247" t="str">
        <f>HYPERLINK("https://lindat.mff.cuni.cz/services/teitok/pdtc10/index.php?action=vallex&amp;frame=v-w9466f1", "zhmotňovat se (v-w9466f1)")</f>
        <v>zhmotňovat se (v-w9466f1)</v>
      </c>
    </row>
    <row r="69248" spans="1:3" x14ac:dyDescent="0.2">
      <c r="B69248" t="s">
        <v>1</v>
      </c>
    </row>
    <row r="69250" spans="1:4" x14ac:dyDescent="0.2">
      <c r="A69250" t="s">
        <v>21467</v>
      </c>
      <c r="B69250" t="str">
        <f>HYPERLINK("https://lindat.mff.cuni.cz/services/teitok/pdtc10/index.php?action=vallex&amp;frame=v-w9468f1", "zhodnocovat (v-w9468f1)")</f>
        <v>zhodnocovat (v-w9468f1)</v>
      </c>
    </row>
    <row r="69251" spans="1:4" x14ac:dyDescent="0.2">
      <c r="B69251" t="s">
        <v>1</v>
      </c>
      <c r="D69251" t="s">
        <v>3307</v>
      </c>
    </row>
    <row r="69252" spans="1:4" x14ac:dyDescent="0.2">
      <c r="B69252" t="s">
        <v>1284</v>
      </c>
      <c r="D69252" t="s">
        <v>732</v>
      </c>
    </row>
    <row r="69254" spans="1:4" x14ac:dyDescent="0.2">
      <c r="A69254" t="s">
        <v>21468</v>
      </c>
      <c r="B69254" t="str">
        <f>HYPERLINK("https://lindat.mff.cuni.cz/services/teitok/pdtc10/index.php?action=vallex&amp;frame=v-whsa_172f1_ZU", "zhodnocovat se (v-whsa_172f1_ZU)")</f>
        <v>zhodnocovat se (v-whsa_172f1_ZU)</v>
      </c>
    </row>
    <row r="69255" spans="1:4" x14ac:dyDescent="0.2">
      <c r="B69255" t="s">
        <v>1</v>
      </c>
      <c r="C69255" t="s">
        <v>4011</v>
      </c>
    </row>
    <row r="69256" spans="1:4" x14ac:dyDescent="0.2">
      <c r="B69256" t="s">
        <v>46</v>
      </c>
    </row>
    <row r="69258" spans="1:4" x14ac:dyDescent="0.2">
      <c r="A69258" t="s">
        <v>21468</v>
      </c>
      <c r="B69258" t="str">
        <f>HYPERLINK("https://lindat.mff.cuni.cz/services/teitok/pdtc10/index.php?action=vallex&amp;frame=v-whsa_172hsa_173", "zhodnocovat se (v-whsa_172hsa_173) - substituted with v-whsa_172f1_ZU")</f>
        <v>zhodnocovat se (v-whsa_172hsa_173) - substituted with v-whsa_172f1_ZU</v>
      </c>
    </row>
    <row r="69259" spans="1:4" x14ac:dyDescent="0.2">
      <c r="B69259" t="s">
        <v>1</v>
      </c>
    </row>
    <row r="69260" spans="1:4" x14ac:dyDescent="0.2">
      <c r="B69260" t="s">
        <v>46</v>
      </c>
    </row>
    <row r="69262" spans="1:4" x14ac:dyDescent="0.2">
      <c r="A69262" t="s">
        <v>21469</v>
      </c>
      <c r="B69262" t="str">
        <f>HYPERLINK("https://lindat.mff.cuni.cz/services/teitok/pdtc10/index.php?action=vallex&amp;frame=v-w9469f2", "zhodnotit (v-w9469f2)")</f>
        <v>zhodnotit (v-w9469f2)</v>
      </c>
    </row>
    <row r="69263" spans="1:4" x14ac:dyDescent="0.2">
      <c r="B69263" t="s">
        <v>1</v>
      </c>
    </row>
    <row r="69264" spans="1:4" x14ac:dyDescent="0.2">
      <c r="B69264" t="s">
        <v>8</v>
      </c>
    </row>
    <row r="69265" spans="1:4" x14ac:dyDescent="0.2">
      <c r="B69265" t="s">
        <v>21470</v>
      </c>
    </row>
    <row r="69267" spans="1:4" x14ac:dyDescent="0.2">
      <c r="A69267" t="s">
        <v>21471</v>
      </c>
      <c r="B69267" t="str">
        <f>HYPERLINK("https://lindat.mff.cuni.cz/services/teitok/pdtc10/index.php?action=vallex&amp;frame=v-w9469f1", "zhodnotit (v-w9469f1)")</f>
        <v>zhodnotit (v-w9469f1)</v>
      </c>
    </row>
    <row r="69268" spans="1:4" x14ac:dyDescent="0.2">
      <c r="B69268" t="s">
        <v>1</v>
      </c>
      <c r="C69268" t="s">
        <v>1275</v>
      </c>
      <c r="D69268" t="s">
        <v>22952</v>
      </c>
    </row>
    <row r="69269" spans="1:4" x14ac:dyDescent="0.2">
      <c r="B69269" t="s">
        <v>1284</v>
      </c>
      <c r="C69269" t="s">
        <v>20185</v>
      </c>
      <c r="D69269" t="s">
        <v>22953</v>
      </c>
    </row>
    <row r="69271" spans="1:4" x14ac:dyDescent="0.2">
      <c r="A69271" t="s">
        <v>21472</v>
      </c>
      <c r="B69271" t="str">
        <f>HYPERLINK("https://lindat.mff.cuni.cz/services/teitok/pdtc10/index.php?action=vallex&amp;frame=v-w9469f3_ZU", "zhodnotit (v-w9469f3_ZU)")</f>
        <v>zhodnotit (v-w9469f3_ZU)</v>
      </c>
    </row>
    <row r="69272" spans="1:4" x14ac:dyDescent="0.2">
      <c r="B69272" t="s">
        <v>1</v>
      </c>
      <c r="C69272" t="s">
        <v>4011</v>
      </c>
    </row>
    <row r="69273" spans="1:4" x14ac:dyDescent="0.2">
      <c r="B69273" t="s">
        <v>46</v>
      </c>
    </row>
    <row r="69275" spans="1:4" x14ac:dyDescent="0.2">
      <c r="A69275" t="s">
        <v>21473</v>
      </c>
      <c r="B69275" t="str">
        <f>HYPERLINK("https://lindat.mff.cuni.cz/services/teitok/pdtc10/index.php?action=vallex&amp;frame=v-whsa_352hsa_353", "zhodnotit se (v-whsa_352hsa_353)")</f>
        <v>zhodnotit se (v-whsa_352hsa_353)</v>
      </c>
    </row>
    <row r="69276" spans="1:4" x14ac:dyDescent="0.2">
      <c r="B69276" t="s">
        <v>1</v>
      </c>
      <c r="C69276" t="s">
        <v>4011</v>
      </c>
    </row>
    <row r="69277" spans="1:4" x14ac:dyDescent="0.2">
      <c r="B69277" t="s">
        <v>46</v>
      </c>
    </row>
    <row r="69279" spans="1:4" x14ac:dyDescent="0.2">
      <c r="A69279" t="s">
        <v>21474</v>
      </c>
      <c r="B69279" t="str">
        <f>HYPERLINK("https://lindat.mff.cuni.cz/services/teitok/pdtc10/index.php?action=vallex&amp;frame=v-whsa_999hsa_1000", "zhojit (v-whsa_999hsa_1000)")</f>
        <v>zhojit (v-whsa_999hsa_1000)</v>
      </c>
    </row>
    <row r="69280" spans="1:4" x14ac:dyDescent="0.2">
      <c r="B69280" t="s">
        <v>1</v>
      </c>
      <c r="D69280" t="s">
        <v>4082</v>
      </c>
    </row>
    <row r="69281" spans="1:4" x14ac:dyDescent="0.2">
      <c r="B69281" t="s">
        <v>8</v>
      </c>
      <c r="C69281" t="s">
        <v>991</v>
      </c>
      <c r="D69281" t="s">
        <v>23406</v>
      </c>
    </row>
    <row r="69283" spans="1:4" x14ac:dyDescent="0.2">
      <c r="A69283" t="s">
        <v>21475</v>
      </c>
      <c r="B69283" t="str">
        <f>HYPERLINK("https://lindat.mff.cuni.cz/services/teitok/pdtc10/index.php?action=vallex&amp;frame=v-w9471f1", "zhoršit (v-w9471f1)")</f>
        <v>zhoršit (v-w9471f1)</v>
      </c>
    </row>
    <row r="69284" spans="1:4" x14ac:dyDescent="0.2">
      <c r="B69284" t="s">
        <v>1</v>
      </c>
      <c r="C69284" t="s">
        <v>21476</v>
      </c>
      <c r="D69284" t="s">
        <v>1680</v>
      </c>
    </row>
    <row r="69285" spans="1:4" x14ac:dyDescent="0.2">
      <c r="B69285" t="s">
        <v>8</v>
      </c>
      <c r="C69285" t="s">
        <v>10466</v>
      </c>
      <c r="D69285" t="s">
        <v>17650</v>
      </c>
    </row>
    <row r="69287" spans="1:4" x14ac:dyDescent="0.2">
      <c r="A69287" t="s">
        <v>21477</v>
      </c>
      <c r="B69287" t="str">
        <f>HYPERLINK("https://lindat.mff.cuni.cz/services/teitok/pdtc10/index.php?action=vallex&amp;frame=v-w9472f1", "zhoršit se (v-w9472f1)")</f>
        <v>zhoršit se (v-w9472f1)</v>
      </c>
    </row>
    <row r="69288" spans="1:4" x14ac:dyDescent="0.2">
      <c r="B69288" t="s">
        <v>1</v>
      </c>
      <c r="C69288" t="s">
        <v>18003</v>
      </c>
      <c r="D69288" t="s">
        <v>24535</v>
      </c>
    </row>
    <row r="69290" spans="1:4" x14ac:dyDescent="0.2">
      <c r="A69290" t="s">
        <v>21478</v>
      </c>
      <c r="B69290" t="str">
        <f>HYPERLINK("https://lindat.mff.cuni.cz/services/teitok/pdtc10/index.php?action=vallex&amp;frame=v-w9474f1", "zhoršovat (v-w9474f1)")</f>
        <v>zhoršovat (v-w9474f1)</v>
      </c>
    </row>
    <row r="69291" spans="1:4" x14ac:dyDescent="0.2">
      <c r="B69291" t="s">
        <v>1</v>
      </c>
      <c r="C69291" t="s">
        <v>10962</v>
      </c>
      <c r="D69291" t="s">
        <v>1680</v>
      </c>
    </row>
    <row r="69292" spans="1:4" x14ac:dyDescent="0.2">
      <c r="B69292" t="s">
        <v>8</v>
      </c>
      <c r="C69292" t="s">
        <v>21479</v>
      </c>
      <c r="D69292" t="s">
        <v>17650</v>
      </c>
    </row>
    <row r="69294" spans="1:4" x14ac:dyDescent="0.2">
      <c r="A69294" t="s">
        <v>21480</v>
      </c>
      <c r="B69294" t="str">
        <f>HYPERLINK("https://lindat.mff.cuni.cz/services/teitok/pdtc10/index.php?action=vallex&amp;frame=v-w9475f1", "zhoršovat se (v-w9475f1)")</f>
        <v>zhoršovat se (v-w9475f1)</v>
      </c>
    </row>
    <row r="69295" spans="1:4" x14ac:dyDescent="0.2">
      <c r="B69295" t="s">
        <v>1</v>
      </c>
      <c r="C69295" t="s">
        <v>21481</v>
      </c>
      <c r="D69295" t="s">
        <v>24535</v>
      </c>
    </row>
    <row r="69297" spans="1:4" x14ac:dyDescent="0.2">
      <c r="A69297" t="s">
        <v>21482</v>
      </c>
      <c r="B69297" t="str">
        <f>HYPERLINK("https://lindat.mff.cuni.cz/services/teitok/pdtc10/index.php?action=vallex&amp;frame=v-whsa_1081hsa_1082", "zhospodárnit (v-whsa_1081hsa_1082)")</f>
        <v>zhospodárnit (v-whsa_1081hsa_1082)</v>
      </c>
    </row>
    <row r="69298" spans="1:4" x14ac:dyDescent="0.2">
      <c r="B69298" t="s">
        <v>1</v>
      </c>
      <c r="C69298" t="s">
        <v>140</v>
      </c>
      <c r="D69298" t="s">
        <v>249</v>
      </c>
    </row>
    <row r="69299" spans="1:4" x14ac:dyDescent="0.2">
      <c r="B69299" t="s">
        <v>8</v>
      </c>
      <c r="C69299" t="s">
        <v>991</v>
      </c>
      <c r="D69299" t="s">
        <v>125</v>
      </c>
    </row>
    <row r="69301" spans="1:4" x14ac:dyDescent="0.2">
      <c r="A69301" t="s">
        <v>21483</v>
      </c>
      <c r="B69301" t="str">
        <f>HYPERLINK("https://lindat.mff.cuni.cz/services/teitok/pdtc10/index.php?action=vallex&amp;frame=v-w9476f1", "zhostit se (v-w9476f1)")</f>
        <v>zhostit se (v-w9476f1)</v>
      </c>
    </row>
    <row r="69302" spans="1:4" x14ac:dyDescent="0.2">
      <c r="B69302" t="s">
        <v>1</v>
      </c>
    </row>
    <row r="69303" spans="1:4" x14ac:dyDescent="0.2">
      <c r="B69303" t="s">
        <v>917</v>
      </c>
    </row>
    <row r="69305" spans="1:4" x14ac:dyDescent="0.2">
      <c r="A69305" t="s">
        <v>21484</v>
      </c>
      <c r="B69305" t="str">
        <f>HYPERLINK("https://lindat.mff.cuni.cz/services/teitok/pdtc10/index.php?action=vallex&amp;frame=v-w9478f1", "zhotovit (v-w9478f1)")</f>
        <v>zhotovit (v-w9478f1)</v>
      </c>
    </row>
    <row r="69306" spans="1:4" x14ac:dyDescent="0.2">
      <c r="B69306" t="s">
        <v>1</v>
      </c>
      <c r="C69306" t="s">
        <v>33</v>
      </c>
      <c r="D69306" t="s">
        <v>24536</v>
      </c>
    </row>
    <row r="69307" spans="1:4" x14ac:dyDescent="0.2">
      <c r="B69307" t="s">
        <v>8</v>
      </c>
      <c r="C69307" t="s">
        <v>34</v>
      </c>
      <c r="D69307" t="s">
        <v>24537</v>
      </c>
    </row>
    <row r="69308" spans="1:4" x14ac:dyDescent="0.2">
      <c r="B69308" t="s">
        <v>24</v>
      </c>
      <c r="D69308" t="s">
        <v>10345</v>
      </c>
    </row>
    <row r="69310" spans="1:4" x14ac:dyDescent="0.2">
      <c r="A69310" t="s">
        <v>21485</v>
      </c>
      <c r="B69310" t="str">
        <f>HYPERLINK("https://lindat.mff.cuni.cz/services/teitok/pdtc10/index.php?action=vallex&amp;frame=v-w12249_ZUf1_ZU", "zhotovovat (v-w12249_ZUf1_ZU)")</f>
        <v>zhotovovat (v-w12249_ZUf1_ZU)</v>
      </c>
    </row>
    <row r="69311" spans="1:4" x14ac:dyDescent="0.2">
      <c r="B69311" t="s">
        <v>1</v>
      </c>
    </row>
    <row r="69312" spans="1:4" x14ac:dyDescent="0.2">
      <c r="B69312" t="s">
        <v>8</v>
      </c>
    </row>
    <row r="69313" spans="1:4" x14ac:dyDescent="0.2">
      <c r="B69313" t="s">
        <v>24</v>
      </c>
    </row>
    <row r="69315" spans="1:4" x14ac:dyDescent="0.2">
      <c r="A69315" t="s">
        <v>21486</v>
      </c>
      <c r="B69315" t="str">
        <f>HYPERLINK("https://lindat.mff.cuni.cz/services/teitok/pdtc10/index.php?action=vallex&amp;frame=v-w11240f1", "zhoupnout se (v-w11240f1)")</f>
        <v>zhoupnout se (v-w11240f1)</v>
      </c>
    </row>
    <row r="69316" spans="1:4" x14ac:dyDescent="0.2">
      <c r="B69316" t="s">
        <v>1</v>
      </c>
    </row>
    <row r="69318" spans="1:4" x14ac:dyDescent="0.2">
      <c r="A69318" t="s">
        <v>21487</v>
      </c>
      <c r="B69318" t="str">
        <f>HYPERLINK("https://lindat.mff.cuni.cz/services/teitok/pdtc10/index.php?action=vallex&amp;frame=v-w9481f1", "zhoustnout (v-w9481f1)")</f>
        <v>zhoustnout (v-w9481f1)</v>
      </c>
    </row>
    <row r="69319" spans="1:4" x14ac:dyDescent="0.2">
      <c r="B69319" t="s">
        <v>1</v>
      </c>
    </row>
    <row r="69321" spans="1:4" x14ac:dyDescent="0.2">
      <c r="A69321" t="s">
        <v>21488</v>
      </c>
      <c r="B69321" t="str">
        <f>HYPERLINK("https://lindat.mff.cuni.cz/services/teitok/pdtc10/index.php?action=vallex&amp;frame=v-w11043f2", "zhořknout (v-w11043f2)")</f>
        <v>zhořknout (v-w11043f2)</v>
      </c>
    </row>
    <row r="69322" spans="1:4" x14ac:dyDescent="0.2">
      <c r="B69322" t="s">
        <v>1</v>
      </c>
      <c r="C69322" t="s">
        <v>186</v>
      </c>
    </row>
    <row r="69324" spans="1:4" x14ac:dyDescent="0.2">
      <c r="A69324" t="s">
        <v>21489</v>
      </c>
      <c r="B69324" t="str">
        <f>HYPERLINK("https://lindat.mff.cuni.cz/services/teitok/pdtc10/index.php?action=vallex&amp;frame=v-w9483f3_ZU", "zhroutit se (v-w9483f3_ZU)")</f>
        <v>zhroutit se (v-w9483f3_ZU)</v>
      </c>
    </row>
    <row r="69325" spans="1:4" x14ac:dyDescent="0.2">
      <c r="B69325" t="s">
        <v>1</v>
      </c>
      <c r="C69325" t="s">
        <v>21490</v>
      </c>
      <c r="D69325" t="s">
        <v>23736</v>
      </c>
    </row>
    <row r="69326" spans="1:4" x14ac:dyDescent="0.2">
      <c r="B69326" t="s">
        <v>3986</v>
      </c>
      <c r="C69326" t="s">
        <v>21491</v>
      </c>
      <c r="D69326" t="s">
        <v>23737</v>
      </c>
    </row>
    <row r="69327" spans="1:4" x14ac:dyDescent="0.2">
      <c r="B69327" t="s">
        <v>24</v>
      </c>
      <c r="C69327" t="s">
        <v>5435</v>
      </c>
      <c r="D69327" t="s">
        <v>23738</v>
      </c>
    </row>
    <row r="69329" spans="1:4" x14ac:dyDescent="0.2">
      <c r="A69329" t="s">
        <v>21492</v>
      </c>
      <c r="B69329" t="str">
        <f>HYPERLINK("https://lindat.mff.cuni.cz/services/teitok/pdtc10/index.php?action=vallex&amp;frame=v-w9483f1", "zhroutit se (v-w9483f1)")</f>
        <v>zhroutit se (v-w9483f1)</v>
      </c>
    </row>
    <row r="69330" spans="1:4" x14ac:dyDescent="0.2">
      <c r="B69330" t="s">
        <v>1</v>
      </c>
      <c r="C69330" t="s">
        <v>12481</v>
      </c>
    </row>
    <row r="69332" spans="1:4" x14ac:dyDescent="0.2">
      <c r="A69332" t="s">
        <v>21493</v>
      </c>
      <c r="B69332" t="str">
        <f>HYPERLINK("https://lindat.mff.cuni.cz/services/teitok/pdtc10/index.php?action=vallex&amp;frame=v-w9483f2", "zhroutit se (v-w9483f2)")</f>
        <v>zhroutit se (v-w9483f2)</v>
      </c>
    </row>
    <row r="69333" spans="1:4" x14ac:dyDescent="0.2">
      <c r="B69333" t="s">
        <v>1</v>
      </c>
      <c r="C69333" t="s">
        <v>21494</v>
      </c>
      <c r="D69333" t="s">
        <v>1593</v>
      </c>
    </row>
    <row r="69335" spans="1:4" x14ac:dyDescent="0.2">
      <c r="A69335" t="s">
        <v>21495</v>
      </c>
      <c r="B69335" t="str">
        <f>HYPERLINK("https://lindat.mff.cuni.cz/services/teitok/pdtc10/index.php?action=vallex&amp;frame=v-w9483hsa_442", "zhroutit se (v-w9483hsa_442)")</f>
        <v>zhroutit se (v-w9483hsa_442)</v>
      </c>
    </row>
    <row r="69336" spans="1:4" x14ac:dyDescent="0.2">
      <c r="B69336" t="s">
        <v>1</v>
      </c>
    </row>
    <row r="69338" spans="1:4" x14ac:dyDescent="0.2">
      <c r="A69338" t="s">
        <v>21496</v>
      </c>
      <c r="B69338" t="str">
        <f>HYPERLINK("https://lindat.mff.cuni.cz/services/teitok/pdtc10/index.php?action=vallex&amp;frame=v-whsa_2041hsa_2042", "zhrozit se (v-whsa_2041hsa_2042)")</f>
        <v>zhrozit se (v-whsa_2041hsa_2042)</v>
      </c>
    </row>
    <row r="69339" spans="1:4" x14ac:dyDescent="0.2">
      <c r="B69339" t="s">
        <v>1</v>
      </c>
    </row>
    <row r="69340" spans="1:4" x14ac:dyDescent="0.2">
      <c r="B69340" t="s">
        <v>3091</v>
      </c>
    </row>
    <row r="69342" spans="1:4" x14ac:dyDescent="0.2">
      <c r="A69342" t="s">
        <v>21497</v>
      </c>
      <c r="B69342" t="str">
        <f>HYPERLINK("https://lindat.mff.cuni.cz/services/teitok/pdtc10/index.php?action=vallex&amp;frame=v-w9484f1", "zhrudkovatět (v-w9484f1)")</f>
        <v>zhrudkovatět (v-w9484f1)</v>
      </c>
    </row>
    <row r="69343" spans="1:4" x14ac:dyDescent="0.2">
      <c r="B69343" t="s">
        <v>1</v>
      </c>
    </row>
    <row r="69345" spans="1:2" x14ac:dyDescent="0.2">
      <c r="A69345" t="s">
        <v>21498</v>
      </c>
      <c r="B69345" t="str">
        <f>HYPERLINK("https://lindat.mff.cuni.cz/services/teitok/pdtc10/index.php?action=vallex&amp;frame=v-w9486f1", "zhubnout (v-w9486f1)")</f>
        <v>zhubnout (v-w9486f1)</v>
      </c>
    </row>
    <row r="69346" spans="1:2" x14ac:dyDescent="0.2">
      <c r="B69346" t="s">
        <v>1</v>
      </c>
    </row>
    <row r="69347" spans="1:2" x14ac:dyDescent="0.2">
      <c r="B69347" t="s">
        <v>46</v>
      </c>
    </row>
    <row r="69348" spans="1:2" x14ac:dyDescent="0.2">
      <c r="B69348" t="s">
        <v>24</v>
      </c>
    </row>
    <row r="69350" spans="1:2" x14ac:dyDescent="0.2">
      <c r="A69350" t="s">
        <v>21499</v>
      </c>
      <c r="B69350" t="str">
        <f>HYPERLINK("https://lindat.mff.cuni.cz/services/teitok/pdtc10/index.php?action=vallex&amp;frame=v-w9487f1", "zhumanizovat (v-w9487f1)")</f>
        <v>zhumanizovat (v-w9487f1)</v>
      </c>
    </row>
    <row r="69351" spans="1:2" x14ac:dyDescent="0.2">
      <c r="B69351" t="s">
        <v>1</v>
      </c>
    </row>
    <row r="69352" spans="1:2" x14ac:dyDescent="0.2">
      <c r="B69352" t="s">
        <v>8</v>
      </c>
    </row>
    <row r="69354" spans="1:2" x14ac:dyDescent="0.2">
      <c r="A69354" t="s">
        <v>21500</v>
      </c>
      <c r="B69354" t="str">
        <f>HYPERLINK("https://lindat.mff.cuni.cz/services/teitok/pdtc10/index.php?action=vallex&amp;frame=v-w11999_ZUf1_ZU", "zhuntovat (v-w11999_ZUf1_ZU)")</f>
        <v>zhuntovat (v-w11999_ZUf1_ZU)</v>
      </c>
    </row>
    <row r="69355" spans="1:2" x14ac:dyDescent="0.2">
      <c r="B69355" t="s">
        <v>1</v>
      </c>
    </row>
    <row r="69356" spans="1:2" x14ac:dyDescent="0.2">
      <c r="B69356" t="s">
        <v>8</v>
      </c>
    </row>
    <row r="69358" spans="1:2" x14ac:dyDescent="0.2">
      <c r="A69358" t="s">
        <v>21501</v>
      </c>
      <c r="B69358" t="str">
        <f>HYPERLINK("https://lindat.mff.cuni.cz/services/teitok/pdtc10/index.php?action=vallex&amp;frame=v-w9488f1", "zhušťovat (v-w9488f1)")</f>
        <v>zhušťovat (v-w9488f1)</v>
      </c>
    </row>
    <row r="69359" spans="1:2" x14ac:dyDescent="0.2">
      <c r="B69359" t="s">
        <v>1</v>
      </c>
    </row>
    <row r="69360" spans="1:2" x14ac:dyDescent="0.2">
      <c r="B69360" t="s">
        <v>8</v>
      </c>
    </row>
    <row r="69362" spans="1:4" x14ac:dyDescent="0.2">
      <c r="A69362" t="s">
        <v>21502</v>
      </c>
      <c r="B69362" t="str">
        <f>HYPERLINK("https://lindat.mff.cuni.cz/services/teitok/pdtc10/index.php?action=vallex&amp;frame=v-w9488f2", "zhušťovat (v-w9488f2)")</f>
        <v>zhušťovat (v-w9488f2)</v>
      </c>
    </row>
    <row r="69363" spans="1:4" x14ac:dyDescent="0.2">
      <c r="B69363" t="s">
        <v>1</v>
      </c>
    </row>
    <row r="69364" spans="1:4" x14ac:dyDescent="0.2">
      <c r="B69364" t="s">
        <v>8</v>
      </c>
    </row>
    <row r="69366" spans="1:4" x14ac:dyDescent="0.2">
      <c r="A69366" t="s">
        <v>21503</v>
      </c>
      <c r="B69366" t="str">
        <f>HYPERLINK("https://lindat.mff.cuni.cz/services/teitok/pdtc10/index.php?action=vallex&amp;frame=v-w10753f2", "zhypnotizovat (v-w10753f2)")</f>
        <v>zhypnotizovat (v-w10753f2)</v>
      </c>
    </row>
    <row r="69367" spans="1:4" x14ac:dyDescent="0.2">
      <c r="B69367" t="s">
        <v>1</v>
      </c>
      <c r="C69367" t="s">
        <v>140</v>
      </c>
      <c r="D69367" t="s">
        <v>22</v>
      </c>
    </row>
    <row r="69368" spans="1:4" x14ac:dyDescent="0.2">
      <c r="B69368" t="s">
        <v>8</v>
      </c>
      <c r="C69368" t="s">
        <v>991</v>
      </c>
      <c r="D69368" t="s">
        <v>56</v>
      </c>
    </row>
    <row r="69370" spans="1:4" x14ac:dyDescent="0.2">
      <c r="A69370" t="s">
        <v>21504</v>
      </c>
      <c r="B69370" t="str">
        <f>HYPERLINK("https://lindat.mff.cuni.cz/services/teitok/pdtc10/index.php?action=vallex&amp;frame=v-w9490f1", "zhysterizovat (v-w9490f1)")</f>
        <v>zhysterizovat (v-w9490f1)</v>
      </c>
    </row>
    <row r="69371" spans="1:4" x14ac:dyDescent="0.2">
      <c r="B69371" t="s">
        <v>1</v>
      </c>
    </row>
    <row r="69372" spans="1:4" x14ac:dyDescent="0.2">
      <c r="B69372" t="s">
        <v>8</v>
      </c>
    </row>
    <row r="69374" spans="1:4" x14ac:dyDescent="0.2">
      <c r="A69374" t="s">
        <v>21505</v>
      </c>
      <c r="B69374" t="str">
        <f>HYPERLINK("https://lindat.mff.cuni.cz/services/teitok/pdtc10/index.php?action=vallex&amp;frame=v-w9489f1", "zhýčkat (v-w9489f1)")</f>
        <v>zhýčkat (v-w9489f1)</v>
      </c>
    </row>
    <row r="69375" spans="1:4" x14ac:dyDescent="0.2">
      <c r="B69375" t="s">
        <v>1</v>
      </c>
    </row>
    <row r="69376" spans="1:4" x14ac:dyDescent="0.2">
      <c r="B69376" t="s">
        <v>8</v>
      </c>
    </row>
    <row r="69378" spans="1:4" x14ac:dyDescent="0.2">
      <c r="A69378" t="s">
        <v>21506</v>
      </c>
      <c r="B69378" t="str">
        <f>HYPERLINK("https://lindat.mff.cuni.cz/services/teitok/pdtc10/index.php?action=vallex&amp;frame=v-w9485f1", "zhřešit (v-w9485f1)")</f>
        <v>zhřešit (v-w9485f1)</v>
      </c>
    </row>
    <row r="69379" spans="1:4" x14ac:dyDescent="0.2">
      <c r="B69379" t="s">
        <v>1</v>
      </c>
    </row>
    <row r="69381" spans="1:4" x14ac:dyDescent="0.2">
      <c r="A69381" t="s">
        <v>21507</v>
      </c>
      <c r="B69381" t="str">
        <f>HYPERLINK("https://lindat.mff.cuni.cz/services/teitok/pdtc10/index.php?action=vallex&amp;frame=v-w9493f1", "zideologizovat (v-w9493f1)")</f>
        <v>zideologizovat (v-w9493f1)</v>
      </c>
    </row>
    <row r="69382" spans="1:4" x14ac:dyDescent="0.2">
      <c r="B69382" t="s">
        <v>1</v>
      </c>
    </row>
    <row r="69383" spans="1:4" x14ac:dyDescent="0.2">
      <c r="B69383" t="s">
        <v>8</v>
      </c>
    </row>
    <row r="69385" spans="1:4" x14ac:dyDescent="0.2">
      <c r="A69385" t="s">
        <v>21508</v>
      </c>
      <c r="B69385" t="str">
        <f>HYPERLINK("https://lindat.mff.cuni.cz/services/teitok/pdtc10/index.php?action=vallex&amp;frame=v-w9494f1", "zinscenovat (v-w9494f1)")</f>
        <v>zinscenovat (v-w9494f1)</v>
      </c>
    </row>
    <row r="69386" spans="1:4" x14ac:dyDescent="0.2">
      <c r="B69386" t="s">
        <v>1</v>
      </c>
      <c r="C69386" t="s">
        <v>967</v>
      </c>
      <c r="D69386" t="s">
        <v>24538</v>
      </c>
    </row>
    <row r="69387" spans="1:4" x14ac:dyDescent="0.2">
      <c r="B69387" t="s">
        <v>8</v>
      </c>
      <c r="C69387" t="s">
        <v>1750</v>
      </c>
      <c r="D69387" t="s">
        <v>2377</v>
      </c>
    </row>
    <row r="69389" spans="1:4" x14ac:dyDescent="0.2">
      <c r="A69389" t="s">
        <v>21509</v>
      </c>
      <c r="B69389" t="str">
        <f>HYPERLINK("https://lindat.mff.cuni.cz/services/teitok/pdtc10/index.php?action=vallex&amp;frame=v-whsa_964hsa_965", "zintenzivňovat (v-whsa_964hsa_965)")</f>
        <v>zintenzivňovat (v-whsa_964hsa_965)</v>
      </c>
    </row>
    <row r="69390" spans="1:4" x14ac:dyDescent="0.2">
      <c r="B69390" t="s">
        <v>1</v>
      </c>
      <c r="C69390" t="s">
        <v>370</v>
      </c>
    </row>
    <row r="69391" spans="1:4" x14ac:dyDescent="0.2">
      <c r="B69391" t="s">
        <v>8</v>
      </c>
      <c r="C69391" t="s">
        <v>125</v>
      </c>
    </row>
    <row r="69393" spans="1:4" x14ac:dyDescent="0.2">
      <c r="A69393" t="s">
        <v>21510</v>
      </c>
      <c r="B69393" t="str">
        <f>HYPERLINK("https://lindat.mff.cuni.cz/services/teitok/pdtc10/index.php?action=vallex&amp;frame=v-w9496f2_ZU", "zintenzívnit (v-w9496f2_ZU)")</f>
        <v>zintenzívnit (v-w9496f2_ZU)</v>
      </c>
    </row>
    <row r="69394" spans="1:4" x14ac:dyDescent="0.2">
      <c r="B69394" t="s">
        <v>1</v>
      </c>
      <c r="D69394" t="s">
        <v>23837</v>
      </c>
    </row>
    <row r="69395" spans="1:4" x14ac:dyDescent="0.2">
      <c r="B69395" t="s">
        <v>8</v>
      </c>
      <c r="C69395" t="s">
        <v>1044</v>
      </c>
      <c r="D69395" t="s">
        <v>7118</v>
      </c>
    </row>
    <row r="69397" spans="1:4" x14ac:dyDescent="0.2">
      <c r="A69397" t="s">
        <v>21510</v>
      </c>
      <c r="B69397" t="str">
        <f>HYPERLINK("https://lindat.mff.cuni.cz/services/teitok/pdtc10/index.php?action=vallex&amp;frame=v-w9496f1", "zintenzívnit (v-w9496f1) - substituted with v-w9496f2_ZU")</f>
        <v>zintenzívnit (v-w9496f1) - substituted with v-w9496f2_ZU</v>
      </c>
    </row>
    <row r="69398" spans="1:4" x14ac:dyDescent="0.2">
      <c r="B69398" t="s">
        <v>1</v>
      </c>
      <c r="C69398" t="s">
        <v>21511</v>
      </c>
    </row>
    <row r="69399" spans="1:4" x14ac:dyDescent="0.2">
      <c r="B69399" t="s">
        <v>8</v>
      </c>
      <c r="C69399" t="s">
        <v>1044</v>
      </c>
    </row>
    <row r="69401" spans="1:4" x14ac:dyDescent="0.2">
      <c r="A69401" t="s">
        <v>21512</v>
      </c>
      <c r="B69401" t="str">
        <f>HYPERLINK("https://lindat.mff.cuni.cz/services/teitok/pdtc10/index.php?action=vallex&amp;frame=v-whsa_867hsa_868", "zintenzívnit se (v-whsa_867hsa_868)")</f>
        <v>zintenzívnit se (v-whsa_867hsa_868)</v>
      </c>
    </row>
    <row r="69402" spans="1:4" x14ac:dyDescent="0.2">
      <c r="B69402" t="s">
        <v>1</v>
      </c>
    </row>
    <row r="69404" spans="1:4" x14ac:dyDescent="0.2">
      <c r="A69404" t="s">
        <v>21513</v>
      </c>
      <c r="B69404" t="str">
        <f>HYPERLINK("https://lindat.mff.cuni.cz/services/teitok/pdtc10/index.php?action=vallex&amp;frame=v-w11303f1", "zintenzívňovat (v-w11303f1)")</f>
        <v>zintenzívňovat (v-w11303f1)</v>
      </c>
    </row>
    <row r="69405" spans="1:4" x14ac:dyDescent="0.2">
      <c r="B69405" t="s">
        <v>1</v>
      </c>
    </row>
    <row r="69406" spans="1:4" x14ac:dyDescent="0.2">
      <c r="B69406" t="s">
        <v>8</v>
      </c>
    </row>
    <row r="69408" spans="1:4" x14ac:dyDescent="0.2">
      <c r="A69408" t="s">
        <v>21514</v>
      </c>
      <c r="B69408" t="str">
        <f>HYPERLINK("https://lindat.mff.cuni.cz/services/teitok/pdtc10/index.php?action=vallex&amp;frame=v-w10755f2", "zintrikovat (v-w10755f2)")</f>
        <v>zintrikovat (v-w10755f2)</v>
      </c>
    </row>
    <row r="69409" spans="1:2" x14ac:dyDescent="0.2">
      <c r="B69409" t="s">
        <v>1</v>
      </c>
    </row>
    <row r="69410" spans="1:2" x14ac:dyDescent="0.2">
      <c r="B69410" t="s">
        <v>8</v>
      </c>
    </row>
    <row r="69412" spans="1:2" x14ac:dyDescent="0.2">
      <c r="A69412" t="s">
        <v>21515</v>
      </c>
      <c r="B69412" t="str">
        <f>HYPERLINK("https://lindat.mff.cuni.cz/services/teitok/pdtc10/index.php?action=vallex&amp;frame=v-w9505f1", "zjasňovat se (v-w9505f1)")</f>
        <v>zjasňovat se (v-w9505f1)</v>
      </c>
    </row>
    <row r="69413" spans="1:2" x14ac:dyDescent="0.2">
      <c r="B69413" t="s">
        <v>1</v>
      </c>
    </row>
    <row r="69415" spans="1:2" x14ac:dyDescent="0.2">
      <c r="A69415" t="s">
        <v>21516</v>
      </c>
      <c r="B69415" t="str">
        <f>HYPERLINK("https://lindat.mff.cuni.cz/services/teitok/pdtc10/index.php?action=vallex&amp;frame=v-w9507f2", "zjednat (v-w9507f2)")</f>
        <v>zjednat (v-w9507f2)</v>
      </c>
    </row>
    <row r="69416" spans="1:2" x14ac:dyDescent="0.2">
      <c r="B69416" t="s">
        <v>1</v>
      </c>
    </row>
    <row r="69417" spans="1:2" x14ac:dyDescent="0.2">
      <c r="B69417" t="s">
        <v>8</v>
      </c>
    </row>
    <row r="69419" spans="1:2" x14ac:dyDescent="0.2">
      <c r="A69419" t="s">
        <v>21517</v>
      </c>
      <c r="B69419" t="str">
        <f>HYPERLINK("https://lindat.mff.cuni.cz/services/teitok/pdtc10/index.php?action=vallex&amp;frame=v-w9507f3_ZU", "zjednat (v-w9507f3_ZU)")</f>
        <v>zjednat (v-w9507f3_ZU)</v>
      </c>
    </row>
    <row r="69420" spans="1:2" x14ac:dyDescent="0.2">
      <c r="B69420" t="s">
        <v>1</v>
      </c>
    </row>
    <row r="69421" spans="1:2" x14ac:dyDescent="0.2">
      <c r="B69421" t="s">
        <v>21518</v>
      </c>
    </row>
    <row r="69423" spans="1:2" x14ac:dyDescent="0.2">
      <c r="A69423" t="s">
        <v>21517</v>
      </c>
      <c r="B69423" t="str">
        <f>HYPERLINK("https://lindat.mff.cuni.cz/services/teitok/pdtc10/index.php?action=vallex&amp;frame=v-w9507f1", "zjednat (v-w9507f1) - substituted with v-w9507f3_ZU")</f>
        <v>zjednat (v-w9507f1) - substituted with v-w9507f3_ZU</v>
      </c>
    </row>
    <row r="69424" spans="1:2" x14ac:dyDescent="0.2">
      <c r="B69424" t="s">
        <v>1</v>
      </c>
    </row>
    <row r="69425" spans="1:4" x14ac:dyDescent="0.2">
      <c r="B69425" t="s">
        <v>21518</v>
      </c>
    </row>
    <row r="69427" spans="1:4" x14ac:dyDescent="0.2">
      <c r="A69427" t="s">
        <v>21519</v>
      </c>
      <c r="B69427" t="str">
        <f>HYPERLINK("https://lindat.mff.cuni.cz/services/teitok/pdtc10/index.php?action=vallex&amp;frame=v-w9507hsa_1973", "zjednat (v-w9507hsa_1973)")</f>
        <v>zjednat (v-w9507hsa_1973)</v>
      </c>
    </row>
    <row r="69428" spans="1:4" x14ac:dyDescent="0.2">
      <c r="B69428" t="s">
        <v>1</v>
      </c>
    </row>
    <row r="69429" spans="1:4" x14ac:dyDescent="0.2">
      <c r="B69429" t="s">
        <v>8</v>
      </c>
    </row>
    <row r="69431" spans="1:4" x14ac:dyDescent="0.2">
      <c r="A69431" t="s">
        <v>21520</v>
      </c>
      <c r="B69431" t="str">
        <f>HYPERLINK("https://lindat.mff.cuni.cz/services/teitok/pdtc10/index.php?action=vallex&amp;frame=v-w9510f2", "zjednodušit (v-w9510f2)")</f>
        <v>zjednodušit (v-w9510f2)</v>
      </c>
    </row>
    <row r="69432" spans="1:4" x14ac:dyDescent="0.2">
      <c r="B69432" t="s">
        <v>1</v>
      </c>
    </row>
    <row r="69433" spans="1:4" x14ac:dyDescent="0.2">
      <c r="B69433" t="s">
        <v>8</v>
      </c>
    </row>
    <row r="69434" spans="1:4" x14ac:dyDescent="0.2">
      <c r="B69434" t="s">
        <v>78</v>
      </c>
    </row>
    <row r="69436" spans="1:4" x14ac:dyDescent="0.2">
      <c r="A69436" t="s">
        <v>21521</v>
      </c>
      <c r="B69436" t="str">
        <f>HYPERLINK("https://lindat.mff.cuni.cz/services/teitok/pdtc10/index.php?action=vallex&amp;frame=v-w9510f1", "zjednodušit (v-w9510f1)")</f>
        <v>zjednodušit (v-w9510f1)</v>
      </c>
    </row>
    <row r="69437" spans="1:4" x14ac:dyDescent="0.2">
      <c r="B69437" t="s">
        <v>1</v>
      </c>
      <c r="C69437" t="s">
        <v>249</v>
      </c>
      <c r="D69437" t="s">
        <v>249</v>
      </c>
    </row>
    <row r="69438" spans="1:4" x14ac:dyDescent="0.2">
      <c r="B69438" t="s">
        <v>8</v>
      </c>
      <c r="C69438" t="s">
        <v>125</v>
      </c>
      <c r="D69438" t="s">
        <v>125</v>
      </c>
    </row>
    <row r="69439" spans="1:4" x14ac:dyDescent="0.2">
      <c r="B69439" t="s">
        <v>24</v>
      </c>
    </row>
    <row r="69440" spans="1:4" x14ac:dyDescent="0.2">
      <c r="B69440" t="s">
        <v>25</v>
      </c>
    </row>
    <row r="69442" spans="1:4" x14ac:dyDescent="0.2">
      <c r="A69442" t="s">
        <v>21522</v>
      </c>
      <c r="B69442" t="str">
        <f>HYPERLINK("https://lindat.mff.cuni.cz/services/teitok/pdtc10/index.php?action=vallex&amp;frame=v-w9511f1", "zjednodušit se (v-w9511f1)")</f>
        <v>zjednodušit se (v-w9511f1)</v>
      </c>
    </row>
    <row r="69443" spans="1:4" x14ac:dyDescent="0.2">
      <c r="B69443" t="s">
        <v>1</v>
      </c>
    </row>
    <row r="69444" spans="1:4" x14ac:dyDescent="0.2">
      <c r="B69444" t="s">
        <v>46</v>
      </c>
    </row>
    <row r="69445" spans="1:4" x14ac:dyDescent="0.2">
      <c r="B69445" t="s">
        <v>24</v>
      </c>
    </row>
    <row r="69447" spans="1:4" x14ac:dyDescent="0.2">
      <c r="A69447" t="s">
        <v>21523</v>
      </c>
      <c r="B69447" t="str">
        <f>HYPERLINK("https://lindat.mff.cuni.cz/services/teitok/pdtc10/index.php?action=vallex&amp;frame=v-w9512f2", "zjednodušovat (v-w9512f2)")</f>
        <v>zjednodušovat (v-w9512f2)</v>
      </c>
    </row>
    <row r="69448" spans="1:4" x14ac:dyDescent="0.2">
      <c r="B69448" t="s">
        <v>1</v>
      </c>
    </row>
    <row r="69449" spans="1:4" x14ac:dyDescent="0.2">
      <c r="B69449" t="s">
        <v>8</v>
      </c>
      <c r="C69449" t="s">
        <v>23</v>
      </c>
    </row>
    <row r="69450" spans="1:4" x14ac:dyDescent="0.2">
      <c r="B69450" t="s">
        <v>78</v>
      </c>
    </row>
    <row r="69452" spans="1:4" x14ac:dyDescent="0.2">
      <c r="A69452" t="s">
        <v>21524</v>
      </c>
      <c r="B69452" t="str">
        <f>HYPERLINK("https://lindat.mff.cuni.cz/services/teitok/pdtc10/index.php?action=vallex&amp;frame=v-w9512f1", "zjednodušovat (v-w9512f1)")</f>
        <v>zjednodušovat (v-w9512f1)</v>
      </c>
    </row>
    <row r="69453" spans="1:4" x14ac:dyDescent="0.2">
      <c r="B69453" t="s">
        <v>1</v>
      </c>
      <c r="D69453" t="s">
        <v>249</v>
      </c>
    </row>
    <row r="69454" spans="1:4" x14ac:dyDescent="0.2">
      <c r="B69454" t="s">
        <v>8</v>
      </c>
      <c r="D69454" t="s">
        <v>125</v>
      </c>
    </row>
    <row r="69455" spans="1:4" x14ac:dyDescent="0.2">
      <c r="B69455" t="s">
        <v>24</v>
      </c>
    </row>
    <row r="69456" spans="1:4" x14ac:dyDescent="0.2">
      <c r="B69456" t="s">
        <v>25</v>
      </c>
    </row>
    <row r="69458" spans="1:3" x14ac:dyDescent="0.2">
      <c r="A69458" t="s">
        <v>21525</v>
      </c>
      <c r="B69458" t="str">
        <f>HYPERLINK("https://lindat.mff.cuni.cz/services/teitok/pdtc10/index.php?action=vallex&amp;frame=v-w9508f1", "zjednávat (v-w9508f1)")</f>
        <v>zjednávat (v-w9508f1)</v>
      </c>
    </row>
    <row r="69459" spans="1:3" x14ac:dyDescent="0.2">
      <c r="B69459" t="s">
        <v>1</v>
      </c>
    </row>
    <row r="69460" spans="1:3" x14ac:dyDescent="0.2">
      <c r="B69460" t="s">
        <v>8</v>
      </c>
    </row>
    <row r="69462" spans="1:3" x14ac:dyDescent="0.2">
      <c r="A69462" t="s">
        <v>21526</v>
      </c>
      <c r="B69462" t="str">
        <f>HYPERLINK("https://lindat.mff.cuni.cz/services/teitok/pdtc10/index.php?action=vallex&amp;frame=v-w9508f2", "zjednávat (v-w9508f2)")</f>
        <v>zjednávat (v-w9508f2)</v>
      </c>
    </row>
    <row r="69463" spans="1:3" x14ac:dyDescent="0.2">
      <c r="B69463" t="s">
        <v>1</v>
      </c>
    </row>
    <row r="69464" spans="1:3" x14ac:dyDescent="0.2">
      <c r="B69464" t="s">
        <v>21527</v>
      </c>
    </row>
    <row r="69466" spans="1:3" x14ac:dyDescent="0.2">
      <c r="A69466" t="s">
        <v>21528</v>
      </c>
      <c r="B69466" t="str">
        <f>HYPERLINK("https://lindat.mff.cuni.cz/services/teitok/pdtc10/index.php?action=vallex&amp;frame=v-w10877f2", "zjemnit (v-w10877f2)")</f>
        <v>zjemnit (v-w10877f2)</v>
      </c>
    </row>
    <row r="69467" spans="1:3" x14ac:dyDescent="0.2">
      <c r="B69467" t="s">
        <v>1</v>
      </c>
    </row>
    <row r="69468" spans="1:3" x14ac:dyDescent="0.2">
      <c r="B69468" t="s">
        <v>8</v>
      </c>
    </row>
    <row r="69470" spans="1:3" x14ac:dyDescent="0.2">
      <c r="A69470" t="s">
        <v>21529</v>
      </c>
      <c r="B69470" t="str">
        <f>HYPERLINK("https://lindat.mff.cuni.cz/services/teitok/pdtc10/index.php?action=vallex&amp;frame=v-w9513f2", "zjevit se (v-w9513f2)")</f>
        <v>zjevit se (v-w9513f2)</v>
      </c>
    </row>
    <row r="69471" spans="1:3" x14ac:dyDescent="0.2">
      <c r="B69471" t="s">
        <v>1</v>
      </c>
      <c r="C69471" t="s">
        <v>21530</v>
      </c>
    </row>
    <row r="69472" spans="1:3" x14ac:dyDescent="0.2">
      <c r="B69472" t="s">
        <v>86</v>
      </c>
      <c r="C69472" t="s">
        <v>21531</v>
      </c>
    </row>
    <row r="69474" spans="1:4" x14ac:dyDescent="0.2">
      <c r="A69474" t="s">
        <v>21532</v>
      </c>
      <c r="B69474" t="str">
        <f>HYPERLINK("https://lindat.mff.cuni.cz/services/teitok/pdtc10/index.php?action=vallex&amp;frame=v-w9513f1", "zjevit se (v-w9513f1)")</f>
        <v>zjevit se (v-w9513f1)</v>
      </c>
    </row>
    <row r="69475" spans="1:4" x14ac:dyDescent="0.2">
      <c r="B69475" t="s">
        <v>1</v>
      </c>
    </row>
    <row r="69476" spans="1:4" x14ac:dyDescent="0.2">
      <c r="B69476" t="s">
        <v>5</v>
      </c>
    </row>
    <row r="69478" spans="1:4" x14ac:dyDescent="0.2">
      <c r="A69478" t="s">
        <v>21533</v>
      </c>
      <c r="B69478" t="str">
        <f>HYPERLINK("https://lindat.mff.cuni.cz/services/teitok/pdtc10/index.php?action=vallex&amp;frame=v-w9514f1", "zjevovat se (v-w9514f1)")</f>
        <v>zjevovat se (v-w9514f1)</v>
      </c>
    </row>
    <row r="69479" spans="1:4" x14ac:dyDescent="0.2">
      <c r="B69479" t="s">
        <v>1</v>
      </c>
      <c r="D69479" t="s">
        <v>7870</v>
      </c>
    </row>
    <row r="69480" spans="1:4" x14ac:dyDescent="0.2">
      <c r="B69480" t="s">
        <v>86</v>
      </c>
    </row>
    <row r="69482" spans="1:4" x14ac:dyDescent="0.2">
      <c r="A69482" t="s">
        <v>21534</v>
      </c>
      <c r="B69482" t="str">
        <f>HYPERLINK("https://lindat.mff.cuni.cz/services/teitok/pdtc10/index.php?action=vallex&amp;frame=v-w9515f2", "zjistit (v-w9515f2)")</f>
        <v>zjistit (v-w9515f2)</v>
      </c>
    </row>
    <row r="69483" spans="1:4" x14ac:dyDescent="0.2">
      <c r="B69483" t="s">
        <v>1</v>
      </c>
      <c r="C69483" t="s">
        <v>21535</v>
      </c>
      <c r="D69483" t="s">
        <v>9234</v>
      </c>
    </row>
    <row r="69484" spans="1:4" x14ac:dyDescent="0.2">
      <c r="B69484" t="s">
        <v>21536</v>
      </c>
      <c r="C69484" t="s">
        <v>21537</v>
      </c>
      <c r="D69484" t="s">
        <v>23186</v>
      </c>
    </row>
    <row r="69485" spans="1:4" x14ac:dyDescent="0.2">
      <c r="B69485" t="s">
        <v>8281</v>
      </c>
      <c r="C69485" t="s">
        <v>21538</v>
      </c>
      <c r="D69485" t="s">
        <v>23185</v>
      </c>
    </row>
    <row r="69486" spans="1:4" x14ac:dyDescent="0.2">
      <c r="B69486" t="s">
        <v>21539</v>
      </c>
      <c r="C69486" t="s">
        <v>2079</v>
      </c>
      <c r="D69486" t="s">
        <v>2915</v>
      </c>
    </row>
    <row r="69488" spans="1:4" x14ac:dyDescent="0.2">
      <c r="A69488" t="s">
        <v>21540</v>
      </c>
      <c r="B69488" t="str">
        <f>HYPERLINK("https://lindat.mff.cuni.cz/services/teitok/pdtc10/index.php?action=vallex&amp;frame=v-w9515f1", "zjistit (v-w9515f1)")</f>
        <v>zjistit (v-w9515f1)</v>
      </c>
    </row>
    <row r="69489" spans="1:4" x14ac:dyDescent="0.2">
      <c r="B69489" t="s">
        <v>1</v>
      </c>
      <c r="C69489" t="s">
        <v>21541</v>
      </c>
      <c r="D69489" t="s">
        <v>23261</v>
      </c>
    </row>
    <row r="69490" spans="1:4" x14ac:dyDescent="0.2">
      <c r="B69490" t="s">
        <v>1284</v>
      </c>
      <c r="C69490" t="s">
        <v>21542</v>
      </c>
      <c r="D69490" t="s">
        <v>9548</v>
      </c>
    </row>
    <row r="69492" spans="1:4" x14ac:dyDescent="0.2">
      <c r="A69492" t="s">
        <v>21543</v>
      </c>
      <c r="B69492" t="str">
        <f>HYPERLINK("https://lindat.mff.cuni.cz/services/teitok/pdtc10/index.php?action=vallex&amp;frame=v-w11149f2", "zjitřit (v-w11149f2)")</f>
        <v>zjitřit (v-w11149f2)</v>
      </c>
    </row>
    <row r="69493" spans="1:4" x14ac:dyDescent="0.2">
      <c r="B69493" t="s">
        <v>1</v>
      </c>
      <c r="C69493" t="s">
        <v>92</v>
      </c>
    </row>
    <row r="69494" spans="1:4" x14ac:dyDescent="0.2">
      <c r="B69494" t="s">
        <v>8</v>
      </c>
      <c r="C69494" t="s">
        <v>359</v>
      </c>
    </row>
    <row r="69496" spans="1:4" x14ac:dyDescent="0.2">
      <c r="A69496" t="s">
        <v>21544</v>
      </c>
      <c r="B69496" t="str">
        <f>HYPERLINK("https://lindat.mff.cuni.cz/services/teitok/pdtc10/index.php?action=vallex&amp;frame=v-w11151f2", "zjitřovat (v-w11151f2)")</f>
        <v>zjitřovat (v-w11151f2)</v>
      </c>
    </row>
    <row r="69497" spans="1:4" x14ac:dyDescent="0.2">
      <c r="B69497" t="s">
        <v>1</v>
      </c>
    </row>
    <row r="69498" spans="1:4" x14ac:dyDescent="0.2">
      <c r="B69498" t="s">
        <v>8</v>
      </c>
    </row>
    <row r="69500" spans="1:4" x14ac:dyDescent="0.2">
      <c r="A69500" t="s">
        <v>21545</v>
      </c>
      <c r="B69500" t="str">
        <f>HYPERLINK("https://lindat.mff.cuni.cz/services/teitok/pdtc10/index.php?action=vallex&amp;frame=v-w9521f1", "zjizvit (v-w9521f1)")</f>
        <v>zjizvit (v-w9521f1)</v>
      </c>
    </row>
    <row r="69501" spans="1:4" x14ac:dyDescent="0.2">
      <c r="B69501" t="s">
        <v>1</v>
      </c>
    </row>
    <row r="69502" spans="1:4" x14ac:dyDescent="0.2">
      <c r="B69502" t="s">
        <v>8</v>
      </c>
    </row>
    <row r="69504" spans="1:4" x14ac:dyDescent="0.2">
      <c r="A69504" t="s">
        <v>21546</v>
      </c>
      <c r="B69504" t="str">
        <f>HYPERLINK("https://lindat.mff.cuni.cz/services/teitok/pdtc10/index.php?action=vallex&amp;frame=v-w9520f2", "zjišťovat (v-w9520f2)")</f>
        <v>zjišťovat (v-w9520f2)</v>
      </c>
    </row>
    <row r="69505" spans="1:4" x14ac:dyDescent="0.2">
      <c r="B69505" t="s">
        <v>1</v>
      </c>
      <c r="C69505" t="s">
        <v>21547</v>
      </c>
      <c r="D69505" t="s">
        <v>9234</v>
      </c>
    </row>
    <row r="69506" spans="1:4" x14ac:dyDescent="0.2">
      <c r="B69506" t="s">
        <v>21536</v>
      </c>
      <c r="C69506" t="s">
        <v>21548</v>
      </c>
      <c r="D69506" t="s">
        <v>23186</v>
      </c>
    </row>
    <row r="69507" spans="1:4" x14ac:dyDescent="0.2">
      <c r="B69507" t="s">
        <v>21549</v>
      </c>
      <c r="C69507" t="s">
        <v>21550</v>
      </c>
      <c r="D69507" t="s">
        <v>23185</v>
      </c>
    </row>
    <row r="69508" spans="1:4" x14ac:dyDescent="0.2">
      <c r="B69508" t="s">
        <v>21539</v>
      </c>
      <c r="D69508" t="s">
        <v>2915</v>
      </c>
    </row>
    <row r="69510" spans="1:4" x14ac:dyDescent="0.2">
      <c r="A69510" t="s">
        <v>21551</v>
      </c>
      <c r="B69510" t="str">
        <f>HYPERLINK("https://lindat.mff.cuni.cz/services/teitok/pdtc10/index.php?action=vallex&amp;frame=v-w9520f1", "zjišťovat (v-w9520f1)")</f>
        <v>zjišťovat (v-w9520f1)</v>
      </c>
    </row>
    <row r="69511" spans="1:4" x14ac:dyDescent="0.2">
      <c r="B69511" t="s">
        <v>1</v>
      </c>
      <c r="C69511" t="s">
        <v>21552</v>
      </c>
      <c r="D69511" t="s">
        <v>22952</v>
      </c>
    </row>
    <row r="69512" spans="1:4" x14ac:dyDescent="0.2">
      <c r="B69512" t="s">
        <v>21553</v>
      </c>
      <c r="C69512" t="s">
        <v>21554</v>
      </c>
      <c r="D69512" t="s">
        <v>22953</v>
      </c>
    </row>
    <row r="69514" spans="1:4" x14ac:dyDescent="0.2">
      <c r="A69514" t="s">
        <v>21555</v>
      </c>
      <c r="B69514" t="str">
        <f>HYPERLINK("https://lindat.mff.cuni.cz/services/teitok/pdtc10/index.php?action=vallex&amp;frame=v-w11089f2", "zkalit (v-w11089f2)")</f>
        <v>zkalit (v-w11089f2)</v>
      </c>
    </row>
    <row r="69515" spans="1:4" x14ac:dyDescent="0.2">
      <c r="B69515" t="s">
        <v>1</v>
      </c>
    </row>
    <row r="69516" spans="1:4" x14ac:dyDescent="0.2">
      <c r="B69516" t="s">
        <v>8</v>
      </c>
    </row>
    <row r="69518" spans="1:4" x14ac:dyDescent="0.2">
      <c r="A69518" t="s">
        <v>21556</v>
      </c>
      <c r="B69518" t="str">
        <f>HYPERLINK("https://lindat.mff.cuni.cz/services/teitok/pdtc10/index.php?action=vallex&amp;frame=v-whsa_286f1_ZU", "zkapalnit (v-whsa_286f1_ZU)")</f>
        <v>zkapalnit (v-whsa_286f1_ZU)</v>
      </c>
    </row>
    <row r="69519" spans="1:4" x14ac:dyDescent="0.2">
      <c r="B69519" t="s">
        <v>1</v>
      </c>
    </row>
    <row r="69520" spans="1:4" x14ac:dyDescent="0.2">
      <c r="B69520" t="s">
        <v>8</v>
      </c>
      <c r="C69520" t="s">
        <v>34</v>
      </c>
    </row>
    <row r="69522" spans="1:4" x14ac:dyDescent="0.2">
      <c r="A69522" t="s">
        <v>21556</v>
      </c>
      <c r="B69522" t="str">
        <f>HYPERLINK("https://lindat.mff.cuni.cz/services/teitok/pdtc10/index.php?action=vallex&amp;frame=v-whsa_286hsa_287", "zkapalnit (v-whsa_286hsa_287) - substituted with v-whsa_286f1_ZU")</f>
        <v>zkapalnit (v-whsa_286hsa_287) - substituted with v-whsa_286f1_ZU</v>
      </c>
    </row>
    <row r="69523" spans="1:4" x14ac:dyDescent="0.2">
      <c r="B69523" t="s">
        <v>1</v>
      </c>
    </row>
    <row r="69524" spans="1:4" x14ac:dyDescent="0.2">
      <c r="B69524" t="s">
        <v>8</v>
      </c>
    </row>
    <row r="69526" spans="1:4" x14ac:dyDescent="0.2">
      <c r="A69526" t="s">
        <v>21557</v>
      </c>
      <c r="B69526" t="str">
        <f>HYPERLINK("https://lindat.mff.cuni.cz/services/teitok/pdtc10/index.php?action=vallex&amp;frame=v-w9523f1", "zkazit (v-w9523f1)")</f>
        <v>zkazit (v-w9523f1)</v>
      </c>
    </row>
    <row r="69527" spans="1:4" x14ac:dyDescent="0.2">
      <c r="B69527" t="s">
        <v>1</v>
      </c>
      <c r="C69527" t="s">
        <v>3583</v>
      </c>
      <c r="D69527" t="s">
        <v>23440</v>
      </c>
    </row>
    <row r="69528" spans="1:4" x14ac:dyDescent="0.2">
      <c r="B69528" t="s">
        <v>8</v>
      </c>
      <c r="C69528" t="s">
        <v>17</v>
      </c>
      <c r="D69528" t="s">
        <v>1066</v>
      </c>
    </row>
    <row r="69529" spans="1:4" x14ac:dyDescent="0.2">
      <c r="B69529" t="s">
        <v>78</v>
      </c>
    </row>
    <row r="69531" spans="1:4" x14ac:dyDescent="0.2">
      <c r="A69531" t="s">
        <v>21558</v>
      </c>
      <c r="B69531" t="str">
        <f>HYPERLINK("https://lindat.mff.cuni.cz/services/teitok/pdtc10/index.php?action=vallex&amp;frame=v-w11647_ZUf1_ZU", "zkazit se (v-w11647_ZUf1_ZU)")</f>
        <v>zkazit se (v-w11647_ZUf1_ZU)</v>
      </c>
    </row>
    <row r="69532" spans="1:4" x14ac:dyDescent="0.2">
      <c r="B69532" t="s">
        <v>1</v>
      </c>
      <c r="C69532" t="s">
        <v>2172</v>
      </c>
      <c r="D69532" t="s">
        <v>2172</v>
      </c>
    </row>
    <row r="69534" spans="1:4" x14ac:dyDescent="0.2">
      <c r="A69534" t="s">
        <v>21559</v>
      </c>
      <c r="B69534" t="str">
        <f>HYPERLINK("https://lindat.mff.cuni.cz/services/teitok/pdtc10/index.php?action=vallex&amp;frame=v-w9526f1", "zklamat (v-w9526f1)")</f>
        <v>zklamat (v-w9526f1)</v>
      </c>
    </row>
    <row r="69535" spans="1:4" x14ac:dyDescent="0.2">
      <c r="B69535" t="s">
        <v>13581</v>
      </c>
      <c r="C69535" t="s">
        <v>21560</v>
      </c>
      <c r="D69535" t="s">
        <v>373</v>
      </c>
    </row>
    <row r="69536" spans="1:4" x14ac:dyDescent="0.2">
      <c r="B69536" t="s">
        <v>8</v>
      </c>
      <c r="C69536" t="s">
        <v>21561</v>
      </c>
      <c r="D69536" t="s">
        <v>24148</v>
      </c>
    </row>
    <row r="69538" spans="1:4" x14ac:dyDescent="0.2">
      <c r="A69538" t="s">
        <v>21562</v>
      </c>
      <c r="B69538" t="str">
        <f>HYPERLINK("https://lindat.mff.cuni.cz/services/teitok/pdtc10/index.php?action=vallex&amp;frame=v-w9526f2", "zklamat (v-w9526f2)")</f>
        <v>zklamat (v-w9526f2)</v>
      </c>
    </row>
    <row r="69539" spans="1:4" x14ac:dyDescent="0.2">
      <c r="B69539" t="s">
        <v>1</v>
      </c>
      <c r="C69539" t="s">
        <v>3043</v>
      </c>
    </row>
    <row r="69541" spans="1:4" x14ac:dyDescent="0.2">
      <c r="A69541" t="s">
        <v>21563</v>
      </c>
      <c r="B69541" t="str">
        <f>HYPERLINK("https://lindat.mff.cuni.cz/services/teitok/pdtc10/index.php?action=vallex&amp;frame=v-w9528f1", "zklidnit (v-w9528f1)")</f>
        <v>zklidnit (v-w9528f1)</v>
      </c>
    </row>
    <row r="69542" spans="1:4" x14ac:dyDescent="0.2">
      <c r="B69542" t="s">
        <v>1</v>
      </c>
      <c r="D69542" t="s">
        <v>23047</v>
      </c>
    </row>
    <row r="69543" spans="1:4" x14ac:dyDescent="0.2">
      <c r="B69543" t="s">
        <v>8</v>
      </c>
      <c r="D69543" t="s">
        <v>2747</v>
      </c>
    </row>
    <row r="69545" spans="1:4" x14ac:dyDescent="0.2">
      <c r="A69545" t="s">
        <v>21564</v>
      </c>
      <c r="B69545" t="str">
        <f>HYPERLINK("https://lindat.mff.cuni.cz/services/teitok/pdtc10/index.php?action=vallex&amp;frame=v-w11326f2", "zklidnit se (v-w11326f2)")</f>
        <v>zklidnit se (v-w11326f2)</v>
      </c>
    </row>
    <row r="69546" spans="1:4" x14ac:dyDescent="0.2">
      <c r="B69546" t="s">
        <v>1</v>
      </c>
      <c r="C69546" t="s">
        <v>3155</v>
      </c>
      <c r="D69546" t="s">
        <v>24198</v>
      </c>
    </row>
    <row r="69548" spans="1:4" x14ac:dyDescent="0.2">
      <c r="A69548" t="s">
        <v>21565</v>
      </c>
      <c r="B69548" t="str">
        <f>HYPERLINK("https://lindat.mff.cuni.cz/services/teitok/pdtc10/index.php?action=vallex&amp;frame=v-w10466f2", "zkolabovat (v-w10466f2)")</f>
        <v>zkolabovat (v-w10466f2)</v>
      </c>
    </row>
    <row r="69549" spans="1:4" x14ac:dyDescent="0.2">
      <c r="B69549" t="s">
        <v>1</v>
      </c>
    </row>
    <row r="69551" spans="1:4" x14ac:dyDescent="0.2">
      <c r="A69551" t="s">
        <v>21566</v>
      </c>
      <c r="B69551" t="str">
        <f>HYPERLINK("https://lindat.mff.cuni.cz/services/teitok/pdtc10/index.php?action=vallex&amp;frame=v-w9529f1", "zkolaudovat (v-w9529f1)")</f>
        <v>zkolaudovat (v-w9529f1)</v>
      </c>
    </row>
    <row r="69552" spans="1:4" x14ac:dyDescent="0.2">
      <c r="B69552" t="s">
        <v>1</v>
      </c>
    </row>
    <row r="69553" spans="1:3" x14ac:dyDescent="0.2">
      <c r="B69553" t="s">
        <v>120</v>
      </c>
    </row>
    <row r="69555" spans="1:3" x14ac:dyDescent="0.2">
      <c r="A69555" t="s">
        <v>21567</v>
      </c>
      <c r="B69555" t="str">
        <f>HYPERLINK("https://lindat.mff.cuni.cz/services/teitok/pdtc10/index.php?action=vallex&amp;frame=v-w9530f1", "zkombinovat (v-w9530f1)")</f>
        <v>zkombinovat (v-w9530f1)</v>
      </c>
    </row>
    <row r="69556" spans="1:3" x14ac:dyDescent="0.2">
      <c r="B69556" t="s">
        <v>1</v>
      </c>
      <c r="C69556" t="s">
        <v>20743</v>
      </c>
    </row>
    <row r="69557" spans="1:3" x14ac:dyDescent="0.2">
      <c r="B69557" t="s">
        <v>8</v>
      </c>
      <c r="C69557" t="s">
        <v>3086</v>
      </c>
    </row>
    <row r="69558" spans="1:3" x14ac:dyDescent="0.2">
      <c r="B69558" t="s">
        <v>2604</v>
      </c>
      <c r="C69558" t="s">
        <v>4075</v>
      </c>
    </row>
    <row r="69560" spans="1:3" x14ac:dyDescent="0.2">
      <c r="A69560" t="s">
        <v>21568</v>
      </c>
      <c r="B69560" t="str">
        <f>HYPERLINK("https://lindat.mff.cuni.cz/services/teitok/pdtc10/index.php?action=vallex&amp;frame=v-w11678_ZUf1_ZU", "zkomolit (v-w11678_ZUf1_ZU)")</f>
        <v>zkomolit (v-w11678_ZUf1_ZU)</v>
      </c>
    </row>
    <row r="69561" spans="1:3" x14ac:dyDescent="0.2">
      <c r="B69561" t="s">
        <v>1</v>
      </c>
    </row>
    <row r="69562" spans="1:3" x14ac:dyDescent="0.2">
      <c r="B69562" t="s">
        <v>8</v>
      </c>
    </row>
    <row r="69563" spans="1:3" x14ac:dyDescent="0.2">
      <c r="B69563" t="s">
        <v>61</v>
      </c>
    </row>
    <row r="69564" spans="1:3" x14ac:dyDescent="0.2">
      <c r="B69564" t="s">
        <v>24</v>
      </c>
    </row>
    <row r="69566" spans="1:3" x14ac:dyDescent="0.2">
      <c r="A69566" t="s">
        <v>21569</v>
      </c>
      <c r="B69566" t="str">
        <f>HYPERLINK("https://lindat.mff.cuni.cz/services/teitok/pdtc10/index.php?action=vallex&amp;frame=v-w10302f2", "zkompletovat (v-w10302f2)")</f>
        <v>zkompletovat (v-w10302f2)</v>
      </c>
    </row>
    <row r="69567" spans="1:3" x14ac:dyDescent="0.2">
      <c r="B69567" t="s">
        <v>1</v>
      </c>
    </row>
    <row r="69568" spans="1:3" x14ac:dyDescent="0.2">
      <c r="B69568" t="s">
        <v>8</v>
      </c>
    </row>
    <row r="69570" spans="1:3" x14ac:dyDescent="0.2">
      <c r="A69570" t="s">
        <v>21570</v>
      </c>
      <c r="B69570" t="str">
        <f>HYPERLINK("https://lindat.mff.cuni.cz/services/teitok/pdtc10/index.php?action=vallex&amp;frame=v-w9531f3_ZU", "zkomplikovat (v-w9531f3_ZU)")</f>
        <v>zkomplikovat (v-w9531f3_ZU)</v>
      </c>
    </row>
    <row r="69571" spans="1:3" x14ac:dyDescent="0.2">
      <c r="B69571" t="s">
        <v>1</v>
      </c>
    </row>
    <row r="69572" spans="1:3" x14ac:dyDescent="0.2">
      <c r="B69572" t="s">
        <v>8</v>
      </c>
    </row>
    <row r="69573" spans="1:3" x14ac:dyDescent="0.2">
      <c r="B69573" t="s">
        <v>78</v>
      </c>
    </row>
    <row r="69575" spans="1:3" x14ac:dyDescent="0.2">
      <c r="A69575" t="s">
        <v>21570</v>
      </c>
      <c r="B69575" t="str">
        <f>HYPERLINK("https://lindat.mff.cuni.cz/services/teitok/pdtc10/index.php?action=vallex&amp;frame=v-w9531f1", "zkomplikovat (v-w9531f1) - substituted with v-w9531f3_ZU")</f>
        <v>zkomplikovat (v-w9531f1) - substituted with v-w9531f3_ZU</v>
      </c>
    </row>
    <row r="69576" spans="1:3" x14ac:dyDescent="0.2">
      <c r="B69576" t="s">
        <v>1</v>
      </c>
      <c r="C69576" t="s">
        <v>6168</v>
      </c>
    </row>
    <row r="69577" spans="1:3" x14ac:dyDescent="0.2">
      <c r="B69577" t="s">
        <v>8</v>
      </c>
      <c r="C69577" t="s">
        <v>21571</v>
      </c>
    </row>
    <row r="69578" spans="1:3" x14ac:dyDescent="0.2">
      <c r="B69578" t="s">
        <v>78</v>
      </c>
      <c r="C69578" t="s">
        <v>1553</v>
      </c>
    </row>
    <row r="69580" spans="1:3" x14ac:dyDescent="0.2">
      <c r="A69580" t="s">
        <v>21570</v>
      </c>
      <c r="B69580" t="str">
        <f>HYPERLINK("https://lindat.mff.cuni.cz/services/teitok/pdtc10/index.php?action=vallex&amp;frame=v-w9531f2_ZU", "zkomplikovat (v-w9531f2_ZU) - substituted with v-w9531f3_ZU")</f>
        <v>zkomplikovat (v-w9531f2_ZU) - substituted with v-w9531f3_ZU</v>
      </c>
    </row>
    <row r="69581" spans="1:3" x14ac:dyDescent="0.2">
      <c r="B69581" t="s">
        <v>1</v>
      </c>
    </row>
    <row r="69582" spans="1:3" x14ac:dyDescent="0.2">
      <c r="B69582" t="s">
        <v>8</v>
      </c>
    </row>
    <row r="69583" spans="1:3" x14ac:dyDescent="0.2">
      <c r="B69583" t="s">
        <v>78</v>
      </c>
    </row>
    <row r="69585" spans="1:4" x14ac:dyDescent="0.2">
      <c r="A69585" t="s">
        <v>21572</v>
      </c>
      <c r="B69585" t="str">
        <f>HYPERLINK("https://lindat.mff.cuni.cz/services/teitok/pdtc10/index.php?action=vallex&amp;frame=v-whsa_1153hsa_1154", "zkomplikovat se (v-whsa_1153hsa_1154)")</f>
        <v>zkomplikovat se (v-whsa_1153hsa_1154)</v>
      </c>
    </row>
    <row r="69586" spans="1:4" x14ac:dyDescent="0.2">
      <c r="B69586" t="s">
        <v>1</v>
      </c>
      <c r="C69586" t="s">
        <v>6729</v>
      </c>
      <c r="D69586" t="s">
        <v>24535</v>
      </c>
    </row>
    <row r="69588" spans="1:4" x14ac:dyDescent="0.2">
      <c r="A69588" t="s">
        <v>21573</v>
      </c>
      <c r="B69588" t="str">
        <f>HYPERLINK("https://lindat.mff.cuni.cz/services/teitok/pdtc10/index.php?action=vallex&amp;frame=v-w9532f1", "zkomponovat (v-w9532f1)")</f>
        <v>zkomponovat (v-w9532f1)</v>
      </c>
    </row>
    <row r="69589" spans="1:4" x14ac:dyDescent="0.2">
      <c r="B69589" t="s">
        <v>1</v>
      </c>
    </row>
    <row r="69590" spans="1:4" x14ac:dyDescent="0.2">
      <c r="B69590" t="s">
        <v>8</v>
      </c>
    </row>
    <row r="69592" spans="1:4" x14ac:dyDescent="0.2">
      <c r="A69592" t="s">
        <v>21574</v>
      </c>
      <c r="B69592" t="str">
        <f>HYPERLINK("https://lindat.mff.cuni.cz/services/teitok/pdtc10/index.php?action=vallex&amp;frame=v-w9533f1", "zkoncentrovat se (v-w9533f1)")</f>
        <v>zkoncentrovat se (v-w9533f1)</v>
      </c>
    </row>
    <row r="69593" spans="1:4" x14ac:dyDescent="0.2">
      <c r="B69593" t="s">
        <v>1</v>
      </c>
    </row>
    <row r="69594" spans="1:4" x14ac:dyDescent="0.2">
      <c r="B69594" t="s">
        <v>46</v>
      </c>
    </row>
    <row r="69596" spans="1:4" x14ac:dyDescent="0.2">
      <c r="A69596" t="s">
        <v>21575</v>
      </c>
      <c r="B69596" t="str">
        <f>HYPERLINK("https://lindat.mff.cuni.cz/services/teitok/pdtc10/index.php?action=vallex&amp;frame=v-w10644f2", "zkoncipovat (v-w10644f2)")</f>
        <v>zkoncipovat (v-w10644f2)</v>
      </c>
    </row>
    <row r="69597" spans="1:4" x14ac:dyDescent="0.2">
      <c r="B69597" t="s">
        <v>1</v>
      </c>
      <c r="D69597" t="s">
        <v>3255</v>
      </c>
    </row>
    <row r="69598" spans="1:4" x14ac:dyDescent="0.2">
      <c r="B69598" t="s">
        <v>8</v>
      </c>
      <c r="D69598" t="s">
        <v>1241</v>
      </c>
    </row>
    <row r="69599" spans="1:4" x14ac:dyDescent="0.2">
      <c r="B69599" t="s">
        <v>24</v>
      </c>
    </row>
    <row r="69601" spans="1:4" x14ac:dyDescent="0.2">
      <c r="A69601" t="s">
        <v>21576</v>
      </c>
      <c r="B69601" t="str">
        <f>HYPERLINK("https://lindat.mff.cuni.cz/services/teitok/pdtc10/index.php?action=vallex&amp;frame=v-w9534f1", "zkonfiskovat (v-w9534f1)")</f>
        <v>zkonfiskovat (v-w9534f1)</v>
      </c>
    </row>
    <row r="69602" spans="1:4" x14ac:dyDescent="0.2">
      <c r="B69602" t="s">
        <v>1</v>
      </c>
      <c r="C69602" t="s">
        <v>3358</v>
      </c>
      <c r="D69602" t="s">
        <v>2571</v>
      </c>
    </row>
    <row r="69603" spans="1:4" x14ac:dyDescent="0.2">
      <c r="B69603" t="s">
        <v>8</v>
      </c>
      <c r="C69603" t="s">
        <v>1343</v>
      </c>
      <c r="D69603" t="s">
        <v>1996</v>
      </c>
    </row>
    <row r="69605" spans="1:4" x14ac:dyDescent="0.2">
      <c r="A69605" t="s">
        <v>21577</v>
      </c>
      <c r="B69605" t="str">
        <f>HYPERLINK("https://lindat.mff.cuni.cz/services/teitok/pdtc10/index.php?action=vallex&amp;frame=v-w11349f1", "zkonsolidovat (v-w11349f1)")</f>
        <v>zkonsolidovat (v-w11349f1)</v>
      </c>
    </row>
    <row r="69606" spans="1:4" x14ac:dyDescent="0.2">
      <c r="B69606" t="s">
        <v>1</v>
      </c>
      <c r="C69606" t="s">
        <v>1125</v>
      </c>
    </row>
    <row r="69607" spans="1:4" x14ac:dyDescent="0.2">
      <c r="B69607" t="s">
        <v>8</v>
      </c>
      <c r="C69607" t="s">
        <v>3773</v>
      </c>
    </row>
    <row r="69609" spans="1:4" x14ac:dyDescent="0.2">
      <c r="A69609" t="s">
        <v>21578</v>
      </c>
      <c r="B69609" t="str">
        <f>HYPERLINK("https://lindat.mff.cuni.cz/services/teitok/pdtc10/index.php?action=vallex&amp;frame=v-w9535f2_ZU", "zkonsolidovat se (v-w9535f2_ZU)")</f>
        <v>zkonsolidovat se (v-w9535f2_ZU)</v>
      </c>
    </row>
    <row r="69610" spans="1:4" x14ac:dyDescent="0.2">
      <c r="B69610" t="s">
        <v>1</v>
      </c>
    </row>
    <row r="69612" spans="1:4" x14ac:dyDescent="0.2">
      <c r="A69612" t="s">
        <v>21578</v>
      </c>
      <c r="B69612" t="str">
        <f>HYPERLINK("https://lindat.mff.cuni.cz/services/teitok/pdtc10/index.php?action=vallex&amp;frame=v-w9535f1", "zkonsolidovat se (v-w9535f1) - substituted with v-w9535f2_ZU")</f>
        <v>zkonsolidovat se (v-w9535f1) - substituted with v-w9535f2_ZU</v>
      </c>
    </row>
    <row r="69613" spans="1:4" x14ac:dyDescent="0.2">
      <c r="B69613" t="s">
        <v>1</v>
      </c>
    </row>
    <row r="69615" spans="1:4" x14ac:dyDescent="0.2">
      <c r="A69615" t="s">
        <v>21579</v>
      </c>
      <c r="B69615" t="str">
        <f>HYPERLINK("https://lindat.mff.cuni.cz/services/teitok/pdtc10/index.php?action=vallex&amp;frame=v-w9536f1", "zkonstruovat (v-w9536f1)")</f>
        <v>zkonstruovat (v-w9536f1)</v>
      </c>
    </row>
    <row r="69616" spans="1:4" x14ac:dyDescent="0.2">
      <c r="B69616" t="s">
        <v>1</v>
      </c>
      <c r="C69616" t="s">
        <v>20601</v>
      </c>
      <c r="D69616" t="s">
        <v>23418</v>
      </c>
    </row>
    <row r="69617" spans="1:4" x14ac:dyDescent="0.2">
      <c r="B69617" t="s">
        <v>8</v>
      </c>
      <c r="C69617" t="s">
        <v>19425</v>
      </c>
      <c r="D69617" t="s">
        <v>23419</v>
      </c>
    </row>
    <row r="69618" spans="1:4" x14ac:dyDescent="0.2">
      <c r="B69618" t="s">
        <v>24</v>
      </c>
      <c r="C69618" t="s">
        <v>4687</v>
      </c>
      <c r="D69618" t="s">
        <v>10345</v>
      </c>
    </row>
    <row r="69620" spans="1:4" x14ac:dyDescent="0.2">
      <c r="A69620" t="s">
        <v>21580</v>
      </c>
      <c r="B69620" t="str">
        <f>HYPERLINK("https://lindat.mff.cuni.cz/services/teitok/pdtc10/index.php?action=vallex&amp;frame=v-w11194f3", "zkontaktovat (v-w11194f3)")</f>
        <v>zkontaktovat (v-w11194f3)</v>
      </c>
    </row>
    <row r="69621" spans="1:4" x14ac:dyDescent="0.2">
      <c r="B69621" t="s">
        <v>1</v>
      </c>
    </row>
    <row r="69622" spans="1:4" x14ac:dyDescent="0.2">
      <c r="B69622" t="s">
        <v>8</v>
      </c>
    </row>
    <row r="69624" spans="1:4" x14ac:dyDescent="0.2">
      <c r="A69624" t="s">
        <v>21581</v>
      </c>
      <c r="B69624" t="str">
        <f>HYPERLINK("https://lindat.mff.cuni.cz/services/teitok/pdtc10/index.php?action=vallex&amp;frame=v-w9537f1", "zkontrolovat (v-w9537f1)")</f>
        <v>zkontrolovat (v-w9537f1)</v>
      </c>
    </row>
    <row r="69625" spans="1:4" x14ac:dyDescent="0.2">
      <c r="B69625" t="s">
        <v>1</v>
      </c>
      <c r="C69625" t="s">
        <v>2148</v>
      </c>
      <c r="D69625" t="s">
        <v>14474</v>
      </c>
    </row>
    <row r="69626" spans="1:4" x14ac:dyDescent="0.2">
      <c r="B69626" t="s">
        <v>11515</v>
      </c>
      <c r="C69626" t="s">
        <v>6891</v>
      </c>
      <c r="D69626" t="s">
        <v>23981</v>
      </c>
    </row>
    <row r="69628" spans="1:4" x14ac:dyDescent="0.2">
      <c r="A69628" t="s">
        <v>21582</v>
      </c>
      <c r="B69628" t="str">
        <f>HYPERLINK("https://lindat.mff.cuni.cz/services/teitok/pdtc10/index.php?action=vallex&amp;frame=v-w10077f2", "zkonvertovat (v-w10077f2)")</f>
        <v>zkonvertovat (v-w10077f2)</v>
      </c>
    </row>
    <row r="69629" spans="1:4" x14ac:dyDescent="0.2">
      <c r="B69629" t="s">
        <v>1</v>
      </c>
    </row>
    <row r="69630" spans="1:4" x14ac:dyDescent="0.2">
      <c r="B69630" t="s">
        <v>8</v>
      </c>
    </row>
    <row r="69631" spans="1:4" x14ac:dyDescent="0.2">
      <c r="B69631" t="s">
        <v>24</v>
      </c>
    </row>
    <row r="69632" spans="1:4" x14ac:dyDescent="0.2">
      <c r="B69632" t="s">
        <v>8360</v>
      </c>
    </row>
    <row r="69634" spans="1:3" x14ac:dyDescent="0.2">
      <c r="A69634" t="s">
        <v>21583</v>
      </c>
      <c r="B69634" t="str">
        <f>HYPERLINK("https://lindat.mff.cuni.cz/services/teitok/pdtc10/index.php?action=vallex&amp;frame=v-w11648_ZUf3_ZU", "zkonzistentnit (v-w11648_ZUf3_ZU)")</f>
        <v>zkonzistentnit (v-w11648_ZUf3_ZU)</v>
      </c>
    </row>
    <row r="69635" spans="1:3" x14ac:dyDescent="0.2">
      <c r="B69635" t="s">
        <v>1</v>
      </c>
      <c r="C69635" t="s">
        <v>2787</v>
      </c>
    </row>
    <row r="69636" spans="1:3" x14ac:dyDescent="0.2">
      <c r="B69636" t="s">
        <v>8</v>
      </c>
      <c r="C69636" t="s">
        <v>2788</v>
      </c>
    </row>
    <row r="69637" spans="1:3" x14ac:dyDescent="0.2">
      <c r="B69637" t="s">
        <v>153</v>
      </c>
    </row>
    <row r="69638" spans="1:3" x14ac:dyDescent="0.2">
      <c r="B69638" t="s">
        <v>14047</v>
      </c>
    </row>
    <row r="69640" spans="1:3" x14ac:dyDescent="0.2">
      <c r="A69640" t="s">
        <v>21583</v>
      </c>
      <c r="B69640" t="str">
        <f>HYPERLINK("https://lindat.mff.cuni.cz/services/teitok/pdtc10/index.php?action=vallex&amp;frame=v-w11648_ZUf1_ZU", "zkonzistentnit (v-w11648_ZUf1_ZU) - substituted with v-w11648_ZUf3_ZU")</f>
        <v>zkonzistentnit (v-w11648_ZUf1_ZU) - substituted with v-w11648_ZUf3_ZU</v>
      </c>
    </row>
    <row r="69641" spans="1:3" x14ac:dyDescent="0.2">
      <c r="B69641" t="s">
        <v>1</v>
      </c>
    </row>
    <row r="69642" spans="1:3" x14ac:dyDescent="0.2">
      <c r="B69642" t="s">
        <v>8</v>
      </c>
    </row>
    <row r="69643" spans="1:3" x14ac:dyDescent="0.2">
      <c r="B69643" t="s">
        <v>153</v>
      </c>
    </row>
    <row r="69644" spans="1:3" x14ac:dyDescent="0.2">
      <c r="B69644" t="s">
        <v>14047</v>
      </c>
    </row>
    <row r="69646" spans="1:3" x14ac:dyDescent="0.2">
      <c r="A69646" t="s">
        <v>21583</v>
      </c>
      <c r="B69646" t="str">
        <f>HYPERLINK("https://lindat.mff.cuni.cz/services/teitok/pdtc10/index.php?action=vallex&amp;frame=v-w11648_ZUf2_ZU", "zkonzistentnit (v-w11648_ZUf2_ZU) - substituted with v-w11648_ZUf3_ZU")</f>
        <v>zkonzistentnit (v-w11648_ZUf2_ZU) - substituted with v-w11648_ZUf3_ZU</v>
      </c>
    </row>
    <row r="69647" spans="1:3" x14ac:dyDescent="0.2">
      <c r="B69647" t="s">
        <v>1</v>
      </c>
    </row>
    <row r="69648" spans="1:3" x14ac:dyDescent="0.2">
      <c r="B69648" t="s">
        <v>8</v>
      </c>
    </row>
    <row r="69649" spans="1:4" x14ac:dyDescent="0.2">
      <c r="B69649" t="s">
        <v>153</v>
      </c>
    </row>
    <row r="69650" spans="1:4" x14ac:dyDescent="0.2">
      <c r="B69650" t="s">
        <v>14047</v>
      </c>
    </row>
    <row r="69652" spans="1:4" x14ac:dyDescent="0.2">
      <c r="A69652" t="s">
        <v>21584</v>
      </c>
      <c r="B69652" t="str">
        <f>HYPERLINK("https://lindat.mff.cuni.cz/services/teitok/pdtc10/index.php?action=vallex&amp;frame=v-w12335_MMf1_MM", "zkonzolidovat (v-w12335_MMf1_MM)")</f>
        <v>zkonzolidovat (v-w12335_MMf1_MM)</v>
      </c>
    </row>
    <row r="69653" spans="1:4" x14ac:dyDescent="0.2">
      <c r="B69653" t="s">
        <v>1</v>
      </c>
    </row>
    <row r="69654" spans="1:4" x14ac:dyDescent="0.2">
      <c r="B69654" t="s">
        <v>8</v>
      </c>
    </row>
    <row r="69656" spans="1:4" x14ac:dyDescent="0.2">
      <c r="A69656" t="s">
        <v>21585</v>
      </c>
      <c r="B69656" t="str">
        <f>HYPERLINK("https://lindat.mff.cuni.cz/services/teitok/pdtc10/index.php?action=vallex&amp;frame=v-w9538f1", "zkonzumovat (v-w9538f1)")</f>
        <v>zkonzumovat (v-w9538f1)</v>
      </c>
    </row>
    <row r="69657" spans="1:4" x14ac:dyDescent="0.2">
      <c r="B69657" t="s">
        <v>1</v>
      </c>
    </row>
    <row r="69658" spans="1:4" x14ac:dyDescent="0.2">
      <c r="B69658" t="s">
        <v>8</v>
      </c>
    </row>
    <row r="69660" spans="1:4" x14ac:dyDescent="0.2">
      <c r="A69660" t="s">
        <v>21586</v>
      </c>
      <c r="B69660" t="str">
        <f>HYPERLINK("https://lindat.mff.cuni.cz/services/teitok/pdtc10/index.php?action=vallex&amp;frame=v-w9539f1", "zkoordinovat (v-w9539f1)")</f>
        <v>zkoordinovat (v-w9539f1)</v>
      </c>
    </row>
    <row r="69661" spans="1:4" x14ac:dyDescent="0.2">
      <c r="B69661" t="s">
        <v>1</v>
      </c>
      <c r="C69661" t="s">
        <v>373</v>
      </c>
      <c r="D69661" t="s">
        <v>334</v>
      </c>
    </row>
    <row r="69662" spans="1:4" x14ac:dyDescent="0.2">
      <c r="B69662" t="s">
        <v>8</v>
      </c>
      <c r="C69662" t="s">
        <v>4185</v>
      </c>
      <c r="D69662" t="s">
        <v>19345</v>
      </c>
    </row>
    <row r="69663" spans="1:4" x14ac:dyDescent="0.2">
      <c r="B69663" t="s">
        <v>2604</v>
      </c>
      <c r="C69663" t="s">
        <v>26</v>
      </c>
      <c r="D69663" t="s">
        <v>1290</v>
      </c>
    </row>
    <row r="69665" spans="1:4" x14ac:dyDescent="0.2">
      <c r="A69665" t="s">
        <v>21587</v>
      </c>
      <c r="B69665" t="str">
        <f>HYPERLINK("https://lindat.mff.cuni.cz/services/teitok/pdtc10/index.php?action=vallex&amp;frame=v-w11022f2", "zkopat (v-w11022f2)")</f>
        <v>zkopat (v-w11022f2)</v>
      </c>
    </row>
    <row r="69666" spans="1:4" x14ac:dyDescent="0.2">
      <c r="B69666" t="s">
        <v>1</v>
      </c>
    </row>
    <row r="69667" spans="1:4" x14ac:dyDescent="0.2">
      <c r="B69667" t="s">
        <v>8</v>
      </c>
    </row>
    <row r="69669" spans="1:4" x14ac:dyDescent="0.2">
      <c r="A69669" t="s">
        <v>21588</v>
      </c>
      <c r="B69669" t="str">
        <f>HYPERLINK("https://lindat.mff.cuni.cz/services/teitok/pdtc10/index.php?action=vallex&amp;frame=v-w10689f4_ZU", "zkopírovat (v-w10689f4_ZU)")</f>
        <v>zkopírovat (v-w10689f4_ZU)</v>
      </c>
    </row>
    <row r="69670" spans="1:4" x14ac:dyDescent="0.2">
      <c r="B69670" t="s">
        <v>1</v>
      </c>
    </row>
    <row r="69671" spans="1:4" x14ac:dyDescent="0.2">
      <c r="B69671" t="s">
        <v>8</v>
      </c>
    </row>
    <row r="69673" spans="1:4" x14ac:dyDescent="0.2">
      <c r="A69673" t="s">
        <v>21588</v>
      </c>
      <c r="B69673" t="str">
        <f>HYPERLINK("https://lindat.mff.cuni.cz/services/teitok/pdtc10/index.php?action=vallex&amp;frame=v-w10689f2", "zkopírovat (v-w10689f2) - substituted with v-w10689f4_ZU")</f>
        <v>zkopírovat (v-w10689f2) - substituted with v-w10689f4_ZU</v>
      </c>
    </row>
    <row r="69674" spans="1:4" x14ac:dyDescent="0.2">
      <c r="B69674" t="s">
        <v>1</v>
      </c>
      <c r="D69674" t="s">
        <v>83</v>
      </c>
    </row>
    <row r="69675" spans="1:4" x14ac:dyDescent="0.2">
      <c r="B69675" t="s">
        <v>8</v>
      </c>
      <c r="D69675" t="s">
        <v>2240</v>
      </c>
    </row>
    <row r="69677" spans="1:4" x14ac:dyDescent="0.2">
      <c r="A69677" t="s">
        <v>21589</v>
      </c>
      <c r="B69677" t="str">
        <f>HYPERLINK("https://lindat.mff.cuni.cz/services/teitok/pdtc10/index.php?action=vallex&amp;frame=v-w10689f3_ZU", "zkopírovat (v-w10689f3_ZU)")</f>
        <v>zkopírovat (v-w10689f3_ZU)</v>
      </c>
    </row>
    <row r="69678" spans="1:4" x14ac:dyDescent="0.2">
      <c r="B69678" t="s">
        <v>1</v>
      </c>
    </row>
    <row r="69679" spans="1:4" x14ac:dyDescent="0.2">
      <c r="B69679" t="s">
        <v>8</v>
      </c>
    </row>
    <row r="69681" spans="1:4" x14ac:dyDescent="0.2">
      <c r="A69681" t="s">
        <v>21590</v>
      </c>
      <c r="B69681" t="str">
        <f>HYPERLINK("https://lindat.mff.cuni.cz/services/teitok/pdtc10/index.php?action=vallex&amp;frame=v-w10776f2", "zkorigovat (v-w10776f2)")</f>
        <v>zkorigovat (v-w10776f2)</v>
      </c>
    </row>
    <row r="69682" spans="1:4" x14ac:dyDescent="0.2">
      <c r="B69682" t="s">
        <v>1</v>
      </c>
      <c r="D69682" t="s">
        <v>3081</v>
      </c>
    </row>
    <row r="69683" spans="1:4" x14ac:dyDescent="0.2">
      <c r="B69683" t="s">
        <v>8</v>
      </c>
      <c r="D69683" t="s">
        <v>7164</v>
      </c>
    </row>
    <row r="69684" spans="1:4" x14ac:dyDescent="0.2">
      <c r="B69684" t="s">
        <v>61</v>
      </c>
    </row>
    <row r="69686" spans="1:4" x14ac:dyDescent="0.2">
      <c r="A69686" t="s">
        <v>21591</v>
      </c>
      <c r="B69686" t="str">
        <f>HYPERLINK("https://lindat.mff.cuni.cz/services/teitok/pdtc10/index.php?action=vallex&amp;frame=v-w9541f1", "zkorumpovat (v-w9541f1)")</f>
        <v>zkorumpovat (v-w9541f1)</v>
      </c>
    </row>
    <row r="69687" spans="1:4" x14ac:dyDescent="0.2">
      <c r="B69687" t="s">
        <v>1</v>
      </c>
    </row>
    <row r="69688" spans="1:4" x14ac:dyDescent="0.2">
      <c r="B69688" t="s">
        <v>8</v>
      </c>
    </row>
    <row r="69690" spans="1:4" x14ac:dyDescent="0.2">
      <c r="A69690" t="s">
        <v>21592</v>
      </c>
      <c r="B69690" t="str">
        <f>HYPERLINK("https://lindat.mff.cuni.cz/services/teitok/pdtc10/index.php?action=vallex&amp;frame=v-w9543f1", "zkoumat (v-w9543f1)")</f>
        <v>zkoumat (v-w9543f1)</v>
      </c>
    </row>
    <row r="69691" spans="1:4" x14ac:dyDescent="0.2">
      <c r="B69691" t="s">
        <v>1</v>
      </c>
      <c r="C69691" t="s">
        <v>21593</v>
      </c>
      <c r="D69691" t="s">
        <v>14474</v>
      </c>
    </row>
    <row r="69692" spans="1:4" x14ac:dyDescent="0.2">
      <c r="B69692" t="s">
        <v>1693</v>
      </c>
      <c r="C69692" t="s">
        <v>21594</v>
      </c>
      <c r="D69692" t="s">
        <v>23981</v>
      </c>
    </row>
    <row r="69694" spans="1:4" x14ac:dyDescent="0.2">
      <c r="A69694" t="s">
        <v>21595</v>
      </c>
      <c r="B69694" t="str">
        <f>HYPERLINK("https://lindat.mff.cuni.cz/services/teitok/pdtc10/index.php?action=vallex&amp;frame=v-w9544f6", "zkoušet (v-w9544f6)")</f>
        <v>zkoušet (v-w9544f6)</v>
      </c>
    </row>
    <row r="69695" spans="1:4" x14ac:dyDescent="0.2">
      <c r="B69695" t="s">
        <v>1</v>
      </c>
    </row>
    <row r="69696" spans="1:4" x14ac:dyDescent="0.2">
      <c r="B69696" t="s">
        <v>8</v>
      </c>
    </row>
    <row r="69697" spans="1:2" x14ac:dyDescent="0.2">
      <c r="B69697" t="s">
        <v>88</v>
      </c>
    </row>
    <row r="69699" spans="1:2" x14ac:dyDescent="0.2">
      <c r="A69699" t="s">
        <v>21596</v>
      </c>
      <c r="B69699" t="str">
        <f>HYPERLINK("https://lindat.mff.cuni.cz/services/teitok/pdtc10/index.php?action=vallex&amp;frame=v-w9544f8_ZU", "zkoušet (v-w9544f8_ZU)")</f>
        <v>zkoušet (v-w9544f8_ZU)</v>
      </c>
    </row>
    <row r="69700" spans="1:2" x14ac:dyDescent="0.2">
      <c r="B69700" t="s">
        <v>1</v>
      </c>
    </row>
    <row r="69701" spans="1:2" x14ac:dyDescent="0.2">
      <c r="B69701" t="s">
        <v>8</v>
      </c>
    </row>
    <row r="69702" spans="1:2" x14ac:dyDescent="0.2">
      <c r="B69702" t="s">
        <v>21597</v>
      </c>
    </row>
    <row r="69704" spans="1:2" x14ac:dyDescent="0.2">
      <c r="A69704" t="s">
        <v>21596</v>
      </c>
      <c r="B69704" t="str">
        <f>HYPERLINK("https://lindat.mff.cuni.cz/services/teitok/pdtc10/index.php?action=vallex&amp;frame=v-w9544f4", "zkoušet (v-w9544f4) - substituted with v-w9544f8_ZU")</f>
        <v>zkoušet (v-w9544f4) - substituted with v-w9544f8_ZU</v>
      </c>
    </row>
    <row r="69705" spans="1:2" x14ac:dyDescent="0.2">
      <c r="B69705" t="s">
        <v>1</v>
      </c>
    </row>
    <row r="69706" spans="1:2" x14ac:dyDescent="0.2">
      <c r="B69706" t="s">
        <v>8</v>
      </c>
    </row>
    <row r="69707" spans="1:2" x14ac:dyDescent="0.2">
      <c r="B69707" t="s">
        <v>21597</v>
      </c>
    </row>
    <row r="69709" spans="1:2" x14ac:dyDescent="0.2">
      <c r="A69709" t="s">
        <v>21596</v>
      </c>
      <c r="B69709" t="str">
        <f>HYPERLINK("https://lindat.mff.cuni.cz/services/teitok/pdtc10/index.php?action=vallex&amp;frame=v-w9544hsa_1673", "zkoušet (v-w9544hsa_1673) - substituted with v-w9544f8_ZU")</f>
        <v>zkoušet (v-w9544hsa_1673) - substituted with v-w9544f8_ZU</v>
      </c>
    </row>
    <row r="69710" spans="1:2" x14ac:dyDescent="0.2">
      <c r="B69710" t="s">
        <v>1</v>
      </c>
    </row>
    <row r="69711" spans="1:2" x14ac:dyDescent="0.2">
      <c r="B69711" t="s">
        <v>8</v>
      </c>
    </row>
    <row r="69712" spans="1:2" x14ac:dyDescent="0.2">
      <c r="B69712" t="s">
        <v>21597</v>
      </c>
    </row>
    <row r="69714" spans="1:4" x14ac:dyDescent="0.2">
      <c r="A69714" t="s">
        <v>21598</v>
      </c>
      <c r="B69714" t="str">
        <f>HYPERLINK("https://lindat.mff.cuni.cz/services/teitok/pdtc10/index.php?action=vallex&amp;frame=v-w9544f2", "zkoušet (v-w9544f2)")</f>
        <v>zkoušet (v-w9544f2)</v>
      </c>
    </row>
    <row r="69715" spans="1:4" x14ac:dyDescent="0.2">
      <c r="B69715" t="s">
        <v>1</v>
      </c>
    </row>
    <row r="69716" spans="1:4" x14ac:dyDescent="0.2">
      <c r="B69716" t="s">
        <v>228</v>
      </c>
    </row>
    <row r="69718" spans="1:4" x14ac:dyDescent="0.2">
      <c r="A69718" t="s">
        <v>21599</v>
      </c>
      <c r="B69718" t="str">
        <f>HYPERLINK("https://lindat.mff.cuni.cz/services/teitok/pdtc10/index.php?action=vallex&amp;frame=v-w9544f5", "zkoušet (v-w9544f5)")</f>
        <v>zkoušet (v-w9544f5)</v>
      </c>
    </row>
    <row r="69719" spans="1:4" x14ac:dyDescent="0.2">
      <c r="B69719" t="s">
        <v>1</v>
      </c>
      <c r="C69719" t="s">
        <v>6974</v>
      </c>
    </row>
    <row r="69720" spans="1:4" x14ac:dyDescent="0.2">
      <c r="B69720" t="s">
        <v>8</v>
      </c>
      <c r="C69720" t="s">
        <v>6975</v>
      </c>
    </row>
    <row r="69722" spans="1:4" x14ac:dyDescent="0.2">
      <c r="A69722" t="s">
        <v>21600</v>
      </c>
      <c r="B69722" t="str">
        <f>HYPERLINK("https://lindat.mff.cuni.cz/services/teitok/pdtc10/index.php?action=vallex&amp;frame=v-w9544f3", "zkoušet (v-w9544f3)")</f>
        <v>zkoušet (v-w9544f3)</v>
      </c>
    </row>
    <row r="69723" spans="1:4" x14ac:dyDescent="0.2">
      <c r="B69723" t="s">
        <v>1</v>
      </c>
    </row>
    <row r="69724" spans="1:4" x14ac:dyDescent="0.2">
      <c r="B69724" t="s">
        <v>8</v>
      </c>
    </row>
    <row r="69726" spans="1:4" x14ac:dyDescent="0.2">
      <c r="A69726" t="s">
        <v>21601</v>
      </c>
      <c r="B69726" t="str">
        <f>HYPERLINK("https://lindat.mff.cuni.cz/services/teitok/pdtc10/index.php?action=vallex&amp;frame=v-w9544f7_ZU", "zkoušet (v-w9544f7_ZU)")</f>
        <v>zkoušet (v-w9544f7_ZU)</v>
      </c>
    </row>
    <row r="69727" spans="1:4" x14ac:dyDescent="0.2">
      <c r="B69727" t="s">
        <v>1</v>
      </c>
      <c r="C69727" t="s">
        <v>6974</v>
      </c>
      <c r="D69727" t="s">
        <v>24539</v>
      </c>
    </row>
    <row r="69728" spans="1:4" x14ac:dyDescent="0.2">
      <c r="B69728" t="s">
        <v>21602</v>
      </c>
      <c r="C69728" t="s">
        <v>6975</v>
      </c>
      <c r="D69728" t="s">
        <v>24540</v>
      </c>
    </row>
    <row r="69730" spans="1:4" x14ac:dyDescent="0.2">
      <c r="A69730" t="s">
        <v>21601</v>
      </c>
      <c r="B69730" t="str">
        <f>HYPERLINK("https://lindat.mff.cuni.cz/services/teitok/pdtc10/index.php?action=vallex&amp;frame=v-w9544f1", "zkoušet (v-w9544f1) - substituted with v-w9544f7_ZU")</f>
        <v>zkoušet (v-w9544f1) - substituted with v-w9544f7_ZU</v>
      </c>
    </row>
    <row r="69731" spans="1:4" x14ac:dyDescent="0.2">
      <c r="B69731" t="s">
        <v>1</v>
      </c>
      <c r="C69731" t="s">
        <v>21603</v>
      </c>
    </row>
    <row r="69732" spans="1:4" x14ac:dyDescent="0.2">
      <c r="B69732" t="s">
        <v>21602</v>
      </c>
      <c r="C69732" t="s">
        <v>16380</v>
      </c>
    </row>
    <row r="69734" spans="1:4" x14ac:dyDescent="0.2">
      <c r="A69734" t="s">
        <v>21604</v>
      </c>
      <c r="B69734" t="str">
        <f>HYPERLINK("https://lindat.mff.cuni.cz/services/teitok/pdtc10/index.php?action=vallex&amp;frame=v-w9545f1", "zkoušet si (v-w9545f1)")</f>
        <v>zkoušet si (v-w9545f1)</v>
      </c>
    </row>
    <row r="69735" spans="1:4" x14ac:dyDescent="0.2">
      <c r="B69735" t="s">
        <v>1</v>
      </c>
    </row>
    <row r="69736" spans="1:4" x14ac:dyDescent="0.2">
      <c r="B69736" t="s">
        <v>8</v>
      </c>
    </row>
    <row r="69738" spans="1:4" x14ac:dyDescent="0.2">
      <c r="A69738" t="s">
        <v>21605</v>
      </c>
      <c r="B69738" t="str">
        <f>HYPERLINK("https://lindat.mff.cuni.cz/services/teitok/pdtc10/index.php?action=vallex&amp;frame=v-w9550f1", "zkrachovat (v-w9550f1)")</f>
        <v>zkrachovat (v-w9550f1)</v>
      </c>
    </row>
    <row r="69739" spans="1:4" x14ac:dyDescent="0.2">
      <c r="B69739" t="s">
        <v>1</v>
      </c>
      <c r="C69739" t="s">
        <v>21606</v>
      </c>
      <c r="D69739" t="s">
        <v>1593</v>
      </c>
    </row>
    <row r="69741" spans="1:4" x14ac:dyDescent="0.2">
      <c r="A69741" t="s">
        <v>21607</v>
      </c>
      <c r="B69741" t="str">
        <f>HYPERLINK("https://lindat.mff.cuni.cz/services/teitok/pdtc10/index.php?action=vallex&amp;frame=v-w9549f1", "zkracovat (v-w9549f1)")</f>
        <v>zkracovat (v-w9549f1)</v>
      </c>
    </row>
    <row r="69742" spans="1:4" x14ac:dyDescent="0.2">
      <c r="B69742" t="s">
        <v>1</v>
      </c>
      <c r="C69742" t="s">
        <v>2787</v>
      </c>
      <c r="D69742" t="s">
        <v>6039</v>
      </c>
    </row>
    <row r="69743" spans="1:4" x14ac:dyDescent="0.2">
      <c r="B69743" t="s">
        <v>8</v>
      </c>
      <c r="C69743" t="s">
        <v>16779</v>
      </c>
      <c r="D69743" t="s">
        <v>10163</v>
      </c>
    </row>
    <row r="69744" spans="1:4" x14ac:dyDescent="0.2">
      <c r="B69744" t="s">
        <v>24</v>
      </c>
      <c r="C69744" t="s">
        <v>21608</v>
      </c>
      <c r="D69744" t="s">
        <v>21619</v>
      </c>
    </row>
    <row r="69745" spans="1:4" x14ac:dyDescent="0.2">
      <c r="B69745" t="s">
        <v>61</v>
      </c>
      <c r="C69745" t="s">
        <v>21609</v>
      </c>
      <c r="D69745" t="s">
        <v>21620</v>
      </c>
    </row>
    <row r="69747" spans="1:4" x14ac:dyDescent="0.2">
      <c r="A69747" t="s">
        <v>21610</v>
      </c>
      <c r="B69747" t="str">
        <f>HYPERLINK("https://lindat.mff.cuni.cz/services/teitok/pdtc10/index.php?action=vallex&amp;frame=v-w9555f1", "zkreslit (v-w9555f1)")</f>
        <v>zkreslit (v-w9555f1)</v>
      </c>
    </row>
    <row r="69748" spans="1:4" x14ac:dyDescent="0.2">
      <c r="B69748" t="s">
        <v>1</v>
      </c>
      <c r="C69748" t="s">
        <v>334</v>
      </c>
      <c r="D69748" t="s">
        <v>1065</v>
      </c>
    </row>
    <row r="69749" spans="1:4" x14ac:dyDescent="0.2">
      <c r="B69749" t="s">
        <v>8</v>
      </c>
      <c r="C69749" t="s">
        <v>1190</v>
      </c>
      <c r="D69749" t="s">
        <v>2235</v>
      </c>
    </row>
    <row r="69751" spans="1:4" x14ac:dyDescent="0.2">
      <c r="A69751" t="s">
        <v>21611</v>
      </c>
      <c r="B69751" t="str">
        <f>HYPERLINK("https://lindat.mff.cuni.cz/services/teitok/pdtc10/index.php?action=vallex&amp;frame=v-w9556f1", "zkreslovat (v-w9556f1)")</f>
        <v>zkreslovat (v-w9556f1)</v>
      </c>
    </row>
    <row r="69752" spans="1:4" x14ac:dyDescent="0.2">
      <c r="B69752" t="s">
        <v>1</v>
      </c>
      <c r="C69752" t="s">
        <v>373</v>
      </c>
      <c r="D69752" t="s">
        <v>337</v>
      </c>
    </row>
    <row r="69753" spans="1:4" x14ac:dyDescent="0.2">
      <c r="B69753" t="s">
        <v>41</v>
      </c>
      <c r="C69753" t="s">
        <v>354</v>
      </c>
      <c r="D69753" t="s">
        <v>6123</v>
      </c>
    </row>
    <row r="69755" spans="1:4" x14ac:dyDescent="0.2">
      <c r="A69755" t="s">
        <v>21612</v>
      </c>
      <c r="B69755" t="str">
        <f>HYPERLINK("https://lindat.mff.cuni.cz/services/teitok/pdtc10/index.php?action=vallex&amp;frame=v-w10934f2", "zkritizovat (v-w10934f2)")</f>
        <v>zkritizovat (v-w10934f2)</v>
      </c>
    </row>
    <row r="69756" spans="1:4" x14ac:dyDescent="0.2">
      <c r="B69756" t="s">
        <v>1</v>
      </c>
      <c r="D69756" t="s">
        <v>11013</v>
      </c>
    </row>
    <row r="69757" spans="1:4" x14ac:dyDescent="0.2">
      <c r="B69757" t="s">
        <v>124</v>
      </c>
      <c r="C69757" t="s">
        <v>991</v>
      </c>
      <c r="D69757" t="s">
        <v>24541</v>
      </c>
    </row>
    <row r="69759" spans="1:4" x14ac:dyDescent="0.2">
      <c r="A69759" t="s">
        <v>21613</v>
      </c>
      <c r="B69759" t="str">
        <f>HYPERLINK("https://lindat.mff.cuni.cz/services/teitok/pdtc10/index.php?action=vallex&amp;frame=v-w9557f1", "zkrotit (v-w9557f1)")</f>
        <v>zkrotit (v-w9557f1)</v>
      </c>
    </row>
    <row r="69760" spans="1:4" x14ac:dyDescent="0.2">
      <c r="B69760" t="s">
        <v>1</v>
      </c>
    </row>
    <row r="69761" spans="1:4" x14ac:dyDescent="0.2">
      <c r="B69761" t="s">
        <v>8</v>
      </c>
    </row>
    <row r="69763" spans="1:4" x14ac:dyDescent="0.2">
      <c r="A69763" t="s">
        <v>21614</v>
      </c>
      <c r="B69763" t="str">
        <f>HYPERLINK("https://lindat.mff.cuni.cz/services/teitok/pdtc10/index.php?action=vallex&amp;frame=v-w9557f2", "zkrotit (v-w9557f2)")</f>
        <v>zkrotit (v-w9557f2)</v>
      </c>
    </row>
    <row r="69764" spans="1:4" x14ac:dyDescent="0.2">
      <c r="B69764" t="s">
        <v>1</v>
      </c>
      <c r="C69764" t="s">
        <v>33</v>
      </c>
      <c r="D69764" t="s">
        <v>83</v>
      </c>
    </row>
    <row r="69765" spans="1:4" x14ac:dyDescent="0.2">
      <c r="B69765" t="s">
        <v>8</v>
      </c>
      <c r="C69765" t="s">
        <v>23</v>
      </c>
      <c r="D69765" t="s">
        <v>2235</v>
      </c>
    </row>
    <row r="69767" spans="1:4" x14ac:dyDescent="0.2">
      <c r="A69767" t="s">
        <v>21615</v>
      </c>
      <c r="B69767" t="str">
        <f>HYPERLINK("https://lindat.mff.cuni.cz/services/teitok/pdtc10/index.php?action=vallex&amp;frame=v-w11914_ZUf1_ZU", "zkrouhnout (v-w11914_ZUf1_ZU)")</f>
        <v>zkrouhnout (v-w11914_ZUf1_ZU)</v>
      </c>
    </row>
    <row r="69768" spans="1:4" x14ac:dyDescent="0.2">
      <c r="B69768" t="s">
        <v>1</v>
      </c>
    </row>
    <row r="69769" spans="1:4" x14ac:dyDescent="0.2">
      <c r="B69769" t="s">
        <v>8</v>
      </c>
    </row>
    <row r="69771" spans="1:4" x14ac:dyDescent="0.2">
      <c r="A69771" t="s">
        <v>21616</v>
      </c>
      <c r="B69771" t="str">
        <f>HYPERLINK("https://lindat.mff.cuni.cz/services/teitok/pdtc10/index.php?action=vallex&amp;frame=v-w11344f2", "zkroutit se (v-w11344f2)")</f>
        <v>zkroutit se (v-w11344f2)</v>
      </c>
    </row>
    <row r="69772" spans="1:4" x14ac:dyDescent="0.2">
      <c r="B69772" t="s">
        <v>1</v>
      </c>
      <c r="C69772" t="s">
        <v>1168</v>
      </c>
      <c r="D69772" t="s">
        <v>553</v>
      </c>
    </row>
    <row r="69774" spans="1:4" x14ac:dyDescent="0.2">
      <c r="A69774" t="s">
        <v>21617</v>
      </c>
      <c r="B69774" t="str">
        <f>HYPERLINK("https://lindat.mff.cuni.cz/services/teitok/pdtc10/index.php?action=vallex&amp;frame=v-w10790f2", "zkrvavit (v-w10790f2)")</f>
        <v>zkrvavit (v-w10790f2)</v>
      </c>
    </row>
    <row r="69775" spans="1:4" x14ac:dyDescent="0.2">
      <c r="B69775" t="s">
        <v>1</v>
      </c>
    </row>
    <row r="69776" spans="1:4" x14ac:dyDescent="0.2">
      <c r="B69776" t="s">
        <v>8</v>
      </c>
    </row>
    <row r="69778" spans="1:4" x14ac:dyDescent="0.2">
      <c r="A69778" t="s">
        <v>21618</v>
      </c>
      <c r="B69778" t="str">
        <f>HYPERLINK("https://lindat.mff.cuni.cz/services/teitok/pdtc10/index.php?action=vallex&amp;frame=v-w9553f1", "zkrátit (v-w9553f1)")</f>
        <v>zkrátit (v-w9553f1)</v>
      </c>
    </row>
    <row r="69779" spans="1:4" x14ac:dyDescent="0.2">
      <c r="B69779" t="s">
        <v>1</v>
      </c>
      <c r="C69779" t="s">
        <v>10589</v>
      </c>
      <c r="D69779" t="s">
        <v>6039</v>
      </c>
    </row>
    <row r="69780" spans="1:4" x14ac:dyDescent="0.2">
      <c r="B69780" t="s">
        <v>8</v>
      </c>
      <c r="C69780" t="s">
        <v>9643</v>
      </c>
      <c r="D69780" t="s">
        <v>10163</v>
      </c>
    </row>
    <row r="69781" spans="1:4" x14ac:dyDescent="0.2">
      <c r="B69781" t="s">
        <v>24</v>
      </c>
      <c r="C69781" t="s">
        <v>21619</v>
      </c>
      <c r="D69781" t="s">
        <v>21619</v>
      </c>
    </row>
    <row r="69782" spans="1:4" x14ac:dyDescent="0.2">
      <c r="B69782" t="s">
        <v>61</v>
      </c>
      <c r="C69782" t="s">
        <v>21620</v>
      </c>
      <c r="D69782" t="s">
        <v>21620</v>
      </c>
    </row>
    <row r="69784" spans="1:4" x14ac:dyDescent="0.2">
      <c r="A69784" t="s">
        <v>21621</v>
      </c>
      <c r="B69784" t="str">
        <f>HYPERLINK("https://lindat.mff.cuni.cz/services/teitok/pdtc10/index.php?action=vallex&amp;frame=v-w9553f2", "zkrátit (v-w9553f2)")</f>
        <v>zkrátit (v-w9553f2)</v>
      </c>
    </row>
    <row r="69785" spans="1:4" x14ac:dyDescent="0.2">
      <c r="B69785" t="s">
        <v>1</v>
      </c>
    </row>
    <row r="69786" spans="1:4" x14ac:dyDescent="0.2">
      <c r="B69786" t="s">
        <v>58</v>
      </c>
    </row>
    <row r="69787" spans="1:4" x14ac:dyDescent="0.2">
      <c r="B69787" t="s">
        <v>2287</v>
      </c>
    </row>
    <row r="69789" spans="1:4" x14ac:dyDescent="0.2">
      <c r="A69789" t="s">
        <v>21622</v>
      </c>
      <c r="B69789" t="str">
        <f>HYPERLINK("https://lindat.mff.cuni.cz/services/teitok/pdtc10/index.php?action=vallex&amp;frame=v-w9554f1", "zkrátit se (v-w9554f1)")</f>
        <v>zkrátit se (v-w9554f1)</v>
      </c>
    </row>
    <row r="69790" spans="1:4" x14ac:dyDescent="0.2">
      <c r="B69790" t="s">
        <v>1</v>
      </c>
      <c r="D69790" t="s">
        <v>2172</v>
      </c>
    </row>
    <row r="69791" spans="1:4" x14ac:dyDescent="0.2">
      <c r="B69791" t="s">
        <v>46</v>
      </c>
    </row>
    <row r="69792" spans="1:4" x14ac:dyDescent="0.2">
      <c r="B69792" t="s">
        <v>24</v>
      </c>
    </row>
    <row r="69794" spans="1:4" x14ac:dyDescent="0.2">
      <c r="A69794" t="s">
        <v>21623</v>
      </c>
      <c r="B69794" t="str">
        <f>HYPERLINK("https://lindat.mff.cuni.cz/services/teitok/pdtc10/index.php?action=vallex&amp;frame=v-w9552f1", "zkrášlit (v-w9552f1)")</f>
        <v>zkrášlit (v-w9552f1)</v>
      </c>
    </row>
    <row r="69795" spans="1:4" x14ac:dyDescent="0.2">
      <c r="B69795" t="s">
        <v>1</v>
      </c>
    </row>
    <row r="69796" spans="1:4" x14ac:dyDescent="0.2">
      <c r="B69796" t="s">
        <v>8</v>
      </c>
    </row>
    <row r="69798" spans="1:4" x14ac:dyDescent="0.2">
      <c r="A69798" t="s">
        <v>21624</v>
      </c>
      <c r="B69798" t="str">
        <f>HYPERLINK("https://lindat.mff.cuni.cz/services/teitok/pdtc10/index.php?action=vallex&amp;frame=v-w9559f1", "zkultivovat (v-w9559f1)")</f>
        <v>zkultivovat (v-w9559f1)</v>
      </c>
    </row>
    <row r="69799" spans="1:4" x14ac:dyDescent="0.2">
      <c r="B69799" t="s">
        <v>1</v>
      </c>
    </row>
    <row r="69800" spans="1:4" x14ac:dyDescent="0.2">
      <c r="B69800" t="s">
        <v>8</v>
      </c>
    </row>
    <row r="69802" spans="1:4" x14ac:dyDescent="0.2">
      <c r="A69802" t="s">
        <v>21625</v>
      </c>
      <c r="B69802" t="str">
        <f>HYPERLINK("https://lindat.mff.cuni.cz/services/teitok/pdtc10/index.php?action=vallex&amp;frame=v-w9560f2", "zkusit (v-w9560f2)")</f>
        <v>zkusit (v-w9560f2)</v>
      </c>
    </row>
    <row r="69803" spans="1:4" x14ac:dyDescent="0.2">
      <c r="B69803" t="s">
        <v>1</v>
      </c>
    </row>
    <row r="69804" spans="1:4" x14ac:dyDescent="0.2">
      <c r="B69804" t="s">
        <v>8</v>
      </c>
    </row>
    <row r="69805" spans="1:4" x14ac:dyDescent="0.2">
      <c r="B69805" t="s">
        <v>88</v>
      </c>
    </row>
    <row r="69807" spans="1:4" x14ac:dyDescent="0.2">
      <c r="A69807" t="s">
        <v>21626</v>
      </c>
      <c r="B69807" t="str">
        <f>HYPERLINK("https://lindat.mff.cuni.cz/services/teitok/pdtc10/index.php?action=vallex&amp;frame=v-w9560f1", "zkusit (v-w9560f1)")</f>
        <v>zkusit (v-w9560f1)</v>
      </c>
    </row>
    <row r="69808" spans="1:4" x14ac:dyDescent="0.2">
      <c r="B69808" t="s">
        <v>1</v>
      </c>
      <c r="C69808" t="s">
        <v>9639</v>
      </c>
      <c r="D69808" t="s">
        <v>7065</v>
      </c>
    </row>
    <row r="69809" spans="1:4" x14ac:dyDescent="0.2">
      <c r="B69809" t="s">
        <v>21602</v>
      </c>
      <c r="C69809" t="s">
        <v>21627</v>
      </c>
      <c r="D69809" t="s">
        <v>3308</v>
      </c>
    </row>
    <row r="69811" spans="1:4" x14ac:dyDescent="0.2">
      <c r="A69811" t="s">
        <v>21628</v>
      </c>
      <c r="B69811" t="str">
        <f>HYPERLINK("https://lindat.mff.cuni.cz/services/teitok/pdtc10/index.php?action=vallex&amp;frame=v-w9560f3", "zkusit (v-w9560f3)")</f>
        <v>zkusit (v-w9560f3)</v>
      </c>
    </row>
    <row r="69812" spans="1:4" x14ac:dyDescent="0.2">
      <c r="B69812" t="s">
        <v>1</v>
      </c>
      <c r="C69812" t="s">
        <v>6974</v>
      </c>
    </row>
    <row r="69813" spans="1:4" x14ac:dyDescent="0.2">
      <c r="B69813" t="s">
        <v>228</v>
      </c>
      <c r="C69813" t="s">
        <v>6975</v>
      </c>
    </row>
    <row r="69815" spans="1:4" x14ac:dyDescent="0.2">
      <c r="A69815" t="s">
        <v>21629</v>
      </c>
      <c r="B69815" t="str">
        <f>HYPERLINK("https://lindat.mff.cuni.cz/services/teitok/pdtc10/index.php?action=vallex&amp;frame=v-w9560f4", "zkusit (v-w9560f4)")</f>
        <v>zkusit (v-w9560f4)</v>
      </c>
    </row>
    <row r="69816" spans="1:4" x14ac:dyDescent="0.2">
      <c r="B69816" t="s">
        <v>1</v>
      </c>
      <c r="D69816" t="s">
        <v>7065</v>
      </c>
    </row>
    <row r="69817" spans="1:4" x14ac:dyDescent="0.2">
      <c r="B69817" t="s">
        <v>8</v>
      </c>
      <c r="D69817" t="s">
        <v>3308</v>
      </c>
    </row>
    <row r="69819" spans="1:4" x14ac:dyDescent="0.2">
      <c r="A69819" t="s">
        <v>21630</v>
      </c>
      <c r="B69819" t="str">
        <f>HYPERLINK("https://lindat.mff.cuni.cz/services/teitok/pdtc10/index.php?action=vallex&amp;frame=v-w9560f5", "zkusit (v-w9560f5)")</f>
        <v>zkusit (v-w9560f5)</v>
      </c>
    </row>
    <row r="69820" spans="1:4" x14ac:dyDescent="0.2">
      <c r="B69820" t="s">
        <v>1</v>
      </c>
    </row>
    <row r="69821" spans="1:4" x14ac:dyDescent="0.2">
      <c r="B69821" t="s">
        <v>21631</v>
      </c>
    </row>
    <row r="69822" spans="1:4" x14ac:dyDescent="0.2">
      <c r="B69822" t="s">
        <v>8</v>
      </c>
    </row>
    <row r="69824" spans="1:4" x14ac:dyDescent="0.2">
      <c r="A69824" t="s">
        <v>21632</v>
      </c>
      <c r="B69824" t="str">
        <f>HYPERLINK("https://lindat.mff.cuni.cz/services/teitok/pdtc10/index.php?action=vallex&amp;frame=v-w9560hsa_1238", "zkusit (v-w9560hsa_1238)")</f>
        <v>zkusit (v-w9560hsa_1238)</v>
      </c>
    </row>
    <row r="69825" spans="1:4" x14ac:dyDescent="0.2">
      <c r="B69825" t="s">
        <v>1</v>
      </c>
      <c r="C69825" t="s">
        <v>6974</v>
      </c>
      <c r="D69825" t="s">
        <v>22995</v>
      </c>
    </row>
    <row r="69826" spans="1:4" x14ac:dyDescent="0.2">
      <c r="B69826" t="s">
        <v>228</v>
      </c>
      <c r="C69826" t="s">
        <v>6975</v>
      </c>
      <c r="D69826" t="s">
        <v>22996</v>
      </c>
    </row>
    <row r="69828" spans="1:4" x14ac:dyDescent="0.2">
      <c r="A69828" t="s">
        <v>21633</v>
      </c>
      <c r="B69828" t="str">
        <f>HYPERLINK("https://lindat.mff.cuni.cz/services/teitok/pdtc10/index.php?action=vallex&amp;frame=v-w9560f6_ZU", "zkusit (v-w9560f6_ZU)")</f>
        <v>zkusit (v-w9560f6_ZU)</v>
      </c>
    </row>
    <row r="69829" spans="1:4" x14ac:dyDescent="0.2">
      <c r="B69829" t="s">
        <v>1</v>
      </c>
    </row>
    <row r="69830" spans="1:4" x14ac:dyDescent="0.2">
      <c r="B69830" t="s">
        <v>582</v>
      </c>
    </row>
    <row r="69832" spans="1:4" x14ac:dyDescent="0.2">
      <c r="A69832" t="s">
        <v>21633</v>
      </c>
      <c r="B69832" t="str">
        <f>HYPERLINK("https://lindat.mff.cuni.cz/services/teitok/pdtc10/index.php?action=vallex&amp;frame=v-w9560hsa_2015", "zkusit (v-w9560hsa_2015) - substituted with v-w9560f6_ZU")</f>
        <v>zkusit (v-w9560hsa_2015) - substituted with v-w9560f6_ZU</v>
      </c>
    </row>
    <row r="69833" spans="1:4" x14ac:dyDescent="0.2">
      <c r="B69833" t="s">
        <v>1</v>
      </c>
    </row>
    <row r="69834" spans="1:4" x14ac:dyDescent="0.2">
      <c r="B69834" t="s">
        <v>582</v>
      </c>
    </row>
    <row r="69836" spans="1:4" x14ac:dyDescent="0.2">
      <c r="A69836" t="s">
        <v>21634</v>
      </c>
      <c r="B69836" t="str">
        <f>HYPERLINK("https://lindat.mff.cuni.cz/services/teitok/pdtc10/index.php?action=vallex&amp;frame=v-w9561f1", "zkusit si (v-w9561f1)")</f>
        <v>zkusit si (v-w9561f1)</v>
      </c>
    </row>
    <row r="69837" spans="1:4" x14ac:dyDescent="0.2">
      <c r="B69837" t="s">
        <v>1</v>
      </c>
    </row>
    <row r="69838" spans="1:4" x14ac:dyDescent="0.2">
      <c r="B69838" t="s">
        <v>228</v>
      </c>
    </row>
    <row r="69840" spans="1:4" x14ac:dyDescent="0.2">
      <c r="A69840" t="s">
        <v>21635</v>
      </c>
      <c r="B69840" t="str">
        <f>HYPERLINK("https://lindat.mff.cuni.cz/services/teitok/pdtc10/index.php?action=vallex&amp;frame=v-w9561f2", "zkusit si (v-w9561f2)")</f>
        <v>zkusit si (v-w9561f2)</v>
      </c>
    </row>
    <row r="69841" spans="1:4" x14ac:dyDescent="0.2">
      <c r="B69841" t="s">
        <v>1</v>
      </c>
    </row>
    <row r="69842" spans="1:4" x14ac:dyDescent="0.2">
      <c r="B69842" t="s">
        <v>21631</v>
      </c>
    </row>
    <row r="69843" spans="1:4" x14ac:dyDescent="0.2">
      <c r="B69843" t="s">
        <v>8</v>
      </c>
    </row>
    <row r="69845" spans="1:4" x14ac:dyDescent="0.2">
      <c r="A69845" t="s">
        <v>21636</v>
      </c>
      <c r="B69845" t="str">
        <f>HYPERLINK("https://lindat.mff.cuni.cz/services/teitok/pdtc10/index.php?action=vallex&amp;frame=v-w9565f1", "zkvalitnit (v-w9565f1)")</f>
        <v>zkvalitnit (v-w9565f1)</v>
      </c>
    </row>
    <row r="69846" spans="1:4" x14ac:dyDescent="0.2">
      <c r="B69846" t="s">
        <v>1</v>
      </c>
      <c r="C69846" t="s">
        <v>1106</v>
      </c>
      <c r="D69846" t="s">
        <v>23442</v>
      </c>
    </row>
    <row r="69847" spans="1:4" x14ac:dyDescent="0.2">
      <c r="B69847" t="s">
        <v>8</v>
      </c>
      <c r="C69847" t="s">
        <v>7164</v>
      </c>
      <c r="D69847" t="s">
        <v>23443</v>
      </c>
    </row>
    <row r="69848" spans="1:4" x14ac:dyDescent="0.2">
      <c r="B69848" t="s">
        <v>24</v>
      </c>
      <c r="D69848" t="s">
        <v>24272</v>
      </c>
    </row>
    <row r="69849" spans="1:4" x14ac:dyDescent="0.2">
      <c r="B69849" t="s">
        <v>61</v>
      </c>
      <c r="D69849" t="s">
        <v>21650</v>
      </c>
    </row>
    <row r="69851" spans="1:4" x14ac:dyDescent="0.2">
      <c r="A69851" t="s">
        <v>21637</v>
      </c>
      <c r="B69851" t="str">
        <f>HYPERLINK("https://lindat.mff.cuni.cz/services/teitok/pdtc10/index.php?action=vallex&amp;frame=v-w9567f1", "zkvalitňovat (v-w9567f1)")</f>
        <v>zkvalitňovat (v-w9567f1)</v>
      </c>
    </row>
    <row r="69852" spans="1:4" x14ac:dyDescent="0.2">
      <c r="B69852" t="s">
        <v>1</v>
      </c>
      <c r="C69852" t="s">
        <v>1106</v>
      </c>
      <c r="D69852" t="s">
        <v>23442</v>
      </c>
    </row>
    <row r="69853" spans="1:4" x14ac:dyDescent="0.2">
      <c r="B69853" t="s">
        <v>8</v>
      </c>
      <c r="C69853" t="s">
        <v>7164</v>
      </c>
      <c r="D69853" t="s">
        <v>23443</v>
      </c>
    </row>
    <row r="69854" spans="1:4" x14ac:dyDescent="0.2">
      <c r="B69854" t="s">
        <v>24</v>
      </c>
      <c r="D69854" t="s">
        <v>24272</v>
      </c>
    </row>
    <row r="69855" spans="1:4" x14ac:dyDescent="0.2">
      <c r="B69855" t="s">
        <v>61</v>
      </c>
      <c r="D69855" t="s">
        <v>21650</v>
      </c>
    </row>
    <row r="69857" spans="1:2" x14ac:dyDescent="0.2">
      <c r="A69857" t="s">
        <v>21638</v>
      </c>
      <c r="B69857" t="str">
        <f>HYPERLINK("https://lindat.mff.cuni.cz/services/teitok/pdtc10/index.php?action=vallex&amp;frame=v-w12133_ZUf1_ZU", "zkysnout (v-w12133_ZUf1_ZU)")</f>
        <v>zkysnout (v-w12133_ZUf1_ZU)</v>
      </c>
    </row>
    <row r="69858" spans="1:2" x14ac:dyDescent="0.2">
      <c r="B69858" t="s">
        <v>1</v>
      </c>
    </row>
    <row r="69859" spans="1:2" x14ac:dyDescent="0.2">
      <c r="B69859" t="s">
        <v>889</v>
      </c>
    </row>
    <row r="69861" spans="1:2" x14ac:dyDescent="0.2">
      <c r="A69861" t="s">
        <v>21639</v>
      </c>
      <c r="B69861" t="str">
        <f>HYPERLINK("https://lindat.mff.cuni.cz/services/teitok/pdtc10/index.php?action=vallex&amp;frame=v-w9558f1", "zkřivit (v-w9558f1)")</f>
        <v>zkřivit (v-w9558f1)</v>
      </c>
    </row>
    <row r="69862" spans="1:2" x14ac:dyDescent="0.2">
      <c r="B69862" t="s">
        <v>1</v>
      </c>
    </row>
    <row r="69863" spans="1:2" x14ac:dyDescent="0.2">
      <c r="B69863" t="s">
        <v>8</v>
      </c>
    </row>
    <row r="69865" spans="1:2" x14ac:dyDescent="0.2">
      <c r="A69865" t="s">
        <v>21640</v>
      </c>
      <c r="B69865" t="str">
        <f>HYPERLINK("https://lindat.mff.cuni.cz/services/teitok/pdtc10/index.php?action=vallex&amp;frame=v-w10995f2", "zkřížit (v-w10995f2)")</f>
        <v>zkřížit (v-w10995f2)</v>
      </c>
    </row>
    <row r="69866" spans="1:2" x14ac:dyDescent="0.2">
      <c r="B69866" t="s">
        <v>1</v>
      </c>
    </row>
    <row r="69867" spans="1:2" x14ac:dyDescent="0.2">
      <c r="B69867" t="s">
        <v>8</v>
      </c>
    </row>
    <row r="69869" spans="1:2" x14ac:dyDescent="0.2">
      <c r="A69869" t="s">
        <v>21641</v>
      </c>
      <c r="B69869" t="str">
        <f>HYPERLINK("https://lindat.mff.cuni.cz/services/teitok/pdtc10/index.php?action=vallex&amp;frame=v-w10995f3_ZU", "zkřížit (v-w10995f3_ZU)")</f>
        <v>zkřížit (v-w10995f3_ZU)</v>
      </c>
    </row>
    <row r="69870" spans="1:2" x14ac:dyDescent="0.2">
      <c r="B69870" t="s">
        <v>1</v>
      </c>
    </row>
    <row r="69871" spans="1:2" x14ac:dyDescent="0.2">
      <c r="B69871" t="s">
        <v>8</v>
      </c>
    </row>
    <row r="69872" spans="1:2" x14ac:dyDescent="0.2">
      <c r="B69872" t="s">
        <v>9409</v>
      </c>
    </row>
    <row r="69874" spans="1:4" x14ac:dyDescent="0.2">
      <c r="A69874" t="s">
        <v>21641</v>
      </c>
      <c r="B69874" t="str">
        <f>HYPERLINK("https://lindat.mff.cuni.cz/services/teitok/pdtc10/index.php?action=vallex&amp;frame=v-w10995hsa_1034", "zkřížit (v-w10995hsa_1034) - substituted with v-w10995f3_ZU")</f>
        <v>zkřížit (v-w10995hsa_1034) - substituted with v-w10995f3_ZU</v>
      </c>
    </row>
    <row r="69875" spans="1:4" x14ac:dyDescent="0.2">
      <c r="B69875" t="s">
        <v>1</v>
      </c>
    </row>
    <row r="69876" spans="1:4" x14ac:dyDescent="0.2">
      <c r="B69876" t="s">
        <v>8</v>
      </c>
    </row>
    <row r="69877" spans="1:4" x14ac:dyDescent="0.2">
      <c r="B69877" t="s">
        <v>9409</v>
      </c>
    </row>
    <row r="69879" spans="1:4" x14ac:dyDescent="0.2">
      <c r="A69879" t="s">
        <v>21642</v>
      </c>
      <c r="B69879" t="str">
        <f>HYPERLINK("https://lindat.mff.cuni.cz/services/teitok/pdtc10/index.php?action=vallex&amp;frame=v-whsa_1018hsa_1019", "zlegalizovat (v-whsa_1018hsa_1019)")</f>
        <v>zlegalizovat (v-whsa_1018hsa_1019)</v>
      </c>
    </row>
    <row r="69880" spans="1:4" x14ac:dyDescent="0.2">
      <c r="B69880" t="s">
        <v>1</v>
      </c>
      <c r="C69880" t="s">
        <v>140</v>
      </c>
    </row>
    <row r="69881" spans="1:4" x14ac:dyDescent="0.2">
      <c r="B69881" t="s">
        <v>8</v>
      </c>
      <c r="C69881" t="s">
        <v>34</v>
      </c>
    </row>
    <row r="69883" spans="1:4" x14ac:dyDescent="0.2">
      <c r="A69883" t="s">
        <v>21643</v>
      </c>
      <c r="B69883" t="str">
        <f>HYPERLINK("https://lindat.mff.cuni.cz/services/teitok/pdtc10/index.php?action=vallex&amp;frame=v-w10204f2", "zlehčit (v-w10204f2)")</f>
        <v>zlehčit (v-w10204f2)</v>
      </c>
    </row>
    <row r="69884" spans="1:4" x14ac:dyDescent="0.2">
      <c r="B69884" t="s">
        <v>1</v>
      </c>
      <c r="C69884" t="s">
        <v>83</v>
      </c>
      <c r="D69884" t="s">
        <v>5889</v>
      </c>
    </row>
    <row r="69885" spans="1:4" x14ac:dyDescent="0.2">
      <c r="B69885" t="s">
        <v>124</v>
      </c>
      <c r="C69885" t="s">
        <v>56</v>
      </c>
      <c r="D69885" t="s">
        <v>17878</v>
      </c>
    </row>
    <row r="69887" spans="1:4" x14ac:dyDescent="0.2">
      <c r="A69887" t="s">
        <v>21644</v>
      </c>
      <c r="B69887" t="str">
        <f>HYPERLINK("https://lindat.mff.cuni.cz/services/teitok/pdtc10/index.php?action=vallex&amp;frame=v-w9572f1", "zlehčovat (v-w9572f1)")</f>
        <v>zlehčovat (v-w9572f1)</v>
      </c>
    </row>
    <row r="69888" spans="1:4" x14ac:dyDescent="0.2">
      <c r="B69888" t="s">
        <v>1</v>
      </c>
      <c r="C69888" t="s">
        <v>147</v>
      </c>
      <c r="D69888" t="s">
        <v>5889</v>
      </c>
    </row>
    <row r="69889" spans="1:4" x14ac:dyDescent="0.2">
      <c r="B69889" t="s">
        <v>124</v>
      </c>
      <c r="C69889" t="s">
        <v>299</v>
      </c>
      <c r="D69889" t="s">
        <v>17878</v>
      </c>
    </row>
    <row r="69891" spans="1:4" x14ac:dyDescent="0.2">
      <c r="A69891" t="s">
        <v>21645</v>
      </c>
      <c r="B69891" t="str">
        <f>HYPERLINK("https://lindat.mff.cuni.cz/services/teitok/pdtc10/index.php?action=vallex&amp;frame=v-w10215f2", "zlenivět (v-w10215f2)")</f>
        <v>zlenivět (v-w10215f2)</v>
      </c>
    </row>
    <row r="69892" spans="1:4" x14ac:dyDescent="0.2">
      <c r="B69892" t="s">
        <v>1</v>
      </c>
    </row>
    <row r="69894" spans="1:4" x14ac:dyDescent="0.2">
      <c r="A69894" t="s">
        <v>21646</v>
      </c>
      <c r="B69894" t="str">
        <f>HYPERLINK("https://lindat.mff.cuni.cz/services/teitok/pdtc10/index.php?action=vallex&amp;frame=v-w9574f1", "zlepšit (v-w9574f1)")</f>
        <v>zlepšit (v-w9574f1)</v>
      </c>
    </row>
    <row r="69895" spans="1:4" x14ac:dyDescent="0.2">
      <c r="B69895" t="s">
        <v>1</v>
      </c>
      <c r="C69895" t="s">
        <v>21647</v>
      </c>
      <c r="D69895" t="s">
        <v>23442</v>
      </c>
    </row>
    <row r="69896" spans="1:4" x14ac:dyDescent="0.2">
      <c r="B69896" t="s">
        <v>8</v>
      </c>
      <c r="C69896" t="s">
        <v>21648</v>
      </c>
      <c r="D69896" t="s">
        <v>23443</v>
      </c>
    </row>
    <row r="69897" spans="1:4" x14ac:dyDescent="0.2">
      <c r="B69897" t="s">
        <v>24</v>
      </c>
      <c r="C69897" t="s">
        <v>21649</v>
      </c>
      <c r="D69897" t="s">
        <v>24272</v>
      </c>
    </row>
    <row r="69898" spans="1:4" x14ac:dyDescent="0.2">
      <c r="B69898" t="s">
        <v>61</v>
      </c>
      <c r="C69898" t="s">
        <v>21650</v>
      </c>
      <c r="D69898" t="s">
        <v>21650</v>
      </c>
    </row>
    <row r="69900" spans="1:4" x14ac:dyDescent="0.2">
      <c r="A69900" t="s">
        <v>21651</v>
      </c>
      <c r="B69900" t="str">
        <f>HYPERLINK("https://lindat.mff.cuni.cz/services/teitok/pdtc10/index.php?action=vallex&amp;frame=v-w9575f1", "zlepšit se (v-w9575f1)")</f>
        <v>zlepšit se (v-w9575f1)</v>
      </c>
    </row>
    <row r="69901" spans="1:4" x14ac:dyDescent="0.2">
      <c r="B69901" t="s">
        <v>1</v>
      </c>
      <c r="C69901" t="s">
        <v>21652</v>
      </c>
      <c r="D69901" t="s">
        <v>24542</v>
      </c>
    </row>
    <row r="69902" spans="1:4" x14ac:dyDescent="0.2">
      <c r="B69902" t="s">
        <v>46</v>
      </c>
      <c r="C69902" t="s">
        <v>21653</v>
      </c>
      <c r="D69902" t="s">
        <v>24543</v>
      </c>
    </row>
    <row r="69903" spans="1:4" x14ac:dyDescent="0.2">
      <c r="B69903" t="s">
        <v>24</v>
      </c>
      <c r="C69903" t="s">
        <v>21654</v>
      </c>
      <c r="D69903" t="s">
        <v>24544</v>
      </c>
    </row>
    <row r="69905" spans="1:4" x14ac:dyDescent="0.2">
      <c r="A69905" t="s">
        <v>21655</v>
      </c>
      <c r="B69905" t="str">
        <f>HYPERLINK("https://lindat.mff.cuni.cz/services/teitok/pdtc10/index.php?action=vallex&amp;frame=v-w9577f1", "zlepšovat (v-w9577f1)")</f>
        <v>zlepšovat (v-w9577f1)</v>
      </c>
    </row>
    <row r="69906" spans="1:4" x14ac:dyDescent="0.2">
      <c r="B69906" t="s">
        <v>1</v>
      </c>
      <c r="C69906" t="s">
        <v>21656</v>
      </c>
      <c r="D69906" t="s">
        <v>23442</v>
      </c>
    </row>
    <row r="69907" spans="1:4" x14ac:dyDescent="0.2">
      <c r="B69907" t="s">
        <v>8</v>
      </c>
      <c r="C69907" t="s">
        <v>12599</v>
      </c>
      <c r="D69907" t="s">
        <v>23443</v>
      </c>
    </row>
    <row r="69908" spans="1:4" x14ac:dyDescent="0.2">
      <c r="B69908" t="s">
        <v>24</v>
      </c>
      <c r="C69908" t="s">
        <v>3656</v>
      </c>
      <c r="D69908" t="s">
        <v>24272</v>
      </c>
    </row>
    <row r="69909" spans="1:4" x14ac:dyDescent="0.2">
      <c r="B69909" t="s">
        <v>61</v>
      </c>
      <c r="D69909" t="s">
        <v>21650</v>
      </c>
    </row>
    <row r="69911" spans="1:4" x14ac:dyDescent="0.2">
      <c r="A69911" t="s">
        <v>21657</v>
      </c>
      <c r="B69911" t="str">
        <f>HYPERLINK("https://lindat.mff.cuni.cz/services/teitok/pdtc10/index.php?action=vallex&amp;frame=v-w9578f2", "zlepšovat se (v-w9578f2)")</f>
        <v>zlepšovat se (v-w9578f2)</v>
      </c>
    </row>
    <row r="69912" spans="1:4" x14ac:dyDescent="0.2">
      <c r="B69912" t="s">
        <v>1</v>
      </c>
    </row>
    <row r="69913" spans="1:4" x14ac:dyDescent="0.2">
      <c r="B69913" t="s">
        <v>551</v>
      </c>
    </row>
    <row r="69914" spans="1:4" x14ac:dyDescent="0.2">
      <c r="B69914" t="s">
        <v>24</v>
      </c>
    </row>
    <row r="69915" spans="1:4" x14ac:dyDescent="0.2">
      <c r="B69915" t="s">
        <v>61</v>
      </c>
    </row>
    <row r="69917" spans="1:4" x14ac:dyDescent="0.2">
      <c r="A69917" t="s">
        <v>21658</v>
      </c>
      <c r="B69917" t="str">
        <f>HYPERLINK("https://lindat.mff.cuni.cz/services/teitok/pdtc10/index.php?action=vallex&amp;frame=v-w9578f1", "zlepšovat se (v-w9578f1)")</f>
        <v>zlepšovat se (v-w9578f1)</v>
      </c>
    </row>
    <row r="69918" spans="1:4" x14ac:dyDescent="0.2">
      <c r="B69918" t="s">
        <v>1</v>
      </c>
      <c r="C69918" t="s">
        <v>21659</v>
      </c>
      <c r="D69918" t="s">
        <v>24545</v>
      </c>
    </row>
    <row r="69919" spans="1:4" x14ac:dyDescent="0.2">
      <c r="B69919" t="s">
        <v>46</v>
      </c>
      <c r="D69919" t="s">
        <v>23393</v>
      </c>
    </row>
    <row r="69920" spans="1:4" x14ac:dyDescent="0.2">
      <c r="B69920" t="s">
        <v>24</v>
      </c>
      <c r="D69920" t="s">
        <v>23394</v>
      </c>
    </row>
    <row r="69922" spans="1:4" x14ac:dyDescent="0.2">
      <c r="A69922" t="s">
        <v>21660</v>
      </c>
      <c r="B69922" t="str">
        <f>HYPERLINK("https://lindat.mff.cuni.cz/services/teitok/pdtc10/index.php?action=vallex&amp;frame=v-w9580f1", "zlevnit (v-w9580f1)")</f>
        <v>zlevnit (v-w9580f1)</v>
      </c>
    </row>
    <row r="69923" spans="1:4" x14ac:dyDescent="0.2">
      <c r="B69923" t="s">
        <v>1</v>
      </c>
      <c r="C69923" t="s">
        <v>1232</v>
      </c>
      <c r="D69923" t="s">
        <v>23730</v>
      </c>
    </row>
    <row r="69924" spans="1:4" x14ac:dyDescent="0.2">
      <c r="B69924" t="s">
        <v>8</v>
      </c>
      <c r="C69924" t="s">
        <v>21661</v>
      </c>
      <c r="D69924" t="s">
        <v>23731</v>
      </c>
    </row>
    <row r="69925" spans="1:4" x14ac:dyDescent="0.2">
      <c r="B69925" t="s">
        <v>24</v>
      </c>
      <c r="C69925" t="s">
        <v>21662</v>
      </c>
      <c r="D69925" t="s">
        <v>23732</v>
      </c>
    </row>
    <row r="69926" spans="1:4" x14ac:dyDescent="0.2">
      <c r="B69926" t="s">
        <v>61</v>
      </c>
      <c r="C69926" t="s">
        <v>21663</v>
      </c>
      <c r="D69926" t="s">
        <v>23733</v>
      </c>
    </row>
    <row r="69928" spans="1:4" x14ac:dyDescent="0.2">
      <c r="A69928" t="s">
        <v>21664</v>
      </c>
      <c r="B69928" t="str">
        <f>HYPERLINK("https://lindat.mff.cuni.cz/services/teitok/pdtc10/index.php?action=vallex&amp;frame=v-w9580f2_ZU", "zlevnit (v-w9580f2_ZU)")</f>
        <v>zlevnit (v-w9580f2_ZU)</v>
      </c>
    </row>
    <row r="69929" spans="1:4" x14ac:dyDescent="0.2">
      <c r="B69929" t="s">
        <v>1</v>
      </c>
      <c r="C69929" t="s">
        <v>9406</v>
      </c>
    </row>
    <row r="69930" spans="1:4" x14ac:dyDescent="0.2">
      <c r="B69930" t="s">
        <v>46</v>
      </c>
      <c r="C69930" t="s">
        <v>8449</v>
      </c>
    </row>
    <row r="69931" spans="1:4" x14ac:dyDescent="0.2">
      <c r="B69931" t="s">
        <v>24</v>
      </c>
    </row>
    <row r="69933" spans="1:4" x14ac:dyDescent="0.2">
      <c r="A69933" t="s">
        <v>21665</v>
      </c>
      <c r="B69933" t="str">
        <f>HYPERLINK("https://lindat.mff.cuni.cz/services/teitok/pdtc10/index.php?action=vallex&amp;frame=v-w9582f1", "zlevňovat (v-w9582f1)")</f>
        <v>zlevňovat (v-w9582f1)</v>
      </c>
    </row>
    <row r="69934" spans="1:4" x14ac:dyDescent="0.2">
      <c r="B69934" t="s">
        <v>1</v>
      </c>
      <c r="D69934" t="s">
        <v>23730</v>
      </c>
    </row>
    <row r="69935" spans="1:4" x14ac:dyDescent="0.2">
      <c r="B69935" t="s">
        <v>8</v>
      </c>
      <c r="D69935" t="s">
        <v>23731</v>
      </c>
    </row>
    <row r="69936" spans="1:4" x14ac:dyDescent="0.2">
      <c r="B69936" t="s">
        <v>24</v>
      </c>
      <c r="D69936" t="s">
        <v>23732</v>
      </c>
    </row>
    <row r="69937" spans="1:4" x14ac:dyDescent="0.2">
      <c r="B69937" t="s">
        <v>61</v>
      </c>
      <c r="D69937" t="s">
        <v>23733</v>
      </c>
    </row>
    <row r="69939" spans="1:4" x14ac:dyDescent="0.2">
      <c r="A69939" t="s">
        <v>21666</v>
      </c>
      <c r="B69939" t="str">
        <f>HYPERLINK("https://lindat.mff.cuni.cz/services/teitok/pdtc10/index.php?action=vallex&amp;frame=v-w10683f2", "zliberalizovat (v-w10683f2)")</f>
        <v>zliberalizovat (v-w10683f2)</v>
      </c>
    </row>
    <row r="69940" spans="1:4" x14ac:dyDescent="0.2">
      <c r="B69940" t="s">
        <v>1</v>
      </c>
      <c r="C69940" t="s">
        <v>133</v>
      </c>
      <c r="D69940" t="s">
        <v>430</v>
      </c>
    </row>
    <row r="69941" spans="1:4" x14ac:dyDescent="0.2">
      <c r="B69941" t="s">
        <v>8</v>
      </c>
      <c r="C69941" t="s">
        <v>54</v>
      </c>
      <c r="D69941" t="s">
        <v>3773</v>
      </c>
    </row>
    <row r="69943" spans="1:4" x14ac:dyDescent="0.2">
      <c r="A69943" t="s">
        <v>21667</v>
      </c>
      <c r="B69943" t="str">
        <f>HYPERLINK("https://lindat.mff.cuni.cz/services/teitok/pdtc10/index.php?action=vallex&amp;frame=v-whsa_1013hsa_1014", "zlidovět (v-whsa_1013hsa_1014)")</f>
        <v>zlidovět (v-whsa_1013hsa_1014)</v>
      </c>
    </row>
    <row r="69944" spans="1:4" x14ac:dyDescent="0.2">
      <c r="B69944" t="s">
        <v>1</v>
      </c>
      <c r="C69944" t="s">
        <v>147</v>
      </c>
    </row>
    <row r="69946" spans="1:4" x14ac:dyDescent="0.2">
      <c r="A69946" t="s">
        <v>21668</v>
      </c>
      <c r="B69946" t="str">
        <f>HYPERLINK("https://lindat.mff.cuni.cz/services/teitok/pdtc10/index.php?action=vallex&amp;frame=v-w9584f1", "zlikvidovat (v-w9584f1)")</f>
        <v>zlikvidovat (v-w9584f1)</v>
      </c>
    </row>
    <row r="69947" spans="1:4" x14ac:dyDescent="0.2">
      <c r="B69947" t="s">
        <v>1</v>
      </c>
      <c r="C69947" t="s">
        <v>2566</v>
      </c>
      <c r="D69947" t="s">
        <v>23088</v>
      </c>
    </row>
    <row r="69948" spans="1:4" x14ac:dyDescent="0.2">
      <c r="B69948" t="s">
        <v>8</v>
      </c>
      <c r="C69948" t="s">
        <v>18518</v>
      </c>
      <c r="D69948" t="s">
        <v>986</v>
      </c>
    </row>
    <row r="69950" spans="1:4" x14ac:dyDescent="0.2">
      <c r="A69950" t="s">
        <v>21669</v>
      </c>
      <c r="B69950" t="str">
        <f>HYPERLINK("https://lindat.mff.cuni.cz/services/teitok/pdtc10/index.php?action=vallex&amp;frame=v-w9587f4_MM", "zlobit (v-w9587f4_MM)")</f>
        <v>zlobit (v-w9587f4_MM)</v>
      </c>
    </row>
    <row r="69951" spans="1:4" x14ac:dyDescent="0.2">
      <c r="B69951" t="s">
        <v>488</v>
      </c>
    </row>
    <row r="69952" spans="1:4" x14ac:dyDescent="0.2">
      <c r="B69952" t="s">
        <v>8</v>
      </c>
    </row>
    <row r="69954" spans="1:4" x14ac:dyDescent="0.2">
      <c r="A69954" t="s">
        <v>21669</v>
      </c>
      <c r="B69954" t="str">
        <f>HYPERLINK("https://lindat.mff.cuni.cz/services/teitok/pdtc10/index.php?action=vallex&amp;frame=v-w9587f2", "zlobit (v-w9587f2) - substituted with v-w9587f4_MM")</f>
        <v>zlobit (v-w9587f2) - substituted with v-w9587f4_MM</v>
      </c>
    </row>
    <row r="69955" spans="1:4" x14ac:dyDescent="0.2">
      <c r="B69955" t="s">
        <v>488</v>
      </c>
      <c r="C69955" t="s">
        <v>3171</v>
      </c>
      <c r="D69955" t="s">
        <v>23325</v>
      </c>
    </row>
    <row r="69956" spans="1:4" x14ac:dyDescent="0.2">
      <c r="B69956" t="s">
        <v>8</v>
      </c>
      <c r="C69956" t="s">
        <v>56</v>
      </c>
      <c r="D69956" t="s">
        <v>23326</v>
      </c>
    </row>
    <row r="69958" spans="1:4" x14ac:dyDescent="0.2">
      <c r="A69958" t="s">
        <v>21669</v>
      </c>
      <c r="B69958" t="str">
        <f>HYPERLINK("https://lindat.mff.cuni.cz/services/teitok/pdtc10/index.php?action=vallex&amp;frame=v-w9587f3_ZU", "zlobit (v-w9587f3_ZU) - substituted with v-w9587f4_MM")</f>
        <v>zlobit (v-w9587f3_ZU) - substituted with v-w9587f4_MM</v>
      </c>
    </row>
    <row r="69959" spans="1:4" x14ac:dyDescent="0.2">
      <c r="B69959" t="s">
        <v>488</v>
      </c>
    </row>
    <row r="69960" spans="1:4" x14ac:dyDescent="0.2">
      <c r="B69960" t="s">
        <v>8</v>
      </c>
    </row>
    <row r="69962" spans="1:4" x14ac:dyDescent="0.2">
      <c r="A69962" t="s">
        <v>21670</v>
      </c>
      <c r="B69962" t="str">
        <f>HYPERLINK("https://lindat.mff.cuni.cz/services/teitok/pdtc10/index.php?action=vallex&amp;frame=v-w9587f1", "zlobit (v-w9587f1)")</f>
        <v>zlobit (v-w9587f1)</v>
      </c>
    </row>
    <row r="69963" spans="1:4" x14ac:dyDescent="0.2">
      <c r="B69963" t="s">
        <v>1</v>
      </c>
    </row>
    <row r="69964" spans="1:4" x14ac:dyDescent="0.2">
      <c r="B69964" t="s">
        <v>220</v>
      </c>
    </row>
    <row r="69966" spans="1:4" x14ac:dyDescent="0.2">
      <c r="A69966" t="s">
        <v>21671</v>
      </c>
      <c r="B69966" t="str">
        <f>HYPERLINK("https://lindat.mff.cuni.cz/services/teitok/pdtc10/index.php?action=vallex&amp;frame=v-w9588f1", "zlobit se (v-w9588f1)")</f>
        <v>zlobit se (v-w9588f1)</v>
      </c>
    </row>
    <row r="69967" spans="1:4" x14ac:dyDescent="0.2">
      <c r="B69967" t="s">
        <v>1</v>
      </c>
    </row>
    <row r="69968" spans="1:4" x14ac:dyDescent="0.2">
      <c r="B69968" t="s">
        <v>452</v>
      </c>
      <c r="C69968" t="s">
        <v>54</v>
      </c>
    </row>
    <row r="69970" spans="1:4" x14ac:dyDescent="0.2">
      <c r="A69970" t="s">
        <v>21672</v>
      </c>
      <c r="B69970" t="str">
        <f>HYPERLINK("https://lindat.mff.cuni.cz/services/teitok/pdtc10/index.php?action=vallex&amp;frame=v-w9593f1", "zlomit (v-w9593f1)")</f>
        <v>zlomit (v-w9593f1)</v>
      </c>
    </row>
    <row r="69971" spans="1:4" x14ac:dyDescent="0.2">
      <c r="B69971" t="s">
        <v>1</v>
      </c>
      <c r="C69971" t="s">
        <v>1566</v>
      </c>
      <c r="D69971" t="s">
        <v>2353</v>
      </c>
    </row>
    <row r="69972" spans="1:4" x14ac:dyDescent="0.2">
      <c r="B69972" t="s">
        <v>8</v>
      </c>
      <c r="C69972" t="s">
        <v>338</v>
      </c>
      <c r="D69972" t="s">
        <v>7127</v>
      </c>
    </row>
    <row r="69973" spans="1:4" x14ac:dyDescent="0.2">
      <c r="B69973" t="s">
        <v>2334</v>
      </c>
      <c r="C69973" t="s">
        <v>4075</v>
      </c>
      <c r="D69973" t="s">
        <v>13074</v>
      </c>
    </row>
    <row r="69975" spans="1:4" x14ac:dyDescent="0.2">
      <c r="A69975" t="s">
        <v>21673</v>
      </c>
      <c r="B69975" t="str">
        <f>HYPERLINK("https://lindat.mff.cuni.cz/services/teitok/pdtc10/index.php?action=vallex&amp;frame=v-w9593f2", "zlomit (v-w9593f2)")</f>
        <v>zlomit (v-w9593f2)</v>
      </c>
    </row>
    <row r="69976" spans="1:4" x14ac:dyDescent="0.2">
      <c r="B69976" t="s">
        <v>1</v>
      </c>
      <c r="C69976" t="s">
        <v>115</v>
      </c>
      <c r="D69976" t="s">
        <v>23088</v>
      </c>
    </row>
    <row r="69977" spans="1:4" x14ac:dyDescent="0.2">
      <c r="B69977" t="s">
        <v>8</v>
      </c>
      <c r="C69977" t="s">
        <v>1798</v>
      </c>
      <c r="D69977" t="s">
        <v>986</v>
      </c>
    </row>
    <row r="69979" spans="1:4" x14ac:dyDescent="0.2">
      <c r="A69979" t="s">
        <v>21674</v>
      </c>
      <c r="B69979" t="str">
        <f>HYPERLINK("https://lindat.mff.cuni.cz/services/teitok/pdtc10/index.php?action=vallex&amp;frame=v-w9593f3", "zlomit (v-w9593f3)")</f>
        <v>zlomit (v-w9593f3)</v>
      </c>
    </row>
    <row r="69980" spans="1:4" x14ac:dyDescent="0.2">
      <c r="B69980" t="s">
        <v>1</v>
      </c>
    </row>
    <row r="69981" spans="1:4" x14ac:dyDescent="0.2">
      <c r="B69981" t="s">
        <v>4515</v>
      </c>
    </row>
    <row r="69982" spans="1:4" x14ac:dyDescent="0.2">
      <c r="B69982" t="s">
        <v>164</v>
      </c>
    </row>
    <row r="69984" spans="1:4" x14ac:dyDescent="0.2">
      <c r="A69984" t="s">
        <v>21675</v>
      </c>
      <c r="B69984" t="str">
        <f>HYPERLINK("https://lindat.mff.cuni.cz/services/teitok/pdtc10/index.php?action=vallex&amp;frame=v-w9593f4_ZU", "zlomit (v-w9593f4_ZU)")</f>
        <v>zlomit (v-w9593f4_ZU)</v>
      </c>
    </row>
    <row r="69985" spans="1:4" x14ac:dyDescent="0.2">
      <c r="B69985" t="s">
        <v>1</v>
      </c>
      <c r="C69985" t="s">
        <v>115</v>
      </c>
    </row>
    <row r="69986" spans="1:4" x14ac:dyDescent="0.2">
      <c r="B69986" t="s">
        <v>2659</v>
      </c>
      <c r="C69986" t="s">
        <v>21676</v>
      </c>
    </row>
    <row r="69987" spans="1:4" x14ac:dyDescent="0.2">
      <c r="B69987" t="s">
        <v>103</v>
      </c>
    </row>
    <row r="69989" spans="1:4" x14ac:dyDescent="0.2">
      <c r="A69989" t="s">
        <v>21675</v>
      </c>
      <c r="B69989" t="str">
        <f>HYPERLINK("https://lindat.mff.cuni.cz/services/teitok/pdtc10/index.php?action=vallex&amp;frame=v-w9593hsa_1056", "zlomit (v-w9593hsa_1056) - substituted with v-w9593f4_ZU")</f>
        <v>zlomit (v-w9593hsa_1056) - substituted with v-w9593f4_ZU</v>
      </c>
    </row>
    <row r="69990" spans="1:4" x14ac:dyDescent="0.2">
      <c r="B69990" t="s">
        <v>1</v>
      </c>
    </row>
    <row r="69991" spans="1:4" x14ac:dyDescent="0.2">
      <c r="B69991" t="s">
        <v>2659</v>
      </c>
    </row>
    <row r="69992" spans="1:4" x14ac:dyDescent="0.2">
      <c r="B69992" t="s">
        <v>103</v>
      </c>
    </row>
    <row r="69994" spans="1:4" x14ac:dyDescent="0.2">
      <c r="A69994" t="s">
        <v>21677</v>
      </c>
      <c r="B69994" t="str">
        <f>HYPERLINK("https://lindat.mff.cuni.cz/services/teitok/pdtc10/index.php?action=vallex&amp;frame=v-w9594f1", "zlomit se (v-w9594f1)")</f>
        <v>zlomit se (v-w9594f1)</v>
      </c>
    </row>
    <row r="69995" spans="1:4" x14ac:dyDescent="0.2">
      <c r="B69995" t="s">
        <v>1</v>
      </c>
      <c r="C69995" t="s">
        <v>186</v>
      </c>
      <c r="D69995" t="s">
        <v>9773</v>
      </c>
    </row>
    <row r="69997" spans="1:4" x14ac:dyDescent="0.2">
      <c r="A69997" t="s">
        <v>21678</v>
      </c>
      <c r="B69997" t="str">
        <f>HYPERLINK("https://lindat.mff.cuni.cz/services/teitok/pdtc10/index.php?action=vallex&amp;frame=v-w9595f1", "zlořečit (v-w9595f1)")</f>
        <v>zlořečit (v-w9595f1)</v>
      </c>
    </row>
    <row r="69998" spans="1:4" x14ac:dyDescent="0.2">
      <c r="B69998" t="s">
        <v>1</v>
      </c>
      <c r="D69998" t="s">
        <v>9603</v>
      </c>
    </row>
    <row r="69999" spans="1:4" x14ac:dyDescent="0.2">
      <c r="B69999" t="s">
        <v>35</v>
      </c>
      <c r="D69999" t="s">
        <v>24546</v>
      </c>
    </row>
    <row r="70000" spans="1:4" x14ac:dyDescent="0.2">
      <c r="B70000" t="s">
        <v>14739</v>
      </c>
      <c r="D70000" t="s">
        <v>24547</v>
      </c>
    </row>
    <row r="70002" spans="1:4" x14ac:dyDescent="0.2">
      <c r="A70002" t="s">
        <v>21679</v>
      </c>
      <c r="B70002" t="str">
        <f>HYPERLINK("https://lindat.mff.cuni.cz/services/teitok/pdtc10/index.php?action=vallex&amp;frame=v-w9569hsa_191", "zlákat (v-w9569hsa_191)")</f>
        <v>zlákat (v-w9569hsa_191)</v>
      </c>
    </row>
    <row r="70003" spans="1:4" x14ac:dyDescent="0.2">
      <c r="B70003" t="s">
        <v>1</v>
      </c>
    </row>
    <row r="70004" spans="1:4" x14ac:dyDescent="0.2">
      <c r="B70004" t="s">
        <v>58</v>
      </c>
    </row>
    <row r="70005" spans="1:4" x14ac:dyDescent="0.2">
      <c r="B70005" t="s">
        <v>21680</v>
      </c>
    </row>
    <row r="70007" spans="1:4" x14ac:dyDescent="0.2">
      <c r="A70007" t="s">
        <v>21679</v>
      </c>
      <c r="B70007" t="str">
        <f>HYPERLINK("https://lindat.mff.cuni.cz/services/teitok/pdtc10/index.php?action=vallex&amp;frame=v-w9569f1", "zlákat (v-w9569f1) - substituted with v-w9569hsa_191")</f>
        <v>zlákat (v-w9569f1) - substituted with v-w9569hsa_191</v>
      </c>
    </row>
    <row r="70008" spans="1:4" x14ac:dyDescent="0.2">
      <c r="B70008" t="s">
        <v>1</v>
      </c>
      <c r="C70008" t="s">
        <v>33</v>
      </c>
      <c r="D70008" t="s">
        <v>23460</v>
      </c>
    </row>
    <row r="70009" spans="1:4" x14ac:dyDescent="0.2">
      <c r="B70009" t="s">
        <v>58</v>
      </c>
      <c r="C70009" t="s">
        <v>4272</v>
      </c>
      <c r="D70009" t="s">
        <v>23461</v>
      </c>
    </row>
    <row r="70010" spans="1:4" x14ac:dyDescent="0.2">
      <c r="B70010" t="s">
        <v>21680</v>
      </c>
      <c r="C70010" t="s">
        <v>2902</v>
      </c>
      <c r="D70010" t="s">
        <v>23462</v>
      </c>
    </row>
    <row r="70012" spans="1:4" x14ac:dyDescent="0.2">
      <c r="A70012" t="s">
        <v>21681</v>
      </c>
      <c r="B70012" t="str">
        <f>HYPERLINK("https://lindat.mff.cuni.cz/services/teitok/pdtc10/index.php?action=vallex&amp;frame=v-w10634f2", "zlámat (v-w10634f2)")</f>
        <v>zlámat (v-w10634f2)</v>
      </c>
    </row>
    <row r="70013" spans="1:4" x14ac:dyDescent="0.2">
      <c r="B70013" t="s">
        <v>1</v>
      </c>
    </row>
    <row r="70014" spans="1:4" x14ac:dyDescent="0.2">
      <c r="B70014" t="s">
        <v>8</v>
      </c>
    </row>
    <row r="70015" spans="1:4" x14ac:dyDescent="0.2">
      <c r="B70015" t="s">
        <v>2334</v>
      </c>
    </row>
    <row r="70017" spans="1:4" x14ac:dyDescent="0.2">
      <c r="A70017" t="s">
        <v>21682</v>
      </c>
      <c r="B70017" t="str">
        <f>HYPERLINK("https://lindat.mff.cuni.cz/services/teitok/pdtc10/index.php?action=vallex&amp;frame=v-w9583f1", "zlíbit se (v-w9583f1)")</f>
        <v>zlíbit se (v-w9583f1)</v>
      </c>
    </row>
    <row r="70018" spans="1:4" x14ac:dyDescent="0.2">
      <c r="B70018" t="s">
        <v>455</v>
      </c>
    </row>
    <row r="70019" spans="1:4" x14ac:dyDescent="0.2">
      <c r="B70019" t="s">
        <v>4374</v>
      </c>
    </row>
    <row r="70021" spans="1:4" x14ac:dyDescent="0.2">
      <c r="A70021" t="s">
        <v>21683</v>
      </c>
      <c r="B70021" t="str">
        <f>HYPERLINK("https://lindat.mff.cuni.cz/services/teitok/pdtc10/index.php?action=vallex&amp;frame=v-w9599f1", "zmalomyslnět (v-w9599f1)")</f>
        <v>zmalomyslnět (v-w9599f1)</v>
      </c>
    </row>
    <row r="70022" spans="1:4" x14ac:dyDescent="0.2">
      <c r="B70022" t="s">
        <v>1</v>
      </c>
    </row>
    <row r="70024" spans="1:4" x14ac:dyDescent="0.2">
      <c r="A70024" t="s">
        <v>21684</v>
      </c>
      <c r="B70024" t="str">
        <f>HYPERLINK("https://lindat.mff.cuni.cz/services/teitok/pdtc10/index.php?action=vallex&amp;frame=v-w9597f1", "zmalátnit (v-w9597f1)")</f>
        <v>zmalátnit (v-w9597f1)</v>
      </c>
    </row>
    <row r="70025" spans="1:4" x14ac:dyDescent="0.2">
      <c r="B70025" t="s">
        <v>1</v>
      </c>
    </row>
    <row r="70026" spans="1:4" x14ac:dyDescent="0.2">
      <c r="B70026" t="s">
        <v>8</v>
      </c>
    </row>
    <row r="70028" spans="1:4" x14ac:dyDescent="0.2">
      <c r="A70028" t="s">
        <v>21685</v>
      </c>
      <c r="B70028" t="str">
        <f>HYPERLINK("https://lindat.mff.cuni.cz/services/teitok/pdtc10/index.php?action=vallex&amp;frame=v-w9598f1", "zmalířštět (v-w9598f1)")</f>
        <v>zmalířštět (v-w9598f1)</v>
      </c>
    </row>
    <row r="70029" spans="1:4" x14ac:dyDescent="0.2">
      <c r="B70029" t="s">
        <v>1</v>
      </c>
    </row>
    <row r="70031" spans="1:4" x14ac:dyDescent="0.2">
      <c r="A70031" t="s">
        <v>21686</v>
      </c>
      <c r="B70031" t="str">
        <f>HYPERLINK("https://lindat.mff.cuni.cz/services/teitok/pdtc10/index.php?action=vallex&amp;frame=v-w9601f1", "zmanipulovat (v-w9601f1)")</f>
        <v>zmanipulovat (v-w9601f1)</v>
      </c>
    </row>
    <row r="70032" spans="1:4" x14ac:dyDescent="0.2">
      <c r="B70032" t="s">
        <v>1</v>
      </c>
      <c r="C70032" t="s">
        <v>990</v>
      </c>
      <c r="D70032" t="s">
        <v>1366</v>
      </c>
    </row>
    <row r="70033" spans="1:4" x14ac:dyDescent="0.2">
      <c r="B70033" t="s">
        <v>8</v>
      </c>
      <c r="C70033" t="s">
        <v>6776</v>
      </c>
      <c r="D70033" t="s">
        <v>3040</v>
      </c>
    </row>
    <row r="70035" spans="1:4" x14ac:dyDescent="0.2">
      <c r="A70035" t="s">
        <v>21687</v>
      </c>
      <c r="B70035" t="str">
        <f>HYPERLINK("https://lindat.mff.cuni.cz/services/teitok/pdtc10/index.php?action=vallex&amp;frame=v-w9603f1", "zmapovat (v-w9603f1)")</f>
        <v>zmapovat (v-w9603f1)</v>
      </c>
    </row>
    <row r="70036" spans="1:4" x14ac:dyDescent="0.2">
      <c r="B70036" t="s">
        <v>1</v>
      </c>
    </row>
    <row r="70037" spans="1:4" x14ac:dyDescent="0.2">
      <c r="B70037" t="s">
        <v>8</v>
      </c>
    </row>
    <row r="70039" spans="1:4" x14ac:dyDescent="0.2">
      <c r="A70039" t="s">
        <v>21688</v>
      </c>
      <c r="B70039" t="str">
        <f>HYPERLINK("https://lindat.mff.cuni.cz/services/teitok/pdtc10/index.php?action=vallex&amp;frame=v-w9604f1", "zmarnit (v-w9604f1)")</f>
        <v>zmarnit (v-w9604f1)</v>
      </c>
    </row>
    <row r="70040" spans="1:4" x14ac:dyDescent="0.2">
      <c r="B70040" t="s">
        <v>1</v>
      </c>
    </row>
    <row r="70041" spans="1:4" x14ac:dyDescent="0.2">
      <c r="B70041" t="s">
        <v>8</v>
      </c>
    </row>
    <row r="70043" spans="1:4" x14ac:dyDescent="0.2">
      <c r="A70043" t="s">
        <v>21689</v>
      </c>
      <c r="B70043" t="str">
        <f>HYPERLINK("https://lindat.mff.cuni.cz/services/teitok/pdtc10/index.php?action=vallex&amp;frame=v-whsa_590f1_ZU", "zmasakrovat (v-whsa_590f1_ZU)")</f>
        <v>zmasakrovat (v-whsa_590f1_ZU)</v>
      </c>
    </row>
    <row r="70044" spans="1:4" x14ac:dyDescent="0.2">
      <c r="B70044" t="s">
        <v>1</v>
      </c>
      <c r="D70044" t="s">
        <v>23088</v>
      </c>
    </row>
    <row r="70045" spans="1:4" x14ac:dyDescent="0.2">
      <c r="B70045" t="s">
        <v>8</v>
      </c>
      <c r="C70045" t="s">
        <v>34</v>
      </c>
      <c r="D70045" t="s">
        <v>986</v>
      </c>
    </row>
    <row r="70047" spans="1:4" x14ac:dyDescent="0.2">
      <c r="A70047" t="s">
        <v>21689</v>
      </c>
      <c r="B70047" t="str">
        <f>HYPERLINK("https://lindat.mff.cuni.cz/services/teitok/pdtc10/index.php?action=vallex&amp;frame=v-whsa_590hsa_591", "zmasakrovat (v-whsa_590hsa_591) - substituted with v-whsa_590f1_ZU")</f>
        <v>zmasakrovat (v-whsa_590hsa_591) - substituted with v-whsa_590f1_ZU</v>
      </c>
    </row>
    <row r="70048" spans="1:4" x14ac:dyDescent="0.2">
      <c r="B70048" t="s">
        <v>1</v>
      </c>
    </row>
    <row r="70049" spans="1:4" x14ac:dyDescent="0.2">
      <c r="B70049" t="s">
        <v>8</v>
      </c>
    </row>
    <row r="70051" spans="1:4" x14ac:dyDescent="0.2">
      <c r="A70051" t="s">
        <v>21690</v>
      </c>
      <c r="B70051" t="str">
        <f>HYPERLINK("https://lindat.mff.cuni.cz/services/teitok/pdtc10/index.php?action=vallex&amp;frame=v-w12032_ZUf1_ZU", "zmačknout (v-w12032_ZUf1_ZU)")</f>
        <v>zmačknout (v-w12032_ZUf1_ZU)</v>
      </c>
    </row>
    <row r="70052" spans="1:4" x14ac:dyDescent="0.2">
      <c r="B70052" t="s">
        <v>1</v>
      </c>
    </row>
    <row r="70053" spans="1:4" x14ac:dyDescent="0.2">
      <c r="B70053" t="s">
        <v>8</v>
      </c>
    </row>
    <row r="70055" spans="1:4" x14ac:dyDescent="0.2">
      <c r="A70055" t="s">
        <v>21691</v>
      </c>
      <c r="B70055" t="str">
        <f>HYPERLINK("https://lindat.mff.cuni.cz/services/teitok/pdtc10/index.php?action=vallex&amp;frame=v-w9606f1", "zmařit (v-w9606f1)")</f>
        <v>zmařit (v-w9606f1)</v>
      </c>
    </row>
    <row r="70056" spans="1:4" x14ac:dyDescent="0.2">
      <c r="B70056" t="s">
        <v>1</v>
      </c>
      <c r="C70056" t="s">
        <v>21692</v>
      </c>
      <c r="D70056" t="s">
        <v>22980</v>
      </c>
    </row>
    <row r="70057" spans="1:4" x14ac:dyDescent="0.2">
      <c r="B70057" t="s">
        <v>7115</v>
      </c>
      <c r="C70057" t="s">
        <v>9397</v>
      </c>
      <c r="D70057" t="s">
        <v>22981</v>
      </c>
    </row>
    <row r="70058" spans="1:4" x14ac:dyDescent="0.2">
      <c r="B70058" t="s">
        <v>78</v>
      </c>
    </row>
    <row r="70060" spans="1:4" x14ac:dyDescent="0.2">
      <c r="A70060" t="s">
        <v>21693</v>
      </c>
      <c r="B70060" t="str">
        <f>HYPERLINK("https://lindat.mff.cuni.cz/services/teitok/pdtc10/index.php?action=vallex&amp;frame=v-w9606f2", "zmařit (v-w9606f2)")</f>
        <v>zmařit (v-w9606f2)</v>
      </c>
    </row>
    <row r="70061" spans="1:4" x14ac:dyDescent="0.2">
      <c r="B70061" t="s">
        <v>1</v>
      </c>
      <c r="C70061" t="s">
        <v>21694</v>
      </c>
      <c r="D70061" t="s">
        <v>22980</v>
      </c>
    </row>
    <row r="70062" spans="1:4" x14ac:dyDescent="0.2">
      <c r="B70062" t="s">
        <v>8</v>
      </c>
      <c r="C70062" t="s">
        <v>81</v>
      </c>
      <c r="D70062" t="s">
        <v>22981</v>
      </c>
    </row>
    <row r="70064" spans="1:4" x14ac:dyDescent="0.2">
      <c r="A70064" t="s">
        <v>21695</v>
      </c>
      <c r="B70064" t="str">
        <f>HYPERLINK("https://lindat.mff.cuni.cz/services/teitok/pdtc10/index.php?action=vallex&amp;frame=v-w9610f1", "zmehnout (v-w9610f1)")</f>
        <v>zmehnout (v-w9610f1)</v>
      </c>
    </row>
    <row r="70065" spans="1:4" x14ac:dyDescent="0.2">
      <c r="B70065" t="s">
        <v>455</v>
      </c>
    </row>
    <row r="70067" spans="1:4" x14ac:dyDescent="0.2">
      <c r="A70067" t="s">
        <v>21696</v>
      </c>
      <c r="B70067" t="str">
        <f>HYPERLINK("https://lindat.mff.cuni.cz/services/teitok/pdtc10/index.php?action=vallex&amp;frame=v-w9618f1", "zmenšit (v-w9618f1)")</f>
        <v>zmenšit (v-w9618f1)</v>
      </c>
    </row>
    <row r="70068" spans="1:4" x14ac:dyDescent="0.2">
      <c r="B70068" t="s">
        <v>1</v>
      </c>
      <c r="C70068" t="s">
        <v>9876</v>
      </c>
      <c r="D70068" t="s">
        <v>23730</v>
      </c>
    </row>
    <row r="70069" spans="1:4" x14ac:dyDescent="0.2">
      <c r="B70069" t="s">
        <v>8</v>
      </c>
      <c r="C70069" t="s">
        <v>21697</v>
      </c>
      <c r="D70069" t="s">
        <v>23731</v>
      </c>
    </row>
    <row r="70070" spans="1:4" x14ac:dyDescent="0.2">
      <c r="B70070" t="s">
        <v>24</v>
      </c>
      <c r="C70070" t="s">
        <v>21698</v>
      </c>
      <c r="D70070" t="s">
        <v>23732</v>
      </c>
    </row>
    <row r="70071" spans="1:4" x14ac:dyDescent="0.2">
      <c r="B70071" t="s">
        <v>61</v>
      </c>
      <c r="C70071" t="s">
        <v>21699</v>
      </c>
      <c r="D70071" t="s">
        <v>23733</v>
      </c>
    </row>
    <row r="70073" spans="1:4" x14ac:dyDescent="0.2">
      <c r="A70073" t="s">
        <v>21700</v>
      </c>
      <c r="B70073" t="str">
        <f>HYPERLINK("https://lindat.mff.cuni.cz/services/teitok/pdtc10/index.php?action=vallex&amp;frame=v-w9619f1", "zmenšit se (v-w9619f1)")</f>
        <v>zmenšit se (v-w9619f1)</v>
      </c>
    </row>
    <row r="70074" spans="1:4" x14ac:dyDescent="0.2">
      <c r="B70074" t="s">
        <v>1</v>
      </c>
      <c r="C70074" t="s">
        <v>21701</v>
      </c>
      <c r="D70074" t="s">
        <v>23736</v>
      </c>
    </row>
    <row r="70075" spans="1:4" x14ac:dyDescent="0.2">
      <c r="B70075" t="s">
        <v>46</v>
      </c>
      <c r="C70075" t="s">
        <v>21702</v>
      </c>
      <c r="D70075" t="s">
        <v>23737</v>
      </c>
    </row>
    <row r="70076" spans="1:4" x14ac:dyDescent="0.2">
      <c r="B70076" t="s">
        <v>24</v>
      </c>
      <c r="C70076" t="s">
        <v>21703</v>
      </c>
      <c r="D70076" t="s">
        <v>23738</v>
      </c>
    </row>
    <row r="70078" spans="1:4" x14ac:dyDescent="0.2">
      <c r="A70078" t="s">
        <v>21704</v>
      </c>
      <c r="B70078" t="str">
        <f>HYPERLINK("https://lindat.mff.cuni.cz/services/teitok/pdtc10/index.php?action=vallex&amp;frame=v-w9621f1", "zmenšovat (v-w9621f1)")</f>
        <v>zmenšovat (v-w9621f1)</v>
      </c>
    </row>
    <row r="70079" spans="1:4" x14ac:dyDescent="0.2">
      <c r="B70079" t="s">
        <v>1</v>
      </c>
      <c r="C70079" t="s">
        <v>21705</v>
      </c>
      <c r="D70079" t="s">
        <v>23730</v>
      </c>
    </row>
    <row r="70080" spans="1:4" x14ac:dyDescent="0.2">
      <c r="B70080" t="s">
        <v>8</v>
      </c>
      <c r="C70080" t="s">
        <v>21706</v>
      </c>
      <c r="D70080" t="s">
        <v>23731</v>
      </c>
    </row>
    <row r="70081" spans="1:4" x14ac:dyDescent="0.2">
      <c r="B70081" t="s">
        <v>24</v>
      </c>
      <c r="C70081" t="s">
        <v>10630</v>
      </c>
      <c r="D70081" t="s">
        <v>23732</v>
      </c>
    </row>
    <row r="70082" spans="1:4" x14ac:dyDescent="0.2">
      <c r="B70082" t="s">
        <v>61</v>
      </c>
      <c r="C70082" t="s">
        <v>21707</v>
      </c>
      <c r="D70082" t="s">
        <v>23733</v>
      </c>
    </row>
    <row r="70084" spans="1:4" x14ac:dyDescent="0.2">
      <c r="A70084" t="s">
        <v>21708</v>
      </c>
      <c r="B70084" t="str">
        <f>HYPERLINK("https://lindat.mff.cuni.cz/services/teitok/pdtc10/index.php?action=vallex&amp;frame=v-w11451f1", "zmenšovat se (v-w11451f1)")</f>
        <v>zmenšovat se (v-w11451f1)</v>
      </c>
    </row>
    <row r="70085" spans="1:4" x14ac:dyDescent="0.2">
      <c r="B70085" t="s">
        <v>1</v>
      </c>
      <c r="C70085" t="s">
        <v>21709</v>
      </c>
      <c r="D70085" t="s">
        <v>23736</v>
      </c>
    </row>
    <row r="70086" spans="1:4" x14ac:dyDescent="0.2">
      <c r="B70086" t="s">
        <v>46</v>
      </c>
      <c r="C70086" t="s">
        <v>21710</v>
      </c>
      <c r="D70086" t="s">
        <v>23737</v>
      </c>
    </row>
    <row r="70087" spans="1:4" x14ac:dyDescent="0.2">
      <c r="B70087" t="s">
        <v>24</v>
      </c>
      <c r="C70087" t="s">
        <v>21711</v>
      </c>
      <c r="D70087" t="s">
        <v>23738</v>
      </c>
    </row>
    <row r="70089" spans="1:4" x14ac:dyDescent="0.2">
      <c r="A70089" t="s">
        <v>21712</v>
      </c>
      <c r="B70089" t="str">
        <f>HYPERLINK("https://lindat.mff.cuni.cz/services/teitok/pdtc10/index.php?action=vallex&amp;frame=v-whsa_728f1_ZU", "zmeškat (v-whsa_728f1_ZU)")</f>
        <v>zmeškat (v-whsa_728f1_ZU)</v>
      </c>
    </row>
    <row r="70090" spans="1:4" x14ac:dyDescent="0.2">
      <c r="B70090" t="s">
        <v>1</v>
      </c>
    </row>
    <row r="70091" spans="1:4" x14ac:dyDescent="0.2">
      <c r="B70091" t="s">
        <v>41</v>
      </c>
    </row>
    <row r="70093" spans="1:4" x14ac:dyDescent="0.2">
      <c r="A70093" t="s">
        <v>21712</v>
      </c>
      <c r="B70093" t="str">
        <f>HYPERLINK("https://lindat.mff.cuni.cz/services/teitok/pdtc10/index.php?action=vallex&amp;frame=v-whsa_728hsa_729", "zmeškat (v-whsa_728hsa_729) - substituted with v-whsa_728f1_ZU")</f>
        <v>zmeškat (v-whsa_728hsa_729) - substituted with v-whsa_728f1_ZU</v>
      </c>
    </row>
    <row r="70094" spans="1:4" x14ac:dyDescent="0.2">
      <c r="B70094" t="s">
        <v>1</v>
      </c>
      <c r="C70094" t="s">
        <v>1566</v>
      </c>
      <c r="D70094" t="s">
        <v>24208</v>
      </c>
    </row>
    <row r="70095" spans="1:4" x14ac:dyDescent="0.2">
      <c r="B70095" t="s">
        <v>41</v>
      </c>
      <c r="C70095" t="s">
        <v>359</v>
      </c>
      <c r="D70095" t="s">
        <v>24209</v>
      </c>
    </row>
    <row r="70097" spans="1:4" x14ac:dyDescent="0.2">
      <c r="A70097" t="s">
        <v>21713</v>
      </c>
      <c r="B70097" t="str">
        <f>HYPERLINK("https://lindat.mff.cuni.cz/services/teitok/pdtc10/index.php?action=vallex&amp;frame=v-w10462f2", "zminimalizovat (v-w10462f2)")</f>
        <v>zminimalizovat (v-w10462f2)</v>
      </c>
    </row>
    <row r="70098" spans="1:4" x14ac:dyDescent="0.2">
      <c r="B70098" t="s">
        <v>1</v>
      </c>
    </row>
    <row r="70099" spans="1:4" x14ac:dyDescent="0.2">
      <c r="B70099" t="s">
        <v>8</v>
      </c>
    </row>
    <row r="70100" spans="1:4" x14ac:dyDescent="0.2">
      <c r="B70100" t="s">
        <v>24</v>
      </c>
    </row>
    <row r="70101" spans="1:4" x14ac:dyDescent="0.2">
      <c r="B70101" t="s">
        <v>61</v>
      </c>
    </row>
    <row r="70103" spans="1:4" x14ac:dyDescent="0.2">
      <c r="A70103" t="s">
        <v>21714</v>
      </c>
      <c r="B70103" t="str">
        <f>HYPERLINK("https://lindat.mff.cuni.cz/services/teitok/pdtc10/index.php?action=vallex&amp;frame=v-w9638f1", "zmizet (v-w9638f1)")</f>
        <v>zmizet (v-w9638f1)</v>
      </c>
    </row>
    <row r="70104" spans="1:4" x14ac:dyDescent="0.2">
      <c r="B70104" t="s">
        <v>1</v>
      </c>
      <c r="C70104" t="s">
        <v>21715</v>
      </c>
      <c r="D70104" t="s">
        <v>9222</v>
      </c>
    </row>
    <row r="70106" spans="1:4" x14ac:dyDescent="0.2">
      <c r="A70106" t="s">
        <v>21716</v>
      </c>
      <c r="B70106" t="str">
        <f>HYPERLINK("https://lindat.mff.cuni.cz/services/teitok/pdtc10/index.php?action=vallex&amp;frame=v-w9627f2_ZU", "zmiňovat (v-w9627f2_ZU)")</f>
        <v>zmiňovat (v-w9627f2_ZU)</v>
      </c>
    </row>
    <row r="70107" spans="1:4" x14ac:dyDescent="0.2">
      <c r="B70107" t="s">
        <v>1</v>
      </c>
      <c r="C70107" t="s">
        <v>83</v>
      </c>
      <c r="D70107" t="s">
        <v>23807</v>
      </c>
    </row>
    <row r="70108" spans="1:4" x14ac:dyDescent="0.2">
      <c r="B70108" t="s">
        <v>7150</v>
      </c>
      <c r="C70108" t="s">
        <v>54</v>
      </c>
      <c r="D70108" t="s">
        <v>2917</v>
      </c>
    </row>
    <row r="70109" spans="1:4" x14ac:dyDescent="0.2">
      <c r="B70109" t="s">
        <v>78</v>
      </c>
      <c r="D70109" t="s">
        <v>987</v>
      </c>
    </row>
    <row r="70111" spans="1:4" x14ac:dyDescent="0.2">
      <c r="A70111" t="s">
        <v>21716</v>
      </c>
      <c r="B70111" t="str">
        <f>HYPERLINK("https://lindat.mff.cuni.cz/services/teitok/pdtc10/index.php?action=vallex&amp;frame=v-w9627f1", "zmiňovat (v-w9627f1) - substituted with v-w9627f2_ZU")</f>
        <v>zmiňovat (v-w9627f1) - substituted with v-w9627f2_ZU</v>
      </c>
    </row>
    <row r="70112" spans="1:4" x14ac:dyDescent="0.2">
      <c r="B70112" t="s">
        <v>1</v>
      </c>
      <c r="C70112" t="s">
        <v>1372</v>
      </c>
    </row>
    <row r="70113" spans="1:4" x14ac:dyDescent="0.2">
      <c r="B70113" t="s">
        <v>7150</v>
      </c>
      <c r="C70113" t="s">
        <v>21717</v>
      </c>
    </row>
    <row r="70114" spans="1:4" x14ac:dyDescent="0.2">
      <c r="B70114" t="s">
        <v>78</v>
      </c>
    </row>
    <row r="70116" spans="1:4" x14ac:dyDescent="0.2">
      <c r="A70116" t="s">
        <v>21718</v>
      </c>
      <c r="B70116" t="str">
        <f>HYPERLINK("https://lindat.mff.cuni.cz/services/teitok/pdtc10/index.php?action=vallex&amp;frame=v-w9627hsa_372", "zmiňovat (v-w9627hsa_372)")</f>
        <v>zmiňovat (v-w9627hsa_372)</v>
      </c>
    </row>
    <row r="70117" spans="1:4" x14ac:dyDescent="0.2">
      <c r="B70117" t="s">
        <v>1</v>
      </c>
    </row>
    <row r="70118" spans="1:4" x14ac:dyDescent="0.2">
      <c r="B70118" t="s">
        <v>8</v>
      </c>
    </row>
    <row r="70119" spans="1:4" x14ac:dyDescent="0.2">
      <c r="B70119" t="s">
        <v>20529</v>
      </c>
    </row>
    <row r="70121" spans="1:4" x14ac:dyDescent="0.2">
      <c r="A70121" t="s">
        <v>21719</v>
      </c>
      <c r="B70121" t="str">
        <f>HYPERLINK("https://lindat.mff.cuni.cz/services/teitok/pdtc10/index.php?action=vallex&amp;frame=v-w9628f1", "zmiňovat se (v-w9628f1)")</f>
        <v>zmiňovat se (v-w9628f1)</v>
      </c>
    </row>
    <row r="70122" spans="1:4" x14ac:dyDescent="0.2">
      <c r="B70122" t="s">
        <v>1</v>
      </c>
      <c r="C70122" t="s">
        <v>21720</v>
      </c>
      <c r="D70122" t="s">
        <v>23807</v>
      </c>
    </row>
    <row r="70123" spans="1:4" x14ac:dyDescent="0.2">
      <c r="B70123" t="s">
        <v>955</v>
      </c>
      <c r="C70123" t="s">
        <v>7507</v>
      </c>
      <c r="D70123" t="s">
        <v>2917</v>
      </c>
    </row>
    <row r="70124" spans="1:4" x14ac:dyDescent="0.2">
      <c r="B70124" t="s">
        <v>78</v>
      </c>
      <c r="D70124" t="s">
        <v>987</v>
      </c>
    </row>
    <row r="70126" spans="1:4" x14ac:dyDescent="0.2">
      <c r="A70126" t="s">
        <v>21721</v>
      </c>
      <c r="B70126" t="str">
        <f>HYPERLINK("https://lindat.mff.cuni.cz/services/teitok/pdtc10/index.php?action=vallex&amp;frame=v-w9628f2", "zmiňovat se (v-w9628f2)")</f>
        <v>zmiňovat se (v-w9628f2)</v>
      </c>
    </row>
    <row r="70127" spans="1:4" x14ac:dyDescent="0.2">
      <c r="B70127" t="s">
        <v>1</v>
      </c>
      <c r="D70127" t="s">
        <v>24548</v>
      </c>
    </row>
    <row r="70128" spans="1:4" x14ac:dyDescent="0.2">
      <c r="B70128" t="s">
        <v>17897</v>
      </c>
      <c r="D70128" t="s">
        <v>24549</v>
      </c>
    </row>
    <row r="70129" spans="1:4" x14ac:dyDescent="0.2">
      <c r="B70129" t="s">
        <v>269</v>
      </c>
      <c r="D70129" t="s">
        <v>24550</v>
      </c>
    </row>
    <row r="70130" spans="1:4" x14ac:dyDescent="0.2">
      <c r="B70130" t="s">
        <v>78</v>
      </c>
      <c r="D70130" t="s">
        <v>24551</v>
      </c>
    </row>
    <row r="70132" spans="1:4" x14ac:dyDescent="0.2">
      <c r="A70132" t="s">
        <v>21722</v>
      </c>
      <c r="B70132" t="str">
        <f>HYPERLINK("https://lindat.mff.cuni.cz/services/teitok/pdtc10/index.php?action=vallex&amp;frame=v-whsa_88hsa_89", "zmlknout (v-whsa_88hsa_89)")</f>
        <v>zmlknout (v-whsa_88hsa_89)</v>
      </c>
    </row>
    <row r="70133" spans="1:4" x14ac:dyDescent="0.2">
      <c r="B70133" t="s">
        <v>1</v>
      </c>
    </row>
    <row r="70135" spans="1:4" x14ac:dyDescent="0.2">
      <c r="A70135" t="s">
        <v>21723</v>
      </c>
      <c r="B70135" t="str">
        <f>HYPERLINK("https://lindat.mff.cuni.cz/services/teitok/pdtc10/index.php?action=vallex&amp;frame=v-w9639f1", "zmlátit (v-w9639f1)")</f>
        <v>zmlátit (v-w9639f1)</v>
      </c>
    </row>
    <row r="70136" spans="1:4" x14ac:dyDescent="0.2">
      <c r="B70136" t="s">
        <v>1</v>
      </c>
    </row>
    <row r="70137" spans="1:4" x14ac:dyDescent="0.2">
      <c r="B70137" t="s">
        <v>8</v>
      </c>
    </row>
    <row r="70139" spans="1:4" x14ac:dyDescent="0.2">
      <c r="A70139" t="s">
        <v>21724</v>
      </c>
      <c r="B70139" t="str">
        <f>HYPERLINK("https://lindat.mff.cuni.cz/services/teitok/pdtc10/index.php?action=vallex&amp;frame=v-w9640f1", "zmnohonásobit (v-w9640f1)")</f>
        <v>zmnohonásobit (v-w9640f1)</v>
      </c>
    </row>
    <row r="70140" spans="1:4" x14ac:dyDescent="0.2">
      <c r="B70140" t="s">
        <v>1</v>
      </c>
    </row>
    <row r="70141" spans="1:4" x14ac:dyDescent="0.2">
      <c r="B70141" t="s">
        <v>8</v>
      </c>
    </row>
    <row r="70143" spans="1:4" x14ac:dyDescent="0.2">
      <c r="A70143" t="s">
        <v>21725</v>
      </c>
      <c r="B70143" t="str">
        <f>HYPERLINK("https://lindat.mff.cuni.cz/services/teitok/pdtc10/index.php?action=vallex&amp;frame=v-w9641f1", "zmobilizovat (v-w9641f1)")</f>
        <v>zmobilizovat (v-w9641f1)</v>
      </c>
    </row>
    <row r="70144" spans="1:4" x14ac:dyDescent="0.2">
      <c r="B70144" t="s">
        <v>1</v>
      </c>
      <c r="C70144" t="s">
        <v>4011</v>
      </c>
      <c r="D70144" t="s">
        <v>370</v>
      </c>
    </row>
    <row r="70145" spans="1:4" x14ac:dyDescent="0.2">
      <c r="B70145" t="s">
        <v>8</v>
      </c>
      <c r="C70145" t="s">
        <v>13046</v>
      </c>
      <c r="D70145" t="s">
        <v>969</v>
      </c>
    </row>
    <row r="70147" spans="1:4" x14ac:dyDescent="0.2">
      <c r="A70147" t="s">
        <v>21726</v>
      </c>
      <c r="B70147" t="str">
        <f>HYPERLINK("https://lindat.mff.cuni.cz/services/teitok/pdtc10/index.php?action=vallex&amp;frame=v-w9642f1", "zmoci (v-w9642f1)")</f>
        <v>zmoci (v-w9642f1)</v>
      </c>
    </row>
    <row r="70148" spans="1:4" x14ac:dyDescent="0.2">
      <c r="B70148" t="s">
        <v>1</v>
      </c>
    </row>
    <row r="70149" spans="1:4" x14ac:dyDescent="0.2">
      <c r="B70149" t="s">
        <v>8</v>
      </c>
    </row>
    <row r="70151" spans="1:4" x14ac:dyDescent="0.2">
      <c r="A70151" t="s">
        <v>21727</v>
      </c>
      <c r="B70151" t="str">
        <f>HYPERLINK("https://lindat.mff.cuni.cz/services/teitok/pdtc10/index.php?action=vallex&amp;frame=v-w9642hsa_798", "zmoci (v-w9642hsa_798)")</f>
        <v>zmoci (v-w9642hsa_798)</v>
      </c>
    </row>
    <row r="70152" spans="1:4" x14ac:dyDescent="0.2">
      <c r="B70152" t="s">
        <v>1</v>
      </c>
    </row>
    <row r="70153" spans="1:4" x14ac:dyDescent="0.2">
      <c r="B70153" t="s">
        <v>8</v>
      </c>
      <c r="C70153" t="s">
        <v>81</v>
      </c>
    </row>
    <row r="70155" spans="1:4" x14ac:dyDescent="0.2">
      <c r="A70155" t="s">
        <v>21728</v>
      </c>
      <c r="B70155" t="str">
        <f>HYPERLINK("https://lindat.mff.cuni.cz/services/teitok/pdtc10/index.php?action=vallex&amp;frame=v-w9643f1", "zmoci se (v-w9643f1)")</f>
        <v>zmoci se (v-w9643f1)</v>
      </c>
    </row>
    <row r="70156" spans="1:4" x14ac:dyDescent="0.2">
      <c r="B70156" t="s">
        <v>1</v>
      </c>
    </row>
    <row r="70157" spans="1:4" x14ac:dyDescent="0.2">
      <c r="B70157" t="s">
        <v>28</v>
      </c>
    </row>
    <row r="70159" spans="1:4" x14ac:dyDescent="0.2">
      <c r="A70159" t="s">
        <v>21729</v>
      </c>
      <c r="B70159" t="str">
        <f>HYPERLINK("https://lindat.mff.cuni.cz/services/teitok/pdtc10/index.php?action=vallex&amp;frame=v-w9647f1", "zmocnit (v-w9647f1)")</f>
        <v>zmocnit (v-w9647f1)</v>
      </c>
    </row>
    <row r="70160" spans="1:4" x14ac:dyDescent="0.2">
      <c r="B70160" t="s">
        <v>1</v>
      </c>
    </row>
    <row r="70161" spans="1:4" x14ac:dyDescent="0.2">
      <c r="B70161" t="s">
        <v>7943</v>
      </c>
    </row>
    <row r="70162" spans="1:4" x14ac:dyDescent="0.2">
      <c r="B70162" t="s">
        <v>58</v>
      </c>
    </row>
    <row r="70164" spans="1:4" x14ac:dyDescent="0.2">
      <c r="A70164" t="s">
        <v>21730</v>
      </c>
      <c r="B70164" t="str">
        <f>HYPERLINK("https://lindat.mff.cuni.cz/services/teitok/pdtc10/index.php?action=vallex&amp;frame=v-w9648f1", "zmocnit se (v-w9648f1)")</f>
        <v>zmocnit se (v-w9648f1)</v>
      </c>
    </row>
    <row r="70165" spans="1:4" x14ac:dyDescent="0.2">
      <c r="B70165" t="s">
        <v>1</v>
      </c>
      <c r="C70165" t="s">
        <v>3583</v>
      </c>
      <c r="D70165" t="s">
        <v>230</v>
      </c>
    </row>
    <row r="70166" spans="1:4" x14ac:dyDescent="0.2">
      <c r="B70166" t="s">
        <v>917</v>
      </c>
      <c r="C70166" t="s">
        <v>2290</v>
      </c>
      <c r="D70166" t="s">
        <v>9714</v>
      </c>
    </row>
    <row r="70168" spans="1:4" x14ac:dyDescent="0.2">
      <c r="A70168" t="s">
        <v>21731</v>
      </c>
      <c r="B70168" t="str">
        <f>HYPERLINK("https://lindat.mff.cuni.cz/services/teitok/pdtc10/index.php?action=vallex&amp;frame=v-w9648f2", "zmocnit se (v-w9648f2)")</f>
        <v>zmocnit se (v-w9648f2)</v>
      </c>
    </row>
    <row r="70169" spans="1:4" x14ac:dyDescent="0.2">
      <c r="B70169" t="s">
        <v>1</v>
      </c>
    </row>
    <row r="70170" spans="1:4" x14ac:dyDescent="0.2">
      <c r="B70170" t="s">
        <v>917</v>
      </c>
    </row>
    <row r="70172" spans="1:4" x14ac:dyDescent="0.2">
      <c r="A70172" t="s">
        <v>21732</v>
      </c>
      <c r="B70172" t="str">
        <f>HYPERLINK("https://lindat.mff.cuni.cz/services/teitok/pdtc10/index.php?action=vallex&amp;frame=v-w9648f3", "zmocnit se (v-w9648f3)")</f>
        <v>zmocnit se (v-w9648f3)</v>
      </c>
    </row>
    <row r="70173" spans="1:4" x14ac:dyDescent="0.2">
      <c r="B70173" t="s">
        <v>21733</v>
      </c>
    </row>
    <row r="70174" spans="1:4" x14ac:dyDescent="0.2">
      <c r="B70174" t="s">
        <v>917</v>
      </c>
    </row>
    <row r="70176" spans="1:4" x14ac:dyDescent="0.2">
      <c r="A70176" t="s">
        <v>21734</v>
      </c>
      <c r="B70176" t="str">
        <f>HYPERLINK("https://lindat.mff.cuni.cz/services/teitok/pdtc10/index.php?action=vallex&amp;frame=v-w10768f2", "zmocňovat (v-w10768f2)")</f>
        <v>zmocňovat (v-w10768f2)</v>
      </c>
    </row>
    <row r="70177" spans="1:4" x14ac:dyDescent="0.2">
      <c r="B70177" t="s">
        <v>1</v>
      </c>
      <c r="C70177" t="s">
        <v>2239</v>
      </c>
    </row>
    <row r="70178" spans="1:4" x14ac:dyDescent="0.2">
      <c r="B70178" t="s">
        <v>7943</v>
      </c>
      <c r="C70178" t="s">
        <v>335</v>
      </c>
    </row>
    <row r="70179" spans="1:4" x14ac:dyDescent="0.2">
      <c r="B70179" t="s">
        <v>58</v>
      </c>
    </row>
    <row r="70181" spans="1:4" x14ac:dyDescent="0.2">
      <c r="A70181" t="s">
        <v>21735</v>
      </c>
      <c r="B70181" t="str">
        <f>HYPERLINK("https://lindat.mff.cuni.cz/services/teitok/pdtc10/index.php?action=vallex&amp;frame=v-w11381f1", "zmocňovat se (v-w11381f1)")</f>
        <v>zmocňovat se (v-w11381f1)</v>
      </c>
    </row>
    <row r="70182" spans="1:4" x14ac:dyDescent="0.2">
      <c r="B70182" t="s">
        <v>1</v>
      </c>
    </row>
    <row r="70183" spans="1:4" x14ac:dyDescent="0.2">
      <c r="B70183" t="s">
        <v>917</v>
      </c>
    </row>
    <row r="70185" spans="1:4" x14ac:dyDescent="0.2">
      <c r="A70185" t="s">
        <v>21736</v>
      </c>
      <c r="B70185" t="str">
        <f>HYPERLINK("https://lindat.mff.cuni.cz/services/teitok/pdtc10/index.php?action=vallex&amp;frame=v-w9649f1", "zmodernizovat (v-w9649f1)")</f>
        <v>zmodernizovat (v-w9649f1)</v>
      </c>
    </row>
    <row r="70186" spans="1:4" x14ac:dyDescent="0.2">
      <c r="B70186" t="s">
        <v>1</v>
      </c>
      <c r="C70186" t="s">
        <v>964</v>
      </c>
      <c r="D70186" t="s">
        <v>3742</v>
      </c>
    </row>
    <row r="70187" spans="1:4" x14ac:dyDescent="0.2">
      <c r="B70187" t="s">
        <v>8</v>
      </c>
      <c r="C70187" t="s">
        <v>8709</v>
      </c>
      <c r="D70187" t="s">
        <v>5571</v>
      </c>
    </row>
    <row r="70189" spans="1:4" x14ac:dyDescent="0.2">
      <c r="A70189" t="s">
        <v>21737</v>
      </c>
      <c r="B70189" t="str">
        <f>HYPERLINK("https://lindat.mff.cuni.cz/services/teitok/pdtc10/index.php?action=vallex&amp;frame=v-whsa_1904hsa_1905", "zmoknout (v-whsa_1904hsa_1905)")</f>
        <v>zmoknout (v-whsa_1904hsa_1905)</v>
      </c>
    </row>
    <row r="70190" spans="1:4" x14ac:dyDescent="0.2">
      <c r="B70190" t="s">
        <v>1</v>
      </c>
    </row>
    <row r="70192" spans="1:4" x14ac:dyDescent="0.2">
      <c r="A70192" t="s">
        <v>21738</v>
      </c>
      <c r="B70192" t="str">
        <f>HYPERLINK("https://lindat.mff.cuni.cz/services/teitok/pdtc10/index.php?action=vallex&amp;frame=v-w11189f2", "zmonopolizovat (v-w11189f2)")</f>
        <v>zmonopolizovat (v-w11189f2)</v>
      </c>
    </row>
    <row r="70193" spans="1:3" x14ac:dyDescent="0.2">
      <c r="B70193" t="s">
        <v>1</v>
      </c>
      <c r="C70193" t="s">
        <v>249</v>
      </c>
    </row>
    <row r="70194" spans="1:3" x14ac:dyDescent="0.2">
      <c r="B70194" t="s">
        <v>8</v>
      </c>
      <c r="C70194" t="s">
        <v>1128</v>
      </c>
    </row>
    <row r="70196" spans="1:3" x14ac:dyDescent="0.2">
      <c r="A70196" t="s">
        <v>21739</v>
      </c>
      <c r="B70196" t="str">
        <f>HYPERLINK("https://lindat.mff.cuni.cz/services/teitok/pdtc10/index.php?action=vallex&amp;frame=v-w12062_ZUf1_ZU", "zmotat (v-w12062_ZUf1_ZU)")</f>
        <v>zmotat (v-w12062_ZUf1_ZU)</v>
      </c>
    </row>
    <row r="70197" spans="1:3" x14ac:dyDescent="0.2">
      <c r="B70197" t="s">
        <v>1</v>
      </c>
    </row>
    <row r="70198" spans="1:3" x14ac:dyDescent="0.2">
      <c r="B70198" t="s">
        <v>8</v>
      </c>
    </row>
    <row r="70200" spans="1:3" x14ac:dyDescent="0.2">
      <c r="A70200" t="s">
        <v>21740</v>
      </c>
      <c r="B70200" t="str">
        <f>HYPERLINK("https://lindat.mff.cuni.cz/services/teitok/pdtc10/index.php?action=vallex&amp;frame=v-w9651hsa_114", "zmrazit (v-w9651hsa_114)")</f>
        <v>zmrazit (v-w9651hsa_114)</v>
      </c>
    </row>
    <row r="70201" spans="1:3" x14ac:dyDescent="0.2">
      <c r="B70201" t="s">
        <v>1</v>
      </c>
    </row>
    <row r="70202" spans="1:3" x14ac:dyDescent="0.2">
      <c r="B70202" t="s">
        <v>8</v>
      </c>
    </row>
    <row r="70203" spans="1:3" x14ac:dyDescent="0.2">
      <c r="B70203" t="s">
        <v>61</v>
      </c>
    </row>
    <row r="70205" spans="1:3" x14ac:dyDescent="0.2">
      <c r="A70205" t="s">
        <v>21740</v>
      </c>
      <c r="B70205" t="str">
        <f>HYPERLINK("https://lindat.mff.cuni.cz/services/teitok/pdtc10/index.php?action=vallex&amp;frame=v-w9651f1", "zmrazit (v-w9651f1) - substituted with v-w9651hsa_114")</f>
        <v>zmrazit (v-w9651f1) - substituted with v-w9651hsa_114</v>
      </c>
    </row>
    <row r="70206" spans="1:3" x14ac:dyDescent="0.2">
      <c r="B70206" t="s">
        <v>1</v>
      </c>
      <c r="C70206" t="s">
        <v>80</v>
      </c>
    </row>
    <row r="70207" spans="1:3" x14ac:dyDescent="0.2">
      <c r="B70207" t="s">
        <v>8</v>
      </c>
      <c r="C70207" t="s">
        <v>116</v>
      </c>
    </row>
    <row r="70208" spans="1:3" x14ac:dyDescent="0.2">
      <c r="B70208" t="s">
        <v>61</v>
      </c>
    </row>
    <row r="70210" spans="1:4" x14ac:dyDescent="0.2">
      <c r="A70210" t="s">
        <v>21741</v>
      </c>
      <c r="B70210" t="str">
        <f>HYPERLINK("https://lindat.mff.cuni.cz/services/teitok/pdtc10/index.php?action=vallex&amp;frame=v-w10256f3", "zmrazovat (v-w10256f3)")</f>
        <v>zmrazovat (v-w10256f3)</v>
      </c>
    </row>
    <row r="70211" spans="1:4" x14ac:dyDescent="0.2">
      <c r="B70211" t="s">
        <v>1</v>
      </c>
      <c r="C70211" t="s">
        <v>249</v>
      </c>
      <c r="D70211" t="s">
        <v>9760</v>
      </c>
    </row>
    <row r="70212" spans="1:4" x14ac:dyDescent="0.2">
      <c r="B70212" t="s">
        <v>8</v>
      </c>
      <c r="C70212" t="s">
        <v>56</v>
      </c>
      <c r="D70212" t="s">
        <v>22997</v>
      </c>
    </row>
    <row r="70214" spans="1:4" x14ac:dyDescent="0.2">
      <c r="A70214" t="s">
        <v>21742</v>
      </c>
      <c r="B70214" t="str">
        <f>HYPERLINK("https://lindat.mff.cuni.cz/services/teitok/pdtc10/index.php?action=vallex&amp;frame=v-w9653f1", "zmrzačit (v-w9653f1)")</f>
        <v>zmrzačit (v-w9653f1)</v>
      </c>
    </row>
    <row r="70215" spans="1:4" x14ac:dyDescent="0.2">
      <c r="B70215" t="s">
        <v>1</v>
      </c>
    </row>
    <row r="70216" spans="1:4" x14ac:dyDescent="0.2">
      <c r="B70216" t="s">
        <v>8</v>
      </c>
    </row>
    <row r="70218" spans="1:4" x14ac:dyDescent="0.2">
      <c r="A70218" t="s">
        <v>21743</v>
      </c>
      <c r="B70218" t="str">
        <f>HYPERLINK("https://lindat.mff.cuni.cz/services/teitok/pdtc10/index.php?action=vallex&amp;frame=v-whsa_2061hsa_2062", "zmrznout (v-whsa_2061hsa_2062)")</f>
        <v>zmrznout (v-whsa_2061hsa_2062)</v>
      </c>
    </row>
    <row r="70219" spans="1:4" x14ac:dyDescent="0.2">
      <c r="B70219" t="s">
        <v>1</v>
      </c>
    </row>
    <row r="70221" spans="1:4" x14ac:dyDescent="0.2">
      <c r="A70221" t="s">
        <v>21744</v>
      </c>
      <c r="B70221" t="str">
        <f>HYPERLINK("https://lindat.mff.cuni.cz/services/teitok/pdtc10/index.php?action=vallex&amp;frame=v-w10119f2", "zmutovat (v-w10119f2)")</f>
        <v>zmutovat (v-w10119f2)</v>
      </c>
    </row>
    <row r="70222" spans="1:4" x14ac:dyDescent="0.2">
      <c r="B70222" t="s">
        <v>1</v>
      </c>
      <c r="D70222" t="s">
        <v>23506</v>
      </c>
    </row>
    <row r="70223" spans="1:4" x14ac:dyDescent="0.2">
      <c r="B70223" t="s">
        <v>11616</v>
      </c>
      <c r="C70223" t="s">
        <v>34</v>
      </c>
      <c r="D70223" t="s">
        <v>23507</v>
      </c>
    </row>
    <row r="70224" spans="1:4" x14ac:dyDescent="0.2">
      <c r="B70224" t="s">
        <v>24</v>
      </c>
      <c r="D70224" t="s">
        <v>11827</v>
      </c>
    </row>
    <row r="70226" spans="1:4" x14ac:dyDescent="0.2">
      <c r="A70226" t="s">
        <v>21745</v>
      </c>
      <c r="B70226" t="str">
        <f>HYPERLINK("https://lindat.mff.cuni.cz/services/teitok/pdtc10/index.php?action=vallex&amp;frame=v-whsa_1842hsa_1843", "zmužnět (v-whsa_1842hsa_1843)")</f>
        <v>zmužnět (v-whsa_1842hsa_1843)</v>
      </c>
    </row>
    <row r="70227" spans="1:4" x14ac:dyDescent="0.2">
      <c r="B70227" t="s">
        <v>1</v>
      </c>
    </row>
    <row r="70229" spans="1:4" x14ac:dyDescent="0.2">
      <c r="A70229" t="s">
        <v>21746</v>
      </c>
      <c r="B70229" t="str">
        <f>HYPERLINK("https://lindat.mff.cuni.cz/services/teitok/pdtc10/index.php?action=vallex&amp;frame=v-w11886_ZUf1_ZU", "zmydlit (v-w11886_ZUf1_ZU)")</f>
        <v>zmydlit (v-w11886_ZUf1_ZU)</v>
      </c>
    </row>
    <row r="70230" spans="1:4" x14ac:dyDescent="0.2">
      <c r="B70230" t="s">
        <v>1</v>
      </c>
    </row>
    <row r="70231" spans="1:4" x14ac:dyDescent="0.2">
      <c r="B70231" t="s">
        <v>8</v>
      </c>
    </row>
    <row r="70233" spans="1:4" x14ac:dyDescent="0.2">
      <c r="A70233" t="s">
        <v>21747</v>
      </c>
      <c r="B70233" t="str">
        <f>HYPERLINK("https://lindat.mff.cuni.cz/services/teitok/pdtc10/index.php?action=vallex&amp;frame=v-whsa_1334hsa_1335", "zmáchat (v-whsa_1334hsa_1335)")</f>
        <v>zmáchat (v-whsa_1334hsa_1335)</v>
      </c>
    </row>
    <row r="70234" spans="1:4" x14ac:dyDescent="0.2">
      <c r="B70234" t="s">
        <v>1</v>
      </c>
    </row>
    <row r="70235" spans="1:4" x14ac:dyDescent="0.2">
      <c r="B70235" t="s">
        <v>8</v>
      </c>
    </row>
    <row r="70237" spans="1:4" x14ac:dyDescent="0.2">
      <c r="A70237" t="s">
        <v>21748</v>
      </c>
      <c r="B70237" t="str">
        <f>HYPERLINK("https://lindat.mff.cuni.cz/services/teitok/pdtc10/index.php?action=vallex&amp;frame=v-w9607f1", "zmást (v-w9607f1)")</f>
        <v>zmást (v-w9607f1)</v>
      </c>
    </row>
    <row r="70238" spans="1:4" x14ac:dyDescent="0.2">
      <c r="B70238" t="s">
        <v>1</v>
      </c>
      <c r="C70238" t="s">
        <v>5063</v>
      </c>
      <c r="D70238" t="s">
        <v>3735</v>
      </c>
    </row>
    <row r="70239" spans="1:4" x14ac:dyDescent="0.2">
      <c r="B70239" t="s">
        <v>8</v>
      </c>
      <c r="C70239" t="s">
        <v>21749</v>
      </c>
      <c r="D70239" t="s">
        <v>21749</v>
      </c>
    </row>
    <row r="70241" spans="1:4" x14ac:dyDescent="0.2">
      <c r="A70241" t="s">
        <v>21750</v>
      </c>
      <c r="B70241" t="str">
        <f>HYPERLINK("https://lindat.mff.cuni.cz/services/teitok/pdtc10/index.php?action=vallex&amp;frame=v-w12163_ZUf1_ZU", "zmátořit se (v-w12163_ZUf1_ZU)")</f>
        <v>zmátořit se (v-w12163_ZUf1_ZU)</v>
      </c>
    </row>
    <row r="70242" spans="1:4" x14ac:dyDescent="0.2">
      <c r="B70242" t="s">
        <v>1</v>
      </c>
    </row>
    <row r="70243" spans="1:4" x14ac:dyDescent="0.2">
      <c r="B70243" t="s">
        <v>438</v>
      </c>
    </row>
    <row r="70245" spans="1:4" x14ac:dyDescent="0.2">
      <c r="A70245" t="s">
        <v>21751</v>
      </c>
      <c r="B70245" t="str">
        <f>HYPERLINK("https://lindat.mff.cuni.cz/services/teitok/pdtc10/index.php?action=vallex&amp;frame=v-w9596f1", "zmáčknout (v-w9596f1)")</f>
        <v>zmáčknout (v-w9596f1)</v>
      </c>
    </row>
    <row r="70246" spans="1:4" x14ac:dyDescent="0.2">
      <c r="B70246" t="s">
        <v>1</v>
      </c>
      <c r="C70246" t="s">
        <v>133</v>
      </c>
      <c r="D70246" t="s">
        <v>92</v>
      </c>
    </row>
    <row r="70247" spans="1:4" x14ac:dyDescent="0.2">
      <c r="B70247" t="s">
        <v>8</v>
      </c>
      <c r="C70247" t="s">
        <v>84</v>
      </c>
      <c r="D70247" t="s">
        <v>2755</v>
      </c>
    </row>
    <row r="70249" spans="1:4" x14ac:dyDescent="0.2">
      <c r="A70249" t="s">
        <v>21752</v>
      </c>
      <c r="B70249" t="str">
        <f>HYPERLINK("https://lindat.mff.cuni.cz/services/teitok/pdtc10/index.php?action=vallex&amp;frame=v-w9624f1", "zmínit (v-w9624f1)")</f>
        <v>zmínit (v-w9624f1)</v>
      </c>
    </row>
    <row r="70250" spans="1:4" x14ac:dyDescent="0.2">
      <c r="B70250" t="s">
        <v>1</v>
      </c>
      <c r="C70250" t="s">
        <v>21753</v>
      </c>
      <c r="D70250" t="s">
        <v>23807</v>
      </c>
    </row>
    <row r="70251" spans="1:4" x14ac:dyDescent="0.2">
      <c r="B70251" t="s">
        <v>7150</v>
      </c>
      <c r="C70251" t="s">
        <v>21754</v>
      </c>
      <c r="D70251" t="s">
        <v>2917</v>
      </c>
    </row>
    <row r="70252" spans="1:4" x14ac:dyDescent="0.2">
      <c r="B70252" t="s">
        <v>78</v>
      </c>
      <c r="D70252" t="s">
        <v>987</v>
      </c>
    </row>
    <row r="70254" spans="1:4" x14ac:dyDescent="0.2">
      <c r="A70254" t="s">
        <v>21755</v>
      </c>
      <c r="B70254" t="str">
        <f>HYPERLINK("https://lindat.mff.cuni.cz/services/teitok/pdtc10/index.php?action=vallex&amp;frame=v-w9625f1", "zmínit se (v-w9625f1)")</f>
        <v>zmínit se (v-w9625f1)</v>
      </c>
    </row>
    <row r="70255" spans="1:4" x14ac:dyDescent="0.2">
      <c r="B70255" t="s">
        <v>1</v>
      </c>
      <c r="C70255" t="s">
        <v>8876</v>
      </c>
      <c r="D70255" t="s">
        <v>23807</v>
      </c>
    </row>
    <row r="70256" spans="1:4" x14ac:dyDescent="0.2">
      <c r="B70256" t="s">
        <v>9884</v>
      </c>
      <c r="C70256" t="s">
        <v>6302</v>
      </c>
      <c r="D70256" t="s">
        <v>2917</v>
      </c>
    </row>
    <row r="70257" spans="1:4" x14ac:dyDescent="0.2">
      <c r="B70257" t="s">
        <v>78</v>
      </c>
      <c r="D70257" t="s">
        <v>987</v>
      </c>
    </row>
    <row r="70259" spans="1:4" x14ac:dyDescent="0.2">
      <c r="A70259" t="s">
        <v>21756</v>
      </c>
      <c r="B70259" t="str">
        <f>HYPERLINK("https://lindat.mff.cuni.cz/services/teitok/pdtc10/index.php?action=vallex&amp;frame=v-w9625f2", "zmínit se (v-w9625f2)")</f>
        <v>zmínit se (v-w9625f2)</v>
      </c>
    </row>
    <row r="70260" spans="1:4" x14ac:dyDescent="0.2">
      <c r="B70260" t="s">
        <v>1</v>
      </c>
      <c r="C70260" t="s">
        <v>3583</v>
      </c>
      <c r="D70260" t="s">
        <v>24548</v>
      </c>
    </row>
    <row r="70261" spans="1:4" x14ac:dyDescent="0.2">
      <c r="B70261" t="s">
        <v>17897</v>
      </c>
      <c r="C70261" t="s">
        <v>21757</v>
      </c>
      <c r="D70261" t="s">
        <v>24549</v>
      </c>
    </row>
    <row r="70262" spans="1:4" x14ac:dyDescent="0.2">
      <c r="B70262" t="s">
        <v>269</v>
      </c>
      <c r="D70262" t="s">
        <v>2917</v>
      </c>
    </row>
    <row r="70263" spans="1:4" x14ac:dyDescent="0.2">
      <c r="B70263" t="s">
        <v>78</v>
      </c>
      <c r="D70263" t="s">
        <v>24551</v>
      </c>
    </row>
    <row r="70265" spans="1:4" x14ac:dyDescent="0.2">
      <c r="A70265" t="s">
        <v>21758</v>
      </c>
      <c r="B70265" t="str">
        <f>HYPERLINK("https://lindat.mff.cuni.cz/services/teitok/pdtc10/index.php?action=vallex&amp;frame=v-w9629f1", "zmírat (v-w9629f1)")</f>
        <v>zmírat (v-w9629f1)</v>
      </c>
    </row>
    <row r="70266" spans="1:4" x14ac:dyDescent="0.2">
      <c r="B70266" t="s">
        <v>1</v>
      </c>
    </row>
    <row r="70268" spans="1:4" x14ac:dyDescent="0.2">
      <c r="A70268" t="s">
        <v>21759</v>
      </c>
      <c r="B70268" t="str">
        <f>HYPERLINK("https://lindat.mff.cuni.cz/services/teitok/pdtc10/index.php?action=vallex&amp;frame=v-w9632f1", "zmírnit (v-w9632f1)")</f>
        <v>zmírnit (v-w9632f1)</v>
      </c>
    </row>
    <row r="70269" spans="1:4" x14ac:dyDescent="0.2">
      <c r="B70269" t="s">
        <v>1</v>
      </c>
      <c r="C70269" t="s">
        <v>21760</v>
      </c>
      <c r="D70269" t="s">
        <v>1492</v>
      </c>
    </row>
    <row r="70270" spans="1:4" x14ac:dyDescent="0.2">
      <c r="B70270" t="s">
        <v>8</v>
      </c>
      <c r="C70270" t="s">
        <v>21761</v>
      </c>
      <c r="D70270" t="s">
        <v>24552</v>
      </c>
    </row>
    <row r="70271" spans="1:4" x14ac:dyDescent="0.2">
      <c r="B70271" t="s">
        <v>24</v>
      </c>
      <c r="C70271" t="s">
        <v>21762</v>
      </c>
    </row>
    <row r="70272" spans="1:4" x14ac:dyDescent="0.2">
      <c r="B70272" t="s">
        <v>61</v>
      </c>
      <c r="C70272" t="s">
        <v>21763</v>
      </c>
    </row>
    <row r="70274" spans="1:4" x14ac:dyDescent="0.2">
      <c r="A70274" t="s">
        <v>21764</v>
      </c>
      <c r="B70274" t="str">
        <f>HYPERLINK("https://lindat.mff.cuni.cz/services/teitok/pdtc10/index.php?action=vallex&amp;frame=v-w9633f1", "zmírnit se (v-w9633f1)")</f>
        <v>zmírnit se (v-w9633f1)</v>
      </c>
    </row>
    <row r="70275" spans="1:4" x14ac:dyDescent="0.2">
      <c r="B70275" t="s">
        <v>1</v>
      </c>
      <c r="C70275" t="s">
        <v>21765</v>
      </c>
      <c r="D70275" t="s">
        <v>23636</v>
      </c>
    </row>
    <row r="70277" spans="1:4" x14ac:dyDescent="0.2">
      <c r="A70277" t="s">
        <v>21766</v>
      </c>
      <c r="B70277" t="str">
        <f>HYPERLINK("https://lindat.mff.cuni.cz/services/teitok/pdtc10/index.php?action=vallex&amp;frame=v-w9631f1", "zmírnět (v-w9631f1)")</f>
        <v>zmírnět (v-w9631f1)</v>
      </c>
    </row>
    <row r="70278" spans="1:4" x14ac:dyDescent="0.2">
      <c r="B70278" t="s">
        <v>1</v>
      </c>
      <c r="D70278" t="s">
        <v>11122</v>
      </c>
    </row>
    <row r="70279" spans="1:4" x14ac:dyDescent="0.2">
      <c r="B70279" t="s">
        <v>8</v>
      </c>
      <c r="D70279" t="s">
        <v>17729</v>
      </c>
    </row>
    <row r="70280" spans="1:4" x14ac:dyDescent="0.2">
      <c r="B70280" t="s">
        <v>24</v>
      </c>
    </row>
    <row r="70281" spans="1:4" x14ac:dyDescent="0.2">
      <c r="B70281" t="s">
        <v>61</v>
      </c>
    </row>
    <row r="70283" spans="1:4" x14ac:dyDescent="0.2">
      <c r="A70283" t="s">
        <v>21767</v>
      </c>
      <c r="B70283" t="str">
        <f>HYPERLINK("https://lindat.mff.cuni.cz/services/teitok/pdtc10/index.php?action=vallex&amp;frame=v-w9634f1", "zmírňovat (v-w9634f1)")</f>
        <v>zmírňovat (v-w9634f1)</v>
      </c>
    </row>
    <row r="70284" spans="1:4" x14ac:dyDescent="0.2">
      <c r="B70284" t="s">
        <v>1</v>
      </c>
      <c r="C70284" t="s">
        <v>21768</v>
      </c>
      <c r="D70284" t="s">
        <v>11122</v>
      </c>
    </row>
    <row r="70285" spans="1:4" x14ac:dyDescent="0.2">
      <c r="B70285" t="s">
        <v>8</v>
      </c>
      <c r="C70285" t="s">
        <v>21769</v>
      </c>
      <c r="D70285" t="s">
        <v>17729</v>
      </c>
    </row>
    <row r="70286" spans="1:4" x14ac:dyDescent="0.2">
      <c r="B70286" t="s">
        <v>24</v>
      </c>
    </row>
    <row r="70287" spans="1:4" x14ac:dyDescent="0.2">
      <c r="B70287" t="s">
        <v>61</v>
      </c>
      <c r="C70287" t="s">
        <v>16201</v>
      </c>
    </row>
    <row r="70289" spans="1:4" x14ac:dyDescent="0.2">
      <c r="A70289" t="s">
        <v>21770</v>
      </c>
      <c r="B70289" t="str">
        <f>HYPERLINK("https://lindat.mff.cuni.cz/services/teitok/pdtc10/index.php?action=vallex&amp;frame=v-w11649_ZUf1_ZU", "zmírňovat se (v-w11649_ZUf1_ZU)")</f>
        <v>zmírňovat se (v-w11649_ZUf1_ZU)</v>
      </c>
    </row>
    <row r="70290" spans="1:4" x14ac:dyDescent="0.2">
      <c r="B70290" t="s">
        <v>1</v>
      </c>
      <c r="C70290" t="s">
        <v>4011</v>
      </c>
      <c r="D70290" t="s">
        <v>23636</v>
      </c>
    </row>
    <row r="70292" spans="1:4" x14ac:dyDescent="0.2">
      <c r="A70292" t="s">
        <v>21771</v>
      </c>
      <c r="B70292" t="str">
        <f>HYPERLINK("https://lindat.mff.cuni.cz/services/teitok/pdtc10/index.php?action=vallex&amp;frame=v-whsa_788f1_ZU", "zmítat (v-whsa_788f1_ZU)")</f>
        <v>zmítat (v-whsa_788f1_ZU)</v>
      </c>
    </row>
    <row r="70293" spans="1:4" x14ac:dyDescent="0.2">
      <c r="B70293" t="s">
        <v>1</v>
      </c>
      <c r="C70293" t="s">
        <v>21772</v>
      </c>
      <c r="D70293" t="s">
        <v>6895</v>
      </c>
    </row>
    <row r="70294" spans="1:4" x14ac:dyDescent="0.2">
      <c r="B70294" t="s">
        <v>158</v>
      </c>
      <c r="C70294" t="s">
        <v>34</v>
      </c>
      <c r="D70294" t="s">
        <v>34</v>
      </c>
    </row>
    <row r="70296" spans="1:4" x14ac:dyDescent="0.2">
      <c r="A70296" t="s">
        <v>21771</v>
      </c>
      <c r="B70296" t="str">
        <f>HYPERLINK("https://lindat.mff.cuni.cz/services/teitok/pdtc10/index.php?action=vallex&amp;frame=v-whsa_788hsa_789", "zmítat (v-whsa_788hsa_789) - substituted with v-whsa_788f1_ZU")</f>
        <v>zmítat (v-whsa_788hsa_789) - substituted with v-whsa_788f1_ZU</v>
      </c>
    </row>
    <row r="70297" spans="1:4" x14ac:dyDescent="0.2">
      <c r="B70297" t="s">
        <v>1</v>
      </c>
    </row>
    <row r="70298" spans="1:4" x14ac:dyDescent="0.2">
      <c r="B70298" t="s">
        <v>158</v>
      </c>
    </row>
    <row r="70300" spans="1:4" x14ac:dyDescent="0.2">
      <c r="A70300" t="s">
        <v>21773</v>
      </c>
      <c r="B70300" t="str">
        <f>HYPERLINK("https://lindat.mff.cuni.cz/services/teitok/pdtc10/index.php?action=vallex&amp;frame=v-w9636f1", "zmítat se (v-w9636f1)")</f>
        <v>zmítat se (v-w9636f1)</v>
      </c>
    </row>
    <row r="70301" spans="1:4" x14ac:dyDescent="0.2">
      <c r="B70301" t="s">
        <v>1</v>
      </c>
    </row>
    <row r="70302" spans="1:4" x14ac:dyDescent="0.2">
      <c r="B70302" t="s">
        <v>2360</v>
      </c>
    </row>
    <row r="70304" spans="1:4" x14ac:dyDescent="0.2">
      <c r="A70304" t="s">
        <v>21774</v>
      </c>
      <c r="B70304" t="str">
        <f>HYPERLINK("https://lindat.mff.cuni.cz/services/teitok/pdtc10/index.php?action=vallex&amp;frame=v-w9654f1", "zmýlit se (v-w9654f1)")</f>
        <v>zmýlit se (v-w9654f1)</v>
      </c>
    </row>
    <row r="70305" spans="1:4" x14ac:dyDescent="0.2">
      <c r="B70305" t="s">
        <v>1</v>
      </c>
      <c r="C70305" t="s">
        <v>83</v>
      </c>
      <c r="D70305" t="s">
        <v>83</v>
      </c>
    </row>
    <row r="70307" spans="1:4" x14ac:dyDescent="0.2">
      <c r="A70307" t="s">
        <v>21775</v>
      </c>
      <c r="B70307" t="str">
        <f>HYPERLINK("https://lindat.mff.cuni.cz/services/teitok/pdtc10/index.php?action=vallex&amp;frame=v-w12324_MMf1_MM", "změknout (v-w12324_MMf1_MM)")</f>
        <v>změknout (v-w12324_MMf1_MM)</v>
      </c>
    </row>
    <row r="70308" spans="1:4" x14ac:dyDescent="0.2">
      <c r="B70308" t="s">
        <v>1</v>
      </c>
    </row>
    <row r="70310" spans="1:4" x14ac:dyDescent="0.2">
      <c r="A70310" t="s">
        <v>21776</v>
      </c>
      <c r="B70310" t="str">
        <f>HYPERLINK("https://lindat.mff.cuni.cz/services/teitok/pdtc10/index.php?action=vallex&amp;frame=v-w9611f1", "změkčit (v-w9611f1)")</f>
        <v>změkčit (v-w9611f1)</v>
      </c>
    </row>
    <row r="70311" spans="1:4" x14ac:dyDescent="0.2">
      <c r="B70311" t="s">
        <v>1</v>
      </c>
    </row>
    <row r="70312" spans="1:4" x14ac:dyDescent="0.2">
      <c r="B70312" t="s">
        <v>8</v>
      </c>
    </row>
    <row r="70313" spans="1:4" x14ac:dyDescent="0.2">
      <c r="B70313" t="s">
        <v>24</v>
      </c>
    </row>
    <row r="70314" spans="1:4" x14ac:dyDescent="0.2">
      <c r="B70314" t="s">
        <v>4155</v>
      </c>
    </row>
    <row r="70316" spans="1:4" x14ac:dyDescent="0.2">
      <c r="A70316" t="s">
        <v>21777</v>
      </c>
      <c r="B70316" t="str">
        <f>HYPERLINK("https://lindat.mff.cuni.cz/services/teitok/pdtc10/index.php?action=vallex&amp;frame=v-w9612f1", "změkčovat (v-w9612f1)")</f>
        <v>změkčovat (v-w9612f1)</v>
      </c>
    </row>
    <row r="70317" spans="1:4" x14ac:dyDescent="0.2">
      <c r="B70317" t="s">
        <v>1</v>
      </c>
    </row>
    <row r="70318" spans="1:4" x14ac:dyDescent="0.2">
      <c r="B70318" t="s">
        <v>8</v>
      </c>
    </row>
    <row r="70320" spans="1:4" x14ac:dyDescent="0.2">
      <c r="A70320" t="s">
        <v>21778</v>
      </c>
      <c r="B70320" t="str">
        <f>HYPERLINK("https://lindat.mff.cuni.cz/services/teitok/pdtc10/index.php?action=vallex&amp;frame=v-w9615f1", "změnit (v-w9615f1)")</f>
        <v>změnit (v-w9615f1)</v>
      </c>
    </row>
    <row r="70321" spans="1:4" x14ac:dyDescent="0.2">
      <c r="B70321" t="s">
        <v>1</v>
      </c>
      <c r="C70321" t="s">
        <v>21779</v>
      </c>
      <c r="D70321" t="s">
        <v>22944</v>
      </c>
    </row>
    <row r="70322" spans="1:4" x14ac:dyDescent="0.2">
      <c r="B70322" t="s">
        <v>8</v>
      </c>
      <c r="C70322" t="s">
        <v>21780</v>
      </c>
      <c r="D70322" t="s">
        <v>22945</v>
      </c>
    </row>
    <row r="70323" spans="1:4" x14ac:dyDescent="0.2">
      <c r="B70323" t="s">
        <v>24</v>
      </c>
      <c r="C70323" t="s">
        <v>21781</v>
      </c>
      <c r="D70323" t="s">
        <v>22946</v>
      </c>
    </row>
    <row r="70324" spans="1:4" x14ac:dyDescent="0.2">
      <c r="B70324" t="s">
        <v>4155</v>
      </c>
      <c r="C70324" t="s">
        <v>21782</v>
      </c>
      <c r="D70324" t="s">
        <v>22947</v>
      </c>
    </row>
    <row r="70326" spans="1:4" x14ac:dyDescent="0.2">
      <c r="A70326" t="s">
        <v>21783</v>
      </c>
      <c r="B70326" t="str">
        <f>HYPERLINK("https://lindat.mff.cuni.cz/services/teitok/pdtc10/index.php?action=vallex&amp;frame=v-w9615f3", "změnit (v-w9615f3)")</f>
        <v>změnit (v-w9615f3)</v>
      </c>
    </row>
    <row r="70327" spans="1:4" x14ac:dyDescent="0.2">
      <c r="B70327" t="s">
        <v>1</v>
      </c>
    </row>
    <row r="70328" spans="1:4" x14ac:dyDescent="0.2">
      <c r="B70328" t="s">
        <v>8</v>
      </c>
    </row>
    <row r="70329" spans="1:4" x14ac:dyDescent="0.2">
      <c r="B70329" t="s">
        <v>442</v>
      </c>
    </row>
    <row r="70331" spans="1:4" x14ac:dyDescent="0.2">
      <c r="A70331" t="s">
        <v>21784</v>
      </c>
      <c r="B70331" t="str">
        <f>HYPERLINK("https://lindat.mff.cuni.cz/services/teitok/pdtc10/index.php?action=vallex&amp;frame=v-w9615f4_ZU", "změnit (v-w9615f4_ZU)")</f>
        <v>změnit (v-w9615f4_ZU)</v>
      </c>
    </row>
    <row r="70332" spans="1:4" x14ac:dyDescent="0.2">
      <c r="B70332" t="s">
        <v>1</v>
      </c>
      <c r="C70332" t="s">
        <v>6317</v>
      </c>
    </row>
    <row r="70333" spans="1:4" x14ac:dyDescent="0.2">
      <c r="B70333" t="s">
        <v>8</v>
      </c>
      <c r="C70333" t="s">
        <v>21785</v>
      </c>
    </row>
    <row r="70334" spans="1:4" x14ac:dyDescent="0.2">
      <c r="B70334" t="s">
        <v>413</v>
      </c>
    </row>
    <row r="70336" spans="1:4" x14ac:dyDescent="0.2">
      <c r="A70336" t="s">
        <v>21786</v>
      </c>
      <c r="B70336" t="str">
        <f>HYPERLINK("https://lindat.mff.cuni.cz/services/teitok/pdtc10/index.php?action=vallex&amp;frame=v-w9615f2", "změnit (v-w9615f2)")</f>
        <v>změnit (v-w9615f2)</v>
      </c>
    </row>
    <row r="70337" spans="1:4" x14ac:dyDescent="0.2">
      <c r="B70337" t="s">
        <v>1</v>
      </c>
    </row>
    <row r="70338" spans="1:4" x14ac:dyDescent="0.2">
      <c r="B70338" t="s">
        <v>21787</v>
      </c>
    </row>
    <row r="70339" spans="1:4" x14ac:dyDescent="0.2">
      <c r="B70339" t="s">
        <v>8</v>
      </c>
    </row>
    <row r="70341" spans="1:4" x14ac:dyDescent="0.2">
      <c r="A70341" t="s">
        <v>21788</v>
      </c>
      <c r="B70341" t="str">
        <f>HYPERLINK("https://lindat.mff.cuni.cz/services/teitok/pdtc10/index.php?action=vallex&amp;frame=v-w9615f5_ZU", "změnit (v-w9615f5_ZU)")</f>
        <v>změnit (v-w9615f5_ZU)</v>
      </c>
    </row>
    <row r="70342" spans="1:4" x14ac:dyDescent="0.2">
      <c r="B70342" t="s">
        <v>1</v>
      </c>
    </row>
    <row r="70343" spans="1:4" x14ac:dyDescent="0.2">
      <c r="B70343" t="s">
        <v>21789</v>
      </c>
    </row>
    <row r="70344" spans="1:4" x14ac:dyDescent="0.2">
      <c r="B70344" t="s">
        <v>8</v>
      </c>
    </row>
    <row r="70346" spans="1:4" x14ac:dyDescent="0.2">
      <c r="A70346" t="s">
        <v>21788</v>
      </c>
      <c r="B70346" t="str">
        <f>HYPERLINK("https://lindat.mff.cuni.cz/services/teitok/pdtc10/index.php?action=vallex&amp;frame=v-w9615hsa_1646", "změnit (v-w9615hsa_1646) - substituted with v-w9615f5_ZU")</f>
        <v>změnit (v-w9615hsa_1646) - substituted with v-w9615f5_ZU</v>
      </c>
    </row>
    <row r="70347" spans="1:4" x14ac:dyDescent="0.2">
      <c r="B70347" t="s">
        <v>1</v>
      </c>
    </row>
    <row r="70348" spans="1:4" x14ac:dyDescent="0.2">
      <c r="B70348" t="s">
        <v>21789</v>
      </c>
    </row>
    <row r="70349" spans="1:4" x14ac:dyDescent="0.2">
      <c r="B70349" t="s">
        <v>8</v>
      </c>
    </row>
    <row r="70351" spans="1:4" x14ac:dyDescent="0.2">
      <c r="A70351" t="s">
        <v>21790</v>
      </c>
      <c r="B70351" t="str">
        <f>HYPERLINK("https://lindat.mff.cuni.cz/services/teitok/pdtc10/index.php?action=vallex&amp;frame=v-w9616f1", "změnit se (v-w9616f1)")</f>
        <v>změnit se (v-w9616f1)</v>
      </c>
    </row>
    <row r="70352" spans="1:4" x14ac:dyDescent="0.2">
      <c r="B70352" t="s">
        <v>1</v>
      </c>
      <c r="C70352" t="s">
        <v>21791</v>
      </c>
      <c r="D70352" t="s">
        <v>23506</v>
      </c>
    </row>
    <row r="70353" spans="1:4" x14ac:dyDescent="0.2">
      <c r="B70353" t="s">
        <v>11616</v>
      </c>
      <c r="C70353" t="s">
        <v>21792</v>
      </c>
      <c r="D70353" t="s">
        <v>23507</v>
      </c>
    </row>
    <row r="70354" spans="1:4" x14ac:dyDescent="0.2">
      <c r="B70354" t="s">
        <v>24</v>
      </c>
      <c r="C70354" t="s">
        <v>21793</v>
      </c>
      <c r="D70354" t="s">
        <v>11827</v>
      </c>
    </row>
    <row r="70356" spans="1:4" x14ac:dyDescent="0.2">
      <c r="A70356" t="s">
        <v>21794</v>
      </c>
      <c r="B70356" t="str">
        <f>HYPERLINK("https://lindat.mff.cuni.cz/services/teitok/pdtc10/index.php?action=vallex&amp;frame=v-w9623f2", "změřit (v-w9623f2)")</f>
        <v>změřit (v-w9623f2)</v>
      </c>
    </row>
    <row r="70357" spans="1:4" x14ac:dyDescent="0.2">
      <c r="B70357" t="s">
        <v>1</v>
      </c>
    </row>
    <row r="70358" spans="1:4" x14ac:dyDescent="0.2">
      <c r="B70358" t="s">
        <v>8</v>
      </c>
    </row>
    <row r="70359" spans="1:4" x14ac:dyDescent="0.2">
      <c r="B70359" t="s">
        <v>2604</v>
      </c>
    </row>
    <row r="70361" spans="1:4" x14ac:dyDescent="0.2">
      <c r="A70361" t="s">
        <v>21795</v>
      </c>
      <c r="B70361" t="str">
        <f>HYPERLINK("https://lindat.mff.cuni.cz/services/teitok/pdtc10/index.php?action=vallex&amp;frame=v-w9623f1", "změřit (v-w9623f1)")</f>
        <v>změřit (v-w9623f1)</v>
      </c>
    </row>
    <row r="70362" spans="1:4" x14ac:dyDescent="0.2">
      <c r="B70362" t="s">
        <v>1</v>
      </c>
      <c r="C70362" t="s">
        <v>9319</v>
      </c>
      <c r="D70362" t="s">
        <v>5414</v>
      </c>
    </row>
    <row r="70363" spans="1:4" x14ac:dyDescent="0.2">
      <c r="B70363" t="s">
        <v>8</v>
      </c>
      <c r="C70363" t="s">
        <v>1798</v>
      </c>
      <c r="D70363" t="s">
        <v>977</v>
      </c>
    </row>
    <row r="70365" spans="1:4" x14ac:dyDescent="0.2">
      <c r="A70365" t="s">
        <v>21796</v>
      </c>
      <c r="B70365" t="str">
        <f>HYPERLINK("https://lindat.mff.cuni.cz/services/teitok/pdtc10/index.php?action=vallex&amp;frame=v-w9661f1", "znamenat (v-w9661f1)")</f>
        <v>znamenat (v-w9661f1)</v>
      </c>
    </row>
    <row r="70366" spans="1:4" x14ac:dyDescent="0.2">
      <c r="B70366" t="s">
        <v>479</v>
      </c>
      <c r="C70366" t="s">
        <v>21797</v>
      </c>
      <c r="D70366" t="s">
        <v>23615</v>
      </c>
    </row>
    <row r="70367" spans="1:4" x14ac:dyDescent="0.2">
      <c r="B70367" t="s">
        <v>21798</v>
      </c>
      <c r="C70367" t="s">
        <v>21799</v>
      </c>
      <c r="D70367" t="s">
        <v>1696</v>
      </c>
    </row>
    <row r="70369" spans="1:4" x14ac:dyDescent="0.2">
      <c r="A70369" t="s">
        <v>21800</v>
      </c>
      <c r="B70369" t="str">
        <f>HYPERLINK("https://lindat.mff.cuni.cz/services/teitok/pdtc10/index.php?action=vallex&amp;frame=v-w9661f2", "znamenat (v-w9661f2)")</f>
        <v>znamenat (v-w9661f2)</v>
      </c>
    </row>
    <row r="70370" spans="1:4" x14ac:dyDescent="0.2">
      <c r="B70370" t="s">
        <v>1</v>
      </c>
    </row>
    <row r="70371" spans="1:4" x14ac:dyDescent="0.2">
      <c r="B70371" t="s">
        <v>5604</v>
      </c>
    </row>
    <row r="70372" spans="1:4" x14ac:dyDescent="0.2">
      <c r="B70372" t="s">
        <v>269</v>
      </c>
    </row>
    <row r="70373" spans="1:4" x14ac:dyDescent="0.2">
      <c r="B70373" t="s">
        <v>78</v>
      </c>
    </row>
    <row r="70375" spans="1:4" x14ac:dyDescent="0.2">
      <c r="A70375" t="s">
        <v>21801</v>
      </c>
      <c r="B70375" t="str">
        <f>HYPERLINK("https://lindat.mff.cuni.cz/services/teitok/pdtc10/index.php?action=vallex&amp;frame=v-w10951f3", "značit (v-w10951f3)")</f>
        <v>značit (v-w10951f3)</v>
      </c>
    </row>
    <row r="70376" spans="1:4" x14ac:dyDescent="0.2">
      <c r="B70376" t="s">
        <v>479</v>
      </c>
      <c r="C70376" t="s">
        <v>21802</v>
      </c>
      <c r="D70376" t="s">
        <v>13243</v>
      </c>
    </row>
    <row r="70377" spans="1:4" x14ac:dyDescent="0.2">
      <c r="B70377" t="s">
        <v>21798</v>
      </c>
      <c r="C70377" t="s">
        <v>21803</v>
      </c>
      <c r="D70377" t="s">
        <v>23359</v>
      </c>
    </row>
    <row r="70379" spans="1:4" x14ac:dyDescent="0.2">
      <c r="A70379" t="s">
        <v>21804</v>
      </c>
      <c r="B70379" t="str">
        <f>HYPERLINK("https://lindat.mff.cuni.cz/services/teitok/pdtc10/index.php?action=vallex&amp;frame=v-w10951f4", "značit (v-w10951f4)")</f>
        <v>značit (v-w10951f4)</v>
      </c>
    </row>
    <row r="70380" spans="1:4" x14ac:dyDescent="0.2">
      <c r="B70380" t="s">
        <v>1</v>
      </c>
      <c r="D70380" t="s">
        <v>33</v>
      </c>
    </row>
    <row r="70381" spans="1:4" x14ac:dyDescent="0.2">
      <c r="B70381" t="s">
        <v>8</v>
      </c>
      <c r="D70381" t="s">
        <v>8366</v>
      </c>
    </row>
    <row r="70383" spans="1:4" x14ac:dyDescent="0.2">
      <c r="A70383" t="s">
        <v>21805</v>
      </c>
      <c r="B70383" t="str">
        <f>HYPERLINK("https://lindat.mff.cuni.cz/services/teitok/pdtc10/index.php?action=vallex&amp;frame=v-w9690f1", "znechucovat (v-w9690f1)")</f>
        <v>znechucovat (v-w9690f1)</v>
      </c>
    </row>
    <row r="70384" spans="1:4" x14ac:dyDescent="0.2">
      <c r="B70384" t="s">
        <v>1</v>
      </c>
      <c r="D70384" t="s">
        <v>23325</v>
      </c>
    </row>
    <row r="70385" spans="1:4" x14ac:dyDescent="0.2">
      <c r="B70385" t="s">
        <v>8</v>
      </c>
      <c r="D70385" t="s">
        <v>23326</v>
      </c>
    </row>
    <row r="70387" spans="1:4" x14ac:dyDescent="0.2">
      <c r="A70387" t="s">
        <v>21806</v>
      </c>
      <c r="B70387" t="str">
        <f>HYPERLINK("https://lindat.mff.cuni.cz/services/teitok/pdtc10/index.php?action=vallex&amp;frame=v-w9691f1", "znechutit (v-w9691f1)")</f>
        <v>znechutit (v-w9691f1)</v>
      </c>
    </row>
    <row r="70388" spans="1:4" x14ac:dyDescent="0.2">
      <c r="B70388" t="s">
        <v>1</v>
      </c>
      <c r="C70388" t="s">
        <v>16423</v>
      </c>
      <c r="D70388" t="s">
        <v>23325</v>
      </c>
    </row>
    <row r="70389" spans="1:4" x14ac:dyDescent="0.2">
      <c r="B70389" t="s">
        <v>8</v>
      </c>
      <c r="C70389" t="s">
        <v>21807</v>
      </c>
      <c r="D70389" t="s">
        <v>23326</v>
      </c>
    </row>
    <row r="70391" spans="1:4" x14ac:dyDescent="0.2">
      <c r="A70391" t="s">
        <v>21808</v>
      </c>
      <c r="B70391" t="str">
        <f>HYPERLINK("https://lindat.mff.cuni.cz/services/teitok/pdtc10/index.php?action=vallex&amp;frame=v-whsa_383hsa_384", "znegovat (v-whsa_383hsa_384)")</f>
        <v>znegovat (v-whsa_383hsa_384)</v>
      </c>
    </row>
    <row r="70392" spans="1:4" x14ac:dyDescent="0.2">
      <c r="B70392" t="s">
        <v>1</v>
      </c>
      <c r="D70392" t="s">
        <v>109</v>
      </c>
    </row>
    <row r="70393" spans="1:4" x14ac:dyDescent="0.2">
      <c r="B70393" t="s">
        <v>8</v>
      </c>
      <c r="C70393" t="s">
        <v>113</v>
      </c>
      <c r="D70393" t="s">
        <v>116</v>
      </c>
    </row>
    <row r="70395" spans="1:4" x14ac:dyDescent="0.2">
      <c r="A70395" t="s">
        <v>21809</v>
      </c>
      <c r="B70395" t="str">
        <f>HYPERLINK("https://lindat.mff.cuni.cz/services/teitok/pdtc10/index.php?action=vallex&amp;frame=v-w9687f1", "znehodnocovat (v-w9687f1)")</f>
        <v>znehodnocovat (v-w9687f1)</v>
      </c>
    </row>
    <row r="70396" spans="1:4" x14ac:dyDescent="0.2">
      <c r="B70396" t="s">
        <v>1</v>
      </c>
      <c r="C70396" t="s">
        <v>140</v>
      </c>
      <c r="D70396" t="s">
        <v>24553</v>
      </c>
    </row>
    <row r="70397" spans="1:4" x14ac:dyDescent="0.2">
      <c r="B70397" t="s">
        <v>8</v>
      </c>
      <c r="C70397" t="s">
        <v>113</v>
      </c>
      <c r="D70397" t="s">
        <v>20724</v>
      </c>
    </row>
    <row r="70399" spans="1:4" x14ac:dyDescent="0.2">
      <c r="A70399" t="s">
        <v>21810</v>
      </c>
      <c r="B70399" t="str">
        <f>HYPERLINK("https://lindat.mff.cuni.cz/services/teitok/pdtc10/index.php?action=vallex&amp;frame=v-w9688f1", "znehodnotit (v-w9688f1)")</f>
        <v>znehodnotit (v-w9688f1)</v>
      </c>
    </row>
    <row r="70400" spans="1:4" x14ac:dyDescent="0.2">
      <c r="B70400" t="s">
        <v>1</v>
      </c>
      <c r="C70400" t="s">
        <v>140</v>
      </c>
      <c r="D70400" t="s">
        <v>249</v>
      </c>
    </row>
    <row r="70401" spans="1:4" x14ac:dyDescent="0.2">
      <c r="B70401" t="s">
        <v>8</v>
      </c>
      <c r="C70401" t="s">
        <v>84</v>
      </c>
      <c r="D70401" t="s">
        <v>23</v>
      </c>
    </row>
    <row r="70403" spans="1:4" x14ac:dyDescent="0.2">
      <c r="A70403" t="s">
        <v>21811</v>
      </c>
      <c r="B70403" t="str">
        <f>HYPERLINK("https://lindat.mff.cuni.cz/services/teitok/pdtc10/index.php?action=vallex&amp;frame=v-w9688f2", "znehodnotit (v-w9688f2)")</f>
        <v>znehodnotit (v-w9688f2)</v>
      </c>
    </row>
    <row r="70404" spans="1:4" x14ac:dyDescent="0.2">
      <c r="B70404" t="s">
        <v>1</v>
      </c>
      <c r="C70404" t="s">
        <v>2239</v>
      </c>
    </row>
    <row r="70405" spans="1:4" x14ac:dyDescent="0.2">
      <c r="B70405" t="s">
        <v>8</v>
      </c>
      <c r="C70405" t="s">
        <v>1109</v>
      </c>
    </row>
    <row r="70407" spans="1:4" x14ac:dyDescent="0.2">
      <c r="A70407" t="s">
        <v>21812</v>
      </c>
      <c r="B70407" t="str">
        <f>HYPERLINK("https://lindat.mff.cuni.cz/services/teitok/pdtc10/index.php?action=vallex&amp;frame=v-w9689f1", "znehodnotit se (v-w9689f1)")</f>
        <v>znehodnotit se (v-w9689f1)</v>
      </c>
    </row>
    <row r="70408" spans="1:4" x14ac:dyDescent="0.2">
      <c r="B70408" t="s">
        <v>1</v>
      </c>
    </row>
    <row r="70410" spans="1:4" x14ac:dyDescent="0.2">
      <c r="A70410" t="s">
        <v>21813</v>
      </c>
      <c r="B70410" t="str">
        <f>HYPERLINK("https://lindat.mff.cuni.cz/services/teitok/pdtc10/index.php?action=vallex&amp;frame=v-w9693f1", "znejistit (v-w9693f1)")</f>
        <v>znejistit (v-w9693f1)</v>
      </c>
    </row>
    <row r="70411" spans="1:4" x14ac:dyDescent="0.2">
      <c r="B70411" t="s">
        <v>1</v>
      </c>
      <c r="C70411" t="s">
        <v>83</v>
      </c>
      <c r="D70411" t="s">
        <v>24554</v>
      </c>
    </row>
    <row r="70412" spans="1:4" x14ac:dyDescent="0.2">
      <c r="B70412" t="s">
        <v>8</v>
      </c>
      <c r="C70412" t="s">
        <v>23</v>
      </c>
      <c r="D70412" t="s">
        <v>24555</v>
      </c>
    </row>
    <row r="70414" spans="1:4" x14ac:dyDescent="0.2">
      <c r="A70414" t="s">
        <v>21814</v>
      </c>
      <c r="B70414" t="str">
        <f>HYPERLINK("https://lindat.mff.cuni.cz/services/teitok/pdtc10/index.php?action=vallex&amp;frame=v-w9692f2", "znejistět (v-w9692f2)")</f>
        <v>znejistět (v-w9692f2)</v>
      </c>
    </row>
    <row r="70415" spans="1:4" x14ac:dyDescent="0.2">
      <c r="B70415" t="s">
        <v>1</v>
      </c>
      <c r="C70415" t="s">
        <v>140</v>
      </c>
      <c r="D70415" t="s">
        <v>24554</v>
      </c>
    </row>
    <row r="70416" spans="1:4" x14ac:dyDescent="0.2">
      <c r="B70416" t="s">
        <v>8</v>
      </c>
      <c r="C70416" t="s">
        <v>991</v>
      </c>
      <c r="D70416" t="s">
        <v>24555</v>
      </c>
    </row>
    <row r="70418" spans="1:4" x14ac:dyDescent="0.2">
      <c r="A70418" t="s">
        <v>21815</v>
      </c>
      <c r="B70418" t="str">
        <f>HYPERLINK("https://lindat.mff.cuni.cz/services/teitok/pdtc10/index.php?action=vallex&amp;frame=v-w9692f1", "znejistět (v-w9692f1)")</f>
        <v>znejistět (v-w9692f1)</v>
      </c>
    </row>
    <row r="70419" spans="1:4" x14ac:dyDescent="0.2">
      <c r="B70419" t="s">
        <v>1</v>
      </c>
      <c r="C70419" t="s">
        <v>6793</v>
      </c>
    </row>
    <row r="70421" spans="1:4" x14ac:dyDescent="0.2">
      <c r="A70421" t="s">
        <v>21816</v>
      </c>
      <c r="B70421" t="str">
        <f>HYPERLINK("https://lindat.mff.cuni.cz/services/teitok/pdtc10/index.php?action=vallex&amp;frame=v-w9694f1", "zneklidnit (v-w9694f1)")</f>
        <v>zneklidnit (v-w9694f1)</v>
      </c>
    </row>
    <row r="70422" spans="1:4" x14ac:dyDescent="0.2">
      <c r="B70422" t="s">
        <v>1</v>
      </c>
      <c r="C70422" t="s">
        <v>334</v>
      </c>
      <c r="D70422" t="s">
        <v>24554</v>
      </c>
    </row>
    <row r="70423" spans="1:4" x14ac:dyDescent="0.2">
      <c r="B70423" t="s">
        <v>8</v>
      </c>
      <c r="C70423" t="s">
        <v>21817</v>
      </c>
      <c r="D70423" t="s">
        <v>24555</v>
      </c>
    </row>
    <row r="70425" spans="1:4" x14ac:dyDescent="0.2">
      <c r="A70425" t="s">
        <v>21818</v>
      </c>
      <c r="B70425" t="str">
        <f>HYPERLINK("https://lindat.mff.cuni.cz/services/teitok/pdtc10/index.php?action=vallex&amp;frame=v-w10874f2", "zneklidnět (v-w10874f2)")</f>
        <v>zneklidnět (v-w10874f2)</v>
      </c>
    </row>
    <row r="70426" spans="1:4" x14ac:dyDescent="0.2">
      <c r="B70426" t="s">
        <v>1</v>
      </c>
    </row>
    <row r="70428" spans="1:4" x14ac:dyDescent="0.2">
      <c r="A70428" t="s">
        <v>21819</v>
      </c>
      <c r="B70428" t="str">
        <f>HYPERLINK("https://lindat.mff.cuni.cz/services/teitok/pdtc10/index.php?action=vallex&amp;frame=v-w9695f1", "zneklidňovat (v-w9695f1)")</f>
        <v>zneklidňovat (v-w9695f1)</v>
      </c>
    </row>
    <row r="70429" spans="1:4" x14ac:dyDescent="0.2">
      <c r="B70429" t="s">
        <v>1</v>
      </c>
      <c r="D70429" t="s">
        <v>24554</v>
      </c>
    </row>
    <row r="70430" spans="1:4" x14ac:dyDescent="0.2">
      <c r="B70430" t="s">
        <v>8</v>
      </c>
      <c r="D70430" t="s">
        <v>24555</v>
      </c>
    </row>
    <row r="70432" spans="1:4" x14ac:dyDescent="0.2">
      <c r="A70432" t="s">
        <v>21820</v>
      </c>
      <c r="B70432" t="str">
        <f>HYPERLINK("https://lindat.mff.cuni.cz/services/teitok/pdtc10/index.php?action=vallex&amp;frame=v-w9697f1", "znemožnit (v-w9697f1)")</f>
        <v>znemožnit (v-w9697f1)</v>
      </c>
    </row>
    <row r="70433" spans="1:4" x14ac:dyDescent="0.2">
      <c r="B70433" t="s">
        <v>1</v>
      </c>
      <c r="C70433" t="s">
        <v>21821</v>
      </c>
      <c r="D70433" t="s">
        <v>22980</v>
      </c>
    </row>
    <row r="70434" spans="1:4" x14ac:dyDescent="0.2">
      <c r="B70434" t="s">
        <v>1181</v>
      </c>
      <c r="C70434" t="s">
        <v>21822</v>
      </c>
      <c r="D70434" t="s">
        <v>22981</v>
      </c>
    </row>
    <row r="70435" spans="1:4" x14ac:dyDescent="0.2">
      <c r="B70435" t="s">
        <v>78</v>
      </c>
      <c r="C70435" t="s">
        <v>21823</v>
      </c>
    </row>
    <row r="70437" spans="1:4" x14ac:dyDescent="0.2">
      <c r="A70437" t="s">
        <v>21824</v>
      </c>
      <c r="B70437" t="str">
        <f>HYPERLINK("https://lindat.mff.cuni.cz/services/teitok/pdtc10/index.php?action=vallex&amp;frame=v-w9698f1", "znemožňovat (v-w9698f1)")</f>
        <v>znemožňovat (v-w9698f1)</v>
      </c>
    </row>
    <row r="70438" spans="1:4" x14ac:dyDescent="0.2">
      <c r="B70438" t="s">
        <v>1</v>
      </c>
      <c r="C70438" t="s">
        <v>83</v>
      </c>
      <c r="D70438" t="s">
        <v>22999</v>
      </c>
    </row>
    <row r="70439" spans="1:4" x14ac:dyDescent="0.2">
      <c r="B70439" t="s">
        <v>1181</v>
      </c>
      <c r="C70439" t="s">
        <v>21825</v>
      </c>
      <c r="D70439" t="s">
        <v>23000</v>
      </c>
    </row>
    <row r="70440" spans="1:4" x14ac:dyDescent="0.2">
      <c r="B70440" t="s">
        <v>78</v>
      </c>
      <c r="C70440" t="s">
        <v>36</v>
      </c>
      <c r="D70440" t="s">
        <v>23001</v>
      </c>
    </row>
    <row r="70442" spans="1:4" x14ac:dyDescent="0.2">
      <c r="A70442" t="s">
        <v>21826</v>
      </c>
      <c r="B70442" t="str">
        <f>HYPERLINK("https://lindat.mff.cuni.cz/services/teitok/pdtc10/index.php?action=vallex&amp;frame=v-w9701hsa_1274", "znepokojit (v-w9701hsa_1274)")</f>
        <v>znepokojit (v-w9701hsa_1274)</v>
      </c>
    </row>
    <row r="70443" spans="1:4" x14ac:dyDescent="0.2">
      <c r="B70443" t="s">
        <v>488</v>
      </c>
      <c r="C70443" t="s">
        <v>4110</v>
      </c>
      <c r="D70443" t="s">
        <v>24554</v>
      </c>
    </row>
    <row r="70444" spans="1:4" x14ac:dyDescent="0.2">
      <c r="B70444" t="s">
        <v>8</v>
      </c>
      <c r="C70444" t="s">
        <v>2886</v>
      </c>
      <c r="D70444" t="s">
        <v>24555</v>
      </c>
    </row>
    <row r="70446" spans="1:4" x14ac:dyDescent="0.2">
      <c r="A70446" t="s">
        <v>21826</v>
      </c>
      <c r="B70446" t="str">
        <f>HYPERLINK("https://lindat.mff.cuni.cz/services/teitok/pdtc10/index.php?action=vallex&amp;frame=v-w9701f1", "znepokojit (v-w9701f1) - substituted with v-w9701hsa_1274")</f>
        <v>znepokojit (v-w9701f1) - substituted with v-w9701hsa_1274</v>
      </c>
    </row>
    <row r="70447" spans="1:4" x14ac:dyDescent="0.2">
      <c r="B70447" t="s">
        <v>488</v>
      </c>
      <c r="C70447" t="s">
        <v>21827</v>
      </c>
    </row>
    <row r="70448" spans="1:4" x14ac:dyDescent="0.2">
      <c r="B70448" t="s">
        <v>8</v>
      </c>
      <c r="C70448" t="s">
        <v>21828</v>
      </c>
    </row>
    <row r="70450" spans="1:4" x14ac:dyDescent="0.2">
      <c r="A70450" t="s">
        <v>21829</v>
      </c>
      <c r="B70450" t="str">
        <f>HYPERLINK("https://lindat.mff.cuni.cz/services/teitok/pdtc10/index.php?action=vallex&amp;frame=v-w9702f1", "znepokojovat (v-w9702f1)")</f>
        <v>znepokojovat (v-w9702f1)</v>
      </c>
    </row>
    <row r="70451" spans="1:4" x14ac:dyDescent="0.2">
      <c r="B70451" t="s">
        <v>488</v>
      </c>
      <c r="C70451" t="s">
        <v>21830</v>
      </c>
      <c r="D70451" t="s">
        <v>24554</v>
      </c>
    </row>
    <row r="70452" spans="1:4" x14ac:dyDescent="0.2">
      <c r="B70452" t="s">
        <v>8</v>
      </c>
      <c r="C70452" t="s">
        <v>21831</v>
      </c>
      <c r="D70452" t="s">
        <v>24555</v>
      </c>
    </row>
    <row r="70454" spans="1:4" x14ac:dyDescent="0.2">
      <c r="A70454" t="s">
        <v>21832</v>
      </c>
      <c r="B70454" t="str">
        <f>HYPERLINK("https://lindat.mff.cuni.cz/services/teitok/pdtc10/index.php?action=vallex&amp;frame=v-whsa_444f1_ZU", "znepokojovat se (v-whsa_444f1_ZU)")</f>
        <v>znepokojovat se (v-whsa_444f1_ZU)</v>
      </c>
    </row>
    <row r="70455" spans="1:4" x14ac:dyDescent="0.2">
      <c r="B70455" t="s">
        <v>1</v>
      </c>
      <c r="C70455" t="s">
        <v>2400</v>
      </c>
      <c r="D70455" t="s">
        <v>23024</v>
      </c>
    </row>
    <row r="70457" spans="1:4" x14ac:dyDescent="0.2">
      <c r="A70457" t="s">
        <v>21832</v>
      </c>
      <c r="B70457" t="str">
        <f>HYPERLINK("https://lindat.mff.cuni.cz/services/teitok/pdtc10/index.php?action=vallex&amp;frame=v-whsa_444hsa_445", "znepokojovat se (v-whsa_444hsa_445) - substituted with v-whsa_444f1_ZU")</f>
        <v>znepokojovat se (v-whsa_444hsa_445) - substituted with v-whsa_444f1_ZU</v>
      </c>
    </row>
    <row r="70458" spans="1:4" x14ac:dyDescent="0.2">
      <c r="B70458" t="s">
        <v>1</v>
      </c>
    </row>
    <row r="70460" spans="1:4" x14ac:dyDescent="0.2">
      <c r="A70460" t="s">
        <v>21833</v>
      </c>
      <c r="B70460" t="str">
        <f>HYPERLINK("https://lindat.mff.cuni.cz/services/teitok/pdtc10/index.php?action=vallex&amp;frame=v-w11233f1", "znepřátelit (v-w11233f1)")</f>
        <v>znepřátelit (v-w11233f1)</v>
      </c>
    </row>
    <row r="70461" spans="1:4" x14ac:dyDescent="0.2">
      <c r="B70461" t="s">
        <v>1</v>
      </c>
      <c r="C70461" t="s">
        <v>249</v>
      </c>
    </row>
    <row r="70462" spans="1:4" x14ac:dyDescent="0.2">
      <c r="B70462" t="s">
        <v>8</v>
      </c>
      <c r="C70462" t="s">
        <v>335</v>
      </c>
    </row>
    <row r="70464" spans="1:4" x14ac:dyDescent="0.2">
      <c r="A70464" t="s">
        <v>21834</v>
      </c>
      <c r="B70464" t="str">
        <f>HYPERLINK("https://lindat.mff.cuni.cz/services/teitok/pdtc10/index.php?action=vallex&amp;frame=v-w9703f1", "znepřátelit si (v-w9703f1)")</f>
        <v>znepřátelit si (v-w9703f1)</v>
      </c>
    </row>
    <row r="70465" spans="1:4" x14ac:dyDescent="0.2">
      <c r="B70465" t="s">
        <v>1</v>
      </c>
      <c r="C70465" t="s">
        <v>22</v>
      </c>
      <c r="D70465" t="s">
        <v>249</v>
      </c>
    </row>
    <row r="70466" spans="1:4" x14ac:dyDescent="0.2">
      <c r="B70466" t="s">
        <v>8</v>
      </c>
      <c r="C70466" t="s">
        <v>1025</v>
      </c>
      <c r="D70466" t="s">
        <v>335</v>
      </c>
    </row>
    <row r="70468" spans="1:4" x14ac:dyDescent="0.2">
      <c r="A70468" t="s">
        <v>21835</v>
      </c>
      <c r="B70468" t="str">
        <f>HYPERLINK("https://lindat.mff.cuni.cz/services/teitok/pdtc10/index.php?action=vallex&amp;frame=v-w9704f1", "znepříjemnit (v-w9704f1)")</f>
        <v>znepříjemnit (v-w9704f1)</v>
      </c>
    </row>
    <row r="70469" spans="1:4" x14ac:dyDescent="0.2">
      <c r="B70469" t="s">
        <v>1</v>
      </c>
    </row>
    <row r="70470" spans="1:4" x14ac:dyDescent="0.2">
      <c r="B70470" t="s">
        <v>8</v>
      </c>
    </row>
    <row r="70472" spans="1:4" x14ac:dyDescent="0.2">
      <c r="A70472" t="s">
        <v>21836</v>
      </c>
      <c r="B70472" t="str">
        <f>HYPERLINK("https://lindat.mff.cuni.cz/services/teitok/pdtc10/index.php?action=vallex&amp;frame=v-w9705f1", "znepříjemňovat (v-w9705f1)")</f>
        <v>znepříjemňovat (v-w9705f1)</v>
      </c>
    </row>
    <row r="70473" spans="1:4" x14ac:dyDescent="0.2">
      <c r="B70473" t="s">
        <v>1</v>
      </c>
      <c r="C70473" t="s">
        <v>2787</v>
      </c>
    </row>
    <row r="70474" spans="1:4" x14ac:dyDescent="0.2">
      <c r="B70474" t="s">
        <v>8</v>
      </c>
      <c r="C70474" t="s">
        <v>2788</v>
      </c>
    </row>
    <row r="70476" spans="1:4" x14ac:dyDescent="0.2">
      <c r="A70476" t="s">
        <v>21837</v>
      </c>
      <c r="B70476" t="str">
        <f>HYPERLINK("https://lindat.mff.cuni.cz/services/teitok/pdtc10/index.php?action=vallex&amp;frame=v-w9707f1", "znervóznit (v-w9707f1)")</f>
        <v>znervóznit (v-w9707f1)</v>
      </c>
    </row>
    <row r="70477" spans="1:4" x14ac:dyDescent="0.2">
      <c r="B70477" t="s">
        <v>1</v>
      </c>
      <c r="C70477" t="s">
        <v>33</v>
      </c>
      <c r="D70477" t="s">
        <v>24556</v>
      </c>
    </row>
    <row r="70478" spans="1:4" x14ac:dyDescent="0.2">
      <c r="B70478" t="s">
        <v>8</v>
      </c>
      <c r="C70478" t="s">
        <v>34</v>
      </c>
      <c r="D70478" t="s">
        <v>24557</v>
      </c>
    </row>
    <row r="70480" spans="1:4" x14ac:dyDescent="0.2">
      <c r="A70480" t="s">
        <v>21838</v>
      </c>
      <c r="B70480" t="str">
        <f>HYPERLINK("https://lindat.mff.cuni.cz/services/teitok/pdtc10/index.php?action=vallex&amp;frame=v-w9707f3_ZU", "znervóznit (v-w9707f3_ZU)")</f>
        <v>znervóznit (v-w9707f3_ZU)</v>
      </c>
    </row>
    <row r="70481" spans="1:4" x14ac:dyDescent="0.2">
      <c r="B70481" t="s">
        <v>1</v>
      </c>
      <c r="D70481" t="s">
        <v>24558</v>
      </c>
    </row>
    <row r="70482" spans="1:4" x14ac:dyDescent="0.2">
      <c r="B70482" t="s">
        <v>438</v>
      </c>
      <c r="D70482" t="s">
        <v>24559</v>
      </c>
    </row>
    <row r="70484" spans="1:4" x14ac:dyDescent="0.2">
      <c r="A70484" t="s">
        <v>21838</v>
      </c>
      <c r="B70484" t="str">
        <f>HYPERLINK("https://lindat.mff.cuni.cz/services/teitok/pdtc10/index.php?action=vallex&amp;frame=v-w9707f2_ZU", "znervóznit (v-w9707f2_ZU) - substituted with v-w9707f3_ZU")</f>
        <v>znervóznit (v-w9707f2_ZU) - substituted with v-w9707f3_ZU</v>
      </c>
    </row>
    <row r="70485" spans="1:4" x14ac:dyDescent="0.2">
      <c r="B70485" t="s">
        <v>1</v>
      </c>
    </row>
    <row r="70486" spans="1:4" x14ac:dyDescent="0.2">
      <c r="B70486" t="s">
        <v>438</v>
      </c>
    </row>
    <row r="70488" spans="1:4" x14ac:dyDescent="0.2">
      <c r="A70488" t="s">
        <v>21839</v>
      </c>
      <c r="B70488" t="str">
        <f>HYPERLINK("https://lindat.mff.cuni.cz/services/teitok/pdtc10/index.php?action=vallex&amp;frame=v-w11438f1", "znervóznět (v-w11438f1)")</f>
        <v>znervóznět (v-w11438f1)</v>
      </c>
    </row>
    <row r="70489" spans="1:4" x14ac:dyDescent="0.2">
      <c r="B70489" t="s">
        <v>1</v>
      </c>
      <c r="C70489" t="s">
        <v>5499</v>
      </c>
    </row>
    <row r="70491" spans="1:4" x14ac:dyDescent="0.2">
      <c r="A70491" t="s">
        <v>21840</v>
      </c>
      <c r="B70491" t="str">
        <f>HYPERLINK("https://lindat.mff.cuni.cz/services/teitok/pdtc10/index.php?action=vallex&amp;frame=v-w9708f1", "znervózňovat (v-w9708f1)")</f>
        <v>znervózňovat (v-w9708f1)</v>
      </c>
    </row>
    <row r="70492" spans="1:4" x14ac:dyDescent="0.2">
      <c r="B70492" t="s">
        <v>1</v>
      </c>
      <c r="C70492" t="s">
        <v>133</v>
      </c>
      <c r="D70492" t="s">
        <v>24560</v>
      </c>
    </row>
    <row r="70493" spans="1:4" x14ac:dyDescent="0.2">
      <c r="B70493" t="s">
        <v>8</v>
      </c>
      <c r="C70493" t="s">
        <v>1128</v>
      </c>
      <c r="D70493" t="s">
        <v>24561</v>
      </c>
    </row>
    <row r="70495" spans="1:4" x14ac:dyDescent="0.2">
      <c r="A70495" t="s">
        <v>21841</v>
      </c>
      <c r="B70495" t="str">
        <f>HYPERLINK("https://lindat.mff.cuni.cz/services/teitok/pdtc10/index.php?action=vallex&amp;frame=v-w10401f2", "znesnadnit (v-w10401f2)")</f>
        <v>znesnadnit (v-w10401f2)</v>
      </c>
    </row>
    <row r="70496" spans="1:4" x14ac:dyDescent="0.2">
      <c r="B70496" t="s">
        <v>1</v>
      </c>
      <c r="D70496" t="s">
        <v>1680</v>
      </c>
    </row>
    <row r="70497" spans="1:4" x14ac:dyDescent="0.2">
      <c r="B70497" t="s">
        <v>228</v>
      </c>
      <c r="D70497" t="s">
        <v>17650</v>
      </c>
    </row>
    <row r="70498" spans="1:4" x14ac:dyDescent="0.2">
      <c r="B70498" t="s">
        <v>78</v>
      </c>
    </row>
    <row r="70500" spans="1:4" x14ac:dyDescent="0.2">
      <c r="A70500" t="s">
        <v>21842</v>
      </c>
      <c r="B70500" t="str">
        <f>HYPERLINK("https://lindat.mff.cuni.cz/services/teitok/pdtc10/index.php?action=vallex&amp;frame=v-w9709f1", "znesnadňovat (v-w9709f1)")</f>
        <v>znesnadňovat (v-w9709f1)</v>
      </c>
    </row>
    <row r="70501" spans="1:4" x14ac:dyDescent="0.2">
      <c r="B70501" t="s">
        <v>1</v>
      </c>
      <c r="C70501" t="s">
        <v>22</v>
      </c>
    </row>
    <row r="70502" spans="1:4" x14ac:dyDescent="0.2">
      <c r="B70502" t="s">
        <v>8</v>
      </c>
      <c r="C70502" t="s">
        <v>56</v>
      </c>
    </row>
    <row r="70503" spans="1:4" x14ac:dyDescent="0.2">
      <c r="B70503" t="s">
        <v>78</v>
      </c>
    </row>
    <row r="70505" spans="1:4" x14ac:dyDescent="0.2">
      <c r="A70505" t="s">
        <v>21843</v>
      </c>
      <c r="B70505" t="str">
        <f>HYPERLINK("https://lindat.mff.cuni.cz/services/teitok/pdtc10/index.php?action=vallex&amp;frame=v-w9710f1", "znesvěcovat (v-w9710f1)")</f>
        <v>znesvěcovat (v-w9710f1)</v>
      </c>
    </row>
    <row r="70506" spans="1:4" x14ac:dyDescent="0.2">
      <c r="B70506" t="s">
        <v>1</v>
      </c>
    </row>
    <row r="70507" spans="1:4" x14ac:dyDescent="0.2">
      <c r="B70507" t="s">
        <v>8</v>
      </c>
    </row>
    <row r="70509" spans="1:4" x14ac:dyDescent="0.2">
      <c r="A70509" t="s">
        <v>21844</v>
      </c>
      <c r="B70509" t="str">
        <f>HYPERLINK("https://lindat.mff.cuni.cz/services/teitok/pdtc10/index.php?action=vallex&amp;frame=v-w9713f1", "znetvořit (v-w9713f1)")</f>
        <v>znetvořit (v-w9713f1)</v>
      </c>
    </row>
    <row r="70510" spans="1:4" x14ac:dyDescent="0.2">
      <c r="B70510" t="s">
        <v>1</v>
      </c>
    </row>
    <row r="70511" spans="1:4" x14ac:dyDescent="0.2">
      <c r="B70511" t="s">
        <v>8</v>
      </c>
    </row>
    <row r="70513" spans="1:4" x14ac:dyDescent="0.2">
      <c r="A70513" t="s">
        <v>21845</v>
      </c>
      <c r="B70513" t="str">
        <f>HYPERLINK("https://lindat.mff.cuni.cz/services/teitok/pdtc10/index.php?action=vallex&amp;frame=v-w9714f1", "zneuctít (v-w9714f1)")</f>
        <v>zneuctít (v-w9714f1)</v>
      </c>
    </row>
    <row r="70514" spans="1:4" x14ac:dyDescent="0.2">
      <c r="B70514" t="s">
        <v>1</v>
      </c>
      <c r="D70514" t="s">
        <v>133</v>
      </c>
    </row>
    <row r="70515" spans="1:4" x14ac:dyDescent="0.2">
      <c r="B70515" t="s">
        <v>8</v>
      </c>
      <c r="D70515" t="s">
        <v>23099</v>
      </c>
    </row>
    <row r="70517" spans="1:4" x14ac:dyDescent="0.2">
      <c r="A70517" t="s">
        <v>21846</v>
      </c>
      <c r="B70517" t="str">
        <f>HYPERLINK("https://lindat.mff.cuni.cz/services/teitok/pdtc10/index.php?action=vallex&amp;frame=v-w9716f1", "zneužít (v-w9716f1)")</f>
        <v>zneužít (v-w9716f1)</v>
      </c>
    </row>
    <row r="70518" spans="1:4" x14ac:dyDescent="0.2">
      <c r="B70518" t="s">
        <v>1</v>
      </c>
      <c r="C70518" t="s">
        <v>154</v>
      </c>
    </row>
    <row r="70519" spans="1:4" x14ac:dyDescent="0.2">
      <c r="B70519" t="s">
        <v>3766</v>
      </c>
      <c r="C70519" t="s">
        <v>8880</v>
      </c>
    </row>
    <row r="70521" spans="1:4" x14ac:dyDescent="0.2">
      <c r="A70521" t="s">
        <v>21847</v>
      </c>
      <c r="B70521" t="str">
        <f>HYPERLINK("https://lindat.mff.cuni.cz/services/teitok/pdtc10/index.php?action=vallex&amp;frame=v-w9720f1", "zneužívat (v-w9720f1)")</f>
        <v>zneužívat (v-w9720f1)</v>
      </c>
    </row>
    <row r="70522" spans="1:4" x14ac:dyDescent="0.2">
      <c r="B70522" t="s">
        <v>1</v>
      </c>
      <c r="C70522" t="s">
        <v>21848</v>
      </c>
    </row>
    <row r="70523" spans="1:4" x14ac:dyDescent="0.2">
      <c r="B70523" t="s">
        <v>3766</v>
      </c>
      <c r="C70523" t="s">
        <v>8701</v>
      </c>
    </row>
    <row r="70525" spans="1:4" x14ac:dyDescent="0.2">
      <c r="A70525" t="s">
        <v>21849</v>
      </c>
      <c r="B70525" t="str">
        <f>HYPERLINK("https://lindat.mff.cuni.cz/services/teitok/pdtc10/index.php?action=vallex&amp;frame=v-w9723f1", "znevažovat (v-w9723f1)")</f>
        <v>znevažovat (v-w9723f1)</v>
      </c>
    </row>
    <row r="70526" spans="1:4" x14ac:dyDescent="0.2">
      <c r="B70526" t="s">
        <v>1</v>
      </c>
      <c r="C70526" t="s">
        <v>140</v>
      </c>
      <c r="D70526" t="s">
        <v>5889</v>
      </c>
    </row>
    <row r="70527" spans="1:4" x14ac:dyDescent="0.2">
      <c r="B70527" t="s">
        <v>124</v>
      </c>
      <c r="C70527" t="s">
        <v>84</v>
      </c>
      <c r="D70527" t="s">
        <v>17878</v>
      </c>
    </row>
    <row r="70529" spans="1:4" x14ac:dyDescent="0.2">
      <c r="A70529" t="s">
        <v>21850</v>
      </c>
      <c r="B70529" t="str">
        <f>HYPERLINK("https://lindat.mff.cuni.cz/services/teitok/pdtc10/index.php?action=vallex&amp;frame=v-w9721f1", "znevážit (v-w9721f1)")</f>
        <v>znevážit (v-w9721f1)</v>
      </c>
    </row>
    <row r="70530" spans="1:4" x14ac:dyDescent="0.2">
      <c r="B70530" t="s">
        <v>1</v>
      </c>
      <c r="D70530" t="s">
        <v>23639</v>
      </c>
    </row>
    <row r="70531" spans="1:4" x14ac:dyDescent="0.2">
      <c r="B70531" t="s">
        <v>124</v>
      </c>
      <c r="D70531" t="s">
        <v>24562</v>
      </c>
    </row>
    <row r="70533" spans="1:4" x14ac:dyDescent="0.2">
      <c r="A70533" t="s">
        <v>21851</v>
      </c>
      <c r="B70533" t="str">
        <f>HYPERLINK("https://lindat.mff.cuni.cz/services/teitok/pdtc10/index.php?action=vallex&amp;frame=v-w9725f1", "znevýhodnit (v-w9725f1)")</f>
        <v>znevýhodnit (v-w9725f1)</v>
      </c>
    </row>
    <row r="70534" spans="1:4" x14ac:dyDescent="0.2">
      <c r="B70534" t="s">
        <v>1</v>
      </c>
      <c r="C70534" t="s">
        <v>33</v>
      </c>
    </row>
    <row r="70535" spans="1:4" x14ac:dyDescent="0.2">
      <c r="B70535" t="s">
        <v>8</v>
      </c>
      <c r="C70535" t="s">
        <v>1044</v>
      </c>
    </row>
    <row r="70537" spans="1:4" x14ac:dyDescent="0.2">
      <c r="A70537" t="s">
        <v>21852</v>
      </c>
      <c r="B70537" t="str">
        <f>HYPERLINK("https://lindat.mff.cuni.cz/services/teitok/pdtc10/index.php?action=vallex&amp;frame=v-w9726f1", "znevýhodňovat (v-w9726f1)")</f>
        <v>znevýhodňovat (v-w9726f1)</v>
      </c>
    </row>
    <row r="70538" spans="1:4" x14ac:dyDescent="0.2">
      <c r="B70538" t="s">
        <v>1</v>
      </c>
    </row>
    <row r="70539" spans="1:4" x14ac:dyDescent="0.2">
      <c r="B70539" t="s">
        <v>8</v>
      </c>
    </row>
    <row r="70541" spans="1:4" x14ac:dyDescent="0.2">
      <c r="A70541" t="s">
        <v>21853</v>
      </c>
      <c r="B70541" t="str">
        <f>HYPERLINK("https://lindat.mff.cuni.cz/services/teitok/pdtc10/index.php?action=vallex&amp;frame=v-w9678f2_ZU", "znečistit (v-w9678f2_ZU)")</f>
        <v>znečistit (v-w9678f2_ZU)</v>
      </c>
    </row>
    <row r="70542" spans="1:4" x14ac:dyDescent="0.2">
      <c r="B70542" t="s">
        <v>1</v>
      </c>
    </row>
    <row r="70543" spans="1:4" x14ac:dyDescent="0.2">
      <c r="B70543" t="s">
        <v>8</v>
      </c>
    </row>
    <row r="70545" spans="1:4" x14ac:dyDescent="0.2">
      <c r="A70545" t="s">
        <v>21853</v>
      </c>
      <c r="B70545" t="str">
        <f>HYPERLINK("https://lindat.mff.cuni.cz/services/teitok/pdtc10/index.php?action=vallex&amp;frame=v-w9678f1", "znečistit (v-w9678f1) - substituted with v-w9678f2_ZU")</f>
        <v>znečistit (v-w9678f1) - substituted with v-w9678f2_ZU</v>
      </c>
    </row>
    <row r="70546" spans="1:4" x14ac:dyDescent="0.2">
      <c r="B70546" t="s">
        <v>1</v>
      </c>
      <c r="D70546" t="s">
        <v>80</v>
      </c>
    </row>
    <row r="70547" spans="1:4" x14ac:dyDescent="0.2">
      <c r="B70547" t="s">
        <v>8</v>
      </c>
      <c r="D70547" t="s">
        <v>23455</v>
      </c>
    </row>
    <row r="70549" spans="1:4" x14ac:dyDescent="0.2">
      <c r="A70549" t="s">
        <v>21854</v>
      </c>
      <c r="B70549" t="str">
        <f>HYPERLINK("https://lindat.mff.cuni.cz/services/teitok/pdtc10/index.php?action=vallex&amp;frame=v-w9683f1", "znečišťovat (v-w9683f1)")</f>
        <v>znečišťovat (v-w9683f1)</v>
      </c>
    </row>
    <row r="70550" spans="1:4" x14ac:dyDescent="0.2">
      <c r="B70550" t="s">
        <v>1</v>
      </c>
      <c r="C70550" t="s">
        <v>140</v>
      </c>
      <c r="D70550" t="s">
        <v>83</v>
      </c>
    </row>
    <row r="70551" spans="1:4" x14ac:dyDescent="0.2">
      <c r="B70551" t="s">
        <v>8</v>
      </c>
      <c r="D70551" t="s">
        <v>1128</v>
      </c>
    </row>
    <row r="70553" spans="1:4" x14ac:dyDescent="0.2">
      <c r="A70553" t="s">
        <v>21855</v>
      </c>
      <c r="B70553" t="str">
        <f>HYPERLINK("https://lindat.mff.cuni.cz/services/teitok/pdtc10/index.php?action=vallex&amp;frame=v-w9712f1", "zneškodnit (v-w9712f1)")</f>
        <v>zneškodnit (v-w9712f1)</v>
      </c>
    </row>
    <row r="70554" spans="1:4" x14ac:dyDescent="0.2">
      <c r="B70554" t="s">
        <v>1</v>
      </c>
      <c r="C70554" t="s">
        <v>140</v>
      </c>
      <c r="D70554" t="s">
        <v>23088</v>
      </c>
    </row>
    <row r="70555" spans="1:4" x14ac:dyDescent="0.2">
      <c r="B70555" t="s">
        <v>8</v>
      </c>
      <c r="C70555" t="s">
        <v>113</v>
      </c>
      <c r="D70555" t="s">
        <v>986</v>
      </c>
    </row>
    <row r="70557" spans="1:4" x14ac:dyDescent="0.2">
      <c r="A70557" t="s">
        <v>21856</v>
      </c>
      <c r="B70557" t="str">
        <f>HYPERLINK("https://lindat.mff.cuni.cz/services/teitok/pdtc10/index.php?action=vallex&amp;frame=v-w9730f1", "znivelizovat (v-w9730f1)")</f>
        <v>znivelizovat (v-w9730f1)</v>
      </c>
    </row>
    <row r="70558" spans="1:4" x14ac:dyDescent="0.2">
      <c r="B70558" t="s">
        <v>1</v>
      </c>
    </row>
    <row r="70559" spans="1:4" x14ac:dyDescent="0.2">
      <c r="B70559" t="s">
        <v>8</v>
      </c>
    </row>
    <row r="70561" spans="1:4" x14ac:dyDescent="0.2">
      <c r="A70561" t="s">
        <v>21857</v>
      </c>
      <c r="B70561" t="str">
        <f>HYPERLINK("https://lindat.mff.cuni.cz/services/teitok/pdtc10/index.php?action=vallex&amp;frame=v-w9728f1", "zničit (v-w9728f1)")</f>
        <v>zničit (v-w9728f1)</v>
      </c>
    </row>
    <row r="70562" spans="1:4" x14ac:dyDescent="0.2">
      <c r="B70562" t="s">
        <v>1</v>
      </c>
      <c r="C70562" t="s">
        <v>1504</v>
      </c>
      <c r="D70562" t="s">
        <v>23088</v>
      </c>
    </row>
    <row r="70563" spans="1:4" x14ac:dyDescent="0.2">
      <c r="B70563" t="s">
        <v>172</v>
      </c>
      <c r="C70563" t="s">
        <v>5714</v>
      </c>
      <c r="D70563" t="s">
        <v>986</v>
      </c>
    </row>
    <row r="70565" spans="1:4" x14ac:dyDescent="0.2">
      <c r="A70565" t="s">
        <v>21858</v>
      </c>
      <c r="B70565" t="str">
        <f>HYPERLINK("https://lindat.mff.cuni.cz/services/teitok/pdtc10/index.php?action=vallex&amp;frame=v-w11650_ZUf1_ZU", "zničit se (v-w11650_ZUf1_ZU)")</f>
        <v>zničit se (v-w11650_ZUf1_ZU)</v>
      </c>
    </row>
    <row r="70566" spans="1:4" x14ac:dyDescent="0.2">
      <c r="B70566" t="s">
        <v>1</v>
      </c>
      <c r="C70566" t="s">
        <v>1593</v>
      </c>
    </row>
    <row r="70568" spans="1:4" x14ac:dyDescent="0.2">
      <c r="A70568" t="s">
        <v>21859</v>
      </c>
      <c r="B70568" t="str">
        <f>HYPERLINK("https://lindat.mff.cuni.cz/services/teitok/pdtc10/index.php?action=vallex&amp;frame=v-w9731f1", "znormalizovat (v-w9731f1)")</f>
        <v>znormalizovat (v-w9731f1)</v>
      </c>
    </row>
    <row r="70569" spans="1:4" x14ac:dyDescent="0.2">
      <c r="B70569" t="s">
        <v>1</v>
      </c>
    </row>
    <row r="70570" spans="1:4" x14ac:dyDescent="0.2">
      <c r="B70570" t="s">
        <v>8</v>
      </c>
    </row>
    <row r="70572" spans="1:4" x14ac:dyDescent="0.2">
      <c r="A70572" t="s">
        <v>21860</v>
      </c>
      <c r="B70572" t="str">
        <f>HYPERLINK("https://lindat.mff.cuni.cz/services/teitok/pdtc10/index.php?action=vallex&amp;frame=v-w9734f1", "znovuobjevit (v-w9734f1)")</f>
        <v>znovuobjevit (v-w9734f1)</v>
      </c>
    </row>
    <row r="70573" spans="1:4" x14ac:dyDescent="0.2">
      <c r="B70573" t="s">
        <v>1</v>
      </c>
    </row>
    <row r="70574" spans="1:4" x14ac:dyDescent="0.2">
      <c r="B70574" t="s">
        <v>124</v>
      </c>
    </row>
    <row r="70576" spans="1:4" x14ac:dyDescent="0.2">
      <c r="A70576" t="s">
        <v>21861</v>
      </c>
      <c r="B70576" t="str">
        <f>HYPERLINK("https://lindat.mff.cuni.cz/services/teitok/pdtc10/index.php?action=vallex&amp;frame=v-w9735f1", "znovuobjevovat (v-w9735f1)")</f>
        <v>znovuobjevovat (v-w9735f1)</v>
      </c>
    </row>
    <row r="70577" spans="1:4" x14ac:dyDescent="0.2">
      <c r="B70577" t="s">
        <v>1</v>
      </c>
      <c r="D70577" t="s">
        <v>23513</v>
      </c>
    </row>
    <row r="70578" spans="1:4" x14ac:dyDescent="0.2">
      <c r="B70578" t="s">
        <v>124</v>
      </c>
      <c r="D70578" t="s">
        <v>23514</v>
      </c>
    </row>
    <row r="70580" spans="1:4" x14ac:dyDescent="0.2">
      <c r="A70580" t="s">
        <v>21862</v>
      </c>
      <c r="B70580" t="str">
        <f>HYPERLINK("https://lindat.mff.cuni.cz/services/teitok/pdtc10/index.php?action=vallex&amp;frame=v-w11210f2", "znovuobnovit (v-w11210f2)")</f>
        <v>znovuobnovit (v-w11210f2)</v>
      </c>
    </row>
    <row r="70581" spans="1:4" x14ac:dyDescent="0.2">
      <c r="B70581" t="s">
        <v>1</v>
      </c>
    </row>
    <row r="70582" spans="1:4" x14ac:dyDescent="0.2">
      <c r="B70582" t="s">
        <v>8</v>
      </c>
    </row>
    <row r="70584" spans="1:4" x14ac:dyDescent="0.2">
      <c r="A70584" t="s">
        <v>21863</v>
      </c>
      <c r="B70584" t="str">
        <f>HYPERLINK("https://lindat.mff.cuni.cz/services/teitok/pdtc10/index.php?action=vallex&amp;frame=v-w10537f2", "znovuotevřít (v-w10537f2)")</f>
        <v>znovuotevřít (v-w10537f2)</v>
      </c>
    </row>
    <row r="70585" spans="1:4" x14ac:dyDescent="0.2">
      <c r="B70585" t="s">
        <v>1</v>
      </c>
      <c r="C70585" t="s">
        <v>249</v>
      </c>
      <c r="D70585" t="s">
        <v>24563</v>
      </c>
    </row>
    <row r="70586" spans="1:4" x14ac:dyDescent="0.2">
      <c r="B70586" t="s">
        <v>8</v>
      </c>
      <c r="C70586" t="s">
        <v>1190</v>
      </c>
      <c r="D70586" t="s">
        <v>24018</v>
      </c>
    </row>
    <row r="70588" spans="1:4" x14ac:dyDescent="0.2">
      <c r="A70588" t="s">
        <v>21864</v>
      </c>
      <c r="B70588" t="str">
        <f>HYPERLINK("https://lindat.mff.cuni.cz/services/teitok/pdtc10/index.php?action=vallex&amp;frame=v-w10982f3", "znovuzvolit (v-w10982f3)")</f>
        <v>znovuzvolit (v-w10982f3)</v>
      </c>
    </row>
    <row r="70589" spans="1:4" x14ac:dyDescent="0.2">
      <c r="B70589" t="s">
        <v>1</v>
      </c>
    </row>
    <row r="70590" spans="1:4" x14ac:dyDescent="0.2">
      <c r="B70590" t="s">
        <v>172</v>
      </c>
    </row>
    <row r="70591" spans="1:4" x14ac:dyDescent="0.2">
      <c r="B70591" t="s">
        <v>13224</v>
      </c>
    </row>
    <row r="70593" spans="1:4" x14ac:dyDescent="0.2">
      <c r="A70593" t="s">
        <v>21865</v>
      </c>
      <c r="B70593" t="str">
        <f>HYPERLINK("https://lindat.mff.cuni.cz/services/teitok/pdtc10/index.php?action=vallex&amp;frame=v-w9664f1", "známkovat (v-w9664f1)")</f>
        <v>známkovat (v-w9664f1)</v>
      </c>
    </row>
    <row r="70594" spans="1:4" x14ac:dyDescent="0.2">
      <c r="B70594" t="s">
        <v>1</v>
      </c>
    </row>
    <row r="70595" spans="1:4" x14ac:dyDescent="0.2">
      <c r="B70595" t="s">
        <v>8</v>
      </c>
    </row>
    <row r="70597" spans="1:4" x14ac:dyDescent="0.2">
      <c r="A70597" t="s">
        <v>21866</v>
      </c>
      <c r="B70597" t="str">
        <f>HYPERLINK("https://lindat.mff.cuni.cz/services/teitok/pdtc10/index.php?action=vallex&amp;frame=v-w9668f1", "znárodnit (v-w9668f1)")</f>
        <v>znárodnit (v-w9668f1)</v>
      </c>
    </row>
    <row r="70598" spans="1:4" x14ac:dyDescent="0.2">
      <c r="B70598" t="s">
        <v>1</v>
      </c>
      <c r="C70598" t="s">
        <v>33</v>
      </c>
      <c r="D70598" t="s">
        <v>133</v>
      </c>
    </row>
    <row r="70599" spans="1:4" x14ac:dyDescent="0.2">
      <c r="B70599" t="s">
        <v>8</v>
      </c>
      <c r="C70599" t="s">
        <v>991</v>
      </c>
      <c r="D70599" t="s">
        <v>84</v>
      </c>
    </row>
    <row r="70601" spans="1:4" x14ac:dyDescent="0.2">
      <c r="A70601" t="s">
        <v>21867</v>
      </c>
      <c r="B70601" t="str">
        <f>HYPERLINK("https://lindat.mff.cuni.cz/services/teitok/pdtc10/index.php?action=vallex&amp;frame=v-w9670f1", "znárodňovat (v-w9670f1)")</f>
        <v>znárodňovat (v-w9670f1)</v>
      </c>
    </row>
    <row r="70602" spans="1:4" x14ac:dyDescent="0.2">
      <c r="B70602" t="s">
        <v>1</v>
      </c>
      <c r="C70602" t="s">
        <v>33</v>
      </c>
      <c r="D70602" t="s">
        <v>133</v>
      </c>
    </row>
    <row r="70603" spans="1:4" x14ac:dyDescent="0.2">
      <c r="B70603" t="s">
        <v>8</v>
      </c>
      <c r="C70603" t="s">
        <v>991</v>
      </c>
      <c r="D70603" t="s">
        <v>84</v>
      </c>
    </row>
    <row r="70605" spans="1:4" x14ac:dyDescent="0.2">
      <c r="A70605" t="s">
        <v>21868</v>
      </c>
      <c r="B70605" t="str">
        <f>HYPERLINK("https://lindat.mff.cuni.cz/services/teitok/pdtc10/index.php?action=vallex&amp;frame=v-w9672f1", "znásilnit (v-w9672f1)")</f>
        <v>znásilnit (v-w9672f1)</v>
      </c>
    </row>
    <row r="70606" spans="1:4" x14ac:dyDescent="0.2">
      <c r="B70606" t="s">
        <v>1</v>
      </c>
      <c r="C70606" t="s">
        <v>83</v>
      </c>
      <c r="D70606" t="s">
        <v>23156</v>
      </c>
    </row>
    <row r="70607" spans="1:4" x14ac:dyDescent="0.2">
      <c r="B70607" t="s">
        <v>8</v>
      </c>
      <c r="C70607" t="s">
        <v>23</v>
      </c>
      <c r="D70607" t="s">
        <v>23157</v>
      </c>
    </row>
    <row r="70609" spans="1:4" x14ac:dyDescent="0.2">
      <c r="A70609" t="s">
        <v>21869</v>
      </c>
      <c r="B70609" t="str">
        <f>HYPERLINK("https://lindat.mff.cuni.cz/services/teitok/pdtc10/index.php?action=vallex&amp;frame=v-w9672f2", "znásilnit (v-w9672f2)")</f>
        <v>znásilnit (v-w9672f2)</v>
      </c>
    </row>
    <row r="70610" spans="1:4" x14ac:dyDescent="0.2">
      <c r="B70610" t="s">
        <v>1</v>
      </c>
      <c r="C70610" t="s">
        <v>83</v>
      </c>
      <c r="D70610" t="s">
        <v>83</v>
      </c>
    </row>
    <row r="70611" spans="1:4" x14ac:dyDescent="0.2">
      <c r="B70611" t="s">
        <v>8</v>
      </c>
      <c r="C70611" t="s">
        <v>23</v>
      </c>
      <c r="D70611" t="s">
        <v>23</v>
      </c>
    </row>
    <row r="70613" spans="1:4" x14ac:dyDescent="0.2">
      <c r="A70613" t="s">
        <v>21870</v>
      </c>
      <c r="B70613" t="str">
        <f>HYPERLINK("https://lindat.mff.cuni.cz/services/teitok/pdtc10/index.php?action=vallex&amp;frame=v-w9673f1", "znásilňovat (v-w9673f1)")</f>
        <v>znásilňovat (v-w9673f1)</v>
      </c>
    </row>
    <row r="70614" spans="1:4" x14ac:dyDescent="0.2">
      <c r="B70614" t="s">
        <v>1</v>
      </c>
      <c r="D70614" t="s">
        <v>83</v>
      </c>
    </row>
    <row r="70615" spans="1:4" x14ac:dyDescent="0.2">
      <c r="B70615" t="s">
        <v>8</v>
      </c>
      <c r="D70615" t="s">
        <v>23</v>
      </c>
    </row>
    <row r="70617" spans="1:4" x14ac:dyDescent="0.2">
      <c r="A70617" t="s">
        <v>21871</v>
      </c>
      <c r="B70617" t="str">
        <f>HYPERLINK("https://lindat.mff.cuni.cz/services/teitok/pdtc10/index.php?action=vallex&amp;frame=v-w9673f3", "znásilňovat (v-w9673f3)")</f>
        <v>znásilňovat (v-w9673f3)</v>
      </c>
    </row>
    <row r="70618" spans="1:4" x14ac:dyDescent="0.2">
      <c r="B70618" t="s">
        <v>1</v>
      </c>
      <c r="D70618" t="s">
        <v>23156</v>
      </c>
    </row>
    <row r="70619" spans="1:4" x14ac:dyDescent="0.2">
      <c r="B70619" t="s">
        <v>8</v>
      </c>
      <c r="D70619" t="s">
        <v>23157</v>
      </c>
    </row>
    <row r="70621" spans="1:4" x14ac:dyDescent="0.2">
      <c r="A70621" t="s">
        <v>21872</v>
      </c>
      <c r="B70621" t="str">
        <f>HYPERLINK("https://lindat.mff.cuni.cz/services/teitok/pdtc10/index.php?action=vallex&amp;frame=v-w9674f2_ZU", "znásobit (v-w9674f2_ZU)")</f>
        <v>znásobit (v-w9674f2_ZU)</v>
      </c>
    </row>
    <row r="70622" spans="1:4" x14ac:dyDescent="0.2">
      <c r="B70622" t="s">
        <v>1</v>
      </c>
      <c r="C70622" t="s">
        <v>9239</v>
      </c>
      <c r="D70622" t="s">
        <v>23523</v>
      </c>
    </row>
    <row r="70623" spans="1:4" x14ac:dyDescent="0.2">
      <c r="B70623" t="s">
        <v>8</v>
      </c>
      <c r="C70623" t="s">
        <v>8988</v>
      </c>
      <c r="D70623" t="s">
        <v>23524</v>
      </c>
    </row>
    <row r="70624" spans="1:4" x14ac:dyDescent="0.2">
      <c r="B70624" t="s">
        <v>24</v>
      </c>
      <c r="C70624" t="s">
        <v>18114</v>
      </c>
      <c r="D70624" t="s">
        <v>23525</v>
      </c>
    </row>
    <row r="70625" spans="1:4" x14ac:dyDescent="0.2">
      <c r="B70625" t="s">
        <v>61</v>
      </c>
      <c r="C70625" t="s">
        <v>8837</v>
      </c>
      <c r="D70625" t="s">
        <v>23526</v>
      </c>
    </row>
    <row r="70627" spans="1:4" x14ac:dyDescent="0.2">
      <c r="A70627" t="s">
        <v>21873</v>
      </c>
      <c r="B70627" t="str">
        <f>HYPERLINK("https://lindat.mff.cuni.cz/services/teitok/pdtc10/index.php?action=vallex&amp;frame=v-w9674f1", "znásobit (v-w9674f1)")</f>
        <v>znásobit (v-w9674f1)</v>
      </c>
    </row>
    <row r="70628" spans="1:4" x14ac:dyDescent="0.2">
      <c r="B70628" t="s">
        <v>1</v>
      </c>
      <c r="C70628" t="s">
        <v>22</v>
      </c>
      <c r="D70628" t="s">
        <v>186</v>
      </c>
    </row>
    <row r="70629" spans="1:4" x14ac:dyDescent="0.2">
      <c r="B70629" t="s">
        <v>8</v>
      </c>
      <c r="C70629" t="s">
        <v>23</v>
      </c>
      <c r="D70629" t="s">
        <v>113</v>
      </c>
    </row>
    <row r="70631" spans="1:4" x14ac:dyDescent="0.2">
      <c r="A70631" t="s">
        <v>21874</v>
      </c>
      <c r="B70631" t="str">
        <f>HYPERLINK("https://lindat.mff.cuni.cz/services/teitok/pdtc10/index.php?action=vallex&amp;frame=v-w11675_ZUf1_ZU", "znásobit se (v-w11675_ZUf1_ZU)")</f>
        <v>znásobit se (v-w11675_ZUf1_ZU)</v>
      </c>
    </row>
    <row r="70632" spans="1:4" x14ac:dyDescent="0.2">
      <c r="B70632" t="s">
        <v>1</v>
      </c>
      <c r="C70632" t="s">
        <v>186</v>
      </c>
      <c r="D70632" t="s">
        <v>186</v>
      </c>
    </row>
    <row r="70633" spans="1:4" x14ac:dyDescent="0.2">
      <c r="B70633" t="s">
        <v>46</v>
      </c>
    </row>
    <row r="70634" spans="1:4" x14ac:dyDescent="0.2">
      <c r="B70634" t="s">
        <v>24</v>
      </c>
    </row>
    <row r="70636" spans="1:4" x14ac:dyDescent="0.2">
      <c r="A70636" t="s">
        <v>21875</v>
      </c>
      <c r="B70636" t="str">
        <f>HYPERLINK("https://lindat.mff.cuni.cz/services/teitok/pdtc10/index.php?action=vallex&amp;frame=v-w10409f2", "znásobovat (v-w10409f2)")</f>
        <v>znásobovat (v-w10409f2)</v>
      </c>
    </row>
    <row r="70637" spans="1:4" x14ac:dyDescent="0.2">
      <c r="B70637" t="s">
        <v>1</v>
      </c>
      <c r="C70637" t="s">
        <v>140</v>
      </c>
      <c r="D70637" t="s">
        <v>23604</v>
      </c>
    </row>
    <row r="70638" spans="1:4" x14ac:dyDescent="0.2">
      <c r="B70638" t="s">
        <v>8</v>
      </c>
      <c r="C70638" t="s">
        <v>113</v>
      </c>
      <c r="D70638" t="s">
        <v>155</v>
      </c>
    </row>
    <row r="70640" spans="1:4" x14ac:dyDescent="0.2">
      <c r="A70640" t="s">
        <v>21876</v>
      </c>
      <c r="B70640" t="str">
        <f>HYPERLINK("https://lindat.mff.cuni.cz/services/teitok/pdtc10/index.php?action=vallex&amp;frame=v-whsa_921hsa_922", "znásobovat se (v-whsa_921hsa_922)")</f>
        <v>znásobovat se (v-whsa_921hsa_922)</v>
      </c>
    </row>
    <row r="70641" spans="1:4" x14ac:dyDescent="0.2">
      <c r="B70641" t="s">
        <v>1</v>
      </c>
      <c r="C70641" t="s">
        <v>1168</v>
      </c>
      <c r="D70641" t="s">
        <v>186</v>
      </c>
    </row>
    <row r="70642" spans="1:4" x14ac:dyDescent="0.2">
      <c r="B70642" t="s">
        <v>46</v>
      </c>
    </row>
    <row r="70643" spans="1:4" x14ac:dyDescent="0.2">
      <c r="B70643" t="s">
        <v>24</v>
      </c>
    </row>
    <row r="70645" spans="1:4" x14ac:dyDescent="0.2">
      <c r="A70645" t="s">
        <v>21877</v>
      </c>
      <c r="B70645" t="str">
        <f>HYPERLINK("https://lindat.mff.cuni.cz/services/teitok/pdtc10/index.php?action=vallex&amp;frame=v-w9675f1", "znát (v-w9675f1)")</f>
        <v>znát (v-w9675f1)</v>
      </c>
    </row>
    <row r="70646" spans="1:4" x14ac:dyDescent="0.2">
      <c r="B70646" t="s">
        <v>1</v>
      </c>
      <c r="C70646" t="s">
        <v>21878</v>
      </c>
      <c r="D70646" t="s">
        <v>9234</v>
      </c>
    </row>
    <row r="70647" spans="1:4" x14ac:dyDescent="0.2">
      <c r="B70647" t="s">
        <v>8</v>
      </c>
      <c r="C70647" t="s">
        <v>21879</v>
      </c>
      <c r="D70647" t="s">
        <v>23186</v>
      </c>
    </row>
    <row r="70648" spans="1:4" x14ac:dyDescent="0.2">
      <c r="B70648" t="s">
        <v>1142</v>
      </c>
      <c r="D70648" t="s">
        <v>2915</v>
      </c>
    </row>
    <row r="70650" spans="1:4" x14ac:dyDescent="0.2">
      <c r="A70650" t="s">
        <v>21880</v>
      </c>
      <c r="B70650" t="str">
        <f>HYPERLINK("https://lindat.mff.cuni.cz/services/teitok/pdtc10/index.php?action=vallex&amp;frame=v-w9675f6", "znát (v-w9675f6)")</f>
        <v>znát (v-w9675f6)</v>
      </c>
    </row>
    <row r="70651" spans="1:4" x14ac:dyDescent="0.2">
      <c r="B70651" t="s">
        <v>1</v>
      </c>
      <c r="C70651" t="s">
        <v>19095</v>
      </c>
      <c r="D70651" t="s">
        <v>9234</v>
      </c>
    </row>
    <row r="70652" spans="1:4" x14ac:dyDescent="0.2">
      <c r="B70652" t="s">
        <v>28</v>
      </c>
      <c r="D70652" t="s">
        <v>23186</v>
      </c>
    </row>
    <row r="70653" spans="1:4" x14ac:dyDescent="0.2">
      <c r="B70653" t="s">
        <v>1609</v>
      </c>
      <c r="C70653" t="s">
        <v>21881</v>
      </c>
      <c r="D70653" t="s">
        <v>23185</v>
      </c>
    </row>
    <row r="70654" spans="1:4" x14ac:dyDescent="0.2">
      <c r="B70654" t="s">
        <v>1142</v>
      </c>
      <c r="D70654" t="s">
        <v>2915</v>
      </c>
    </row>
    <row r="70656" spans="1:4" x14ac:dyDescent="0.2">
      <c r="A70656" t="s">
        <v>21882</v>
      </c>
      <c r="B70656" t="str">
        <f>HYPERLINK("https://lindat.mff.cuni.cz/services/teitok/pdtc10/index.php?action=vallex&amp;frame=v-w9675f4", "znát (v-w9675f4)")</f>
        <v>znát (v-w9675f4)</v>
      </c>
    </row>
    <row r="70657" spans="1:4" x14ac:dyDescent="0.2">
      <c r="B70657" t="s">
        <v>1</v>
      </c>
    </row>
    <row r="70658" spans="1:4" x14ac:dyDescent="0.2">
      <c r="B70658" t="s">
        <v>8</v>
      </c>
    </row>
    <row r="70659" spans="1:4" x14ac:dyDescent="0.2">
      <c r="B70659" t="s">
        <v>1151</v>
      </c>
    </row>
    <row r="70661" spans="1:4" x14ac:dyDescent="0.2">
      <c r="A70661" t="s">
        <v>21883</v>
      </c>
      <c r="B70661" t="str">
        <f>HYPERLINK("https://lindat.mff.cuni.cz/services/teitok/pdtc10/index.php?action=vallex&amp;frame=v-w9675f3", "znát (v-w9675f3)")</f>
        <v>znát (v-w9675f3)</v>
      </c>
    </row>
    <row r="70662" spans="1:4" x14ac:dyDescent="0.2">
      <c r="B70662" t="s">
        <v>1</v>
      </c>
    </row>
    <row r="70663" spans="1:4" x14ac:dyDescent="0.2">
      <c r="B70663" t="s">
        <v>411</v>
      </c>
    </row>
    <row r="70664" spans="1:4" x14ac:dyDescent="0.2">
      <c r="B70664" t="s">
        <v>1056</v>
      </c>
    </row>
    <row r="70666" spans="1:4" x14ac:dyDescent="0.2">
      <c r="A70666" t="s">
        <v>21884</v>
      </c>
      <c r="B70666" t="str">
        <f>HYPERLINK("https://lindat.mff.cuni.cz/services/teitok/pdtc10/index.php?action=vallex&amp;frame=v-w9675f2", "znát (v-w9675f2)")</f>
        <v>znát (v-w9675f2)</v>
      </c>
    </row>
    <row r="70667" spans="1:4" x14ac:dyDescent="0.2">
      <c r="B70667" t="s">
        <v>15082</v>
      </c>
      <c r="C70667" t="s">
        <v>21885</v>
      </c>
    </row>
    <row r="70668" spans="1:4" x14ac:dyDescent="0.2">
      <c r="B70668" t="s">
        <v>8</v>
      </c>
      <c r="C70668" t="s">
        <v>19096</v>
      </c>
    </row>
    <row r="70670" spans="1:4" x14ac:dyDescent="0.2">
      <c r="A70670" t="s">
        <v>21886</v>
      </c>
      <c r="B70670" t="str">
        <f>HYPERLINK("https://lindat.mff.cuni.cz/services/teitok/pdtc10/index.php?action=vallex&amp;frame=v-w9675f5", "znát (v-w9675f5)")</f>
        <v>znát (v-w9675f5)</v>
      </c>
    </row>
    <row r="70671" spans="1:4" x14ac:dyDescent="0.2">
      <c r="B70671" t="s">
        <v>1</v>
      </c>
      <c r="C70671" t="s">
        <v>19095</v>
      </c>
      <c r="D70671" t="s">
        <v>9234</v>
      </c>
    </row>
    <row r="70672" spans="1:4" x14ac:dyDescent="0.2">
      <c r="B70672" t="s">
        <v>19691</v>
      </c>
      <c r="C70672" t="s">
        <v>21881</v>
      </c>
      <c r="D70672" t="s">
        <v>23185</v>
      </c>
    </row>
    <row r="70673" spans="1:4" x14ac:dyDescent="0.2">
      <c r="B70673" t="s">
        <v>269</v>
      </c>
      <c r="D70673" t="s">
        <v>23186</v>
      </c>
    </row>
    <row r="70674" spans="1:4" x14ac:dyDescent="0.2">
      <c r="B70674" t="s">
        <v>1142</v>
      </c>
      <c r="D70674" t="s">
        <v>2915</v>
      </c>
    </row>
    <row r="70676" spans="1:4" x14ac:dyDescent="0.2">
      <c r="A70676" t="s">
        <v>21887</v>
      </c>
      <c r="B70676" t="str">
        <f>HYPERLINK("https://lindat.mff.cuni.cz/services/teitok/pdtc10/index.php?action=vallex&amp;frame=v-w9676f1", "znát se (v-w9676f1)")</f>
        <v>znát se (v-w9676f1)</v>
      </c>
    </row>
    <row r="70677" spans="1:4" x14ac:dyDescent="0.2">
      <c r="B70677" t="s">
        <v>1</v>
      </c>
    </row>
    <row r="70678" spans="1:4" x14ac:dyDescent="0.2">
      <c r="B70678" t="s">
        <v>176</v>
      </c>
    </row>
    <row r="70680" spans="1:4" x14ac:dyDescent="0.2">
      <c r="A70680" t="s">
        <v>21888</v>
      </c>
      <c r="B70680" t="str">
        <f>HYPERLINK("https://lindat.mff.cuni.cz/services/teitok/pdtc10/index.php?action=vallex&amp;frame=v-w9676hsa_167", "znát se (v-w9676hsa_167)")</f>
        <v>znát se (v-w9676hsa_167)</v>
      </c>
    </row>
    <row r="70681" spans="1:4" x14ac:dyDescent="0.2">
      <c r="B70681" t="s">
        <v>1</v>
      </c>
    </row>
    <row r="70682" spans="1:4" x14ac:dyDescent="0.2">
      <c r="B70682" t="s">
        <v>411</v>
      </c>
    </row>
    <row r="70684" spans="1:4" x14ac:dyDescent="0.2">
      <c r="A70684" t="s">
        <v>21889</v>
      </c>
      <c r="B70684" t="str">
        <f>HYPERLINK("https://lindat.mff.cuni.cz/services/teitok/pdtc10/index.php?action=vallex&amp;frame=v-w9677f1", "znázorňovat (v-w9677f1)")</f>
        <v>znázorňovat (v-w9677f1)</v>
      </c>
    </row>
    <row r="70685" spans="1:4" x14ac:dyDescent="0.2">
      <c r="B70685" t="s">
        <v>1</v>
      </c>
      <c r="C70685" t="s">
        <v>249</v>
      </c>
      <c r="D70685" t="s">
        <v>23083</v>
      </c>
    </row>
    <row r="70686" spans="1:4" x14ac:dyDescent="0.2">
      <c r="B70686" t="s">
        <v>8</v>
      </c>
      <c r="C70686" t="s">
        <v>23</v>
      </c>
      <c r="D70686" t="s">
        <v>6116</v>
      </c>
    </row>
    <row r="70688" spans="1:4" x14ac:dyDescent="0.2">
      <c r="A70688" t="s">
        <v>21890</v>
      </c>
      <c r="B70688" t="str">
        <f>HYPERLINK("https://lindat.mff.cuni.cz/services/teitok/pdtc10/index.php?action=vallex&amp;frame=v-w9729f4", "znít (v-w9729f4)")</f>
        <v>znít (v-w9729f4)</v>
      </c>
    </row>
    <row r="70689" spans="1:4" x14ac:dyDescent="0.2">
      <c r="B70689" t="s">
        <v>1</v>
      </c>
      <c r="C70689" t="s">
        <v>364</v>
      </c>
    </row>
    <row r="70690" spans="1:4" x14ac:dyDescent="0.2">
      <c r="B70690" t="s">
        <v>28</v>
      </c>
      <c r="C70690" t="s">
        <v>481</v>
      </c>
    </row>
    <row r="70692" spans="1:4" x14ac:dyDescent="0.2">
      <c r="A70692" t="s">
        <v>21891</v>
      </c>
      <c r="B70692" t="str">
        <f>HYPERLINK("https://lindat.mff.cuni.cz/services/teitok/pdtc10/index.php?action=vallex&amp;frame=v-w9729f5", "znít (v-w9729f5)")</f>
        <v>znít (v-w9729f5)</v>
      </c>
    </row>
    <row r="70693" spans="1:4" x14ac:dyDescent="0.2">
      <c r="B70693" t="s">
        <v>455</v>
      </c>
    </row>
    <row r="70694" spans="1:4" x14ac:dyDescent="0.2">
      <c r="B70694" t="s">
        <v>5</v>
      </c>
    </row>
    <row r="70696" spans="1:4" x14ac:dyDescent="0.2">
      <c r="A70696" t="s">
        <v>21892</v>
      </c>
      <c r="B70696" t="str">
        <f>HYPERLINK("https://lindat.mff.cuni.cz/services/teitok/pdtc10/index.php?action=vallex&amp;frame=v-w9729f6_ZU", "znít (v-w9729f6_ZU)")</f>
        <v>znít (v-w9729f6_ZU)</v>
      </c>
    </row>
    <row r="70697" spans="1:4" x14ac:dyDescent="0.2">
      <c r="B70697" t="s">
        <v>1</v>
      </c>
    </row>
    <row r="70698" spans="1:4" x14ac:dyDescent="0.2">
      <c r="B70698" t="s">
        <v>507</v>
      </c>
    </row>
    <row r="70700" spans="1:4" x14ac:dyDescent="0.2">
      <c r="A70700" t="s">
        <v>21892</v>
      </c>
      <c r="B70700" t="str">
        <f>HYPERLINK("https://lindat.mff.cuni.cz/services/teitok/pdtc10/index.php?action=vallex&amp;frame=v-w9729f2", "znít (v-w9729f2) - substituted with v-w9729f6_ZU")</f>
        <v>znít (v-w9729f2) - substituted with v-w9729f6_ZU</v>
      </c>
    </row>
    <row r="70701" spans="1:4" x14ac:dyDescent="0.2">
      <c r="B70701" t="s">
        <v>1</v>
      </c>
      <c r="C70701" t="s">
        <v>21893</v>
      </c>
      <c r="D70701" t="s">
        <v>23373</v>
      </c>
    </row>
    <row r="70702" spans="1:4" x14ac:dyDescent="0.2">
      <c r="B70702" t="s">
        <v>507</v>
      </c>
      <c r="C70702" t="s">
        <v>21894</v>
      </c>
      <c r="D70702" t="s">
        <v>23378</v>
      </c>
    </row>
    <row r="70704" spans="1:4" x14ac:dyDescent="0.2">
      <c r="A70704" t="s">
        <v>21895</v>
      </c>
      <c r="B70704" t="str">
        <f>HYPERLINK("https://lindat.mff.cuni.cz/services/teitok/pdtc10/index.php?action=vallex&amp;frame=v-w9729f3", "znít (v-w9729f3)")</f>
        <v>znít (v-w9729f3)</v>
      </c>
    </row>
    <row r="70705" spans="1:4" x14ac:dyDescent="0.2">
      <c r="B70705" t="s">
        <v>488</v>
      </c>
      <c r="C70705" t="s">
        <v>21896</v>
      </c>
    </row>
    <row r="70707" spans="1:4" x14ac:dyDescent="0.2">
      <c r="A70707" t="s">
        <v>21897</v>
      </c>
      <c r="B70707" t="str">
        <f>HYPERLINK("https://lindat.mff.cuni.cz/services/teitok/pdtc10/index.php?action=vallex&amp;frame=v-w9729f1", "znít (v-w9729f1)")</f>
        <v>znít (v-w9729f1)</v>
      </c>
    </row>
    <row r="70708" spans="1:4" x14ac:dyDescent="0.2">
      <c r="B70708" t="s">
        <v>1</v>
      </c>
      <c r="C70708" t="s">
        <v>21898</v>
      </c>
      <c r="D70708" t="s">
        <v>20743</v>
      </c>
    </row>
    <row r="70710" spans="1:4" x14ac:dyDescent="0.2">
      <c r="A70710" t="s">
        <v>21899</v>
      </c>
      <c r="B70710" t="str">
        <f>HYPERLINK("https://lindat.mff.cuni.cz/services/teitok/pdtc10/index.php?action=vallex&amp;frame=v-w9696f1", "zněkolikanásobit (v-w9696f1)")</f>
        <v>zněkolikanásobit (v-w9696f1)</v>
      </c>
    </row>
    <row r="70711" spans="1:4" x14ac:dyDescent="0.2">
      <c r="B70711" t="s">
        <v>1</v>
      </c>
    </row>
    <row r="70712" spans="1:4" x14ac:dyDescent="0.2">
      <c r="B70712" t="s">
        <v>8</v>
      </c>
    </row>
    <row r="70714" spans="1:4" x14ac:dyDescent="0.2">
      <c r="A70714" t="s">
        <v>21900</v>
      </c>
      <c r="B70714" t="str">
        <f>HYPERLINK("https://lindat.mff.cuni.cz/services/teitok/pdtc10/index.php?action=vallex&amp;frame=v-w9744f1", "zobchodovat (v-w9744f1)")</f>
        <v>zobchodovat (v-w9744f1)</v>
      </c>
    </row>
    <row r="70715" spans="1:4" x14ac:dyDescent="0.2">
      <c r="B70715" t="s">
        <v>1</v>
      </c>
    </row>
    <row r="70716" spans="1:4" x14ac:dyDescent="0.2">
      <c r="B70716" t="s">
        <v>8</v>
      </c>
    </row>
    <row r="70717" spans="1:4" x14ac:dyDescent="0.2">
      <c r="B70717" t="s">
        <v>78</v>
      </c>
    </row>
    <row r="70719" spans="1:4" x14ac:dyDescent="0.2">
      <c r="A70719" t="s">
        <v>21901</v>
      </c>
      <c r="B70719" t="str">
        <f>HYPERLINK("https://lindat.mff.cuni.cz/services/teitok/pdtc10/index.php?action=vallex&amp;frame=v-w10990f2", "zobecňovat (v-w10990f2)")</f>
        <v>zobecňovat (v-w10990f2)</v>
      </c>
    </row>
    <row r="70720" spans="1:4" x14ac:dyDescent="0.2">
      <c r="B70720" t="s">
        <v>1</v>
      </c>
    </row>
    <row r="70721" spans="1:4" x14ac:dyDescent="0.2">
      <c r="B70721" t="s">
        <v>172</v>
      </c>
      <c r="C70721" t="s">
        <v>113</v>
      </c>
      <c r="D70721" t="s">
        <v>34</v>
      </c>
    </row>
    <row r="70723" spans="1:4" x14ac:dyDescent="0.2">
      <c r="A70723" t="s">
        <v>21902</v>
      </c>
      <c r="B70723" t="str">
        <f>HYPERLINK("https://lindat.mff.cuni.cz/services/teitok/pdtc10/index.php?action=vallex&amp;frame=v-w9745f1", "zobrazit (v-w9745f1)")</f>
        <v>zobrazit (v-w9745f1)</v>
      </c>
    </row>
    <row r="70724" spans="1:4" x14ac:dyDescent="0.2">
      <c r="B70724" t="s">
        <v>1</v>
      </c>
      <c r="C70724" t="s">
        <v>373</v>
      </c>
      <c r="D70724" t="s">
        <v>13243</v>
      </c>
    </row>
    <row r="70725" spans="1:4" x14ac:dyDescent="0.2">
      <c r="B70725" t="s">
        <v>8</v>
      </c>
      <c r="C70725" t="s">
        <v>21903</v>
      </c>
      <c r="D70725" t="s">
        <v>23359</v>
      </c>
    </row>
    <row r="70727" spans="1:4" x14ac:dyDescent="0.2">
      <c r="A70727" t="s">
        <v>21904</v>
      </c>
      <c r="B70727" t="str">
        <f>HYPERLINK("https://lindat.mff.cuni.cz/services/teitok/pdtc10/index.php?action=vallex&amp;frame=v-w9745hsa_1959", "zobrazit (v-w9745hsa_1959)")</f>
        <v>zobrazit (v-w9745hsa_1959)</v>
      </c>
    </row>
    <row r="70728" spans="1:4" x14ac:dyDescent="0.2">
      <c r="B70728" t="s">
        <v>1</v>
      </c>
    </row>
    <row r="70729" spans="1:4" x14ac:dyDescent="0.2">
      <c r="B70729" t="s">
        <v>8</v>
      </c>
    </row>
    <row r="70731" spans="1:4" x14ac:dyDescent="0.2">
      <c r="A70731" t="s">
        <v>21905</v>
      </c>
      <c r="B70731" t="str">
        <f>HYPERLINK("https://lindat.mff.cuni.cz/services/teitok/pdtc10/index.php?action=vallex&amp;frame=v-w11651_ZUf2_ZU", "zobrazit se (v-w11651_ZUf2_ZU)")</f>
        <v>zobrazit se (v-w11651_ZUf2_ZU)</v>
      </c>
    </row>
    <row r="70732" spans="1:4" x14ac:dyDescent="0.2">
      <c r="B70732" t="s">
        <v>1</v>
      </c>
      <c r="C70732" t="s">
        <v>373</v>
      </c>
    </row>
    <row r="70733" spans="1:4" x14ac:dyDescent="0.2">
      <c r="B70733" t="s">
        <v>889</v>
      </c>
      <c r="C70733" t="s">
        <v>21906</v>
      </c>
    </row>
    <row r="70735" spans="1:4" x14ac:dyDescent="0.2">
      <c r="A70735" t="s">
        <v>21905</v>
      </c>
      <c r="B70735" t="str">
        <f>HYPERLINK("https://lindat.mff.cuni.cz/services/teitok/pdtc10/index.php?action=vallex&amp;frame=v-w11651_ZUf1_ZU", "zobrazit se (v-w11651_ZUf1_ZU) - substituted with v-w11651_ZUf2_ZU")</f>
        <v>zobrazit se (v-w11651_ZUf1_ZU) - substituted with v-w11651_ZUf2_ZU</v>
      </c>
    </row>
    <row r="70736" spans="1:4" x14ac:dyDescent="0.2">
      <c r="B70736" t="s">
        <v>1</v>
      </c>
    </row>
    <row r="70737" spans="1:4" x14ac:dyDescent="0.2">
      <c r="B70737" t="s">
        <v>889</v>
      </c>
    </row>
    <row r="70739" spans="1:4" x14ac:dyDescent="0.2">
      <c r="A70739" t="s">
        <v>21907</v>
      </c>
      <c r="B70739" t="str">
        <f>HYPERLINK("https://lindat.mff.cuni.cz/services/teitok/pdtc10/index.php?action=vallex&amp;frame=v-w9747f1", "zobrazovat (v-w9747f1)")</f>
        <v>zobrazovat (v-w9747f1)</v>
      </c>
    </row>
    <row r="70740" spans="1:4" x14ac:dyDescent="0.2">
      <c r="B70740" t="s">
        <v>1</v>
      </c>
      <c r="C70740" t="s">
        <v>21908</v>
      </c>
      <c r="D70740" t="s">
        <v>13243</v>
      </c>
    </row>
    <row r="70741" spans="1:4" x14ac:dyDescent="0.2">
      <c r="B70741" t="s">
        <v>8</v>
      </c>
      <c r="C70741" t="s">
        <v>21909</v>
      </c>
      <c r="D70741" t="s">
        <v>23359</v>
      </c>
    </row>
    <row r="70743" spans="1:4" x14ac:dyDescent="0.2">
      <c r="A70743" t="s">
        <v>21910</v>
      </c>
      <c r="B70743" t="str">
        <f>HYPERLINK("https://lindat.mff.cuni.cz/services/teitok/pdtc10/index.php?action=vallex&amp;frame=v-whsa_1937hsa_1938", "zobrazovat se (v-whsa_1937hsa_1938)")</f>
        <v>zobrazovat se (v-whsa_1937hsa_1938)</v>
      </c>
    </row>
    <row r="70744" spans="1:4" x14ac:dyDescent="0.2">
      <c r="B70744" t="s">
        <v>1</v>
      </c>
    </row>
    <row r="70746" spans="1:4" x14ac:dyDescent="0.2">
      <c r="A70746" t="s">
        <v>21911</v>
      </c>
      <c r="B70746" t="str">
        <f>HYPERLINK("https://lindat.mff.cuni.cz/services/teitok/pdtc10/index.php?action=vallex&amp;frame=v-w11439f1", "zocelit (v-w11439f1)")</f>
        <v>zocelit (v-w11439f1)</v>
      </c>
    </row>
    <row r="70747" spans="1:4" x14ac:dyDescent="0.2">
      <c r="B70747" t="s">
        <v>1</v>
      </c>
    </row>
    <row r="70748" spans="1:4" x14ac:dyDescent="0.2">
      <c r="B70748" t="s">
        <v>8</v>
      </c>
    </row>
    <row r="70750" spans="1:4" x14ac:dyDescent="0.2">
      <c r="A70750" t="s">
        <v>21912</v>
      </c>
      <c r="B70750" t="str">
        <f>HYPERLINK("https://lindat.mff.cuni.cz/services/teitok/pdtc10/index.php?action=vallex&amp;frame=v-whsa_548hsa_549", "zocelit se (v-whsa_548hsa_549)")</f>
        <v>zocelit se (v-whsa_548hsa_549)</v>
      </c>
    </row>
    <row r="70751" spans="1:4" x14ac:dyDescent="0.2">
      <c r="B70751" t="s">
        <v>1</v>
      </c>
    </row>
    <row r="70753" spans="1:3" x14ac:dyDescent="0.2">
      <c r="A70753" t="s">
        <v>21913</v>
      </c>
      <c r="B70753" t="str">
        <f>HYPERLINK("https://lindat.mff.cuni.cz/services/teitok/pdtc10/index.php?action=vallex&amp;frame=v-w9755f1", "zodpovídat (v-w9755f1)")</f>
        <v>zodpovídat (v-w9755f1)</v>
      </c>
    </row>
    <row r="70754" spans="1:3" x14ac:dyDescent="0.2">
      <c r="B70754" t="s">
        <v>1</v>
      </c>
    </row>
    <row r="70755" spans="1:3" x14ac:dyDescent="0.2">
      <c r="B70755" t="s">
        <v>357</v>
      </c>
    </row>
    <row r="70756" spans="1:3" x14ac:dyDescent="0.2">
      <c r="B70756" t="s">
        <v>78</v>
      </c>
    </row>
    <row r="70758" spans="1:3" x14ac:dyDescent="0.2">
      <c r="A70758" t="s">
        <v>21914</v>
      </c>
      <c r="B70758" t="str">
        <f>HYPERLINK("https://lindat.mff.cuni.cz/services/teitok/pdtc10/index.php?action=vallex&amp;frame=v-w9755f2_ZU", "zodpovídat (v-w9755f2_ZU)")</f>
        <v>zodpovídat (v-w9755f2_ZU)</v>
      </c>
    </row>
    <row r="70759" spans="1:3" x14ac:dyDescent="0.2">
      <c r="B70759" t="s">
        <v>1</v>
      </c>
    </row>
    <row r="70760" spans="1:3" x14ac:dyDescent="0.2">
      <c r="B70760" t="s">
        <v>78</v>
      </c>
    </row>
    <row r="70761" spans="1:3" x14ac:dyDescent="0.2">
      <c r="B70761" t="s">
        <v>8</v>
      </c>
    </row>
    <row r="70763" spans="1:3" x14ac:dyDescent="0.2">
      <c r="A70763" t="s">
        <v>21915</v>
      </c>
      <c r="B70763" t="str">
        <f>HYPERLINK("https://lindat.mff.cuni.cz/services/teitok/pdtc10/index.php?action=vallex&amp;frame=v-w9756hsa_67", "zodpovídat se (v-w9756hsa_67)")</f>
        <v>zodpovídat se (v-w9756hsa_67)</v>
      </c>
    </row>
    <row r="70764" spans="1:3" x14ac:dyDescent="0.2">
      <c r="B70764" t="s">
        <v>1</v>
      </c>
    </row>
    <row r="70765" spans="1:3" x14ac:dyDescent="0.2">
      <c r="B70765" t="s">
        <v>21916</v>
      </c>
    </row>
    <row r="70766" spans="1:3" x14ac:dyDescent="0.2">
      <c r="B70766" t="s">
        <v>35</v>
      </c>
      <c r="C70766" t="s">
        <v>2810</v>
      </c>
    </row>
    <row r="70768" spans="1:3" x14ac:dyDescent="0.2">
      <c r="A70768" t="s">
        <v>21915</v>
      </c>
      <c r="B70768" t="str">
        <f>HYPERLINK("https://lindat.mff.cuni.cz/services/teitok/pdtc10/index.php?action=vallex&amp;frame=v-w9756f1", "zodpovídat se (v-w9756f1) - substituted with v-w9756hsa_67")</f>
        <v>zodpovídat se (v-w9756f1) - substituted with v-w9756hsa_67</v>
      </c>
    </row>
    <row r="70769" spans="1:3" x14ac:dyDescent="0.2">
      <c r="B70769" t="s">
        <v>1</v>
      </c>
    </row>
    <row r="70770" spans="1:3" x14ac:dyDescent="0.2">
      <c r="B70770" t="s">
        <v>21916</v>
      </c>
    </row>
    <row r="70771" spans="1:3" x14ac:dyDescent="0.2">
      <c r="B70771" t="s">
        <v>35</v>
      </c>
    </row>
    <row r="70773" spans="1:3" x14ac:dyDescent="0.2">
      <c r="A70773" t="s">
        <v>21917</v>
      </c>
      <c r="B70773" t="str">
        <f>HYPERLINK("https://lindat.mff.cuni.cz/services/teitok/pdtc10/index.php?action=vallex&amp;frame=v-w9750f1", "zodpovědět (v-w9750f1)")</f>
        <v>zodpovědět (v-w9750f1)</v>
      </c>
    </row>
    <row r="70774" spans="1:3" x14ac:dyDescent="0.2">
      <c r="B70774" t="s">
        <v>1</v>
      </c>
      <c r="C70774" t="s">
        <v>1805</v>
      </c>
    </row>
    <row r="70775" spans="1:3" x14ac:dyDescent="0.2">
      <c r="B70775" t="s">
        <v>21918</v>
      </c>
      <c r="C70775" t="s">
        <v>2439</v>
      </c>
    </row>
    <row r="70776" spans="1:3" x14ac:dyDescent="0.2">
      <c r="B70776" t="s">
        <v>35</v>
      </c>
    </row>
    <row r="70778" spans="1:3" x14ac:dyDescent="0.2">
      <c r="A70778" t="s">
        <v>21919</v>
      </c>
      <c r="B70778" t="str">
        <f>HYPERLINK("https://lindat.mff.cuni.cz/services/teitok/pdtc10/index.php?action=vallex&amp;frame=v-w9757f1", "zohavit (v-w9757f1)")</f>
        <v>zohavit (v-w9757f1)</v>
      </c>
    </row>
    <row r="70779" spans="1:3" x14ac:dyDescent="0.2">
      <c r="B70779" t="s">
        <v>1</v>
      </c>
    </row>
    <row r="70780" spans="1:3" x14ac:dyDescent="0.2">
      <c r="B70780" t="s">
        <v>8</v>
      </c>
    </row>
    <row r="70782" spans="1:3" x14ac:dyDescent="0.2">
      <c r="A70782" t="s">
        <v>21920</v>
      </c>
      <c r="B70782" t="str">
        <f>HYPERLINK("https://lindat.mff.cuni.cz/services/teitok/pdtc10/index.php?action=vallex&amp;frame=v-w9758f1", "zohlednit (v-w9758f1)")</f>
        <v>zohlednit (v-w9758f1)</v>
      </c>
    </row>
    <row r="70783" spans="1:3" x14ac:dyDescent="0.2">
      <c r="B70783" t="s">
        <v>1</v>
      </c>
      <c r="C70783" t="s">
        <v>430</v>
      </c>
    </row>
    <row r="70784" spans="1:3" x14ac:dyDescent="0.2">
      <c r="B70784" t="s">
        <v>1227</v>
      </c>
      <c r="C70784" t="s">
        <v>1190</v>
      </c>
    </row>
    <row r="70786" spans="1:4" x14ac:dyDescent="0.2">
      <c r="A70786" t="s">
        <v>21921</v>
      </c>
      <c r="B70786" t="str">
        <f>HYPERLINK("https://lindat.mff.cuni.cz/services/teitok/pdtc10/index.php?action=vallex&amp;frame=v-w9759f1", "zohledňovat (v-w9759f1)")</f>
        <v>zohledňovat (v-w9759f1)</v>
      </c>
    </row>
    <row r="70787" spans="1:4" x14ac:dyDescent="0.2">
      <c r="B70787" t="s">
        <v>1</v>
      </c>
      <c r="C70787" t="s">
        <v>21922</v>
      </c>
    </row>
    <row r="70788" spans="1:4" x14ac:dyDescent="0.2">
      <c r="B70788" t="s">
        <v>21923</v>
      </c>
      <c r="C70788" t="s">
        <v>21924</v>
      </c>
    </row>
    <row r="70790" spans="1:4" x14ac:dyDescent="0.2">
      <c r="A70790" t="s">
        <v>21925</v>
      </c>
      <c r="B70790" t="str">
        <f>HYPERLINK("https://lindat.mff.cuni.cz/services/teitok/pdtc10/index.php?action=vallex&amp;frame=v-w9760f1", "zopakovat (v-w9760f1)")</f>
        <v>zopakovat (v-w9760f1)</v>
      </c>
    </row>
    <row r="70791" spans="1:4" x14ac:dyDescent="0.2">
      <c r="B70791" t="s">
        <v>1</v>
      </c>
      <c r="C70791" t="s">
        <v>21926</v>
      </c>
      <c r="D70791" t="s">
        <v>7863</v>
      </c>
    </row>
    <row r="70792" spans="1:4" x14ac:dyDescent="0.2">
      <c r="B70792" t="s">
        <v>21927</v>
      </c>
      <c r="C70792" t="s">
        <v>3328</v>
      </c>
      <c r="D70792" t="s">
        <v>3308</v>
      </c>
    </row>
    <row r="70793" spans="1:4" x14ac:dyDescent="0.2">
      <c r="B70793" t="s">
        <v>78</v>
      </c>
    </row>
    <row r="70794" spans="1:4" x14ac:dyDescent="0.2">
      <c r="B70794" t="s">
        <v>7849</v>
      </c>
    </row>
    <row r="70796" spans="1:4" x14ac:dyDescent="0.2">
      <c r="A70796" t="s">
        <v>21928</v>
      </c>
      <c r="B70796" t="str">
        <f>HYPERLINK("https://lindat.mff.cuni.cz/services/teitok/pdtc10/index.php?action=vallex&amp;frame=v-w9760f2", "zopakovat (v-w9760f2)")</f>
        <v>zopakovat (v-w9760f2)</v>
      </c>
    </row>
    <row r="70797" spans="1:4" x14ac:dyDescent="0.2">
      <c r="B70797" t="s">
        <v>1</v>
      </c>
      <c r="C70797" t="s">
        <v>12671</v>
      </c>
    </row>
    <row r="70798" spans="1:4" x14ac:dyDescent="0.2">
      <c r="B70798" t="s">
        <v>7866</v>
      </c>
      <c r="C70798" t="s">
        <v>338</v>
      </c>
    </row>
    <row r="70799" spans="1:4" x14ac:dyDescent="0.2">
      <c r="B70799" t="s">
        <v>2328</v>
      </c>
    </row>
    <row r="70801" spans="1:3" x14ac:dyDescent="0.2">
      <c r="A70801" t="s">
        <v>21929</v>
      </c>
      <c r="B70801" t="str">
        <f>HYPERLINK("https://lindat.mff.cuni.cz/services/teitok/pdtc10/index.php?action=vallex&amp;frame=v-w9760f3", "zopakovat (v-w9760f3)")</f>
        <v>zopakovat (v-w9760f3)</v>
      </c>
    </row>
    <row r="70802" spans="1:3" x14ac:dyDescent="0.2">
      <c r="B70802" t="s">
        <v>1</v>
      </c>
      <c r="C70802" t="s">
        <v>19102</v>
      </c>
    </row>
    <row r="70803" spans="1:3" x14ac:dyDescent="0.2">
      <c r="B70803" t="s">
        <v>4749</v>
      </c>
      <c r="C70803" t="s">
        <v>21930</v>
      </c>
    </row>
    <row r="70804" spans="1:3" x14ac:dyDescent="0.2">
      <c r="B70804" t="s">
        <v>269</v>
      </c>
    </row>
    <row r="70805" spans="1:3" x14ac:dyDescent="0.2">
      <c r="B70805" t="s">
        <v>78</v>
      </c>
    </row>
    <row r="70807" spans="1:3" x14ac:dyDescent="0.2">
      <c r="A70807" t="s">
        <v>21931</v>
      </c>
      <c r="B70807" t="str">
        <f>HYPERLINK("https://lindat.mff.cuni.cz/services/teitok/pdtc10/index.php?action=vallex&amp;frame=v-w11652_ZUf1_ZU", "zopakovat se (v-w11652_ZUf1_ZU)")</f>
        <v>zopakovat se (v-w11652_ZUf1_ZU)</v>
      </c>
    </row>
    <row r="70808" spans="1:3" x14ac:dyDescent="0.2">
      <c r="B70808" t="s">
        <v>1</v>
      </c>
      <c r="C70808" t="s">
        <v>7870</v>
      </c>
    </row>
    <row r="70810" spans="1:3" x14ac:dyDescent="0.2">
      <c r="A70810" t="s">
        <v>21932</v>
      </c>
      <c r="B70810" t="str">
        <f>HYPERLINK("https://lindat.mff.cuni.cz/services/teitok/pdtc10/index.php?action=vallex&amp;frame=v-w11187f2", "zoptimalizovat (v-w11187f2)")</f>
        <v>zoptimalizovat (v-w11187f2)</v>
      </c>
    </row>
    <row r="70811" spans="1:3" x14ac:dyDescent="0.2">
      <c r="B70811" t="s">
        <v>1</v>
      </c>
      <c r="C70811" t="s">
        <v>140</v>
      </c>
    </row>
    <row r="70812" spans="1:3" x14ac:dyDescent="0.2">
      <c r="B70812" t="s">
        <v>8</v>
      </c>
      <c r="C70812" t="s">
        <v>113</v>
      </c>
    </row>
    <row r="70814" spans="1:3" x14ac:dyDescent="0.2">
      <c r="A70814" t="s">
        <v>21933</v>
      </c>
      <c r="B70814" t="str">
        <f>HYPERLINK("https://lindat.mff.cuni.cz/services/teitok/pdtc10/index.php?action=vallex&amp;frame=v-w9761f3_ZU", "zorganizovat (v-w9761f3_ZU)")</f>
        <v>zorganizovat (v-w9761f3_ZU)</v>
      </c>
    </row>
    <row r="70815" spans="1:3" x14ac:dyDescent="0.2">
      <c r="B70815" t="s">
        <v>1</v>
      </c>
    </row>
    <row r="70816" spans="1:3" x14ac:dyDescent="0.2">
      <c r="B70816" t="s">
        <v>7272</v>
      </c>
    </row>
    <row r="70818" spans="1:4" x14ac:dyDescent="0.2">
      <c r="A70818" t="s">
        <v>21933</v>
      </c>
      <c r="B70818" t="str">
        <f>HYPERLINK("https://lindat.mff.cuni.cz/services/teitok/pdtc10/index.php?action=vallex&amp;frame=v-w9761f1", "zorganizovat (v-w9761f1) - substituted with v-w9761f3_ZU")</f>
        <v>zorganizovat (v-w9761f1) - substituted with v-w9761f3_ZU</v>
      </c>
    </row>
    <row r="70819" spans="1:4" x14ac:dyDescent="0.2">
      <c r="B70819" t="s">
        <v>1</v>
      </c>
      <c r="C70819" t="s">
        <v>2400</v>
      </c>
      <c r="D70819" t="s">
        <v>23061</v>
      </c>
    </row>
    <row r="70820" spans="1:4" x14ac:dyDescent="0.2">
      <c r="B70820" t="s">
        <v>7272</v>
      </c>
      <c r="C70820" t="s">
        <v>3736</v>
      </c>
      <c r="D70820" t="s">
        <v>2374</v>
      </c>
    </row>
    <row r="70822" spans="1:4" x14ac:dyDescent="0.2">
      <c r="A70822" t="s">
        <v>21933</v>
      </c>
      <c r="B70822" t="str">
        <f>HYPERLINK("https://lindat.mff.cuni.cz/services/teitok/pdtc10/index.php?action=vallex&amp;frame=v-w9761f2_ZU", "zorganizovat (v-w9761f2_ZU) - substituted with v-w9761f3_ZU")</f>
        <v>zorganizovat (v-w9761f2_ZU) - substituted with v-w9761f3_ZU</v>
      </c>
    </row>
    <row r="70823" spans="1:4" x14ac:dyDescent="0.2">
      <c r="B70823" t="s">
        <v>1</v>
      </c>
    </row>
    <row r="70824" spans="1:4" x14ac:dyDescent="0.2">
      <c r="B70824" t="s">
        <v>7272</v>
      </c>
    </row>
    <row r="70826" spans="1:4" x14ac:dyDescent="0.2">
      <c r="A70826" t="s">
        <v>21933</v>
      </c>
      <c r="B70826" t="str">
        <f>HYPERLINK("https://lindat.mff.cuni.cz/services/teitok/pdtc10/index.php?action=vallex&amp;frame=v-w9761hsa_895", "zorganizovat (v-w9761hsa_895) - substituted with v-w9761f3_ZU")</f>
        <v>zorganizovat (v-w9761hsa_895) - substituted with v-w9761f3_ZU</v>
      </c>
    </row>
    <row r="70827" spans="1:4" x14ac:dyDescent="0.2">
      <c r="B70827" t="s">
        <v>1</v>
      </c>
    </row>
    <row r="70828" spans="1:4" x14ac:dyDescent="0.2">
      <c r="B70828" t="s">
        <v>7272</v>
      </c>
    </row>
    <row r="70830" spans="1:4" x14ac:dyDescent="0.2">
      <c r="A70830" t="s">
        <v>21934</v>
      </c>
      <c r="B70830" t="str">
        <f>HYPERLINK("https://lindat.mff.cuni.cz/services/teitok/pdtc10/index.php?action=vallex&amp;frame=v-w9762f1", "zorientovat se (v-w9762f1)")</f>
        <v>zorientovat se (v-w9762f1)</v>
      </c>
    </row>
    <row r="70831" spans="1:4" x14ac:dyDescent="0.2">
      <c r="B70831" t="s">
        <v>1</v>
      </c>
    </row>
    <row r="70832" spans="1:4" x14ac:dyDescent="0.2">
      <c r="B70832" t="s">
        <v>5</v>
      </c>
    </row>
    <row r="70834" spans="1:4" x14ac:dyDescent="0.2">
      <c r="A70834" t="s">
        <v>21935</v>
      </c>
      <c r="B70834" t="str">
        <f>HYPERLINK("https://lindat.mff.cuni.cz/services/teitok/pdtc10/index.php?action=vallex&amp;frame=v-w10060f2", "zosnovat (v-w10060f2)")</f>
        <v>zosnovat (v-w10060f2)</v>
      </c>
    </row>
    <row r="70835" spans="1:4" x14ac:dyDescent="0.2">
      <c r="B70835" t="s">
        <v>1</v>
      </c>
      <c r="C70835" t="s">
        <v>3358</v>
      </c>
      <c r="D70835" t="s">
        <v>23061</v>
      </c>
    </row>
    <row r="70836" spans="1:4" x14ac:dyDescent="0.2">
      <c r="B70836" t="s">
        <v>8</v>
      </c>
      <c r="C70836" t="s">
        <v>354</v>
      </c>
      <c r="D70836" t="s">
        <v>2374</v>
      </c>
    </row>
    <row r="70838" spans="1:4" x14ac:dyDescent="0.2">
      <c r="A70838" t="s">
        <v>21936</v>
      </c>
      <c r="B70838" t="str">
        <f>HYPERLINK("https://lindat.mff.cuni.cz/services/teitok/pdtc10/index.php?action=vallex&amp;frame=v-w9765f1", "zosobňovat (v-w9765f1)")</f>
        <v>zosobňovat (v-w9765f1)</v>
      </c>
    </row>
    <row r="70839" spans="1:4" x14ac:dyDescent="0.2">
      <c r="B70839" t="s">
        <v>1</v>
      </c>
    </row>
    <row r="70840" spans="1:4" x14ac:dyDescent="0.2">
      <c r="B70840" t="s">
        <v>8</v>
      </c>
    </row>
    <row r="70842" spans="1:4" x14ac:dyDescent="0.2">
      <c r="A70842" t="s">
        <v>21937</v>
      </c>
      <c r="B70842" t="str">
        <f>HYPERLINK("https://lindat.mff.cuni.cz/services/teitok/pdtc10/index.php?action=vallex&amp;frame=v-w9768f1", "zostřit (v-w9768f1)")</f>
        <v>zostřit (v-w9768f1)</v>
      </c>
    </row>
    <row r="70843" spans="1:4" x14ac:dyDescent="0.2">
      <c r="B70843" t="s">
        <v>1</v>
      </c>
      <c r="C70843" t="s">
        <v>33</v>
      </c>
      <c r="D70843" t="s">
        <v>11122</v>
      </c>
    </row>
    <row r="70844" spans="1:4" x14ac:dyDescent="0.2">
      <c r="B70844" t="s">
        <v>8</v>
      </c>
      <c r="C70844" t="s">
        <v>84</v>
      </c>
      <c r="D70844" t="s">
        <v>17729</v>
      </c>
    </row>
    <row r="70846" spans="1:4" x14ac:dyDescent="0.2">
      <c r="A70846" t="s">
        <v>21938</v>
      </c>
      <c r="B70846" t="str">
        <f>HYPERLINK("https://lindat.mff.cuni.cz/services/teitok/pdtc10/index.php?action=vallex&amp;frame=v-whsa_361hsa_362", "zostřit se (v-whsa_361hsa_362)")</f>
        <v>zostřit se (v-whsa_361hsa_362)</v>
      </c>
    </row>
    <row r="70847" spans="1:4" x14ac:dyDescent="0.2">
      <c r="B70847" t="s">
        <v>1</v>
      </c>
      <c r="C70847" t="s">
        <v>553</v>
      </c>
      <c r="D70847" t="s">
        <v>24215</v>
      </c>
    </row>
    <row r="70849" spans="1:4" x14ac:dyDescent="0.2">
      <c r="A70849" t="s">
        <v>21939</v>
      </c>
      <c r="B70849" t="str">
        <f>HYPERLINK("https://lindat.mff.cuni.cz/services/teitok/pdtc10/index.php?action=vallex&amp;frame=v-w9769f1", "zostřovat (v-w9769f1)")</f>
        <v>zostřovat (v-w9769f1)</v>
      </c>
    </row>
    <row r="70850" spans="1:4" x14ac:dyDescent="0.2">
      <c r="B70850" t="s">
        <v>1</v>
      </c>
      <c r="D70850" t="s">
        <v>11122</v>
      </c>
    </row>
    <row r="70851" spans="1:4" x14ac:dyDescent="0.2">
      <c r="B70851" t="s">
        <v>8</v>
      </c>
      <c r="D70851" t="s">
        <v>17729</v>
      </c>
    </row>
    <row r="70853" spans="1:4" x14ac:dyDescent="0.2">
      <c r="A70853" t="s">
        <v>21940</v>
      </c>
      <c r="B70853" t="str">
        <f>HYPERLINK("https://lindat.mff.cuni.cz/services/teitok/pdtc10/index.php?action=vallex&amp;frame=v-w10542f2", "zotavit (v-w10542f2)")</f>
        <v>zotavit (v-w10542f2)</v>
      </c>
    </row>
    <row r="70854" spans="1:4" x14ac:dyDescent="0.2">
      <c r="B70854" t="s">
        <v>1</v>
      </c>
    </row>
    <row r="70855" spans="1:4" x14ac:dyDescent="0.2">
      <c r="B70855" t="s">
        <v>8</v>
      </c>
    </row>
    <row r="70857" spans="1:4" x14ac:dyDescent="0.2">
      <c r="A70857" t="s">
        <v>21941</v>
      </c>
      <c r="B70857" t="str">
        <f>HYPERLINK("https://lindat.mff.cuni.cz/services/teitok/pdtc10/index.php?action=vallex&amp;frame=v-w11338f2", "zotavit se (v-w11338f2)")</f>
        <v>zotavit se (v-w11338f2)</v>
      </c>
    </row>
    <row r="70858" spans="1:4" x14ac:dyDescent="0.2">
      <c r="B70858" t="s">
        <v>1</v>
      </c>
      <c r="C70858" t="s">
        <v>21942</v>
      </c>
      <c r="D70858" t="s">
        <v>23062</v>
      </c>
    </row>
    <row r="70859" spans="1:4" x14ac:dyDescent="0.2">
      <c r="B70859" t="s">
        <v>438</v>
      </c>
      <c r="C70859" t="s">
        <v>19410</v>
      </c>
    </row>
    <row r="70861" spans="1:4" x14ac:dyDescent="0.2">
      <c r="A70861" t="s">
        <v>21943</v>
      </c>
      <c r="B70861" t="str">
        <f>HYPERLINK("https://lindat.mff.cuni.cz/services/teitok/pdtc10/index.php?action=vallex&amp;frame=v-w11361f1", "zotavovat se (v-w11361f1)")</f>
        <v>zotavovat se (v-w11361f1)</v>
      </c>
    </row>
    <row r="70862" spans="1:4" x14ac:dyDescent="0.2">
      <c r="B70862" t="s">
        <v>1</v>
      </c>
      <c r="C70862" t="s">
        <v>16019</v>
      </c>
      <c r="D70862" t="s">
        <v>23062</v>
      </c>
    </row>
    <row r="70863" spans="1:4" x14ac:dyDescent="0.2">
      <c r="B70863" t="s">
        <v>438</v>
      </c>
      <c r="C70863" t="s">
        <v>4141</v>
      </c>
    </row>
    <row r="70865" spans="1:2" x14ac:dyDescent="0.2">
      <c r="A70865" t="s">
        <v>21944</v>
      </c>
      <c r="B70865" t="str">
        <f>HYPERLINK("https://lindat.mff.cuni.cz/services/teitok/pdtc10/index.php?action=vallex&amp;frame=v-w11345f1", "zoufat si (v-w11345f1)")</f>
        <v>zoufat si (v-w11345f1)</v>
      </c>
    </row>
    <row r="70866" spans="1:2" x14ac:dyDescent="0.2">
      <c r="B70866" t="s">
        <v>1</v>
      </c>
    </row>
    <row r="70867" spans="1:2" x14ac:dyDescent="0.2">
      <c r="B70867" t="s">
        <v>3091</v>
      </c>
    </row>
    <row r="70869" spans="1:2" x14ac:dyDescent="0.2">
      <c r="A70869" t="s">
        <v>21945</v>
      </c>
      <c r="B70869" t="str">
        <f>HYPERLINK("https://lindat.mff.cuni.cz/services/teitok/pdtc10/index.php?action=vallex&amp;frame=v-whsa_1699f1_ZU", "zout (v-whsa_1699f1_ZU)")</f>
        <v>zout (v-whsa_1699f1_ZU)</v>
      </c>
    </row>
    <row r="70870" spans="1:2" x14ac:dyDescent="0.2">
      <c r="B70870" t="s">
        <v>1</v>
      </c>
    </row>
    <row r="70871" spans="1:2" x14ac:dyDescent="0.2">
      <c r="B70871" t="s">
        <v>8</v>
      </c>
    </row>
    <row r="70873" spans="1:2" x14ac:dyDescent="0.2">
      <c r="A70873" t="s">
        <v>21945</v>
      </c>
      <c r="B70873" t="str">
        <f>HYPERLINK("https://lindat.mff.cuni.cz/services/teitok/pdtc10/index.php?action=vallex&amp;frame=v-whsa_1699hsa_1701", "zout (v-whsa_1699hsa_1701) - substituted with v-whsa_1699f1_ZU")</f>
        <v>zout (v-whsa_1699hsa_1701) - substituted with v-whsa_1699f1_ZU</v>
      </c>
    </row>
    <row r="70874" spans="1:2" x14ac:dyDescent="0.2">
      <c r="B70874" t="s">
        <v>1</v>
      </c>
    </row>
    <row r="70875" spans="1:2" x14ac:dyDescent="0.2">
      <c r="B70875" t="s">
        <v>8</v>
      </c>
    </row>
    <row r="70877" spans="1:2" x14ac:dyDescent="0.2">
      <c r="A70877" t="s">
        <v>21946</v>
      </c>
      <c r="B70877" t="str">
        <f>HYPERLINK("https://lindat.mff.cuni.cz/services/teitok/pdtc10/index.php?action=vallex&amp;frame=v-whsa_1699hsa_1700", "zout (v-whsa_1699hsa_1700)")</f>
        <v>zout (v-whsa_1699hsa_1700)</v>
      </c>
    </row>
    <row r="70878" spans="1:2" x14ac:dyDescent="0.2">
      <c r="B70878" t="s">
        <v>1</v>
      </c>
    </row>
    <row r="70879" spans="1:2" x14ac:dyDescent="0.2">
      <c r="B70879" t="s">
        <v>8</v>
      </c>
    </row>
    <row r="70880" spans="1:2" x14ac:dyDescent="0.2">
      <c r="B70880" t="s">
        <v>24</v>
      </c>
    </row>
    <row r="70882" spans="1:4" x14ac:dyDescent="0.2">
      <c r="A70882" t="s">
        <v>21947</v>
      </c>
      <c r="B70882" t="str">
        <f>HYPERLINK("https://lindat.mff.cuni.cz/services/teitok/pdtc10/index.php?action=vallex&amp;frame=v-w12325_MMf1_MM", "zošklivit si (v-w12325_MMf1_MM)")</f>
        <v>zošklivit si (v-w12325_MMf1_MM)</v>
      </c>
    </row>
    <row r="70883" spans="1:4" x14ac:dyDescent="0.2">
      <c r="B70883" t="s">
        <v>1</v>
      </c>
    </row>
    <row r="70884" spans="1:4" x14ac:dyDescent="0.2">
      <c r="B70884" t="s">
        <v>8</v>
      </c>
    </row>
    <row r="70886" spans="1:4" x14ac:dyDescent="0.2">
      <c r="A70886" t="s">
        <v>21948</v>
      </c>
      <c r="B70886" t="str">
        <f>HYPERLINK("https://lindat.mff.cuni.cz/services/teitok/pdtc10/index.php?action=vallex&amp;frame=v-w10766f2", "zpanikařit (v-w10766f2)")</f>
        <v>zpanikařit (v-w10766f2)</v>
      </c>
    </row>
    <row r="70887" spans="1:4" x14ac:dyDescent="0.2">
      <c r="B70887" t="s">
        <v>1</v>
      </c>
      <c r="C70887" t="s">
        <v>6793</v>
      </c>
      <c r="D70887" t="s">
        <v>6793</v>
      </c>
    </row>
    <row r="70889" spans="1:4" x14ac:dyDescent="0.2">
      <c r="A70889" t="s">
        <v>21949</v>
      </c>
      <c r="B70889" t="str">
        <f>HYPERLINK("https://lindat.mff.cuni.cz/services/teitok/pdtc10/index.php?action=vallex&amp;frame=v-w9773f1", "zpeněžit (v-w9773f1)")</f>
        <v>zpeněžit (v-w9773f1)</v>
      </c>
    </row>
    <row r="70890" spans="1:4" x14ac:dyDescent="0.2">
      <c r="B70890" t="s">
        <v>1</v>
      </c>
      <c r="C70890" t="s">
        <v>990</v>
      </c>
    </row>
    <row r="70891" spans="1:4" x14ac:dyDescent="0.2">
      <c r="B70891" t="s">
        <v>8</v>
      </c>
      <c r="C70891" t="s">
        <v>3433</v>
      </c>
    </row>
    <row r="70893" spans="1:4" x14ac:dyDescent="0.2">
      <c r="A70893" t="s">
        <v>21950</v>
      </c>
      <c r="B70893" t="str">
        <f>HYPERLINK("https://lindat.mff.cuni.cz/services/teitok/pdtc10/index.php?action=vallex&amp;frame=v-w12031_ZUf1_ZU", "zpeněžovat (v-w12031_ZUf1_ZU)")</f>
        <v>zpeněžovat (v-w12031_ZUf1_ZU)</v>
      </c>
    </row>
    <row r="70894" spans="1:4" x14ac:dyDescent="0.2">
      <c r="B70894" t="s">
        <v>1</v>
      </c>
    </row>
    <row r="70895" spans="1:4" x14ac:dyDescent="0.2">
      <c r="B70895" t="s">
        <v>8</v>
      </c>
    </row>
    <row r="70897" spans="1:4" x14ac:dyDescent="0.2">
      <c r="A70897" t="s">
        <v>21951</v>
      </c>
      <c r="B70897" t="str">
        <f>HYPERLINK("https://lindat.mff.cuni.cz/services/teitok/pdtc10/index.php?action=vallex&amp;frame=v-w9775f1", "zpestřit (v-w9775f1)")</f>
        <v>zpestřit (v-w9775f1)</v>
      </c>
    </row>
    <row r="70898" spans="1:4" x14ac:dyDescent="0.2">
      <c r="B70898" t="s">
        <v>1</v>
      </c>
      <c r="D70898" t="s">
        <v>140</v>
      </c>
    </row>
    <row r="70899" spans="1:4" x14ac:dyDescent="0.2">
      <c r="B70899" t="s">
        <v>8</v>
      </c>
      <c r="C70899" t="s">
        <v>1369</v>
      </c>
      <c r="D70899" t="s">
        <v>23617</v>
      </c>
    </row>
    <row r="70901" spans="1:4" x14ac:dyDescent="0.2">
      <c r="A70901" t="s">
        <v>21952</v>
      </c>
      <c r="B70901" t="str">
        <f>HYPERLINK("https://lindat.mff.cuni.cz/services/teitok/pdtc10/index.php?action=vallex&amp;frame=v-w9776f1", "zpestřovat (v-w9776f1)")</f>
        <v>zpestřovat (v-w9776f1)</v>
      </c>
    </row>
    <row r="70902" spans="1:4" x14ac:dyDescent="0.2">
      <c r="B70902" t="s">
        <v>1</v>
      </c>
    </row>
    <row r="70903" spans="1:4" x14ac:dyDescent="0.2">
      <c r="B70903" t="s">
        <v>8</v>
      </c>
    </row>
    <row r="70905" spans="1:4" x14ac:dyDescent="0.2">
      <c r="A70905" t="s">
        <v>21953</v>
      </c>
      <c r="B70905" t="str">
        <f>HYPERLINK("https://lindat.mff.cuni.cz/services/teitok/pdtc10/index.php?action=vallex&amp;frame=v-w9779f1", "zpevnit (v-w9779f1)")</f>
        <v>zpevnit (v-w9779f1)</v>
      </c>
    </row>
    <row r="70906" spans="1:4" x14ac:dyDescent="0.2">
      <c r="B70906" t="s">
        <v>1</v>
      </c>
      <c r="C70906" t="s">
        <v>21954</v>
      </c>
      <c r="D70906" t="s">
        <v>940</v>
      </c>
    </row>
    <row r="70907" spans="1:4" x14ac:dyDescent="0.2">
      <c r="B70907" t="s">
        <v>220</v>
      </c>
      <c r="C70907" t="s">
        <v>21955</v>
      </c>
      <c r="D70907" t="s">
        <v>34</v>
      </c>
    </row>
    <row r="70908" spans="1:4" x14ac:dyDescent="0.2">
      <c r="B70908" t="s">
        <v>24</v>
      </c>
      <c r="C70908" t="s">
        <v>1289</v>
      </c>
      <c r="D70908" t="s">
        <v>1289</v>
      </c>
    </row>
    <row r="70909" spans="1:4" x14ac:dyDescent="0.2">
      <c r="B70909" t="s">
        <v>61</v>
      </c>
      <c r="C70909" t="s">
        <v>11467</v>
      </c>
      <c r="D70909" t="s">
        <v>24564</v>
      </c>
    </row>
    <row r="70911" spans="1:4" x14ac:dyDescent="0.2">
      <c r="A70911" t="s">
        <v>21956</v>
      </c>
      <c r="B70911" t="str">
        <f>HYPERLINK("https://lindat.mff.cuni.cz/services/teitok/pdtc10/index.php?action=vallex&amp;frame=v-w9779hsa_25", "zpevnit (v-w9779hsa_25)")</f>
        <v>zpevnit (v-w9779hsa_25)</v>
      </c>
    </row>
    <row r="70912" spans="1:4" x14ac:dyDescent="0.2">
      <c r="B70912" t="s">
        <v>1</v>
      </c>
      <c r="C70912" t="s">
        <v>109</v>
      </c>
    </row>
    <row r="70913" spans="1:4" x14ac:dyDescent="0.2">
      <c r="B70913" t="s">
        <v>8</v>
      </c>
      <c r="C70913" t="s">
        <v>2344</v>
      </c>
    </row>
    <row r="70915" spans="1:4" x14ac:dyDescent="0.2">
      <c r="A70915" t="s">
        <v>21957</v>
      </c>
      <c r="B70915" t="str">
        <f>HYPERLINK("https://lindat.mff.cuni.cz/services/teitok/pdtc10/index.php?action=vallex&amp;frame=v-w9781f1", "zpevňovat (v-w9781f1)")</f>
        <v>zpevňovat (v-w9781f1)</v>
      </c>
    </row>
    <row r="70916" spans="1:4" x14ac:dyDescent="0.2">
      <c r="B70916" t="s">
        <v>1</v>
      </c>
      <c r="D70916" t="s">
        <v>940</v>
      </c>
    </row>
    <row r="70917" spans="1:4" x14ac:dyDescent="0.2">
      <c r="B70917" t="s">
        <v>220</v>
      </c>
      <c r="D70917" t="s">
        <v>34</v>
      </c>
    </row>
    <row r="70918" spans="1:4" x14ac:dyDescent="0.2">
      <c r="B70918" t="s">
        <v>24</v>
      </c>
      <c r="D70918" t="s">
        <v>1289</v>
      </c>
    </row>
    <row r="70919" spans="1:4" x14ac:dyDescent="0.2">
      <c r="B70919" t="s">
        <v>61</v>
      </c>
      <c r="D70919" t="s">
        <v>24564</v>
      </c>
    </row>
    <row r="70921" spans="1:4" x14ac:dyDescent="0.2">
      <c r="A70921" t="s">
        <v>21958</v>
      </c>
      <c r="B70921" t="str">
        <f>HYPERLINK("https://lindat.mff.cuni.cz/services/teitok/pdtc10/index.php?action=vallex&amp;frame=v-w9772f1", "zpečetit (v-w9772f1)")</f>
        <v>zpečetit (v-w9772f1)</v>
      </c>
    </row>
    <row r="70922" spans="1:4" x14ac:dyDescent="0.2">
      <c r="B70922" t="s">
        <v>1</v>
      </c>
    </row>
    <row r="70923" spans="1:4" x14ac:dyDescent="0.2">
      <c r="B70923" t="s">
        <v>8</v>
      </c>
    </row>
    <row r="70925" spans="1:4" x14ac:dyDescent="0.2">
      <c r="A70925" t="s">
        <v>21959</v>
      </c>
      <c r="B70925" t="str">
        <f>HYPERLINK("https://lindat.mff.cuni.cz/services/teitok/pdtc10/index.php?action=vallex&amp;frame=v-w12395_MMf1_MM", "zplanýrovat (v-w12395_MMf1_MM)")</f>
        <v>zplanýrovat (v-w12395_MMf1_MM)</v>
      </c>
    </row>
    <row r="70926" spans="1:4" x14ac:dyDescent="0.2">
      <c r="B70926" t="s">
        <v>1</v>
      </c>
    </row>
    <row r="70927" spans="1:4" x14ac:dyDescent="0.2">
      <c r="B70927" t="s">
        <v>8</v>
      </c>
    </row>
    <row r="70929" spans="1:3" x14ac:dyDescent="0.2">
      <c r="A70929" t="s">
        <v>21960</v>
      </c>
      <c r="B70929" t="str">
        <f>HYPERLINK("https://lindat.mff.cuni.cz/services/teitok/pdtc10/index.php?action=vallex&amp;frame=v-w12372_MMf1_MM", "zplizovat (v-w12372_MMf1_MM)")</f>
        <v>zplizovat (v-w12372_MMf1_MM)</v>
      </c>
    </row>
    <row r="70930" spans="1:3" x14ac:dyDescent="0.2">
      <c r="B70930" t="s">
        <v>1</v>
      </c>
    </row>
    <row r="70931" spans="1:3" x14ac:dyDescent="0.2">
      <c r="B70931" t="s">
        <v>8</v>
      </c>
    </row>
    <row r="70933" spans="1:3" x14ac:dyDescent="0.2">
      <c r="A70933" t="s">
        <v>21961</v>
      </c>
      <c r="B70933" t="str">
        <f>HYPERLINK("https://lindat.mff.cuni.cz/services/teitok/pdtc10/index.php?action=vallex&amp;frame=v-whsa_460hsa_461", "zplnoletnit (v-whsa_460hsa_461)")</f>
        <v>zplnoletnit (v-whsa_460hsa_461)</v>
      </c>
    </row>
    <row r="70934" spans="1:3" x14ac:dyDescent="0.2">
      <c r="B70934" t="s">
        <v>1</v>
      </c>
    </row>
    <row r="70935" spans="1:3" x14ac:dyDescent="0.2">
      <c r="B70935" t="s">
        <v>8</v>
      </c>
    </row>
    <row r="70937" spans="1:3" x14ac:dyDescent="0.2">
      <c r="A70937" t="s">
        <v>21962</v>
      </c>
      <c r="B70937" t="str">
        <f>HYPERLINK("https://lindat.mff.cuni.cz/services/teitok/pdtc10/index.php?action=vallex&amp;frame=v-w9785f1", "zplnomocnit (v-w9785f1)")</f>
        <v>zplnomocnit (v-w9785f1)</v>
      </c>
    </row>
    <row r="70938" spans="1:3" x14ac:dyDescent="0.2">
      <c r="B70938" t="s">
        <v>1</v>
      </c>
    </row>
    <row r="70939" spans="1:3" x14ac:dyDescent="0.2">
      <c r="B70939" t="s">
        <v>7943</v>
      </c>
    </row>
    <row r="70940" spans="1:3" x14ac:dyDescent="0.2">
      <c r="B70940" t="s">
        <v>58</v>
      </c>
    </row>
    <row r="70942" spans="1:3" x14ac:dyDescent="0.2">
      <c r="A70942" t="s">
        <v>21963</v>
      </c>
      <c r="B70942" t="str">
        <f>HYPERLINK("https://lindat.mff.cuni.cz/services/teitok/pdtc10/index.php?action=vallex&amp;frame=v-w9786f1", "zplnomocňovat (v-w9786f1)")</f>
        <v>zplnomocňovat (v-w9786f1)</v>
      </c>
    </row>
    <row r="70943" spans="1:3" x14ac:dyDescent="0.2">
      <c r="B70943" t="s">
        <v>1</v>
      </c>
      <c r="C70943" t="s">
        <v>33</v>
      </c>
    </row>
    <row r="70944" spans="1:3" x14ac:dyDescent="0.2">
      <c r="B70944" t="s">
        <v>7943</v>
      </c>
      <c r="C70944" t="s">
        <v>5754</v>
      </c>
    </row>
    <row r="70945" spans="1:4" x14ac:dyDescent="0.2">
      <c r="B70945" t="s">
        <v>58</v>
      </c>
      <c r="C70945" t="s">
        <v>1672</v>
      </c>
    </row>
    <row r="70947" spans="1:4" x14ac:dyDescent="0.2">
      <c r="A70947" t="s">
        <v>21964</v>
      </c>
      <c r="B70947" t="str">
        <f>HYPERLINK("https://lindat.mff.cuni.cz/services/teitok/pdtc10/index.php?action=vallex&amp;frame=v-w9787f1", "zplodit (v-w9787f1)")</f>
        <v>zplodit (v-w9787f1)</v>
      </c>
    </row>
    <row r="70948" spans="1:4" x14ac:dyDescent="0.2">
      <c r="B70948" t="s">
        <v>1</v>
      </c>
      <c r="C70948" t="s">
        <v>119</v>
      </c>
    </row>
    <row r="70949" spans="1:4" x14ac:dyDescent="0.2">
      <c r="B70949" t="s">
        <v>8</v>
      </c>
      <c r="C70949" t="s">
        <v>17509</v>
      </c>
    </row>
    <row r="70951" spans="1:4" x14ac:dyDescent="0.2">
      <c r="A70951" t="s">
        <v>21965</v>
      </c>
      <c r="B70951" t="str">
        <f>HYPERLINK("https://lindat.mff.cuni.cz/services/teitok/pdtc10/index.php?action=vallex&amp;frame=v-w9787f2", "zplodit (v-w9787f2)")</f>
        <v>zplodit (v-w9787f2)</v>
      </c>
    </row>
    <row r="70952" spans="1:4" x14ac:dyDescent="0.2">
      <c r="B70952" t="s">
        <v>1</v>
      </c>
    </row>
    <row r="70953" spans="1:4" x14ac:dyDescent="0.2">
      <c r="B70953" t="s">
        <v>8</v>
      </c>
    </row>
    <row r="70955" spans="1:4" x14ac:dyDescent="0.2">
      <c r="A70955" t="s">
        <v>21966</v>
      </c>
      <c r="B70955" t="str">
        <f>HYPERLINK("https://lindat.mff.cuni.cz/services/teitok/pdtc10/index.php?action=vallex&amp;frame=v-w9788f1", "zploštit (v-w9788f1)")</f>
        <v>zploštit (v-w9788f1)</v>
      </c>
    </row>
    <row r="70956" spans="1:4" x14ac:dyDescent="0.2">
      <c r="B70956" t="s">
        <v>1</v>
      </c>
    </row>
    <row r="70957" spans="1:4" x14ac:dyDescent="0.2">
      <c r="B70957" t="s">
        <v>8</v>
      </c>
    </row>
    <row r="70959" spans="1:4" x14ac:dyDescent="0.2">
      <c r="A70959" t="s">
        <v>21967</v>
      </c>
      <c r="B70959" t="str">
        <f>HYPERLINK("https://lindat.mff.cuni.cz/services/teitok/pdtc10/index.php?action=vallex&amp;frame=v-w9792f1", "zpochybnit (v-w9792f1)")</f>
        <v>zpochybnit (v-w9792f1)</v>
      </c>
    </row>
    <row r="70960" spans="1:4" x14ac:dyDescent="0.2">
      <c r="B70960" t="s">
        <v>1</v>
      </c>
      <c r="C70960" t="s">
        <v>6131</v>
      </c>
      <c r="D70960" t="s">
        <v>23545</v>
      </c>
    </row>
    <row r="70961" spans="1:4" x14ac:dyDescent="0.2">
      <c r="B70961" t="s">
        <v>1284</v>
      </c>
      <c r="C70961" t="s">
        <v>21968</v>
      </c>
      <c r="D70961" t="s">
        <v>23546</v>
      </c>
    </row>
    <row r="70963" spans="1:4" x14ac:dyDescent="0.2">
      <c r="A70963" t="s">
        <v>21969</v>
      </c>
      <c r="B70963" t="str">
        <f>HYPERLINK("https://lindat.mff.cuni.cz/services/teitok/pdtc10/index.php?action=vallex&amp;frame=v-w9794f1", "zpochybňovat (v-w9794f1)")</f>
        <v>zpochybňovat (v-w9794f1)</v>
      </c>
    </row>
    <row r="70964" spans="1:4" x14ac:dyDescent="0.2">
      <c r="B70964" t="s">
        <v>1</v>
      </c>
      <c r="C70964" t="s">
        <v>3064</v>
      </c>
      <c r="D70964" t="s">
        <v>23545</v>
      </c>
    </row>
    <row r="70965" spans="1:4" x14ac:dyDescent="0.2">
      <c r="B70965" t="s">
        <v>1284</v>
      </c>
      <c r="C70965" t="s">
        <v>21970</v>
      </c>
      <c r="D70965" t="s">
        <v>23546</v>
      </c>
    </row>
    <row r="70967" spans="1:4" x14ac:dyDescent="0.2">
      <c r="A70967" t="s">
        <v>21971</v>
      </c>
      <c r="B70967" t="str">
        <f>HYPERLINK("https://lindat.mff.cuni.cz/services/teitok/pdtc10/index.php?action=vallex&amp;frame=v-whsa_111hsa_112", "zpodobňovat (v-whsa_111hsa_112)")</f>
        <v>zpodobňovat (v-whsa_111hsa_112)</v>
      </c>
    </row>
    <row r="70968" spans="1:4" x14ac:dyDescent="0.2">
      <c r="B70968" t="s">
        <v>1</v>
      </c>
      <c r="C70968" t="s">
        <v>430</v>
      </c>
    </row>
    <row r="70969" spans="1:4" x14ac:dyDescent="0.2">
      <c r="B70969" t="s">
        <v>8</v>
      </c>
      <c r="C70969" t="s">
        <v>1340</v>
      </c>
    </row>
    <row r="70971" spans="1:4" x14ac:dyDescent="0.2">
      <c r="A70971" t="s">
        <v>21972</v>
      </c>
      <c r="B70971" t="str">
        <f>HYPERLINK("https://lindat.mff.cuni.cz/services/teitok/pdtc10/index.php?action=vallex&amp;frame=v-w9790f1", "zpohodlnět (v-w9790f1)")</f>
        <v>zpohodlnět (v-w9790f1)</v>
      </c>
    </row>
    <row r="70972" spans="1:4" x14ac:dyDescent="0.2">
      <c r="B70972" t="s">
        <v>1</v>
      </c>
    </row>
    <row r="70974" spans="1:4" x14ac:dyDescent="0.2">
      <c r="A70974" t="s">
        <v>21973</v>
      </c>
      <c r="B70974" t="str">
        <f>HYPERLINK("https://lindat.mff.cuni.cz/services/teitok/pdtc10/index.php?action=vallex&amp;frame=v-w9796f1", "zpolitizovat (v-w9796f1)")</f>
        <v>zpolitizovat (v-w9796f1)</v>
      </c>
    </row>
    <row r="70975" spans="1:4" x14ac:dyDescent="0.2">
      <c r="B70975" t="s">
        <v>1</v>
      </c>
    </row>
    <row r="70976" spans="1:4" x14ac:dyDescent="0.2">
      <c r="B70976" t="s">
        <v>8</v>
      </c>
    </row>
    <row r="70978" spans="1:4" x14ac:dyDescent="0.2">
      <c r="A70978" t="s">
        <v>21974</v>
      </c>
      <c r="B70978" t="str">
        <f>HYPERLINK("https://lindat.mff.cuni.cz/services/teitok/pdtc10/index.php?action=vallex&amp;frame=v-w9798f1", "zpomalit (v-w9798f1)")</f>
        <v>zpomalit (v-w9798f1)</v>
      </c>
    </row>
    <row r="70979" spans="1:4" x14ac:dyDescent="0.2">
      <c r="B70979" t="s">
        <v>1</v>
      </c>
      <c r="C70979" t="s">
        <v>21975</v>
      </c>
      <c r="D70979" t="s">
        <v>2172</v>
      </c>
    </row>
    <row r="70980" spans="1:4" x14ac:dyDescent="0.2">
      <c r="B70980" t="s">
        <v>8</v>
      </c>
      <c r="C70980" t="s">
        <v>6566</v>
      </c>
      <c r="D70980" t="s">
        <v>3308</v>
      </c>
    </row>
    <row r="70982" spans="1:4" x14ac:dyDescent="0.2">
      <c r="A70982" t="s">
        <v>21976</v>
      </c>
      <c r="B70982" t="str">
        <f>HYPERLINK("https://lindat.mff.cuni.cz/services/teitok/pdtc10/index.php?action=vallex&amp;frame=v-w9798f2_ZU", "zpomalit (v-w9798f2_ZU)")</f>
        <v>zpomalit (v-w9798f2_ZU)</v>
      </c>
    </row>
    <row r="70983" spans="1:4" x14ac:dyDescent="0.2">
      <c r="B70983" t="s">
        <v>1</v>
      </c>
      <c r="D70983" t="s">
        <v>23735</v>
      </c>
    </row>
    <row r="70984" spans="1:4" x14ac:dyDescent="0.2">
      <c r="B70984" t="s">
        <v>46</v>
      </c>
      <c r="D70984" t="s">
        <v>8502</v>
      </c>
    </row>
    <row r="70985" spans="1:4" x14ac:dyDescent="0.2">
      <c r="B70985" t="s">
        <v>24</v>
      </c>
    </row>
    <row r="70987" spans="1:4" x14ac:dyDescent="0.2">
      <c r="A70987" t="s">
        <v>21976</v>
      </c>
      <c r="B70987" t="str">
        <f>HYPERLINK("https://lindat.mff.cuni.cz/services/teitok/pdtc10/index.php?action=vallex&amp;frame=v-w9798hsa_620", "zpomalit (v-w9798hsa_620) - substituted with v-w9798f2_ZU")</f>
        <v>zpomalit (v-w9798hsa_620) - substituted with v-w9798f2_ZU</v>
      </c>
    </row>
    <row r="70988" spans="1:4" x14ac:dyDescent="0.2">
      <c r="B70988" t="s">
        <v>1</v>
      </c>
      <c r="C70988" t="s">
        <v>9112</v>
      </c>
    </row>
    <row r="70989" spans="1:4" x14ac:dyDescent="0.2">
      <c r="B70989" t="s">
        <v>46</v>
      </c>
    </row>
    <row r="70990" spans="1:4" x14ac:dyDescent="0.2">
      <c r="B70990" t="s">
        <v>24</v>
      </c>
    </row>
    <row r="70992" spans="1:4" x14ac:dyDescent="0.2">
      <c r="A70992" t="s">
        <v>21977</v>
      </c>
      <c r="B70992" t="str">
        <f>HYPERLINK("https://lindat.mff.cuni.cz/services/teitok/pdtc10/index.php?action=vallex&amp;frame=v-w9799f1", "zpomalit se (v-w9799f1)")</f>
        <v>zpomalit se (v-w9799f1)</v>
      </c>
    </row>
    <row r="70993" spans="1:4" x14ac:dyDescent="0.2">
      <c r="B70993" t="s">
        <v>1</v>
      </c>
      <c r="C70993" t="s">
        <v>21490</v>
      </c>
      <c r="D70993" t="s">
        <v>23636</v>
      </c>
    </row>
    <row r="70995" spans="1:4" x14ac:dyDescent="0.2">
      <c r="A70995" t="s">
        <v>21978</v>
      </c>
      <c r="B70995" t="str">
        <f>HYPERLINK("https://lindat.mff.cuni.cz/services/teitok/pdtc10/index.php?action=vallex&amp;frame=v-w9799f2_ZU", "zpomalit se (v-w9799f2_ZU)")</f>
        <v>zpomalit se (v-w9799f2_ZU)</v>
      </c>
    </row>
    <row r="70996" spans="1:4" x14ac:dyDescent="0.2">
      <c r="B70996" t="s">
        <v>1</v>
      </c>
      <c r="C70996" t="s">
        <v>579</v>
      </c>
      <c r="D70996" t="s">
        <v>23735</v>
      </c>
    </row>
    <row r="70997" spans="1:4" x14ac:dyDescent="0.2">
      <c r="B70997" t="s">
        <v>46</v>
      </c>
      <c r="D70997" t="s">
        <v>8502</v>
      </c>
    </row>
    <row r="70998" spans="1:4" x14ac:dyDescent="0.2">
      <c r="B70998" t="s">
        <v>24</v>
      </c>
    </row>
    <row r="71000" spans="1:4" x14ac:dyDescent="0.2">
      <c r="A71000" t="s">
        <v>21978</v>
      </c>
      <c r="B71000" t="str">
        <f>HYPERLINK("https://lindat.mff.cuni.cz/services/teitok/pdtc10/index.php?action=vallex&amp;frame=v-w9799hsa_1301", "zpomalit se (v-w9799hsa_1301) - substituted with v-w9799f2_ZU")</f>
        <v>zpomalit se (v-w9799hsa_1301) - substituted with v-w9799f2_ZU</v>
      </c>
    </row>
    <row r="71001" spans="1:4" x14ac:dyDescent="0.2">
      <c r="B71001" t="s">
        <v>1</v>
      </c>
    </row>
    <row r="71002" spans="1:4" x14ac:dyDescent="0.2">
      <c r="B71002" t="s">
        <v>46</v>
      </c>
    </row>
    <row r="71003" spans="1:4" x14ac:dyDescent="0.2">
      <c r="B71003" t="s">
        <v>24</v>
      </c>
    </row>
    <row r="71005" spans="1:4" x14ac:dyDescent="0.2">
      <c r="A71005" t="s">
        <v>21979</v>
      </c>
      <c r="B71005" t="str">
        <f>HYPERLINK("https://lindat.mff.cuni.cz/services/teitok/pdtc10/index.php?action=vallex&amp;frame=v-w9800f1", "zpomalovat (v-w9800f1)")</f>
        <v>zpomalovat (v-w9800f1)</v>
      </c>
    </row>
    <row r="71006" spans="1:4" x14ac:dyDescent="0.2">
      <c r="B71006" t="s">
        <v>1</v>
      </c>
      <c r="C71006" t="s">
        <v>1593</v>
      </c>
      <c r="D71006" t="s">
        <v>2172</v>
      </c>
    </row>
    <row r="71007" spans="1:4" x14ac:dyDescent="0.2">
      <c r="B71007" t="s">
        <v>8</v>
      </c>
      <c r="C71007" t="s">
        <v>1343</v>
      </c>
      <c r="D71007" t="s">
        <v>3308</v>
      </c>
    </row>
    <row r="71009" spans="1:4" x14ac:dyDescent="0.2">
      <c r="A71009" t="s">
        <v>21980</v>
      </c>
      <c r="B71009" t="str">
        <f>HYPERLINK("https://lindat.mff.cuni.cz/services/teitok/pdtc10/index.php?action=vallex&amp;frame=v-w9800f3_ZU", "zpomalovat (v-w9800f3_ZU)")</f>
        <v>zpomalovat (v-w9800f3_ZU)</v>
      </c>
    </row>
    <row r="71010" spans="1:4" x14ac:dyDescent="0.2">
      <c r="B71010" t="s">
        <v>1</v>
      </c>
      <c r="C71010" t="s">
        <v>8231</v>
      </c>
      <c r="D71010" t="s">
        <v>23735</v>
      </c>
    </row>
    <row r="71011" spans="1:4" x14ac:dyDescent="0.2">
      <c r="B71011" t="s">
        <v>46</v>
      </c>
      <c r="D71011" t="s">
        <v>8502</v>
      </c>
    </row>
    <row r="71012" spans="1:4" x14ac:dyDescent="0.2">
      <c r="B71012" t="s">
        <v>24</v>
      </c>
    </row>
    <row r="71014" spans="1:4" x14ac:dyDescent="0.2">
      <c r="A71014" t="s">
        <v>21980</v>
      </c>
      <c r="B71014" t="str">
        <f>HYPERLINK("https://lindat.mff.cuni.cz/services/teitok/pdtc10/index.php?action=vallex&amp;frame=v-w9800f2_ZU", "zpomalovat (v-w9800f2_ZU) - substituted with v-w9800f3_ZU")</f>
        <v>zpomalovat (v-w9800f2_ZU) - substituted with v-w9800f3_ZU</v>
      </c>
    </row>
    <row r="71015" spans="1:4" x14ac:dyDescent="0.2">
      <c r="B71015" t="s">
        <v>1</v>
      </c>
      <c r="C71015" t="s">
        <v>21981</v>
      </c>
    </row>
    <row r="71016" spans="1:4" x14ac:dyDescent="0.2">
      <c r="B71016" t="s">
        <v>46</v>
      </c>
    </row>
    <row r="71017" spans="1:4" x14ac:dyDescent="0.2">
      <c r="B71017" t="s">
        <v>24</v>
      </c>
    </row>
    <row r="71019" spans="1:4" x14ac:dyDescent="0.2">
      <c r="A71019" t="s">
        <v>21980</v>
      </c>
      <c r="B71019" t="str">
        <f>HYPERLINK("https://lindat.mff.cuni.cz/services/teitok/pdtc10/index.php?action=vallex&amp;frame=v-w9800hsa_311", "zpomalovat (v-w9800hsa_311) - substituted with v-w9800f3_ZU")</f>
        <v>zpomalovat (v-w9800hsa_311) - substituted with v-w9800f3_ZU</v>
      </c>
    </row>
    <row r="71020" spans="1:4" x14ac:dyDescent="0.2">
      <c r="B71020" t="s">
        <v>1</v>
      </c>
    </row>
    <row r="71021" spans="1:4" x14ac:dyDescent="0.2">
      <c r="B71021" t="s">
        <v>46</v>
      </c>
    </row>
    <row r="71022" spans="1:4" x14ac:dyDescent="0.2">
      <c r="B71022" t="s">
        <v>24</v>
      </c>
    </row>
    <row r="71024" spans="1:4" x14ac:dyDescent="0.2">
      <c r="A71024" t="s">
        <v>21982</v>
      </c>
      <c r="B71024" t="str">
        <f>HYPERLINK("https://lindat.mff.cuni.cz/services/teitok/pdtc10/index.php?action=vallex&amp;frame=v-w11653_ZUf2_ZU", "zpomalovat se (v-w11653_ZUf2_ZU)")</f>
        <v>zpomalovat se (v-w11653_ZUf2_ZU)</v>
      </c>
    </row>
    <row r="71025" spans="1:4" x14ac:dyDescent="0.2">
      <c r="B71025" t="s">
        <v>1</v>
      </c>
      <c r="C71025" t="s">
        <v>1593</v>
      </c>
      <c r="D71025" t="s">
        <v>23735</v>
      </c>
    </row>
    <row r="71026" spans="1:4" x14ac:dyDescent="0.2">
      <c r="B71026" t="s">
        <v>46</v>
      </c>
      <c r="D71026" t="s">
        <v>8502</v>
      </c>
    </row>
    <row r="71027" spans="1:4" x14ac:dyDescent="0.2">
      <c r="B71027" t="s">
        <v>24</v>
      </c>
    </row>
    <row r="71029" spans="1:4" x14ac:dyDescent="0.2">
      <c r="A71029" t="s">
        <v>21982</v>
      </c>
      <c r="B71029" t="str">
        <f>HYPERLINK("https://lindat.mff.cuni.cz/services/teitok/pdtc10/index.php?action=vallex&amp;frame=v-w11653_ZUf1_ZU", "zpomalovat se (v-w11653_ZUf1_ZU) - substituted with v-w11653_ZUf2_ZU")</f>
        <v>zpomalovat se (v-w11653_ZUf1_ZU) - substituted with v-w11653_ZUf2_ZU</v>
      </c>
    </row>
    <row r="71030" spans="1:4" x14ac:dyDescent="0.2">
      <c r="B71030" t="s">
        <v>1</v>
      </c>
      <c r="C71030" t="s">
        <v>9225</v>
      </c>
    </row>
    <row r="71031" spans="1:4" x14ac:dyDescent="0.2">
      <c r="B71031" t="s">
        <v>46</v>
      </c>
    </row>
    <row r="71032" spans="1:4" x14ac:dyDescent="0.2">
      <c r="B71032" t="s">
        <v>24</v>
      </c>
    </row>
    <row r="71034" spans="1:4" x14ac:dyDescent="0.2">
      <c r="A71034" t="s">
        <v>21982</v>
      </c>
      <c r="B71034" t="str">
        <f>HYPERLINK("https://lindat.mff.cuni.cz/services/teitok/pdtc10/index.php?action=vallex&amp;frame=v-w11653_ZUhsa_831", "zpomalovat se (v-w11653_ZUhsa_831) - substituted with v-w11653_ZUf2_ZU")</f>
        <v>zpomalovat se (v-w11653_ZUhsa_831) - substituted with v-w11653_ZUf2_ZU</v>
      </c>
    </row>
    <row r="71035" spans="1:4" x14ac:dyDescent="0.2">
      <c r="B71035" t="s">
        <v>1</v>
      </c>
    </row>
    <row r="71036" spans="1:4" x14ac:dyDescent="0.2">
      <c r="B71036" t="s">
        <v>46</v>
      </c>
    </row>
    <row r="71037" spans="1:4" x14ac:dyDescent="0.2">
      <c r="B71037" t="s">
        <v>24</v>
      </c>
    </row>
    <row r="71039" spans="1:4" x14ac:dyDescent="0.2">
      <c r="A71039" t="s">
        <v>21983</v>
      </c>
      <c r="B71039" t="str">
        <f>HYPERLINK("https://lindat.mff.cuni.cz/services/teitok/pdtc10/index.php?action=vallex&amp;frame=v-w12146_ZUf1_ZU", "zpopelnit (v-w12146_ZUf1_ZU)")</f>
        <v>zpopelnit (v-w12146_ZUf1_ZU)</v>
      </c>
    </row>
    <row r="71040" spans="1:4" x14ac:dyDescent="0.2">
      <c r="B71040" t="s">
        <v>1</v>
      </c>
    </row>
    <row r="71041" spans="1:4" x14ac:dyDescent="0.2">
      <c r="B71041" t="s">
        <v>8</v>
      </c>
    </row>
    <row r="71043" spans="1:4" x14ac:dyDescent="0.2">
      <c r="A71043" t="s">
        <v>21984</v>
      </c>
      <c r="B71043" t="str">
        <f>HYPERLINK("https://lindat.mff.cuni.cz/services/teitok/pdtc10/index.php?action=vallex&amp;frame=v-w10955f2", "zpopularizovat (v-w10955f2)")</f>
        <v>zpopularizovat (v-w10955f2)</v>
      </c>
    </row>
    <row r="71044" spans="1:4" x14ac:dyDescent="0.2">
      <c r="B71044" t="s">
        <v>1</v>
      </c>
      <c r="C71044" t="s">
        <v>140</v>
      </c>
      <c r="D71044" t="s">
        <v>115</v>
      </c>
    </row>
    <row r="71045" spans="1:4" x14ac:dyDescent="0.2">
      <c r="B71045" t="s">
        <v>8</v>
      </c>
      <c r="C71045" t="s">
        <v>113</v>
      </c>
      <c r="D71045" t="s">
        <v>2402</v>
      </c>
    </row>
    <row r="71047" spans="1:4" x14ac:dyDescent="0.2">
      <c r="A71047" t="s">
        <v>21985</v>
      </c>
      <c r="B71047" t="str">
        <f>HYPERLINK("https://lindat.mff.cuni.cz/services/teitok/pdtc10/index.php?action=vallex&amp;frame=v-whsa_726hsa_727", "zpotit se (v-whsa_726hsa_727)")</f>
        <v>zpotit se (v-whsa_726hsa_727)</v>
      </c>
    </row>
    <row r="71048" spans="1:4" x14ac:dyDescent="0.2">
      <c r="B71048" t="s">
        <v>1</v>
      </c>
      <c r="C71048" t="s">
        <v>33</v>
      </c>
      <c r="D71048" t="s">
        <v>133</v>
      </c>
    </row>
    <row r="71050" spans="1:4" x14ac:dyDescent="0.2">
      <c r="A71050" t="s">
        <v>21986</v>
      </c>
      <c r="B71050" t="str">
        <f>HYPERLINK("https://lindat.mff.cuni.cz/services/teitok/pdtc10/index.php?action=vallex&amp;frame=v-w9802f1", "zpovídat (v-w9802f1)")</f>
        <v>zpovídat (v-w9802f1)</v>
      </c>
    </row>
    <row r="71051" spans="1:4" x14ac:dyDescent="0.2">
      <c r="B71051" t="s">
        <v>1</v>
      </c>
      <c r="D71051" t="s">
        <v>23213</v>
      </c>
    </row>
    <row r="71052" spans="1:4" x14ac:dyDescent="0.2">
      <c r="B71052" t="s">
        <v>58</v>
      </c>
      <c r="D71052" t="s">
        <v>23215</v>
      </c>
    </row>
    <row r="71053" spans="1:4" x14ac:dyDescent="0.2">
      <c r="B71053" t="s">
        <v>438</v>
      </c>
      <c r="D71053" t="s">
        <v>23214</v>
      </c>
    </row>
    <row r="71055" spans="1:4" x14ac:dyDescent="0.2">
      <c r="A71055" t="s">
        <v>21987</v>
      </c>
      <c r="B71055" t="str">
        <f>HYPERLINK("https://lindat.mff.cuni.cz/services/teitok/pdtc10/index.php?action=vallex&amp;frame=v-w9803f1", "zpozdit (v-w9803f1)")</f>
        <v>zpozdit (v-w9803f1)</v>
      </c>
    </row>
    <row r="71056" spans="1:4" x14ac:dyDescent="0.2">
      <c r="B71056" t="s">
        <v>1</v>
      </c>
      <c r="C71056" t="s">
        <v>1581</v>
      </c>
      <c r="D71056" t="s">
        <v>9760</v>
      </c>
    </row>
    <row r="71057" spans="1:4" x14ac:dyDescent="0.2">
      <c r="B71057" t="s">
        <v>8</v>
      </c>
      <c r="C71057" t="s">
        <v>3789</v>
      </c>
      <c r="D71057" t="s">
        <v>22997</v>
      </c>
    </row>
    <row r="71059" spans="1:4" x14ac:dyDescent="0.2">
      <c r="A71059" t="s">
        <v>21988</v>
      </c>
      <c r="B71059" t="str">
        <f>HYPERLINK("https://lindat.mff.cuni.cz/services/teitok/pdtc10/index.php?action=vallex&amp;frame=v-w9804f1", "zpozdit se (v-w9804f1)")</f>
        <v>zpozdit se (v-w9804f1)</v>
      </c>
    </row>
    <row r="71060" spans="1:4" x14ac:dyDescent="0.2">
      <c r="B71060" t="s">
        <v>1</v>
      </c>
      <c r="C71060" t="s">
        <v>21356</v>
      </c>
    </row>
    <row r="71062" spans="1:4" x14ac:dyDescent="0.2">
      <c r="A71062" t="s">
        <v>21989</v>
      </c>
      <c r="B71062" t="str">
        <f>HYPERLINK("https://lindat.mff.cuni.cz/services/teitok/pdtc10/index.php?action=vallex&amp;frame=v-w9804hsa_785", "zpozdit se (v-w9804hsa_785)")</f>
        <v>zpozdit se (v-w9804hsa_785)</v>
      </c>
    </row>
    <row r="71063" spans="1:4" x14ac:dyDescent="0.2">
      <c r="B71063" t="s">
        <v>1</v>
      </c>
      <c r="C71063" t="s">
        <v>9513</v>
      </c>
    </row>
    <row r="71064" spans="1:4" x14ac:dyDescent="0.2">
      <c r="B71064" t="s">
        <v>411</v>
      </c>
    </row>
    <row r="71066" spans="1:4" x14ac:dyDescent="0.2">
      <c r="A71066" t="s">
        <v>21990</v>
      </c>
      <c r="B71066" t="str">
        <f>HYPERLINK("https://lindat.mff.cuni.cz/services/teitok/pdtc10/index.php?action=vallex&amp;frame=v-w10386f2", "zpozornět (v-w10386f2)")</f>
        <v>zpozornět (v-w10386f2)</v>
      </c>
    </row>
    <row r="71067" spans="1:4" x14ac:dyDescent="0.2">
      <c r="B71067" t="s">
        <v>1</v>
      </c>
    </row>
    <row r="71069" spans="1:4" x14ac:dyDescent="0.2">
      <c r="A71069" t="s">
        <v>21991</v>
      </c>
      <c r="B71069" t="str">
        <f>HYPERLINK("https://lindat.mff.cuni.cz/services/teitok/pdtc10/index.php?action=vallex&amp;frame=v-w9805f2_ZU", "zpozorovat (v-w9805f2_ZU)")</f>
        <v>zpozorovat (v-w9805f2_ZU)</v>
      </c>
    </row>
    <row r="71070" spans="1:4" x14ac:dyDescent="0.2">
      <c r="B71070" t="s">
        <v>1</v>
      </c>
    </row>
    <row r="71071" spans="1:4" x14ac:dyDescent="0.2">
      <c r="B71071" t="s">
        <v>9611</v>
      </c>
    </row>
    <row r="71073" spans="1:4" x14ac:dyDescent="0.2">
      <c r="A71073" t="s">
        <v>21991</v>
      </c>
      <c r="B71073" t="str">
        <f>HYPERLINK("https://lindat.mff.cuni.cz/services/teitok/pdtc10/index.php?action=vallex&amp;frame=v-w9805f1", "zpozorovat (v-w9805f1) - substituted with v-w9805f2_ZU")</f>
        <v>zpozorovat (v-w9805f1) - substituted with v-w9805f2_ZU</v>
      </c>
    </row>
    <row r="71074" spans="1:4" x14ac:dyDescent="0.2">
      <c r="B71074" t="s">
        <v>1</v>
      </c>
      <c r="C71074" t="s">
        <v>337</v>
      </c>
      <c r="D71074" t="s">
        <v>23620</v>
      </c>
    </row>
    <row r="71075" spans="1:4" x14ac:dyDescent="0.2">
      <c r="B71075" t="s">
        <v>9611</v>
      </c>
      <c r="C71075" t="s">
        <v>2213</v>
      </c>
      <c r="D71075" t="s">
        <v>23864</v>
      </c>
    </row>
    <row r="71077" spans="1:4" x14ac:dyDescent="0.2">
      <c r="A71077" t="s">
        <v>21992</v>
      </c>
      <c r="B71077" t="str">
        <f>HYPERLINK("https://lindat.mff.cuni.cz/services/teitok/pdtc10/index.php?action=vallex&amp;frame=v-w9807f1", "zpožďovat (v-w9807f1)")</f>
        <v>zpožďovat (v-w9807f1)</v>
      </c>
    </row>
    <row r="71078" spans="1:4" x14ac:dyDescent="0.2">
      <c r="B71078" t="s">
        <v>1</v>
      </c>
      <c r="C71078" t="s">
        <v>1581</v>
      </c>
      <c r="D71078" t="s">
        <v>9760</v>
      </c>
    </row>
    <row r="71079" spans="1:4" x14ac:dyDescent="0.2">
      <c r="B71079" t="s">
        <v>8</v>
      </c>
      <c r="C71079" t="s">
        <v>3789</v>
      </c>
      <c r="D71079" t="s">
        <v>22997</v>
      </c>
    </row>
    <row r="71081" spans="1:4" x14ac:dyDescent="0.2">
      <c r="A71081" t="s">
        <v>21993</v>
      </c>
      <c r="B71081" t="str">
        <f>HYPERLINK("https://lindat.mff.cuni.cz/services/teitok/pdtc10/index.php?action=vallex&amp;frame=v-w9808f1", "zpožďovat se (v-w9808f1)")</f>
        <v>zpožďovat se (v-w9808f1)</v>
      </c>
    </row>
    <row r="71082" spans="1:4" x14ac:dyDescent="0.2">
      <c r="B71082" t="s">
        <v>1</v>
      </c>
    </row>
    <row r="71084" spans="1:4" x14ac:dyDescent="0.2">
      <c r="A71084" t="s">
        <v>21994</v>
      </c>
      <c r="B71084" t="str">
        <f>HYPERLINK("https://lindat.mff.cuni.cz/services/teitok/pdtc10/index.php?action=vallex&amp;frame=v-w9810f1", "zpracovat (v-w9810f1)")</f>
        <v>zpracovat (v-w9810f1)</v>
      </c>
    </row>
    <row r="71085" spans="1:4" x14ac:dyDescent="0.2">
      <c r="B71085" t="s">
        <v>1</v>
      </c>
      <c r="C71085" t="s">
        <v>21995</v>
      </c>
      <c r="D71085" t="s">
        <v>33</v>
      </c>
    </row>
    <row r="71086" spans="1:4" x14ac:dyDescent="0.2">
      <c r="B71086" t="s">
        <v>8</v>
      </c>
      <c r="C71086" t="s">
        <v>17122</v>
      </c>
      <c r="D71086" t="s">
        <v>1128</v>
      </c>
    </row>
    <row r="71087" spans="1:4" x14ac:dyDescent="0.2">
      <c r="B71087" t="s">
        <v>24</v>
      </c>
      <c r="C71087" t="s">
        <v>4604</v>
      </c>
    </row>
    <row r="71089" spans="1:3" x14ac:dyDescent="0.2">
      <c r="A71089" t="s">
        <v>21996</v>
      </c>
      <c r="B71089" t="str">
        <f>HYPERLINK("https://lindat.mff.cuni.cz/services/teitok/pdtc10/index.php?action=vallex&amp;frame=v-w9810f2", "zpracovat (v-w9810f2)")</f>
        <v>zpracovat (v-w9810f2)</v>
      </c>
    </row>
    <row r="71090" spans="1:3" x14ac:dyDescent="0.2">
      <c r="B71090" t="s">
        <v>1</v>
      </c>
      <c r="C71090" t="s">
        <v>21997</v>
      </c>
    </row>
    <row r="71091" spans="1:3" x14ac:dyDescent="0.2">
      <c r="B71091" t="s">
        <v>8</v>
      </c>
      <c r="C71091" t="s">
        <v>21998</v>
      </c>
    </row>
    <row r="71092" spans="1:3" x14ac:dyDescent="0.2">
      <c r="B71092" t="s">
        <v>3431</v>
      </c>
      <c r="C71092" t="s">
        <v>21999</v>
      </c>
    </row>
    <row r="71094" spans="1:3" x14ac:dyDescent="0.2">
      <c r="A71094" t="s">
        <v>22000</v>
      </c>
      <c r="B71094" t="str">
        <f>HYPERLINK("https://lindat.mff.cuni.cz/services/teitok/pdtc10/index.php?action=vallex&amp;frame=v-w9810f3", "zpracovat (v-w9810f3)")</f>
        <v>zpracovat (v-w9810f3)</v>
      </c>
    </row>
    <row r="71095" spans="1:3" x14ac:dyDescent="0.2">
      <c r="B71095" t="s">
        <v>1</v>
      </c>
      <c r="C71095" t="s">
        <v>33</v>
      </c>
    </row>
    <row r="71096" spans="1:3" x14ac:dyDescent="0.2">
      <c r="B71096" t="s">
        <v>8</v>
      </c>
      <c r="C71096" t="s">
        <v>34</v>
      </c>
    </row>
    <row r="71098" spans="1:3" x14ac:dyDescent="0.2">
      <c r="A71098" t="s">
        <v>22001</v>
      </c>
      <c r="B71098" t="str">
        <f>HYPERLINK("https://lindat.mff.cuni.cz/services/teitok/pdtc10/index.php?action=vallex&amp;frame=v-w9810f4_ZU", "zpracovat (v-w9810f4_ZU)")</f>
        <v>zpracovat (v-w9810f4_ZU)</v>
      </c>
    </row>
    <row r="71099" spans="1:3" x14ac:dyDescent="0.2">
      <c r="B71099" t="s">
        <v>1</v>
      </c>
    </row>
    <row r="71100" spans="1:3" x14ac:dyDescent="0.2">
      <c r="B71100" t="s">
        <v>8</v>
      </c>
    </row>
    <row r="71102" spans="1:3" x14ac:dyDescent="0.2">
      <c r="A71102" t="s">
        <v>22001</v>
      </c>
      <c r="B71102" t="str">
        <f>HYPERLINK("https://lindat.mff.cuni.cz/services/teitok/pdtc10/index.php?action=vallex&amp;frame=v-w9810hsa_1632", "zpracovat (v-w9810hsa_1632) - substituted with v-w9810f4_ZU")</f>
        <v>zpracovat (v-w9810hsa_1632) - substituted with v-w9810f4_ZU</v>
      </c>
    </row>
    <row r="71103" spans="1:3" x14ac:dyDescent="0.2">
      <c r="B71103" t="s">
        <v>1</v>
      </c>
    </row>
    <row r="71104" spans="1:3" x14ac:dyDescent="0.2">
      <c r="B71104" t="s">
        <v>8</v>
      </c>
    </row>
    <row r="71106" spans="1:4" x14ac:dyDescent="0.2">
      <c r="A71106" t="s">
        <v>22002</v>
      </c>
      <c r="B71106" t="str">
        <f>HYPERLINK("https://lindat.mff.cuni.cz/services/teitok/pdtc10/index.php?action=vallex&amp;frame=v-w9813f1", "zpracovávat (v-w9813f1)")</f>
        <v>zpracovávat (v-w9813f1)</v>
      </c>
    </row>
    <row r="71107" spans="1:4" x14ac:dyDescent="0.2">
      <c r="B71107" t="s">
        <v>1</v>
      </c>
      <c r="C71107" t="s">
        <v>22003</v>
      </c>
      <c r="D71107" t="s">
        <v>33</v>
      </c>
    </row>
    <row r="71108" spans="1:4" x14ac:dyDescent="0.2">
      <c r="B71108" t="s">
        <v>8</v>
      </c>
      <c r="C71108" t="s">
        <v>1277</v>
      </c>
      <c r="D71108" t="s">
        <v>1128</v>
      </c>
    </row>
    <row r="71109" spans="1:4" x14ac:dyDescent="0.2">
      <c r="B71109" t="s">
        <v>24</v>
      </c>
    </row>
    <row r="71111" spans="1:4" x14ac:dyDescent="0.2">
      <c r="A71111" t="s">
        <v>22004</v>
      </c>
      <c r="B71111" t="str">
        <f>HYPERLINK("https://lindat.mff.cuni.cz/services/teitok/pdtc10/index.php?action=vallex&amp;frame=v-w9813hsa_821", "zpracovávat (v-w9813hsa_821)")</f>
        <v>zpracovávat (v-w9813hsa_821)</v>
      </c>
    </row>
    <row r="71112" spans="1:4" x14ac:dyDescent="0.2">
      <c r="B71112" t="s">
        <v>1</v>
      </c>
      <c r="C71112" t="s">
        <v>109</v>
      </c>
    </row>
    <row r="71113" spans="1:4" x14ac:dyDescent="0.2">
      <c r="B71113" t="s">
        <v>8</v>
      </c>
      <c r="C71113" t="s">
        <v>17</v>
      </c>
    </row>
    <row r="71114" spans="1:4" x14ac:dyDescent="0.2">
      <c r="B71114" t="s">
        <v>4283</v>
      </c>
      <c r="C71114" t="s">
        <v>1290</v>
      </c>
    </row>
    <row r="71116" spans="1:4" x14ac:dyDescent="0.2">
      <c r="A71116" t="s">
        <v>22004</v>
      </c>
      <c r="B71116" t="str">
        <f>HYPERLINK("https://lindat.mff.cuni.cz/services/teitok/pdtc10/index.php?action=vallex&amp;frame=v-w9813f3", "zpracovávat (v-w9813f3) - substituted with v-w9813hsa_821")</f>
        <v>zpracovávat (v-w9813f3) - substituted with v-w9813hsa_821</v>
      </c>
    </row>
    <row r="71117" spans="1:4" x14ac:dyDescent="0.2">
      <c r="B71117" t="s">
        <v>1</v>
      </c>
      <c r="C71117" t="s">
        <v>22005</v>
      </c>
    </row>
    <row r="71118" spans="1:4" x14ac:dyDescent="0.2">
      <c r="B71118" t="s">
        <v>8</v>
      </c>
      <c r="C71118" t="s">
        <v>22006</v>
      </c>
    </row>
    <row r="71119" spans="1:4" x14ac:dyDescent="0.2">
      <c r="B71119" t="s">
        <v>4283</v>
      </c>
      <c r="C71119" t="s">
        <v>1290</v>
      </c>
    </row>
    <row r="71121" spans="1:4" x14ac:dyDescent="0.2">
      <c r="A71121" t="s">
        <v>22007</v>
      </c>
      <c r="B71121" t="str">
        <f>HYPERLINK("https://lindat.mff.cuni.cz/services/teitok/pdtc10/index.php?action=vallex&amp;frame=v-w9813f2", "zpracovávat (v-w9813f2)")</f>
        <v>zpracovávat (v-w9813f2)</v>
      </c>
    </row>
    <row r="71122" spans="1:4" x14ac:dyDescent="0.2">
      <c r="B71122" t="s">
        <v>1</v>
      </c>
    </row>
    <row r="71123" spans="1:4" x14ac:dyDescent="0.2">
      <c r="B71123" t="s">
        <v>8</v>
      </c>
    </row>
    <row r="71125" spans="1:4" x14ac:dyDescent="0.2">
      <c r="A71125" t="s">
        <v>22008</v>
      </c>
      <c r="B71125" t="str">
        <f>HYPERLINK("https://lindat.mff.cuni.cz/services/teitok/pdtc10/index.php?action=vallex&amp;frame=v-w9813f4_ZU", "zpracovávat (v-w9813f4_ZU)")</f>
        <v>zpracovávat (v-w9813f4_ZU)</v>
      </c>
    </row>
    <row r="71126" spans="1:4" x14ac:dyDescent="0.2">
      <c r="B71126" t="s">
        <v>1</v>
      </c>
      <c r="C71126" t="s">
        <v>22009</v>
      </c>
    </row>
    <row r="71127" spans="1:4" x14ac:dyDescent="0.2">
      <c r="B71127" t="s">
        <v>8</v>
      </c>
      <c r="C71127" t="s">
        <v>22010</v>
      </c>
    </row>
    <row r="71129" spans="1:4" x14ac:dyDescent="0.2">
      <c r="A71129" t="s">
        <v>22011</v>
      </c>
      <c r="B71129" t="str">
        <f>HYPERLINK("https://lindat.mff.cuni.cz/services/teitok/pdtc10/index.php?action=vallex&amp;frame=v-w9815f1", "zpravit (v-w9815f1)")</f>
        <v>zpravit (v-w9815f1)</v>
      </c>
    </row>
    <row r="71130" spans="1:4" x14ac:dyDescent="0.2">
      <c r="B71130" t="s">
        <v>1</v>
      </c>
    </row>
    <row r="71131" spans="1:4" x14ac:dyDescent="0.2">
      <c r="B71131" t="s">
        <v>3604</v>
      </c>
    </row>
    <row r="71132" spans="1:4" x14ac:dyDescent="0.2">
      <c r="B71132" t="s">
        <v>58</v>
      </c>
    </row>
    <row r="71134" spans="1:4" x14ac:dyDescent="0.2">
      <c r="A71134" t="s">
        <v>22012</v>
      </c>
      <c r="B71134" t="str">
        <f>HYPERLINK("https://lindat.mff.cuni.cz/services/teitok/pdtc10/index.php?action=vallex&amp;frame=v-w9817f1", "zprivatizovat (v-w9817f1)")</f>
        <v>zprivatizovat (v-w9817f1)</v>
      </c>
    </row>
    <row r="71135" spans="1:4" x14ac:dyDescent="0.2">
      <c r="B71135" t="s">
        <v>1</v>
      </c>
      <c r="C71135" t="s">
        <v>133</v>
      </c>
      <c r="D71135" t="s">
        <v>133</v>
      </c>
    </row>
    <row r="71136" spans="1:4" x14ac:dyDescent="0.2">
      <c r="B71136" t="s">
        <v>8</v>
      </c>
      <c r="C71136" t="s">
        <v>3789</v>
      </c>
      <c r="D71136" t="s">
        <v>23</v>
      </c>
    </row>
    <row r="71138" spans="1:4" x14ac:dyDescent="0.2">
      <c r="A71138" t="s">
        <v>22013</v>
      </c>
      <c r="B71138" t="str">
        <f>HYPERLINK("https://lindat.mff.cuni.cz/services/teitok/pdtc10/index.php?action=vallex&amp;frame=v-w9818f1", "zprofanovat (v-w9818f1)")</f>
        <v>zprofanovat (v-w9818f1)</v>
      </c>
    </row>
    <row r="71139" spans="1:4" x14ac:dyDescent="0.2">
      <c r="B71139" t="s">
        <v>1</v>
      </c>
    </row>
    <row r="71140" spans="1:4" x14ac:dyDescent="0.2">
      <c r="B71140" t="s">
        <v>8</v>
      </c>
    </row>
    <row r="71142" spans="1:4" x14ac:dyDescent="0.2">
      <c r="A71142" t="s">
        <v>22014</v>
      </c>
      <c r="B71142" t="str">
        <f>HYPERLINK("https://lindat.mff.cuni.cz/services/teitok/pdtc10/index.php?action=vallex&amp;frame=v-w11654_ZUf1_ZU", "zpronevěřit (v-w11654_ZUf1_ZU)")</f>
        <v>zpronevěřit (v-w11654_ZUf1_ZU)</v>
      </c>
    </row>
    <row r="71143" spans="1:4" x14ac:dyDescent="0.2">
      <c r="B71143" t="s">
        <v>1</v>
      </c>
      <c r="C71143" t="s">
        <v>249</v>
      </c>
      <c r="D71143" t="s">
        <v>33</v>
      </c>
    </row>
    <row r="71144" spans="1:4" x14ac:dyDescent="0.2">
      <c r="B71144" t="s">
        <v>8</v>
      </c>
      <c r="C71144" t="s">
        <v>116</v>
      </c>
      <c r="D71144" t="s">
        <v>6970</v>
      </c>
    </row>
    <row r="71146" spans="1:4" x14ac:dyDescent="0.2">
      <c r="A71146" t="s">
        <v>22015</v>
      </c>
      <c r="B71146" t="str">
        <f>HYPERLINK("https://lindat.mff.cuni.cz/services/teitok/pdtc10/index.php?action=vallex&amp;frame=v-w9820f1", "zpronevěřit se (v-w9820f1)")</f>
        <v>zpronevěřit se (v-w9820f1)</v>
      </c>
    </row>
    <row r="71147" spans="1:4" x14ac:dyDescent="0.2">
      <c r="B71147" t="s">
        <v>1</v>
      </c>
    </row>
    <row r="71148" spans="1:4" x14ac:dyDescent="0.2">
      <c r="B71148" t="s">
        <v>103</v>
      </c>
    </row>
    <row r="71150" spans="1:4" x14ac:dyDescent="0.2">
      <c r="A71150" t="s">
        <v>22016</v>
      </c>
      <c r="B71150" t="str">
        <f>HYPERLINK("https://lindat.mff.cuni.cz/services/teitok/pdtc10/index.php?action=vallex&amp;frame=v-w9821f1", "zprostit (v-w9821f1)")</f>
        <v>zprostit (v-w9821f1)</v>
      </c>
    </row>
    <row r="71151" spans="1:4" x14ac:dyDescent="0.2">
      <c r="B71151" t="s">
        <v>1</v>
      </c>
      <c r="C71151" t="s">
        <v>1566</v>
      </c>
      <c r="D71151" t="s">
        <v>2303</v>
      </c>
    </row>
    <row r="71152" spans="1:4" x14ac:dyDescent="0.2">
      <c r="B71152" t="s">
        <v>917</v>
      </c>
      <c r="C71152" t="s">
        <v>22017</v>
      </c>
      <c r="D71152" t="s">
        <v>24518</v>
      </c>
    </row>
    <row r="71153" spans="1:4" x14ac:dyDescent="0.2">
      <c r="B71153" t="s">
        <v>58</v>
      </c>
      <c r="C71153" t="s">
        <v>22018</v>
      </c>
      <c r="D71153" t="s">
        <v>24519</v>
      </c>
    </row>
    <row r="71155" spans="1:4" x14ac:dyDescent="0.2">
      <c r="A71155" t="s">
        <v>22019</v>
      </c>
      <c r="B71155" t="str">
        <f>HYPERLINK("https://lindat.mff.cuni.cz/services/teitok/pdtc10/index.php?action=vallex&amp;frame=v-w9824f3_ZU", "zprostředkovat (v-w9824f3_ZU)")</f>
        <v>zprostředkovat (v-w9824f3_ZU)</v>
      </c>
    </row>
    <row r="71156" spans="1:4" x14ac:dyDescent="0.2">
      <c r="B71156" t="s">
        <v>1</v>
      </c>
    </row>
    <row r="71157" spans="1:4" x14ac:dyDescent="0.2">
      <c r="B71157" t="s">
        <v>3526</v>
      </c>
    </row>
    <row r="71159" spans="1:4" x14ac:dyDescent="0.2">
      <c r="A71159" t="s">
        <v>22019</v>
      </c>
      <c r="B71159" t="str">
        <f>HYPERLINK("https://lindat.mff.cuni.cz/services/teitok/pdtc10/index.php?action=vallex&amp;frame=v-w9824f1", "zprostředkovat (v-w9824f1) - substituted with v-w9824f3_ZU")</f>
        <v>zprostředkovat (v-w9824f1) - substituted with v-w9824f3_ZU</v>
      </c>
    </row>
    <row r="71160" spans="1:4" x14ac:dyDescent="0.2">
      <c r="B71160" t="s">
        <v>1</v>
      </c>
      <c r="C71160" t="s">
        <v>2533</v>
      </c>
    </row>
    <row r="71161" spans="1:4" x14ac:dyDescent="0.2">
      <c r="B71161" t="s">
        <v>3526</v>
      </c>
      <c r="C71161" t="s">
        <v>6357</v>
      </c>
    </row>
    <row r="71163" spans="1:4" x14ac:dyDescent="0.2">
      <c r="A71163" t="s">
        <v>22020</v>
      </c>
      <c r="B71163" t="str">
        <f>HYPERLINK("https://lindat.mff.cuni.cz/services/teitok/pdtc10/index.php?action=vallex&amp;frame=v-w9824f2_ZU", "zprostředkovat (v-w9824f2_ZU)")</f>
        <v>zprostředkovat (v-w9824f2_ZU)</v>
      </c>
    </row>
    <row r="71164" spans="1:4" x14ac:dyDescent="0.2">
      <c r="B71164" t="s">
        <v>1</v>
      </c>
    </row>
    <row r="71165" spans="1:4" x14ac:dyDescent="0.2">
      <c r="B71165" t="s">
        <v>8</v>
      </c>
    </row>
    <row r="71166" spans="1:4" x14ac:dyDescent="0.2">
      <c r="B71166" t="s">
        <v>78</v>
      </c>
    </row>
    <row r="71168" spans="1:4" x14ac:dyDescent="0.2">
      <c r="A71168" t="s">
        <v>22021</v>
      </c>
      <c r="B71168" t="str">
        <f>HYPERLINK("https://lindat.mff.cuni.cz/services/teitok/pdtc10/index.php?action=vallex&amp;frame=v-w9827f1", "zprostředkovávat (v-w9827f1)")</f>
        <v>zprostředkovávat (v-w9827f1)</v>
      </c>
    </row>
    <row r="71169" spans="1:4" x14ac:dyDescent="0.2">
      <c r="B71169" t="s">
        <v>1</v>
      </c>
      <c r="C71169" t="s">
        <v>976</v>
      </c>
    </row>
    <row r="71170" spans="1:4" x14ac:dyDescent="0.2">
      <c r="B71170" t="s">
        <v>8</v>
      </c>
      <c r="C71170" t="s">
        <v>307</v>
      </c>
    </row>
    <row r="71172" spans="1:4" x14ac:dyDescent="0.2">
      <c r="A71172" t="s">
        <v>22022</v>
      </c>
      <c r="B71172" t="str">
        <f>HYPERLINK("https://lindat.mff.cuni.cz/services/teitok/pdtc10/index.php?action=vallex&amp;frame=v-w11721_ZUf1_ZU", "zprotivit se (v-w11721_ZUf1_ZU)")</f>
        <v>zprotivit se (v-w11721_ZUf1_ZU)</v>
      </c>
    </row>
    <row r="71173" spans="1:4" x14ac:dyDescent="0.2">
      <c r="B71173" t="s">
        <v>455</v>
      </c>
    </row>
    <row r="71174" spans="1:4" x14ac:dyDescent="0.2">
      <c r="B71174" t="s">
        <v>243</v>
      </c>
    </row>
    <row r="71176" spans="1:4" x14ac:dyDescent="0.2">
      <c r="A71176" t="s">
        <v>22023</v>
      </c>
      <c r="B71176" t="str">
        <f>HYPERLINK("https://lindat.mff.cuni.cz/services/teitok/pdtc10/index.php?action=vallex&amp;frame=v-w9829f1", "zprovoznit (v-w9829f1)")</f>
        <v>zprovoznit (v-w9829f1)</v>
      </c>
    </row>
    <row r="71177" spans="1:4" x14ac:dyDescent="0.2">
      <c r="B71177" t="s">
        <v>1</v>
      </c>
    </row>
    <row r="71178" spans="1:4" x14ac:dyDescent="0.2">
      <c r="B71178" t="s">
        <v>8</v>
      </c>
    </row>
    <row r="71180" spans="1:4" x14ac:dyDescent="0.2">
      <c r="A71180" t="s">
        <v>22024</v>
      </c>
      <c r="B71180" t="str">
        <f>HYPERLINK("https://lindat.mff.cuni.cz/services/teitok/pdtc10/index.php?action=vallex&amp;frame=v-w10998f2", "zprošťovat (v-w10998f2)")</f>
        <v>zprošťovat (v-w10998f2)</v>
      </c>
    </row>
    <row r="71181" spans="1:4" x14ac:dyDescent="0.2">
      <c r="B71181" t="s">
        <v>1</v>
      </c>
      <c r="D71181" t="s">
        <v>2303</v>
      </c>
    </row>
    <row r="71182" spans="1:4" x14ac:dyDescent="0.2">
      <c r="B71182" t="s">
        <v>917</v>
      </c>
      <c r="D71182" t="s">
        <v>24518</v>
      </c>
    </row>
    <row r="71183" spans="1:4" x14ac:dyDescent="0.2">
      <c r="B71183" t="s">
        <v>58</v>
      </c>
      <c r="D71183" t="s">
        <v>24519</v>
      </c>
    </row>
    <row r="71185" spans="1:3" x14ac:dyDescent="0.2">
      <c r="A71185" t="s">
        <v>22025</v>
      </c>
      <c r="B71185" t="str">
        <f>HYPERLINK("https://lindat.mff.cuni.cz/services/teitok/pdtc10/index.php?action=vallex&amp;frame=v-w10240f2", "zprůhledňovat (v-w10240f2)")</f>
        <v>zprůhledňovat (v-w10240f2)</v>
      </c>
    </row>
    <row r="71186" spans="1:3" x14ac:dyDescent="0.2">
      <c r="B71186" t="s">
        <v>1</v>
      </c>
      <c r="C71186" t="s">
        <v>133</v>
      </c>
    </row>
    <row r="71187" spans="1:3" x14ac:dyDescent="0.2">
      <c r="B71187" t="s">
        <v>8</v>
      </c>
      <c r="C71187" t="s">
        <v>1190</v>
      </c>
    </row>
    <row r="71189" spans="1:3" x14ac:dyDescent="0.2">
      <c r="A71189" t="s">
        <v>22026</v>
      </c>
      <c r="B71189" t="str">
        <f>HYPERLINK("https://lindat.mff.cuni.cz/services/teitok/pdtc10/index.php?action=vallex&amp;frame=v-w9831f1", "zprůměrovat (v-w9831f1)")</f>
        <v>zprůměrovat (v-w9831f1)</v>
      </c>
    </row>
    <row r="71190" spans="1:3" x14ac:dyDescent="0.2">
      <c r="B71190" t="s">
        <v>1</v>
      </c>
    </row>
    <row r="71191" spans="1:3" x14ac:dyDescent="0.2">
      <c r="B71191" t="s">
        <v>8</v>
      </c>
    </row>
    <row r="71193" spans="1:3" x14ac:dyDescent="0.2">
      <c r="A71193" t="s">
        <v>22027</v>
      </c>
      <c r="B71193" t="str">
        <f>HYPERLINK("https://lindat.mff.cuni.cz/services/teitok/pdtc10/index.php?action=vallex&amp;frame=v-w9845f1", "zpuchřet (v-w9845f1)")</f>
        <v>zpuchřet (v-w9845f1)</v>
      </c>
    </row>
    <row r="71194" spans="1:3" x14ac:dyDescent="0.2">
      <c r="B71194" t="s">
        <v>1</v>
      </c>
    </row>
    <row r="71196" spans="1:3" x14ac:dyDescent="0.2">
      <c r="A71196" t="s">
        <v>22028</v>
      </c>
      <c r="B71196" t="str">
        <f>HYPERLINK("https://lindat.mff.cuni.cz/services/teitok/pdtc10/index.php?action=vallex&amp;frame=v-w10807f2", "zpustošit (v-w10807f2)")</f>
        <v>zpustošit (v-w10807f2)</v>
      </c>
    </row>
    <row r="71197" spans="1:3" x14ac:dyDescent="0.2">
      <c r="B71197" t="s">
        <v>1</v>
      </c>
    </row>
    <row r="71198" spans="1:3" x14ac:dyDescent="0.2">
      <c r="B71198" t="s">
        <v>172</v>
      </c>
    </row>
    <row r="71200" spans="1:3" x14ac:dyDescent="0.2">
      <c r="A71200" t="s">
        <v>22029</v>
      </c>
      <c r="B71200" t="str">
        <f>HYPERLINK("https://lindat.mff.cuni.cz/services/teitok/pdtc10/index.php?action=vallex&amp;frame=v-whsb_210hsa_211", "zpytovat (v-whsb_210hsa_211)")</f>
        <v>zpytovat (v-whsb_210hsa_211)</v>
      </c>
    </row>
    <row r="71201" spans="1:4" x14ac:dyDescent="0.2">
      <c r="B71201" t="s">
        <v>1</v>
      </c>
    </row>
    <row r="71202" spans="1:4" x14ac:dyDescent="0.2">
      <c r="B71202" t="s">
        <v>1693</v>
      </c>
    </row>
    <row r="71204" spans="1:4" x14ac:dyDescent="0.2">
      <c r="A71204" t="s">
        <v>22030</v>
      </c>
      <c r="B71204" t="str">
        <f>HYPERLINK("https://lindat.mff.cuni.cz/services/teitok/pdtc10/index.php?action=vallex&amp;frame=v-w9784f1", "zpívat (v-w9784f1)")</f>
        <v>zpívat (v-w9784f1)</v>
      </c>
    </row>
    <row r="71205" spans="1:4" x14ac:dyDescent="0.2">
      <c r="B71205" t="s">
        <v>1</v>
      </c>
      <c r="C71205" t="s">
        <v>109</v>
      </c>
      <c r="D71205" t="s">
        <v>115</v>
      </c>
    </row>
    <row r="71206" spans="1:4" x14ac:dyDescent="0.2">
      <c r="B71206" t="s">
        <v>8</v>
      </c>
      <c r="C71206" t="s">
        <v>1044</v>
      </c>
      <c r="D71206" t="s">
        <v>1340</v>
      </c>
    </row>
    <row r="71207" spans="1:4" x14ac:dyDescent="0.2">
      <c r="B71207" t="s">
        <v>78</v>
      </c>
    </row>
    <row r="71209" spans="1:4" x14ac:dyDescent="0.2">
      <c r="A71209" t="s">
        <v>22031</v>
      </c>
      <c r="B71209" t="str">
        <f>HYPERLINK("https://lindat.mff.cuni.cz/services/teitok/pdtc10/index.php?action=vallex&amp;frame=v-w9784f2", "zpívat (v-w9784f2)")</f>
        <v>zpívat (v-w9784f2)</v>
      </c>
    </row>
    <row r="71210" spans="1:4" x14ac:dyDescent="0.2">
      <c r="B71210" t="s">
        <v>1</v>
      </c>
    </row>
    <row r="71211" spans="1:4" x14ac:dyDescent="0.2">
      <c r="B71211" t="s">
        <v>183</v>
      </c>
    </row>
    <row r="71212" spans="1:4" x14ac:dyDescent="0.2">
      <c r="B71212" t="s">
        <v>78</v>
      </c>
    </row>
    <row r="71214" spans="1:4" x14ac:dyDescent="0.2">
      <c r="A71214" t="s">
        <v>22032</v>
      </c>
      <c r="B71214" t="str">
        <f>HYPERLINK("https://lindat.mff.cuni.cz/services/teitok/pdtc10/index.php?action=vallex&amp;frame=v-w9784f4", "zpívat (v-w9784f4)")</f>
        <v>zpívat (v-w9784f4)</v>
      </c>
    </row>
    <row r="71215" spans="1:4" x14ac:dyDescent="0.2">
      <c r="B71215" t="s">
        <v>1</v>
      </c>
    </row>
    <row r="71216" spans="1:4" x14ac:dyDescent="0.2">
      <c r="B71216" t="s">
        <v>11005</v>
      </c>
    </row>
    <row r="71217" spans="1:4" x14ac:dyDescent="0.2">
      <c r="B71217" t="s">
        <v>269</v>
      </c>
    </row>
    <row r="71218" spans="1:4" x14ac:dyDescent="0.2">
      <c r="B71218" t="s">
        <v>78</v>
      </c>
    </row>
    <row r="71220" spans="1:4" x14ac:dyDescent="0.2">
      <c r="A71220" t="s">
        <v>22033</v>
      </c>
      <c r="B71220" t="str">
        <f>HYPERLINK("https://lindat.mff.cuni.cz/services/teitok/pdtc10/index.php?action=vallex&amp;frame=v-w9784f3", "zpívat (v-w9784f3)")</f>
        <v>zpívat (v-w9784f3)</v>
      </c>
    </row>
    <row r="71221" spans="1:4" x14ac:dyDescent="0.2">
      <c r="B71221" t="s">
        <v>1</v>
      </c>
      <c r="C71221" t="s">
        <v>83</v>
      </c>
      <c r="D71221" t="s">
        <v>115</v>
      </c>
    </row>
    <row r="71223" spans="1:4" x14ac:dyDescent="0.2">
      <c r="A71223" t="s">
        <v>22034</v>
      </c>
      <c r="B71223" t="str">
        <f>HYPERLINK("https://lindat.mff.cuni.cz/services/teitok/pdtc10/index.php?action=vallex&amp;frame=v-w9784f5_ZU", "zpívat (v-w9784f5_ZU)")</f>
        <v>zpívat (v-w9784f5_ZU)</v>
      </c>
    </row>
    <row r="71224" spans="1:4" x14ac:dyDescent="0.2">
      <c r="B71224" t="s">
        <v>1</v>
      </c>
    </row>
    <row r="71226" spans="1:4" x14ac:dyDescent="0.2">
      <c r="A71226" t="s">
        <v>22035</v>
      </c>
      <c r="B71226" t="str">
        <f>HYPERLINK("https://lindat.mff.cuni.cz/services/teitok/pdtc10/index.php?action=vallex&amp;frame=v-w11953_ZUf1_ZU", "zpívávat (v-w11953_ZUf1_ZU)")</f>
        <v>zpívávat (v-w11953_ZUf1_ZU)</v>
      </c>
    </row>
    <row r="71227" spans="1:4" x14ac:dyDescent="0.2">
      <c r="B71227" t="s">
        <v>1</v>
      </c>
    </row>
    <row r="71228" spans="1:4" x14ac:dyDescent="0.2">
      <c r="B71228" t="s">
        <v>8</v>
      </c>
    </row>
    <row r="71229" spans="1:4" x14ac:dyDescent="0.2">
      <c r="B71229" t="s">
        <v>78</v>
      </c>
    </row>
    <row r="71231" spans="1:4" x14ac:dyDescent="0.2">
      <c r="A71231" t="s">
        <v>22036</v>
      </c>
      <c r="B71231" t="str">
        <f>HYPERLINK("https://lindat.mff.cuni.cz/services/teitok/pdtc10/index.php?action=vallex&amp;frame=v-w11428f1", "zpětinásobit se (v-w11428f1)")</f>
        <v>zpětinásobit se (v-w11428f1)</v>
      </c>
    </row>
    <row r="71232" spans="1:4" x14ac:dyDescent="0.2">
      <c r="B71232" t="s">
        <v>1</v>
      </c>
    </row>
    <row r="71234" spans="1:2" x14ac:dyDescent="0.2">
      <c r="A71234" t="s">
        <v>22037</v>
      </c>
      <c r="B71234" t="str">
        <f>HYPERLINK("https://lindat.mff.cuni.cz/services/teitok/pdtc10/index.php?action=vallex&amp;frame=v-w9833f1", "zpřehlednit (v-w9833f1)")</f>
        <v>zpřehlednit (v-w9833f1)</v>
      </c>
    </row>
    <row r="71235" spans="1:2" x14ac:dyDescent="0.2">
      <c r="B71235" t="s">
        <v>1</v>
      </c>
    </row>
    <row r="71236" spans="1:2" x14ac:dyDescent="0.2">
      <c r="B71236" t="s">
        <v>8</v>
      </c>
    </row>
    <row r="71238" spans="1:2" x14ac:dyDescent="0.2">
      <c r="A71238" t="s">
        <v>22038</v>
      </c>
      <c r="B71238" t="str">
        <f>HYPERLINK("https://lindat.mff.cuni.cz/services/teitok/pdtc10/index.php?action=vallex&amp;frame=v-w12141_ZUf1_ZU", "zpřeházet (v-w12141_ZUf1_ZU)")</f>
        <v>zpřeházet (v-w12141_ZUf1_ZU)</v>
      </c>
    </row>
    <row r="71239" spans="1:2" x14ac:dyDescent="0.2">
      <c r="B71239" t="s">
        <v>1</v>
      </c>
    </row>
    <row r="71240" spans="1:2" x14ac:dyDescent="0.2">
      <c r="B71240" t="s">
        <v>8</v>
      </c>
    </row>
    <row r="71242" spans="1:2" x14ac:dyDescent="0.2">
      <c r="A71242" t="s">
        <v>22039</v>
      </c>
      <c r="B71242" t="str">
        <f>HYPERLINK("https://lindat.mff.cuni.cz/services/teitok/pdtc10/index.php?action=vallex&amp;frame=v-w9835f1", "zpřesnit (v-w9835f1)")</f>
        <v>zpřesnit (v-w9835f1)</v>
      </c>
    </row>
    <row r="71243" spans="1:2" x14ac:dyDescent="0.2">
      <c r="B71243" t="s">
        <v>1</v>
      </c>
    </row>
    <row r="71244" spans="1:2" x14ac:dyDescent="0.2">
      <c r="B71244" t="s">
        <v>2158</v>
      </c>
    </row>
    <row r="71246" spans="1:2" x14ac:dyDescent="0.2">
      <c r="A71246" t="s">
        <v>22040</v>
      </c>
      <c r="B71246" t="str">
        <f>HYPERLINK("https://lindat.mff.cuni.cz/services/teitok/pdtc10/index.php?action=vallex&amp;frame=v-w9836f1", "zpřesňovat (v-w9836f1)")</f>
        <v>zpřesňovat (v-w9836f1)</v>
      </c>
    </row>
    <row r="71247" spans="1:2" x14ac:dyDescent="0.2">
      <c r="B71247" t="s">
        <v>1</v>
      </c>
    </row>
    <row r="71248" spans="1:2" x14ac:dyDescent="0.2">
      <c r="B71248" t="s">
        <v>2158</v>
      </c>
    </row>
    <row r="71250" spans="1:4" x14ac:dyDescent="0.2">
      <c r="A71250" t="s">
        <v>22041</v>
      </c>
      <c r="B71250" t="str">
        <f>HYPERLINK("https://lindat.mff.cuni.cz/services/teitok/pdtc10/index.php?action=vallex&amp;frame=v-w9837f1", "zpřetrhat (v-w9837f1)")</f>
        <v>zpřetrhat (v-w9837f1)</v>
      </c>
    </row>
    <row r="71251" spans="1:4" x14ac:dyDescent="0.2">
      <c r="B71251" t="s">
        <v>1</v>
      </c>
      <c r="C71251" t="s">
        <v>133</v>
      </c>
      <c r="D71251" t="s">
        <v>7346</v>
      </c>
    </row>
    <row r="71252" spans="1:4" x14ac:dyDescent="0.2">
      <c r="B71252" t="s">
        <v>8</v>
      </c>
      <c r="C71252" t="s">
        <v>84</v>
      </c>
      <c r="D71252" t="s">
        <v>3233</v>
      </c>
    </row>
    <row r="71254" spans="1:4" x14ac:dyDescent="0.2">
      <c r="A71254" t="s">
        <v>22042</v>
      </c>
      <c r="B71254" t="str">
        <f>HYPERLINK("https://lindat.mff.cuni.cz/services/teitok/pdtc10/index.php?action=vallex&amp;frame=v-whsa_53hsa_54", "zpříjemnit (v-whsa_53hsa_54)")</f>
        <v>zpříjemnit (v-whsa_53hsa_54)</v>
      </c>
    </row>
    <row r="71255" spans="1:4" x14ac:dyDescent="0.2">
      <c r="B71255" t="s">
        <v>1</v>
      </c>
      <c r="D71255" t="s">
        <v>334</v>
      </c>
    </row>
    <row r="71256" spans="1:4" x14ac:dyDescent="0.2">
      <c r="B71256" t="s">
        <v>8</v>
      </c>
      <c r="D71256" t="s">
        <v>1025</v>
      </c>
    </row>
    <row r="71258" spans="1:4" x14ac:dyDescent="0.2">
      <c r="A71258" t="s">
        <v>22043</v>
      </c>
      <c r="B71258" t="str">
        <f>HYPERLINK("https://lindat.mff.cuni.cz/services/teitok/pdtc10/index.php?action=vallex&amp;frame=v-w10406f2", "zpříjemňovat (v-w10406f2)")</f>
        <v>zpříjemňovat (v-w10406f2)</v>
      </c>
    </row>
    <row r="71259" spans="1:4" x14ac:dyDescent="0.2">
      <c r="B71259" t="s">
        <v>1</v>
      </c>
      <c r="C71259" t="s">
        <v>334</v>
      </c>
      <c r="D71259" t="s">
        <v>334</v>
      </c>
    </row>
    <row r="71260" spans="1:4" x14ac:dyDescent="0.2">
      <c r="B71260" t="s">
        <v>8</v>
      </c>
      <c r="C71260" t="s">
        <v>1025</v>
      </c>
      <c r="D71260" t="s">
        <v>1025</v>
      </c>
    </row>
    <row r="71262" spans="1:4" x14ac:dyDescent="0.2">
      <c r="A71262" t="s">
        <v>22044</v>
      </c>
      <c r="B71262" t="str">
        <f>HYPERLINK("https://lindat.mff.cuni.cz/services/teitok/pdtc10/index.php?action=vallex&amp;frame=v-w9840f1", "zpřísnit (v-w9840f1)")</f>
        <v>zpřísnit (v-w9840f1)</v>
      </c>
    </row>
    <row r="71263" spans="1:4" x14ac:dyDescent="0.2">
      <c r="B71263" t="s">
        <v>1</v>
      </c>
      <c r="C71263" t="s">
        <v>230</v>
      </c>
      <c r="D71263" t="s">
        <v>11122</v>
      </c>
    </row>
    <row r="71264" spans="1:4" x14ac:dyDescent="0.2">
      <c r="B71264" t="s">
        <v>8</v>
      </c>
      <c r="C71264" t="s">
        <v>3308</v>
      </c>
      <c r="D71264" t="s">
        <v>17729</v>
      </c>
    </row>
    <row r="71266" spans="1:4" x14ac:dyDescent="0.2">
      <c r="A71266" t="s">
        <v>22045</v>
      </c>
      <c r="B71266" t="str">
        <f>HYPERLINK("https://lindat.mff.cuni.cz/services/teitok/pdtc10/index.php?action=vallex&amp;frame=v-w9839f1", "zpřísnět (v-w9839f1)")</f>
        <v>zpřísnět (v-w9839f1)</v>
      </c>
    </row>
    <row r="71267" spans="1:4" x14ac:dyDescent="0.2">
      <c r="B71267" t="s">
        <v>1</v>
      </c>
    </row>
    <row r="71269" spans="1:4" x14ac:dyDescent="0.2">
      <c r="A71269" t="s">
        <v>22046</v>
      </c>
      <c r="B71269" t="str">
        <f>HYPERLINK("https://lindat.mff.cuni.cz/services/teitok/pdtc10/index.php?action=vallex&amp;frame=v-w9843f1", "zpřístupnit (v-w9843f1)")</f>
        <v>zpřístupnit (v-w9843f1)</v>
      </c>
    </row>
    <row r="71270" spans="1:4" x14ac:dyDescent="0.2">
      <c r="B71270" t="s">
        <v>1</v>
      </c>
      <c r="C71270" t="s">
        <v>12721</v>
      </c>
      <c r="D71270" t="s">
        <v>24565</v>
      </c>
    </row>
    <row r="71271" spans="1:4" x14ac:dyDescent="0.2">
      <c r="B71271" t="s">
        <v>8</v>
      </c>
      <c r="C71271" t="s">
        <v>8252</v>
      </c>
      <c r="D71271" t="s">
        <v>24566</v>
      </c>
    </row>
    <row r="71272" spans="1:4" x14ac:dyDescent="0.2">
      <c r="B71272" t="s">
        <v>35</v>
      </c>
      <c r="C71272" t="s">
        <v>22047</v>
      </c>
      <c r="D71272" t="s">
        <v>24567</v>
      </c>
    </row>
    <row r="71274" spans="1:4" x14ac:dyDescent="0.2">
      <c r="A71274" t="s">
        <v>22048</v>
      </c>
      <c r="B71274" t="str">
        <f>HYPERLINK("https://lindat.mff.cuni.cz/services/teitok/pdtc10/index.php?action=vallex&amp;frame=v-w9843hsa_678", "zpřístupnit (v-w9843hsa_678)")</f>
        <v>zpřístupnit (v-w9843hsa_678)</v>
      </c>
    </row>
    <row r="71275" spans="1:4" x14ac:dyDescent="0.2">
      <c r="B71275" t="s">
        <v>1</v>
      </c>
      <c r="C71275" t="s">
        <v>22049</v>
      </c>
      <c r="D71275" t="s">
        <v>23746</v>
      </c>
    </row>
    <row r="71276" spans="1:4" x14ac:dyDescent="0.2">
      <c r="B71276" t="s">
        <v>8</v>
      </c>
      <c r="C71276" t="s">
        <v>6336</v>
      </c>
      <c r="D71276" t="s">
        <v>23749</v>
      </c>
    </row>
    <row r="71277" spans="1:4" x14ac:dyDescent="0.2">
      <c r="B71277" t="s">
        <v>35</v>
      </c>
      <c r="C71277" t="s">
        <v>8157</v>
      </c>
      <c r="D71277" t="s">
        <v>23748</v>
      </c>
    </row>
    <row r="71279" spans="1:4" x14ac:dyDescent="0.2">
      <c r="A71279" t="s">
        <v>22050</v>
      </c>
      <c r="B71279" t="str">
        <f>HYPERLINK("https://lindat.mff.cuni.cz/services/teitok/pdtc10/index.php?action=vallex&amp;frame=v-w10910f2", "zpřístupňovat (v-w10910f2)")</f>
        <v>zpřístupňovat (v-w10910f2)</v>
      </c>
    </row>
    <row r="71280" spans="1:4" x14ac:dyDescent="0.2">
      <c r="B71280" t="s">
        <v>1</v>
      </c>
      <c r="D71280" t="s">
        <v>24565</v>
      </c>
    </row>
    <row r="71281" spans="1:4" x14ac:dyDescent="0.2">
      <c r="B71281" t="s">
        <v>8</v>
      </c>
      <c r="D71281" t="s">
        <v>24566</v>
      </c>
    </row>
    <row r="71282" spans="1:4" x14ac:dyDescent="0.2">
      <c r="B71282" t="s">
        <v>35</v>
      </c>
      <c r="D71282" t="s">
        <v>24567</v>
      </c>
    </row>
    <row r="71284" spans="1:4" x14ac:dyDescent="0.2">
      <c r="A71284" t="s">
        <v>22051</v>
      </c>
      <c r="B71284" t="str">
        <f>HYPERLINK("https://lindat.mff.cuni.cz/services/teitok/pdtc10/index.php?action=vallex&amp;frame=v-w10927f2", "zpřísňovat (v-w10927f2)")</f>
        <v>zpřísňovat (v-w10927f2)</v>
      </c>
    </row>
    <row r="71285" spans="1:4" x14ac:dyDescent="0.2">
      <c r="B71285" t="s">
        <v>1</v>
      </c>
      <c r="C71285" t="s">
        <v>80</v>
      </c>
      <c r="D71285" t="s">
        <v>11122</v>
      </c>
    </row>
    <row r="71286" spans="1:4" x14ac:dyDescent="0.2">
      <c r="B71286" t="s">
        <v>8</v>
      </c>
      <c r="C71286" t="s">
        <v>2240</v>
      </c>
      <c r="D71286" t="s">
        <v>17729</v>
      </c>
    </row>
    <row r="71288" spans="1:4" x14ac:dyDescent="0.2">
      <c r="A71288" t="s">
        <v>22052</v>
      </c>
      <c r="B71288" t="str">
        <f>HYPERLINK("https://lindat.mff.cuni.cz/services/teitok/pdtc10/index.php?action=vallex&amp;frame=v-w9850f2", "způsobit (v-w9850f2)")</f>
        <v>způsobit (v-w9850f2)</v>
      </c>
    </row>
    <row r="71289" spans="1:4" x14ac:dyDescent="0.2">
      <c r="B71289" t="s">
        <v>1</v>
      </c>
      <c r="C71289" t="s">
        <v>22053</v>
      </c>
      <c r="D71289" t="s">
        <v>23017</v>
      </c>
    </row>
    <row r="71290" spans="1:4" x14ac:dyDescent="0.2">
      <c r="B71290" t="s">
        <v>41</v>
      </c>
      <c r="C71290" t="s">
        <v>22054</v>
      </c>
      <c r="D71290" t="s">
        <v>23498</v>
      </c>
    </row>
    <row r="71291" spans="1:4" x14ac:dyDescent="0.2">
      <c r="B71291" t="s">
        <v>35</v>
      </c>
      <c r="C71291" t="s">
        <v>22055</v>
      </c>
      <c r="D71291" t="s">
        <v>23522</v>
      </c>
    </row>
    <row r="71293" spans="1:4" x14ac:dyDescent="0.2">
      <c r="A71293" t="s">
        <v>22056</v>
      </c>
      <c r="B71293" t="str">
        <f>HYPERLINK("https://lindat.mff.cuni.cz/services/teitok/pdtc10/index.php?action=vallex&amp;frame=v-w9850f1", "způsobit (v-w9850f1)")</f>
        <v>způsobit (v-w9850f1)</v>
      </c>
    </row>
    <row r="71294" spans="1:4" x14ac:dyDescent="0.2">
      <c r="B71294" t="s">
        <v>1</v>
      </c>
      <c r="C71294" t="s">
        <v>22057</v>
      </c>
      <c r="D71294" t="s">
        <v>23017</v>
      </c>
    </row>
    <row r="71295" spans="1:4" x14ac:dyDescent="0.2">
      <c r="B71295" t="s">
        <v>5970</v>
      </c>
      <c r="C71295" t="s">
        <v>22058</v>
      </c>
      <c r="D71295" t="s">
        <v>23498</v>
      </c>
    </row>
    <row r="71297" spans="1:4" x14ac:dyDescent="0.2">
      <c r="A71297" t="s">
        <v>22059</v>
      </c>
      <c r="B71297" t="str">
        <f>HYPERLINK("https://lindat.mff.cuni.cz/services/teitok/pdtc10/index.php?action=vallex&amp;frame=v-w9851f2", "způsobovat (v-w9851f2)")</f>
        <v>způsobovat (v-w9851f2)</v>
      </c>
    </row>
    <row r="71298" spans="1:4" x14ac:dyDescent="0.2">
      <c r="B71298" t="s">
        <v>1</v>
      </c>
      <c r="C71298" t="s">
        <v>22060</v>
      </c>
      <c r="D71298" t="s">
        <v>23017</v>
      </c>
    </row>
    <row r="71299" spans="1:4" x14ac:dyDescent="0.2">
      <c r="B71299" t="s">
        <v>41</v>
      </c>
      <c r="C71299" t="s">
        <v>22061</v>
      </c>
      <c r="D71299" t="s">
        <v>23498</v>
      </c>
    </row>
    <row r="71300" spans="1:4" x14ac:dyDescent="0.2">
      <c r="B71300" t="s">
        <v>35</v>
      </c>
      <c r="C71300" t="s">
        <v>22062</v>
      </c>
      <c r="D71300" t="s">
        <v>23522</v>
      </c>
    </row>
    <row r="71302" spans="1:4" x14ac:dyDescent="0.2">
      <c r="A71302" t="s">
        <v>22063</v>
      </c>
      <c r="B71302" t="str">
        <f>HYPERLINK("https://lindat.mff.cuni.cz/services/teitok/pdtc10/index.php?action=vallex&amp;frame=v-w9851f1", "způsobovat (v-w9851f1)")</f>
        <v>způsobovat (v-w9851f1)</v>
      </c>
    </row>
    <row r="71303" spans="1:4" x14ac:dyDescent="0.2">
      <c r="B71303" t="s">
        <v>1</v>
      </c>
      <c r="C71303" t="s">
        <v>22064</v>
      </c>
      <c r="D71303" t="s">
        <v>23496</v>
      </c>
    </row>
    <row r="71304" spans="1:4" x14ac:dyDescent="0.2">
      <c r="B71304" t="s">
        <v>5970</v>
      </c>
      <c r="C71304" t="s">
        <v>22065</v>
      </c>
      <c r="D71304" t="s">
        <v>23497</v>
      </c>
    </row>
    <row r="71306" spans="1:4" x14ac:dyDescent="0.2">
      <c r="A71306" t="s">
        <v>22066</v>
      </c>
      <c r="B71306" t="str">
        <f>HYPERLINK("https://lindat.mff.cuni.cz/services/teitok/pdtc10/index.php?action=vallex&amp;frame=v-w9853f1", "zracionalizovat (v-w9853f1)")</f>
        <v>zracionalizovat (v-w9853f1)</v>
      </c>
    </row>
    <row r="71307" spans="1:4" x14ac:dyDescent="0.2">
      <c r="B71307" t="s">
        <v>1</v>
      </c>
      <c r="C71307" t="s">
        <v>140</v>
      </c>
    </row>
    <row r="71308" spans="1:4" x14ac:dyDescent="0.2">
      <c r="B71308" t="s">
        <v>8</v>
      </c>
      <c r="C71308" t="s">
        <v>991</v>
      </c>
    </row>
    <row r="71310" spans="1:4" x14ac:dyDescent="0.2">
      <c r="A71310" t="s">
        <v>22067</v>
      </c>
      <c r="B71310" t="str">
        <f>HYPERLINK("https://lindat.mff.cuni.cz/services/teitok/pdtc10/index.php?action=vallex&amp;frame=v-w9857f1", "zradit (v-w9857f1)")</f>
        <v>zradit (v-w9857f1)</v>
      </c>
    </row>
    <row r="71311" spans="1:4" x14ac:dyDescent="0.2">
      <c r="B71311" t="s">
        <v>1</v>
      </c>
      <c r="C71311" t="s">
        <v>140</v>
      </c>
    </row>
    <row r="71312" spans="1:4" x14ac:dyDescent="0.2">
      <c r="B71312" t="s">
        <v>8</v>
      </c>
    </row>
    <row r="71314" spans="1:4" x14ac:dyDescent="0.2">
      <c r="A71314" t="s">
        <v>22068</v>
      </c>
      <c r="B71314" t="str">
        <f>HYPERLINK("https://lindat.mff.cuni.cz/services/teitok/pdtc10/index.php?action=vallex&amp;frame=v-w9860f1", "zranit (v-w9860f1)")</f>
        <v>zranit (v-w9860f1)</v>
      </c>
    </row>
    <row r="71315" spans="1:4" x14ac:dyDescent="0.2">
      <c r="B71315" t="s">
        <v>1</v>
      </c>
      <c r="C71315" t="s">
        <v>22069</v>
      </c>
    </row>
    <row r="71316" spans="1:4" x14ac:dyDescent="0.2">
      <c r="B71316" t="s">
        <v>8</v>
      </c>
      <c r="C71316" t="s">
        <v>11329</v>
      </c>
    </row>
    <row r="71318" spans="1:4" x14ac:dyDescent="0.2">
      <c r="A71318" t="s">
        <v>22070</v>
      </c>
      <c r="B71318" t="str">
        <f>HYPERLINK("https://lindat.mff.cuni.cz/services/teitok/pdtc10/index.php?action=vallex&amp;frame=v-w9860hsa_188", "zranit (v-w9860hsa_188)")</f>
        <v>zranit (v-w9860hsa_188)</v>
      </c>
    </row>
    <row r="71319" spans="1:4" x14ac:dyDescent="0.2">
      <c r="B71319" t="s">
        <v>1</v>
      </c>
      <c r="C71319" t="s">
        <v>12946</v>
      </c>
      <c r="D71319" t="s">
        <v>23156</v>
      </c>
    </row>
    <row r="71320" spans="1:4" x14ac:dyDescent="0.2">
      <c r="B71320" t="s">
        <v>8</v>
      </c>
      <c r="C71320" t="s">
        <v>5971</v>
      </c>
      <c r="D71320" t="s">
        <v>23157</v>
      </c>
    </row>
    <row r="71322" spans="1:4" x14ac:dyDescent="0.2">
      <c r="A71322" t="s">
        <v>22071</v>
      </c>
      <c r="B71322" t="str">
        <f>HYPERLINK("https://lindat.mff.cuni.cz/services/teitok/pdtc10/index.php?action=vallex&amp;frame=v-w9861f1", "zranit se (v-w9861f1)")</f>
        <v>zranit se (v-w9861f1)</v>
      </c>
    </row>
    <row r="71323" spans="1:4" x14ac:dyDescent="0.2">
      <c r="B71323" t="s">
        <v>1</v>
      </c>
    </row>
    <row r="71325" spans="1:4" x14ac:dyDescent="0.2">
      <c r="A71325" t="s">
        <v>22072</v>
      </c>
      <c r="B71325" t="str">
        <f>HYPERLINK("https://lindat.mff.cuni.cz/services/teitok/pdtc10/index.php?action=vallex&amp;frame=v-w9863f1", "zrazovat (v-w9863f1)")</f>
        <v>zrazovat (v-w9863f1)</v>
      </c>
    </row>
    <row r="71326" spans="1:4" x14ac:dyDescent="0.2">
      <c r="B71326" t="s">
        <v>1</v>
      </c>
    </row>
    <row r="71327" spans="1:4" x14ac:dyDescent="0.2">
      <c r="B71327" t="s">
        <v>8</v>
      </c>
    </row>
    <row r="71329" spans="1:4" x14ac:dyDescent="0.2">
      <c r="A71329" t="s">
        <v>22073</v>
      </c>
      <c r="B71329" t="str">
        <f>HYPERLINK("https://lindat.mff.cuni.cz/services/teitok/pdtc10/index.php?action=vallex&amp;frame=v-w9863f2", "zrazovat (v-w9863f2)")</f>
        <v>zrazovat (v-w9863f2)</v>
      </c>
    </row>
    <row r="71330" spans="1:4" x14ac:dyDescent="0.2">
      <c r="B71330" t="s">
        <v>1</v>
      </c>
    </row>
    <row r="71331" spans="1:4" x14ac:dyDescent="0.2">
      <c r="B71331" t="s">
        <v>58</v>
      </c>
    </row>
    <row r="71332" spans="1:4" x14ac:dyDescent="0.2">
      <c r="B71332" t="s">
        <v>247</v>
      </c>
    </row>
    <row r="71334" spans="1:4" x14ac:dyDescent="0.2">
      <c r="A71334" t="s">
        <v>22074</v>
      </c>
      <c r="B71334" t="str">
        <f>HYPERLINK("https://lindat.mff.cuni.cz/services/teitok/pdtc10/index.php?action=vallex&amp;frame=v-w9854f1", "zračit se (v-w9854f1)")</f>
        <v>zračit se (v-w9854f1)</v>
      </c>
    </row>
    <row r="71335" spans="1:4" x14ac:dyDescent="0.2">
      <c r="B71335" t="s">
        <v>1</v>
      </c>
    </row>
    <row r="71336" spans="1:4" x14ac:dyDescent="0.2">
      <c r="B71336" t="s">
        <v>5</v>
      </c>
    </row>
    <row r="71338" spans="1:4" x14ac:dyDescent="0.2">
      <c r="A71338" t="s">
        <v>22075</v>
      </c>
      <c r="B71338" t="str">
        <f>HYPERLINK("https://lindat.mff.cuni.cz/services/teitok/pdtc10/index.php?action=vallex&amp;frame=v-w10725f2", "zrcadlit (v-w10725f2)")</f>
        <v>zrcadlit (v-w10725f2)</v>
      </c>
    </row>
    <row r="71339" spans="1:4" x14ac:dyDescent="0.2">
      <c r="B71339" t="s">
        <v>1</v>
      </c>
      <c r="C71339" t="s">
        <v>22076</v>
      </c>
      <c r="D71339" t="s">
        <v>13243</v>
      </c>
    </row>
    <row r="71340" spans="1:4" x14ac:dyDescent="0.2">
      <c r="B71340" t="s">
        <v>8</v>
      </c>
      <c r="C71340" t="s">
        <v>1340</v>
      </c>
      <c r="D71340" t="s">
        <v>23359</v>
      </c>
    </row>
    <row r="71342" spans="1:4" x14ac:dyDescent="0.2">
      <c r="A71342" t="s">
        <v>22077</v>
      </c>
      <c r="B71342" t="str">
        <f>HYPERLINK("https://lindat.mff.cuni.cz/services/teitok/pdtc10/index.php?action=vallex&amp;frame=v-w9864f1", "zrealizovat (v-w9864f1)")</f>
        <v>zrealizovat (v-w9864f1)</v>
      </c>
    </row>
    <row r="71343" spans="1:4" x14ac:dyDescent="0.2">
      <c r="B71343" t="s">
        <v>1</v>
      </c>
      <c r="C71343" t="s">
        <v>12528</v>
      </c>
      <c r="D71343" t="s">
        <v>1792</v>
      </c>
    </row>
    <row r="71344" spans="1:4" x14ac:dyDescent="0.2">
      <c r="B71344" t="s">
        <v>8</v>
      </c>
      <c r="C71344" t="s">
        <v>22078</v>
      </c>
      <c r="D71344" t="s">
        <v>24113</v>
      </c>
    </row>
    <row r="71346" spans="1:4" x14ac:dyDescent="0.2">
      <c r="A71346" t="s">
        <v>22079</v>
      </c>
      <c r="B71346" t="str">
        <f>HYPERLINK("https://lindat.mff.cuni.cz/services/teitok/pdtc10/index.php?action=vallex&amp;frame=v-w9866f1", "zredukovat (v-w9866f1)")</f>
        <v>zredukovat (v-w9866f1)</v>
      </c>
    </row>
    <row r="71347" spans="1:4" x14ac:dyDescent="0.2">
      <c r="B71347" t="s">
        <v>1</v>
      </c>
      <c r="C71347" t="s">
        <v>22080</v>
      </c>
      <c r="D71347" t="s">
        <v>23730</v>
      </c>
    </row>
    <row r="71348" spans="1:4" x14ac:dyDescent="0.2">
      <c r="B71348" t="s">
        <v>8</v>
      </c>
      <c r="C71348" t="s">
        <v>22081</v>
      </c>
      <c r="D71348" t="s">
        <v>23731</v>
      </c>
    </row>
    <row r="71349" spans="1:4" x14ac:dyDescent="0.2">
      <c r="B71349" t="s">
        <v>24</v>
      </c>
      <c r="C71349" t="s">
        <v>22082</v>
      </c>
      <c r="D71349" t="s">
        <v>23732</v>
      </c>
    </row>
    <row r="71350" spans="1:4" x14ac:dyDescent="0.2">
      <c r="B71350" t="s">
        <v>61</v>
      </c>
      <c r="C71350" t="s">
        <v>22083</v>
      </c>
      <c r="D71350" t="s">
        <v>23733</v>
      </c>
    </row>
    <row r="71352" spans="1:4" x14ac:dyDescent="0.2">
      <c r="A71352" t="s">
        <v>22084</v>
      </c>
      <c r="B71352" t="str">
        <f>HYPERLINK("https://lindat.mff.cuni.cz/services/teitok/pdtc10/index.php?action=vallex&amp;frame=v-w9866hsa_998", "zredukovat (v-w9866hsa_998)")</f>
        <v>zredukovat (v-w9866hsa_998)</v>
      </c>
    </row>
    <row r="71353" spans="1:4" x14ac:dyDescent="0.2">
      <c r="B71353" t="s">
        <v>1</v>
      </c>
      <c r="C71353" t="s">
        <v>7777</v>
      </c>
      <c r="D71353" t="s">
        <v>23730</v>
      </c>
    </row>
    <row r="71354" spans="1:4" x14ac:dyDescent="0.2">
      <c r="B71354" t="s">
        <v>8</v>
      </c>
      <c r="C71354" t="s">
        <v>7778</v>
      </c>
      <c r="D71354" t="s">
        <v>23731</v>
      </c>
    </row>
    <row r="71355" spans="1:4" x14ac:dyDescent="0.2">
      <c r="B71355" t="s">
        <v>25</v>
      </c>
      <c r="C71355" t="s">
        <v>21763</v>
      </c>
      <c r="D71355" t="s">
        <v>23733</v>
      </c>
    </row>
    <row r="71357" spans="1:4" x14ac:dyDescent="0.2">
      <c r="A71357" t="s">
        <v>22085</v>
      </c>
      <c r="B71357" t="str">
        <f>HYPERLINK("https://lindat.mff.cuni.cz/services/teitok/pdtc10/index.php?action=vallex&amp;frame=v-w10319f2", "zreformovat (v-w10319f2)")</f>
        <v>zreformovat (v-w10319f2)</v>
      </c>
    </row>
    <row r="71358" spans="1:4" x14ac:dyDescent="0.2">
      <c r="B71358" t="s">
        <v>1</v>
      </c>
      <c r="D71358" t="s">
        <v>22944</v>
      </c>
    </row>
    <row r="71359" spans="1:4" x14ac:dyDescent="0.2">
      <c r="B71359" t="s">
        <v>8</v>
      </c>
      <c r="D71359" t="s">
        <v>22945</v>
      </c>
    </row>
    <row r="71361" spans="1:4" x14ac:dyDescent="0.2">
      <c r="A71361" t="s">
        <v>22086</v>
      </c>
      <c r="B71361" t="str">
        <f>HYPERLINK("https://lindat.mff.cuni.cz/services/teitok/pdtc10/index.php?action=vallex&amp;frame=v-whsa_665hsa_666", "zregulovat (v-whsa_665hsa_666)")</f>
        <v>zregulovat (v-whsa_665hsa_666)</v>
      </c>
    </row>
    <row r="71362" spans="1:4" x14ac:dyDescent="0.2">
      <c r="B71362" t="s">
        <v>1</v>
      </c>
    </row>
    <row r="71363" spans="1:4" x14ac:dyDescent="0.2">
      <c r="B71363" t="s">
        <v>8</v>
      </c>
    </row>
    <row r="71365" spans="1:4" x14ac:dyDescent="0.2">
      <c r="A71365" t="s">
        <v>22087</v>
      </c>
      <c r="B71365" t="str">
        <f>HYPERLINK("https://lindat.mff.cuni.cz/services/teitok/pdtc10/index.php?action=vallex&amp;frame=v-w9867f1", "zrekapitulovat (v-w9867f1)")</f>
        <v>zrekapitulovat (v-w9867f1)</v>
      </c>
    </row>
    <row r="71366" spans="1:4" x14ac:dyDescent="0.2">
      <c r="B71366" t="s">
        <v>1</v>
      </c>
    </row>
    <row r="71367" spans="1:4" x14ac:dyDescent="0.2">
      <c r="B71367" t="s">
        <v>14011</v>
      </c>
    </row>
    <row r="71368" spans="1:4" x14ac:dyDescent="0.2">
      <c r="B71368" t="s">
        <v>2156</v>
      </c>
    </row>
    <row r="71370" spans="1:4" x14ac:dyDescent="0.2">
      <c r="A71370" t="s">
        <v>22088</v>
      </c>
      <c r="B71370" t="str">
        <f>HYPERLINK("https://lindat.mff.cuni.cz/services/teitok/pdtc10/index.php?action=vallex&amp;frame=v-w9868f1", "zrekonstruovat (v-w9868f1)")</f>
        <v>zrekonstruovat (v-w9868f1)</v>
      </c>
    </row>
    <row r="71371" spans="1:4" x14ac:dyDescent="0.2">
      <c r="B71371" t="s">
        <v>1</v>
      </c>
      <c r="C71371" t="s">
        <v>33</v>
      </c>
      <c r="D71371" t="s">
        <v>430</v>
      </c>
    </row>
    <row r="71372" spans="1:4" x14ac:dyDescent="0.2">
      <c r="B71372" t="s">
        <v>8</v>
      </c>
      <c r="C71372" t="s">
        <v>1128</v>
      </c>
      <c r="D71372" t="s">
        <v>116</v>
      </c>
    </row>
    <row r="71373" spans="1:4" x14ac:dyDescent="0.2">
      <c r="B71373" t="s">
        <v>24</v>
      </c>
      <c r="C71373" t="s">
        <v>4604</v>
      </c>
      <c r="D71373" t="s">
        <v>4604</v>
      </c>
    </row>
    <row r="71375" spans="1:4" x14ac:dyDescent="0.2">
      <c r="A71375" t="s">
        <v>22089</v>
      </c>
      <c r="B71375" t="str">
        <f>HYPERLINK("https://lindat.mff.cuni.cz/services/teitok/pdtc10/index.php?action=vallex&amp;frame=v-w9868f2", "zrekonstruovat (v-w9868f2)")</f>
        <v>zrekonstruovat (v-w9868f2)</v>
      </c>
    </row>
    <row r="71376" spans="1:4" x14ac:dyDescent="0.2">
      <c r="B71376" t="s">
        <v>1</v>
      </c>
    </row>
    <row r="71377" spans="1:4" x14ac:dyDescent="0.2">
      <c r="B71377" t="s">
        <v>8</v>
      </c>
    </row>
    <row r="71378" spans="1:4" x14ac:dyDescent="0.2">
      <c r="B71378" t="s">
        <v>24</v>
      </c>
    </row>
    <row r="71380" spans="1:4" x14ac:dyDescent="0.2">
      <c r="A71380" t="s">
        <v>22090</v>
      </c>
      <c r="B71380" t="str">
        <f>HYPERLINK("https://lindat.mff.cuni.cz/services/teitok/pdtc10/index.php?action=vallex&amp;frame=v-w11228f2", "zrenovovat (v-w11228f2)")</f>
        <v>zrenovovat (v-w11228f2)</v>
      </c>
    </row>
    <row r="71381" spans="1:4" x14ac:dyDescent="0.2">
      <c r="B71381" t="s">
        <v>1</v>
      </c>
      <c r="C71381" t="s">
        <v>133</v>
      </c>
      <c r="D71381" t="s">
        <v>3742</v>
      </c>
    </row>
    <row r="71382" spans="1:4" x14ac:dyDescent="0.2">
      <c r="B71382" t="s">
        <v>8</v>
      </c>
      <c r="C71382" t="s">
        <v>335</v>
      </c>
      <c r="D71382" t="s">
        <v>5571</v>
      </c>
    </row>
    <row r="71384" spans="1:4" x14ac:dyDescent="0.2">
      <c r="A71384" t="s">
        <v>22091</v>
      </c>
      <c r="B71384" t="str">
        <f>HYPERLINK("https://lindat.mff.cuni.cz/services/teitok/pdtc10/index.php?action=vallex&amp;frame=v-w10821f2", "zreorganizovat (v-w10821f2)")</f>
        <v>zreorganizovat (v-w10821f2)</v>
      </c>
    </row>
    <row r="71385" spans="1:4" x14ac:dyDescent="0.2">
      <c r="B71385" t="s">
        <v>1</v>
      </c>
    </row>
    <row r="71386" spans="1:4" x14ac:dyDescent="0.2">
      <c r="B71386" t="s">
        <v>8</v>
      </c>
    </row>
    <row r="71388" spans="1:4" x14ac:dyDescent="0.2">
      <c r="A71388" t="s">
        <v>22092</v>
      </c>
      <c r="B71388" t="str">
        <f>HYPERLINK("https://lindat.mff.cuni.cz/services/teitok/pdtc10/index.php?action=vallex&amp;frame=v-w9869f1", "zrestaurovat (v-w9869f1)")</f>
        <v>zrestaurovat (v-w9869f1)</v>
      </c>
    </row>
    <row r="71389" spans="1:4" x14ac:dyDescent="0.2">
      <c r="B71389" t="s">
        <v>1</v>
      </c>
    </row>
    <row r="71390" spans="1:4" x14ac:dyDescent="0.2">
      <c r="B71390" t="s">
        <v>8</v>
      </c>
    </row>
    <row r="71392" spans="1:4" x14ac:dyDescent="0.2">
      <c r="A71392" t="s">
        <v>22093</v>
      </c>
      <c r="B71392" t="str">
        <f>HYPERLINK("https://lindat.mff.cuni.cz/services/teitok/pdtc10/index.php?action=vallex&amp;frame=v-w9870f1", "zrevidovat (v-w9870f1)")</f>
        <v>zrevidovat (v-w9870f1)</v>
      </c>
    </row>
    <row r="71393" spans="1:4" x14ac:dyDescent="0.2">
      <c r="B71393" t="s">
        <v>1</v>
      </c>
      <c r="C71393" t="s">
        <v>2237</v>
      </c>
      <c r="D71393" t="s">
        <v>24117</v>
      </c>
    </row>
    <row r="71394" spans="1:4" x14ac:dyDescent="0.2">
      <c r="B71394" t="s">
        <v>11515</v>
      </c>
      <c r="C71394" t="s">
        <v>7127</v>
      </c>
      <c r="D71394" t="s">
        <v>24118</v>
      </c>
    </row>
    <row r="71396" spans="1:4" x14ac:dyDescent="0.2">
      <c r="A71396" t="s">
        <v>22094</v>
      </c>
      <c r="B71396" t="str">
        <f>HYPERLINK("https://lindat.mff.cuni.cz/services/teitok/pdtc10/index.php?action=vallex&amp;frame=v-w9872f1", "zrodit (v-w9872f1)")</f>
        <v>zrodit (v-w9872f1)</v>
      </c>
    </row>
    <row r="71397" spans="1:4" x14ac:dyDescent="0.2">
      <c r="B71397" t="s">
        <v>1</v>
      </c>
    </row>
    <row r="71398" spans="1:4" x14ac:dyDescent="0.2">
      <c r="B71398" t="s">
        <v>8</v>
      </c>
    </row>
    <row r="71400" spans="1:4" x14ac:dyDescent="0.2">
      <c r="A71400" t="s">
        <v>22095</v>
      </c>
      <c r="B71400" t="str">
        <f>HYPERLINK("https://lindat.mff.cuni.cz/services/teitok/pdtc10/index.php?action=vallex&amp;frame=v-w9873hsa_627", "zrodit se (v-w9873hsa_627)")</f>
        <v>zrodit se (v-w9873hsa_627)</v>
      </c>
    </row>
    <row r="71401" spans="1:4" x14ac:dyDescent="0.2">
      <c r="B71401" t="s">
        <v>1</v>
      </c>
      <c r="C71401" t="s">
        <v>3345</v>
      </c>
      <c r="D71401" t="s">
        <v>147</v>
      </c>
    </row>
    <row r="71402" spans="1:4" x14ac:dyDescent="0.2">
      <c r="B71402" t="s">
        <v>438</v>
      </c>
      <c r="C71402" t="s">
        <v>13046</v>
      </c>
      <c r="D71402" t="s">
        <v>7038</v>
      </c>
    </row>
    <row r="71404" spans="1:4" x14ac:dyDescent="0.2">
      <c r="A71404" t="s">
        <v>22095</v>
      </c>
      <c r="B71404" t="str">
        <f>HYPERLINK("https://lindat.mff.cuni.cz/services/teitok/pdtc10/index.php?action=vallex&amp;frame=v-w9873f1", "zrodit se (v-w9873f1) - substituted with v-w9873hsa_627")</f>
        <v>zrodit se (v-w9873f1) - substituted with v-w9873hsa_627</v>
      </c>
    </row>
    <row r="71405" spans="1:4" x14ac:dyDescent="0.2">
      <c r="B71405" t="s">
        <v>1</v>
      </c>
      <c r="C71405" t="s">
        <v>22096</v>
      </c>
    </row>
    <row r="71406" spans="1:4" x14ac:dyDescent="0.2">
      <c r="B71406" t="s">
        <v>438</v>
      </c>
      <c r="C71406" t="s">
        <v>13046</v>
      </c>
    </row>
    <row r="71408" spans="1:4" x14ac:dyDescent="0.2">
      <c r="A71408" t="s">
        <v>22097</v>
      </c>
      <c r="B71408" t="str">
        <f>HYPERLINK("https://lindat.mff.cuni.cz/services/teitok/pdtc10/index.php?action=vallex&amp;frame=v-whsa_529hsa_530", "zrudnout (v-whsa_529hsa_530)")</f>
        <v>zrudnout (v-whsa_529hsa_530)</v>
      </c>
    </row>
    <row r="71409" spans="1:4" x14ac:dyDescent="0.2">
      <c r="B71409" t="s">
        <v>1</v>
      </c>
    </row>
    <row r="71411" spans="1:4" x14ac:dyDescent="0.2">
      <c r="A71411" t="s">
        <v>22098</v>
      </c>
      <c r="B71411" t="str">
        <f>HYPERLINK("https://lindat.mff.cuni.cz/services/teitok/pdtc10/index.php?action=vallex&amp;frame=v-w9877f1", "zruinovat (v-w9877f1)")</f>
        <v>zruinovat (v-w9877f1)</v>
      </c>
    </row>
    <row r="71412" spans="1:4" x14ac:dyDescent="0.2">
      <c r="B71412" t="s">
        <v>1</v>
      </c>
      <c r="C71412" t="s">
        <v>2239</v>
      </c>
      <c r="D71412" t="s">
        <v>23088</v>
      </c>
    </row>
    <row r="71413" spans="1:4" x14ac:dyDescent="0.2">
      <c r="B71413" t="s">
        <v>8</v>
      </c>
      <c r="C71413" t="s">
        <v>56</v>
      </c>
      <c r="D71413" t="s">
        <v>986</v>
      </c>
    </row>
    <row r="71415" spans="1:4" x14ac:dyDescent="0.2">
      <c r="A71415" t="s">
        <v>22099</v>
      </c>
      <c r="B71415" t="str">
        <f>HYPERLINK("https://lindat.mff.cuni.cz/services/teitok/pdtc10/index.php?action=vallex&amp;frame=v-w9879f1", "zrušit (v-w9879f1)")</f>
        <v>zrušit (v-w9879f1)</v>
      </c>
    </row>
    <row r="71416" spans="1:4" x14ac:dyDescent="0.2">
      <c r="B71416" t="s">
        <v>1</v>
      </c>
      <c r="C71416" t="s">
        <v>22100</v>
      </c>
      <c r="D71416" t="s">
        <v>23598</v>
      </c>
    </row>
    <row r="71417" spans="1:4" x14ac:dyDescent="0.2">
      <c r="B71417" t="s">
        <v>8</v>
      </c>
      <c r="C71417" t="s">
        <v>22101</v>
      </c>
      <c r="D71417" t="s">
        <v>23599</v>
      </c>
    </row>
    <row r="71419" spans="1:4" x14ac:dyDescent="0.2">
      <c r="A71419" t="s">
        <v>22102</v>
      </c>
      <c r="B71419" t="str">
        <f>HYPERLINK("https://lindat.mff.cuni.cz/services/teitok/pdtc10/index.php?action=vallex&amp;frame=v-w9879f2_ZU", "zrušit (v-w9879f2_ZU)")</f>
        <v>zrušit (v-w9879f2_ZU)</v>
      </c>
    </row>
    <row r="71420" spans="1:4" x14ac:dyDescent="0.2">
      <c r="B71420" t="s">
        <v>1</v>
      </c>
    </row>
    <row r="71421" spans="1:4" x14ac:dyDescent="0.2">
      <c r="B71421" t="s">
        <v>8</v>
      </c>
    </row>
    <row r="71423" spans="1:4" x14ac:dyDescent="0.2">
      <c r="A71423" t="s">
        <v>22103</v>
      </c>
      <c r="B71423" t="str">
        <f>HYPERLINK("https://lindat.mff.cuni.cz/services/teitok/pdtc10/index.php?action=vallex&amp;frame=v-w9882f1", "zrychlit (v-w9882f1)")</f>
        <v>zrychlit (v-w9882f1)</v>
      </c>
    </row>
    <row r="71424" spans="1:4" x14ac:dyDescent="0.2">
      <c r="B71424" t="s">
        <v>1</v>
      </c>
      <c r="C71424" t="s">
        <v>22104</v>
      </c>
      <c r="D71424" t="s">
        <v>23837</v>
      </c>
    </row>
    <row r="71425" spans="1:4" x14ac:dyDescent="0.2">
      <c r="B71425" t="s">
        <v>8</v>
      </c>
      <c r="C71425" t="s">
        <v>1066</v>
      </c>
      <c r="D71425" t="s">
        <v>7118</v>
      </c>
    </row>
    <row r="71426" spans="1:4" x14ac:dyDescent="0.2">
      <c r="B71426" t="s">
        <v>24</v>
      </c>
      <c r="C71426" t="s">
        <v>1289</v>
      </c>
    </row>
    <row r="71427" spans="1:4" x14ac:dyDescent="0.2">
      <c r="B71427" t="s">
        <v>61</v>
      </c>
      <c r="C71427" t="s">
        <v>5609</v>
      </c>
    </row>
    <row r="71429" spans="1:4" x14ac:dyDescent="0.2">
      <c r="A71429" t="s">
        <v>22105</v>
      </c>
      <c r="B71429" t="str">
        <f>HYPERLINK("https://lindat.mff.cuni.cz/services/teitok/pdtc10/index.php?action=vallex&amp;frame=v-w9882f2_ZU", "zrychlit (v-w9882f2_ZU)")</f>
        <v>zrychlit (v-w9882f2_ZU)</v>
      </c>
    </row>
    <row r="71430" spans="1:4" x14ac:dyDescent="0.2">
      <c r="B71430" t="s">
        <v>1</v>
      </c>
    </row>
    <row r="71431" spans="1:4" x14ac:dyDescent="0.2">
      <c r="B71431" t="s">
        <v>46</v>
      </c>
    </row>
    <row r="71432" spans="1:4" x14ac:dyDescent="0.2">
      <c r="B71432" t="s">
        <v>24</v>
      </c>
    </row>
    <row r="71434" spans="1:4" x14ac:dyDescent="0.2">
      <c r="A71434" t="s">
        <v>22105</v>
      </c>
      <c r="B71434" t="str">
        <f>HYPERLINK("https://lindat.mff.cuni.cz/services/teitok/pdtc10/index.php?action=vallex&amp;frame=v-w9882hsa_221", "zrychlit (v-w9882hsa_221) - substituted with v-w9882f2_ZU")</f>
        <v>zrychlit (v-w9882hsa_221) - substituted with v-w9882f2_ZU</v>
      </c>
    </row>
    <row r="71435" spans="1:4" x14ac:dyDescent="0.2">
      <c r="B71435" t="s">
        <v>1</v>
      </c>
    </row>
    <row r="71436" spans="1:4" x14ac:dyDescent="0.2">
      <c r="B71436" t="s">
        <v>46</v>
      </c>
    </row>
    <row r="71437" spans="1:4" x14ac:dyDescent="0.2">
      <c r="B71437" t="s">
        <v>24</v>
      </c>
    </row>
    <row r="71439" spans="1:4" x14ac:dyDescent="0.2">
      <c r="A71439" t="s">
        <v>22106</v>
      </c>
      <c r="B71439" t="str">
        <f>HYPERLINK("https://lindat.mff.cuni.cz/services/teitok/pdtc10/index.php?action=vallex&amp;frame=v-w9883f1", "zrychlit se (v-w9883f1)")</f>
        <v>zrychlit se (v-w9883f1)</v>
      </c>
    </row>
    <row r="71440" spans="1:4" x14ac:dyDescent="0.2">
      <c r="B71440" t="s">
        <v>1</v>
      </c>
      <c r="C71440" t="s">
        <v>14346</v>
      </c>
      <c r="D71440" t="s">
        <v>24074</v>
      </c>
    </row>
    <row r="71441" spans="1:4" x14ac:dyDescent="0.2">
      <c r="B71441" t="s">
        <v>46</v>
      </c>
      <c r="C71441" t="s">
        <v>21434</v>
      </c>
    </row>
    <row r="71442" spans="1:4" x14ac:dyDescent="0.2">
      <c r="B71442" t="s">
        <v>24</v>
      </c>
      <c r="C71442" t="s">
        <v>1289</v>
      </c>
    </row>
    <row r="71444" spans="1:4" x14ac:dyDescent="0.2">
      <c r="A71444" t="s">
        <v>22107</v>
      </c>
      <c r="B71444" t="str">
        <f>HYPERLINK("https://lindat.mff.cuni.cz/services/teitok/pdtc10/index.php?action=vallex&amp;frame=v-w9884f1", "zrychlovat (v-w9884f1)")</f>
        <v>zrychlovat (v-w9884f1)</v>
      </c>
    </row>
    <row r="71445" spans="1:4" x14ac:dyDescent="0.2">
      <c r="B71445" t="s">
        <v>1</v>
      </c>
      <c r="C71445" t="s">
        <v>109</v>
      </c>
      <c r="D71445" t="s">
        <v>23837</v>
      </c>
    </row>
    <row r="71446" spans="1:4" x14ac:dyDescent="0.2">
      <c r="B71446" t="s">
        <v>8</v>
      </c>
      <c r="C71446" t="s">
        <v>335</v>
      </c>
      <c r="D71446" t="s">
        <v>7118</v>
      </c>
    </row>
    <row r="71447" spans="1:4" x14ac:dyDescent="0.2">
      <c r="B71447" t="s">
        <v>24</v>
      </c>
    </row>
    <row r="71448" spans="1:4" x14ac:dyDescent="0.2">
      <c r="B71448" t="s">
        <v>61</v>
      </c>
    </row>
    <row r="71450" spans="1:4" x14ac:dyDescent="0.2">
      <c r="A71450" t="s">
        <v>22108</v>
      </c>
      <c r="B71450" t="str">
        <f>HYPERLINK("https://lindat.mff.cuni.cz/services/teitok/pdtc10/index.php?action=vallex&amp;frame=v-w9884f2_ZU", "zrychlovat (v-w9884f2_ZU)")</f>
        <v>zrychlovat (v-w9884f2_ZU)</v>
      </c>
    </row>
    <row r="71451" spans="1:4" x14ac:dyDescent="0.2">
      <c r="B71451" t="s">
        <v>1</v>
      </c>
    </row>
    <row r="71452" spans="1:4" x14ac:dyDescent="0.2">
      <c r="B71452" t="s">
        <v>46</v>
      </c>
    </row>
    <row r="71453" spans="1:4" x14ac:dyDescent="0.2">
      <c r="B71453" t="s">
        <v>24</v>
      </c>
    </row>
    <row r="71455" spans="1:4" x14ac:dyDescent="0.2">
      <c r="A71455" t="s">
        <v>22108</v>
      </c>
      <c r="B71455" t="str">
        <f>HYPERLINK("https://lindat.mff.cuni.cz/services/teitok/pdtc10/index.php?action=vallex&amp;frame=v-w9884hsa_749", "zrychlovat (v-w9884hsa_749) - substituted with v-w9884f2_ZU")</f>
        <v>zrychlovat (v-w9884hsa_749) - substituted with v-w9884f2_ZU</v>
      </c>
    </row>
    <row r="71456" spans="1:4" x14ac:dyDescent="0.2">
      <c r="B71456" t="s">
        <v>1</v>
      </c>
    </row>
    <row r="71457" spans="1:4" x14ac:dyDescent="0.2">
      <c r="B71457" t="s">
        <v>46</v>
      </c>
    </row>
    <row r="71458" spans="1:4" x14ac:dyDescent="0.2">
      <c r="B71458" t="s">
        <v>24</v>
      </c>
    </row>
    <row r="71460" spans="1:4" x14ac:dyDescent="0.2">
      <c r="A71460" t="s">
        <v>22109</v>
      </c>
      <c r="B71460" t="str">
        <f>HYPERLINK("https://lindat.mff.cuni.cz/services/teitok/pdtc10/index.php?action=vallex&amp;frame=v-w9885f1", "zrychlovat se (v-w9885f1)")</f>
        <v>zrychlovat se (v-w9885f1)</v>
      </c>
    </row>
    <row r="71461" spans="1:4" x14ac:dyDescent="0.2">
      <c r="B71461" t="s">
        <v>1</v>
      </c>
      <c r="C71461" t="s">
        <v>1593</v>
      </c>
      <c r="D71461" t="s">
        <v>24074</v>
      </c>
    </row>
    <row r="71462" spans="1:4" x14ac:dyDescent="0.2">
      <c r="B71462" t="s">
        <v>46</v>
      </c>
      <c r="C71462" t="s">
        <v>21434</v>
      </c>
    </row>
    <row r="71463" spans="1:4" x14ac:dyDescent="0.2">
      <c r="B71463" t="s">
        <v>24</v>
      </c>
      <c r="C71463" t="s">
        <v>1289</v>
      </c>
    </row>
    <row r="71465" spans="1:4" x14ac:dyDescent="0.2">
      <c r="A71465" t="s">
        <v>22110</v>
      </c>
      <c r="B71465" t="str">
        <f>HYPERLINK("https://lindat.mff.cuni.cz/services/teitok/pdtc10/index.php?action=vallex&amp;frame=v-whsa_1381hsa_1382", "zrychtovat (v-whsa_1381hsa_1382)")</f>
        <v>zrychtovat (v-whsa_1381hsa_1382)</v>
      </c>
    </row>
    <row r="71466" spans="1:4" x14ac:dyDescent="0.2">
      <c r="B71466" t="s">
        <v>1</v>
      </c>
    </row>
    <row r="71467" spans="1:4" x14ac:dyDescent="0.2">
      <c r="B71467" t="s">
        <v>8</v>
      </c>
    </row>
    <row r="71469" spans="1:4" x14ac:dyDescent="0.2">
      <c r="A71469" t="s">
        <v>22111</v>
      </c>
      <c r="B71469" t="str">
        <f>HYPERLINK("https://lindat.mff.cuni.cz/services/teitok/pdtc10/index.php?action=vallex&amp;frame=v-w9862f1", "zrát (v-w9862f1)")</f>
        <v>zrát (v-w9862f1)</v>
      </c>
    </row>
    <row r="71470" spans="1:4" x14ac:dyDescent="0.2">
      <c r="B71470" t="s">
        <v>1</v>
      </c>
    </row>
    <row r="71472" spans="1:4" x14ac:dyDescent="0.2">
      <c r="A71472" t="s">
        <v>22112</v>
      </c>
      <c r="B71472" t="str">
        <f>HYPERLINK("https://lindat.mff.cuni.cz/services/teitok/pdtc10/index.php?action=vallex&amp;frame=v-whsa_626f1_ZU", "zrýt (v-whsa_626f1_ZU)")</f>
        <v>zrýt (v-whsa_626f1_ZU)</v>
      </c>
    </row>
    <row r="71473" spans="1:2" x14ac:dyDescent="0.2">
      <c r="B71473" t="s">
        <v>1</v>
      </c>
    </row>
    <row r="71474" spans="1:2" x14ac:dyDescent="0.2">
      <c r="B71474" t="s">
        <v>8</v>
      </c>
    </row>
    <row r="71476" spans="1:2" x14ac:dyDescent="0.2">
      <c r="A71476" t="s">
        <v>22112</v>
      </c>
      <c r="B71476" t="str">
        <f>HYPERLINK("https://lindat.mff.cuni.cz/services/teitok/pdtc10/index.php?action=vallex&amp;frame=v-whsa_626hsa_627", "zrýt (v-whsa_626hsa_627) - substituted with v-whsa_626f1_ZU")</f>
        <v>zrýt (v-whsa_626hsa_627) - substituted with v-whsa_626f1_ZU</v>
      </c>
    </row>
    <row r="71477" spans="1:2" x14ac:dyDescent="0.2">
      <c r="B71477" t="s">
        <v>1</v>
      </c>
    </row>
    <row r="71478" spans="1:2" x14ac:dyDescent="0.2">
      <c r="B71478" t="s">
        <v>8</v>
      </c>
    </row>
    <row r="71480" spans="1:2" x14ac:dyDescent="0.2">
      <c r="A71480" t="s">
        <v>22113</v>
      </c>
      <c r="B71480" t="str">
        <f>HYPERLINK("https://lindat.mff.cuni.cz/services/teitok/pdtc10/index.php?action=vallex&amp;frame=v-w9880f1", "zrůžovět (v-w9880f1)")</f>
        <v>zrůžovět (v-w9880f1)</v>
      </c>
    </row>
    <row r="71481" spans="1:2" x14ac:dyDescent="0.2">
      <c r="B71481" t="s">
        <v>1</v>
      </c>
    </row>
    <row r="71483" spans="1:2" x14ac:dyDescent="0.2">
      <c r="A71483" t="s">
        <v>22114</v>
      </c>
      <c r="B71483" t="str">
        <f>HYPERLINK("https://lindat.mff.cuni.cz/services/teitok/pdtc10/index.php?action=vallex&amp;frame=v-w11336f1", "ztenčit (v-w11336f1)")</f>
        <v>ztenčit (v-w11336f1)</v>
      </c>
    </row>
    <row r="71484" spans="1:2" x14ac:dyDescent="0.2">
      <c r="B71484" t="s">
        <v>1</v>
      </c>
    </row>
    <row r="71485" spans="1:2" x14ac:dyDescent="0.2">
      <c r="B71485" t="s">
        <v>8</v>
      </c>
    </row>
    <row r="71486" spans="1:2" x14ac:dyDescent="0.2">
      <c r="B71486" t="s">
        <v>24</v>
      </c>
    </row>
    <row r="71487" spans="1:2" x14ac:dyDescent="0.2">
      <c r="B71487" t="s">
        <v>61</v>
      </c>
    </row>
    <row r="71489" spans="1:4" x14ac:dyDescent="0.2">
      <c r="A71489" t="s">
        <v>22115</v>
      </c>
      <c r="B71489" t="str">
        <f>HYPERLINK("https://lindat.mff.cuni.cz/services/teitok/pdtc10/index.php?action=vallex&amp;frame=v-w9903f1", "ztenčit se (v-w9903f1)")</f>
        <v>ztenčit se (v-w9903f1)</v>
      </c>
    </row>
    <row r="71490" spans="1:4" x14ac:dyDescent="0.2">
      <c r="B71490" t="s">
        <v>1</v>
      </c>
      <c r="D71490" t="s">
        <v>23736</v>
      </c>
    </row>
    <row r="71491" spans="1:4" x14ac:dyDescent="0.2">
      <c r="B71491" t="s">
        <v>46</v>
      </c>
      <c r="D71491" t="s">
        <v>23737</v>
      </c>
    </row>
    <row r="71492" spans="1:4" x14ac:dyDescent="0.2">
      <c r="B71492" t="s">
        <v>24</v>
      </c>
      <c r="D71492" t="s">
        <v>23738</v>
      </c>
    </row>
    <row r="71494" spans="1:4" x14ac:dyDescent="0.2">
      <c r="A71494" t="s">
        <v>22116</v>
      </c>
      <c r="B71494" t="str">
        <f>HYPERLINK("https://lindat.mff.cuni.cz/services/teitok/pdtc10/index.php?action=vallex&amp;frame=v-w10912f2", "ztenčovat (v-w10912f2)")</f>
        <v>ztenčovat (v-w10912f2)</v>
      </c>
    </row>
    <row r="71495" spans="1:4" x14ac:dyDescent="0.2">
      <c r="B71495" t="s">
        <v>1</v>
      </c>
      <c r="C71495" t="s">
        <v>133</v>
      </c>
    </row>
    <row r="71496" spans="1:4" x14ac:dyDescent="0.2">
      <c r="B71496" t="s">
        <v>8</v>
      </c>
      <c r="C71496" t="s">
        <v>84</v>
      </c>
    </row>
    <row r="71497" spans="1:4" x14ac:dyDescent="0.2">
      <c r="B71497" t="s">
        <v>24</v>
      </c>
    </row>
    <row r="71498" spans="1:4" x14ac:dyDescent="0.2">
      <c r="B71498" t="s">
        <v>61</v>
      </c>
    </row>
    <row r="71500" spans="1:4" x14ac:dyDescent="0.2">
      <c r="A71500" t="s">
        <v>22117</v>
      </c>
      <c r="B71500" t="str">
        <f>HYPERLINK("https://lindat.mff.cuni.cz/services/teitok/pdtc10/index.php?action=vallex&amp;frame=v-w11414f1", "ztenčovat se (v-w11414f1)")</f>
        <v>ztenčovat se (v-w11414f1)</v>
      </c>
    </row>
    <row r="71501" spans="1:4" x14ac:dyDescent="0.2">
      <c r="B71501" t="s">
        <v>1</v>
      </c>
      <c r="C71501" t="s">
        <v>8231</v>
      </c>
      <c r="D71501" t="s">
        <v>23736</v>
      </c>
    </row>
    <row r="71502" spans="1:4" x14ac:dyDescent="0.2">
      <c r="B71502" t="s">
        <v>46</v>
      </c>
      <c r="D71502" t="s">
        <v>23737</v>
      </c>
    </row>
    <row r="71503" spans="1:4" x14ac:dyDescent="0.2">
      <c r="B71503" t="s">
        <v>24</v>
      </c>
      <c r="D71503" t="s">
        <v>23738</v>
      </c>
    </row>
    <row r="71505" spans="1:4" x14ac:dyDescent="0.2">
      <c r="A71505" t="s">
        <v>22118</v>
      </c>
      <c r="B71505" t="str">
        <f>HYPERLINK("https://lindat.mff.cuni.cz/services/teitok/pdtc10/index.php?action=vallex&amp;frame=v-w9905f1", "ztichnout (v-w9905f1)")</f>
        <v>ztichnout (v-w9905f1)</v>
      </c>
    </row>
    <row r="71506" spans="1:4" x14ac:dyDescent="0.2">
      <c r="B71506" t="s">
        <v>1</v>
      </c>
    </row>
    <row r="71508" spans="1:4" x14ac:dyDescent="0.2">
      <c r="A71508" t="s">
        <v>22119</v>
      </c>
      <c r="B71508" t="str">
        <f>HYPERLINK("https://lindat.mff.cuni.cz/services/teitok/pdtc10/index.php?action=vallex&amp;frame=v-w11402f1", "ztišit se (v-w11402f1)")</f>
        <v>ztišit se (v-w11402f1)</v>
      </c>
    </row>
    <row r="71509" spans="1:4" x14ac:dyDescent="0.2">
      <c r="B71509" t="s">
        <v>1</v>
      </c>
      <c r="C71509" t="s">
        <v>147</v>
      </c>
      <c r="D71509" t="s">
        <v>6793</v>
      </c>
    </row>
    <row r="71510" spans="1:4" x14ac:dyDescent="0.2">
      <c r="B71510" t="s">
        <v>46</v>
      </c>
    </row>
    <row r="71511" spans="1:4" x14ac:dyDescent="0.2">
      <c r="B71511" t="s">
        <v>24</v>
      </c>
    </row>
    <row r="71513" spans="1:4" x14ac:dyDescent="0.2">
      <c r="A71513" t="s">
        <v>22120</v>
      </c>
      <c r="B71513" t="str">
        <f>HYPERLINK("https://lindat.mff.cuni.cz/services/teitok/pdtc10/index.php?action=vallex&amp;frame=v-w9907f1", "ztlouci (v-w9907f1)")</f>
        <v>ztlouci (v-w9907f1)</v>
      </c>
    </row>
    <row r="71514" spans="1:4" x14ac:dyDescent="0.2">
      <c r="B71514" t="s">
        <v>1</v>
      </c>
    </row>
    <row r="71515" spans="1:4" x14ac:dyDescent="0.2">
      <c r="B71515" t="s">
        <v>8</v>
      </c>
    </row>
    <row r="71517" spans="1:4" x14ac:dyDescent="0.2">
      <c r="A71517" t="s">
        <v>22121</v>
      </c>
      <c r="B71517" t="str">
        <f>HYPERLINK("https://lindat.mff.cuni.cz/services/teitok/pdtc10/index.php?action=vallex&amp;frame=v-w10870f2", "ztloustnout (v-w10870f2)")</f>
        <v>ztloustnout (v-w10870f2)</v>
      </c>
    </row>
    <row r="71518" spans="1:4" x14ac:dyDescent="0.2">
      <c r="B71518" t="s">
        <v>1</v>
      </c>
    </row>
    <row r="71519" spans="1:4" x14ac:dyDescent="0.2">
      <c r="B71519" t="s">
        <v>46</v>
      </c>
    </row>
    <row r="71520" spans="1:4" x14ac:dyDescent="0.2">
      <c r="B71520" t="s">
        <v>24</v>
      </c>
    </row>
    <row r="71522" spans="1:4" x14ac:dyDescent="0.2">
      <c r="A71522" t="s">
        <v>22122</v>
      </c>
      <c r="B71522" t="str">
        <f>HYPERLINK("https://lindat.mff.cuni.cz/services/teitok/pdtc10/index.php?action=vallex&amp;frame=v-w9908f1", "ztlumit (v-w9908f1)")</f>
        <v>ztlumit (v-w9908f1)</v>
      </c>
    </row>
    <row r="71523" spans="1:4" x14ac:dyDescent="0.2">
      <c r="B71523" t="s">
        <v>1</v>
      </c>
      <c r="C71523" t="s">
        <v>373</v>
      </c>
      <c r="D71523" t="s">
        <v>3580</v>
      </c>
    </row>
    <row r="71524" spans="1:4" x14ac:dyDescent="0.2">
      <c r="B71524" t="s">
        <v>8</v>
      </c>
      <c r="C71524" t="s">
        <v>1066</v>
      </c>
      <c r="D71524" t="s">
        <v>23751</v>
      </c>
    </row>
    <row r="71525" spans="1:4" x14ac:dyDescent="0.2">
      <c r="B71525" t="s">
        <v>24</v>
      </c>
    </row>
    <row r="71526" spans="1:4" x14ac:dyDescent="0.2">
      <c r="B71526" t="s">
        <v>61</v>
      </c>
    </row>
    <row r="71528" spans="1:4" x14ac:dyDescent="0.2">
      <c r="A71528" t="s">
        <v>22123</v>
      </c>
      <c r="B71528" t="str">
        <f>HYPERLINK("https://lindat.mff.cuni.cz/services/teitok/pdtc10/index.php?action=vallex&amp;frame=v-w11798_ZUf1_ZU", "ztmavnout (v-w11798_ZUf1_ZU)")</f>
        <v>ztmavnout (v-w11798_ZUf1_ZU)</v>
      </c>
    </row>
    <row r="71529" spans="1:4" x14ac:dyDescent="0.2">
      <c r="B71529" t="s">
        <v>455</v>
      </c>
    </row>
    <row r="71530" spans="1:4" x14ac:dyDescent="0.2">
      <c r="B71530" t="s">
        <v>243</v>
      </c>
    </row>
    <row r="71532" spans="1:4" x14ac:dyDescent="0.2">
      <c r="A71532" t="s">
        <v>22124</v>
      </c>
      <c r="B71532" t="str">
        <f>HYPERLINK("https://lindat.mff.cuni.cz/services/teitok/pdtc10/index.php?action=vallex&amp;frame=v-w11798_ZUf2_ZU", "ztmavnout (v-w11798_ZUf2_ZU)")</f>
        <v>ztmavnout (v-w11798_ZUf2_ZU)</v>
      </c>
    </row>
    <row r="71533" spans="1:4" x14ac:dyDescent="0.2">
      <c r="B71533" t="s">
        <v>1</v>
      </c>
    </row>
    <row r="71535" spans="1:4" x14ac:dyDescent="0.2">
      <c r="A71535" t="s">
        <v>22125</v>
      </c>
      <c r="B71535" t="str">
        <f>HYPERLINK("https://lindat.mff.cuni.cz/services/teitok/pdtc10/index.php?action=vallex&amp;frame=v-w9909f1", "ztotožnit (v-w9909f1)")</f>
        <v>ztotožnit (v-w9909f1)</v>
      </c>
    </row>
    <row r="71536" spans="1:4" x14ac:dyDescent="0.2">
      <c r="B71536" t="s">
        <v>1</v>
      </c>
    </row>
    <row r="71537" spans="1:4" x14ac:dyDescent="0.2">
      <c r="B71537" t="s">
        <v>8</v>
      </c>
    </row>
    <row r="71538" spans="1:4" x14ac:dyDescent="0.2">
      <c r="B71538" t="s">
        <v>2604</v>
      </c>
    </row>
    <row r="71540" spans="1:4" x14ac:dyDescent="0.2">
      <c r="A71540" t="s">
        <v>22126</v>
      </c>
      <c r="B71540" t="str">
        <f>HYPERLINK("https://lindat.mff.cuni.cz/services/teitok/pdtc10/index.php?action=vallex&amp;frame=v-w9910f2", "ztotožnit se (v-w9910f2)")</f>
        <v>ztotožnit se (v-w9910f2)</v>
      </c>
    </row>
    <row r="71541" spans="1:4" x14ac:dyDescent="0.2">
      <c r="B71541" t="s">
        <v>1</v>
      </c>
      <c r="C71541" t="s">
        <v>1805</v>
      </c>
      <c r="D71541" t="s">
        <v>140</v>
      </c>
    </row>
    <row r="71542" spans="1:4" x14ac:dyDescent="0.2">
      <c r="B71542" t="s">
        <v>22127</v>
      </c>
    </row>
    <row r="71543" spans="1:4" x14ac:dyDescent="0.2">
      <c r="B71543" t="s">
        <v>153</v>
      </c>
      <c r="C71543" t="s">
        <v>22128</v>
      </c>
    </row>
    <row r="71545" spans="1:4" x14ac:dyDescent="0.2">
      <c r="A71545" t="s">
        <v>22129</v>
      </c>
      <c r="B71545" t="str">
        <f>HYPERLINK("https://lindat.mff.cuni.cz/services/teitok/pdtc10/index.php?action=vallex&amp;frame=v-w9910f1", "ztotožnit se (v-w9910f1)")</f>
        <v>ztotožnit se (v-w9910f1)</v>
      </c>
    </row>
    <row r="71546" spans="1:4" x14ac:dyDescent="0.2">
      <c r="B71546" t="s">
        <v>1</v>
      </c>
      <c r="C71546" t="s">
        <v>370</v>
      </c>
      <c r="D71546" t="s">
        <v>22948</v>
      </c>
    </row>
    <row r="71547" spans="1:4" x14ac:dyDescent="0.2">
      <c r="B71547" t="s">
        <v>411</v>
      </c>
      <c r="C71547" t="s">
        <v>14475</v>
      </c>
      <c r="D71547" t="s">
        <v>22949</v>
      </c>
    </row>
    <row r="71549" spans="1:4" x14ac:dyDescent="0.2">
      <c r="A71549" t="s">
        <v>22130</v>
      </c>
      <c r="B71549" t="str">
        <f>HYPERLINK("https://lindat.mff.cuni.cz/services/teitok/pdtc10/index.php?action=vallex&amp;frame=v-w9911f1", "ztotožňovat (v-w9911f1)")</f>
        <v>ztotožňovat (v-w9911f1)</v>
      </c>
    </row>
    <row r="71550" spans="1:4" x14ac:dyDescent="0.2">
      <c r="B71550" t="s">
        <v>1</v>
      </c>
    </row>
    <row r="71551" spans="1:4" x14ac:dyDescent="0.2">
      <c r="B71551" t="s">
        <v>8</v>
      </c>
    </row>
    <row r="71552" spans="1:4" x14ac:dyDescent="0.2">
      <c r="B71552" t="s">
        <v>2604</v>
      </c>
    </row>
    <row r="71554" spans="1:4" x14ac:dyDescent="0.2">
      <c r="A71554" t="s">
        <v>22131</v>
      </c>
      <c r="B71554" t="str">
        <f>HYPERLINK("https://lindat.mff.cuni.cz/services/teitok/pdtc10/index.php?action=vallex&amp;frame=v-w9912f1", "ztotožňovat se (v-w9912f1)")</f>
        <v>ztotožňovat se (v-w9912f1)</v>
      </c>
    </row>
    <row r="71555" spans="1:4" x14ac:dyDescent="0.2">
      <c r="B71555" t="s">
        <v>1</v>
      </c>
      <c r="C71555" t="s">
        <v>140</v>
      </c>
      <c r="D71555" t="s">
        <v>140</v>
      </c>
    </row>
    <row r="71556" spans="1:4" x14ac:dyDescent="0.2">
      <c r="B71556" t="s">
        <v>22132</v>
      </c>
    </row>
    <row r="71557" spans="1:4" x14ac:dyDescent="0.2">
      <c r="B71557" t="s">
        <v>153</v>
      </c>
    </row>
    <row r="71559" spans="1:4" x14ac:dyDescent="0.2">
      <c r="A71559" t="s">
        <v>22133</v>
      </c>
      <c r="B71559" t="str">
        <f>HYPERLINK("https://lindat.mff.cuni.cz/services/teitok/pdtc10/index.php?action=vallex&amp;frame=v-w9912f2", "ztotožňovat se (v-w9912f2)")</f>
        <v>ztotožňovat se (v-w9912f2)</v>
      </c>
    </row>
    <row r="71560" spans="1:4" x14ac:dyDescent="0.2">
      <c r="B71560" t="s">
        <v>1</v>
      </c>
      <c r="C71560" t="s">
        <v>22134</v>
      </c>
      <c r="D71560" t="s">
        <v>22948</v>
      </c>
    </row>
    <row r="71561" spans="1:4" x14ac:dyDescent="0.2">
      <c r="B71561" t="s">
        <v>411</v>
      </c>
      <c r="C71561" t="s">
        <v>5754</v>
      </c>
      <c r="D71561" t="s">
        <v>22949</v>
      </c>
    </row>
    <row r="71563" spans="1:4" x14ac:dyDescent="0.2">
      <c r="A71563" t="s">
        <v>22135</v>
      </c>
      <c r="B71563" t="str">
        <f>HYPERLINK("https://lindat.mff.cuni.cz/services/teitok/pdtc10/index.php?action=vallex&amp;frame=v-w9916f1", "ztrapnit (v-w9916f1)")</f>
        <v>ztrapnit (v-w9916f1)</v>
      </c>
    </row>
    <row r="71564" spans="1:4" x14ac:dyDescent="0.2">
      <c r="B71564" t="s">
        <v>1</v>
      </c>
      <c r="C71564" t="s">
        <v>33</v>
      </c>
      <c r="D71564" t="s">
        <v>133</v>
      </c>
    </row>
    <row r="71565" spans="1:4" x14ac:dyDescent="0.2">
      <c r="B71565" t="s">
        <v>8</v>
      </c>
      <c r="C71565" t="s">
        <v>23</v>
      </c>
      <c r="D71565" t="s">
        <v>23099</v>
      </c>
    </row>
    <row r="71567" spans="1:4" x14ac:dyDescent="0.2">
      <c r="A71567" t="s">
        <v>22136</v>
      </c>
      <c r="B71567" t="str">
        <f>HYPERLINK("https://lindat.mff.cuni.cz/services/teitok/pdtc10/index.php?action=vallex&amp;frame=v-w10190f2", "ztrapňovat (v-w10190f2)")</f>
        <v>ztrapňovat (v-w10190f2)</v>
      </c>
    </row>
    <row r="71568" spans="1:4" x14ac:dyDescent="0.2">
      <c r="B71568" t="s">
        <v>1</v>
      </c>
      <c r="D71568" t="s">
        <v>133</v>
      </c>
    </row>
    <row r="71569" spans="1:4" x14ac:dyDescent="0.2">
      <c r="B71569" t="s">
        <v>8</v>
      </c>
      <c r="D71569" t="s">
        <v>23099</v>
      </c>
    </row>
    <row r="71571" spans="1:4" x14ac:dyDescent="0.2">
      <c r="A71571" t="s">
        <v>22137</v>
      </c>
      <c r="B71571" t="str">
        <f>HYPERLINK("https://lindat.mff.cuni.cz/services/teitok/pdtc10/index.php?action=vallex&amp;frame=v-w9918f10", "ztratit (v-w9918f10)")</f>
        <v>ztratit (v-w9918f10)</v>
      </c>
    </row>
    <row r="71572" spans="1:4" x14ac:dyDescent="0.2">
      <c r="B71572" t="s">
        <v>1</v>
      </c>
      <c r="C71572" t="s">
        <v>22138</v>
      </c>
      <c r="D71572" t="s">
        <v>83</v>
      </c>
    </row>
    <row r="71573" spans="1:4" x14ac:dyDescent="0.2">
      <c r="B71573" t="s">
        <v>8</v>
      </c>
      <c r="C71573" t="s">
        <v>22139</v>
      </c>
      <c r="D71573" t="s">
        <v>1331</v>
      </c>
    </row>
    <row r="71574" spans="1:4" x14ac:dyDescent="0.2">
      <c r="B71574" t="s">
        <v>442</v>
      </c>
      <c r="C71574" t="s">
        <v>22140</v>
      </c>
    </row>
    <row r="71576" spans="1:4" x14ac:dyDescent="0.2">
      <c r="A71576" t="s">
        <v>22141</v>
      </c>
      <c r="B71576" t="str">
        <f>HYPERLINK("https://lindat.mff.cuni.cz/services/teitok/pdtc10/index.php?action=vallex&amp;frame=v-w9918f11_ZU", "ztratit (v-w9918f11_ZU)")</f>
        <v>ztratit (v-w9918f11_ZU)</v>
      </c>
    </row>
    <row r="71577" spans="1:4" x14ac:dyDescent="0.2">
      <c r="B71577" t="s">
        <v>1</v>
      </c>
      <c r="C71577" t="s">
        <v>22142</v>
      </c>
    </row>
    <row r="71578" spans="1:4" x14ac:dyDescent="0.2">
      <c r="B71578" t="s">
        <v>8</v>
      </c>
      <c r="C71578" t="s">
        <v>22143</v>
      </c>
    </row>
    <row r="71579" spans="1:4" x14ac:dyDescent="0.2">
      <c r="B71579" t="s">
        <v>61</v>
      </c>
      <c r="C71579" t="s">
        <v>22144</v>
      </c>
    </row>
    <row r="71581" spans="1:4" x14ac:dyDescent="0.2">
      <c r="A71581" t="s">
        <v>22145</v>
      </c>
      <c r="B71581" t="str">
        <f>HYPERLINK("https://lindat.mff.cuni.cz/services/teitok/pdtc10/index.php?action=vallex&amp;frame=v-w9918f1", "ztratit (v-w9918f1)")</f>
        <v>ztratit (v-w9918f1)</v>
      </c>
    </row>
    <row r="71582" spans="1:4" x14ac:dyDescent="0.2">
      <c r="B71582" t="s">
        <v>1</v>
      </c>
      <c r="C71582" t="s">
        <v>22146</v>
      </c>
      <c r="D71582" t="s">
        <v>12039</v>
      </c>
    </row>
    <row r="71583" spans="1:4" x14ac:dyDescent="0.2">
      <c r="B71583" t="s">
        <v>5474</v>
      </c>
      <c r="C71583" t="s">
        <v>22147</v>
      </c>
      <c r="D71583" t="s">
        <v>24047</v>
      </c>
    </row>
    <row r="71585" spans="1:4" x14ac:dyDescent="0.2">
      <c r="A71585" t="s">
        <v>22148</v>
      </c>
      <c r="B71585" t="str">
        <f>HYPERLINK("https://lindat.mff.cuni.cz/services/teitok/pdtc10/index.php?action=vallex&amp;frame=v-w9918f2", "ztratit (v-w9918f2)")</f>
        <v>ztratit (v-w9918f2)</v>
      </c>
    </row>
    <row r="71586" spans="1:4" x14ac:dyDescent="0.2">
      <c r="B71586" t="s">
        <v>1</v>
      </c>
      <c r="C71586" t="s">
        <v>12039</v>
      </c>
      <c r="D71586" t="s">
        <v>12039</v>
      </c>
    </row>
    <row r="71587" spans="1:4" x14ac:dyDescent="0.2">
      <c r="B71587" t="s">
        <v>8</v>
      </c>
      <c r="C71587" t="s">
        <v>7964</v>
      </c>
      <c r="D71587" t="s">
        <v>24047</v>
      </c>
    </row>
    <row r="71589" spans="1:4" x14ac:dyDescent="0.2">
      <c r="A71589" t="s">
        <v>22149</v>
      </c>
      <c r="B71589" t="str">
        <f>HYPERLINK("https://lindat.mff.cuni.cz/services/teitok/pdtc10/index.php?action=vallex&amp;frame=v-w9918f4", "ztratit (v-w9918f4)")</f>
        <v>ztratit (v-w9918f4)</v>
      </c>
    </row>
    <row r="71590" spans="1:4" x14ac:dyDescent="0.2">
      <c r="B71590" t="s">
        <v>1</v>
      </c>
      <c r="C71590" t="s">
        <v>22150</v>
      </c>
      <c r="D71590" t="s">
        <v>12039</v>
      </c>
    </row>
    <row r="71591" spans="1:4" x14ac:dyDescent="0.2">
      <c r="B71591" t="s">
        <v>8</v>
      </c>
      <c r="C71591" t="s">
        <v>22151</v>
      </c>
      <c r="D71591" t="s">
        <v>24047</v>
      </c>
    </row>
    <row r="71593" spans="1:4" x14ac:dyDescent="0.2">
      <c r="A71593" t="s">
        <v>22152</v>
      </c>
      <c r="B71593" t="str">
        <f>HYPERLINK("https://lindat.mff.cuni.cz/services/teitok/pdtc10/index.php?action=vallex&amp;frame=v-w9918f9", "ztratit (v-w9918f9)")</f>
        <v>ztratit (v-w9918f9)</v>
      </c>
    </row>
    <row r="71594" spans="1:4" x14ac:dyDescent="0.2">
      <c r="B71594" t="s">
        <v>1</v>
      </c>
      <c r="C71594" t="s">
        <v>12039</v>
      </c>
      <c r="D71594" t="s">
        <v>230</v>
      </c>
    </row>
    <row r="71595" spans="1:4" x14ac:dyDescent="0.2">
      <c r="B71595" t="s">
        <v>8</v>
      </c>
      <c r="C71595" t="s">
        <v>7964</v>
      </c>
      <c r="D71595" t="s">
        <v>11730</v>
      </c>
    </row>
    <row r="71597" spans="1:4" x14ac:dyDescent="0.2">
      <c r="A71597" t="s">
        <v>22153</v>
      </c>
      <c r="B71597" t="str">
        <f>HYPERLINK("https://lindat.mff.cuni.cz/services/teitok/pdtc10/index.php?action=vallex&amp;frame=v-w9918f15_ZU", "ztratit (v-w9918f15_ZU)")</f>
        <v>ztratit (v-w9918f15_ZU)</v>
      </c>
    </row>
    <row r="71598" spans="1:4" x14ac:dyDescent="0.2">
      <c r="B71598" t="s">
        <v>1</v>
      </c>
      <c r="C71598" t="s">
        <v>12039</v>
      </c>
    </row>
    <row r="71599" spans="1:4" x14ac:dyDescent="0.2">
      <c r="B71599" t="s">
        <v>22154</v>
      </c>
      <c r="C71599" t="s">
        <v>22155</v>
      </c>
    </row>
    <row r="71601" spans="1:3" x14ac:dyDescent="0.2">
      <c r="A71601" t="s">
        <v>22153</v>
      </c>
      <c r="B71601" t="str">
        <f>HYPERLINK("https://lindat.mff.cuni.cz/services/teitok/pdtc10/index.php?action=vallex&amp;frame=v-w9918f3", "ztratit (v-w9918f3) - substituted with v-w9918f15_ZU")</f>
        <v>ztratit (v-w9918f3) - substituted with v-w9918f15_ZU</v>
      </c>
    </row>
    <row r="71602" spans="1:3" x14ac:dyDescent="0.2">
      <c r="B71602" t="s">
        <v>1</v>
      </c>
      <c r="C71602" t="s">
        <v>12039</v>
      </c>
    </row>
    <row r="71603" spans="1:3" x14ac:dyDescent="0.2">
      <c r="B71603" t="s">
        <v>22154</v>
      </c>
      <c r="C71603" t="s">
        <v>22155</v>
      </c>
    </row>
    <row r="71605" spans="1:3" x14ac:dyDescent="0.2">
      <c r="A71605" t="s">
        <v>22153</v>
      </c>
      <c r="B71605" t="str">
        <f>HYPERLINK("https://lindat.mff.cuni.cz/services/teitok/pdtc10/index.php?action=vallex&amp;frame=v-w9918hsa_575", "ztratit (v-w9918hsa_575) - substituted with v-w9918f15_ZU")</f>
        <v>ztratit (v-w9918hsa_575) - substituted with v-w9918f15_ZU</v>
      </c>
    </row>
    <row r="71606" spans="1:3" x14ac:dyDescent="0.2">
      <c r="B71606" t="s">
        <v>1</v>
      </c>
    </row>
    <row r="71607" spans="1:3" x14ac:dyDescent="0.2">
      <c r="B71607" t="s">
        <v>22154</v>
      </c>
    </row>
    <row r="71609" spans="1:3" x14ac:dyDescent="0.2">
      <c r="A71609" t="s">
        <v>22156</v>
      </c>
      <c r="B71609" t="str">
        <f>HYPERLINK("https://lindat.mff.cuni.cz/services/teitok/pdtc10/index.php?action=vallex&amp;frame=v-w9918f8", "ztratit (v-w9918f8)")</f>
        <v>ztratit (v-w9918f8)</v>
      </c>
    </row>
    <row r="71610" spans="1:3" x14ac:dyDescent="0.2">
      <c r="B71610" t="s">
        <v>488</v>
      </c>
    </row>
    <row r="71611" spans="1:3" x14ac:dyDescent="0.2">
      <c r="B71611" t="s">
        <v>13840</v>
      </c>
    </row>
    <row r="71612" spans="1:3" x14ac:dyDescent="0.2">
      <c r="B71612" t="s">
        <v>41</v>
      </c>
    </row>
    <row r="71614" spans="1:3" x14ac:dyDescent="0.2">
      <c r="A71614" t="s">
        <v>22157</v>
      </c>
      <c r="B71614" t="str">
        <f>HYPERLINK("https://lindat.mff.cuni.cz/services/teitok/pdtc10/index.php?action=vallex&amp;frame=v-w9918f12_ZU", "ztratit (v-w9918f12_ZU)")</f>
        <v>ztratit (v-w9918f12_ZU)</v>
      </c>
    </row>
    <row r="71615" spans="1:3" x14ac:dyDescent="0.2">
      <c r="B71615" t="s">
        <v>1</v>
      </c>
    </row>
    <row r="71616" spans="1:3" x14ac:dyDescent="0.2">
      <c r="B71616" t="s">
        <v>8</v>
      </c>
    </row>
    <row r="71617" spans="1:2" x14ac:dyDescent="0.2">
      <c r="B71617" t="s">
        <v>22158</v>
      </c>
    </row>
    <row r="71619" spans="1:2" x14ac:dyDescent="0.2">
      <c r="A71619" t="s">
        <v>22157</v>
      </c>
      <c r="B71619" t="str">
        <f>HYPERLINK("https://lindat.mff.cuni.cz/services/teitok/pdtc10/index.php?action=vallex&amp;frame=v-w9918f5", "ztratit (v-w9918f5) - substituted with v-w9918f12_ZU")</f>
        <v>ztratit (v-w9918f5) - substituted with v-w9918f12_ZU</v>
      </c>
    </row>
    <row r="71620" spans="1:2" x14ac:dyDescent="0.2">
      <c r="B71620" t="s">
        <v>1</v>
      </c>
    </row>
    <row r="71621" spans="1:2" x14ac:dyDescent="0.2">
      <c r="B71621" t="s">
        <v>8</v>
      </c>
    </row>
    <row r="71622" spans="1:2" x14ac:dyDescent="0.2">
      <c r="B71622" t="s">
        <v>22158</v>
      </c>
    </row>
    <row r="71624" spans="1:2" x14ac:dyDescent="0.2">
      <c r="A71624" t="s">
        <v>22159</v>
      </c>
      <c r="B71624" t="str">
        <f>HYPERLINK("https://lindat.mff.cuni.cz/services/teitok/pdtc10/index.php?action=vallex&amp;frame=v-w9918f13_ZU", "ztratit (v-w9918f13_ZU)")</f>
        <v>ztratit (v-w9918f13_ZU)</v>
      </c>
    </row>
    <row r="71625" spans="1:2" x14ac:dyDescent="0.2">
      <c r="B71625" t="s">
        <v>1</v>
      </c>
    </row>
    <row r="71626" spans="1:2" x14ac:dyDescent="0.2">
      <c r="B71626" t="s">
        <v>8</v>
      </c>
    </row>
    <row r="71627" spans="1:2" x14ac:dyDescent="0.2">
      <c r="B71627" t="s">
        <v>22160</v>
      </c>
    </row>
    <row r="71629" spans="1:2" x14ac:dyDescent="0.2">
      <c r="A71629" t="s">
        <v>22159</v>
      </c>
      <c r="B71629" t="str">
        <f>HYPERLINK("https://lindat.mff.cuni.cz/services/teitok/pdtc10/index.php?action=vallex&amp;frame=v-w9918f7", "ztratit (v-w9918f7) - substituted with v-w9918f13_ZU")</f>
        <v>ztratit (v-w9918f7) - substituted with v-w9918f13_ZU</v>
      </c>
    </row>
    <row r="71630" spans="1:2" x14ac:dyDescent="0.2">
      <c r="B71630" t="s">
        <v>1</v>
      </c>
    </row>
    <row r="71631" spans="1:2" x14ac:dyDescent="0.2">
      <c r="B71631" t="s">
        <v>8</v>
      </c>
    </row>
    <row r="71632" spans="1:2" x14ac:dyDescent="0.2">
      <c r="B71632" t="s">
        <v>22160</v>
      </c>
    </row>
    <row r="71634" spans="1:3" x14ac:dyDescent="0.2">
      <c r="A71634" t="s">
        <v>22161</v>
      </c>
      <c r="B71634" t="str">
        <f>HYPERLINK("https://lindat.mff.cuni.cz/services/teitok/pdtc10/index.php?action=vallex&amp;frame=v-w9918f14_ZU", "ztratit (v-w9918f14_ZU)")</f>
        <v>ztratit (v-w9918f14_ZU)</v>
      </c>
    </row>
    <row r="71635" spans="1:3" x14ac:dyDescent="0.2">
      <c r="B71635" t="s">
        <v>1</v>
      </c>
    </row>
    <row r="71636" spans="1:3" x14ac:dyDescent="0.2">
      <c r="B71636" t="s">
        <v>8</v>
      </c>
    </row>
    <row r="71637" spans="1:3" x14ac:dyDescent="0.2">
      <c r="B71637" t="s">
        <v>13837</v>
      </c>
    </row>
    <row r="71639" spans="1:3" x14ac:dyDescent="0.2">
      <c r="A71639" t="s">
        <v>22161</v>
      </c>
      <c r="B71639" t="str">
        <f>HYPERLINK("https://lindat.mff.cuni.cz/services/teitok/pdtc10/index.php?action=vallex&amp;frame=v-w9918f6", "ztratit (v-w9918f6) - substituted with v-w9918f14_ZU")</f>
        <v>ztratit (v-w9918f6) - substituted with v-w9918f14_ZU</v>
      </c>
    </row>
    <row r="71640" spans="1:3" x14ac:dyDescent="0.2">
      <c r="B71640" t="s">
        <v>1</v>
      </c>
    </row>
    <row r="71641" spans="1:3" x14ac:dyDescent="0.2">
      <c r="B71641" t="s">
        <v>8</v>
      </c>
    </row>
    <row r="71642" spans="1:3" x14ac:dyDescent="0.2">
      <c r="B71642" t="s">
        <v>13837</v>
      </c>
    </row>
    <row r="71644" spans="1:3" x14ac:dyDescent="0.2">
      <c r="A71644" t="s">
        <v>22162</v>
      </c>
      <c r="B71644" t="str">
        <f>HYPERLINK("https://lindat.mff.cuni.cz/services/teitok/pdtc10/index.php?action=vallex&amp;frame=v-w9919f1", "ztratit se (v-w9919f1)")</f>
        <v>ztratit se (v-w9919f1)</v>
      </c>
    </row>
    <row r="71645" spans="1:3" x14ac:dyDescent="0.2">
      <c r="B71645" t="s">
        <v>1</v>
      </c>
      <c r="C71645" t="s">
        <v>22163</v>
      </c>
    </row>
    <row r="71647" spans="1:3" x14ac:dyDescent="0.2">
      <c r="A71647" t="s">
        <v>22164</v>
      </c>
      <c r="B71647" t="str">
        <f>HYPERLINK("https://lindat.mff.cuni.cz/services/teitok/pdtc10/index.php?action=vallex&amp;frame=v-w9919f2", "ztratit se (v-w9919f2)")</f>
        <v>ztratit se (v-w9919f2)</v>
      </c>
    </row>
    <row r="71648" spans="1:3" x14ac:dyDescent="0.2">
      <c r="B71648" t="s">
        <v>1</v>
      </c>
    </row>
    <row r="71649" spans="1:4" x14ac:dyDescent="0.2">
      <c r="B71649" t="s">
        <v>22158</v>
      </c>
    </row>
    <row r="71651" spans="1:4" x14ac:dyDescent="0.2">
      <c r="A71651" t="s">
        <v>22165</v>
      </c>
      <c r="B71651" t="str">
        <f>HYPERLINK("https://lindat.mff.cuni.cz/services/teitok/pdtc10/index.php?action=vallex&amp;frame=v-whsa_851hsa_852", "ztrhat (v-whsa_851hsa_852)")</f>
        <v>ztrhat (v-whsa_851hsa_852)</v>
      </c>
    </row>
    <row r="71652" spans="1:4" x14ac:dyDescent="0.2">
      <c r="B71652" t="s">
        <v>1</v>
      </c>
    </row>
    <row r="71653" spans="1:4" x14ac:dyDescent="0.2">
      <c r="B71653" t="s">
        <v>8</v>
      </c>
    </row>
    <row r="71655" spans="1:4" x14ac:dyDescent="0.2">
      <c r="A71655" t="s">
        <v>22166</v>
      </c>
      <c r="B71655" t="str">
        <f>HYPERLINK("https://lindat.mff.cuni.cz/services/teitok/pdtc10/index.php?action=vallex&amp;frame=v-w9921f1", "ztrojnásobit (v-w9921f1)")</f>
        <v>ztrojnásobit (v-w9921f1)</v>
      </c>
    </row>
    <row r="71656" spans="1:4" x14ac:dyDescent="0.2">
      <c r="B71656" t="s">
        <v>1</v>
      </c>
      <c r="C71656" t="s">
        <v>9773</v>
      </c>
      <c r="D71656" t="s">
        <v>23604</v>
      </c>
    </row>
    <row r="71657" spans="1:4" x14ac:dyDescent="0.2">
      <c r="B71657" t="s">
        <v>8</v>
      </c>
      <c r="C71657" t="s">
        <v>991</v>
      </c>
      <c r="D71657" t="s">
        <v>155</v>
      </c>
    </row>
    <row r="71658" spans="1:4" x14ac:dyDescent="0.2">
      <c r="B71658" t="s">
        <v>24</v>
      </c>
      <c r="C71658" t="s">
        <v>10630</v>
      </c>
      <c r="D71658" t="s">
        <v>24525</v>
      </c>
    </row>
    <row r="71659" spans="1:4" x14ac:dyDescent="0.2">
      <c r="B71659" t="s">
        <v>61</v>
      </c>
      <c r="C71659" t="s">
        <v>9764</v>
      </c>
      <c r="D71659" t="s">
        <v>24526</v>
      </c>
    </row>
    <row r="71661" spans="1:4" x14ac:dyDescent="0.2">
      <c r="A71661" t="s">
        <v>22167</v>
      </c>
      <c r="B71661" t="str">
        <f>HYPERLINK("https://lindat.mff.cuni.cz/services/teitok/pdtc10/index.php?action=vallex&amp;frame=v-w9922f2_ZU", "ztrojnásobit se (v-w9922f2_ZU)")</f>
        <v>ztrojnásobit se (v-w9922f2_ZU)</v>
      </c>
    </row>
    <row r="71662" spans="1:4" x14ac:dyDescent="0.2">
      <c r="B71662" t="s">
        <v>1</v>
      </c>
      <c r="C71662" t="s">
        <v>553</v>
      </c>
      <c r="D71662" t="s">
        <v>24527</v>
      </c>
    </row>
    <row r="71663" spans="1:4" x14ac:dyDescent="0.2">
      <c r="B71663" t="s">
        <v>46</v>
      </c>
      <c r="C71663" t="s">
        <v>5434</v>
      </c>
      <c r="D71663" t="s">
        <v>24528</v>
      </c>
    </row>
    <row r="71664" spans="1:4" x14ac:dyDescent="0.2">
      <c r="B71664" t="s">
        <v>24</v>
      </c>
      <c r="C71664" t="s">
        <v>10630</v>
      </c>
      <c r="D71664" t="s">
        <v>24525</v>
      </c>
    </row>
    <row r="71666" spans="1:4" x14ac:dyDescent="0.2">
      <c r="A71666" t="s">
        <v>22167</v>
      </c>
      <c r="B71666" t="str">
        <f>HYPERLINK("https://lindat.mff.cuni.cz/services/teitok/pdtc10/index.php?action=vallex&amp;frame=v-w9922f1", "ztrojnásobit se (v-w9922f1) - substituted with v-w9922f2_ZU")</f>
        <v>ztrojnásobit se (v-w9922f1) - substituted with v-w9922f2_ZU</v>
      </c>
    </row>
    <row r="71667" spans="1:4" x14ac:dyDescent="0.2">
      <c r="B71667" t="s">
        <v>1</v>
      </c>
      <c r="C71667" t="s">
        <v>553</v>
      </c>
    </row>
    <row r="71668" spans="1:4" x14ac:dyDescent="0.2">
      <c r="B71668" t="s">
        <v>46</v>
      </c>
    </row>
    <row r="71669" spans="1:4" x14ac:dyDescent="0.2">
      <c r="B71669" t="s">
        <v>24</v>
      </c>
    </row>
    <row r="71671" spans="1:4" x14ac:dyDescent="0.2">
      <c r="A71671" t="s">
        <v>22168</v>
      </c>
      <c r="B71671" t="str">
        <f>HYPERLINK("https://lindat.mff.cuni.cz/services/teitok/pdtc10/index.php?action=vallex&amp;frame=v-w9924f1", "ztroskotat (v-w9924f1)")</f>
        <v>ztroskotat (v-w9924f1)</v>
      </c>
    </row>
    <row r="71672" spans="1:4" x14ac:dyDescent="0.2">
      <c r="B71672" t="s">
        <v>1</v>
      </c>
      <c r="C71672" t="s">
        <v>12153</v>
      </c>
      <c r="D71672" t="s">
        <v>23775</v>
      </c>
    </row>
    <row r="71674" spans="1:4" x14ac:dyDescent="0.2">
      <c r="A71674" t="s">
        <v>22169</v>
      </c>
      <c r="B71674" t="str">
        <f>HYPERLINK("https://lindat.mff.cuni.cz/services/teitok/pdtc10/index.php?action=vallex&amp;frame=v-w9924f2", "ztroskotat (v-w9924f2)")</f>
        <v>ztroskotat (v-w9924f2)</v>
      </c>
    </row>
    <row r="71675" spans="1:4" x14ac:dyDescent="0.2">
      <c r="B71675" t="s">
        <v>1</v>
      </c>
    </row>
    <row r="71677" spans="1:4" x14ac:dyDescent="0.2">
      <c r="A71677" t="s">
        <v>22170</v>
      </c>
      <c r="B71677" t="str">
        <f>HYPERLINK("https://lindat.mff.cuni.cz/services/teitok/pdtc10/index.php?action=vallex&amp;frame=v-w10632f2", "ztroskotávat (v-w10632f2)")</f>
        <v>ztroskotávat (v-w10632f2)</v>
      </c>
    </row>
    <row r="71678" spans="1:4" x14ac:dyDescent="0.2">
      <c r="B71678" t="s">
        <v>1</v>
      </c>
      <c r="D71678" t="s">
        <v>1593</v>
      </c>
    </row>
    <row r="71680" spans="1:4" x14ac:dyDescent="0.2">
      <c r="A71680" t="s">
        <v>22171</v>
      </c>
      <c r="B71680" t="str">
        <f>HYPERLINK("https://lindat.mff.cuni.cz/services/teitok/pdtc10/index.php?action=vallex&amp;frame=v-whsa_274hsa_275", "ztrpknout (v-whsa_274hsa_275)")</f>
        <v>ztrpknout (v-whsa_274hsa_275)</v>
      </c>
    </row>
    <row r="71681" spans="1:4" x14ac:dyDescent="0.2">
      <c r="B71681" t="s">
        <v>1</v>
      </c>
    </row>
    <row r="71683" spans="1:4" x14ac:dyDescent="0.2">
      <c r="A71683" t="s">
        <v>22172</v>
      </c>
      <c r="B71683" t="str">
        <f>HYPERLINK("https://lindat.mff.cuni.cz/services/teitok/pdtc10/index.php?action=vallex&amp;frame=v-w9925f1", "ztrpčovat (v-w9925f1)")</f>
        <v>ztrpčovat (v-w9925f1)</v>
      </c>
    </row>
    <row r="71684" spans="1:4" x14ac:dyDescent="0.2">
      <c r="B71684" t="s">
        <v>1</v>
      </c>
    </row>
    <row r="71685" spans="1:4" x14ac:dyDescent="0.2">
      <c r="B71685" t="s">
        <v>8</v>
      </c>
    </row>
    <row r="71687" spans="1:4" x14ac:dyDescent="0.2">
      <c r="A71687" t="s">
        <v>22173</v>
      </c>
      <c r="B71687" t="str">
        <f>HYPERLINK("https://lindat.mff.cuni.cz/services/teitok/pdtc10/index.php?action=vallex&amp;frame=v-w9914f4", "ztrácet (v-w9914f4)")</f>
        <v>ztrácet (v-w9914f4)</v>
      </c>
    </row>
    <row r="71688" spans="1:4" x14ac:dyDescent="0.2">
      <c r="B71688" t="s">
        <v>1</v>
      </c>
      <c r="C71688" t="s">
        <v>12039</v>
      </c>
      <c r="D71688" t="s">
        <v>83</v>
      </c>
    </row>
    <row r="71689" spans="1:4" x14ac:dyDescent="0.2">
      <c r="B71689" t="s">
        <v>8</v>
      </c>
      <c r="C71689" t="s">
        <v>7964</v>
      </c>
      <c r="D71689" t="s">
        <v>1331</v>
      </c>
    </row>
    <row r="71690" spans="1:4" x14ac:dyDescent="0.2">
      <c r="B71690" t="s">
        <v>442</v>
      </c>
    </row>
    <row r="71692" spans="1:4" x14ac:dyDescent="0.2">
      <c r="A71692" t="s">
        <v>22174</v>
      </c>
      <c r="B71692" t="str">
        <f>HYPERLINK("https://lindat.mff.cuni.cz/services/teitok/pdtc10/index.php?action=vallex&amp;frame=v-w9914f1", "ztrácet (v-w9914f1)")</f>
        <v>ztrácet (v-w9914f1)</v>
      </c>
    </row>
    <row r="71693" spans="1:4" x14ac:dyDescent="0.2">
      <c r="B71693" t="s">
        <v>1</v>
      </c>
      <c r="C71693" t="s">
        <v>22175</v>
      </c>
      <c r="D71693" t="s">
        <v>12039</v>
      </c>
    </row>
    <row r="71694" spans="1:4" x14ac:dyDescent="0.2">
      <c r="B71694" t="s">
        <v>5474</v>
      </c>
      <c r="C71694" t="s">
        <v>22176</v>
      </c>
      <c r="D71694" t="s">
        <v>24047</v>
      </c>
    </row>
    <row r="71696" spans="1:4" x14ac:dyDescent="0.2">
      <c r="A71696" t="s">
        <v>22177</v>
      </c>
      <c r="B71696" t="str">
        <f>HYPERLINK("https://lindat.mff.cuni.cz/services/teitok/pdtc10/index.php?action=vallex&amp;frame=v-w9914f2", "ztrácet (v-w9914f2)")</f>
        <v>ztrácet (v-w9914f2)</v>
      </c>
    </row>
    <row r="71697" spans="1:4" x14ac:dyDescent="0.2">
      <c r="B71697" t="s">
        <v>1</v>
      </c>
      <c r="C71697" t="s">
        <v>22178</v>
      </c>
      <c r="D71697" t="s">
        <v>12039</v>
      </c>
    </row>
    <row r="71698" spans="1:4" x14ac:dyDescent="0.2">
      <c r="B71698" t="s">
        <v>8</v>
      </c>
      <c r="C71698" t="s">
        <v>22179</v>
      </c>
      <c r="D71698" t="s">
        <v>24047</v>
      </c>
    </row>
    <row r="71700" spans="1:4" x14ac:dyDescent="0.2">
      <c r="A71700" t="s">
        <v>22180</v>
      </c>
      <c r="B71700" t="str">
        <f>HYPERLINK("https://lindat.mff.cuni.cz/services/teitok/pdtc10/index.php?action=vallex&amp;frame=v-w9914f8", "ztrácet (v-w9914f8)")</f>
        <v>ztrácet (v-w9914f8)</v>
      </c>
    </row>
    <row r="71701" spans="1:4" x14ac:dyDescent="0.2">
      <c r="B71701" t="s">
        <v>1</v>
      </c>
      <c r="D71701" t="s">
        <v>230</v>
      </c>
    </row>
    <row r="71702" spans="1:4" x14ac:dyDescent="0.2">
      <c r="B71702" t="s">
        <v>8</v>
      </c>
      <c r="D71702" t="s">
        <v>11730</v>
      </c>
    </row>
    <row r="71704" spans="1:4" x14ac:dyDescent="0.2">
      <c r="A71704" t="s">
        <v>22181</v>
      </c>
      <c r="B71704" t="str">
        <f>HYPERLINK("https://lindat.mff.cuni.cz/services/teitok/pdtc10/index.php?action=vallex&amp;frame=v-w9914f7", "ztrácet (v-w9914f7)")</f>
        <v>ztrácet (v-w9914f7)</v>
      </c>
    </row>
    <row r="71705" spans="1:4" x14ac:dyDescent="0.2">
      <c r="B71705" t="s">
        <v>1</v>
      </c>
      <c r="D71705" t="s">
        <v>12039</v>
      </c>
    </row>
    <row r="71706" spans="1:4" x14ac:dyDescent="0.2">
      <c r="B71706" t="s">
        <v>8</v>
      </c>
      <c r="D71706" t="s">
        <v>24047</v>
      </c>
    </row>
    <row r="71708" spans="1:4" x14ac:dyDescent="0.2">
      <c r="A71708" t="s">
        <v>22182</v>
      </c>
      <c r="B71708" t="str">
        <f>HYPERLINK("https://lindat.mff.cuni.cz/services/teitok/pdtc10/index.php?action=vallex&amp;frame=v-w9914f11_ZU", "ztrácet (v-w9914f11_ZU)")</f>
        <v>ztrácet (v-w9914f11_ZU)</v>
      </c>
    </row>
    <row r="71709" spans="1:4" x14ac:dyDescent="0.2">
      <c r="B71709" t="s">
        <v>1</v>
      </c>
      <c r="C71709" t="s">
        <v>12039</v>
      </c>
      <c r="D71709" t="s">
        <v>12039</v>
      </c>
    </row>
    <row r="71710" spans="1:4" x14ac:dyDescent="0.2">
      <c r="B71710" t="s">
        <v>22183</v>
      </c>
      <c r="C71710" t="s">
        <v>22184</v>
      </c>
      <c r="D71710" t="s">
        <v>22184</v>
      </c>
    </row>
    <row r="71712" spans="1:4" x14ac:dyDescent="0.2">
      <c r="A71712" t="s">
        <v>22182</v>
      </c>
      <c r="B71712" t="str">
        <f>HYPERLINK("https://lindat.mff.cuni.cz/services/teitok/pdtc10/index.php?action=vallex&amp;frame=v-w9914f3", "ztrácet (v-w9914f3) - substituted with v-w9914f11_ZU")</f>
        <v>ztrácet (v-w9914f3) - substituted with v-w9914f11_ZU</v>
      </c>
    </row>
    <row r="71713" spans="1:2" x14ac:dyDescent="0.2">
      <c r="B71713" t="s">
        <v>1</v>
      </c>
    </row>
    <row r="71714" spans="1:2" x14ac:dyDescent="0.2">
      <c r="B71714" t="s">
        <v>22183</v>
      </c>
    </row>
    <row r="71716" spans="1:2" x14ac:dyDescent="0.2">
      <c r="A71716" t="s">
        <v>22182</v>
      </c>
      <c r="B71716" t="str">
        <f>HYPERLINK("https://lindat.mff.cuni.cz/services/teitok/pdtc10/index.php?action=vallex&amp;frame=v-w9914hsa_822", "ztrácet (v-w9914hsa_822) - substituted with v-w9914f11_ZU")</f>
        <v>ztrácet (v-w9914hsa_822) - substituted with v-w9914f11_ZU</v>
      </c>
    </row>
    <row r="71717" spans="1:2" x14ac:dyDescent="0.2">
      <c r="B71717" t="s">
        <v>1</v>
      </c>
    </row>
    <row r="71718" spans="1:2" x14ac:dyDescent="0.2">
      <c r="B71718" t="s">
        <v>22183</v>
      </c>
    </row>
    <row r="71720" spans="1:2" x14ac:dyDescent="0.2">
      <c r="A71720" t="s">
        <v>22185</v>
      </c>
      <c r="B71720" t="str">
        <f>HYPERLINK("https://lindat.mff.cuni.cz/services/teitok/pdtc10/index.php?action=vallex&amp;frame=v-w9914f6", "ztrácet (v-w9914f6)")</f>
        <v>ztrácet (v-w9914f6)</v>
      </c>
    </row>
    <row r="71721" spans="1:2" x14ac:dyDescent="0.2">
      <c r="B71721" t="s">
        <v>488</v>
      </c>
    </row>
    <row r="71722" spans="1:2" x14ac:dyDescent="0.2">
      <c r="B71722" t="s">
        <v>13840</v>
      </c>
    </row>
    <row r="71723" spans="1:2" x14ac:dyDescent="0.2">
      <c r="B71723" t="s">
        <v>41</v>
      </c>
    </row>
    <row r="71725" spans="1:2" x14ac:dyDescent="0.2">
      <c r="A71725" t="s">
        <v>22186</v>
      </c>
      <c r="B71725" t="str">
        <f>HYPERLINK("https://lindat.mff.cuni.cz/services/teitok/pdtc10/index.php?action=vallex&amp;frame=v-w9914f5", "ztrácet (v-w9914f5)")</f>
        <v>ztrácet (v-w9914f5)</v>
      </c>
    </row>
    <row r="71726" spans="1:2" x14ac:dyDescent="0.2">
      <c r="B71726" t="s">
        <v>1</v>
      </c>
    </row>
    <row r="71727" spans="1:2" x14ac:dyDescent="0.2">
      <c r="B71727" t="s">
        <v>22158</v>
      </c>
    </row>
    <row r="71728" spans="1:2" x14ac:dyDescent="0.2">
      <c r="B71728" t="s">
        <v>8</v>
      </c>
    </row>
    <row r="71730" spans="1:3" x14ac:dyDescent="0.2">
      <c r="A71730" t="s">
        <v>22187</v>
      </c>
      <c r="B71730" t="str">
        <f>HYPERLINK("https://lindat.mff.cuni.cz/services/teitok/pdtc10/index.php?action=vallex&amp;frame=v-w9914f9_ZU", "ztrácet (v-w9914f9_ZU)")</f>
        <v>ztrácet (v-w9914f9_ZU)</v>
      </c>
    </row>
    <row r="71731" spans="1:3" x14ac:dyDescent="0.2">
      <c r="B71731" t="s">
        <v>1</v>
      </c>
      <c r="C71731" t="s">
        <v>140</v>
      </c>
    </row>
    <row r="71732" spans="1:3" x14ac:dyDescent="0.2">
      <c r="B71732" t="s">
        <v>9682</v>
      </c>
      <c r="C71732" t="s">
        <v>397</v>
      </c>
    </row>
    <row r="71734" spans="1:3" x14ac:dyDescent="0.2">
      <c r="A71734" t="s">
        <v>22187</v>
      </c>
      <c r="B71734" t="str">
        <f>HYPERLINK("https://lindat.mff.cuni.cz/services/teitok/pdtc10/index.php?action=vallex&amp;frame=v-w9914hsa_823", "ztrácet (v-w9914hsa_823) - substituted with v-w9914f9_ZU")</f>
        <v>ztrácet (v-w9914hsa_823) - substituted with v-w9914f9_ZU</v>
      </c>
    </row>
    <row r="71735" spans="1:3" x14ac:dyDescent="0.2">
      <c r="B71735" t="s">
        <v>1</v>
      </c>
    </row>
    <row r="71736" spans="1:3" x14ac:dyDescent="0.2">
      <c r="B71736" t="s">
        <v>9682</v>
      </c>
    </row>
    <row r="71738" spans="1:3" x14ac:dyDescent="0.2">
      <c r="A71738" t="s">
        <v>22188</v>
      </c>
      <c r="B71738" t="str">
        <f>HYPERLINK("https://lindat.mff.cuni.cz/services/teitok/pdtc10/index.php?action=vallex&amp;frame=v-w9914f10_ZU", "ztrácet (v-w9914f10_ZU)")</f>
        <v>ztrácet (v-w9914f10_ZU)</v>
      </c>
    </row>
    <row r="71739" spans="1:3" x14ac:dyDescent="0.2">
      <c r="B71739" t="s">
        <v>1</v>
      </c>
    </row>
    <row r="71740" spans="1:3" x14ac:dyDescent="0.2">
      <c r="B71740" t="s">
        <v>22189</v>
      </c>
    </row>
    <row r="71742" spans="1:3" x14ac:dyDescent="0.2">
      <c r="A71742" t="s">
        <v>22188</v>
      </c>
      <c r="B71742" t="str">
        <f>HYPERLINK("https://lindat.mff.cuni.cz/services/teitok/pdtc10/index.php?action=vallex&amp;frame=v-w9914hsa_824", "ztrácet (v-w9914hsa_824) - substituted with v-w9914f10_ZU")</f>
        <v>ztrácet (v-w9914hsa_824) - substituted with v-w9914f10_ZU</v>
      </c>
    </row>
    <row r="71743" spans="1:3" x14ac:dyDescent="0.2">
      <c r="B71743" t="s">
        <v>1</v>
      </c>
    </row>
    <row r="71744" spans="1:3" x14ac:dyDescent="0.2">
      <c r="B71744" t="s">
        <v>22189</v>
      </c>
    </row>
    <row r="71746" spans="1:3" x14ac:dyDescent="0.2">
      <c r="A71746" t="s">
        <v>22190</v>
      </c>
      <c r="B71746" t="str">
        <f>HYPERLINK("https://lindat.mff.cuni.cz/services/teitok/pdtc10/index.php?action=vallex&amp;frame=v-w9915f1", "ztrácet se (v-w9915f1)")</f>
        <v>ztrácet se (v-w9915f1)</v>
      </c>
    </row>
    <row r="71747" spans="1:3" x14ac:dyDescent="0.2">
      <c r="B71747" t="s">
        <v>1</v>
      </c>
      <c r="C71747" t="s">
        <v>22191</v>
      </c>
    </row>
    <row r="71749" spans="1:3" x14ac:dyDescent="0.2">
      <c r="A71749" t="s">
        <v>22192</v>
      </c>
      <c r="B71749" t="str">
        <f>HYPERLINK("https://lindat.mff.cuni.cz/services/teitok/pdtc10/index.php?action=vallex&amp;frame=v-w9926f1", "ztuhnout (v-w9926f1)")</f>
        <v>ztuhnout (v-w9926f1)</v>
      </c>
    </row>
    <row r="71750" spans="1:3" x14ac:dyDescent="0.2">
      <c r="B71750" t="s">
        <v>1</v>
      </c>
      <c r="C71750" t="s">
        <v>249</v>
      </c>
    </row>
    <row r="71752" spans="1:3" x14ac:dyDescent="0.2">
      <c r="A71752" t="s">
        <v>22193</v>
      </c>
      <c r="B71752" t="str">
        <f>HYPERLINK("https://lindat.mff.cuni.cz/services/teitok/pdtc10/index.php?action=vallex&amp;frame=v-w9926f2", "ztuhnout (v-w9926f2)")</f>
        <v>ztuhnout (v-w9926f2)</v>
      </c>
    </row>
    <row r="71753" spans="1:3" x14ac:dyDescent="0.2">
      <c r="B71753" t="s">
        <v>1</v>
      </c>
    </row>
    <row r="71755" spans="1:3" x14ac:dyDescent="0.2">
      <c r="A71755" t="s">
        <v>22194</v>
      </c>
      <c r="B71755" t="str">
        <f>HYPERLINK("https://lindat.mff.cuni.cz/services/teitok/pdtc10/index.php?action=vallex&amp;frame=v-w11408f1", "ztupit (v-w11408f1)")</f>
        <v>ztupit (v-w11408f1)</v>
      </c>
    </row>
    <row r="71756" spans="1:3" x14ac:dyDescent="0.2">
      <c r="B71756" t="s">
        <v>1</v>
      </c>
    </row>
    <row r="71757" spans="1:3" x14ac:dyDescent="0.2">
      <c r="B71757" t="s">
        <v>8</v>
      </c>
    </row>
    <row r="71759" spans="1:3" x14ac:dyDescent="0.2">
      <c r="A71759" t="s">
        <v>22195</v>
      </c>
      <c r="B71759" t="str">
        <f>HYPERLINK("https://lindat.mff.cuni.cz/services/teitok/pdtc10/index.php?action=vallex&amp;frame=v-w9929f1", "ztvrdit (v-w9929f1)")</f>
        <v>ztvrdit (v-w9929f1)</v>
      </c>
    </row>
    <row r="71760" spans="1:3" x14ac:dyDescent="0.2">
      <c r="B71760" t="s">
        <v>1</v>
      </c>
    </row>
    <row r="71761" spans="1:4" x14ac:dyDescent="0.2">
      <c r="B71761" t="s">
        <v>8</v>
      </c>
    </row>
    <row r="71763" spans="1:4" x14ac:dyDescent="0.2">
      <c r="A71763" t="s">
        <v>22196</v>
      </c>
      <c r="B71763" t="str">
        <f>HYPERLINK("https://lindat.mff.cuni.cz/services/teitok/pdtc10/index.php?action=vallex&amp;frame=v-w9928f1", "ztvárnit (v-w9928f1)")</f>
        <v>ztvárnit (v-w9928f1)</v>
      </c>
    </row>
    <row r="71764" spans="1:4" x14ac:dyDescent="0.2">
      <c r="B71764" t="s">
        <v>1</v>
      </c>
    </row>
    <row r="71765" spans="1:4" x14ac:dyDescent="0.2">
      <c r="B71765" t="s">
        <v>8</v>
      </c>
    </row>
    <row r="71767" spans="1:4" x14ac:dyDescent="0.2">
      <c r="A71767" t="s">
        <v>22197</v>
      </c>
      <c r="B71767" t="str">
        <f>HYPERLINK("https://lindat.mff.cuni.cz/services/teitok/pdtc10/index.php?action=vallex&amp;frame=v-whsa_296hsa_297", "ztvárňovat (v-whsa_296hsa_297)")</f>
        <v>ztvárňovat (v-whsa_296hsa_297)</v>
      </c>
    </row>
    <row r="71768" spans="1:4" x14ac:dyDescent="0.2">
      <c r="B71768" t="s">
        <v>1</v>
      </c>
    </row>
    <row r="71769" spans="1:4" x14ac:dyDescent="0.2">
      <c r="B71769" t="s">
        <v>8</v>
      </c>
    </row>
    <row r="71771" spans="1:4" x14ac:dyDescent="0.2">
      <c r="A71771" t="s">
        <v>22198</v>
      </c>
      <c r="B71771" t="str">
        <f>HYPERLINK("https://lindat.mff.cuni.cz/services/teitok/pdtc10/index.php?action=vallex&amp;frame=v-w9906f1", "ztížit (v-w9906f1)")</f>
        <v>ztížit (v-w9906f1)</v>
      </c>
    </row>
    <row r="71772" spans="1:4" x14ac:dyDescent="0.2">
      <c r="B71772" t="s">
        <v>1</v>
      </c>
      <c r="C71772" t="s">
        <v>2787</v>
      </c>
      <c r="D71772" t="s">
        <v>1680</v>
      </c>
    </row>
    <row r="71773" spans="1:4" x14ac:dyDescent="0.2">
      <c r="B71773" t="s">
        <v>8</v>
      </c>
      <c r="C71773" t="s">
        <v>2788</v>
      </c>
      <c r="D71773" t="s">
        <v>17650</v>
      </c>
    </row>
    <row r="71775" spans="1:4" x14ac:dyDescent="0.2">
      <c r="A71775" t="s">
        <v>22199</v>
      </c>
      <c r="B71775" t="str">
        <f>HYPERLINK("https://lindat.mff.cuni.cz/services/teitok/pdtc10/index.php?action=vallex&amp;frame=v-w9900f1", "ztělesnit (v-w9900f1)")</f>
        <v>ztělesnit (v-w9900f1)</v>
      </c>
    </row>
    <row r="71776" spans="1:4" x14ac:dyDescent="0.2">
      <c r="B71776" t="s">
        <v>1</v>
      </c>
      <c r="C71776" t="s">
        <v>1326</v>
      </c>
      <c r="D71776" t="s">
        <v>1326</v>
      </c>
    </row>
    <row r="71777" spans="1:4" x14ac:dyDescent="0.2">
      <c r="B71777" t="s">
        <v>8</v>
      </c>
      <c r="C71777" t="s">
        <v>1128</v>
      </c>
      <c r="D71777" t="s">
        <v>1128</v>
      </c>
    </row>
    <row r="71779" spans="1:4" x14ac:dyDescent="0.2">
      <c r="A71779" t="s">
        <v>22200</v>
      </c>
      <c r="B71779" t="str">
        <f>HYPERLINK("https://lindat.mff.cuni.cz/services/teitok/pdtc10/index.php?action=vallex&amp;frame=v-w9902f1", "ztělesňovat (v-w9902f1)")</f>
        <v>ztělesňovat (v-w9902f1)</v>
      </c>
    </row>
    <row r="71780" spans="1:4" x14ac:dyDescent="0.2">
      <c r="B71780" t="s">
        <v>1</v>
      </c>
      <c r="C71780" t="s">
        <v>22201</v>
      </c>
      <c r="D71780" t="s">
        <v>1326</v>
      </c>
    </row>
    <row r="71781" spans="1:4" x14ac:dyDescent="0.2">
      <c r="B71781" t="s">
        <v>8</v>
      </c>
      <c r="C71781" t="s">
        <v>1044</v>
      </c>
      <c r="D71781" t="s">
        <v>1128</v>
      </c>
    </row>
    <row r="71783" spans="1:4" x14ac:dyDescent="0.2">
      <c r="A71783" t="s">
        <v>22202</v>
      </c>
      <c r="B71783" t="str">
        <f>HYPERLINK("https://lindat.mff.cuni.cz/services/teitok/pdtc10/index.php?action=vallex&amp;frame=v-w9904hsa_1001", "ztěžovat (v-w9904hsa_1001)")</f>
        <v>ztěžovat (v-w9904hsa_1001)</v>
      </c>
    </row>
    <row r="71784" spans="1:4" x14ac:dyDescent="0.2">
      <c r="B71784" t="s">
        <v>1</v>
      </c>
    </row>
    <row r="71785" spans="1:4" x14ac:dyDescent="0.2">
      <c r="B71785" t="s">
        <v>1181</v>
      </c>
    </row>
    <row r="71787" spans="1:4" x14ac:dyDescent="0.2">
      <c r="A71787" t="s">
        <v>22202</v>
      </c>
      <c r="B71787" t="str">
        <f>HYPERLINK("https://lindat.mff.cuni.cz/services/teitok/pdtc10/index.php?action=vallex&amp;frame=v-w9904f1", "ztěžovat (v-w9904f1) - substituted with v-w9904hsa_1001")</f>
        <v>ztěžovat (v-w9904f1) - substituted with v-w9904hsa_1001</v>
      </c>
    </row>
    <row r="71788" spans="1:4" x14ac:dyDescent="0.2">
      <c r="B71788" t="s">
        <v>1</v>
      </c>
      <c r="C71788" t="s">
        <v>19195</v>
      </c>
    </row>
    <row r="71789" spans="1:4" x14ac:dyDescent="0.2">
      <c r="B71789" t="s">
        <v>1181</v>
      </c>
      <c r="C71789" t="s">
        <v>22203</v>
      </c>
    </row>
    <row r="71791" spans="1:4" x14ac:dyDescent="0.2">
      <c r="A71791" t="s">
        <v>22204</v>
      </c>
      <c r="B71791" t="str">
        <f>HYPERLINK("https://lindat.mff.cuni.cz/services/teitok/pdtc10/index.php?action=vallex&amp;frame=v-whsa_743hsa_744", "ztřískat (v-whsa_743hsa_744)")</f>
        <v>ztřískat (v-whsa_743hsa_744)</v>
      </c>
    </row>
    <row r="71792" spans="1:4" x14ac:dyDescent="0.2">
      <c r="B71792" t="s">
        <v>1</v>
      </c>
    </row>
    <row r="71793" spans="1:2" x14ac:dyDescent="0.2">
      <c r="B71793" t="s">
        <v>8</v>
      </c>
    </row>
    <row r="71795" spans="1:2" x14ac:dyDescent="0.2">
      <c r="A71795" t="s">
        <v>22205</v>
      </c>
      <c r="B71795" t="str">
        <f>HYPERLINK("https://lindat.mff.cuni.cz/services/teitok/pdtc10/index.php?action=vallex&amp;frame=v-w9937f3_ZU", "zuřit (v-w9937f3_ZU)")</f>
        <v>zuřit (v-w9937f3_ZU)</v>
      </c>
    </row>
    <row r="71796" spans="1:2" x14ac:dyDescent="0.2">
      <c r="B71796" t="s">
        <v>1</v>
      </c>
    </row>
    <row r="71797" spans="1:2" x14ac:dyDescent="0.2">
      <c r="B71797" t="s">
        <v>452</v>
      </c>
    </row>
    <row r="71799" spans="1:2" x14ac:dyDescent="0.2">
      <c r="A71799" t="s">
        <v>22205</v>
      </c>
      <c r="B71799" t="str">
        <f>HYPERLINK("https://lindat.mff.cuni.cz/services/teitok/pdtc10/index.php?action=vallex&amp;frame=v-w9937f2", "zuřit (v-w9937f2) - substituted with v-w9937f3_ZU")</f>
        <v>zuřit (v-w9937f2) - substituted with v-w9937f3_ZU</v>
      </c>
    </row>
    <row r="71800" spans="1:2" x14ac:dyDescent="0.2">
      <c r="B71800" t="s">
        <v>1</v>
      </c>
    </row>
    <row r="71801" spans="1:2" x14ac:dyDescent="0.2">
      <c r="B71801" t="s">
        <v>452</v>
      </c>
    </row>
    <row r="71803" spans="1:2" x14ac:dyDescent="0.2">
      <c r="A71803" t="s">
        <v>22206</v>
      </c>
      <c r="B71803" t="str">
        <f>HYPERLINK("https://lindat.mff.cuni.cz/services/teitok/pdtc10/index.php?action=vallex&amp;frame=v-w9937f1", "zuřit (v-w9937f1)")</f>
        <v>zuřit (v-w9937f1)</v>
      </c>
    </row>
    <row r="71804" spans="1:2" x14ac:dyDescent="0.2">
      <c r="B71804" t="s">
        <v>1</v>
      </c>
    </row>
    <row r="71806" spans="1:2" x14ac:dyDescent="0.2">
      <c r="A71806" t="s">
        <v>22207</v>
      </c>
      <c r="B71806" t="str">
        <f>HYPERLINK("https://lindat.mff.cuni.cz/services/teitok/pdtc10/index.php?action=vallex&amp;frame=v-whsa_1167f1_ZU", "zušlechtit (v-whsa_1167f1_ZU)")</f>
        <v>zušlechtit (v-whsa_1167f1_ZU)</v>
      </c>
    </row>
    <row r="71807" spans="1:2" x14ac:dyDescent="0.2">
      <c r="B71807" t="s">
        <v>1</v>
      </c>
    </row>
    <row r="71808" spans="1:2" x14ac:dyDescent="0.2">
      <c r="B71808" t="s">
        <v>8</v>
      </c>
    </row>
    <row r="71810" spans="1:2" x14ac:dyDescent="0.2">
      <c r="A71810" t="s">
        <v>22207</v>
      </c>
      <c r="B71810" t="str">
        <f>HYPERLINK("https://lindat.mff.cuni.cz/services/teitok/pdtc10/index.php?action=vallex&amp;frame=v-whsa_1167hsa_1168", "zušlechtit (v-whsa_1167hsa_1168) - substituted with v-whsa_1167f1_ZU")</f>
        <v>zušlechtit (v-whsa_1167hsa_1168) - substituted with v-whsa_1167f1_ZU</v>
      </c>
    </row>
    <row r="71811" spans="1:2" x14ac:dyDescent="0.2">
      <c r="B71811" t="s">
        <v>1</v>
      </c>
    </row>
    <row r="71812" spans="1:2" x14ac:dyDescent="0.2">
      <c r="B71812" t="s">
        <v>8</v>
      </c>
    </row>
    <row r="71814" spans="1:2" x14ac:dyDescent="0.2">
      <c r="A71814" t="s">
        <v>22208</v>
      </c>
      <c r="B71814" t="str">
        <f>HYPERLINK("https://lindat.mff.cuni.cz/services/teitok/pdtc10/index.php?action=vallex&amp;frame=v-w9944f1", "zužitkovat (v-w9944f1)")</f>
        <v>zužitkovat (v-w9944f1)</v>
      </c>
    </row>
    <row r="71815" spans="1:2" x14ac:dyDescent="0.2">
      <c r="B71815" t="s">
        <v>1</v>
      </c>
    </row>
    <row r="71816" spans="1:2" x14ac:dyDescent="0.2">
      <c r="B71816" t="s">
        <v>8</v>
      </c>
    </row>
    <row r="71818" spans="1:2" x14ac:dyDescent="0.2">
      <c r="A71818" t="s">
        <v>22209</v>
      </c>
      <c r="B71818" t="str">
        <f>HYPERLINK("https://lindat.mff.cuni.cz/services/teitok/pdtc10/index.php?action=vallex&amp;frame=v-w10184f2", "zužovat (v-w10184f2)")</f>
        <v>zužovat (v-w10184f2)</v>
      </c>
    </row>
    <row r="71819" spans="1:2" x14ac:dyDescent="0.2">
      <c r="B71819" t="s">
        <v>1</v>
      </c>
    </row>
    <row r="71820" spans="1:2" x14ac:dyDescent="0.2">
      <c r="B71820" t="s">
        <v>8</v>
      </c>
    </row>
    <row r="71821" spans="1:2" x14ac:dyDescent="0.2">
      <c r="B71821" t="s">
        <v>24</v>
      </c>
    </row>
    <row r="71822" spans="1:2" x14ac:dyDescent="0.2">
      <c r="B71822" t="s">
        <v>61</v>
      </c>
    </row>
    <row r="71824" spans="1:2" x14ac:dyDescent="0.2">
      <c r="A71824" t="s">
        <v>22210</v>
      </c>
      <c r="B71824" t="str">
        <f>HYPERLINK("https://lindat.mff.cuni.cz/services/teitok/pdtc10/index.php?action=vallex&amp;frame=v-w10184f4", "zužovat (v-w10184f4)")</f>
        <v>zužovat (v-w10184f4)</v>
      </c>
    </row>
    <row r="71825" spans="1:4" x14ac:dyDescent="0.2">
      <c r="B71825" t="s">
        <v>1</v>
      </c>
    </row>
    <row r="71826" spans="1:4" x14ac:dyDescent="0.2">
      <c r="B71826" t="s">
        <v>8</v>
      </c>
    </row>
    <row r="71827" spans="1:4" x14ac:dyDescent="0.2">
      <c r="B71827" t="s">
        <v>61</v>
      </c>
    </row>
    <row r="71829" spans="1:4" x14ac:dyDescent="0.2">
      <c r="A71829" t="s">
        <v>22211</v>
      </c>
      <c r="B71829" t="str">
        <f>HYPERLINK("https://lindat.mff.cuni.cz/services/teitok/pdtc10/index.php?action=vallex&amp;frame=v-w11258f2", "zužovat se (v-w11258f2)")</f>
        <v>zužovat se (v-w11258f2)</v>
      </c>
    </row>
    <row r="71830" spans="1:4" x14ac:dyDescent="0.2">
      <c r="B71830" t="s">
        <v>1</v>
      </c>
      <c r="C71830" t="s">
        <v>14346</v>
      </c>
      <c r="D71830" t="s">
        <v>23736</v>
      </c>
    </row>
    <row r="71831" spans="1:4" x14ac:dyDescent="0.2">
      <c r="B71831" t="s">
        <v>46</v>
      </c>
      <c r="C71831" t="s">
        <v>22212</v>
      </c>
      <c r="D71831" t="s">
        <v>23737</v>
      </c>
    </row>
    <row r="71832" spans="1:4" x14ac:dyDescent="0.2">
      <c r="B71832" t="s">
        <v>24</v>
      </c>
      <c r="C71832" t="s">
        <v>22213</v>
      </c>
      <c r="D71832" t="s">
        <v>23738</v>
      </c>
    </row>
    <row r="71834" spans="1:4" x14ac:dyDescent="0.2">
      <c r="A71834" t="s">
        <v>22214</v>
      </c>
      <c r="B71834" t="str">
        <f>HYPERLINK("https://lindat.mff.cuni.cz/services/teitok/pdtc10/index.php?action=vallex&amp;frame=v-w11258f3", "zužovat se (v-w11258f3)")</f>
        <v>zužovat se (v-w11258f3)</v>
      </c>
    </row>
    <row r="71835" spans="1:4" x14ac:dyDescent="0.2">
      <c r="B71835" t="s">
        <v>1</v>
      </c>
      <c r="C71835" t="s">
        <v>1309</v>
      </c>
    </row>
    <row r="71836" spans="1:4" x14ac:dyDescent="0.2">
      <c r="B71836" t="s">
        <v>46</v>
      </c>
      <c r="C71836" t="s">
        <v>22215</v>
      </c>
    </row>
    <row r="71837" spans="1:4" x14ac:dyDescent="0.2">
      <c r="B71837" t="s">
        <v>24</v>
      </c>
      <c r="C71837" t="s">
        <v>10630</v>
      </c>
    </row>
    <row r="71839" spans="1:4" x14ac:dyDescent="0.2">
      <c r="A71839" t="s">
        <v>22216</v>
      </c>
      <c r="B71839" t="str">
        <f>HYPERLINK("https://lindat.mff.cuni.cz/services/teitok/pdtc10/index.php?action=vallex&amp;frame=v-w9946f1", "zvadnout (v-w9946f1)")</f>
        <v>zvadnout (v-w9946f1)</v>
      </c>
    </row>
    <row r="71840" spans="1:4" x14ac:dyDescent="0.2">
      <c r="B71840" t="s">
        <v>1</v>
      </c>
    </row>
    <row r="71842" spans="1:4" x14ac:dyDescent="0.2">
      <c r="A71842" t="s">
        <v>22217</v>
      </c>
      <c r="B71842" t="str">
        <f>HYPERLINK("https://lindat.mff.cuni.cz/services/teitok/pdtc10/index.php?action=vallex&amp;frame=v-w9946f2", "zvadnout (v-w9946f2)")</f>
        <v>zvadnout (v-w9946f2)</v>
      </c>
    </row>
    <row r="71843" spans="1:4" x14ac:dyDescent="0.2">
      <c r="B71843" t="s">
        <v>1</v>
      </c>
    </row>
    <row r="71845" spans="1:4" x14ac:dyDescent="0.2">
      <c r="A71845" t="s">
        <v>22218</v>
      </c>
      <c r="B71845" t="str">
        <f>HYPERLINK("https://lindat.mff.cuni.cz/services/teitok/pdtc10/index.php?action=vallex&amp;frame=v-w9950f2", "zvažovat (v-w9950f2)")</f>
        <v>zvažovat (v-w9950f2)</v>
      </c>
    </row>
    <row r="71846" spans="1:4" x14ac:dyDescent="0.2">
      <c r="B71846" t="s">
        <v>1</v>
      </c>
    </row>
    <row r="71847" spans="1:4" x14ac:dyDescent="0.2">
      <c r="B71847" t="s">
        <v>28</v>
      </c>
    </row>
    <row r="71848" spans="1:4" x14ac:dyDescent="0.2">
      <c r="B71848" t="s">
        <v>22219</v>
      </c>
    </row>
    <row r="71850" spans="1:4" x14ac:dyDescent="0.2">
      <c r="A71850" t="s">
        <v>22220</v>
      </c>
      <c r="B71850" t="str">
        <f>HYPERLINK("https://lindat.mff.cuni.cz/services/teitok/pdtc10/index.php?action=vallex&amp;frame=v-w9950f3_ZU", "zvažovat (v-w9950f3_ZU)")</f>
        <v>zvažovat (v-w9950f3_ZU)</v>
      </c>
    </row>
    <row r="71851" spans="1:4" x14ac:dyDescent="0.2">
      <c r="B71851" t="s">
        <v>1</v>
      </c>
      <c r="C71851" t="s">
        <v>1504</v>
      </c>
      <c r="D71851" t="s">
        <v>23014</v>
      </c>
    </row>
    <row r="71852" spans="1:4" x14ac:dyDescent="0.2">
      <c r="B71852" t="s">
        <v>13345</v>
      </c>
      <c r="C71852" t="s">
        <v>44</v>
      </c>
      <c r="D71852" t="s">
        <v>23015</v>
      </c>
    </row>
    <row r="71854" spans="1:4" x14ac:dyDescent="0.2">
      <c r="A71854" t="s">
        <v>22220</v>
      </c>
      <c r="B71854" t="str">
        <f>HYPERLINK("https://lindat.mff.cuni.cz/services/teitok/pdtc10/index.php?action=vallex&amp;frame=v-w9950f1", "zvažovat (v-w9950f1) - substituted with v-w9950f3_ZU")</f>
        <v>zvažovat (v-w9950f1) - substituted with v-w9950f3_ZU</v>
      </c>
    </row>
    <row r="71855" spans="1:4" x14ac:dyDescent="0.2">
      <c r="B71855" t="s">
        <v>1</v>
      </c>
      <c r="C71855" t="s">
        <v>22221</v>
      </c>
    </row>
    <row r="71856" spans="1:4" x14ac:dyDescent="0.2">
      <c r="B71856" t="s">
        <v>13345</v>
      </c>
      <c r="C71856" t="s">
        <v>22222</v>
      </c>
    </row>
    <row r="71858" spans="1:4" x14ac:dyDescent="0.2">
      <c r="A71858" t="s">
        <v>22223</v>
      </c>
      <c r="B71858" t="str">
        <f>HYPERLINK("https://lindat.mff.cuni.cz/services/teitok/pdtc10/index.php?action=vallex&amp;frame=v-w9952f2_ZU", "zvedat (v-w9952f2_ZU)")</f>
        <v>zvedat (v-w9952f2_ZU)</v>
      </c>
    </row>
    <row r="71859" spans="1:4" x14ac:dyDescent="0.2">
      <c r="B71859" t="s">
        <v>1</v>
      </c>
      <c r="C71859" t="s">
        <v>22224</v>
      </c>
      <c r="D71859" t="s">
        <v>23523</v>
      </c>
    </row>
    <row r="71860" spans="1:4" x14ac:dyDescent="0.2">
      <c r="B71860" t="s">
        <v>8</v>
      </c>
      <c r="C71860" t="s">
        <v>9644</v>
      </c>
      <c r="D71860" t="s">
        <v>23524</v>
      </c>
    </row>
    <row r="71861" spans="1:4" x14ac:dyDescent="0.2">
      <c r="B71861" t="s">
        <v>24</v>
      </c>
      <c r="C71861" t="s">
        <v>18114</v>
      </c>
      <c r="D71861" t="s">
        <v>23525</v>
      </c>
    </row>
    <row r="71862" spans="1:4" x14ac:dyDescent="0.2">
      <c r="B71862" t="s">
        <v>61</v>
      </c>
      <c r="C71862" t="s">
        <v>22225</v>
      </c>
      <c r="D71862" t="s">
        <v>23526</v>
      </c>
    </row>
    <row r="71864" spans="1:4" x14ac:dyDescent="0.2">
      <c r="A71864" t="s">
        <v>22226</v>
      </c>
      <c r="B71864" t="str">
        <f>HYPERLINK("https://lindat.mff.cuni.cz/services/teitok/pdtc10/index.php?action=vallex&amp;frame=v-w9952f3_ZU", "zvedat (v-w9952f3_ZU)")</f>
        <v>zvedat (v-w9952f3_ZU)</v>
      </c>
    </row>
    <row r="71865" spans="1:4" x14ac:dyDescent="0.2">
      <c r="B71865" t="s">
        <v>1</v>
      </c>
      <c r="D71865" t="s">
        <v>334</v>
      </c>
    </row>
    <row r="71866" spans="1:4" x14ac:dyDescent="0.2">
      <c r="B71866" t="s">
        <v>8</v>
      </c>
      <c r="D71866" t="s">
        <v>2240</v>
      </c>
    </row>
    <row r="71868" spans="1:4" x14ac:dyDescent="0.2">
      <c r="A71868" t="s">
        <v>22226</v>
      </c>
      <c r="B71868" t="str">
        <f>HYPERLINK("https://lindat.mff.cuni.cz/services/teitok/pdtc10/index.php?action=vallex&amp;frame=v-w9952f1", "zvedat (v-w9952f1) - substituted with v-w9952f3_ZU")</f>
        <v>zvedat (v-w9952f1) - substituted with v-w9952f3_ZU</v>
      </c>
    </row>
    <row r="71869" spans="1:4" x14ac:dyDescent="0.2">
      <c r="B71869" t="s">
        <v>1</v>
      </c>
      <c r="C71869" t="s">
        <v>3358</v>
      </c>
    </row>
    <row r="71870" spans="1:4" x14ac:dyDescent="0.2">
      <c r="B71870" t="s">
        <v>8</v>
      </c>
      <c r="C71870" t="s">
        <v>22227</v>
      </c>
    </row>
    <row r="71872" spans="1:4" x14ac:dyDescent="0.2">
      <c r="A71872" t="s">
        <v>22228</v>
      </c>
      <c r="B71872" t="str">
        <f>HYPERLINK("https://lindat.mff.cuni.cz/services/teitok/pdtc10/index.php?action=vallex&amp;frame=v-w9953f1", "zvedat se (v-w9953f1)")</f>
        <v>zvedat se (v-w9953f1)</v>
      </c>
    </row>
    <row r="71873" spans="1:4" x14ac:dyDescent="0.2">
      <c r="B71873" t="s">
        <v>1</v>
      </c>
      <c r="C71873" t="s">
        <v>22229</v>
      </c>
    </row>
    <row r="71875" spans="1:4" x14ac:dyDescent="0.2">
      <c r="A71875" t="s">
        <v>22230</v>
      </c>
      <c r="B71875" t="str">
        <f>HYPERLINK("https://lindat.mff.cuni.cz/services/teitok/pdtc10/index.php?action=vallex&amp;frame=v-w9953hsa_462", "zvedat se (v-w9953hsa_462)")</f>
        <v>zvedat se (v-w9953hsa_462)</v>
      </c>
    </row>
    <row r="71876" spans="1:4" x14ac:dyDescent="0.2">
      <c r="B71876" t="s">
        <v>1</v>
      </c>
      <c r="D71876" t="s">
        <v>140</v>
      </c>
    </row>
    <row r="71878" spans="1:4" x14ac:dyDescent="0.2">
      <c r="A71878" t="s">
        <v>22231</v>
      </c>
      <c r="B71878" t="str">
        <f>HYPERLINK("https://lindat.mff.cuni.cz/services/teitok/pdtc10/index.php?action=vallex&amp;frame=v-w9953f2_ZU", "zvedat se (v-w9953f2_ZU)")</f>
        <v>zvedat se (v-w9953f2_ZU)</v>
      </c>
    </row>
    <row r="71879" spans="1:4" x14ac:dyDescent="0.2">
      <c r="B71879" t="s">
        <v>1</v>
      </c>
      <c r="C71879" t="s">
        <v>22232</v>
      </c>
      <c r="D71879" t="s">
        <v>24074</v>
      </c>
    </row>
    <row r="71880" spans="1:4" x14ac:dyDescent="0.2">
      <c r="B71880" t="s">
        <v>46</v>
      </c>
      <c r="C71880" t="s">
        <v>22233</v>
      </c>
    </row>
    <row r="71881" spans="1:4" x14ac:dyDescent="0.2">
      <c r="B71881" t="s">
        <v>24</v>
      </c>
      <c r="C71881" t="s">
        <v>22234</v>
      </c>
    </row>
    <row r="71883" spans="1:4" x14ac:dyDescent="0.2">
      <c r="A71883" t="s">
        <v>22231</v>
      </c>
      <c r="B71883" t="str">
        <f>HYPERLINK("https://lindat.mff.cuni.cz/services/teitok/pdtc10/index.php?action=vallex&amp;frame=v-w9953hsa_463", "zvedat se (v-w9953hsa_463) - substituted with v-w9953f2_ZU")</f>
        <v>zvedat se (v-w9953hsa_463) - substituted with v-w9953f2_ZU</v>
      </c>
    </row>
    <row r="71884" spans="1:4" x14ac:dyDescent="0.2">
      <c r="B71884" t="s">
        <v>1</v>
      </c>
    </row>
    <row r="71885" spans="1:4" x14ac:dyDescent="0.2">
      <c r="B71885" t="s">
        <v>46</v>
      </c>
    </row>
    <row r="71886" spans="1:4" x14ac:dyDescent="0.2">
      <c r="B71886" t="s">
        <v>24</v>
      </c>
    </row>
    <row r="71888" spans="1:4" x14ac:dyDescent="0.2">
      <c r="A71888" t="s">
        <v>22235</v>
      </c>
      <c r="B71888" t="str">
        <f>HYPERLINK("https://lindat.mff.cuni.cz/services/teitok/pdtc10/index.php?action=vallex&amp;frame=v-w9956f2", "zvednout (v-w9956f2)")</f>
        <v>zvednout (v-w9956f2)</v>
      </c>
    </row>
    <row r="71889" spans="1:4" x14ac:dyDescent="0.2">
      <c r="B71889" t="s">
        <v>1</v>
      </c>
      <c r="C71889" t="s">
        <v>22236</v>
      </c>
      <c r="D71889" t="s">
        <v>23523</v>
      </c>
    </row>
    <row r="71890" spans="1:4" x14ac:dyDescent="0.2">
      <c r="B71890" t="s">
        <v>8</v>
      </c>
      <c r="C71890" t="s">
        <v>22237</v>
      </c>
      <c r="D71890" t="s">
        <v>23524</v>
      </c>
    </row>
    <row r="71891" spans="1:4" x14ac:dyDescent="0.2">
      <c r="B71891" t="s">
        <v>24</v>
      </c>
      <c r="C71891" t="s">
        <v>22238</v>
      </c>
      <c r="D71891" t="s">
        <v>23525</v>
      </c>
    </row>
    <row r="71892" spans="1:4" x14ac:dyDescent="0.2">
      <c r="B71892" t="s">
        <v>61</v>
      </c>
      <c r="C71892" t="s">
        <v>22239</v>
      </c>
      <c r="D71892" t="s">
        <v>23526</v>
      </c>
    </row>
    <row r="71894" spans="1:4" x14ac:dyDescent="0.2">
      <c r="A71894" t="s">
        <v>22240</v>
      </c>
      <c r="B71894" t="str">
        <f>HYPERLINK("https://lindat.mff.cuni.cz/services/teitok/pdtc10/index.php?action=vallex&amp;frame=v-w9956f3_ZU", "zvednout (v-w9956f3_ZU)")</f>
        <v>zvednout (v-w9956f3_ZU)</v>
      </c>
    </row>
    <row r="71895" spans="1:4" x14ac:dyDescent="0.2">
      <c r="B71895" t="s">
        <v>1</v>
      </c>
      <c r="C71895" t="s">
        <v>133</v>
      </c>
      <c r="D71895" t="s">
        <v>334</v>
      </c>
    </row>
    <row r="71896" spans="1:4" x14ac:dyDescent="0.2">
      <c r="B71896" t="s">
        <v>8</v>
      </c>
      <c r="C71896" t="s">
        <v>84</v>
      </c>
      <c r="D71896" t="s">
        <v>2240</v>
      </c>
    </row>
    <row r="71898" spans="1:4" x14ac:dyDescent="0.2">
      <c r="A71898" t="s">
        <v>22240</v>
      </c>
      <c r="B71898" t="str">
        <f>HYPERLINK("https://lindat.mff.cuni.cz/services/teitok/pdtc10/index.php?action=vallex&amp;frame=v-w9956f1", "zvednout (v-w9956f1) - substituted with v-w9956f3_ZU")</f>
        <v>zvednout (v-w9956f1) - substituted with v-w9956f3_ZU</v>
      </c>
    </row>
    <row r="71899" spans="1:4" x14ac:dyDescent="0.2">
      <c r="B71899" t="s">
        <v>1</v>
      </c>
      <c r="C71899" t="s">
        <v>16</v>
      </c>
    </row>
    <row r="71900" spans="1:4" x14ac:dyDescent="0.2">
      <c r="B71900" t="s">
        <v>8</v>
      </c>
      <c r="C71900" t="s">
        <v>2344</v>
      </c>
    </row>
    <row r="71902" spans="1:4" x14ac:dyDescent="0.2">
      <c r="A71902" t="s">
        <v>22241</v>
      </c>
      <c r="B71902" t="str">
        <f>HYPERLINK("https://lindat.mff.cuni.cz/services/teitok/pdtc10/index.php?action=vallex&amp;frame=v-w9956f4_ZU", "zvednout (v-w9956f4_ZU)")</f>
        <v>zvednout (v-w9956f4_ZU)</v>
      </c>
    </row>
    <row r="71903" spans="1:4" x14ac:dyDescent="0.2">
      <c r="B71903" t="s">
        <v>1</v>
      </c>
    </row>
    <row r="71904" spans="1:4" x14ac:dyDescent="0.2">
      <c r="B71904" t="s">
        <v>22242</v>
      </c>
    </row>
    <row r="71905" spans="1:4" x14ac:dyDescent="0.2">
      <c r="B71905" t="s">
        <v>5</v>
      </c>
    </row>
    <row r="71907" spans="1:4" x14ac:dyDescent="0.2">
      <c r="A71907" t="s">
        <v>22243</v>
      </c>
      <c r="B71907" t="str">
        <f>HYPERLINK("https://lindat.mff.cuni.cz/services/teitok/pdtc10/index.php?action=vallex&amp;frame=v-w9956hsa_670", "zvednout (v-w9956hsa_670)")</f>
        <v>zvednout (v-w9956hsa_670)</v>
      </c>
    </row>
    <row r="71908" spans="1:4" x14ac:dyDescent="0.2">
      <c r="B71908" t="s">
        <v>1</v>
      </c>
    </row>
    <row r="71909" spans="1:4" x14ac:dyDescent="0.2">
      <c r="B71909" t="s">
        <v>8</v>
      </c>
    </row>
    <row r="71911" spans="1:4" x14ac:dyDescent="0.2">
      <c r="A71911" t="s">
        <v>22244</v>
      </c>
      <c r="B71911" t="str">
        <f>HYPERLINK("https://lindat.mff.cuni.cz/services/teitok/pdtc10/index.php?action=vallex&amp;frame=v-w9957f1", "zvednout se (v-w9957f1)")</f>
        <v>zvednout se (v-w9957f1)</v>
      </c>
    </row>
    <row r="71912" spans="1:4" x14ac:dyDescent="0.2">
      <c r="B71912" t="s">
        <v>1</v>
      </c>
      <c r="C71912" t="s">
        <v>22245</v>
      </c>
      <c r="D71912" t="s">
        <v>24074</v>
      </c>
    </row>
    <row r="71913" spans="1:4" x14ac:dyDescent="0.2">
      <c r="B71913" t="s">
        <v>46</v>
      </c>
      <c r="C71913" t="s">
        <v>22246</v>
      </c>
    </row>
    <row r="71914" spans="1:4" x14ac:dyDescent="0.2">
      <c r="B71914" t="s">
        <v>24</v>
      </c>
      <c r="C71914" t="s">
        <v>22247</v>
      </c>
    </row>
    <row r="71916" spans="1:4" x14ac:dyDescent="0.2">
      <c r="A71916" t="s">
        <v>22248</v>
      </c>
      <c r="B71916" t="str">
        <f>HYPERLINK("https://lindat.mff.cuni.cz/services/teitok/pdtc10/index.php?action=vallex&amp;frame=v-w9957f2", "zvednout se (v-w9957f2)")</f>
        <v>zvednout se (v-w9957f2)</v>
      </c>
    </row>
    <row r="71917" spans="1:4" x14ac:dyDescent="0.2">
      <c r="B71917" t="s">
        <v>1</v>
      </c>
    </row>
    <row r="71918" spans="1:4" x14ac:dyDescent="0.2">
      <c r="B71918" t="s">
        <v>176</v>
      </c>
    </row>
    <row r="71920" spans="1:4" x14ac:dyDescent="0.2">
      <c r="A71920" t="s">
        <v>22249</v>
      </c>
      <c r="B71920" t="str">
        <f>HYPERLINK("https://lindat.mff.cuni.cz/services/teitok/pdtc10/index.php?action=vallex&amp;frame=v-w9957f4", "zvednout se (v-w9957f4)")</f>
        <v>zvednout se (v-w9957f4)</v>
      </c>
    </row>
    <row r="71921" spans="1:2" x14ac:dyDescent="0.2">
      <c r="B71921" t="s">
        <v>1</v>
      </c>
    </row>
    <row r="71923" spans="1:2" x14ac:dyDescent="0.2">
      <c r="A71923" t="s">
        <v>22250</v>
      </c>
      <c r="B71923" t="str">
        <f>HYPERLINK("https://lindat.mff.cuni.cz/services/teitok/pdtc10/index.php?action=vallex&amp;frame=v-w9957f3", "zvednout se (v-w9957f3)")</f>
        <v>zvednout se (v-w9957f3)</v>
      </c>
    </row>
    <row r="71924" spans="1:2" x14ac:dyDescent="0.2">
      <c r="B71924" t="s">
        <v>1</v>
      </c>
    </row>
    <row r="71926" spans="1:2" x14ac:dyDescent="0.2">
      <c r="A71926" t="s">
        <v>22251</v>
      </c>
      <c r="B71926" t="str">
        <f>HYPERLINK("https://lindat.mff.cuni.cz/services/teitok/pdtc10/index.php?action=vallex&amp;frame=v-w12036_ZUf1_ZU", "zvelebit (v-w12036_ZUf1_ZU)")</f>
        <v>zvelebit (v-w12036_ZUf1_ZU)</v>
      </c>
    </row>
    <row r="71927" spans="1:2" x14ac:dyDescent="0.2">
      <c r="B71927" t="s">
        <v>1</v>
      </c>
    </row>
    <row r="71928" spans="1:2" x14ac:dyDescent="0.2">
      <c r="B71928" t="s">
        <v>8</v>
      </c>
    </row>
    <row r="71929" spans="1:2" x14ac:dyDescent="0.2">
      <c r="B71929" t="s">
        <v>24</v>
      </c>
    </row>
    <row r="71930" spans="1:2" x14ac:dyDescent="0.2">
      <c r="B71930" t="s">
        <v>61</v>
      </c>
    </row>
    <row r="71932" spans="1:2" x14ac:dyDescent="0.2">
      <c r="A71932" t="s">
        <v>22252</v>
      </c>
      <c r="B71932" t="str">
        <f>HYPERLINK("https://lindat.mff.cuni.cz/services/teitok/pdtc10/index.php?action=vallex&amp;frame=v-w9960f1", "zvelebovat (v-w9960f1)")</f>
        <v>zvelebovat (v-w9960f1)</v>
      </c>
    </row>
    <row r="71933" spans="1:2" x14ac:dyDescent="0.2">
      <c r="B71933" t="s">
        <v>1</v>
      </c>
    </row>
    <row r="71934" spans="1:2" x14ac:dyDescent="0.2">
      <c r="B71934" t="s">
        <v>8</v>
      </c>
    </row>
    <row r="71936" spans="1:2" x14ac:dyDescent="0.2">
      <c r="A71936" t="s">
        <v>22253</v>
      </c>
      <c r="B71936" t="str">
        <f>HYPERLINK("https://lindat.mff.cuni.cz/services/teitok/pdtc10/index.php?action=vallex&amp;frame=v-w10573f3", "zveličit (v-w10573f3)")</f>
        <v>zveličit (v-w10573f3)</v>
      </c>
    </row>
    <row r="71937" spans="1:4" x14ac:dyDescent="0.2">
      <c r="B71937" t="s">
        <v>1</v>
      </c>
      <c r="D71937" t="s">
        <v>80</v>
      </c>
    </row>
    <row r="71938" spans="1:4" x14ac:dyDescent="0.2">
      <c r="B71938" t="s">
        <v>124</v>
      </c>
      <c r="D71938" t="s">
        <v>116</v>
      </c>
    </row>
    <row r="71940" spans="1:4" x14ac:dyDescent="0.2">
      <c r="A71940" t="s">
        <v>22254</v>
      </c>
      <c r="B71940" t="str">
        <f>HYPERLINK("https://lindat.mff.cuni.cz/services/teitok/pdtc10/index.php?action=vallex&amp;frame=v-w9962f1", "zveličovat (v-w9962f1)")</f>
        <v>zveličovat (v-w9962f1)</v>
      </c>
    </row>
    <row r="71941" spans="1:4" x14ac:dyDescent="0.2">
      <c r="B71941" t="s">
        <v>1</v>
      </c>
      <c r="C71941" t="s">
        <v>373</v>
      </c>
      <c r="D71941" t="s">
        <v>80</v>
      </c>
    </row>
    <row r="71942" spans="1:4" x14ac:dyDescent="0.2">
      <c r="B71942" t="s">
        <v>124</v>
      </c>
      <c r="C71942" t="s">
        <v>1510</v>
      </c>
      <c r="D71942" t="s">
        <v>116</v>
      </c>
    </row>
    <row r="71944" spans="1:4" x14ac:dyDescent="0.2">
      <c r="A71944" t="s">
        <v>22255</v>
      </c>
      <c r="B71944" t="str">
        <f>HYPERLINK("https://lindat.mff.cuni.cz/services/teitok/pdtc10/index.php?action=vallex&amp;frame=v-w9966f1", "zveřejnit (v-w9966f1)")</f>
        <v>zveřejnit (v-w9966f1)</v>
      </c>
    </row>
    <row r="71945" spans="1:4" x14ac:dyDescent="0.2">
      <c r="B71945" t="s">
        <v>1</v>
      </c>
      <c r="C71945" t="s">
        <v>22256</v>
      </c>
      <c r="D71945" t="s">
        <v>22967</v>
      </c>
    </row>
    <row r="71946" spans="1:4" x14ac:dyDescent="0.2">
      <c r="B71946" t="s">
        <v>172</v>
      </c>
      <c r="C71946" t="s">
        <v>22257</v>
      </c>
      <c r="D71946" t="s">
        <v>22968</v>
      </c>
    </row>
    <row r="71948" spans="1:4" x14ac:dyDescent="0.2">
      <c r="A71948" t="s">
        <v>22258</v>
      </c>
      <c r="B71948" t="str">
        <f>HYPERLINK("https://lindat.mff.cuni.cz/services/teitok/pdtc10/index.php?action=vallex&amp;frame=v-w9966f2", "zveřejnit (v-w9966f2)")</f>
        <v>zveřejnit (v-w9966f2)</v>
      </c>
    </row>
    <row r="71949" spans="1:4" x14ac:dyDescent="0.2">
      <c r="B71949" t="s">
        <v>1</v>
      </c>
      <c r="C71949" t="s">
        <v>22259</v>
      </c>
      <c r="D71949" t="s">
        <v>22967</v>
      </c>
    </row>
    <row r="71950" spans="1:4" x14ac:dyDescent="0.2">
      <c r="B71950" t="s">
        <v>13705</v>
      </c>
      <c r="C71950" t="s">
        <v>22260</v>
      </c>
      <c r="D71950" t="s">
        <v>23120</v>
      </c>
    </row>
    <row r="71951" spans="1:4" x14ac:dyDescent="0.2">
      <c r="B71951" t="s">
        <v>269</v>
      </c>
      <c r="D71951" t="s">
        <v>22968</v>
      </c>
    </row>
    <row r="71953" spans="1:4" x14ac:dyDescent="0.2">
      <c r="A71953" t="s">
        <v>22261</v>
      </c>
      <c r="B71953" t="str">
        <f>HYPERLINK("https://lindat.mff.cuni.cz/services/teitok/pdtc10/index.php?action=vallex&amp;frame=v-w9968f1", "zveřejňovat (v-w9968f1)")</f>
        <v>zveřejňovat (v-w9968f1)</v>
      </c>
    </row>
    <row r="71954" spans="1:4" x14ac:dyDescent="0.2">
      <c r="B71954" t="s">
        <v>1</v>
      </c>
      <c r="C71954" t="s">
        <v>22009</v>
      </c>
      <c r="D71954" t="s">
        <v>22967</v>
      </c>
    </row>
    <row r="71955" spans="1:4" x14ac:dyDescent="0.2">
      <c r="B71955" t="s">
        <v>8</v>
      </c>
      <c r="C71955" t="s">
        <v>14016</v>
      </c>
      <c r="D71955" t="s">
        <v>22968</v>
      </c>
    </row>
    <row r="71957" spans="1:4" x14ac:dyDescent="0.2">
      <c r="A71957" t="s">
        <v>22262</v>
      </c>
      <c r="B71957" t="str">
        <f>HYPERLINK("https://lindat.mff.cuni.cz/services/teitok/pdtc10/index.php?action=vallex&amp;frame=v-w9968f2", "zveřejňovat (v-w9968f2)")</f>
        <v>zveřejňovat (v-w9968f2)</v>
      </c>
    </row>
    <row r="71958" spans="1:4" x14ac:dyDescent="0.2">
      <c r="B71958" t="s">
        <v>1</v>
      </c>
      <c r="D71958" t="s">
        <v>22967</v>
      </c>
    </row>
    <row r="71959" spans="1:4" x14ac:dyDescent="0.2">
      <c r="B71959" t="s">
        <v>13705</v>
      </c>
      <c r="D71959" t="s">
        <v>23120</v>
      </c>
    </row>
    <row r="71960" spans="1:4" x14ac:dyDescent="0.2">
      <c r="B71960" t="s">
        <v>269</v>
      </c>
      <c r="D71960" t="s">
        <v>22968</v>
      </c>
    </row>
    <row r="71962" spans="1:4" x14ac:dyDescent="0.2">
      <c r="A71962" t="s">
        <v>22263</v>
      </c>
      <c r="B71962" t="str">
        <f>HYPERLINK("https://lindat.mff.cuni.cz/services/teitok/pdtc10/index.php?action=vallex&amp;frame=v-w9976f1", "zviditelnit (v-w9976f1)")</f>
        <v>zviditelnit (v-w9976f1)</v>
      </c>
    </row>
    <row r="71963" spans="1:4" x14ac:dyDescent="0.2">
      <c r="B71963" t="s">
        <v>1</v>
      </c>
      <c r="C71963" t="s">
        <v>2787</v>
      </c>
    </row>
    <row r="71964" spans="1:4" x14ac:dyDescent="0.2">
      <c r="B71964" t="s">
        <v>8</v>
      </c>
      <c r="C71964" t="s">
        <v>2788</v>
      </c>
    </row>
    <row r="71965" spans="1:4" x14ac:dyDescent="0.2">
      <c r="B71965" t="s">
        <v>3200</v>
      </c>
    </row>
    <row r="71967" spans="1:4" x14ac:dyDescent="0.2">
      <c r="A71967" t="s">
        <v>22264</v>
      </c>
      <c r="B71967" t="str">
        <f>HYPERLINK("https://lindat.mff.cuni.cz/services/teitok/pdtc10/index.php?action=vallex&amp;frame=v-w9976f2", "zviditelnit (v-w9976f2)")</f>
        <v>zviditelnit (v-w9976f2)</v>
      </c>
    </row>
    <row r="71968" spans="1:4" x14ac:dyDescent="0.2">
      <c r="B71968" t="s">
        <v>1</v>
      </c>
      <c r="D71968" t="s">
        <v>23440</v>
      </c>
    </row>
    <row r="71969" spans="1:4" x14ac:dyDescent="0.2">
      <c r="B71969" t="s">
        <v>8</v>
      </c>
      <c r="C71969" t="s">
        <v>34</v>
      </c>
      <c r="D71969" t="s">
        <v>23441</v>
      </c>
    </row>
    <row r="71971" spans="1:4" x14ac:dyDescent="0.2">
      <c r="A71971" t="s">
        <v>22265</v>
      </c>
      <c r="B71971" t="str">
        <f>HYPERLINK("https://lindat.mff.cuni.cz/services/teitok/pdtc10/index.php?action=vallex&amp;frame=v-w11676_ZUf1_ZU", "zvlnit se (v-w11676_ZUf1_ZU)")</f>
        <v>zvlnit se (v-w11676_ZUf1_ZU)</v>
      </c>
    </row>
    <row r="71972" spans="1:4" x14ac:dyDescent="0.2">
      <c r="B71972" t="s">
        <v>1</v>
      </c>
      <c r="C71972" t="s">
        <v>186</v>
      </c>
      <c r="D71972" t="s">
        <v>24568</v>
      </c>
    </row>
    <row r="71974" spans="1:4" x14ac:dyDescent="0.2">
      <c r="A71974" t="s">
        <v>22266</v>
      </c>
      <c r="B71974" t="str">
        <f>HYPERLINK("https://lindat.mff.cuni.cz/services/teitok/pdtc10/index.php?action=vallex&amp;frame=v-w9979f1", "zvládat (v-w9979f1)")</f>
        <v>zvládat (v-w9979f1)</v>
      </c>
    </row>
    <row r="71975" spans="1:4" x14ac:dyDescent="0.2">
      <c r="B71975" t="s">
        <v>1</v>
      </c>
      <c r="C71975" t="s">
        <v>22267</v>
      </c>
      <c r="D71975" t="s">
        <v>24569</v>
      </c>
    </row>
    <row r="71976" spans="1:4" x14ac:dyDescent="0.2">
      <c r="B71976" t="s">
        <v>228</v>
      </c>
      <c r="C71976" t="s">
        <v>22268</v>
      </c>
      <c r="D71976" t="s">
        <v>24570</v>
      </c>
    </row>
    <row r="71978" spans="1:4" x14ac:dyDescent="0.2">
      <c r="A71978" t="s">
        <v>22269</v>
      </c>
      <c r="B71978" t="str">
        <f>HYPERLINK("https://lindat.mff.cuni.cz/services/teitok/pdtc10/index.php?action=vallex&amp;frame=v-w9979hsa_493", "zvládat (v-w9979hsa_493)")</f>
        <v>zvládat (v-w9979hsa_493)</v>
      </c>
    </row>
    <row r="71979" spans="1:4" x14ac:dyDescent="0.2">
      <c r="B71979" t="s">
        <v>1</v>
      </c>
      <c r="D71979" t="s">
        <v>430</v>
      </c>
    </row>
    <row r="71980" spans="1:4" x14ac:dyDescent="0.2">
      <c r="B71980" t="s">
        <v>8</v>
      </c>
      <c r="D71980" t="s">
        <v>1128</v>
      </c>
    </row>
    <row r="71982" spans="1:4" x14ac:dyDescent="0.2">
      <c r="A71982" t="s">
        <v>22270</v>
      </c>
      <c r="B71982" t="str">
        <f>HYPERLINK("https://lindat.mff.cuni.cz/services/teitok/pdtc10/index.php?action=vallex&amp;frame=v-w9979f2_ZU", "zvládat (v-w9979f2_ZU)")</f>
        <v>zvládat (v-w9979f2_ZU)</v>
      </c>
    </row>
    <row r="71983" spans="1:4" x14ac:dyDescent="0.2">
      <c r="B71983" t="s">
        <v>1</v>
      </c>
      <c r="C71983" t="s">
        <v>5659</v>
      </c>
    </row>
    <row r="71984" spans="1:4" x14ac:dyDescent="0.2">
      <c r="B71984" t="s">
        <v>8</v>
      </c>
      <c r="C71984" t="s">
        <v>10031</v>
      </c>
    </row>
    <row r="71986" spans="1:4" x14ac:dyDescent="0.2">
      <c r="A71986" t="s">
        <v>22270</v>
      </c>
      <c r="B71986" t="str">
        <f>HYPERLINK("https://lindat.mff.cuni.cz/services/teitok/pdtc10/index.php?action=vallex&amp;frame=v-w9979hsa_494", "zvládat (v-w9979hsa_494) - substituted with v-w9979f2_ZU")</f>
        <v>zvládat (v-w9979hsa_494) - substituted with v-w9979f2_ZU</v>
      </c>
    </row>
    <row r="71987" spans="1:4" x14ac:dyDescent="0.2">
      <c r="B71987" t="s">
        <v>1</v>
      </c>
    </row>
    <row r="71988" spans="1:4" x14ac:dyDescent="0.2">
      <c r="B71988" t="s">
        <v>8</v>
      </c>
    </row>
    <row r="71990" spans="1:4" x14ac:dyDescent="0.2">
      <c r="A71990" t="s">
        <v>22271</v>
      </c>
      <c r="B71990" t="str">
        <f>HYPERLINK("https://lindat.mff.cuni.cz/services/teitok/pdtc10/index.php?action=vallex&amp;frame=v-w9980f5_ZU", "zvládnout (v-w9980f5_ZU)")</f>
        <v>zvládnout (v-w9980f5_ZU)</v>
      </c>
    </row>
    <row r="71991" spans="1:4" x14ac:dyDescent="0.2">
      <c r="B71991" t="s">
        <v>1</v>
      </c>
    </row>
    <row r="71992" spans="1:4" x14ac:dyDescent="0.2">
      <c r="B71992" t="s">
        <v>1181</v>
      </c>
    </row>
    <row r="71994" spans="1:4" x14ac:dyDescent="0.2">
      <c r="A71994" t="s">
        <v>22271</v>
      </c>
      <c r="B71994" t="str">
        <f>HYPERLINK("https://lindat.mff.cuni.cz/services/teitok/pdtc10/index.php?action=vallex&amp;frame=v-w9980f1", "zvládnout (v-w9980f1) - substituted with v-w9980f5_ZU")</f>
        <v>zvládnout (v-w9980f1) - substituted with v-w9980f5_ZU</v>
      </c>
    </row>
    <row r="71995" spans="1:4" x14ac:dyDescent="0.2">
      <c r="B71995" t="s">
        <v>1</v>
      </c>
      <c r="C71995" t="s">
        <v>22272</v>
      </c>
      <c r="D71995" t="s">
        <v>24569</v>
      </c>
    </row>
    <row r="71996" spans="1:4" x14ac:dyDescent="0.2">
      <c r="B71996" t="s">
        <v>1181</v>
      </c>
      <c r="C71996" t="s">
        <v>22273</v>
      </c>
      <c r="D71996" t="s">
        <v>24570</v>
      </c>
    </row>
    <row r="71998" spans="1:4" x14ac:dyDescent="0.2">
      <c r="A71998" t="s">
        <v>22274</v>
      </c>
      <c r="B71998" t="str">
        <f>HYPERLINK("https://lindat.mff.cuni.cz/services/teitok/pdtc10/index.php?action=vallex&amp;frame=v-w9980f2_ZU", "zvládnout (v-w9980f2_ZU)")</f>
        <v>zvládnout (v-w9980f2_ZU)</v>
      </c>
    </row>
    <row r="71999" spans="1:4" x14ac:dyDescent="0.2">
      <c r="B71999" t="s">
        <v>1</v>
      </c>
      <c r="C71999" t="s">
        <v>976</v>
      </c>
      <c r="D71999" t="s">
        <v>6459</v>
      </c>
    </row>
    <row r="72000" spans="1:4" x14ac:dyDescent="0.2">
      <c r="B72000" t="s">
        <v>22275</v>
      </c>
    </row>
    <row r="72001" spans="1:4" x14ac:dyDescent="0.2">
      <c r="B72001" t="s">
        <v>8</v>
      </c>
      <c r="C72001" t="s">
        <v>307</v>
      </c>
      <c r="D72001" t="s">
        <v>19085</v>
      </c>
    </row>
    <row r="72003" spans="1:4" x14ac:dyDescent="0.2">
      <c r="A72003" t="s">
        <v>22276</v>
      </c>
      <c r="B72003" t="str">
        <f>HYPERLINK("https://lindat.mff.cuni.cz/services/teitok/pdtc10/index.php?action=vallex&amp;frame=v-w9980f4_ZU", "zvládnout (v-w9980f4_ZU)")</f>
        <v>zvládnout (v-w9980f4_ZU)</v>
      </c>
    </row>
    <row r="72004" spans="1:4" x14ac:dyDescent="0.2">
      <c r="B72004" t="s">
        <v>1</v>
      </c>
    </row>
    <row r="72005" spans="1:4" x14ac:dyDescent="0.2">
      <c r="B72005" t="s">
        <v>8</v>
      </c>
    </row>
    <row r="72007" spans="1:4" x14ac:dyDescent="0.2">
      <c r="A72007" t="s">
        <v>22276</v>
      </c>
      <c r="B72007" t="str">
        <f>HYPERLINK("https://lindat.mff.cuni.cz/services/teitok/pdtc10/index.php?action=vallex&amp;frame=v-w9980f3_ZU", "zvládnout (v-w9980f3_ZU) - substituted with v-w9980f4_ZU")</f>
        <v>zvládnout (v-w9980f3_ZU) - substituted with v-w9980f4_ZU</v>
      </c>
    </row>
    <row r="72008" spans="1:4" x14ac:dyDescent="0.2">
      <c r="B72008" t="s">
        <v>1</v>
      </c>
      <c r="C72008" t="s">
        <v>14657</v>
      </c>
      <c r="D72008" t="s">
        <v>430</v>
      </c>
    </row>
    <row r="72009" spans="1:4" x14ac:dyDescent="0.2">
      <c r="B72009" t="s">
        <v>8</v>
      </c>
      <c r="C72009" t="s">
        <v>10237</v>
      </c>
      <c r="D72009" t="s">
        <v>1128</v>
      </c>
    </row>
    <row r="72011" spans="1:4" x14ac:dyDescent="0.2">
      <c r="A72011" t="s">
        <v>22277</v>
      </c>
      <c r="B72011" t="str">
        <f>HYPERLINK("https://lindat.mff.cuni.cz/services/teitok/pdtc10/index.php?action=vallex&amp;frame=v-w9980f6_ZU", "zvládnout (v-w9980f6_ZU)")</f>
        <v>zvládnout (v-w9980f6_ZU)</v>
      </c>
    </row>
    <row r="72012" spans="1:4" x14ac:dyDescent="0.2">
      <c r="B72012" t="s">
        <v>1</v>
      </c>
    </row>
    <row r="72013" spans="1:4" x14ac:dyDescent="0.2">
      <c r="B72013" t="s">
        <v>8</v>
      </c>
    </row>
    <row r="72015" spans="1:4" x14ac:dyDescent="0.2">
      <c r="A72015" t="s">
        <v>22278</v>
      </c>
      <c r="B72015" t="str">
        <f>HYPERLINK("https://lindat.mff.cuni.cz/services/teitok/pdtc10/index.php?action=vallex&amp;frame=v-w9980hsa_1702", "zvládnout (v-w9980hsa_1702)")</f>
        <v>zvládnout (v-w9980hsa_1702)</v>
      </c>
    </row>
    <row r="72016" spans="1:4" x14ac:dyDescent="0.2">
      <c r="B72016" t="s">
        <v>1</v>
      </c>
    </row>
    <row r="72017" spans="1:4" x14ac:dyDescent="0.2">
      <c r="B72017" t="s">
        <v>8</v>
      </c>
    </row>
    <row r="72019" spans="1:4" x14ac:dyDescent="0.2">
      <c r="A72019" t="s">
        <v>22279</v>
      </c>
      <c r="B72019" t="str">
        <f>HYPERLINK("https://lindat.mff.cuni.cz/services/teitok/pdtc10/index.php?action=vallex&amp;frame=v-w9983f1", "zvolat (v-w9983f1)")</f>
        <v>zvolat (v-w9983f1)</v>
      </c>
    </row>
    <row r="72020" spans="1:4" x14ac:dyDescent="0.2">
      <c r="B72020" t="s">
        <v>1</v>
      </c>
      <c r="C72020" t="s">
        <v>16</v>
      </c>
      <c r="D72020" t="s">
        <v>2571</v>
      </c>
    </row>
    <row r="72021" spans="1:4" x14ac:dyDescent="0.2">
      <c r="B72021" t="s">
        <v>3727</v>
      </c>
      <c r="C72021" t="s">
        <v>4676</v>
      </c>
      <c r="D72021" t="s">
        <v>338</v>
      </c>
    </row>
    <row r="72022" spans="1:4" x14ac:dyDescent="0.2">
      <c r="B72022" t="s">
        <v>3527</v>
      </c>
      <c r="D72022" t="s">
        <v>3728</v>
      </c>
    </row>
    <row r="72024" spans="1:4" x14ac:dyDescent="0.2">
      <c r="A72024" t="s">
        <v>22280</v>
      </c>
      <c r="B72024" t="str">
        <f>HYPERLINK("https://lindat.mff.cuni.cz/services/teitok/pdtc10/index.php?action=vallex&amp;frame=v-w9986f3_ZU", "zvolit (v-w9986f3_ZU)")</f>
        <v>zvolit (v-w9986f3_ZU)</v>
      </c>
    </row>
    <row r="72025" spans="1:4" x14ac:dyDescent="0.2">
      <c r="B72025" t="s">
        <v>1</v>
      </c>
    </row>
    <row r="72026" spans="1:4" x14ac:dyDescent="0.2">
      <c r="B72026" t="s">
        <v>22281</v>
      </c>
    </row>
    <row r="72027" spans="1:4" x14ac:dyDescent="0.2">
      <c r="B72027" t="s">
        <v>13224</v>
      </c>
    </row>
    <row r="72029" spans="1:4" x14ac:dyDescent="0.2">
      <c r="A72029" t="s">
        <v>22280</v>
      </c>
      <c r="B72029" t="str">
        <f>HYPERLINK("https://lindat.mff.cuni.cz/services/teitok/pdtc10/index.php?action=vallex&amp;frame=v-w9986f1", "zvolit (v-w9986f1) - substituted with v-w9986f3_ZU")</f>
        <v>zvolit (v-w9986f1) - substituted with v-w9986f3_ZU</v>
      </c>
    </row>
    <row r="72030" spans="1:4" x14ac:dyDescent="0.2">
      <c r="B72030" t="s">
        <v>1</v>
      </c>
      <c r="C72030" t="s">
        <v>22282</v>
      </c>
      <c r="D72030" t="s">
        <v>20601</v>
      </c>
    </row>
    <row r="72031" spans="1:4" x14ac:dyDescent="0.2">
      <c r="B72031" t="s">
        <v>22281</v>
      </c>
      <c r="C72031" t="s">
        <v>22283</v>
      </c>
      <c r="D72031" t="s">
        <v>24136</v>
      </c>
    </row>
    <row r="72032" spans="1:4" x14ac:dyDescent="0.2">
      <c r="B72032" t="s">
        <v>13224</v>
      </c>
      <c r="C72032" t="s">
        <v>22284</v>
      </c>
      <c r="D72032" t="s">
        <v>22284</v>
      </c>
    </row>
    <row r="72034" spans="1:4" x14ac:dyDescent="0.2">
      <c r="A72034" t="s">
        <v>22280</v>
      </c>
      <c r="B72034" t="str">
        <f>HYPERLINK("https://lindat.mff.cuni.cz/services/teitok/pdtc10/index.php?action=vallex&amp;frame=v-w9986hsa_685", "zvolit (v-w9986hsa_685) - substituted with v-w9986f3_ZU")</f>
        <v>zvolit (v-w9986hsa_685) - substituted with v-w9986f3_ZU</v>
      </c>
    </row>
    <row r="72035" spans="1:4" x14ac:dyDescent="0.2">
      <c r="B72035" t="s">
        <v>1</v>
      </c>
    </row>
    <row r="72036" spans="1:4" x14ac:dyDescent="0.2">
      <c r="B72036" t="s">
        <v>22281</v>
      </c>
    </row>
    <row r="72037" spans="1:4" x14ac:dyDescent="0.2">
      <c r="B72037" t="s">
        <v>13224</v>
      </c>
    </row>
    <row r="72039" spans="1:4" x14ac:dyDescent="0.2">
      <c r="A72039" t="s">
        <v>22285</v>
      </c>
      <c r="B72039" t="str">
        <f>HYPERLINK("https://lindat.mff.cuni.cz/services/teitok/pdtc10/index.php?action=vallex&amp;frame=v-w9986f2", "zvolit (v-w9986f2)")</f>
        <v>zvolit (v-w9986f2)</v>
      </c>
    </row>
    <row r="72040" spans="1:4" x14ac:dyDescent="0.2">
      <c r="B72040" t="s">
        <v>1</v>
      </c>
      <c r="C72040" t="s">
        <v>7313</v>
      </c>
      <c r="D72040" t="s">
        <v>2264</v>
      </c>
    </row>
    <row r="72041" spans="1:4" x14ac:dyDescent="0.2">
      <c r="B72041" t="s">
        <v>8</v>
      </c>
      <c r="C72041" t="s">
        <v>22286</v>
      </c>
      <c r="D72041" t="s">
        <v>23380</v>
      </c>
    </row>
    <row r="72042" spans="1:4" x14ac:dyDescent="0.2">
      <c r="B72042" t="s">
        <v>4017</v>
      </c>
      <c r="C72042" t="s">
        <v>22287</v>
      </c>
      <c r="D72042" t="s">
        <v>23381</v>
      </c>
    </row>
    <row r="72044" spans="1:4" x14ac:dyDescent="0.2">
      <c r="A72044" t="s">
        <v>22288</v>
      </c>
      <c r="B72044" t="str">
        <f>HYPERLINK("https://lindat.mff.cuni.cz/services/teitok/pdtc10/index.php?action=vallex&amp;frame=v-w10348f2", "zvolnit (v-w10348f2)")</f>
        <v>zvolnit (v-w10348f2)</v>
      </c>
    </row>
    <row r="72045" spans="1:4" x14ac:dyDescent="0.2">
      <c r="B72045" t="s">
        <v>1</v>
      </c>
    </row>
    <row r="72046" spans="1:4" x14ac:dyDescent="0.2">
      <c r="B72046" t="s">
        <v>8</v>
      </c>
    </row>
    <row r="72048" spans="1:4" x14ac:dyDescent="0.2">
      <c r="A72048" t="s">
        <v>22289</v>
      </c>
      <c r="B72048" t="str">
        <f>HYPERLINK("https://lindat.mff.cuni.cz/services/teitok/pdtc10/index.php?action=vallex&amp;frame=v-w11118f2", "zvonit (v-w11118f2)")</f>
        <v>zvonit (v-w11118f2)</v>
      </c>
    </row>
    <row r="72049" spans="1:4" x14ac:dyDescent="0.2">
      <c r="B72049" t="s">
        <v>1</v>
      </c>
      <c r="C72049" t="s">
        <v>186</v>
      </c>
      <c r="D72049" t="s">
        <v>186</v>
      </c>
    </row>
    <row r="72051" spans="1:4" x14ac:dyDescent="0.2">
      <c r="A72051" t="s">
        <v>22290</v>
      </c>
      <c r="B72051" t="str">
        <f>HYPERLINK("https://lindat.mff.cuni.cz/services/teitok/pdtc10/index.php?action=vallex&amp;frame=v-w11118f5_ZU", "zvonit (v-w11118f5_ZU)")</f>
        <v>zvonit (v-w11118f5_ZU)</v>
      </c>
    </row>
    <row r="72052" spans="1:4" x14ac:dyDescent="0.2">
      <c r="B72052" t="s">
        <v>1</v>
      </c>
    </row>
    <row r="72054" spans="1:4" x14ac:dyDescent="0.2">
      <c r="A72054" t="s">
        <v>22290</v>
      </c>
      <c r="B72054" t="str">
        <f>HYPERLINK("https://lindat.mff.cuni.cz/services/teitok/pdtc10/index.php?action=vallex&amp;frame=v-w11118f4_ZU", "zvonit (v-w11118f4_ZU) - substituted with v-w11118f5_ZU")</f>
        <v>zvonit (v-w11118f4_ZU) - substituted with v-w11118f5_ZU</v>
      </c>
    </row>
    <row r="72055" spans="1:4" x14ac:dyDescent="0.2">
      <c r="B72055" t="s">
        <v>1</v>
      </c>
      <c r="C72055" t="s">
        <v>2698</v>
      </c>
      <c r="D72055" t="s">
        <v>5817</v>
      </c>
    </row>
    <row r="72057" spans="1:4" x14ac:dyDescent="0.2">
      <c r="A72057" t="s">
        <v>22290</v>
      </c>
      <c r="B72057" t="str">
        <f>HYPERLINK("https://lindat.mff.cuni.cz/services/teitok/pdtc10/index.php?action=vallex&amp;frame=v-w11118hsa_1057", "zvonit (v-w11118hsa_1057) - substituted with v-w11118f5_ZU")</f>
        <v>zvonit (v-w11118hsa_1057) - substituted with v-w11118f5_ZU</v>
      </c>
    </row>
    <row r="72058" spans="1:4" x14ac:dyDescent="0.2">
      <c r="B72058" t="s">
        <v>1</v>
      </c>
      <c r="C72058" t="s">
        <v>2698</v>
      </c>
    </row>
    <row r="72060" spans="1:4" x14ac:dyDescent="0.2">
      <c r="A72060" t="s">
        <v>22291</v>
      </c>
      <c r="B72060" t="str">
        <f>HYPERLINK("https://lindat.mff.cuni.cz/services/teitok/pdtc10/index.php?action=vallex&amp;frame=v-w11118f3_ZU", "zvonit (v-w11118f3_ZU)")</f>
        <v>zvonit (v-w11118f3_ZU)</v>
      </c>
    </row>
    <row r="72061" spans="1:4" x14ac:dyDescent="0.2">
      <c r="B72061" t="s">
        <v>1</v>
      </c>
    </row>
    <row r="72062" spans="1:4" x14ac:dyDescent="0.2">
      <c r="B72062" t="s">
        <v>22292</v>
      </c>
    </row>
    <row r="72063" spans="1:4" x14ac:dyDescent="0.2">
      <c r="B72063" t="s">
        <v>103</v>
      </c>
    </row>
    <row r="72065" spans="1:4" x14ac:dyDescent="0.2">
      <c r="A72065" t="s">
        <v>22291</v>
      </c>
      <c r="B72065" t="str">
        <f>HYPERLINK("https://lindat.mff.cuni.cz/services/teitok/pdtc10/index.php?action=vallex&amp;frame=v-w11118hsa_1058", "zvonit (v-w11118hsa_1058) - substituted with v-w11118f3_ZU")</f>
        <v>zvonit (v-w11118hsa_1058) - substituted with v-w11118f3_ZU</v>
      </c>
    </row>
    <row r="72066" spans="1:4" x14ac:dyDescent="0.2">
      <c r="B72066" t="s">
        <v>1</v>
      </c>
    </row>
    <row r="72067" spans="1:4" x14ac:dyDescent="0.2">
      <c r="B72067" t="s">
        <v>22292</v>
      </c>
    </row>
    <row r="72068" spans="1:4" x14ac:dyDescent="0.2">
      <c r="B72068" t="s">
        <v>103</v>
      </c>
    </row>
    <row r="72070" spans="1:4" x14ac:dyDescent="0.2">
      <c r="A72070" t="s">
        <v>22293</v>
      </c>
      <c r="B72070" t="str">
        <f>HYPERLINK("https://lindat.mff.cuni.cz/services/teitok/pdtc10/index.php?action=vallex&amp;frame=v-w11878_ZUf1_ZU", "zvorat (v-w11878_ZUf1_ZU)")</f>
        <v>zvorat (v-w11878_ZUf1_ZU)</v>
      </c>
    </row>
    <row r="72071" spans="1:4" x14ac:dyDescent="0.2">
      <c r="B72071" t="s">
        <v>1</v>
      </c>
    </row>
    <row r="72072" spans="1:4" x14ac:dyDescent="0.2">
      <c r="B72072" t="s">
        <v>8</v>
      </c>
    </row>
    <row r="72074" spans="1:4" x14ac:dyDescent="0.2">
      <c r="A72074" t="s">
        <v>22294</v>
      </c>
      <c r="B72074" t="str">
        <f>HYPERLINK("https://lindat.mff.cuni.cz/services/teitok/pdtc10/index.php?action=vallex&amp;frame=v-w9989f1", "zvracet (v-w9989f1)")</f>
        <v>zvracet (v-w9989f1)</v>
      </c>
    </row>
    <row r="72075" spans="1:4" x14ac:dyDescent="0.2">
      <c r="B72075" t="s">
        <v>1</v>
      </c>
    </row>
    <row r="72077" spans="1:4" x14ac:dyDescent="0.2">
      <c r="A72077" t="s">
        <v>22295</v>
      </c>
      <c r="B72077" t="str">
        <f>HYPERLINK("https://lindat.mff.cuni.cz/services/teitok/pdtc10/index.php?action=vallex&amp;frame=v-w9992f1", "zvrhnout se (v-w9992f1)")</f>
        <v>zvrhnout se (v-w9992f1)</v>
      </c>
    </row>
    <row r="72078" spans="1:4" x14ac:dyDescent="0.2">
      <c r="B72078" t="s">
        <v>1</v>
      </c>
      <c r="C72078" t="s">
        <v>22296</v>
      </c>
      <c r="D72078" t="s">
        <v>186</v>
      </c>
    </row>
    <row r="72079" spans="1:4" x14ac:dyDescent="0.2">
      <c r="B72079" t="s">
        <v>1859</v>
      </c>
      <c r="C72079" t="s">
        <v>22297</v>
      </c>
      <c r="D72079" t="s">
        <v>21434</v>
      </c>
    </row>
    <row r="72081" spans="1:4" x14ac:dyDescent="0.2">
      <c r="A72081" t="s">
        <v>22298</v>
      </c>
      <c r="B72081" t="str">
        <f>HYPERLINK("https://lindat.mff.cuni.cz/services/teitok/pdtc10/index.php?action=vallex&amp;frame=v-w9992hsa_1517", "zvrhnout se (v-w9992hsa_1517)")</f>
        <v>zvrhnout se (v-w9992hsa_1517)</v>
      </c>
    </row>
    <row r="72082" spans="1:4" x14ac:dyDescent="0.2">
      <c r="B72082" t="s">
        <v>1</v>
      </c>
    </row>
    <row r="72084" spans="1:4" x14ac:dyDescent="0.2">
      <c r="A72084" t="s">
        <v>22299</v>
      </c>
      <c r="B72084" t="str">
        <f>HYPERLINK("https://lindat.mff.cuni.cz/services/teitok/pdtc10/index.php?action=vallex&amp;frame=v-w11281f2", "zvrtnout se (v-w11281f2)")</f>
        <v>zvrtnout se (v-w11281f2)</v>
      </c>
    </row>
    <row r="72085" spans="1:4" x14ac:dyDescent="0.2">
      <c r="B72085" t="s">
        <v>1</v>
      </c>
    </row>
    <row r="72087" spans="1:4" x14ac:dyDescent="0.2">
      <c r="A72087" t="s">
        <v>22300</v>
      </c>
      <c r="B72087" t="str">
        <f>HYPERLINK("https://lindat.mff.cuni.cz/services/teitok/pdtc10/index.php?action=vallex&amp;frame=v-w9991f2_ZU", "zvrátit (v-w9991f2_ZU)")</f>
        <v>zvrátit (v-w9991f2_ZU)</v>
      </c>
    </row>
    <row r="72088" spans="1:4" x14ac:dyDescent="0.2">
      <c r="B72088" t="s">
        <v>1</v>
      </c>
      <c r="C72088" t="s">
        <v>133</v>
      </c>
      <c r="D72088" t="s">
        <v>16226</v>
      </c>
    </row>
    <row r="72089" spans="1:4" x14ac:dyDescent="0.2">
      <c r="B72089" t="s">
        <v>8</v>
      </c>
      <c r="C72089" t="s">
        <v>34</v>
      </c>
      <c r="D72089" t="s">
        <v>7127</v>
      </c>
    </row>
    <row r="72090" spans="1:4" x14ac:dyDescent="0.2">
      <c r="B72090" t="s">
        <v>24</v>
      </c>
    </row>
    <row r="72091" spans="1:4" x14ac:dyDescent="0.2">
      <c r="B72091" t="s">
        <v>5394</v>
      </c>
      <c r="D72091" t="s">
        <v>6778</v>
      </c>
    </row>
    <row r="72093" spans="1:4" x14ac:dyDescent="0.2">
      <c r="A72093" t="s">
        <v>22300</v>
      </c>
      <c r="B72093" t="str">
        <f>HYPERLINK("https://lindat.mff.cuni.cz/services/teitok/pdtc10/index.php?action=vallex&amp;frame=v-w9991f1", "zvrátit (v-w9991f1) - substituted with v-w9991f2_ZU")</f>
        <v>zvrátit (v-w9991f1) - substituted with v-w9991f2_ZU</v>
      </c>
    </row>
    <row r="72094" spans="1:4" x14ac:dyDescent="0.2">
      <c r="B72094" t="s">
        <v>1</v>
      </c>
      <c r="C72094" t="s">
        <v>11552</v>
      </c>
    </row>
    <row r="72095" spans="1:4" x14ac:dyDescent="0.2">
      <c r="B72095" t="s">
        <v>8</v>
      </c>
      <c r="C72095" t="s">
        <v>4372</v>
      </c>
    </row>
    <row r="72096" spans="1:4" x14ac:dyDescent="0.2">
      <c r="B72096" t="s">
        <v>24</v>
      </c>
    </row>
    <row r="72097" spans="1:4" x14ac:dyDescent="0.2">
      <c r="B72097" t="s">
        <v>5394</v>
      </c>
      <c r="C72097" t="s">
        <v>5609</v>
      </c>
    </row>
    <row r="72099" spans="1:4" x14ac:dyDescent="0.2">
      <c r="A72099" t="s">
        <v>22300</v>
      </c>
      <c r="B72099" t="str">
        <f>HYPERLINK("https://lindat.mff.cuni.cz/services/teitok/pdtc10/index.php?action=vallex&amp;frame=v-w9991hsa_1164", "zvrátit (v-w9991hsa_1164) - substituted with v-w9991f2_ZU")</f>
        <v>zvrátit (v-w9991hsa_1164) - substituted with v-w9991f2_ZU</v>
      </c>
    </row>
    <row r="72100" spans="1:4" x14ac:dyDescent="0.2">
      <c r="B72100" t="s">
        <v>1</v>
      </c>
    </row>
    <row r="72101" spans="1:4" x14ac:dyDescent="0.2">
      <c r="B72101" t="s">
        <v>8</v>
      </c>
    </row>
    <row r="72102" spans="1:4" x14ac:dyDescent="0.2">
      <c r="B72102" t="s">
        <v>24</v>
      </c>
    </row>
    <row r="72103" spans="1:4" x14ac:dyDescent="0.2">
      <c r="B72103" t="s">
        <v>5394</v>
      </c>
    </row>
    <row r="72105" spans="1:4" x14ac:dyDescent="0.2">
      <c r="A72105" t="s">
        <v>22301</v>
      </c>
      <c r="B72105" t="str">
        <f>HYPERLINK("https://lindat.mff.cuni.cz/services/teitok/pdtc10/index.php?action=vallex&amp;frame=v-whsa_968f1_ZU", "zvrátit se (v-whsa_968f1_ZU)")</f>
        <v>zvrátit se (v-whsa_968f1_ZU)</v>
      </c>
    </row>
    <row r="72106" spans="1:4" x14ac:dyDescent="0.2">
      <c r="B72106" t="s">
        <v>1</v>
      </c>
      <c r="C72106" t="s">
        <v>1904</v>
      </c>
      <c r="D72106" t="s">
        <v>186</v>
      </c>
    </row>
    <row r="72107" spans="1:4" x14ac:dyDescent="0.2">
      <c r="B72107" t="s">
        <v>4524</v>
      </c>
      <c r="D72107" t="s">
        <v>991</v>
      </c>
    </row>
    <row r="72108" spans="1:4" x14ac:dyDescent="0.2">
      <c r="B72108" t="s">
        <v>24</v>
      </c>
    </row>
    <row r="72110" spans="1:4" x14ac:dyDescent="0.2">
      <c r="A72110" t="s">
        <v>22301</v>
      </c>
      <c r="B72110" t="str">
        <f>HYPERLINK("https://lindat.mff.cuni.cz/services/teitok/pdtc10/index.php?action=vallex&amp;frame=v-whsa_968hsa_969", "zvrátit se (v-whsa_968hsa_969) - substituted with v-whsa_968f1_ZU")</f>
        <v>zvrátit se (v-whsa_968hsa_969) - substituted with v-whsa_968f1_ZU</v>
      </c>
    </row>
    <row r="72111" spans="1:4" x14ac:dyDescent="0.2">
      <c r="B72111" t="s">
        <v>1</v>
      </c>
    </row>
    <row r="72112" spans="1:4" x14ac:dyDescent="0.2">
      <c r="B72112" t="s">
        <v>4524</v>
      </c>
    </row>
    <row r="72113" spans="1:4" x14ac:dyDescent="0.2">
      <c r="B72113" t="s">
        <v>24</v>
      </c>
    </row>
    <row r="72115" spans="1:4" x14ac:dyDescent="0.2">
      <c r="A72115" t="s">
        <v>22302</v>
      </c>
      <c r="B72115" t="str">
        <f>HYPERLINK("https://lindat.mff.cuni.cz/services/teitok/pdtc10/index.php?action=vallex&amp;frame=v-w9993f1", "zvučet (v-w9993f1)")</f>
        <v>zvučet (v-w9993f1)</v>
      </c>
    </row>
    <row r="72116" spans="1:4" x14ac:dyDescent="0.2">
      <c r="B72116" t="s">
        <v>1</v>
      </c>
    </row>
    <row r="72118" spans="1:4" x14ac:dyDescent="0.2">
      <c r="A72118" t="s">
        <v>22303</v>
      </c>
      <c r="B72118" t="str">
        <f>HYPERLINK("https://lindat.mff.cuni.cz/services/teitok/pdtc10/index.php?action=vallex&amp;frame=v-w9999f1", "zvykat si (v-w9999f1)")</f>
        <v>zvykat si (v-w9999f1)</v>
      </c>
    </row>
    <row r="72119" spans="1:4" x14ac:dyDescent="0.2">
      <c r="B72119" t="s">
        <v>1</v>
      </c>
      <c r="C72119" t="s">
        <v>22304</v>
      </c>
    </row>
    <row r="72120" spans="1:4" x14ac:dyDescent="0.2">
      <c r="B72120" t="s">
        <v>22305</v>
      </c>
      <c r="C72120" t="s">
        <v>2253</v>
      </c>
    </row>
    <row r="72122" spans="1:4" x14ac:dyDescent="0.2">
      <c r="A72122" t="s">
        <v>22306</v>
      </c>
      <c r="B72122" t="str">
        <f>HYPERLINK("https://lindat.mff.cuni.cz/services/teitok/pdtc10/index.php?action=vallex&amp;frame=v-w10001f1", "zvyknout si (v-w10001f1)")</f>
        <v>zvyknout si (v-w10001f1)</v>
      </c>
    </row>
    <row r="72123" spans="1:4" x14ac:dyDescent="0.2">
      <c r="B72123" t="s">
        <v>1</v>
      </c>
      <c r="C72123" t="s">
        <v>22307</v>
      </c>
      <c r="D72123" t="s">
        <v>24102</v>
      </c>
    </row>
    <row r="72124" spans="1:4" x14ac:dyDescent="0.2">
      <c r="B72124" t="s">
        <v>22305</v>
      </c>
      <c r="C72124" t="s">
        <v>22308</v>
      </c>
      <c r="D72124" t="s">
        <v>24103</v>
      </c>
    </row>
    <row r="72126" spans="1:4" x14ac:dyDescent="0.2">
      <c r="A72126" t="s">
        <v>22309</v>
      </c>
      <c r="B72126" t="str">
        <f>HYPERLINK("https://lindat.mff.cuni.cz/services/teitok/pdtc10/index.php?action=vallex&amp;frame=v-w10009f1", "zvyšovat (v-w10009f1)")</f>
        <v>zvyšovat (v-w10009f1)</v>
      </c>
    </row>
    <row r="72127" spans="1:4" x14ac:dyDescent="0.2">
      <c r="B72127" t="s">
        <v>1</v>
      </c>
      <c r="C72127" t="s">
        <v>22310</v>
      </c>
      <c r="D72127" t="s">
        <v>23523</v>
      </c>
    </row>
    <row r="72128" spans="1:4" x14ac:dyDescent="0.2">
      <c r="B72128" t="s">
        <v>8</v>
      </c>
      <c r="C72128" t="s">
        <v>22311</v>
      </c>
      <c r="D72128" t="s">
        <v>23524</v>
      </c>
    </row>
    <row r="72129" spans="1:4" x14ac:dyDescent="0.2">
      <c r="B72129" t="s">
        <v>24</v>
      </c>
      <c r="C72129" t="s">
        <v>22312</v>
      </c>
      <c r="D72129" t="s">
        <v>23525</v>
      </c>
    </row>
    <row r="72130" spans="1:4" x14ac:dyDescent="0.2">
      <c r="B72130" t="s">
        <v>61</v>
      </c>
      <c r="C72130" t="s">
        <v>22313</v>
      </c>
      <c r="D72130" t="s">
        <v>23526</v>
      </c>
    </row>
    <row r="72132" spans="1:4" x14ac:dyDescent="0.2">
      <c r="A72132" t="s">
        <v>22314</v>
      </c>
      <c r="B72132" t="str">
        <f>HYPERLINK("https://lindat.mff.cuni.cz/services/teitok/pdtc10/index.php?action=vallex&amp;frame=v-w10010f1", "zvyšovat se (v-w10010f1)")</f>
        <v>zvyšovat se (v-w10010f1)</v>
      </c>
    </row>
    <row r="72133" spans="1:4" x14ac:dyDescent="0.2">
      <c r="B72133" t="s">
        <v>1</v>
      </c>
      <c r="C72133" t="s">
        <v>22315</v>
      </c>
      <c r="D72133" t="s">
        <v>23510</v>
      </c>
    </row>
    <row r="72134" spans="1:4" x14ac:dyDescent="0.2">
      <c r="B72134" t="s">
        <v>46</v>
      </c>
      <c r="C72134" t="s">
        <v>22316</v>
      </c>
      <c r="D72134" t="s">
        <v>23393</v>
      </c>
    </row>
    <row r="72135" spans="1:4" x14ac:dyDescent="0.2">
      <c r="B72135" t="s">
        <v>24</v>
      </c>
      <c r="C72135" t="s">
        <v>22317</v>
      </c>
      <c r="D72135" t="s">
        <v>23394</v>
      </c>
    </row>
    <row r="72137" spans="1:4" x14ac:dyDescent="0.2">
      <c r="A72137" t="s">
        <v>22318</v>
      </c>
      <c r="B72137" t="str">
        <f>HYPERLINK("https://lindat.mff.cuni.cz/services/teitok/pdtc10/index.php?action=vallex&amp;frame=v-w9947f2", "zvát (v-w9947f2)")</f>
        <v>zvát (v-w9947f2)</v>
      </c>
    </row>
    <row r="72138" spans="1:4" x14ac:dyDescent="0.2">
      <c r="B72138" t="s">
        <v>1</v>
      </c>
    </row>
    <row r="72139" spans="1:4" x14ac:dyDescent="0.2">
      <c r="B72139" t="s">
        <v>8</v>
      </c>
    </row>
    <row r="72140" spans="1:4" x14ac:dyDescent="0.2">
      <c r="B72140" t="s">
        <v>6385</v>
      </c>
    </row>
    <row r="72142" spans="1:4" x14ac:dyDescent="0.2">
      <c r="A72142" t="s">
        <v>22319</v>
      </c>
      <c r="B72142" t="str">
        <f>HYPERLINK("https://lindat.mff.cuni.cz/services/teitok/pdtc10/index.php?action=vallex&amp;frame=v-w9947f1", "zvát (v-w9947f1)")</f>
        <v>zvát (v-w9947f1)</v>
      </c>
    </row>
    <row r="72143" spans="1:4" x14ac:dyDescent="0.2">
      <c r="B72143" t="s">
        <v>1</v>
      </c>
      <c r="C72143" t="s">
        <v>22320</v>
      </c>
      <c r="D72143" t="s">
        <v>990</v>
      </c>
    </row>
    <row r="72144" spans="1:4" x14ac:dyDescent="0.2">
      <c r="B72144" t="s">
        <v>8</v>
      </c>
      <c r="C72144" t="s">
        <v>22321</v>
      </c>
      <c r="D72144" t="s">
        <v>2886</v>
      </c>
    </row>
    <row r="72146" spans="1:4" x14ac:dyDescent="0.2">
      <c r="A72146" t="s">
        <v>22322</v>
      </c>
      <c r="B72146" t="str">
        <f>HYPERLINK("https://lindat.mff.cuni.cz/services/teitok/pdtc10/index.php?action=vallex&amp;frame=v-w9949f1", "zvážit (v-w9949f1)")</f>
        <v>zvážit (v-w9949f1)</v>
      </c>
    </row>
    <row r="72147" spans="1:4" x14ac:dyDescent="0.2">
      <c r="B72147" t="s">
        <v>1</v>
      </c>
      <c r="C72147" t="s">
        <v>6383</v>
      </c>
      <c r="D72147" t="s">
        <v>23014</v>
      </c>
    </row>
    <row r="72148" spans="1:4" x14ac:dyDescent="0.2">
      <c r="B72148" t="s">
        <v>13345</v>
      </c>
      <c r="C72148" t="s">
        <v>22323</v>
      </c>
      <c r="D72148" t="s">
        <v>23015</v>
      </c>
    </row>
    <row r="72150" spans="1:4" x14ac:dyDescent="0.2">
      <c r="A72150" t="s">
        <v>22324</v>
      </c>
      <c r="B72150" t="str">
        <f>HYPERLINK("https://lindat.mff.cuni.cz/services/teitok/pdtc10/index.php?action=vallex&amp;frame=v-w10581f2", "zvážnět (v-w10581f2)")</f>
        <v>zvážnět (v-w10581f2)</v>
      </c>
    </row>
    <row r="72151" spans="1:4" x14ac:dyDescent="0.2">
      <c r="B72151" t="s">
        <v>1</v>
      </c>
    </row>
    <row r="72153" spans="1:4" x14ac:dyDescent="0.2">
      <c r="A72153" t="s">
        <v>22325</v>
      </c>
      <c r="B72153" t="str">
        <f>HYPERLINK("https://lindat.mff.cuni.cz/services/teitok/pdtc10/index.php?action=vallex&amp;frame=v-w9978f1", "zvítězit (v-w9978f1)")</f>
        <v>zvítězit (v-w9978f1)</v>
      </c>
    </row>
    <row r="72154" spans="1:4" x14ac:dyDescent="0.2">
      <c r="B72154" t="s">
        <v>1</v>
      </c>
      <c r="C72154" t="s">
        <v>22326</v>
      </c>
      <c r="D72154" t="s">
        <v>66</v>
      </c>
    </row>
    <row r="72155" spans="1:4" x14ac:dyDescent="0.2">
      <c r="B72155" t="s">
        <v>551</v>
      </c>
      <c r="C72155" t="s">
        <v>22327</v>
      </c>
      <c r="D72155" t="s">
        <v>5851</v>
      </c>
    </row>
    <row r="72156" spans="1:4" x14ac:dyDescent="0.2">
      <c r="B72156" t="s">
        <v>22328</v>
      </c>
    </row>
    <row r="72158" spans="1:4" x14ac:dyDescent="0.2">
      <c r="A72158" t="s">
        <v>22329</v>
      </c>
      <c r="B72158" t="str">
        <f>HYPERLINK("https://lindat.mff.cuni.cz/services/teitok/pdtc10/index.php?action=vallex&amp;frame=v-w9995f1", "zvýhodnit (v-w9995f1)")</f>
        <v>zvýhodnit (v-w9995f1)</v>
      </c>
    </row>
    <row r="72159" spans="1:4" x14ac:dyDescent="0.2">
      <c r="B72159" t="s">
        <v>1</v>
      </c>
      <c r="C72159" t="s">
        <v>322</v>
      </c>
      <c r="D72159" t="s">
        <v>23552</v>
      </c>
    </row>
    <row r="72160" spans="1:4" x14ac:dyDescent="0.2">
      <c r="B72160" t="s">
        <v>8</v>
      </c>
      <c r="C72160" t="s">
        <v>9024</v>
      </c>
      <c r="D72160" t="s">
        <v>23553</v>
      </c>
    </row>
    <row r="72162" spans="1:4" x14ac:dyDescent="0.2">
      <c r="A72162" t="s">
        <v>22330</v>
      </c>
      <c r="B72162" t="str">
        <f>HYPERLINK("https://lindat.mff.cuni.cz/services/teitok/pdtc10/index.php?action=vallex&amp;frame=v-w9997f1", "zvýhodňovat (v-w9997f1)")</f>
        <v>zvýhodňovat (v-w9997f1)</v>
      </c>
    </row>
    <row r="72163" spans="1:4" x14ac:dyDescent="0.2">
      <c r="B72163" t="s">
        <v>1</v>
      </c>
      <c r="C72163" t="s">
        <v>3750</v>
      </c>
      <c r="D72163" t="s">
        <v>23552</v>
      </c>
    </row>
    <row r="72164" spans="1:4" x14ac:dyDescent="0.2">
      <c r="B72164" t="s">
        <v>8</v>
      </c>
      <c r="C72164" t="s">
        <v>7921</v>
      </c>
      <c r="D72164" t="s">
        <v>23553</v>
      </c>
    </row>
    <row r="72166" spans="1:4" x14ac:dyDescent="0.2">
      <c r="A72166" t="s">
        <v>22331</v>
      </c>
      <c r="B72166" t="str">
        <f>HYPERLINK("https://lindat.mff.cuni.cz/services/teitok/pdtc10/index.php?action=vallex&amp;frame=v-w10003f1", "zvýraznit (v-w10003f1)")</f>
        <v>zvýraznit (v-w10003f1)</v>
      </c>
    </row>
    <row r="72167" spans="1:4" x14ac:dyDescent="0.2">
      <c r="B72167" t="s">
        <v>1</v>
      </c>
      <c r="C72167" t="s">
        <v>92</v>
      </c>
      <c r="D72167" t="s">
        <v>10977</v>
      </c>
    </row>
    <row r="72168" spans="1:4" x14ac:dyDescent="0.2">
      <c r="B72168" t="s">
        <v>124</v>
      </c>
      <c r="C72168" t="s">
        <v>2213</v>
      </c>
      <c r="D72168" t="s">
        <v>13080</v>
      </c>
    </row>
    <row r="72170" spans="1:4" x14ac:dyDescent="0.2">
      <c r="A72170" t="s">
        <v>22332</v>
      </c>
      <c r="B72170" t="str">
        <f>HYPERLINK("https://lindat.mff.cuni.cz/services/teitok/pdtc10/index.php?action=vallex&amp;frame=v-w10484f3", "zvýrazňovat (v-w10484f3)")</f>
        <v>zvýrazňovat (v-w10484f3)</v>
      </c>
    </row>
    <row r="72171" spans="1:4" x14ac:dyDescent="0.2">
      <c r="B72171" t="s">
        <v>1</v>
      </c>
      <c r="C72171" t="s">
        <v>83</v>
      </c>
      <c r="D72171" t="s">
        <v>10977</v>
      </c>
    </row>
    <row r="72172" spans="1:4" x14ac:dyDescent="0.2">
      <c r="B72172" t="s">
        <v>124</v>
      </c>
      <c r="C72172" t="s">
        <v>1044</v>
      </c>
      <c r="D72172" t="s">
        <v>13080</v>
      </c>
    </row>
    <row r="72174" spans="1:4" x14ac:dyDescent="0.2">
      <c r="A72174" t="s">
        <v>22333</v>
      </c>
      <c r="B72174" t="str">
        <f>HYPERLINK("https://lindat.mff.cuni.cz/services/teitok/pdtc10/index.php?action=vallex&amp;frame=v-w10006f1", "zvýšit (v-w10006f1)")</f>
        <v>zvýšit (v-w10006f1)</v>
      </c>
    </row>
    <row r="72175" spans="1:4" x14ac:dyDescent="0.2">
      <c r="B72175" t="s">
        <v>1</v>
      </c>
      <c r="C72175" t="s">
        <v>22334</v>
      </c>
      <c r="D72175" t="s">
        <v>23523</v>
      </c>
    </row>
    <row r="72176" spans="1:4" x14ac:dyDescent="0.2">
      <c r="B72176" t="s">
        <v>8</v>
      </c>
      <c r="C72176" t="s">
        <v>22335</v>
      </c>
      <c r="D72176" t="s">
        <v>23524</v>
      </c>
    </row>
    <row r="72177" spans="1:4" x14ac:dyDescent="0.2">
      <c r="B72177" t="s">
        <v>24</v>
      </c>
      <c r="C72177" t="s">
        <v>22336</v>
      </c>
      <c r="D72177" t="s">
        <v>23525</v>
      </c>
    </row>
    <row r="72178" spans="1:4" x14ac:dyDescent="0.2">
      <c r="B72178" t="s">
        <v>61</v>
      </c>
      <c r="C72178" t="s">
        <v>22337</v>
      </c>
      <c r="D72178" t="s">
        <v>23526</v>
      </c>
    </row>
    <row r="72180" spans="1:4" x14ac:dyDescent="0.2">
      <c r="A72180" t="s">
        <v>22338</v>
      </c>
      <c r="B72180" t="str">
        <f>HYPERLINK("https://lindat.mff.cuni.cz/services/teitok/pdtc10/index.php?action=vallex&amp;frame=v-w10006f2_ZU", "zvýšit (v-w10006f2_ZU)")</f>
        <v>zvýšit (v-w10006f2_ZU)</v>
      </c>
    </row>
    <row r="72181" spans="1:4" x14ac:dyDescent="0.2">
      <c r="B72181" t="s">
        <v>1</v>
      </c>
      <c r="C72181" t="s">
        <v>22339</v>
      </c>
      <c r="D72181" t="s">
        <v>23510</v>
      </c>
    </row>
    <row r="72182" spans="1:4" x14ac:dyDescent="0.2">
      <c r="B72182" t="s">
        <v>46</v>
      </c>
      <c r="C72182" t="s">
        <v>22340</v>
      </c>
      <c r="D72182" t="s">
        <v>23393</v>
      </c>
    </row>
    <row r="72183" spans="1:4" x14ac:dyDescent="0.2">
      <c r="B72183" t="s">
        <v>24</v>
      </c>
      <c r="C72183" t="s">
        <v>22341</v>
      </c>
      <c r="D72183" t="s">
        <v>23394</v>
      </c>
    </row>
    <row r="72185" spans="1:4" x14ac:dyDescent="0.2">
      <c r="A72185" t="s">
        <v>22338</v>
      </c>
      <c r="B72185" t="str">
        <f>HYPERLINK("https://lindat.mff.cuni.cz/services/teitok/pdtc10/index.php?action=vallex&amp;frame=v-w10006hsa_957", "zvýšit (v-w10006hsa_957) - substituted with v-w10006f2_ZU")</f>
        <v>zvýšit (v-w10006hsa_957) - substituted with v-w10006f2_ZU</v>
      </c>
    </row>
    <row r="72186" spans="1:4" x14ac:dyDescent="0.2">
      <c r="B72186" t="s">
        <v>1</v>
      </c>
    </row>
    <row r="72187" spans="1:4" x14ac:dyDescent="0.2">
      <c r="B72187" t="s">
        <v>46</v>
      </c>
    </row>
    <row r="72188" spans="1:4" x14ac:dyDescent="0.2">
      <c r="B72188" t="s">
        <v>24</v>
      </c>
    </row>
    <row r="72190" spans="1:4" x14ac:dyDescent="0.2">
      <c r="A72190" t="s">
        <v>22342</v>
      </c>
      <c r="B72190" t="str">
        <f>HYPERLINK("https://lindat.mff.cuni.cz/services/teitok/pdtc10/index.php?action=vallex&amp;frame=v-w10007f1", "zvýšit se (v-w10007f1)")</f>
        <v>zvýšit se (v-w10007f1)</v>
      </c>
    </row>
    <row r="72191" spans="1:4" x14ac:dyDescent="0.2">
      <c r="B72191" t="s">
        <v>1</v>
      </c>
      <c r="C72191" t="s">
        <v>22343</v>
      </c>
      <c r="D72191" t="s">
        <v>23510</v>
      </c>
    </row>
    <row r="72192" spans="1:4" x14ac:dyDescent="0.2">
      <c r="B72192" t="s">
        <v>46</v>
      </c>
      <c r="C72192" t="s">
        <v>22344</v>
      </c>
      <c r="D72192" t="s">
        <v>23393</v>
      </c>
    </row>
    <row r="72193" spans="1:4" x14ac:dyDescent="0.2">
      <c r="B72193" t="s">
        <v>24</v>
      </c>
      <c r="C72193" t="s">
        <v>22345</v>
      </c>
      <c r="D72193" t="s">
        <v>23394</v>
      </c>
    </row>
    <row r="72195" spans="1:4" x14ac:dyDescent="0.2">
      <c r="A72195" t="s">
        <v>22346</v>
      </c>
      <c r="B72195" t="str">
        <f>HYPERLINK("https://lindat.mff.cuni.cz/services/teitok/pdtc10/index.php?action=vallex&amp;frame=v-w9955f2", "zvědět (v-w9955f2)")</f>
        <v>zvědět (v-w9955f2)</v>
      </c>
    </row>
    <row r="72196" spans="1:4" x14ac:dyDescent="0.2">
      <c r="B72196" t="s">
        <v>1</v>
      </c>
    </row>
    <row r="72197" spans="1:4" x14ac:dyDescent="0.2">
      <c r="B72197" t="s">
        <v>1876</v>
      </c>
    </row>
    <row r="72198" spans="1:4" x14ac:dyDescent="0.2">
      <c r="B72198" t="s">
        <v>321</v>
      </c>
    </row>
    <row r="72200" spans="1:4" x14ac:dyDescent="0.2">
      <c r="A72200" t="s">
        <v>22347</v>
      </c>
      <c r="B72200" t="str">
        <f>HYPERLINK("https://lindat.mff.cuni.cz/services/teitok/pdtc10/index.php?action=vallex&amp;frame=v-w9955f1", "zvědět (v-w9955f1)")</f>
        <v>zvědět (v-w9955f1)</v>
      </c>
    </row>
    <row r="72201" spans="1:4" x14ac:dyDescent="0.2">
      <c r="B72201" t="s">
        <v>1</v>
      </c>
    </row>
    <row r="72202" spans="1:4" x14ac:dyDescent="0.2">
      <c r="B72202" t="s">
        <v>17790</v>
      </c>
    </row>
    <row r="72203" spans="1:4" x14ac:dyDescent="0.2">
      <c r="B72203" t="s">
        <v>269</v>
      </c>
    </row>
    <row r="72204" spans="1:4" x14ac:dyDescent="0.2">
      <c r="B72204" t="s">
        <v>321</v>
      </c>
    </row>
    <row r="72206" spans="1:4" x14ac:dyDescent="0.2">
      <c r="A72206" t="s">
        <v>22348</v>
      </c>
      <c r="B72206" t="str">
        <f>HYPERLINK("https://lindat.mff.cuni.cz/services/teitok/pdtc10/index.php?action=vallex&amp;frame=v-w10181f2", "zvěstovat (v-w10181f2)")</f>
        <v>zvěstovat (v-w10181f2)</v>
      </c>
    </row>
    <row r="72207" spans="1:4" x14ac:dyDescent="0.2">
      <c r="B72207" t="s">
        <v>1</v>
      </c>
      <c r="C72207" t="s">
        <v>83</v>
      </c>
      <c r="D72207" t="s">
        <v>22967</v>
      </c>
    </row>
    <row r="72208" spans="1:4" x14ac:dyDescent="0.2">
      <c r="B72208" t="s">
        <v>273</v>
      </c>
      <c r="C72208" t="s">
        <v>1128</v>
      </c>
      <c r="D72208" t="s">
        <v>22968</v>
      </c>
    </row>
    <row r="72209" spans="1:4" x14ac:dyDescent="0.2">
      <c r="B72209" t="s">
        <v>35</v>
      </c>
      <c r="D72209" t="s">
        <v>22969</v>
      </c>
    </row>
    <row r="72211" spans="1:4" x14ac:dyDescent="0.2">
      <c r="A72211" t="s">
        <v>22349</v>
      </c>
      <c r="B72211" t="str">
        <f>HYPERLINK("https://lindat.mff.cuni.cz/services/teitok/pdtc10/index.php?action=vallex&amp;frame=v-w9971f1", "zvětšit (v-w9971f1)")</f>
        <v>zvětšit (v-w9971f1)</v>
      </c>
    </row>
    <row r="72212" spans="1:4" x14ac:dyDescent="0.2">
      <c r="B72212" t="s">
        <v>1</v>
      </c>
      <c r="C72212" t="s">
        <v>22350</v>
      </c>
      <c r="D72212" t="s">
        <v>23523</v>
      </c>
    </row>
    <row r="72213" spans="1:4" x14ac:dyDescent="0.2">
      <c r="B72213" t="s">
        <v>8</v>
      </c>
      <c r="C72213" t="s">
        <v>22351</v>
      </c>
      <c r="D72213" t="s">
        <v>23524</v>
      </c>
    </row>
    <row r="72214" spans="1:4" x14ac:dyDescent="0.2">
      <c r="B72214" t="s">
        <v>24</v>
      </c>
      <c r="C72214" t="s">
        <v>22352</v>
      </c>
      <c r="D72214" t="s">
        <v>23525</v>
      </c>
    </row>
    <row r="72215" spans="1:4" x14ac:dyDescent="0.2">
      <c r="B72215" t="s">
        <v>61</v>
      </c>
      <c r="C72215" t="s">
        <v>22353</v>
      </c>
      <c r="D72215" t="s">
        <v>23526</v>
      </c>
    </row>
    <row r="72217" spans="1:4" x14ac:dyDescent="0.2">
      <c r="A72217" t="s">
        <v>22354</v>
      </c>
      <c r="B72217" t="str">
        <f>HYPERLINK("https://lindat.mff.cuni.cz/services/teitok/pdtc10/index.php?action=vallex&amp;frame=v-w9972f1", "zvětšit se (v-w9972f1)")</f>
        <v>zvětšit se (v-w9972f1)</v>
      </c>
    </row>
    <row r="72218" spans="1:4" x14ac:dyDescent="0.2">
      <c r="B72218" t="s">
        <v>1</v>
      </c>
      <c r="C72218" t="s">
        <v>22355</v>
      </c>
      <c r="D72218" t="s">
        <v>23510</v>
      </c>
    </row>
    <row r="72219" spans="1:4" x14ac:dyDescent="0.2">
      <c r="B72219" t="s">
        <v>46</v>
      </c>
      <c r="C72219" t="s">
        <v>22356</v>
      </c>
      <c r="D72219" t="s">
        <v>23393</v>
      </c>
    </row>
    <row r="72220" spans="1:4" x14ac:dyDescent="0.2">
      <c r="B72220" t="s">
        <v>24</v>
      </c>
      <c r="C72220" t="s">
        <v>22357</v>
      </c>
      <c r="D72220" t="s">
        <v>23394</v>
      </c>
    </row>
    <row r="72222" spans="1:4" x14ac:dyDescent="0.2">
      <c r="A72222" t="s">
        <v>22358</v>
      </c>
      <c r="B72222" t="str">
        <f>HYPERLINK("https://lindat.mff.cuni.cz/services/teitok/pdtc10/index.php?action=vallex&amp;frame=v-w9973f1", "zvětšovat (v-w9973f1)")</f>
        <v>zvětšovat (v-w9973f1)</v>
      </c>
    </row>
    <row r="72223" spans="1:4" x14ac:dyDescent="0.2">
      <c r="B72223" t="s">
        <v>1</v>
      </c>
      <c r="D72223" t="s">
        <v>23523</v>
      </c>
    </row>
    <row r="72224" spans="1:4" x14ac:dyDescent="0.2">
      <c r="B72224" t="s">
        <v>8</v>
      </c>
      <c r="D72224" t="s">
        <v>23524</v>
      </c>
    </row>
    <row r="72225" spans="1:4" x14ac:dyDescent="0.2">
      <c r="B72225" t="s">
        <v>24</v>
      </c>
      <c r="D72225" t="s">
        <v>23525</v>
      </c>
    </row>
    <row r="72226" spans="1:4" x14ac:dyDescent="0.2">
      <c r="B72226" t="s">
        <v>61</v>
      </c>
      <c r="D72226" t="s">
        <v>23526</v>
      </c>
    </row>
    <row r="72228" spans="1:4" x14ac:dyDescent="0.2">
      <c r="A72228" t="s">
        <v>22359</v>
      </c>
      <c r="B72228" t="str">
        <f>HYPERLINK("https://lindat.mff.cuni.cz/services/teitok/pdtc10/index.php?action=vallex&amp;frame=v-w9974f1", "zvětšovat se (v-w9974f1)")</f>
        <v>zvětšovat se (v-w9974f1)</v>
      </c>
    </row>
    <row r="72229" spans="1:4" x14ac:dyDescent="0.2">
      <c r="B72229" t="s">
        <v>1</v>
      </c>
      <c r="C72229" t="s">
        <v>22360</v>
      </c>
      <c r="D72229" t="s">
        <v>23510</v>
      </c>
    </row>
    <row r="72230" spans="1:4" x14ac:dyDescent="0.2">
      <c r="B72230" t="s">
        <v>46</v>
      </c>
      <c r="C72230" t="s">
        <v>22361</v>
      </c>
      <c r="D72230" t="s">
        <v>23393</v>
      </c>
    </row>
    <row r="72231" spans="1:4" x14ac:dyDescent="0.2">
      <c r="B72231" t="s">
        <v>24</v>
      </c>
      <c r="C72231" t="s">
        <v>22362</v>
      </c>
      <c r="D72231" t="s">
        <v>23394</v>
      </c>
    </row>
    <row r="72233" spans="1:4" x14ac:dyDescent="0.2">
      <c r="A72233" t="s">
        <v>22363</v>
      </c>
      <c r="B72233" t="str">
        <f>HYPERLINK("https://lindat.mff.cuni.cz/services/teitok/pdtc10/index.php?action=vallex&amp;frame=v-w9951f1", "zvěčnit (v-w9951f1)")</f>
        <v>zvěčnit (v-w9951f1)</v>
      </c>
    </row>
    <row r="72234" spans="1:4" x14ac:dyDescent="0.2">
      <c r="B72234" t="s">
        <v>1</v>
      </c>
    </row>
    <row r="72235" spans="1:4" x14ac:dyDescent="0.2">
      <c r="B72235" t="s">
        <v>8</v>
      </c>
    </row>
    <row r="72237" spans="1:4" x14ac:dyDescent="0.2">
      <c r="A72237" t="s">
        <v>22364</v>
      </c>
      <c r="B72237" t="str">
        <f>HYPERLINK("https://lindat.mff.cuni.cz/services/teitok/pdtc10/index.php?action=vallex&amp;frame=v-w8741f1", "zábst (v-w8741f1)")</f>
        <v>zábst (v-w8741f1)</v>
      </c>
    </row>
    <row r="72238" spans="1:4" x14ac:dyDescent="0.2">
      <c r="B72238" t="s">
        <v>146</v>
      </c>
    </row>
    <row r="72239" spans="1:4" x14ac:dyDescent="0.2">
      <c r="B72239" t="s">
        <v>243</v>
      </c>
    </row>
    <row r="72241" spans="1:4" x14ac:dyDescent="0.2">
      <c r="A72241" t="s">
        <v>22365</v>
      </c>
      <c r="B72241" t="str">
        <f>HYPERLINK("https://lindat.mff.cuni.cz/services/teitok/pdtc10/index.php?action=vallex&amp;frame=v-w8913f4_MM", "záležet (v-w8913f4_MM)")</f>
        <v>záležet (v-w8913f4_MM)</v>
      </c>
    </row>
    <row r="72242" spans="1:4" x14ac:dyDescent="0.2">
      <c r="B72242" t="s">
        <v>22366</v>
      </c>
    </row>
    <row r="72243" spans="1:4" x14ac:dyDescent="0.2">
      <c r="B72243" t="s">
        <v>22367</v>
      </c>
    </row>
    <row r="72245" spans="1:4" x14ac:dyDescent="0.2">
      <c r="A72245" t="s">
        <v>22365</v>
      </c>
      <c r="B72245" t="str">
        <f>HYPERLINK("https://lindat.mff.cuni.cz/services/teitok/pdtc10/index.php?action=vallex&amp;frame=v-w8913f1", "záležet (v-w8913f1) - substituted with v-w8913f4_MM")</f>
        <v>záležet (v-w8913f1) - substituted with v-w8913f4_MM</v>
      </c>
    </row>
    <row r="72246" spans="1:4" x14ac:dyDescent="0.2">
      <c r="B72246" t="s">
        <v>22366</v>
      </c>
      <c r="C72246" t="s">
        <v>22368</v>
      </c>
      <c r="D72246" t="s">
        <v>24571</v>
      </c>
    </row>
    <row r="72247" spans="1:4" x14ac:dyDescent="0.2">
      <c r="B72247" t="s">
        <v>22367</v>
      </c>
      <c r="C72247" t="s">
        <v>22369</v>
      </c>
      <c r="D72247" t="s">
        <v>17492</v>
      </c>
    </row>
    <row r="72249" spans="1:4" x14ac:dyDescent="0.2">
      <c r="A72249" t="s">
        <v>22365</v>
      </c>
      <c r="B72249" t="str">
        <f>HYPERLINK("https://lindat.mff.cuni.cz/services/teitok/pdtc10/index.php?action=vallex&amp;frame=v-w8913f3_ZU", "záležet (v-w8913f3_ZU) - substituted with v-w8913f4_MM")</f>
        <v>záležet (v-w8913f3_ZU) - substituted with v-w8913f4_MM</v>
      </c>
    </row>
    <row r="72250" spans="1:4" x14ac:dyDescent="0.2">
      <c r="B72250" t="s">
        <v>22366</v>
      </c>
    </row>
    <row r="72251" spans="1:4" x14ac:dyDescent="0.2">
      <c r="B72251" t="s">
        <v>22367</v>
      </c>
    </row>
    <row r="72253" spans="1:4" x14ac:dyDescent="0.2">
      <c r="A72253" t="s">
        <v>22370</v>
      </c>
      <c r="B72253" t="str">
        <f>HYPERLINK("https://lindat.mff.cuni.cz/services/teitok/pdtc10/index.php?action=vallex&amp;frame=v-w8913f2", "záležet (v-w8913f2)")</f>
        <v>záležet (v-w8913f2)</v>
      </c>
    </row>
    <row r="72254" spans="1:4" x14ac:dyDescent="0.2">
      <c r="B72254" t="s">
        <v>455</v>
      </c>
    </row>
    <row r="72255" spans="1:4" x14ac:dyDescent="0.2">
      <c r="B72255" t="s">
        <v>161</v>
      </c>
      <c r="C72255" t="s">
        <v>3773</v>
      </c>
    </row>
    <row r="72257" spans="1:4" x14ac:dyDescent="0.2">
      <c r="A72257" t="s">
        <v>22371</v>
      </c>
      <c r="B72257" t="str">
        <f>HYPERLINK("https://lindat.mff.cuni.cz/services/teitok/pdtc10/index.php?action=vallex&amp;frame=v-w9007f1", "zápasit (v-w9007f1)")</f>
        <v>zápasit (v-w9007f1)</v>
      </c>
    </row>
    <row r="72258" spans="1:4" x14ac:dyDescent="0.2">
      <c r="B72258" t="s">
        <v>1</v>
      </c>
      <c r="C72258" t="s">
        <v>1077</v>
      </c>
      <c r="D72258" t="s">
        <v>12786</v>
      </c>
    </row>
    <row r="72259" spans="1:4" x14ac:dyDescent="0.2">
      <c r="B72259" t="s">
        <v>411</v>
      </c>
      <c r="C72259" t="s">
        <v>7244</v>
      </c>
      <c r="D72259" t="s">
        <v>23772</v>
      </c>
    </row>
    <row r="72261" spans="1:4" x14ac:dyDescent="0.2">
      <c r="A72261" t="s">
        <v>22372</v>
      </c>
      <c r="B72261" t="str">
        <f>HYPERLINK("https://lindat.mff.cuni.cz/services/teitok/pdtc10/index.php?action=vallex&amp;frame=v-w9007f2", "zápasit (v-w9007f2)")</f>
        <v>zápasit (v-w9007f2)</v>
      </c>
    </row>
    <row r="72262" spans="1:4" x14ac:dyDescent="0.2">
      <c r="B72262" t="s">
        <v>1</v>
      </c>
      <c r="C72262" t="s">
        <v>3307</v>
      </c>
    </row>
    <row r="72263" spans="1:4" x14ac:dyDescent="0.2">
      <c r="B72263" t="s">
        <v>14479</v>
      </c>
    </row>
    <row r="72264" spans="1:4" x14ac:dyDescent="0.2">
      <c r="B72264" t="s">
        <v>237</v>
      </c>
      <c r="C72264" t="s">
        <v>125</v>
      </c>
    </row>
    <row r="72266" spans="1:4" x14ac:dyDescent="0.2">
      <c r="A72266" t="s">
        <v>22373</v>
      </c>
      <c r="B72266" t="str">
        <f>HYPERLINK("https://lindat.mff.cuni.cz/services/teitok/pdtc10/index.php?action=vallex&amp;frame=v-w10595f2", "zápolit (v-w10595f2)")</f>
        <v>zápolit (v-w10595f2)</v>
      </c>
    </row>
    <row r="72267" spans="1:4" x14ac:dyDescent="0.2">
      <c r="B72267" t="s">
        <v>1</v>
      </c>
      <c r="C72267" t="s">
        <v>1366</v>
      </c>
      <c r="D72267" t="s">
        <v>14818</v>
      </c>
    </row>
    <row r="72268" spans="1:4" x14ac:dyDescent="0.2">
      <c r="B72268" t="s">
        <v>411</v>
      </c>
      <c r="C72268" t="s">
        <v>2344</v>
      </c>
      <c r="D72268" t="s">
        <v>6043</v>
      </c>
    </row>
    <row r="72270" spans="1:4" x14ac:dyDescent="0.2">
      <c r="A72270" t="s">
        <v>22374</v>
      </c>
      <c r="B72270" t="str">
        <f>HYPERLINK("https://lindat.mff.cuni.cz/services/teitok/pdtc10/index.php?action=vallex&amp;frame=v-w10628f2", "zásobit (v-w10628f2)")</f>
        <v>zásobit (v-w10628f2)</v>
      </c>
    </row>
    <row r="72271" spans="1:4" x14ac:dyDescent="0.2">
      <c r="B72271" t="s">
        <v>1</v>
      </c>
      <c r="C72271" t="s">
        <v>22375</v>
      </c>
      <c r="D72271" t="s">
        <v>23711</v>
      </c>
    </row>
    <row r="72272" spans="1:4" x14ac:dyDescent="0.2">
      <c r="B72272" t="s">
        <v>58</v>
      </c>
      <c r="C72272" t="s">
        <v>22376</v>
      </c>
      <c r="D72272" t="s">
        <v>24572</v>
      </c>
    </row>
    <row r="72273" spans="1:4" x14ac:dyDescent="0.2">
      <c r="B72273" t="s">
        <v>3225</v>
      </c>
      <c r="C72273" t="s">
        <v>1025</v>
      </c>
      <c r="D72273" t="s">
        <v>24573</v>
      </c>
    </row>
    <row r="72275" spans="1:4" x14ac:dyDescent="0.2">
      <c r="A72275" t="s">
        <v>22377</v>
      </c>
      <c r="B72275" t="str">
        <f>HYPERLINK("https://lindat.mff.cuni.cz/services/teitok/pdtc10/index.php?action=vallex&amp;frame=v-w9148f1", "zásobovat (v-w9148f1)")</f>
        <v>zásobovat (v-w9148f1)</v>
      </c>
    </row>
    <row r="72276" spans="1:4" x14ac:dyDescent="0.2">
      <c r="B72276" t="s">
        <v>1</v>
      </c>
      <c r="C72276" t="s">
        <v>22378</v>
      </c>
      <c r="D72276" t="s">
        <v>24574</v>
      </c>
    </row>
    <row r="72277" spans="1:4" x14ac:dyDescent="0.2">
      <c r="B72277" t="s">
        <v>58</v>
      </c>
      <c r="C72277" t="s">
        <v>22379</v>
      </c>
      <c r="D72277" t="s">
        <v>24575</v>
      </c>
    </row>
    <row r="72278" spans="1:4" x14ac:dyDescent="0.2">
      <c r="B72278" t="s">
        <v>3225</v>
      </c>
      <c r="C72278" t="s">
        <v>20602</v>
      </c>
      <c r="D72278" t="s">
        <v>24576</v>
      </c>
    </row>
    <row r="72280" spans="1:4" x14ac:dyDescent="0.2">
      <c r="A72280" t="s">
        <v>22380</v>
      </c>
      <c r="B72280" t="str">
        <f>HYPERLINK("https://lindat.mff.cuni.cz/services/teitok/pdtc10/index.php?action=vallex&amp;frame=v-w9276f2_ZU", "závidět (v-w9276f2_ZU)")</f>
        <v>závidět (v-w9276f2_ZU)</v>
      </c>
    </row>
    <row r="72281" spans="1:4" x14ac:dyDescent="0.2">
      <c r="B72281" t="s">
        <v>1</v>
      </c>
    </row>
    <row r="72282" spans="1:4" x14ac:dyDescent="0.2">
      <c r="B72282" t="s">
        <v>22381</v>
      </c>
    </row>
    <row r="72283" spans="1:4" x14ac:dyDescent="0.2">
      <c r="B72283" t="s">
        <v>35</v>
      </c>
    </row>
    <row r="72285" spans="1:4" x14ac:dyDescent="0.2">
      <c r="A72285" t="s">
        <v>22380</v>
      </c>
      <c r="B72285" t="str">
        <f>HYPERLINK("https://lindat.mff.cuni.cz/services/teitok/pdtc10/index.php?action=vallex&amp;frame=v-w9276f1", "závidět (v-w9276f1) - substituted with v-w9276f2_ZU")</f>
        <v>závidět (v-w9276f1) - substituted with v-w9276f2_ZU</v>
      </c>
    </row>
    <row r="72286" spans="1:4" x14ac:dyDescent="0.2">
      <c r="B72286" t="s">
        <v>1</v>
      </c>
      <c r="C72286" t="s">
        <v>140</v>
      </c>
    </row>
    <row r="72287" spans="1:4" x14ac:dyDescent="0.2">
      <c r="B72287" t="s">
        <v>22381</v>
      </c>
      <c r="C72287" t="s">
        <v>113</v>
      </c>
    </row>
    <row r="72288" spans="1:4" x14ac:dyDescent="0.2">
      <c r="B72288" t="s">
        <v>35</v>
      </c>
    </row>
    <row r="72290" spans="1:4" x14ac:dyDescent="0.2">
      <c r="A72290" t="s">
        <v>22380</v>
      </c>
      <c r="B72290" t="str">
        <f>HYPERLINK("https://lindat.mff.cuni.cz/services/teitok/pdtc10/index.php?action=vallex&amp;frame=v-w9276hsa_305", "závidět (v-w9276hsa_305) - substituted with v-w9276f2_ZU")</f>
        <v>závidět (v-w9276hsa_305) - substituted with v-w9276f2_ZU</v>
      </c>
    </row>
    <row r="72291" spans="1:4" x14ac:dyDescent="0.2">
      <c r="B72291" t="s">
        <v>1</v>
      </c>
    </row>
    <row r="72292" spans="1:4" x14ac:dyDescent="0.2">
      <c r="B72292" t="s">
        <v>22381</v>
      </c>
    </row>
    <row r="72293" spans="1:4" x14ac:dyDescent="0.2">
      <c r="B72293" t="s">
        <v>35</v>
      </c>
    </row>
    <row r="72295" spans="1:4" x14ac:dyDescent="0.2">
      <c r="A72295" t="s">
        <v>22382</v>
      </c>
      <c r="B72295" t="str">
        <f>HYPERLINK("https://lindat.mff.cuni.cz/services/teitok/pdtc10/index.php?action=vallex&amp;frame=v-w9283f2_ZU", "záviset (v-w9283f2_ZU)")</f>
        <v>záviset (v-w9283f2_ZU)</v>
      </c>
    </row>
    <row r="72296" spans="1:4" x14ac:dyDescent="0.2">
      <c r="B72296" t="s">
        <v>22383</v>
      </c>
    </row>
    <row r="72297" spans="1:4" x14ac:dyDescent="0.2">
      <c r="B72297" t="s">
        <v>161</v>
      </c>
    </row>
    <row r="72299" spans="1:4" x14ac:dyDescent="0.2">
      <c r="A72299" t="s">
        <v>22382</v>
      </c>
      <c r="B72299" t="str">
        <f>HYPERLINK("https://lindat.mff.cuni.cz/services/teitok/pdtc10/index.php?action=vallex&amp;frame=v-w9283f1", "záviset (v-w9283f1) - substituted with v-w9283f2_ZU")</f>
        <v>záviset (v-w9283f1) - substituted with v-w9283f2_ZU</v>
      </c>
    </row>
    <row r="72300" spans="1:4" x14ac:dyDescent="0.2">
      <c r="B72300" t="s">
        <v>22383</v>
      </c>
      <c r="C72300" t="s">
        <v>22384</v>
      </c>
      <c r="D72300" t="s">
        <v>24571</v>
      </c>
    </row>
    <row r="72301" spans="1:4" x14ac:dyDescent="0.2">
      <c r="B72301" t="s">
        <v>161</v>
      </c>
      <c r="C72301" t="s">
        <v>22385</v>
      </c>
      <c r="D72301" t="s">
        <v>17492</v>
      </c>
    </row>
    <row r="72303" spans="1:4" x14ac:dyDescent="0.2">
      <c r="A72303" t="s">
        <v>22386</v>
      </c>
      <c r="B72303" t="str">
        <f>HYPERLINK("https://lindat.mff.cuni.cz/services/teitok/pdtc10/index.php?action=vallex&amp;frame=v-w9295f2_ZU", "závodit (v-w9295f2_ZU)")</f>
        <v>závodit (v-w9295f2_ZU)</v>
      </c>
    </row>
    <row r="72304" spans="1:4" x14ac:dyDescent="0.2">
      <c r="B72304" t="s">
        <v>1</v>
      </c>
    </row>
    <row r="72305" spans="1:4" x14ac:dyDescent="0.2">
      <c r="B72305" t="s">
        <v>22387</v>
      </c>
    </row>
    <row r="72306" spans="1:4" x14ac:dyDescent="0.2">
      <c r="B72306" t="s">
        <v>2288</v>
      </c>
    </row>
    <row r="72308" spans="1:4" x14ac:dyDescent="0.2">
      <c r="A72308" t="s">
        <v>22386</v>
      </c>
      <c r="B72308" t="str">
        <f>HYPERLINK("https://lindat.mff.cuni.cz/services/teitok/pdtc10/index.php?action=vallex&amp;frame=v-w9295f1", "závodit (v-w9295f1) - substituted with v-w9295f2_ZU")</f>
        <v>závodit (v-w9295f1) - substituted with v-w9295f2_ZU</v>
      </c>
    </row>
    <row r="72309" spans="1:4" x14ac:dyDescent="0.2">
      <c r="B72309" t="s">
        <v>1</v>
      </c>
    </row>
    <row r="72310" spans="1:4" x14ac:dyDescent="0.2">
      <c r="B72310" t="s">
        <v>22387</v>
      </c>
    </row>
    <row r="72311" spans="1:4" x14ac:dyDescent="0.2">
      <c r="B72311" t="s">
        <v>2288</v>
      </c>
    </row>
    <row r="72313" spans="1:4" x14ac:dyDescent="0.2">
      <c r="A72313" t="s">
        <v>22388</v>
      </c>
      <c r="B72313" t="str">
        <f>HYPERLINK("https://lindat.mff.cuni.cz/services/teitok/pdtc10/index.php?action=vallex&amp;frame=v-w9296f1", "závodit si (v-w9296f1)")</f>
        <v>závodit si (v-w9296f1)</v>
      </c>
    </row>
    <row r="72314" spans="1:4" x14ac:dyDescent="0.2">
      <c r="B72314" t="s">
        <v>1</v>
      </c>
    </row>
    <row r="72316" spans="1:4" x14ac:dyDescent="0.2">
      <c r="A72316" t="s">
        <v>22389</v>
      </c>
      <c r="B72316" t="str">
        <f>HYPERLINK("https://lindat.mff.cuni.cz/services/teitok/pdtc10/index.php?action=vallex&amp;frame=v-w9106f1", "zářit (v-w9106f1)")</f>
        <v>zářit (v-w9106f1)</v>
      </c>
    </row>
    <row r="72317" spans="1:4" x14ac:dyDescent="0.2">
      <c r="B72317" t="s">
        <v>1</v>
      </c>
      <c r="C72317" t="s">
        <v>140</v>
      </c>
      <c r="D72317" t="s">
        <v>2698</v>
      </c>
    </row>
    <row r="72319" spans="1:4" x14ac:dyDescent="0.2">
      <c r="A72319" t="s">
        <v>22390</v>
      </c>
      <c r="B72319" t="str">
        <f>HYPERLINK("https://lindat.mff.cuni.cz/services/teitok/pdtc10/index.php?action=vallex&amp;frame=v-w9106f2_ZU", "zářit (v-w9106f2_ZU)")</f>
        <v>zářit (v-w9106f2_ZU)</v>
      </c>
    </row>
    <row r="72320" spans="1:4" x14ac:dyDescent="0.2">
      <c r="B72320" t="s">
        <v>1</v>
      </c>
    </row>
    <row r="72322" spans="1:4" x14ac:dyDescent="0.2">
      <c r="A72322" t="s">
        <v>22391</v>
      </c>
      <c r="B72322" t="str">
        <f>HYPERLINK("https://lindat.mff.cuni.cz/services/teitok/pdtc10/index.php?action=vallex&amp;frame=v-w9497f3", "zírat (v-w9497f3)")</f>
        <v>zírat (v-w9497f3)</v>
      </c>
    </row>
    <row r="72323" spans="1:4" x14ac:dyDescent="0.2">
      <c r="B72323" t="s">
        <v>1</v>
      </c>
      <c r="D72323" t="s">
        <v>24577</v>
      </c>
    </row>
    <row r="72324" spans="1:4" x14ac:dyDescent="0.2">
      <c r="B72324" t="s">
        <v>1178</v>
      </c>
      <c r="D72324" t="s">
        <v>24578</v>
      </c>
    </row>
    <row r="72326" spans="1:4" x14ac:dyDescent="0.2">
      <c r="A72326" t="s">
        <v>22392</v>
      </c>
      <c r="B72326" t="str">
        <f>HYPERLINK("https://lindat.mff.cuni.cz/services/teitok/pdtc10/index.php?action=vallex&amp;frame=v-w9497f2", "zírat (v-w9497f2)")</f>
        <v>zírat (v-w9497f2)</v>
      </c>
    </row>
    <row r="72327" spans="1:4" x14ac:dyDescent="0.2">
      <c r="B72327" t="s">
        <v>1</v>
      </c>
      <c r="C72327" t="s">
        <v>140</v>
      </c>
      <c r="D72327" t="s">
        <v>5974</v>
      </c>
    </row>
    <row r="72328" spans="1:4" x14ac:dyDescent="0.2">
      <c r="B72328" t="s">
        <v>90</v>
      </c>
      <c r="D72328" t="s">
        <v>24579</v>
      </c>
    </row>
    <row r="72330" spans="1:4" x14ac:dyDescent="0.2">
      <c r="A72330" t="s">
        <v>22393</v>
      </c>
      <c r="B72330" t="str">
        <f>HYPERLINK("https://lindat.mff.cuni.cz/services/teitok/pdtc10/index.php?action=vallex&amp;frame=v-w9497f1", "zírat (v-w9497f1)")</f>
        <v>zírat (v-w9497f1)</v>
      </c>
    </row>
    <row r="72331" spans="1:4" x14ac:dyDescent="0.2">
      <c r="B72331" t="s">
        <v>1</v>
      </c>
    </row>
    <row r="72332" spans="1:4" x14ac:dyDescent="0.2">
      <c r="B72332" t="s">
        <v>22394</v>
      </c>
    </row>
    <row r="72334" spans="1:4" x14ac:dyDescent="0.2">
      <c r="A72334" t="s">
        <v>22395</v>
      </c>
      <c r="B72334" t="str">
        <f>HYPERLINK("https://lindat.mff.cuni.cz/services/teitok/pdtc10/index.php?action=vallex&amp;frame=v-w9501f12_ZU", "získat (v-w9501f12_ZU)")</f>
        <v>získat (v-w9501f12_ZU)</v>
      </c>
    </row>
    <row r="72335" spans="1:4" x14ac:dyDescent="0.2">
      <c r="B72335" t="s">
        <v>1</v>
      </c>
      <c r="C72335" t="s">
        <v>22396</v>
      </c>
      <c r="D72335" t="s">
        <v>24580</v>
      </c>
    </row>
    <row r="72336" spans="1:4" x14ac:dyDescent="0.2">
      <c r="B72336" t="s">
        <v>8</v>
      </c>
      <c r="C72336" t="s">
        <v>16380</v>
      </c>
      <c r="D72336" t="s">
        <v>24581</v>
      </c>
    </row>
    <row r="72337" spans="1:4" x14ac:dyDescent="0.2">
      <c r="B72337" t="s">
        <v>6411</v>
      </c>
      <c r="C72337" t="s">
        <v>22397</v>
      </c>
      <c r="D72337" t="s">
        <v>24582</v>
      </c>
    </row>
    <row r="72339" spans="1:4" x14ac:dyDescent="0.2">
      <c r="A72339" t="s">
        <v>22395</v>
      </c>
      <c r="B72339" t="str">
        <f>HYPERLINK("https://lindat.mff.cuni.cz/services/teitok/pdtc10/index.php?action=vallex&amp;frame=v-w9501f1", "získat (v-w9501f1) - substituted with v-w9501f12_ZU")</f>
        <v>získat (v-w9501f1) - substituted with v-w9501f12_ZU</v>
      </c>
    </row>
    <row r="72340" spans="1:4" x14ac:dyDescent="0.2">
      <c r="B72340" t="s">
        <v>1</v>
      </c>
      <c r="C72340" t="s">
        <v>22398</v>
      </c>
    </row>
    <row r="72341" spans="1:4" x14ac:dyDescent="0.2">
      <c r="B72341" t="s">
        <v>8</v>
      </c>
      <c r="C72341" t="s">
        <v>22399</v>
      </c>
    </row>
    <row r="72342" spans="1:4" x14ac:dyDescent="0.2">
      <c r="B72342" t="s">
        <v>6411</v>
      </c>
      <c r="C72342" t="s">
        <v>22400</v>
      </c>
    </row>
    <row r="72344" spans="1:4" x14ac:dyDescent="0.2">
      <c r="A72344" t="s">
        <v>22401</v>
      </c>
      <c r="B72344" t="str">
        <f>HYPERLINK("https://lindat.mff.cuni.cz/services/teitok/pdtc10/index.php?action=vallex&amp;frame=v-w9501f4", "získat (v-w9501f4)")</f>
        <v>získat (v-w9501f4)</v>
      </c>
    </row>
    <row r="72345" spans="1:4" x14ac:dyDescent="0.2">
      <c r="B72345" t="s">
        <v>1</v>
      </c>
      <c r="C72345" t="s">
        <v>22402</v>
      </c>
      <c r="D72345" t="s">
        <v>23194</v>
      </c>
    </row>
    <row r="72346" spans="1:4" x14ac:dyDescent="0.2">
      <c r="B72346" t="s">
        <v>8</v>
      </c>
      <c r="C72346" t="s">
        <v>22403</v>
      </c>
      <c r="D72346" t="s">
        <v>23195</v>
      </c>
    </row>
    <row r="72347" spans="1:4" x14ac:dyDescent="0.2">
      <c r="B72347" t="s">
        <v>24</v>
      </c>
      <c r="C72347" t="s">
        <v>22404</v>
      </c>
      <c r="D72347" t="s">
        <v>23196</v>
      </c>
    </row>
    <row r="72349" spans="1:4" x14ac:dyDescent="0.2">
      <c r="A72349" t="s">
        <v>22405</v>
      </c>
      <c r="B72349" t="str">
        <f>HYPERLINK("https://lindat.mff.cuni.cz/services/teitok/pdtc10/index.php?action=vallex&amp;frame=v-w9501f13_ZU", "získat (v-w9501f13_ZU)")</f>
        <v>získat (v-w9501f13_ZU)</v>
      </c>
    </row>
    <row r="72350" spans="1:4" x14ac:dyDescent="0.2">
      <c r="B72350" t="s">
        <v>1</v>
      </c>
      <c r="C72350" t="s">
        <v>9528</v>
      </c>
    </row>
    <row r="72351" spans="1:4" x14ac:dyDescent="0.2">
      <c r="B72351" t="s">
        <v>220</v>
      </c>
      <c r="C72351" t="s">
        <v>22406</v>
      </c>
    </row>
    <row r="72352" spans="1:4" x14ac:dyDescent="0.2">
      <c r="B72352" t="s">
        <v>61</v>
      </c>
      <c r="C72352" t="s">
        <v>22407</v>
      </c>
    </row>
    <row r="72354" spans="1:4" x14ac:dyDescent="0.2">
      <c r="A72354" t="s">
        <v>22405</v>
      </c>
      <c r="B72354" t="str">
        <f>HYPERLINK("https://lindat.mff.cuni.cz/services/teitok/pdtc10/index.php?action=vallex&amp;frame=v-w9501f11_ZU", "získat (v-w9501f11_ZU) - substituted with v-w9501f13_ZU")</f>
        <v>získat (v-w9501f11_ZU) - substituted with v-w9501f13_ZU</v>
      </c>
    </row>
    <row r="72355" spans="1:4" x14ac:dyDescent="0.2">
      <c r="B72355" t="s">
        <v>1</v>
      </c>
      <c r="C72355" t="s">
        <v>22408</v>
      </c>
    </row>
    <row r="72356" spans="1:4" x14ac:dyDescent="0.2">
      <c r="B72356" t="s">
        <v>220</v>
      </c>
      <c r="C72356" t="s">
        <v>22409</v>
      </c>
    </row>
    <row r="72357" spans="1:4" x14ac:dyDescent="0.2">
      <c r="B72357" t="s">
        <v>61</v>
      </c>
      <c r="C72357" t="s">
        <v>22410</v>
      </c>
    </row>
    <row r="72359" spans="1:4" x14ac:dyDescent="0.2">
      <c r="A72359" t="s">
        <v>22411</v>
      </c>
      <c r="B72359" t="str">
        <f>HYPERLINK("https://lindat.mff.cuni.cz/services/teitok/pdtc10/index.php?action=vallex&amp;frame=v-w9501f2", "získat (v-w9501f2)")</f>
        <v>získat (v-w9501f2)</v>
      </c>
    </row>
    <row r="72360" spans="1:4" x14ac:dyDescent="0.2">
      <c r="B72360" t="s">
        <v>1</v>
      </c>
      <c r="C72360" t="s">
        <v>22412</v>
      </c>
      <c r="D72360" t="s">
        <v>23742</v>
      </c>
    </row>
    <row r="72361" spans="1:4" x14ac:dyDescent="0.2">
      <c r="B72361" t="s">
        <v>8</v>
      </c>
      <c r="C72361" t="s">
        <v>22413</v>
      </c>
      <c r="D72361" t="s">
        <v>56</v>
      </c>
    </row>
    <row r="72363" spans="1:4" x14ac:dyDescent="0.2">
      <c r="A72363" t="s">
        <v>22414</v>
      </c>
      <c r="B72363" t="str">
        <f>HYPERLINK("https://lindat.mff.cuni.cz/services/teitok/pdtc10/index.php?action=vallex&amp;frame=v-w9501f5", "získat (v-w9501f5)")</f>
        <v>získat (v-w9501f5)</v>
      </c>
    </row>
    <row r="72364" spans="1:4" x14ac:dyDescent="0.2">
      <c r="B72364" t="s">
        <v>1</v>
      </c>
      <c r="C72364" t="s">
        <v>22415</v>
      </c>
      <c r="D72364" t="s">
        <v>23198</v>
      </c>
    </row>
    <row r="72365" spans="1:4" x14ac:dyDescent="0.2">
      <c r="B72365" t="s">
        <v>22416</v>
      </c>
      <c r="C72365" t="s">
        <v>22417</v>
      </c>
      <c r="D72365" t="s">
        <v>23199</v>
      </c>
    </row>
    <row r="72367" spans="1:4" x14ac:dyDescent="0.2">
      <c r="A72367" t="s">
        <v>22418</v>
      </c>
      <c r="B72367" t="str">
        <f>HYPERLINK("https://lindat.mff.cuni.cz/services/teitok/pdtc10/index.php?action=vallex&amp;frame=v-w9501f19_ZU", "získat (v-w9501f19_ZU)")</f>
        <v>získat (v-w9501f19_ZU)</v>
      </c>
    </row>
    <row r="72368" spans="1:4" x14ac:dyDescent="0.2">
      <c r="B72368" t="s">
        <v>1</v>
      </c>
    </row>
    <row r="72369" spans="1:2" x14ac:dyDescent="0.2">
      <c r="B72369" t="s">
        <v>22419</v>
      </c>
    </row>
    <row r="72370" spans="1:2" x14ac:dyDescent="0.2">
      <c r="B72370" t="s">
        <v>24</v>
      </c>
    </row>
    <row r="72372" spans="1:2" x14ac:dyDescent="0.2">
      <c r="A72372" t="s">
        <v>22418</v>
      </c>
      <c r="B72372" t="str">
        <f>HYPERLINK("https://lindat.mff.cuni.cz/services/teitok/pdtc10/index.php?action=vallex&amp;frame=v-w9501f17_ZU", "získat (v-w9501f17_ZU) - substituted with v-w9501f19_ZU")</f>
        <v>získat (v-w9501f17_ZU) - substituted with v-w9501f19_ZU</v>
      </c>
    </row>
    <row r="72373" spans="1:2" x14ac:dyDescent="0.2">
      <c r="B72373" t="s">
        <v>1</v>
      </c>
    </row>
    <row r="72374" spans="1:2" x14ac:dyDescent="0.2">
      <c r="B72374" t="s">
        <v>22419</v>
      </c>
    </row>
    <row r="72375" spans="1:2" x14ac:dyDescent="0.2">
      <c r="B72375" t="s">
        <v>24</v>
      </c>
    </row>
    <row r="72377" spans="1:2" x14ac:dyDescent="0.2">
      <c r="A72377" t="s">
        <v>22418</v>
      </c>
      <c r="B72377" t="str">
        <f>HYPERLINK("https://lindat.mff.cuni.cz/services/teitok/pdtc10/index.php?action=vallex&amp;frame=v-w9501f6", "získat (v-w9501f6) - substituted with v-w9501f19_ZU")</f>
        <v>získat (v-w9501f6) - substituted with v-w9501f19_ZU</v>
      </c>
    </row>
    <row r="72378" spans="1:2" x14ac:dyDescent="0.2">
      <c r="B72378" t="s">
        <v>1</v>
      </c>
    </row>
    <row r="72379" spans="1:2" x14ac:dyDescent="0.2">
      <c r="B72379" t="s">
        <v>22419</v>
      </c>
    </row>
    <row r="72380" spans="1:2" x14ac:dyDescent="0.2">
      <c r="B72380" t="s">
        <v>24</v>
      </c>
    </row>
    <row r="72382" spans="1:2" x14ac:dyDescent="0.2">
      <c r="A72382" t="s">
        <v>22418</v>
      </c>
      <c r="B72382" t="str">
        <f>HYPERLINK("https://lindat.mff.cuni.cz/services/teitok/pdtc10/index.php?action=vallex&amp;frame=v-w9501hsa_157", "získat (v-w9501hsa_157) - substituted with v-w9501f19_ZU")</f>
        <v>získat (v-w9501hsa_157) - substituted with v-w9501f19_ZU</v>
      </c>
    </row>
    <row r="72383" spans="1:2" x14ac:dyDescent="0.2">
      <c r="B72383" t="s">
        <v>1</v>
      </c>
    </row>
    <row r="72384" spans="1:2" x14ac:dyDescent="0.2">
      <c r="B72384" t="s">
        <v>22419</v>
      </c>
    </row>
    <row r="72385" spans="1:3" x14ac:dyDescent="0.2">
      <c r="B72385" t="s">
        <v>24</v>
      </c>
    </row>
    <row r="72387" spans="1:3" x14ac:dyDescent="0.2">
      <c r="A72387" t="s">
        <v>22420</v>
      </c>
      <c r="B72387" t="str">
        <f>HYPERLINK("https://lindat.mff.cuni.cz/services/teitok/pdtc10/index.php?action=vallex&amp;frame=v-w9501f25_ZU", "získat (v-w9501f25_ZU)")</f>
        <v>získat (v-w9501f25_ZU)</v>
      </c>
    </row>
    <row r="72388" spans="1:3" x14ac:dyDescent="0.2">
      <c r="B72388" t="s">
        <v>1</v>
      </c>
    </row>
    <row r="72389" spans="1:3" x14ac:dyDescent="0.2">
      <c r="B72389" t="s">
        <v>22421</v>
      </c>
    </row>
    <row r="72390" spans="1:3" x14ac:dyDescent="0.2">
      <c r="B72390" t="s">
        <v>1142</v>
      </c>
    </row>
    <row r="72392" spans="1:3" x14ac:dyDescent="0.2">
      <c r="A72392" t="s">
        <v>22420</v>
      </c>
      <c r="B72392" t="str">
        <f>HYPERLINK("https://lindat.mff.cuni.cz/services/teitok/pdtc10/index.php?action=vallex&amp;frame=v-w9501f14_ZU", "získat (v-w9501f14_ZU) - substituted with v-w9501f25_ZU")</f>
        <v>získat (v-w9501f14_ZU) - substituted with v-w9501f25_ZU</v>
      </c>
    </row>
    <row r="72393" spans="1:3" x14ac:dyDescent="0.2">
      <c r="B72393" t="s">
        <v>1</v>
      </c>
      <c r="C72393" t="s">
        <v>22422</v>
      </c>
    </row>
    <row r="72394" spans="1:3" x14ac:dyDescent="0.2">
      <c r="B72394" t="s">
        <v>22421</v>
      </c>
      <c r="C72394" t="s">
        <v>22423</v>
      </c>
    </row>
    <row r="72395" spans="1:3" x14ac:dyDescent="0.2">
      <c r="B72395" t="s">
        <v>1142</v>
      </c>
      <c r="C72395" t="s">
        <v>22424</v>
      </c>
    </row>
    <row r="72397" spans="1:3" x14ac:dyDescent="0.2">
      <c r="A72397" t="s">
        <v>22420</v>
      </c>
      <c r="B72397" t="str">
        <f>HYPERLINK("https://lindat.mff.cuni.cz/services/teitok/pdtc10/index.php?action=vallex&amp;frame=v-w9501f15_ZU", "získat (v-w9501f15_ZU) - substituted with v-w9501f25_ZU")</f>
        <v>získat (v-w9501f15_ZU) - substituted with v-w9501f25_ZU</v>
      </c>
    </row>
    <row r="72398" spans="1:3" x14ac:dyDescent="0.2">
      <c r="B72398" t="s">
        <v>1</v>
      </c>
      <c r="C72398" t="s">
        <v>5475</v>
      </c>
    </row>
    <row r="72399" spans="1:3" x14ac:dyDescent="0.2">
      <c r="B72399" t="s">
        <v>22421</v>
      </c>
      <c r="C72399" t="s">
        <v>22425</v>
      </c>
    </row>
    <row r="72400" spans="1:3" x14ac:dyDescent="0.2">
      <c r="B72400" t="s">
        <v>1142</v>
      </c>
      <c r="C72400" t="s">
        <v>22426</v>
      </c>
    </row>
    <row r="72402" spans="1:3" x14ac:dyDescent="0.2">
      <c r="A72402" t="s">
        <v>22420</v>
      </c>
      <c r="B72402" t="str">
        <f>HYPERLINK("https://lindat.mff.cuni.cz/services/teitok/pdtc10/index.php?action=vallex&amp;frame=v-w9501f16_ZU", "získat (v-w9501f16_ZU) - substituted with v-w9501f25_ZU")</f>
        <v>získat (v-w9501f16_ZU) - substituted with v-w9501f25_ZU</v>
      </c>
    </row>
    <row r="72403" spans="1:3" x14ac:dyDescent="0.2">
      <c r="B72403" t="s">
        <v>1</v>
      </c>
    </row>
    <row r="72404" spans="1:3" x14ac:dyDescent="0.2">
      <c r="B72404" t="s">
        <v>22421</v>
      </c>
    </row>
    <row r="72405" spans="1:3" x14ac:dyDescent="0.2">
      <c r="B72405" t="s">
        <v>1142</v>
      </c>
    </row>
    <row r="72407" spans="1:3" x14ac:dyDescent="0.2">
      <c r="A72407" t="s">
        <v>22420</v>
      </c>
      <c r="B72407" t="str">
        <f>HYPERLINK("https://lindat.mff.cuni.cz/services/teitok/pdtc10/index.php?action=vallex&amp;frame=v-w9501f18_ZU", "získat (v-w9501f18_ZU) - substituted with v-w9501f25_ZU")</f>
        <v>získat (v-w9501f18_ZU) - substituted with v-w9501f25_ZU</v>
      </c>
    </row>
    <row r="72408" spans="1:3" x14ac:dyDescent="0.2">
      <c r="B72408" t="s">
        <v>1</v>
      </c>
    </row>
    <row r="72409" spans="1:3" x14ac:dyDescent="0.2">
      <c r="B72409" t="s">
        <v>22421</v>
      </c>
    </row>
    <row r="72410" spans="1:3" x14ac:dyDescent="0.2">
      <c r="B72410" t="s">
        <v>1142</v>
      </c>
      <c r="C72410" t="s">
        <v>11903</v>
      </c>
    </row>
    <row r="72412" spans="1:3" x14ac:dyDescent="0.2">
      <c r="A72412" t="s">
        <v>22420</v>
      </c>
      <c r="B72412" t="str">
        <f>HYPERLINK("https://lindat.mff.cuni.cz/services/teitok/pdtc10/index.php?action=vallex&amp;frame=v-w9501f20_ZU", "získat (v-w9501f20_ZU) - substituted with v-w9501f25_ZU")</f>
        <v>získat (v-w9501f20_ZU) - substituted with v-w9501f25_ZU</v>
      </c>
    </row>
    <row r="72413" spans="1:3" x14ac:dyDescent="0.2">
      <c r="B72413" t="s">
        <v>1</v>
      </c>
      <c r="C72413" t="s">
        <v>1865</v>
      </c>
    </row>
    <row r="72414" spans="1:3" x14ac:dyDescent="0.2">
      <c r="B72414" t="s">
        <v>22421</v>
      </c>
      <c r="C72414" t="s">
        <v>1948</v>
      </c>
    </row>
    <row r="72415" spans="1:3" x14ac:dyDescent="0.2">
      <c r="B72415" t="s">
        <v>1142</v>
      </c>
      <c r="C72415" t="s">
        <v>1867</v>
      </c>
    </row>
    <row r="72417" spans="1:4" x14ac:dyDescent="0.2">
      <c r="A72417" t="s">
        <v>22420</v>
      </c>
      <c r="B72417" t="str">
        <f>HYPERLINK("https://lindat.mff.cuni.cz/services/teitok/pdtc10/index.php?action=vallex&amp;frame=v-w9501f21_ZU", "získat (v-w9501f21_ZU) - substituted with v-w9501f25_ZU")</f>
        <v>získat (v-w9501f21_ZU) - substituted with v-w9501f25_ZU</v>
      </c>
    </row>
    <row r="72418" spans="1:4" x14ac:dyDescent="0.2">
      <c r="B72418" t="s">
        <v>1</v>
      </c>
      <c r="C72418" t="s">
        <v>140</v>
      </c>
    </row>
    <row r="72419" spans="1:4" x14ac:dyDescent="0.2">
      <c r="B72419" t="s">
        <v>22421</v>
      </c>
      <c r="C72419" t="s">
        <v>19320</v>
      </c>
    </row>
    <row r="72420" spans="1:4" x14ac:dyDescent="0.2">
      <c r="B72420" t="s">
        <v>1142</v>
      </c>
    </row>
    <row r="72422" spans="1:4" x14ac:dyDescent="0.2">
      <c r="A72422" t="s">
        <v>22420</v>
      </c>
      <c r="B72422" t="str">
        <f>HYPERLINK("https://lindat.mff.cuni.cz/services/teitok/pdtc10/index.php?action=vallex&amp;frame=v-w9501f22_ZU", "získat (v-w9501f22_ZU) - substituted with v-w9501f25_ZU")</f>
        <v>získat (v-w9501f22_ZU) - substituted with v-w9501f25_ZU</v>
      </c>
    </row>
    <row r="72423" spans="1:4" x14ac:dyDescent="0.2">
      <c r="B72423" t="s">
        <v>1</v>
      </c>
    </row>
    <row r="72424" spans="1:4" x14ac:dyDescent="0.2">
      <c r="B72424" t="s">
        <v>22421</v>
      </c>
    </row>
    <row r="72425" spans="1:4" x14ac:dyDescent="0.2">
      <c r="B72425" t="s">
        <v>1142</v>
      </c>
    </row>
    <row r="72427" spans="1:4" x14ac:dyDescent="0.2">
      <c r="A72427" t="s">
        <v>22420</v>
      </c>
      <c r="B72427" t="str">
        <f>HYPERLINK("https://lindat.mff.cuni.cz/services/teitok/pdtc10/index.php?action=vallex&amp;frame=v-w9501f23_ZU", "získat (v-w9501f23_ZU) - substituted with v-w9501f25_ZU")</f>
        <v>získat (v-w9501f23_ZU) - substituted with v-w9501f25_ZU</v>
      </c>
    </row>
    <row r="72428" spans="1:4" x14ac:dyDescent="0.2">
      <c r="B72428" t="s">
        <v>1</v>
      </c>
      <c r="C72428" t="s">
        <v>1865</v>
      </c>
      <c r="D72428" t="s">
        <v>23111</v>
      </c>
    </row>
    <row r="72429" spans="1:4" x14ac:dyDescent="0.2">
      <c r="B72429" t="s">
        <v>22421</v>
      </c>
      <c r="C72429" t="s">
        <v>1948</v>
      </c>
      <c r="D72429" t="s">
        <v>23200</v>
      </c>
    </row>
    <row r="72430" spans="1:4" x14ac:dyDescent="0.2">
      <c r="B72430" t="s">
        <v>1142</v>
      </c>
      <c r="C72430" t="s">
        <v>1867</v>
      </c>
      <c r="D72430" t="s">
        <v>23113</v>
      </c>
    </row>
    <row r="72432" spans="1:4" x14ac:dyDescent="0.2">
      <c r="A72432" t="s">
        <v>22420</v>
      </c>
      <c r="B72432" t="str">
        <f>HYPERLINK("https://lindat.mff.cuni.cz/services/teitok/pdtc10/index.php?action=vallex&amp;frame=v-w9501f24_ZU", "získat (v-w9501f24_ZU) - substituted with v-w9501f25_ZU")</f>
        <v>získat (v-w9501f24_ZU) - substituted with v-w9501f25_ZU</v>
      </c>
    </row>
    <row r="72433" spans="1:3" x14ac:dyDescent="0.2">
      <c r="B72433" t="s">
        <v>1</v>
      </c>
    </row>
    <row r="72434" spans="1:3" x14ac:dyDescent="0.2">
      <c r="B72434" t="s">
        <v>22421</v>
      </c>
    </row>
    <row r="72435" spans="1:3" x14ac:dyDescent="0.2">
      <c r="B72435" t="s">
        <v>1142</v>
      </c>
    </row>
    <row r="72437" spans="1:3" x14ac:dyDescent="0.2">
      <c r="A72437" t="s">
        <v>22420</v>
      </c>
      <c r="B72437" t="str">
        <f>HYPERLINK("https://lindat.mff.cuni.cz/services/teitok/pdtc10/index.php?action=vallex&amp;frame=v-w9501f3", "získat (v-w9501f3) - substituted with v-w9501f25_ZU")</f>
        <v>získat (v-w9501f3) - substituted with v-w9501f25_ZU</v>
      </c>
    </row>
    <row r="72438" spans="1:3" x14ac:dyDescent="0.2">
      <c r="B72438" t="s">
        <v>1</v>
      </c>
      <c r="C72438" t="s">
        <v>22427</v>
      </c>
    </row>
    <row r="72439" spans="1:3" x14ac:dyDescent="0.2">
      <c r="B72439" t="s">
        <v>22421</v>
      </c>
      <c r="C72439" t="s">
        <v>22428</v>
      </c>
    </row>
    <row r="72440" spans="1:3" x14ac:dyDescent="0.2">
      <c r="B72440" t="s">
        <v>1142</v>
      </c>
      <c r="C72440" t="s">
        <v>22429</v>
      </c>
    </row>
    <row r="72442" spans="1:3" x14ac:dyDescent="0.2">
      <c r="A72442" t="s">
        <v>22420</v>
      </c>
      <c r="B72442" t="str">
        <f>HYPERLINK("https://lindat.mff.cuni.cz/services/teitok/pdtc10/index.php?action=vallex&amp;frame=v-w9501f7_ZU", "získat (v-w9501f7_ZU) - substituted with v-w9501f25_ZU")</f>
        <v>získat (v-w9501f7_ZU) - substituted with v-w9501f25_ZU</v>
      </c>
    </row>
    <row r="72443" spans="1:3" x14ac:dyDescent="0.2">
      <c r="B72443" t="s">
        <v>1</v>
      </c>
      <c r="C72443" t="s">
        <v>6245</v>
      </c>
    </row>
    <row r="72444" spans="1:3" x14ac:dyDescent="0.2">
      <c r="B72444" t="s">
        <v>22421</v>
      </c>
      <c r="C72444" t="s">
        <v>22430</v>
      </c>
    </row>
    <row r="72445" spans="1:3" x14ac:dyDescent="0.2">
      <c r="B72445" t="s">
        <v>1142</v>
      </c>
      <c r="C72445" t="s">
        <v>22431</v>
      </c>
    </row>
    <row r="72447" spans="1:3" x14ac:dyDescent="0.2">
      <c r="A72447" t="s">
        <v>22420</v>
      </c>
      <c r="B72447" t="str">
        <f>HYPERLINK("https://lindat.mff.cuni.cz/services/teitok/pdtc10/index.php?action=vallex&amp;frame=v-w9501f8_ZU", "získat (v-w9501f8_ZU) - substituted with v-w9501f25_ZU")</f>
        <v>získat (v-w9501f8_ZU) - substituted with v-w9501f25_ZU</v>
      </c>
    </row>
    <row r="72448" spans="1:3" x14ac:dyDescent="0.2">
      <c r="B72448" t="s">
        <v>1</v>
      </c>
    </row>
    <row r="72449" spans="1:3" x14ac:dyDescent="0.2">
      <c r="B72449" t="s">
        <v>22421</v>
      </c>
    </row>
    <row r="72450" spans="1:3" x14ac:dyDescent="0.2">
      <c r="B72450" t="s">
        <v>1142</v>
      </c>
    </row>
    <row r="72452" spans="1:3" x14ac:dyDescent="0.2">
      <c r="A72452" t="s">
        <v>22420</v>
      </c>
      <c r="B72452" t="str">
        <f>HYPERLINK("https://lindat.mff.cuni.cz/services/teitok/pdtc10/index.php?action=vallex&amp;frame=v-w9501f9_ZU", "získat (v-w9501f9_ZU) - substituted with v-w9501f25_ZU")</f>
        <v>získat (v-w9501f9_ZU) - substituted with v-w9501f25_ZU</v>
      </c>
    </row>
    <row r="72453" spans="1:3" x14ac:dyDescent="0.2">
      <c r="B72453" t="s">
        <v>1</v>
      </c>
      <c r="C72453" t="s">
        <v>22432</v>
      </c>
    </row>
    <row r="72454" spans="1:3" x14ac:dyDescent="0.2">
      <c r="B72454" t="s">
        <v>22421</v>
      </c>
      <c r="C72454" t="s">
        <v>22433</v>
      </c>
    </row>
    <row r="72455" spans="1:3" x14ac:dyDescent="0.2">
      <c r="B72455" t="s">
        <v>1142</v>
      </c>
      <c r="C72455" t="s">
        <v>22434</v>
      </c>
    </row>
    <row r="72457" spans="1:3" x14ac:dyDescent="0.2">
      <c r="A72457" t="s">
        <v>22420</v>
      </c>
      <c r="B72457" t="str">
        <f>HYPERLINK("https://lindat.mff.cuni.cz/services/teitok/pdtc10/index.php?action=vallex&amp;frame=v-w9501hsa_112", "získat (v-w9501hsa_112) - substituted with v-w9501f25_ZU")</f>
        <v>získat (v-w9501hsa_112) - substituted with v-w9501f25_ZU</v>
      </c>
    </row>
    <row r="72458" spans="1:3" x14ac:dyDescent="0.2">
      <c r="B72458" t="s">
        <v>1</v>
      </c>
    </row>
    <row r="72459" spans="1:3" x14ac:dyDescent="0.2">
      <c r="B72459" t="s">
        <v>22421</v>
      </c>
    </row>
    <row r="72460" spans="1:3" x14ac:dyDescent="0.2">
      <c r="B72460" t="s">
        <v>1142</v>
      </c>
    </row>
    <row r="72462" spans="1:3" x14ac:dyDescent="0.2">
      <c r="A72462" t="s">
        <v>22435</v>
      </c>
      <c r="B72462" t="str">
        <f>HYPERLINK("https://lindat.mff.cuni.cz/services/teitok/pdtc10/index.php?action=vallex&amp;frame=v-w9501f10_ZU", "získat (v-w9501f10_ZU)")</f>
        <v>získat (v-w9501f10_ZU)</v>
      </c>
    </row>
    <row r="72463" spans="1:3" x14ac:dyDescent="0.2">
      <c r="B72463" t="s">
        <v>1</v>
      </c>
      <c r="C72463" t="s">
        <v>2717</v>
      </c>
    </row>
    <row r="72464" spans="1:3" x14ac:dyDescent="0.2">
      <c r="B72464" t="s">
        <v>5174</v>
      </c>
      <c r="C72464" t="s">
        <v>2719</v>
      </c>
    </row>
    <row r="72465" spans="1:4" x14ac:dyDescent="0.2">
      <c r="B72465" t="s">
        <v>3091</v>
      </c>
    </row>
    <row r="72467" spans="1:4" x14ac:dyDescent="0.2">
      <c r="A72467" t="s">
        <v>22436</v>
      </c>
      <c r="B72467" t="str">
        <f>HYPERLINK("https://lindat.mff.cuni.cz/services/teitok/pdtc10/index.php?action=vallex&amp;frame=v-w9501hsa_158", "získat (v-w9501hsa_158)")</f>
        <v>získat (v-w9501hsa_158)</v>
      </c>
    </row>
    <row r="72468" spans="1:4" x14ac:dyDescent="0.2">
      <c r="B72468" t="s">
        <v>1</v>
      </c>
    </row>
    <row r="72469" spans="1:4" x14ac:dyDescent="0.2">
      <c r="B72469" t="s">
        <v>19518</v>
      </c>
    </row>
    <row r="72470" spans="1:4" x14ac:dyDescent="0.2">
      <c r="B72470" t="s">
        <v>321</v>
      </c>
    </row>
    <row r="72472" spans="1:4" x14ac:dyDescent="0.2">
      <c r="A72472" t="s">
        <v>22437</v>
      </c>
      <c r="B72472" t="str">
        <f>HYPERLINK("https://lindat.mff.cuni.cz/services/teitok/pdtc10/index.php?action=vallex&amp;frame=v-w9504f1", "získávat (v-w9504f1)")</f>
        <v>získávat (v-w9504f1)</v>
      </c>
    </row>
    <row r="72473" spans="1:4" x14ac:dyDescent="0.2">
      <c r="B72473" t="s">
        <v>1</v>
      </c>
      <c r="C72473" t="s">
        <v>22438</v>
      </c>
      <c r="D72473" t="s">
        <v>24580</v>
      </c>
    </row>
    <row r="72474" spans="1:4" x14ac:dyDescent="0.2">
      <c r="B72474" t="s">
        <v>8</v>
      </c>
      <c r="C72474" t="s">
        <v>22439</v>
      </c>
      <c r="D72474" t="s">
        <v>24581</v>
      </c>
    </row>
    <row r="72475" spans="1:4" x14ac:dyDescent="0.2">
      <c r="B72475" t="s">
        <v>6411</v>
      </c>
      <c r="C72475" t="s">
        <v>22440</v>
      </c>
      <c r="D72475" t="s">
        <v>24582</v>
      </c>
    </row>
    <row r="72477" spans="1:4" x14ac:dyDescent="0.2">
      <c r="A72477" t="s">
        <v>22441</v>
      </c>
      <c r="B72477" t="str">
        <f>HYPERLINK("https://lindat.mff.cuni.cz/services/teitok/pdtc10/index.php?action=vallex&amp;frame=v-w9504f4", "získávat (v-w9504f4)")</f>
        <v>získávat (v-w9504f4)</v>
      </c>
    </row>
    <row r="72478" spans="1:4" x14ac:dyDescent="0.2">
      <c r="B72478" t="s">
        <v>1</v>
      </c>
      <c r="C72478" t="s">
        <v>22442</v>
      </c>
      <c r="D72478" t="s">
        <v>23742</v>
      </c>
    </row>
    <row r="72479" spans="1:4" x14ac:dyDescent="0.2">
      <c r="B72479" t="s">
        <v>8</v>
      </c>
      <c r="C72479" t="s">
        <v>22443</v>
      </c>
      <c r="D72479" t="s">
        <v>56</v>
      </c>
    </row>
    <row r="72481" spans="1:4" x14ac:dyDescent="0.2">
      <c r="A72481" t="s">
        <v>22444</v>
      </c>
      <c r="B72481" t="str">
        <f>HYPERLINK("https://lindat.mff.cuni.cz/services/teitok/pdtc10/index.php?action=vallex&amp;frame=v-w9504f6_ZU", "získávat (v-w9504f6_ZU)")</f>
        <v>získávat (v-w9504f6_ZU)</v>
      </c>
    </row>
    <row r="72482" spans="1:4" x14ac:dyDescent="0.2">
      <c r="B72482" t="s">
        <v>1</v>
      </c>
      <c r="C72482" t="s">
        <v>22445</v>
      </c>
      <c r="D72482" t="s">
        <v>23198</v>
      </c>
    </row>
    <row r="72483" spans="1:4" x14ac:dyDescent="0.2">
      <c r="B72483" t="s">
        <v>22416</v>
      </c>
      <c r="C72483" t="s">
        <v>22446</v>
      </c>
      <c r="D72483" t="s">
        <v>23199</v>
      </c>
    </row>
    <row r="72485" spans="1:4" x14ac:dyDescent="0.2">
      <c r="A72485" t="s">
        <v>22444</v>
      </c>
      <c r="B72485" t="str">
        <f>HYPERLINK("https://lindat.mff.cuni.cz/services/teitok/pdtc10/index.php?action=vallex&amp;frame=v-w9504f2", "získávat (v-w9504f2) - substituted with v-w9504f6_ZU")</f>
        <v>získávat (v-w9504f2) - substituted with v-w9504f6_ZU</v>
      </c>
    </row>
    <row r="72486" spans="1:4" x14ac:dyDescent="0.2">
      <c r="B72486" t="s">
        <v>1</v>
      </c>
      <c r="C72486" t="s">
        <v>22447</v>
      </c>
    </row>
    <row r="72487" spans="1:4" x14ac:dyDescent="0.2">
      <c r="B72487" t="s">
        <v>22416</v>
      </c>
      <c r="C72487" t="s">
        <v>22448</v>
      </c>
    </row>
    <row r="72489" spans="1:4" x14ac:dyDescent="0.2">
      <c r="A72489" t="s">
        <v>22449</v>
      </c>
      <c r="B72489" t="str">
        <f>HYPERLINK("https://lindat.mff.cuni.cz/services/teitok/pdtc10/index.php?action=vallex&amp;frame=v-w9504f5", "získávat (v-w9504f5)")</f>
        <v>získávat (v-w9504f5)</v>
      </c>
    </row>
    <row r="72490" spans="1:4" x14ac:dyDescent="0.2">
      <c r="B72490" t="s">
        <v>1</v>
      </c>
    </row>
    <row r="72491" spans="1:4" x14ac:dyDescent="0.2">
      <c r="B72491" t="s">
        <v>22450</v>
      </c>
    </row>
    <row r="72492" spans="1:4" x14ac:dyDescent="0.2">
      <c r="B72492" t="s">
        <v>2918</v>
      </c>
    </row>
    <row r="72494" spans="1:4" x14ac:dyDescent="0.2">
      <c r="A72494" t="s">
        <v>22451</v>
      </c>
      <c r="B72494" t="str">
        <f>HYPERLINK("https://lindat.mff.cuni.cz/services/teitok/pdtc10/index.php?action=vallex&amp;frame=v-w9504f7_ZU", "získávat (v-w9504f7_ZU)")</f>
        <v>získávat (v-w9504f7_ZU)</v>
      </c>
    </row>
    <row r="72495" spans="1:4" x14ac:dyDescent="0.2">
      <c r="B72495" t="s">
        <v>1</v>
      </c>
      <c r="C72495" t="s">
        <v>11774</v>
      </c>
    </row>
    <row r="72496" spans="1:4" x14ac:dyDescent="0.2">
      <c r="B72496" t="s">
        <v>22452</v>
      </c>
      <c r="C72496" t="s">
        <v>22453</v>
      </c>
    </row>
    <row r="72497" spans="1:3" x14ac:dyDescent="0.2">
      <c r="B72497" t="s">
        <v>321</v>
      </c>
    </row>
    <row r="72499" spans="1:3" x14ac:dyDescent="0.2">
      <c r="A72499" t="s">
        <v>22451</v>
      </c>
      <c r="B72499" t="str">
        <f>HYPERLINK("https://lindat.mff.cuni.cz/services/teitok/pdtc10/index.php?action=vallex&amp;frame=v-w9504f3", "získávat (v-w9504f3) - substituted with v-w9504f7_ZU")</f>
        <v>získávat (v-w9504f3) - substituted with v-w9504f7_ZU</v>
      </c>
    </row>
    <row r="72500" spans="1:3" x14ac:dyDescent="0.2">
      <c r="B72500" t="s">
        <v>1</v>
      </c>
      <c r="C72500" t="s">
        <v>230</v>
      </c>
    </row>
    <row r="72501" spans="1:3" x14ac:dyDescent="0.2">
      <c r="B72501" t="s">
        <v>22452</v>
      </c>
      <c r="C72501" t="s">
        <v>19632</v>
      </c>
    </row>
    <row r="72502" spans="1:3" x14ac:dyDescent="0.2">
      <c r="B72502" t="s">
        <v>321</v>
      </c>
      <c r="C72502" t="s">
        <v>1443</v>
      </c>
    </row>
    <row r="72504" spans="1:3" x14ac:dyDescent="0.2">
      <c r="A72504" t="s">
        <v>22451</v>
      </c>
      <c r="B72504" t="str">
        <f>HYPERLINK("https://lindat.mff.cuni.cz/services/teitok/pdtc10/index.php?action=vallex&amp;frame=v-w9504hsa_1032", "získávat (v-w9504hsa_1032) - substituted with v-w9504f7_ZU")</f>
        <v>získávat (v-w9504hsa_1032) - substituted with v-w9504f7_ZU</v>
      </c>
    </row>
    <row r="72505" spans="1:3" x14ac:dyDescent="0.2">
      <c r="B72505" t="s">
        <v>1</v>
      </c>
      <c r="C72505" t="s">
        <v>22454</v>
      </c>
    </row>
    <row r="72506" spans="1:3" x14ac:dyDescent="0.2">
      <c r="B72506" t="s">
        <v>22452</v>
      </c>
      <c r="C72506" t="s">
        <v>22455</v>
      </c>
    </row>
    <row r="72507" spans="1:3" x14ac:dyDescent="0.2">
      <c r="B72507" t="s">
        <v>321</v>
      </c>
      <c r="C72507" t="s">
        <v>22456</v>
      </c>
    </row>
    <row r="72509" spans="1:3" x14ac:dyDescent="0.2">
      <c r="A72509" t="s">
        <v>22457</v>
      </c>
      <c r="B72509" t="str">
        <f>HYPERLINK("https://lindat.mff.cuni.cz/services/teitok/pdtc10/index.php?action=vallex&amp;frame=v-w9935f1", "zúročit (v-w9935f1)")</f>
        <v>zúročit (v-w9935f1)</v>
      </c>
    </row>
    <row r="72510" spans="1:3" x14ac:dyDescent="0.2">
      <c r="B72510" t="s">
        <v>1</v>
      </c>
    </row>
    <row r="72511" spans="1:3" x14ac:dyDescent="0.2">
      <c r="B72511" t="s">
        <v>8</v>
      </c>
    </row>
    <row r="72513" spans="1:4" x14ac:dyDescent="0.2">
      <c r="A72513" t="s">
        <v>22458</v>
      </c>
      <c r="B72513" t="str">
        <f>HYPERLINK("https://lindat.mff.cuni.cz/services/teitok/pdtc10/index.php?action=vallex&amp;frame=v-w9936f1", "zúročit se (v-w9936f1)")</f>
        <v>zúročit se (v-w9936f1)</v>
      </c>
    </row>
    <row r="72514" spans="1:4" x14ac:dyDescent="0.2">
      <c r="B72514" t="s">
        <v>1</v>
      </c>
      <c r="C72514" t="s">
        <v>7202</v>
      </c>
    </row>
    <row r="72516" spans="1:4" x14ac:dyDescent="0.2">
      <c r="A72516" t="s">
        <v>22459</v>
      </c>
      <c r="B72516" t="str">
        <f>HYPERLINK("https://lindat.mff.cuni.cz/services/teitok/pdtc10/index.php?action=vallex&amp;frame=v-w11683_ZUf1_ZU", "zútulnit (v-w11683_ZUf1_ZU)")</f>
        <v>zútulnit (v-w11683_ZUf1_ZU)</v>
      </c>
    </row>
    <row r="72517" spans="1:4" x14ac:dyDescent="0.2">
      <c r="B72517" t="s">
        <v>1</v>
      </c>
    </row>
    <row r="72518" spans="1:4" x14ac:dyDescent="0.2">
      <c r="B72518" t="s">
        <v>8</v>
      </c>
    </row>
    <row r="72520" spans="1:4" x14ac:dyDescent="0.2">
      <c r="A72520" t="s">
        <v>22460</v>
      </c>
      <c r="B72520" t="str">
        <f>HYPERLINK("https://lindat.mff.cuni.cz/services/teitok/pdtc10/index.php?action=vallex&amp;frame=v-w9930f1", "zúčastnit se (v-w9930f1)")</f>
        <v>zúčastnit se (v-w9930f1)</v>
      </c>
    </row>
    <row r="72521" spans="1:4" x14ac:dyDescent="0.2">
      <c r="B72521" t="s">
        <v>1</v>
      </c>
      <c r="C72521" t="s">
        <v>22461</v>
      </c>
      <c r="D72521" t="s">
        <v>22962</v>
      </c>
    </row>
    <row r="72522" spans="1:4" x14ac:dyDescent="0.2">
      <c r="B72522" t="s">
        <v>22462</v>
      </c>
      <c r="C72522" t="s">
        <v>5714</v>
      </c>
      <c r="D72522" t="s">
        <v>22963</v>
      </c>
    </row>
    <row r="72524" spans="1:4" x14ac:dyDescent="0.2">
      <c r="A72524" t="s">
        <v>22463</v>
      </c>
      <c r="B72524" t="str">
        <f>HYPERLINK("https://lindat.mff.cuni.cz/services/teitok/pdtc10/index.php?action=vallex&amp;frame=v-w9931f1", "zúčastňovat se (v-w9931f1)")</f>
        <v>zúčastňovat se (v-w9931f1)</v>
      </c>
    </row>
    <row r="72525" spans="1:4" x14ac:dyDescent="0.2">
      <c r="B72525" t="s">
        <v>1</v>
      </c>
      <c r="D72525" t="s">
        <v>22962</v>
      </c>
    </row>
    <row r="72526" spans="1:4" x14ac:dyDescent="0.2">
      <c r="B72526" t="s">
        <v>22462</v>
      </c>
      <c r="D72526" t="s">
        <v>22963</v>
      </c>
    </row>
    <row r="72528" spans="1:4" x14ac:dyDescent="0.2">
      <c r="A72528" t="s">
        <v>22464</v>
      </c>
      <c r="B72528" t="str">
        <f>HYPERLINK("https://lindat.mff.cuni.cz/services/teitok/pdtc10/index.php?action=vallex&amp;frame=v-w9933f2", "zúčtovat (v-w9933f2)")</f>
        <v>zúčtovat (v-w9933f2)</v>
      </c>
    </row>
    <row r="72529" spans="1:4" x14ac:dyDescent="0.2">
      <c r="B72529" t="s">
        <v>1</v>
      </c>
    </row>
    <row r="72530" spans="1:4" x14ac:dyDescent="0.2">
      <c r="B72530" t="s">
        <v>8</v>
      </c>
    </row>
    <row r="72532" spans="1:4" x14ac:dyDescent="0.2">
      <c r="A72532" t="s">
        <v>22465</v>
      </c>
      <c r="B72532" t="str">
        <f>HYPERLINK("https://lindat.mff.cuni.cz/services/teitok/pdtc10/index.php?action=vallex&amp;frame=v-w9933f1", "zúčtovat (v-w9933f1)")</f>
        <v>zúčtovat (v-w9933f1)</v>
      </c>
    </row>
    <row r="72533" spans="1:4" x14ac:dyDescent="0.2">
      <c r="B72533" t="s">
        <v>1</v>
      </c>
    </row>
    <row r="72534" spans="1:4" x14ac:dyDescent="0.2">
      <c r="B72534" t="s">
        <v>411</v>
      </c>
    </row>
    <row r="72536" spans="1:4" x14ac:dyDescent="0.2">
      <c r="A72536" t="s">
        <v>22466</v>
      </c>
      <c r="B72536" t="str">
        <f>HYPERLINK("https://lindat.mff.cuni.cz/services/teitok/pdtc10/index.php?action=vallex&amp;frame=v-w9943f1", "zúžit (v-w9943f1)")</f>
        <v>zúžit (v-w9943f1)</v>
      </c>
    </row>
    <row r="72537" spans="1:4" x14ac:dyDescent="0.2">
      <c r="B72537" t="s">
        <v>1</v>
      </c>
      <c r="C72537" t="s">
        <v>22467</v>
      </c>
      <c r="D72537" t="s">
        <v>23730</v>
      </c>
    </row>
    <row r="72538" spans="1:4" x14ac:dyDescent="0.2">
      <c r="B72538" t="s">
        <v>8</v>
      </c>
      <c r="C72538" t="s">
        <v>22468</v>
      </c>
      <c r="D72538" t="s">
        <v>23731</v>
      </c>
    </row>
    <row r="72539" spans="1:4" x14ac:dyDescent="0.2">
      <c r="B72539" t="s">
        <v>24</v>
      </c>
      <c r="D72539" t="s">
        <v>23732</v>
      </c>
    </row>
    <row r="72540" spans="1:4" x14ac:dyDescent="0.2">
      <c r="B72540" t="s">
        <v>61</v>
      </c>
      <c r="C72540" t="s">
        <v>8361</v>
      </c>
      <c r="D72540" t="s">
        <v>23733</v>
      </c>
    </row>
    <row r="72542" spans="1:4" x14ac:dyDescent="0.2">
      <c r="A72542" t="s">
        <v>22469</v>
      </c>
      <c r="B72542" t="str">
        <f>HYPERLINK("https://lindat.mff.cuni.cz/services/teitok/pdtc10/index.php?action=vallex&amp;frame=v-w9943f2", "zúžit (v-w9943f2)")</f>
        <v>zúžit (v-w9943f2)</v>
      </c>
    </row>
    <row r="72543" spans="1:4" x14ac:dyDescent="0.2">
      <c r="B72543" t="s">
        <v>1</v>
      </c>
    </row>
    <row r="72544" spans="1:4" x14ac:dyDescent="0.2">
      <c r="B72544" t="s">
        <v>8</v>
      </c>
    </row>
    <row r="72546" spans="1:3" x14ac:dyDescent="0.2">
      <c r="A72546" t="s">
        <v>22470</v>
      </c>
      <c r="B72546" t="str">
        <f>HYPERLINK("https://lindat.mff.cuni.cz/services/teitok/pdtc10/index.php?action=vallex&amp;frame=v-w9945f1", "zúžit se (v-w9945f1)")</f>
        <v>zúžit se (v-w9945f1)</v>
      </c>
    </row>
    <row r="72547" spans="1:3" x14ac:dyDescent="0.2">
      <c r="B72547" t="s">
        <v>1</v>
      </c>
      <c r="C72547" t="s">
        <v>14346</v>
      </c>
    </row>
    <row r="72548" spans="1:3" x14ac:dyDescent="0.2">
      <c r="B72548" t="s">
        <v>46</v>
      </c>
      <c r="C72548" t="s">
        <v>9369</v>
      </c>
    </row>
    <row r="72549" spans="1:3" x14ac:dyDescent="0.2">
      <c r="B72549" t="s">
        <v>24</v>
      </c>
      <c r="C72549" t="s">
        <v>5399</v>
      </c>
    </row>
    <row r="72551" spans="1:3" x14ac:dyDescent="0.2">
      <c r="A72551" t="s">
        <v>22471</v>
      </c>
      <c r="B72551" t="str">
        <f>HYPERLINK("https://lindat.mff.cuni.cz/services/teitok/pdtc10/index.php?action=vallex&amp;frame=v-w9945f2", "zúžit se (v-w9945f2)")</f>
        <v>zúžit se (v-w9945f2)</v>
      </c>
    </row>
    <row r="72552" spans="1:3" x14ac:dyDescent="0.2">
      <c r="B72552" t="s">
        <v>1</v>
      </c>
      <c r="C72552" t="s">
        <v>14346</v>
      </c>
    </row>
    <row r="72553" spans="1:3" x14ac:dyDescent="0.2">
      <c r="B72553" t="s">
        <v>46</v>
      </c>
      <c r="C72553" t="s">
        <v>9369</v>
      </c>
    </row>
    <row r="72554" spans="1:3" x14ac:dyDescent="0.2">
      <c r="B72554" t="s">
        <v>24</v>
      </c>
      <c r="C72554" t="s">
        <v>5399</v>
      </c>
    </row>
    <row r="72556" spans="1:3" x14ac:dyDescent="0.2">
      <c r="A72556" t="s">
        <v>22472</v>
      </c>
      <c r="B72556" t="str">
        <f>HYPERLINK("https://lindat.mff.cuni.cz/services/teitok/pdtc10/index.php?action=vallex&amp;frame=v-w10682f2", "zčervenat (v-w10682f2)")</f>
        <v>zčervenat (v-w10682f2)</v>
      </c>
    </row>
    <row r="72557" spans="1:3" x14ac:dyDescent="0.2">
      <c r="B72557" t="s">
        <v>1</v>
      </c>
    </row>
    <row r="72559" spans="1:3" x14ac:dyDescent="0.2">
      <c r="A72559" t="s">
        <v>22473</v>
      </c>
      <c r="B72559" t="str">
        <f>HYPERLINK("https://lindat.mff.cuni.cz/services/teitok/pdtc10/index.php?action=vallex&amp;frame=v-w9371f1", "zčitelnit (v-w9371f1)")</f>
        <v>zčitelnit (v-w9371f1)</v>
      </c>
    </row>
    <row r="72560" spans="1:3" x14ac:dyDescent="0.2">
      <c r="B72560" t="s">
        <v>1</v>
      </c>
    </row>
    <row r="72561" spans="1:4" x14ac:dyDescent="0.2">
      <c r="B72561" t="s">
        <v>8</v>
      </c>
    </row>
    <row r="72563" spans="1:4" x14ac:dyDescent="0.2">
      <c r="A72563" t="s">
        <v>22474</v>
      </c>
      <c r="B72563" t="str">
        <f>HYPERLINK("https://lindat.mff.cuni.cz/services/teitok/pdtc10/index.php?action=vallex&amp;frame=v-w11280f2", "zčtyřnásobit se (v-w11280f2)")</f>
        <v>zčtyřnásobit se (v-w11280f2)</v>
      </c>
    </row>
    <row r="72564" spans="1:4" x14ac:dyDescent="0.2">
      <c r="B72564" t="s">
        <v>1</v>
      </c>
      <c r="C72564" t="s">
        <v>2172</v>
      </c>
      <c r="D72564" t="s">
        <v>24527</v>
      </c>
    </row>
    <row r="72565" spans="1:4" x14ac:dyDescent="0.2">
      <c r="B72565" t="s">
        <v>46</v>
      </c>
      <c r="C72565" t="s">
        <v>8449</v>
      </c>
      <c r="D72565" t="s">
        <v>24528</v>
      </c>
    </row>
    <row r="72566" spans="1:4" x14ac:dyDescent="0.2">
      <c r="B72566" t="s">
        <v>24</v>
      </c>
      <c r="D72566" t="s">
        <v>24525</v>
      </c>
    </row>
    <row r="72568" spans="1:4" x14ac:dyDescent="0.2">
      <c r="A72568" t="s">
        <v>22475</v>
      </c>
      <c r="B72568" t="str">
        <f>HYPERLINK("https://lindat.mff.cuni.cz/services/teitok/pdtc10/index.php?action=vallex&amp;frame=v-w9887f1", "zřeknout se (v-w9887f1)")</f>
        <v>zřeknout se (v-w9887f1)</v>
      </c>
    </row>
    <row r="72569" spans="1:4" x14ac:dyDescent="0.2">
      <c r="B72569" t="s">
        <v>1</v>
      </c>
      <c r="C72569" t="s">
        <v>2353</v>
      </c>
      <c r="D72569" t="s">
        <v>23064</v>
      </c>
    </row>
    <row r="72570" spans="1:4" x14ac:dyDescent="0.2">
      <c r="B72570" t="s">
        <v>917</v>
      </c>
      <c r="C72570" t="s">
        <v>3324</v>
      </c>
      <c r="D72570" t="s">
        <v>23065</v>
      </c>
    </row>
    <row r="72572" spans="1:4" x14ac:dyDescent="0.2">
      <c r="A72572" t="s">
        <v>22476</v>
      </c>
      <c r="B72572" t="str">
        <f>HYPERLINK("https://lindat.mff.cuni.cz/services/teitok/pdtc10/index.php?action=vallex&amp;frame=v-w11870_ZUf1_ZU", "zřezat (v-w11870_ZUf1_ZU)")</f>
        <v>zřezat (v-w11870_ZUf1_ZU)</v>
      </c>
    </row>
    <row r="72573" spans="1:4" x14ac:dyDescent="0.2">
      <c r="B72573" t="s">
        <v>1</v>
      </c>
    </row>
    <row r="72574" spans="1:4" x14ac:dyDescent="0.2">
      <c r="B72574" t="s">
        <v>8</v>
      </c>
    </row>
    <row r="72576" spans="1:4" x14ac:dyDescent="0.2">
      <c r="A72576" t="s">
        <v>22477</v>
      </c>
      <c r="B72576" t="str">
        <f>HYPERLINK("https://lindat.mff.cuni.cz/services/teitok/pdtc10/index.php?action=vallex&amp;frame=v-w9897f1", "zřizovat (v-w9897f1)")</f>
        <v>zřizovat (v-w9897f1)</v>
      </c>
    </row>
    <row r="72577" spans="1:4" x14ac:dyDescent="0.2">
      <c r="B72577" t="s">
        <v>1</v>
      </c>
      <c r="C72577" t="s">
        <v>22478</v>
      </c>
      <c r="D72577" t="s">
        <v>24111</v>
      </c>
    </row>
    <row r="72578" spans="1:4" x14ac:dyDescent="0.2">
      <c r="B72578" t="s">
        <v>8</v>
      </c>
      <c r="C72578" t="s">
        <v>22479</v>
      </c>
      <c r="D72578" t="s">
        <v>24112</v>
      </c>
    </row>
    <row r="72579" spans="1:4" x14ac:dyDescent="0.2">
      <c r="B72579" t="s">
        <v>24</v>
      </c>
      <c r="C72579" t="s">
        <v>3656</v>
      </c>
      <c r="D72579" t="s">
        <v>7067</v>
      </c>
    </row>
    <row r="72581" spans="1:4" x14ac:dyDescent="0.2">
      <c r="A72581" t="s">
        <v>22480</v>
      </c>
      <c r="B72581" t="str">
        <f>HYPERLINK("https://lindat.mff.cuni.cz/services/teitok/pdtc10/index.php?action=vallex&amp;frame=v-w9890f1", "zříci se (v-w9890f1)")</f>
        <v>zříci se (v-w9890f1)</v>
      </c>
    </row>
    <row r="72582" spans="1:4" x14ac:dyDescent="0.2">
      <c r="B72582" t="s">
        <v>1</v>
      </c>
      <c r="D72582" t="s">
        <v>23064</v>
      </c>
    </row>
    <row r="72583" spans="1:4" x14ac:dyDescent="0.2">
      <c r="B72583" t="s">
        <v>917</v>
      </c>
      <c r="D72583" t="s">
        <v>23065</v>
      </c>
    </row>
    <row r="72585" spans="1:4" x14ac:dyDescent="0.2">
      <c r="A72585" t="s">
        <v>22481</v>
      </c>
      <c r="B72585" t="str">
        <f>HYPERLINK("https://lindat.mff.cuni.cz/services/teitok/pdtc10/index.php?action=vallex&amp;frame=v-w9891f1", "zřídit (v-w9891f1)")</f>
        <v>zřídit (v-w9891f1)</v>
      </c>
    </row>
    <row r="72586" spans="1:4" x14ac:dyDescent="0.2">
      <c r="B72586" t="s">
        <v>1</v>
      </c>
      <c r="C72586" t="s">
        <v>6697</v>
      </c>
      <c r="D72586" t="s">
        <v>23021</v>
      </c>
    </row>
    <row r="72587" spans="1:4" x14ac:dyDescent="0.2">
      <c r="B72587" t="s">
        <v>8</v>
      </c>
      <c r="C72587" t="s">
        <v>5591</v>
      </c>
      <c r="D72587" t="s">
        <v>23022</v>
      </c>
    </row>
    <row r="72588" spans="1:4" x14ac:dyDescent="0.2">
      <c r="B72588" t="s">
        <v>24</v>
      </c>
      <c r="D72588" t="s">
        <v>23023</v>
      </c>
    </row>
    <row r="72590" spans="1:4" x14ac:dyDescent="0.2">
      <c r="A72590" t="s">
        <v>22482</v>
      </c>
      <c r="B72590" t="str">
        <f>HYPERLINK("https://lindat.mff.cuni.cz/services/teitok/pdtc10/index.php?action=vallex&amp;frame=v-w9891f2", "zřídit (v-w9891f2)")</f>
        <v>zřídit (v-w9891f2)</v>
      </c>
    </row>
    <row r="72591" spans="1:4" x14ac:dyDescent="0.2">
      <c r="B72591" t="s">
        <v>1</v>
      </c>
    </row>
    <row r="72592" spans="1:4" x14ac:dyDescent="0.2">
      <c r="B72592" t="s">
        <v>8</v>
      </c>
    </row>
    <row r="72594" spans="1:4" x14ac:dyDescent="0.2">
      <c r="A72594" t="s">
        <v>22483</v>
      </c>
      <c r="B72594" t="str">
        <f>HYPERLINK("https://lindat.mff.cuni.cz/services/teitok/pdtc10/index.php?action=vallex&amp;frame=v-w9892f1", "zříkat se (v-w9892f1)")</f>
        <v>zříkat se (v-w9892f1)</v>
      </c>
    </row>
    <row r="72595" spans="1:4" x14ac:dyDescent="0.2">
      <c r="B72595" t="s">
        <v>1</v>
      </c>
      <c r="C72595" t="s">
        <v>33</v>
      </c>
      <c r="D72595" t="s">
        <v>23064</v>
      </c>
    </row>
    <row r="72596" spans="1:4" x14ac:dyDescent="0.2">
      <c r="B72596" t="s">
        <v>917</v>
      </c>
      <c r="C72596" t="s">
        <v>84</v>
      </c>
      <c r="D72596" t="s">
        <v>23065</v>
      </c>
    </row>
    <row r="72598" spans="1:4" x14ac:dyDescent="0.2">
      <c r="A72598" t="s">
        <v>22484</v>
      </c>
      <c r="B72598" t="str">
        <f>HYPERLINK("https://lindat.mff.cuni.cz/services/teitok/pdtc10/index.php?action=vallex&amp;frame=v-w12103_ZUf1_ZU", "zřít (v-w12103_ZUf1_ZU)")</f>
        <v>zřít (v-w12103_ZUf1_ZU)</v>
      </c>
    </row>
    <row r="72599" spans="1:4" x14ac:dyDescent="0.2">
      <c r="B72599" t="s">
        <v>1</v>
      </c>
    </row>
    <row r="72600" spans="1:4" x14ac:dyDescent="0.2">
      <c r="B72600" t="s">
        <v>3766</v>
      </c>
    </row>
    <row r="72602" spans="1:4" x14ac:dyDescent="0.2">
      <c r="A72602" t="s">
        <v>22485</v>
      </c>
      <c r="B72602" t="str">
        <f>HYPERLINK("https://lindat.mff.cuni.cz/services/teitok/pdtc10/index.php?action=vallex&amp;frame=v-w9893f2", "zřítit se (v-w9893f2)")</f>
        <v>zřítit se (v-w9893f2)</v>
      </c>
    </row>
    <row r="72603" spans="1:4" x14ac:dyDescent="0.2">
      <c r="B72603" t="s">
        <v>1</v>
      </c>
      <c r="C72603" t="s">
        <v>8432</v>
      </c>
      <c r="D72603" t="s">
        <v>23736</v>
      </c>
    </row>
    <row r="72604" spans="1:4" x14ac:dyDescent="0.2">
      <c r="B72604" t="s">
        <v>46</v>
      </c>
      <c r="C72604" t="s">
        <v>22486</v>
      </c>
      <c r="D72604" t="s">
        <v>23737</v>
      </c>
    </row>
    <row r="72605" spans="1:4" x14ac:dyDescent="0.2">
      <c r="B72605" t="s">
        <v>24</v>
      </c>
      <c r="C72605" t="s">
        <v>10630</v>
      </c>
      <c r="D72605" t="s">
        <v>23738</v>
      </c>
    </row>
    <row r="72607" spans="1:4" x14ac:dyDescent="0.2">
      <c r="A72607" t="s">
        <v>22487</v>
      </c>
      <c r="B72607" t="str">
        <f>HYPERLINK("https://lindat.mff.cuni.cz/services/teitok/pdtc10/index.php?action=vallex&amp;frame=v-w9893f1", "zřítit se (v-w9893f1)")</f>
        <v>zřítit se (v-w9893f1)</v>
      </c>
    </row>
    <row r="72608" spans="1:4" x14ac:dyDescent="0.2">
      <c r="B72608" t="s">
        <v>1</v>
      </c>
      <c r="C72608" t="s">
        <v>13890</v>
      </c>
      <c r="D72608" t="s">
        <v>3797</v>
      </c>
    </row>
    <row r="72610" spans="1:4" x14ac:dyDescent="0.2">
      <c r="A72610" t="s">
        <v>22488</v>
      </c>
      <c r="B72610" t="str">
        <f>HYPERLINK("https://lindat.mff.cuni.cz/services/teitok/pdtc10/index.php?action=vallex&amp;frame=v-w9938f5", "zůstat (v-w9938f5)")</f>
        <v>zůstat (v-w9938f5)</v>
      </c>
    </row>
    <row r="72611" spans="1:4" x14ac:dyDescent="0.2">
      <c r="B72611" t="s">
        <v>15082</v>
      </c>
      <c r="C72611" t="s">
        <v>22489</v>
      </c>
      <c r="D72611" t="s">
        <v>24521</v>
      </c>
    </row>
    <row r="72612" spans="1:4" x14ac:dyDescent="0.2">
      <c r="B72612" t="s">
        <v>4711</v>
      </c>
      <c r="C72612" t="s">
        <v>22490</v>
      </c>
      <c r="D72612" t="s">
        <v>24522</v>
      </c>
    </row>
    <row r="72614" spans="1:4" x14ac:dyDescent="0.2">
      <c r="A72614" t="s">
        <v>22491</v>
      </c>
      <c r="B72614" t="str">
        <f>HYPERLINK("https://lindat.mff.cuni.cz/services/teitok/pdtc10/index.php?action=vallex&amp;frame=v-w9938f2", "zůstat (v-w9938f2)")</f>
        <v>zůstat (v-w9938f2)</v>
      </c>
    </row>
    <row r="72615" spans="1:4" x14ac:dyDescent="0.2">
      <c r="B72615" t="s">
        <v>1</v>
      </c>
      <c r="C72615" t="s">
        <v>22492</v>
      </c>
      <c r="D72615" t="s">
        <v>23039</v>
      </c>
    </row>
    <row r="72616" spans="1:4" x14ac:dyDescent="0.2">
      <c r="B72616" t="s">
        <v>22493</v>
      </c>
      <c r="C72616" t="s">
        <v>22494</v>
      </c>
      <c r="D72616" t="s">
        <v>23040</v>
      </c>
    </row>
    <row r="72618" spans="1:4" x14ac:dyDescent="0.2">
      <c r="A72618" t="s">
        <v>22495</v>
      </c>
      <c r="B72618" t="str">
        <f>HYPERLINK("https://lindat.mff.cuni.cz/services/teitok/pdtc10/index.php?action=vallex&amp;frame=v-w9938f7", "zůstat (v-w9938f7)")</f>
        <v>zůstat (v-w9938f7)</v>
      </c>
    </row>
    <row r="72619" spans="1:4" x14ac:dyDescent="0.2">
      <c r="B72619" t="s">
        <v>1</v>
      </c>
      <c r="C72619" t="s">
        <v>2458</v>
      </c>
    </row>
    <row r="72620" spans="1:4" x14ac:dyDescent="0.2">
      <c r="B72620" t="s">
        <v>22496</v>
      </c>
      <c r="C72620" t="s">
        <v>21057</v>
      </c>
    </row>
    <row r="72622" spans="1:4" x14ac:dyDescent="0.2">
      <c r="A72622" t="s">
        <v>22497</v>
      </c>
      <c r="B72622" t="str">
        <f>HYPERLINK("https://lindat.mff.cuni.cz/services/teitok/pdtc10/index.php?action=vallex&amp;frame=v-w9938f16_MM", "zůstat (v-w9938f16_MM)")</f>
        <v>zůstat (v-w9938f16_MM)</v>
      </c>
    </row>
    <row r="72623" spans="1:4" x14ac:dyDescent="0.2">
      <c r="B72623" t="s">
        <v>1</v>
      </c>
    </row>
    <row r="72624" spans="1:4" x14ac:dyDescent="0.2">
      <c r="B72624" t="s">
        <v>438</v>
      </c>
    </row>
    <row r="72626" spans="1:4" x14ac:dyDescent="0.2">
      <c r="A72626" t="s">
        <v>22497</v>
      </c>
      <c r="B72626" t="str">
        <f>HYPERLINK("https://lindat.mff.cuni.cz/services/teitok/pdtc10/index.php?action=vallex&amp;frame=v-w9938f3", "zůstat (v-w9938f3) - substituted with v-w9938f16_MM")</f>
        <v>zůstat (v-w9938f3) - substituted with v-w9938f16_MM</v>
      </c>
    </row>
    <row r="72627" spans="1:4" x14ac:dyDescent="0.2">
      <c r="B72627" t="s">
        <v>1</v>
      </c>
      <c r="C72627" t="s">
        <v>22498</v>
      </c>
      <c r="D72627" t="s">
        <v>715</v>
      </c>
    </row>
    <row r="72628" spans="1:4" x14ac:dyDescent="0.2">
      <c r="B72628" t="s">
        <v>438</v>
      </c>
      <c r="C72628" t="s">
        <v>22499</v>
      </c>
      <c r="D72628" t="s">
        <v>24523</v>
      </c>
    </row>
    <row r="72630" spans="1:4" x14ac:dyDescent="0.2">
      <c r="A72630" t="s">
        <v>22500</v>
      </c>
      <c r="B72630" t="str">
        <f>HYPERLINK("https://lindat.mff.cuni.cz/services/teitok/pdtc10/index.php?action=vallex&amp;frame=v-w9938f11_ZU", "zůstat (v-w9938f11_ZU)")</f>
        <v>zůstat (v-w9938f11_ZU)</v>
      </c>
    </row>
    <row r="72631" spans="1:4" x14ac:dyDescent="0.2">
      <c r="B72631" t="s">
        <v>1</v>
      </c>
      <c r="C72631" t="s">
        <v>2458</v>
      </c>
      <c r="D72631" t="s">
        <v>23245</v>
      </c>
    </row>
    <row r="72632" spans="1:4" x14ac:dyDescent="0.2">
      <c r="B72632" t="s">
        <v>5</v>
      </c>
      <c r="C72632" t="s">
        <v>11211</v>
      </c>
      <c r="D72632" t="s">
        <v>23246</v>
      </c>
    </row>
    <row r="72634" spans="1:4" x14ac:dyDescent="0.2">
      <c r="A72634" t="s">
        <v>22500</v>
      </c>
      <c r="B72634" t="str">
        <f>HYPERLINK("https://lindat.mff.cuni.cz/services/teitok/pdtc10/index.php?action=vallex&amp;frame=v-w9938f1", "zůstat (v-w9938f1) - substituted with v-w9938f11_ZU")</f>
        <v>zůstat (v-w9938f1) - substituted with v-w9938f11_ZU</v>
      </c>
    </row>
    <row r="72635" spans="1:4" x14ac:dyDescent="0.2">
      <c r="B72635" t="s">
        <v>1</v>
      </c>
      <c r="C72635" t="s">
        <v>22501</v>
      </c>
    </row>
    <row r="72636" spans="1:4" x14ac:dyDescent="0.2">
      <c r="B72636" t="s">
        <v>5</v>
      </c>
      <c r="C72636" t="s">
        <v>22502</v>
      </c>
    </row>
    <row r="72638" spans="1:4" x14ac:dyDescent="0.2">
      <c r="A72638" t="s">
        <v>22503</v>
      </c>
      <c r="B72638" t="str">
        <f>HYPERLINK("https://lindat.mff.cuni.cz/services/teitok/pdtc10/index.php?action=vallex&amp;frame=v-w9938f4", "zůstat (v-w9938f4)")</f>
        <v>zůstat (v-w9938f4)</v>
      </c>
    </row>
    <row r="72639" spans="1:4" x14ac:dyDescent="0.2">
      <c r="B72639" t="s">
        <v>1</v>
      </c>
      <c r="C72639" t="s">
        <v>22504</v>
      </c>
      <c r="D72639" t="s">
        <v>23039</v>
      </c>
    </row>
    <row r="72640" spans="1:4" x14ac:dyDescent="0.2">
      <c r="B72640" t="s">
        <v>4836</v>
      </c>
      <c r="C72640" t="s">
        <v>22505</v>
      </c>
      <c r="D72640" t="s">
        <v>24160</v>
      </c>
    </row>
    <row r="72641" spans="1:4" x14ac:dyDescent="0.2">
      <c r="B72641" t="s">
        <v>6479</v>
      </c>
      <c r="D72641" t="s">
        <v>24161</v>
      </c>
    </row>
    <row r="72642" spans="1:4" x14ac:dyDescent="0.2">
      <c r="B72642" t="s">
        <v>6478</v>
      </c>
      <c r="C72642" t="s">
        <v>22506</v>
      </c>
      <c r="D72642" t="s">
        <v>24162</v>
      </c>
    </row>
    <row r="72644" spans="1:4" x14ac:dyDescent="0.2">
      <c r="A72644" t="s">
        <v>22507</v>
      </c>
      <c r="B72644" t="str">
        <f>HYPERLINK("https://lindat.mff.cuni.cz/services/teitok/pdtc10/index.php?action=vallex&amp;frame=v-w9938f15_ZU", "zůstat (v-w9938f15_ZU)")</f>
        <v>zůstat (v-w9938f15_ZU)</v>
      </c>
    </row>
    <row r="72645" spans="1:4" x14ac:dyDescent="0.2">
      <c r="B72645" t="s">
        <v>22508</v>
      </c>
    </row>
    <row r="72647" spans="1:4" x14ac:dyDescent="0.2">
      <c r="A72647" t="s">
        <v>22507</v>
      </c>
      <c r="B72647" t="str">
        <f>HYPERLINK("https://lindat.mff.cuni.cz/services/teitok/pdtc10/index.php?action=vallex&amp;frame=v-w9938f14_ZU", "zůstat (v-w9938f14_ZU) - substituted with v-w9938f15_ZU")</f>
        <v>zůstat (v-w9938f14_ZU) - substituted with v-w9938f15_ZU</v>
      </c>
    </row>
    <row r="72648" spans="1:4" x14ac:dyDescent="0.2">
      <c r="B72648" t="s">
        <v>22508</v>
      </c>
    </row>
    <row r="72650" spans="1:4" x14ac:dyDescent="0.2">
      <c r="A72650" t="s">
        <v>22507</v>
      </c>
      <c r="B72650" t="str">
        <f>HYPERLINK("https://lindat.mff.cuni.cz/services/teitok/pdtc10/index.php?action=vallex&amp;frame=v-w9938f6", "zůstat (v-w9938f6) - substituted with v-w9938f15_ZU")</f>
        <v>zůstat (v-w9938f6) - substituted with v-w9938f15_ZU</v>
      </c>
    </row>
    <row r="72651" spans="1:4" x14ac:dyDescent="0.2">
      <c r="B72651" t="s">
        <v>22508</v>
      </c>
    </row>
    <row r="72653" spans="1:4" x14ac:dyDescent="0.2">
      <c r="A72653" t="s">
        <v>22509</v>
      </c>
      <c r="B72653" t="str">
        <f>HYPERLINK("https://lindat.mff.cuni.cz/services/teitok/pdtc10/index.php?action=vallex&amp;frame=v-w9938f8", "zůstat (v-w9938f8)")</f>
        <v>zůstat (v-w9938f8)</v>
      </c>
    </row>
    <row r="72654" spans="1:4" x14ac:dyDescent="0.2">
      <c r="B72654" t="s">
        <v>1</v>
      </c>
    </row>
    <row r="72655" spans="1:4" x14ac:dyDescent="0.2">
      <c r="B72655" t="s">
        <v>22510</v>
      </c>
    </row>
    <row r="72656" spans="1:4" x14ac:dyDescent="0.2">
      <c r="B72656" t="s">
        <v>22511</v>
      </c>
    </row>
    <row r="72658" spans="1:4" x14ac:dyDescent="0.2">
      <c r="A72658" t="s">
        <v>22512</v>
      </c>
      <c r="B72658" t="str">
        <f>HYPERLINK("https://lindat.mff.cuni.cz/services/teitok/pdtc10/index.php?action=vallex&amp;frame=v-w9938f9_ZU", "zůstat (v-w9938f9_ZU)")</f>
        <v>zůstat (v-w9938f9_ZU)</v>
      </c>
    </row>
    <row r="72659" spans="1:4" x14ac:dyDescent="0.2">
      <c r="B72659" t="s">
        <v>1</v>
      </c>
      <c r="C72659" t="s">
        <v>133</v>
      </c>
    </row>
    <row r="72660" spans="1:4" x14ac:dyDescent="0.2">
      <c r="B72660" t="s">
        <v>22513</v>
      </c>
      <c r="C72660" t="s">
        <v>22514</v>
      </c>
    </row>
    <row r="72662" spans="1:4" x14ac:dyDescent="0.2">
      <c r="A72662" t="s">
        <v>22515</v>
      </c>
      <c r="B72662" t="str">
        <f>HYPERLINK("https://lindat.mff.cuni.cz/services/teitok/pdtc10/index.php?action=vallex&amp;frame=v-w9938hsa_39", "zůstat (v-w9938hsa_39)")</f>
        <v>zůstat (v-w9938hsa_39)</v>
      </c>
    </row>
    <row r="72663" spans="1:4" x14ac:dyDescent="0.2">
      <c r="B72663" t="s">
        <v>1</v>
      </c>
      <c r="C72663" t="s">
        <v>364</v>
      </c>
    </row>
    <row r="72664" spans="1:4" x14ac:dyDescent="0.2">
      <c r="B72664" t="s">
        <v>5</v>
      </c>
      <c r="C72664" t="s">
        <v>22516</v>
      </c>
    </row>
    <row r="72666" spans="1:4" x14ac:dyDescent="0.2">
      <c r="A72666" t="s">
        <v>22517</v>
      </c>
      <c r="B72666" t="str">
        <f>HYPERLINK("https://lindat.mff.cuni.cz/services/teitok/pdtc10/index.php?action=vallex&amp;frame=v-w9938f10_ZU", "zůstat (v-w9938f10_ZU)")</f>
        <v>zůstat (v-w9938f10_ZU)</v>
      </c>
    </row>
    <row r="72667" spans="1:4" x14ac:dyDescent="0.2">
      <c r="B72667" t="s">
        <v>1</v>
      </c>
      <c r="C72667" t="s">
        <v>15258</v>
      </c>
      <c r="D72667" t="s">
        <v>23039</v>
      </c>
    </row>
    <row r="72668" spans="1:4" x14ac:dyDescent="0.2">
      <c r="B72668" t="s">
        <v>642</v>
      </c>
      <c r="C72668" t="s">
        <v>22518</v>
      </c>
      <c r="D72668" t="s">
        <v>24248</v>
      </c>
    </row>
    <row r="72670" spans="1:4" x14ac:dyDescent="0.2">
      <c r="A72670" t="s">
        <v>22517</v>
      </c>
      <c r="B72670" t="str">
        <f>HYPERLINK("https://lindat.mff.cuni.cz/services/teitok/pdtc10/index.php?action=vallex&amp;frame=v-w9938hsa_41", "zůstat (v-w9938hsa_41) - substituted with v-w9938f10_ZU")</f>
        <v>zůstat (v-w9938hsa_41) - substituted with v-w9938f10_ZU</v>
      </c>
    </row>
    <row r="72671" spans="1:4" x14ac:dyDescent="0.2">
      <c r="B72671" t="s">
        <v>1</v>
      </c>
    </row>
    <row r="72672" spans="1:4" x14ac:dyDescent="0.2">
      <c r="B72672" t="s">
        <v>642</v>
      </c>
    </row>
    <row r="72674" spans="1:2" x14ac:dyDescent="0.2">
      <c r="A72674" t="s">
        <v>22519</v>
      </c>
      <c r="B72674" t="str">
        <f>HYPERLINK("https://lindat.mff.cuni.cz/services/teitok/pdtc10/index.php?action=vallex&amp;frame=v-w9938f12_ZU", "zůstat (v-w9938f12_ZU)")</f>
        <v>zůstat (v-w9938f12_ZU)</v>
      </c>
    </row>
    <row r="72675" spans="1:2" x14ac:dyDescent="0.2">
      <c r="B72675" t="s">
        <v>1</v>
      </c>
    </row>
    <row r="72676" spans="1:2" x14ac:dyDescent="0.2">
      <c r="B72676" t="s">
        <v>22520</v>
      </c>
    </row>
    <row r="72677" spans="1:2" x14ac:dyDescent="0.2">
      <c r="B72677" t="s">
        <v>164</v>
      </c>
    </row>
    <row r="72679" spans="1:2" x14ac:dyDescent="0.2">
      <c r="A72679" t="s">
        <v>22519</v>
      </c>
      <c r="B72679" t="str">
        <f>HYPERLINK("https://lindat.mff.cuni.cz/services/teitok/pdtc10/index.php?action=vallex&amp;frame=v-w9938hsa_40", "zůstat (v-w9938hsa_40) - substituted with v-w9938f12_ZU")</f>
        <v>zůstat (v-w9938hsa_40) - substituted with v-w9938f12_ZU</v>
      </c>
    </row>
    <row r="72680" spans="1:2" x14ac:dyDescent="0.2">
      <c r="B72680" t="s">
        <v>1</v>
      </c>
    </row>
    <row r="72681" spans="1:2" x14ac:dyDescent="0.2">
      <c r="B72681" t="s">
        <v>22520</v>
      </c>
    </row>
    <row r="72682" spans="1:2" x14ac:dyDescent="0.2">
      <c r="B72682" t="s">
        <v>164</v>
      </c>
    </row>
    <row r="72684" spans="1:2" x14ac:dyDescent="0.2">
      <c r="A72684" t="s">
        <v>22521</v>
      </c>
      <c r="B72684" t="str">
        <f>HYPERLINK("https://lindat.mff.cuni.cz/services/teitok/pdtc10/index.php?action=vallex&amp;frame=v-w9938f13_ZU", "zůstat (v-w9938f13_ZU)")</f>
        <v>zůstat (v-w9938f13_ZU)</v>
      </c>
    </row>
    <row r="72685" spans="1:2" x14ac:dyDescent="0.2">
      <c r="B72685" t="s">
        <v>698</v>
      </c>
    </row>
    <row r="72686" spans="1:2" x14ac:dyDescent="0.2">
      <c r="B72686" t="s">
        <v>4435</v>
      </c>
    </row>
    <row r="72687" spans="1:2" x14ac:dyDescent="0.2">
      <c r="B72687" t="s">
        <v>103</v>
      </c>
    </row>
    <row r="72689" spans="1:4" x14ac:dyDescent="0.2">
      <c r="A72689" t="s">
        <v>22522</v>
      </c>
      <c r="B72689" t="str">
        <f>HYPERLINK("https://lindat.mff.cuni.cz/services/teitok/pdtc10/index.php?action=vallex&amp;frame=v-w9938hsa_38", "zůstat (v-w9938hsa_38)")</f>
        <v>zůstat (v-w9938hsa_38)</v>
      </c>
    </row>
    <row r="72690" spans="1:4" x14ac:dyDescent="0.2">
      <c r="B72690" t="s">
        <v>1</v>
      </c>
    </row>
    <row r="72691" spans="1:4" x14ac:dyDescent="0.2">
      <c r="B72691" t="s">
        <v>411</v>
      </c>
    </row>
    <row r="72692" spans="1:4" x14ac:dyDescent="0.2">
      <c r="B72692" t="s">
        <v>5</v>
      </c>
    </row>
    <row r="72694" spans="1:4" x14ac:dyDescent="0.2">
      <c r="A72694" t="s">
        <v>22523</v>
      </c>
      <c r="B72694" t="str">
        <f>HYPERLINK("https://lindat.mff.cuni.cz/services/teitok/pdtc10/index.php?action=vallex&amp;frame=v-w9939f9", "zůstávat (v-w9939f9)")</f>
        <v>zůstávat (v-w9939f9)</v>
      </c>
    </row>
    <row r="72695" spans="1:4" x14ac:dyDescent="0.2">
      <c r="B72695" t="s">
        <v>1</v>
      </c>
    </row>
    <row r="72696" spans="1:4" x14ac:dyDescent="0.2">
      <c r="B72696" t="s">
        <v>4711</v>
      </c>
    </row>
    <row r="72698" spans="1:4" x14ac:dyDescent="0.2">
      <c r="A72698" t="s">
        <v>22524</v>
      </c>
      <c r="B72698" t="str">
        <f>HYPERLINK("https://lindat.mff.cuni.cz/services/teitok/pdtc10/index.php?action=vallex&amp;frame=v-w9939f8", "zůstávat (v-w9939f8)")</f>
        <v>zůstávat (v-w9939f8)</v>
      </c>
    </row>
    <row r="72699" spans="1:4" x14ac:dyDescent="0.2">
      <c r="B72699" t="s">
        <v>1</v>
      </c>
    </row>
    <row r="72700" spans="1:4" x14ac:dyDescent="0.2">
      <c r="B72700" t="s">
        <v>22496</v>
      </c>
    </row>
    <row r="72702" spans="1:4" x14ac:dyDescent="0.2">
      <c r="A72702" t="s">
        <v>22525</v>
      </c>
      <c r="B72702" t="str">
        <f>HYPERLINK("https://lindat.mff.cuni.cz/services/teitok/pdtc10/index.php?action=vallex&amp;frame=v-w9939f10_ZU", "zůstávat (v-w9939f10_ZU)")</f>
        <v>zůstávat (v-w9939f10_ZU)</v>
      </c>
    </row>
    <row r="72703" spans="1:4" x14ac:dyDescent="0.2">
      <c r="B72703" t="s">
        <v>22526</v>
      </c>
      <c r="C72703" t="s">
        <v>22527</v>
      </c>
      <c r="D72703" t="s">
        <v>23039</v>
      </c>
    </row>
    <row r="72704" spans="1:4" x14ac:dyDescent="0.2">
      <c r="B72704" t="s">
        <v>22528</v>
      </c>
      <c r="C72704" t="s">
        <v>22529</v>
      </c>
      <c r="D72704" t="s">
        <v>23040</v>
      </c>
    </row>
    <row r="72706" spans="1:4" x14ac:dyDescent="0.2">
      <c r="A72706" t="s">
        <v>22525</v>
      </c>
      <c r="B72706" t="str">
        <f>HYPERLINK("https://lindat.mff.cuni.cz/services/teitok/pdtc10/index.php?action=vallex&amp;frame=v-w9939f1", "zůstávat (v-w9939f1) - substituted with v-w9939f10_ZU")</f>
        <v>zůstávat (v-w9939f1) - substituted with v-w9939f10_ZU</v>
      </c>
    </row>
    <row r="72707" spans="1:4" x14ac:dyDescent="0.2">
      <c r="B72707" t="s">
        <v>22526</v>
      </c>
      <c r="C72707" t="s">
        <v>22530</v>
      </c>
    </row>
    <row r="72708" spans="1:4" x14ac:dyDescent="0.2">
      <c r="B72708" t="s">
        <v>22528</v>
      </c>
      <c r="C72708" t="s">
        <v>22531</v>
      </c>
    </row>
    <row r="72710" spans="1:4" x14ac:dyDescent="0.2">
      <c r="A72710" t="s">
        <v>22532</v>
      </c>
      <c r="B72710" t="str">
        <f>HYPERLINK("https://lindat.mff.cuni.cz/services/teitok/pdtc10/index.php?action=vallex&amp;frame=v-w9939f3", "zůstávat (v-w9939f3)")</f>
        <v>zůstávat (v-w9939f3)</v>
      </c>
    </row>
    <row r="72711" spans="1:4" x14ac:dyDescent="0.2">
      <c r="B72711" t="s">
        <v>1</v>
      </c>
    </row>
    <row r="72712" spans="1:4" x14ac:dyDescent="0.2">
      <c r="B72712" t="s">
        <v>438</v>
      </c>
    </row>
    <row r="72714" spans="1:4" x14ac:dyDescent="0.2">
      <c r="A72714" t="s">
        <v>22533</v>
      </c>
      <c r="B72714" t="str">
        <f>HYPERLINK("https://lindat.mff.cuni.cz/services/teitok/pdtc10/index.php?action=vallex&amp;frame=v-w9939f2", "zůstávat (v-w9939f2)")</f>
        <v>zůstávat (v-w9939f2)</v>
      </c>
    </row>
    <row r="72715" spans="1:4" x14ac:dyDescent="0.2">
      <c r="B72715" t="s">
        <v>1</v>
      </c>
      <c r="C72715" t="s">
        <v>22534</v>
      </c>
      <c r="D72715" t="s">
        <v>23245</v>
      </c>
    </row>
    <row r="72716" spans="1:4" x14ac:dyDescent="0.2">
      <c r="B72716" t="s">
        <v>5</v>
      </c>
      <c r="C72716" t="s">
        <v>22535</v>
      </c>
      <c r="D72716" t="s">
        <v>23246</v>
      </c>
    </row>
    <row r="72718" spans="1:4" x14ac:dyDescent="0.2">
      <c r="A72718" t="s">
        <v>22536</v>
      </c>
      <c r="B72718" t="str">
        <f>HYPERLINK("https://lindat.mff.cuni.cz/services/teitok/pdtc10/index.php?action=vallex&amp;frame=v-w9939f4", "zůstávat (v-w9939f4)")</f>
        <v>zůstávat (v-w9939f4)</v>
      </c>
    </row>
    <row r="72719" spans="1:4" x14ac:dyDescent="0.2">
      <c r="B72719" t="s">
        <v>1</v>
      </c>
      <c r="C72719" t="s">
        <v>22537</v>
      </c>
      <c r="D72719" t="s">
        <v>23039</v>
      </c>
    </row>
    <row r="72720" spans="1:4" x14ac:dyDescent="0.2">
      <c r="B72720" t="s">
        <v>4836</v>
      </c>
      <c r="C72720" t="s">
        <v>22538</v>
      </c>
      <c r="D72720" t="s">
        <v>24160</v>
      </c>
    </row>
    <row r="72721" spans="1:4" x14ac:dyDescent="0.2">
      <c r="B72721" t="s">
        <v>6479</v>
      </c>
      <c r="D72721" t="s">
        <v>24161</v>
      </c>
    </row>
    <row r="72722" spans="1:4" x14ac:dyDescent="0.2">
      <c r="B72722" t="s">
        <v>349</v>
      </c>
      <c r="D72722" t="s">
        <v>24162</v>
      </c>
    </row>
    <row r="72724" spans="1:4" x14ac:dyDescent="0.2">
      <c r="A72724" t="s">
        <v>22539</v>
      </c>
      <c r="B72724" t="str">
        <f>HYPERLINK("https://lindat.mff.cuni.cz/services/teitok/pdtc10/index.php?action=vallex&amp;frame=v-w9939f7", "zůstávat (v-w9939f7)")</f>
        <v>zůstávat (v-w9939f7)</v>
      </c>
    </row>
    <row r="72725" spans="1:4" x14ac:dyDescent="0.2">
      <c r="B72725" t="s">
        <v>22540</v>
      </c>
    </row>
    <row r="72727" spans="1:4" x14ac:dyDescent="0.2">
      <c r="A72727" t="s">
        <v>22541</v>
      </c>
      <c r="B72727" t="str">
        <f>HYPERLINK("https://lindat.mff.cuni.cz/services/teitok/pdtc10/index.php?action=vallex&amp;frame=v-w9939f6", "zůstávat (v-w9939f6)")</f>
        <v>zůstávat (v-w9939f6)</v>
      </c>
    </row>
    <row r="72728" spans="1:4" x14ac:dyDescent="0.2">
      <c r="B72728" t="s">
        <v>1</v>
      </c>
    </row>
    <row r="72729" spans="1:4" x14ac:dyDescent="0.2">
      <c r="B72729" t="s">
        <v>22542</v>
      </c>
    </row>
    <row r="72731" spans="1:4" x14ac:dyDescent="0.2">
      <c r="A72731" t="s">
        <v>22543</v>
      </c>
      <c r="B72731" t="str">
        <f>HYPERLINK("https://lindat.mff.cuni.cz/services/teitok/pdtc10/index.php?action=vallex&amp;frame=v-w9939f5", "zůstávat (v-w9939f5)")</f>
        <v>zůstávat (v-w9939f5)</v>
      </c>
    </row>
    <row r="72732" spans="1:4" x14ac:dyDescent="0.2">
      <c r="B72732" t="s">
        <v>1</v>
      </c>
    </row>
    <row r="72733" spans="1:4" x14ac:dyDescent="0.2">
      <c r="B72733" t="s">
        <v>696</v>
      </c>
    </row>
    <row r="72735" spans="1:4" x14ac:dyDescent="0.2">
      <c r="A72735" t="s">
        <v>22544</v>
      </c>
      <c r="B72735" t="str">
        <f>HYPERLINK("https://lindat.mff.cuni.cz/services/teitok/pdtc10/index.php?action=vallex&amp;frame=v-w9939f13_ZU", "zůstávat (v-w9939f13_ZU)")</f>
        <v>zůstávat (v-w9939f13_ZU)</v>
      </c>
    </row>
    <row r="72736" spans="1:4" x14ac:dyDescent="0.2">
      <c r="B72736" t="s">
        <v>22545</v>
      </c>
    </row>
    <row r="72737" spans="1:2" x14ac:dyDescent="0.2">
      <c r="B72737" t="s">
        <v>14813</v>
      </c>
    </row>
    <row r="72739" spans="1:2" x14ac:dyDescent="0.2">
      <c r="A72739" t="s">
        <v>22544</v>
      </c>
      <c r="B72739" t="str">
        <f>HYPERLINK("https://lindat.mff.cuni.cz/services/teitok/pdtc10/index.php?action=vallex&amp;frame=v-w9939f11_ZU", "zůstávat (v-w9939f11_ZU) - substituted with v-w9939f13_ZU")</f>
        <v>zůstávat (v-w9939f11_ZU) - substituted with v-w9939f13_ZU</v>
      </c>
    </row>
    <row r="72740" spans="1:2" x14ac:dyDescent="0.2">
      <c r="B72740" t="s">
        <v>22545</v>
      </c>
    </row>
    <row r="72741" spans="1:2" x14ac:dyDescent="0.2">
      <c r="B72741" t="s">
        <v>14813</v>
      </c>
    </row>
    <row r="72743" spans="1:2" x14ac:dyDescent="0.2">
      <c r="A72743" t="s">
        <v>22544</v>
      </c>
      <c r="B72743" t="str">
        <f>HYPERLINK("https://lindat.mff.cuni.cz/services/teitok/pdtc10/index.php?action=vallex&amp;frame=v-w9939f12_ZU", "zůstávat (v-w9939f12_ZU) - substituted with v-w9939f13_ZU")</f>
        <v>zůstávat (v-w9939f12_ZU) - substituted with v-w9939f13_ZU</v>
      </c>
    </row>
    <row r="72744" spans="1:2" x14ac:dyDescent="0.2">
      <c r="B72744" t="s">
        <v>22545</v>
      </c>
    </row>
    <row r="72745" spans="1:2" x14ac:dyDescent="0.2">
      <c r="B72745" t="s">
        <v>14813</v>
      </c>
    </row>
    <row r="72747" spans="1:2" x14ac:dyDescent="0.2">
      <c r="A72747" t="s">
        <v>22546</v>
      </c>
      <c r="B72747" t="str">
        <f>HYPERLINK("https://lindat.mff.cuni.cz/services/teitok/pdtc10/index.php?action=vallex&amp;frame=v-w9939hsa_128", "zůstávat (v-w9939hsa_128)")</f>
        <v>zůstávat (v-w9939hsa_128)</v>
      </c>
    </row>
    <row r="72748" spans="1:2" x14ac:dyDescent="0.2">
      <c r="B72748" t="s">
        <v>1</v>
      </c>
    </row>
    <row r="72749" spans="1:2" x14ac:dyDescent="0.2">
      <c r="B72749" t="s">
        <v>22547</v>
      </c>
    </row>
    <row r="72751" spans="1:2" x14ac:dyDescent="0.2">
      <c r="A72751" t="s">
        <v>22548</v>
      </c>
      <c r="B72751" t="str">
        <f>HYPERLINK("https://lindat.mff.cuni.cz/services/teitok/pdtc10/index.php?action=vallex&amp;frame=v-w10012f2_ZU", "zželet se (v-w10012f2_ZU)")</f>
        <v>zželet se (v-w10012f2_ZU)</v>
      </c>
    </row>
    <row r="72752" spans="1:2" x14ac:dyDescent="0.2">
      <c r="B72752" t="s">
        <v>455</v>
      </c>
    </row>
    <row r="72753" spans="1:3" x14ac:dyDescent="0.2">
      <c r="B72753" t="s">
        <v>2230</v>
      </c>
    </row>
    <row r="72755" spans="1:3" x14ac:dyDescent="0.2">
      <c r="A72755" t="s">
        <v>22548</v>
      </c>
      <c r="B72755" t="str">
        <f>HYPERLINK("https://lindat.mff.cuni.cz/services/teitok/pdtc10/index.php?action=vallex&amp;frame=v-w10012f1", "zželet se (v-w10012f1) - substituted with v-w10012f2_ZU")</f>
        <v>zželet se (v-w10012f1) - substituted with v-w10012f2_ZU</v>
      </c>
    </row>
    <row r="72756" spans="1:3" x14ac:dyDescent="0.2">
      <c r="B72756" t="s">
        <v>455</v>
      </c>
    </row>
    <row r="72757" spans="1:3" x14ac:dyDescent="0.2">
      <c r="B72757" t="s">
        <v>2230</v>
      </c>
    </row>
    <row r="72759" spans="1:3" x14ac:dyDescent="0.2">
      <c r="A72759" t="s">
        <v>22548</v>
      </c>
      <c r="B72759" t="str">
        <f>HYPERLINK("https://lindat.mff.cuni.cz/services/teitok/pdtc10/index.php?action=vallex&amp;frame=v-w10012hsa_1092", "zželet se (v-w10012hsa_1092) - substituted with v-w10012f2_ZU")</f>
        <v>zželet se (v-w10012hsa_1092) - substituted with v-w10012f2_ZU</v>
      </c>
    </row>
    <row r="72760" spans="1:3" x14ac:dyDescent="0.2">
      <c r="B72760" t="s">
        <v>455</v>
      </c>
    </row>
    <row r="72761" spans="1:3" x14ac:dyDescent="0.2">
      <c r="B72761" t="s">
        <v>2230</v>
      </c>
    </row>
    <row r="72763" spans="1:3" x14ac:dyDescent="0.2">
      <c r="A72763" t="s">
        <v>22549</v>
      </c>
      <c r="B72763" t="str">
        <f>HYPERLINK("https://lindat.mff.cuni.cz/services/teitok/pdtc10/index.php?action=vallex&amp;frame=v-w10554f2", "úpět (v-w10554f2)")</f>
        <v>úpět (v-w10554f2)</v>
      </c>
    </row>
    <row r="72764" spans="1:3" x14ac:dyDescent="0.2">
      <c r="B72764" t="s">
        <v>1</v>
      </c>
      <c r="C72764" t="s">
        <v>133</v>
      </c>
    </row>
    <row r="72765" spans="1:3" x14ac:dyDescent="0.2">
      <c r="B72765" t="s">
        <v>22550</v>
      </c>
      <c r="C72765" t="s">
        <v>991</v>
      </c>
    </row>
    <row r="72767" spans="1:3" x14ac:dyDescent="0.2">
      <c r="A72767" t="s">
        <v>22551</v>
      </c>
      <c r="B72767" t="str">
        <f>HYPERLINK("https://lindat.mff.cuni.cz/services/teitok/pdtc10/index.php?action=vallex&amp;frame=v-w7261f1", "úročit (v-w7261f1)")</f>
        <v>úročit (v-w7261f1)</v>
      </c>
    </row>
    <row r="72768" spans="1:3" x14ac:dyDescent="0.2">
      <c r="B72768" t="s">
        <v>1</v>
      </c>
    </row>
    <row r="72769" spans="1:4" x14ac:dyDescent="0.2">
      <c r="B72769" t="s">
        <v>8</v>
      </c>
    </row>
    <row r="72771" spans="1:4" x14ac:dyDescent="0.2">
      <c r="A72771" t="s">
        <v>22552</v>
      </c>
      <c r="B72771" t="str">
        <f>HYPERLINK("https://lindat.mff.cuni.cz/services/teitok/pdtc10/index.php?action=vallex&amp;frame=v-w7343f1", "ústit (v-w7343f1)")</f>
        <v>ústit (v-w7343f1)</v>
      </c>
    </row>
    <row r="72772" spans="1:4" x14ac:dyDescent="0.2">
      <c r="B72772" t="s">
        <v>1</v>
      </c>
    </row>
    <row r="72773" spans="1:4" x14ac:dyDescent="0.2">
      <c r="B72773" t="s">
        <v>1859</v>
      </c>
    </row>
    <row r="72775" spans="1:4" x14ac:dyDescent="0.2">
      <c r="A72775" t="s">
        <v>22553</v>
      </c>
      <c r="B72775" t="str">
        <f>HYPERLINK("https://lindat.mff.cuni.cz/services/teitok/pdtc10/index.php?action=vallex&amp;frame=v-w7343f2", "ústit (v-w7343f2)")</f>
        <v>ústit (v-w7343f2)</v>
      </c>
    </row>
    <row r="72776" spans="1:4" x14ac:dyDescent="0.2">
      <c r="B72776" t="s">
        <v>1</v>
      </c>
    </row>
    <row r="72777" spans="1:4" x14ac:dyDescent="0.2">
      <c r="B72777" t="s">
        <v>90</v>
      </c>
    </row>
    <row r="72779" spans="1:4" x14ac:dyDescent="0.2">
      <c r="A72779" t="s">
        <v>22554</v>
      </c>
      <c r="B72779" t="str">
        <f>HYPERLINK("https://lindat.mff.cuni.cz/services/teitok/pdtc10/index.php?action=vallex&amp;frame=v-w7393f1", "útočit (v-w7393f1)")</f>
        <v>útočit (v-w7393f1)</v>
      </c>
    </row>
    <row r="72780" spans="1:4" x14ac:dyDescent="0.2">
      <c r="B72780" t="s">
        <v>1</v>
      </c>
      <c r="C72780" t="s">
        <v>2125</v>
      </c>
      <c r="D72780" t="s">
        <v>22964</v>
      </c>
    </row>
    <row r="72781" spans="1:4" x14ac:dyDescent="0.2">
      <c r="B72781" t="s">
        <v>8012</v>
      </c>
      <c r="C72781" t="s">
        <v>3328</v>
      </c>
      <c r="D72781" t="s">
        <v>1798</v>
      </c>
    </row>
    <row r="72783" spans="1:4" x14ac:dyDescent="0.2">
      <c r="A72783" t="s">
        <v>22555</v>
      </c>
      <c r="B72783" t="str">
        <f>HYPERLINK("https://lindat.mff.cuni.cz/services/teitok/pdtc10/index.php?action=vallex&amp;frame=v-w7443f1", "úvěrovat (v-w7443f1)")</f>
        <v>úvěrovat (v-w7443f1)</v>
      </c>
    </row>
    <row r="72784" spans="1:4" x14ac:dyDescent="0.2">
      <c r="B72784" t="s">
        <v>1</v>
      </c>
      <c r="D72784" t="s">
        <v>24583</v>
      </c>
    </row>
    <row r="72785" spans="1:4" x14ac:dyDescent="0.2">
      <c r="B72785" t="s">
        <v>8</v>
      </c>
      <c r="D72785" t="s">
        <v>24584</v>
      </c>
    </row>
    <row r="72787" spans="1:4" x14ac:dyDescent="0.2">
      <c r="A72787" t="s">
        <v>22556</v>
      </c>
      <c r="B72787" t="str">
        <f>HYPERLINK("https://lindat.mff.cuni.cz/services/teitok/pdtc10/index.php?action=vallex&amp;frame=v-w6995f1", "účastnit se (v-w6995f1)")</f>
        <v>účastnit se (v-w6995f1)</v>
      </c>
    </row>
    <row r="72788" spans="1:4" x14ac:dyDescent="0.2">
      <c r="B72788" t="s">
        <v>1</v>
      </c>
      <c r="C72788" t="s">
        <v>22557</v>
      </c>
      <c r="D72788" t="s">
        <v>22954</v>
      </c>
    </row>
    <row r="72789" spans="1:4" x14ac:dyDescent="0.2">
      <c r="B72789" t="s">
        <v>22462</v>
      </c>
      <c r="C72789" t="s">
        <v>22558</v>
      </c>
      <c r="D72789" t="s">
        <v>24462</v>
      </c>
    </row>
    <row r="72791" spans="1:4" x14ac:dyDescent="0.2">
      <c r="A72791" t="s">
        <v>22559</v>
      </c>
      <c r="B72791" t="str">
        <f>HYPERLINK("https://lindat.mff.cuni.cz/services/teitok/pdtc10/index.php?action=vallex&amp;frame=v-w7001f1", "účinkovat (v-w7001f1)")</f>
        <v>účinkovat (v-w7001f1)</v>
      </c>
    </row>
    <row r="72792" spans="1:4" x14ac:dyDescent="0.2">
      <c r="B72792" t="s">
        <v>1</v>
      </c>
      <c r="C72792" t="s">
        <v>22</v>
      </c>
      <c r="D72792" t="s">
        <v>24414</v>
      </c>
    </row>
    <row r="72793" spans="1:4" x14ac:dyDescent="0.2">
      <c r="B72793" t="s">
        <v>5</v>
      </c>
      <c r="D72793" t="s">
        <v>24415</v>
      </c>
    </row>
    <row r="72795" spans="1:4" x14ac:dyDescent="0.2">
      <c r="A72795" t="s">
        <v>22560</v>
      </c>
      <c r="B72795" t="str">
        <f>HYPERLINK("https://lindat.mff.cuni.cz/services/teitok/pdtc10/index.php?action=vallex&amp;frame=v-w7001f2", "účinkovat (v-w7001f2)")</f>
        <v>účinkovat (v-w7001f2)</v>
      </c>
    </row>
    <row r="72796" spans="1:4" x14ac:dyDescent="0.2">
      <c r="B72796" t="s">
        <v>1</v>
      </c>
      <c r="C72796" t="s">
        <v>10555</v>
      </c>
    </row>
    <row r="72798" spans="1:4" x14ac:dyDescent="0.2">
      <c r="A72798" t="s">
        <v>22561</v>
      </c>
      <c r="B72798" t="str">
        <f>HYPERLINK("https://lindat.mff.cuni.cz/services/teitok/pdtc10/index.php?action=vallex&amp;frame=v-w7009f1", "účtovat (v-w7009f1)")</f>
        <v>účtovat (v-w7009f1)</v>
      </c>
    </row>
    <row r="72799" spans="1:4" x14ac:dyDescent="0.2">
      <c r="B72799" t="s">
        <v>1</v>
      </c>
      <c r="C72799" t="s">
        <v>5867</v>
      </c>
      <c r="D72799" t="s">
        <v>10128</v>
      </c>
    </row>
    <row r="72800" spans="1:4" x14ac:dyDescent="0.2">
      <c r="B72800" t="s">
        <v>8</v>
      </c>
      <c r="C72800" t="s">
        <v>22562</v>
      </c>
      <c r="D72800" t="s">
        <v>24445</v>
      </c>
    </row>
    <row r="72801" spans="1:4" x14ac:dyDescent="0.2">
      <c r="B72801" t="s">
        <v>35</v>
      </c>
      <c r="C72801" t="s">
        <v>22563</v>
      </c>
      <c r="D72801" t="s">
        <v>24585</v>
      </c>
    </row>
    <row r="72802" spans="1:4" x14ac:dyDescent="0.2">
      <c r="B72802" t="s">
        <v>413</v>
      </c>
      <c r="C72802" t="s">
        <v>22564</v>
      </c>
      <c r="D72802" t="s">
        <v>22564</v>
      </c>
    </row>
    <row r="72804" spans="1:4" x14ac:dyDescent="0.2">
      <c r="A72804" t="s">
        <v>22565</v>
      </c>
      <c r="B72804" t="str">
        <f>HYPERLINK("https://lindat.mff.cuni.cz/services/teitok/pdtc10/index.php?action=vallex&amp;frame=v-w7010f2_ZU", "účtovat si (v-w7010f2_ZU)")</f>
        <v>účtovat si (v-w7010f2_ZU)</v>
      </c>
    </row>
    <row r="72805" spans="1:4" x14ac:dyDescent="0.2">
      <c r="B72805" t="s">
        <v>1</v>
      </c>
      <c r="C72805" t="s">
        <v>9087</v>
      </c>
      <c r="D72805" t="s">
        <v>10128</v>
      </c>
    </row>
    <row r="72806" spans="1:4" x14ac:dyDescent="0.2">
      <c r="B72806" t="s">
        <v>8</v>
      </c>
      <c r="C72806" t="s">
        <v>22566</v>
      </c>
      <c r="D72806" t="s">
        <v>24445</v>
      </c>
    </row>
    <row r="72807" spans="1:4" x14ac:dyDescent="0.2">
      <c r="B72807" t="s">
        <v>153</v>
      </c>
      <c r="C72807" t="s">
        <v>22567</v>
      </c>
      <c r="D72807" t="s">
        <v>24585</v>
      </c>
    </row>
    <row r="72808" spans="1:4" x14ac:dyDescent="0.2">
      <c r="B72808" t="s">
        <v>413</v>
      </c>
      <c r="C72808" t="s">
        <v>22568</v>
      </c>
      <c r="D72808" t="s">
        <v>22564</v>
      </c>
    </row>
    <row r="72810" spans="1:4" x14ac:dyDescent="0.2">
      <c r="A72810" t="s">
        <v>22569</v>
      </c>
      <c r="B72810" t="str">
        <f>HYPERLINK("https://lindat.mff.cuni.cz/services/teitok/pdtc10/index.php?action=vallex&amp;frame=v-w7010f1", "účtovat si (v-w7010f1)")</f>
        <v>účtovat si (v-w7010f1)</v>
      </c>
    </row>
    <row r="72811" spans="1:4" x14ac:dyDescent="0.2">
      <c r="B72811" t="s">
        <v>1</v>
      </c>
      <c r="C72811" t="s">
        <v>11774</v>
      </c>
      <c r="D72811" t="s">
        <v>10128</v>
      </c>
    </row>
    <row r="72812" spans="1:4" x14ac:dyDescent="0.2">
      <c r="B72812" t="s">
        <v>8</v>
      </c>
      <c r="C72812" t="s">
        <v>22570</v>
      </c>
      <c r="D72812" t="s">
        <v>24445</v>
      </c>
    </row>
    <row r="72813" spans="1:4" x14ac:dyDescent="0.2">
      <c r="B72813" t="s">
        <v>321</v>
      </c>
      <c r="D72813" t="s">
        <v>23007</v>
      </c>
    </row>
    <row r="72814" spans="1:4" x14ac:dyDescent="0.2">
      <c r="B72814" t="s">
        <v>413</v>
      </c>
      <c r="C72814" t="s">
        <v>22564</v>
      </c>
      <c r="D72814" t="s">
        <v>22564</v>
      </c>
    </row>
    <row r="72816" spans="1:4" x14ac:dyDescent="0.2">
      <c r="A72816" t="s">
        <v>22571</v>
      </c>
      <c r="B72816" t="str">
        <f>HYPERLINK("https://lindat.mff.cuni.cz/services/teitok/pdtc10/index.php?action=vallex&amp;frame=v-w7269f1", "úřadovat (v-w7269f1)")</f>
        <v>úřadovat (v-w7269f1)</v>
      </c>
    </row>
    <row r="72817" spans="1:2" x14ac:dyDescent="0.2">
      <c r="B72817" t="s">
        <v>1</v>
      </c>
    </row>
    <row r="72819" spans="1:2" x14ac:dyDescent="0.2">
      <c r="A72819" t="s">
        <v>22572</v>
      </c>
      <c r="B72819" t="str">
        <f>HYPERLINK("https://lindat.mff.cuni.cz/services/teitok/pdtc10/index.php?action=vallex&amp;frame=v-w301f1", "čalounit (v-w301f1)")</f>
        <v>čalounit (v-w301f1)</v>
      </c>
    </row>
    <row r="72820" spans="1:2" x14ac:dyDescent="0.2">
      <c r="B72820" t="s">
        <v>1</v>
      </c>
    </row>
    <row r="72821" spans="1:2" x14ac:dyDescent="0.2">
      <c r="B72821" t="s">
        <v>8</v>
      </c>
    </row>
    <row r="72823" spans="1:2" x14ac:dyDescent="0.2">
      <c r="A72823" t="s">
        <v>22573</v>
      </c>
      <c r="B72823" t="str">
        <f>HYPERLINK("https://lindat.mff.cuni.cz/services/teitok/pdtc10/index.php?action=vallex&amp;frame=v-whsa_780hsa_781", "čapnout (v-whsa_780hsa_781)")</f>
        <v>čapnout (v-whsa_780hsa_781)</v>
      </c>
    </row>
    <row r="72824" spans="1:2" x14ac:dyDescent="0.2">
      <c r="B72824" t="s">
        <v>1</v>
      </c>
    </row>
    <row r="72825" spans="1:2" x14ac:dyDescent="0.2">
      <c r="B72825" t="s">
        <v>8</v>
      </c>
    </row>
    <row r="72827" spans="1:2" x14ac:dyDescent="0.2">
      <c r="A72827" t="s">
        <v>22574</v>
      </c>
      <c r="B72827" t="str">
        <f>HYPERLINK("https://lindat.mff.cuni.cz/services/teitok/pdtc10/index.php?action=vallex&amp;frame=v-w11888_ZUf1_ZU", "čapnout (v-w11888_ZUf1_ZU)")</f>
        <v>čapnout (v-w11888_ZUf1_ZU)</v>
      </c>
    </row>
    <row r="72828" spans="1:2" x14ac:dyDescent="0.2">
      <c r="B72828" t="s">
        <v>1</v>
      </c>
    </row>
    <row r="72829" spans="1:2" x14ac:dyDescent="0.2">
      <c r="B72829" t="s">
        <v>8</v>
      </c>
    </row>
    <row r="72831" spans="1:2" x14ac:dyDescent="0.2">
      <c r="A72831" t="s">
        <v>22575</v>
      </c>
      <c r="B72831" t="str">
        <f>HYPERLINK("https://lindat.mff.cuni.cz/services/teitok/pdtc10/index.php?action=vallex&amp;frame=v-w303f1", "časovat (v-w303f1)")</f>
        <v>časovat (v-w303f1)</v>
      </c>
    </row>
    <row r="72832" spans="1:2" x14ac:dyDescent="0.2">
      <c r="B72832" t="s">
        <v>1</v>
      </c>
    </row>
    <row r="72833" spans="1:3" x14ac:dyDescent="0.2">
      <c r="B72833" t="s">
        <v>8</v>
      </c>
    </row>
    <row r="72835" spans="1:3" x14ac:dyDescent="0.2">
      <c r="A72835" t="s">
        <v>22576</v>
      </c>
      <c r="B72835" t="str">
        <f>HYPERLINK("https://lindat.mff.cuni.cz/services/teitok/pdtc10/index.php?action=vallex&amp;frame=v-w306f1", "častovat (v-w306f1)")</f>
        <v>častovat (v-w306f1)</v>
      </c>
    </row>
    <row r="72836" spans="1:3" x14ac:dyDescent="0.2">
      <c r="B72836" t="s">
        <v>1</v>
      </c>
      <c r="C72836" t="s">
        <v>33</v>
      </c>
    </row>
    <row r="72837" spans="1:3" x14ac:dyDescent="0.2">
      <c r="B72837" t="s">
        <v>158</v>
      </c>
      <c r="C72837" t="s">
        <v>22577</v>
      </c>
    </row>
    <row r="72838" spans="1:3" x14ac:dyDescent="0.2">
      <c r="B72838" t="s">
        <v>58</v>
      </c>
      <c r="C72838" t="s">
        <v>1553</v>
      </c>
    </row>
    <row r="72840" spans="1:3" x14ac:dyDescent="0.2">
      <c r="A72840" t="s">
        <v>22578</v>
      </c>
      <c r="B72840" t="str">
        <f>HYPERLINK("https://lindat.mff.cuni.cz/services/teitok/pdtc10/index.php?action=vallex&amp;frame=v-w306f2", "častovat (v-w306f2)")</f>
        <v>častovat (v-w306f2)</v>
      </c>
    </row>
    <row r="72841" spans="1:3" x14ac:dyDescent="0.2">
      <c r="B72841" t="s">
        <v>1</v>
      </c>
    </row>
    <row r="72842" spans="1:3" x14ac:dyDescent="0.2">
      <c r="B72842" t="s">
        <v>8</v>
      </c>
    </row>
    <row r="72844" spans="1:3" x14ac:dyDescent="0.2">
      <c r="A72844" t="s">
        <v>22579</v>
      </c>
      <c r="B72844" t="str">
        <f>HYPERLINK("https://lindat.mff.cuni.cz/services/teitok/pdtc10/index.php?action=vallex&amp;frame=v-w311f5", "čekat (v-w311f5)")</f>
        <v>čekat (v-w311f5)</v>
      </c>
    </row>
    <row r="72845" spans="1:3" x14ac:dyDescent="0.2">
      <c r="B72845" t="s">
        <v>1</v>
      </c>
    </row>
    <row r="72846" spans="1:3" x14ac:dyDescent="0.2">
      <c r="B72846" t="s">
        <v>411</v>
      </c>
    </row>
    <row r="72847" spans="1:3" x14ac:dyDescent="0.2">
      <c r="B72847" t="s">
        <v>35</v>
      </c>
    </row>
    <row r="72849" spans="1:4" x14ac:dyDescent="0.2">
      <c r="A72849" t="s">
        <v>22580</v>
      </c>
      <c r="B72849" t="str">
        <f>HYPERLINK("https://lindat.mff.cuni.cz/services/teitok/pdtc10/index.php?action=vallex&amp;frame=v-w311f1", "čekat (v-w311f1)")</f>
        <v>čekat (v-w311f1)</v>
      </c>
    </row>
    <row r="72850" spans="1:4" x14ac:dyDescent="0.2">
      <c r="B72850" t="s">
        <v>1</v>
      </c>
      <c r="C72850" t="s">
        <v>22581</v>
      </c>
      <c r="D72850" t="s">
        <v>83</v>
      </c>
    </row>
    <row r="72851" spans="1:4" x14ac:dyDescent="0.2">
      <c r="B72851" t="s">
        <v>22582</v>
      </c>
      <c r="C72851" t="s">
        <v>22583</v>
      </c>
      <c r="D72851" t="s">
        <v>54</v>
      </c>
    </row>
    <row r="72852" spans="1:4" x14ac:dyDescent="0.2">
      <c r="B72852" t="s">
        <v>321</v>
      </c>
      <c r="C72852" t="s">
        <v>1443</v>
      </c>
      <c r="D72852" t="s">
        <v>23763</v>
      </c>
    </row>
    <row r="72854" spans="1:4" x14ac:dyDescent="0.2">
      <c r="A72854" t="s">
        <v>22584</v>
      </c>
      <c r="B72854" t="str">
        <f>HYPERLINK("https://lindat.mff.cuni.cz/services/teitok/pdtc10/index.php?action=vallex&amp;frame=v-w311f10_ZU", "čekat (v-w311f10_ZU)")</f>
        <v>čekat (v-w311f10_ZU)</v>
      </c>
    </row>
    <row r="72855" spans="1:4" x14ac:dyDescent="0.2">
      <c r="B72855" t="s">
        <v>196</v>
      </c>
    </row>
    <row r="72856" spans="1:4" x14ac:dyDescent="0.2">
      <c r="B72856" t="s">
        <v>22585</v>
      </c>
    </row>
    <row r="72858" spans="1:4" x14ac:dyDescent="0.2">
      <c r="A72858" t="s">
        <v>22584</v>
      </c>
      <c r="B72858" t="str">
        <f>HYPERLINK("https://lindat.mff.cuni.cz/services/teitok/pdtc10/index.php?action=vallex&amp;frame=v-w311f2", "čekat (v-w311f2) - substituted with v-w311f10_ZU")</f>
        <v>čekat (v-w311f2) - substituted with v-w311f10_ZU</v>
      </c>
    </row>
    <row r="72859" spans="1:4" x14ac:dyDescent="0.2">
      <c r="B72859" t="s">
        <v>196</v>
      </c>
      <c r="C72859" t="s">
        <v>22586</v>
      </c>
    </row>
    <row r="72860" spans="1:4" x14ac:dyDescent="0.2">
      <c r="B72860" t="s">
        <v>22585</v>
      </c>
      <c r="C72860" t="s">
        <v>22587</v>
      </c>
    </row>
    <row r="72862" spans="1:4" x14ac:dyDescent="0.2">
      <c r="A72862" t="s">
        <v>22584</v>
      </c>
      <c r="B72862" t="str">
        <f>HYPERLINK("https://lindat.mff.cuni.cz/services/teitok/pdtc10/index.php?action=vallex&amp;frame=v-w311f6_ZU", "čekat (v-w311f6_ZU) - substituted with v-w311f10_ZU")</f>
        <v>čekat (v-w311f6_ZU) - substituted with v-w311f10_ZU</v>
      </c>
    </row>
    <row r="72863" spans="1:4" x14ac:dyDescent="0.2">
      <c r="B72863" t="s">
        <v>196</v>
      </c>
    </row>
    <row r="72864" spans="1:4" x14ac:dyDescent="0.2">
      <c r="B72864" t="s">
        <v>22585</v>
      </c>
    </row>
    <row r="72866" spans="1:4" x14ac:dyDescent="0.2">
      <c r="A72866" t="s">
        <v>22584</v>
      </c>
      <c r="B72866" t="str">
        <f>HYPERLINK("https://lindat.mff.cuni.cz/services/teitok/pdtc10/index.php?action=vallex&amp;frame=v-w311f7_ZU", "čekat (v-w311f7_ZU) - substituted with v-w311f10_ZU")</f>
        <v>čekat (v-w311f7_ZU) - substituted with v-w311f10_ZU</v>
      </c>
    </row>
    <row r="72867" spans="1:4" x14ac:dyDescent="0.2">
      <c r="B72867" t="s">
        <v>196</v>
      </c>
    </row>
    <row r="72868" spans="1:4" x14ac:dyDescent="0.2">
      <c r="B72868" t="s">
        <v>22585</v>
      </c>
    </row>
    <row r="72870" spans="1:4" x14ac:dyDescent="0.2">
      <c r="A72870" t="s">
        <v>22584</v>
      </c>
      <c r="B72870" t="str">
        <f>HYPERLINK("https://lindat.mff.cuni.cz/services/teitok/pdtc10/index.php?action=vallex&amp;frame=v-w311f9_ZU", "čekat (v-w311f9_ZU) - substituted with v-w311f10_ZU")</f>
        <v>čekat (v-w311f9_ZU) - substituted with v-w311f10_ZU</v>
      </c>
    </row>
    <row r="72871" spans="1:4" x14ac:dyDescent="0.2">
      <c r="B72871" t="s">
        <v>196</v>
      </c>
      <c r="C72871" t="s">
        <v>22588</v>
      </c>
      <c r="D72871" t="s">
        <v>23764</v>
      </c>
    </row>
    <row r="72872" spans="1:4" x14ac:dyDescent="0.2">
      <c r="B72872" t="s">
        <v>22585</v>
      </c>
      <c r="C72872" t="s">
        <v>22589</v>
      </c>
      <c r="D72872" t="s">
        <v>23765</v>
      </c>
    </row>
    <row r="72874" spans="1:4" x14ac:dyDescent="0.2">
      <c r="A72874" t="s">
        <v>22590</v>
      </c>
      <c r="B72874" t="str">
        <f>HYPERLINK("https://lindat.mff.cuni.cz/services/teitok/pdtc10/index.php?action=vallex&amp;frame=v-w311f8_ZU", "čekat (v-w311f8_ZU)")</f>
        <v>čekat (v-w311f8_ZU)</v>
      </c>
    </row>
    <row r="72875" spans="1:4" x14ac:dyDescent="0.2">
      <c r="B72875" t="s">
        <v>1</v>
      </c>
      <c r="C72875" t="s">
        <v>10099</v>
      </c>
    </row>
    <row r="72876" spans="1:4" x14ac:dyDescent="0.2">
      <c r="B72876" t="s">
        <v>411</v>
      </c>
      <c r="C72876" t="s">
        <v>10105</v>
      </c>
    </row>
    <row r="72878" spans="1:4" x14ac:dyDescent="0.2">
      <c r="A72878" t="s">
        <v>22590</v>
      </c>
      <c r="B72878" t="str">
        <f>HYPERLINK("https://lindat.mff.cuni.cz/services/teitok/pdtc10/index.php?action=vallex&amp;frame=v-w311f4", "čekat (v-w311f4) - substituted with v-w311f8_ZU")</f>
        <v>čekat (v-w311f4) - substituted with v-w311f8_ZU</v>
      </c>
    </row>
    <row r="72879" spans="1:4" x14ac:dyDescent="0.2">
      <c r="B72879" t="s">
        <v>1</v>
      </c>
      <c r="C72879" t="s">
        <v>19171</v>
      </c>
    </row>
    <row r="72880" spans="1:4" x14ac:dyDescent="0.2">
      <c r="B72880" t="s">
        <v>411</v>
      </c>
      <c r="C72880" t="s">
        <v>19173</v>
      </c>
    </row>
    <row r="72882" spans="1:2" x14ac:dyDescent="0.2">
      <c r="A72882" t="s">
        <v>22591</v>
      </c>
      <c r="B72882" t="str">
        <f>HYPERLINK("https://lindat.mff.cuni.cz/services/teitok/pdtc10/index.php?action=vallex&amp;frame=v-w311f12_ZU", "čekat (v-w311f12_ZU)")</f>
        <v>čekat (v-w311f12_ZU)</v>
      </c>
    </row>
    <row r="72883" spans="1:2" x14ac:dyDescent="0.2">
      <c r="B72883" t="s">
        <v>1</v>
      </c>
    </row>
    <row r="72884" spans="1:2" x14ac:dyDescent="0.2">
      <c r="B72884" t="s">
        <v>8</v>
      </c>
    </row>
    <row r="72886" spans="1:2" x14ac:dyDescent="0.2">
      <c r="A72886" t="s">
        <v>22591</v>
      </c>
      <c r="B72886" t="str">
        <f>HYPERLINK("https://lindat.mff.cuni.cz/services/teitok/pdtc10/index.php?action=vallex&amp;frame=v-w311f11_ZU", "čekat (v-w311f11_ZU) - substituted with v-w311f12_ZU")</f>
        <v>čekat (v-w311f11_ZU) - substituted with v-w311f12_ZU</v>
      </c>
    </row>
    <row r="72887" spans="1:2" x14ac:dyDescent="0.2">
      <c r="B72887" t="s">
        <v>1</v>
      </c>
    </row>
    <row r="72888" spans="1:2" x14ac:dyDescent="0.2">
      <c r="B72888" t="s">
        <v>8</v>
      </c>
    </row>
    <row r="72890" spans="1:2" x14ac:dyDescent="0.2">
      <c r="A72890" t="s">
        <v>22591</v>
      </c>
      <c r="B72890" t="str">
        <f>HYPERLINK("https://lindat.mff.cuni.cz/services/teitok/pdtc10/index.php?action=vallex&amp;frame=v-w311hsa_358", "čekat (v-w311hsa_358) - substituted with v-w311f12_ZU")</f>
        <v>čekat (v-w311hsa_358) - substituted with v-w311f12_ZU</v>
      </c>
    </row>
    <row r="72891" spans="1:2" x14ac:dyDescent="0.2">
      <c r="B72891" t="s">
        <v>1</v>
      </c>
    </row>
    <row r="72892" spans="1:2" x14ac:dyDescent="0.2">
      <c r="B72892" t="s">
        <v>8</v>
      </c>
    </row>
    <row r="72894" spans="1:2" x14ac:dyDescent="0.2">
      <c r="A72894" t="s">
        <v>22592</v>
      </c>
      <c r="B72894" t="str">
        <f>HYPERLINK("https://lindat.mff.cuni.cz/services/teitok/pdtc10/index.php?action=vallex&amp;frame=v-w311f14_MM", "čekat (v-w311f14_MM)")</f>
        <v>čekat (v-w311f14_MM)</v>
      </c>
    </row>
    <row r="72895" spans="1:2" x14ac:dyDescent="0.2">
      <c r="B72895" t="s">
        <v>1</v>
      </c>
    </row>
    <row r="72896" spans="1:2" x14ac:dyDescent="0.2">
      <c r="B72896" t="s">
        <v>88</v>
      </c>
    </row>
    <row r="72897" spans="1:2" x14ac:dyDescent="0.2">
      <c r="B72897" t="s">
        <v>22593</v>
      </c>
    </row>
    <row r="72899" spans="1:2" x14ac:dyDescent="0.2">
      <c r="A72899" t="s">
        <v>22592</v>
      </c>
      <c r="B72899" t="str">
        <f>HYPERLINK("https://lindat.mff.cuni.cz/services/teitok/pdtc10/index.php?action=vallex&amp;frame=v-w311f13_ZU", "čekat (v-w311f13_ZU) - substituted with v-w311f14_MM")</f>
        <v>čekat (v-w311f13_ZU) - substituted with v-w311f14_MM</v>
      </c>
    </row>
    <row r="72900" spans="1:2" x14ac:dyDescent="0.2">
      <c r="B72900" t="s">
        <v>1</v>
      </c>
    </row>
    <row r="72901" spans="1:2" x14ac:dyDescent="0.2">
      <c r="B72901" t="s">
        <v>88</v>
      </c>
    </row>
    <row r="72902" spans="1:2" x14ac:dyDescent="0.2">
      <c r="B72902" t="s">
        <v>22593</v>
      </c>
    </row>
    <row r="72904" spans="1:2" x14ac:dyDescent="0.2">
      <c r="A72904" t="s">
        <v>22592</v>
      </c>
      <c r="B72904" t="str">
        <f>HYPERLINK("https://lindat.mff.cuni.cz/services/teitok/pdtc10/index.php?action=vallex&amp;frame=v-w311hsa_359", "čekat (v-w311hsa_359) - substituted with v-w311f14_MM")</f>
        <v>čekat (v-w311hsa_359) - substituted with v-w311f14_MM</v>
      </c>
    </row>
    <row r="72905" spans="1:2" x14ac:dyDescent="0.2">
      <c r="B72905" t="s">
        <v>1</v>
      </c>
    </row>
    <row r="72906" spans="1:2" x14ac:dyDescent="0.2">
      <c r="B72906" t="s">
        <v>88</v>
      </c>
    </row>
    <row r="72907" spans="1:2" x14ac:dyDescent="0.2">
      <c r="B72907" t="s">
        <v>22593</v>
      </c>
    </row>
    <row r="72909" spans="1:2" x14ac:dyDescent="0.2">
      <c r="A72909" t="s">
        <v>22594</v>
      </c>
      <c r="B72909" t="str">
        <f>HYPERLINK("https://lindat.mff.cuni.cz/services/teitok/pdtc10/index.php?action=vallex&amp;frame=v-w312f1", "čekat se (v-w312f1)")</f>
        <v>čekat se (v-w312f1)</v>
      </c>
    </row>
    <row r="72910" spans="1:2" x14ac:dyDescent="0.2">
      <c r="B72910" t="s">
        <v>1</v>
      </c>
    </row>
    <row r="72912" spans="1:2" x14ac:dyDescent="0.2">
      <c r="A72912" t="s">
        <v>22595</v>
      </c>
      <c r="B72912" t="str">
        <f>HYPERLINK("https://lindat.mff.cuni.cz/services/teitok/pdtc10/index.php?action=vallex&amp;frame=v-whsa_1666f1_ZU", "čekávat (v-whsa_1666f1_ZU)")</f>
        <v>čekávat (v-whsa_1666f1_ZU)</v>
      </c>
    </row>
    <row r="72913" spans="1:4" x14ac:dyDescent="0.2">
      <c r="B72913" t="s">
        <v>1</v>
      </c>
    </row>
    <row r="72914" spans="1:4" x14ac:dyDescent="0.2">
      <c r="B72914" t="s">
        <v>22596</v>
      </c>
    </row>
    <row r="72916" spans="1:4" x14ac:dyDescent="0.2">
      <c r="A72916" t="s">
        <v>22595</v>
      </c>
      <c r="B72916" t="str">
        <f>HYPERLINK("https://lindat.mff.cuni.cz/services/teitok/pdtc10/index.php?action=vallex&amp;frame=v-whsa_1666hsa_1667", "čekávat (v-whsa_1666hsa_1667) - substituted with v-whsa_1666f1_ZU")</f>
        <v>čekávat (v-whsa_1666hsa_1667) - substituted with v-whsa_1666f1_ZU</v>
      </c>
    </row>
    <row r="72917" spans="1:4" x14ac:dyDescent="0.2">
      <c r="B72917" t="s">
        <v>1</v>
      </c>
    </row>
    <row r="72918" spans="1:4" x14ac:dyDescent="0.2">
      <c r="B72918" t="s">
        <v>22596</v>
      </c>
    </row>
    <row r="72920" spans="1:4" x14ac:dyDescent="0.2">
      <c r="A72920" t="s">
        <v>22597</v>
      </c>
      <c r="B72920" t="str">
        <f>HYPERLINK("https://lindat.mff.cuni.cz/services/teitok/pdtc10/index.php?action=vallex&amp;frame=v-w313f1", "čelit (v-w313f1)")</f>
        <v>čelit (v-w313f1)</v>
      </c>
    </row>
    <row r="72921" spans="1:4" x14ac:dyDescent="0.2">
      <c r="B72921" t="s">
        <v>1</v>
      </c>
      <c r="C72921" t="s">
        <v>22598</v>
      </c>
      <c r="D72921" t="s">
        <v>14818</v>
      </c>
    </row>
    <row r="72922" spans="1:4" x14ac:dyDescent="0.2">
      <c r="B72922" t="s">
        <v>103</v>
      </c>
      <c r="C72922" t="s">
        <v>22599</v>
      </c>
      <c r="D72922" t="s">
        <v>6043</v>
      </c>
    </row>
    <row r="72924" spans="1:4" x14ac:dyDescent="0.2">
      <c r="A72924" t="s">
        <v>22600</v>
      </c>
      <c r="B72924" t="str">
        <f>HYPERLINK("https://lindat.mff.cuni.cz/services/teitok/pdtc10/index.php?action=vallex&amp;frame=v-w315f1", "čepovat (v-w315f1)")</f>
        <v>čepovat (v-w315f1)</v>
      </c>
    </row>
    <row r="72925" spans="1:4" x14ac:dyDescent="0.2">
      <c r="B72925" t="s">
        <v>1</v>
      </c>
    </row>
    <row r="72926" spans="1:4" x14ac:dyDescent="0.2">
      <c r="B72926" t="s">
        <v>8</v>
      </c>
    </row>
    <row r="72928" spans="1:4" x14ac:dyDescent="0.2">
      <c r="A72928" t="s">
        <v>22601</v>
      </c>
      <c r="B72928" t="str">
        <f>HYPERLINK("https://lindat.mff.cuni.cz/services/teitok/pdtc10/index.php?action=vallex&amp;frame=v-w317f4_MM", "čerpat (v-w317f4_MM)")</f>
        <v>čerpat (v-w317f4_MM)</v>
      </c>
    </row>
    <row r="72929" spans="1:4" x14ac:dyDescent="0.2">
      <c r="B72929" t="s">
        <v>1</v>
      </c>
    </row>
    <row r="72930" spans="1:4" x14ac:dyDescent="0.2">
      <c r="B72930" t="s">
        <v>8</v>
      </c>
    </row>
    <row r="72931" spans="1:4" x14ac:dyDescent="0.2">
      <c r="B72931" t="s">
        <v>22602</v>
      </c>
    </row>
    <row r="72933" spans="1:4" x14ac:dyDescent="0.2">
      <c r="A72933" t="s">
        <v>22601</v>
      </c>
      <c r="B72933" t="str">
        <f>HYPERLINK("https://lindat.mff.cuni.cz/services/teitok/pdtc10/index.php?action=vallex&amp;frame=v-w317f1", "čerpat (v-w317f1) - substituted with v-w317f4_MM")</f>
        <v>čerpat (v-w317f1) - substituted with v-w317f4_MM</v>
      </c>
    </row>
    <row r="72934" spans="1:4" x14ac:dyDescent="0.2">
      <c r="B72934" t="s">
        <v>1</v>
      </c>
      <c r="C72934" t="s">
        <v>22603</v>
      </c>
      <c r="D72934" t="s">
        <v>23111</v>
      </c>
    </row>
    <row r="72935" spans="1:4" x14ac:dyDescent="0.2">
      <c r="B72935" t="s">
        <v>8</v>
      </c>
      <c r="C72935" t="s">
        <v>22604</v>
      </c>
      <c r="D72935" t="s">
        <v>23112</v>
      </c>
    </row>
    <row r="72936" spans="1:4" x14ac:dyDescent="0.2">
      <c r="B72936" t="s">
        <v>22602</v>
      </c>
      <c r="C72936" t="s">
        <v>22605</v>
      </c>
      <c r="D72936" t="s">
        <v>23113</v>
      </c>
    </row>
    <row r="72938" spans="1:4" x14ac:dyDescent="0.2">
      <c r="A72938" t="s">
        <v>22606</v>
      </c>
      <c r="B72938" t="str">
        <f>HYPERLINK("https://lindat.mff.cuni.cz/services/teitok/pdtc10/index.php?action=vallex&amp;frame=v-w317f3_ZU", "čerpat (v-w317f3_ZU)")</f>
        <v>čerpat (v-w317f3_ZU)</v>
      </c>
    </row>
    <row r="72939" spans="1:4" x14ac:dyDescent="0.2">
      <c r="B72939" t="s">
        <v>1</v>
      </c>
    </row>
    <row r="72940" spans="1:4" x14ac:dyDescent="0.2">
      <c r="B72940" t="s">
        <v>8</v>
      </c>
    </row>
    <row r="72941" spans="1:4" x14ac:dyDescent="0.2">
      <c r="B72941" t="s">
        <v>4622</v>
      </c>
    </row>
    <row r="72943" spans="1:4" x14ac:dyDescent="0.2">
      <c r="A72943" t="s">
        <v>22606</v>
      </c>
      <c r="B72943" t="str">
        <f>HYPERLINK("https://lindat.mff.cuni.cz/services/teitok/pdtc10/index.php?action=vallex&amp;frame=v-w317f2_ZU", "čerpat (v-w317f2_ZU) - substituted with v-w317f3_ZU")</f>
        <v>čerpat (v-w317f2_ZU) - substituted with v-w317f3_ZU</v>
      </c>
    </row>
    <row r="72944" spans="1:4" x14ac:dyDescent="0.2">
      <c r="B72944" t="s">
        <v>1</v>
      </c>
    </row>
    <row r="72945" spans="1:3" x14ac:dyDescent="0.2">
      <c r="B72945" t="s">
        <v>8</v>
      </c>
    </row>
    <row r="72946" spans="1:3" x14ac:dyDescent="0.2">
      <c r="B72946" t="s">
        <v>4622</v>
      </c>
    </row>
    <row r="72948" spans="1:3" x14ac:dyDescent="0.2">
      <c r="A72948" t="s">
        <v>22606</v>
      </c>
      <c r="B72948" t="str">
        <f>HYPERLINK("https://lindat.mff.cuni.cz/services/teitok/pdtc10/index.php?action=vallex&amp;frame=v-w317hsa_1053", "čerpat (v-w317hsa_1053) - substituted with v-w317f3_ZU")</f>
        <v>čerpat (v-w317hsa_1053) - substituted with v-w317f3_ZU</v>
      </c>
    </row>
    <row r="72949" spans="1:3" x14ac:dyDescent="0.2">
      <c r="B72949" t="s">
        <v>1</v>
      </c>
    </row>
    <row r="72950" spans="1:3" x14ac:dyDescent="0.2">
      <c r="B72950" t="s">
        <v>8</v>
      </c>
    </row>
    <row r="72951" spans="1:3" x14ac:dyDescent="0.2">
      <c r="B72951" t="s">
        <v>4622</v>
      </c>
    </row>
    <row r="72953" spans="1:3" x14ac:dyDescent="0.2">
      <c r="A72953" t="s">
        <v>22607</v>
      </c>
      <c r="B72953" t="str">
        <f>HYPERLINK("https://lindat.mff.cuni.cz/services/teitok/pdtc10/index.php?action=vallex&amp;frame=v-w317hsa_1902", "čerpat (v-w317hsa_1902)")</f>
        <v>čerpat (v-w317hsa_1902)</v>
      </c>
    </row>
    <row r="72954" spans="1:3" x14ac:dyDescent="0.2">
      <c r="B72954" t="s">
        <v>1</v>
      </c>
    </row>
    <row r="72955" spans="1:3" x14ac:dyDescent="0.2">
      <c r="B72955" t="s">
        <v>8</v>
      </c>
    </row>
    <row r="72956" spans="1:3" x14ac:dyDescent="0.2">
      <c r="B72956" t="s">
        <v>333</v>
      </c>
    </row>
    <row r="72958" spans="1:3" x14ac:dyDescent="0.2">
      <c r="A72958" t="s">
        <v>22608</v>
      </c>
      <c r="B72958" t="str">
        <f>HYPERLINK("https://lindat.mff.cuni.cz/services/teitok/pdtc10/index.php?action=vallex&amp;frame=v-w11329f1", "čertit se (v-w11329f1)")</f>
        <v>čertit se (v-w11329f1)</v>
      </c>
    </row>
    <row r="72959" spans="1:3" x14ac:dyDescent="0.2">
      <c r="B72959" t="s">
        <v>1</v>
      </c>
      <c r="C72959" t="s">
        <v>83</v>
      </c>
    </row>
    <row r="72960" spans="1:3" x14ac:dyDescent="0.2">
      <c r="B72960" t="s">
        <v>452</v>
      </c>
      <c r="C72960" t="s">
        <v>34</v>
      </c>
    </row>
    <row r="72962" spans="1:2" x14ac:dyDescent="0.2">
      <c r="A72962" t="s">
        <v>22609</v>
      </c>
      <c r="B72962" t="str">
        <f>HYPERLINK("https://lindat.mff.cuni.cz/services/teitok/pdtc10/index.php?action=vallex&amp;frame=v-w320f1", "česat (v-w320f1)")</f>
        <v>česat (v-w320f1)</v>
      </c>
    </row>
    <row r="72963" spans="1:2" x14ac:dyDescent="0.2">
      <c r="B72963" t="s">
        <v>1</v>
      </c>
    </row>
    <row r="72964" spans="1:2" x14ac:dyDescent="0.2">
      <c r="B72964" t="s">
        <v>8</v>
      </c>
    </row>
    <row r="72965" spans="1:2" x14ac:dyDescent="0.2">
      <c r="B72965" t="s">
        <v>24</v>
      </c>
    </row>
    <row r="72966" spans="1:2" x14ac:dyDescent="0.2">
      <c r="B72966" t="s">
        <v>25</v>
      </c>
    </row>
    <row r="72968" spans="1:2" x14ac:dyDescent="0.2">
      <c r="A72968" t="s">
        <v>22610</v>
      </c>
      <c r="B72968" t="str">
        <f>HYPERLINK("https://lindat.mff.cuni.cz/services/teitok/pdtc10/index.php?action=vallex&amp;frame=v-w320f2_ZU", "česat (v-w320f2_ZU)")</f>
        <v>česat (v-w320f2_ZU)</v>
      </c>
    </row>
    <row r="72969" spans="1:2" x14ac:dyDescent="0.2">
      <c r="B72969" t="s">
        <v>1</v>
      </c>
    </row>
    <row r="72970" spans="1:2" x14ac:dyDescent="0.2">
      <c r="B72970" t="s">
        <v>8</v>
      </c>
    </row>
    <row r="72972" spans="1:2" x14ac:dyDescent="0.2">
      <c r="A72972" t="s">
        <v>22611</v>
      </c>
      <c r="B72972" t="str">
        <f>HYPERLINK("https://lindat.mff.cuni.cz/services/teitok/pdtc10/index.php?action=vallex&amp;frame=v-w320f3_ZU", "česat (v-w320f3_ZU)")</f>
        <v>česat (v-w320f3_ZU)</v>
      </c>
    </row>
    <row r="72973" spans="1:2" x14ac:dyDescent="0.2">
      <c r="B72973" t="s">
        <v>1</v>
      </c>
    </row>
    <row r="72974" spans="1:2" x14ac:dyDescent="0.2">
      <c r="B72974" t="s">
        <v>8</v>
      </c>
    </row>
    <row r="72976" spans="1:2" x14ac:dyDescent="0.2">
      <c r="A72976" t="s">
        <v>22612</v>
      </c>
      <c r="B72976" t="str">
        <f>HYPERLINK("https://lindat.mff.cuni.cz/services/teitok/pdtc10/index.php?action=vallex&amp;frame=v-whsa_928hsa_929", "česávat (v-whsa_928hsa_929)")</f>
        <v>česávat (v-whsa_928hsa_929)</v>
      </c>
    </row>
    <row r="72977" spans="1:2" x14ac:dyDescent="0.2">
      <c r="B72977" t="s">
        <v>1</v>
      </c>
    </row>
    <row r="72978" spans="1:2" x14ac:dyDescent="0.2">
      <c r="B72978" t="s">
        <v>8</v>
      </c>
    </row>
    <row r="72980" spans="1:2" x14ac:dyDescent="0.2">
      <c r="A72980" t="s">
        <v>22613</v>
      </c>
      <c r="B72980" t="str">
        <f>HYPERLINK("https://lindat.mff.cuni.cz/services/teitok/pdtc10/index.php?action=vallex&amp;frame=v-w319f1", "čeřit (v-w319f1)")</f>
        <v>čeřit (v-w319f1)</v>
      </c>
    </row>
    <row r="72981" spans="1:2" x14ac:dyDescent="0.2">
      <c r="B72981" t="s">
        <v>1</v>
      </c>
    </row>
    <row r="72982" spans="1:2" x14ac:dyDescent="0.2">
      <c r="B72982" t="s">
        <v>8</v>
      </c>
    </row>
    <row r="72984" spans="1:2" x14ac:dyDescent="0.2">
      <c r="A72984" t="s">
        <v>22614</v>
      </c>
      <c r="B72984" t="str">
        <f>HYPERLINK("https://lindat.mff.cuni.cz/services/teitok/pdtc10/index.php?action=vallex&amp;frame=v-w319f2", "čeřit (v-w319f2)")</f>
        <v>čeřit (v-w319f2)</v>
      </c>
    </row>
    <row r="72985" spans="1:2" x14ac:dyDescent="0.2">
      <c r="B72985" t="s">
        <v>1</v>
      </c>
    </row>
    <row r="72986" spans="1:2" x14ac:dyDescent="0.2">
      <c r="B72986" t="s">
        <v>22615</v>
      </c>
    </row>
    <row r="72988" spans="1:2" x14ac:dyDescent="0.2">
      <c r="A72988" t="s">
        <v>22616</v>
      </c>
      <c r="B72988" t="str">
        <f>HYPERLINK("https://lindat.mff.cuni.cz/services/teitok/pdtc10/index.php?action=vallex&amp;frame=v-w12286_MMf1_MM", "čichat (v-w12286_MMf1_MM)")</f>
        <v>čichat (v-w12286_MMf1_MM)</v>
      </c>
    </row>
    <row r="72989" spans="1:2" x14ac:dyDescent="0.2">
      <c r="B72989" t="s">
        <v>1</v>
      </c>
    </row>
    <row r="72990" spans="1:2" x14ac:dyDescent="0.2">
      <c r="B72990" t="s">
        <v>176</v>
      </c>
    </row>
    <row r="72992" spans="1:2" x14ac:dyDescent="0.2">
      <c r="A72992" t="s">
        <v>22617</v>
      </c>
      <c r="B72992" t="str">
        <f>HYPERLINK("https://lindat.mff.cuni.cz/services/teitok/pdtc10/index.php?action=vallex&amp;frame=v-w327f6", "činit (v-w327f6)")</f>
        <v>činit (v-w327f6)</v>
      </c>
    </row>
    <row r="72993" spans="1:4" x14ac:dyDescent="0.2">
      <c r="B72993" t="s">
        <v>1</v>
      </c>
      <c r="C72993" t="s">
        <v>2566</v>
      </c>
    </row>
    <row r="72994" spans="1:4" x14ac:dyDescent="0.2">
      <c r="B72994" t="s">
        <v>8</v>
      </c>
      <c r="C72994" t="s">
        <v>5714</v>
      </c>
    </row>
    <row r="72995" spans="1:4" x14ac:dyDescent="0.2">
      <c r="B72995" t="s">
        <v>35</v>
      </c>
      <c r="C72995" t="s">
        <v>2568</v>
      </c>
    </row>
    <row r="72997" spans="1:4" x14ac:dyDescent="0.2">
      <c r="A72997" t="s">
        <v>22618</v>
      </c>
      <c r="B72997" t="str">
        <f>HYPERLINK("https://lindat.mff.cuni.cz/services/teitok/pdtc10/index.php?action=vallex&amp;frame=v-w327f3", "činit (v-w327f3)")</f>
        <v>činit (v-w327f3)</v>
      </c>
    </row>
    <row r="72998" spans="1:4" x14ac:dyDescent="0.2">
      <c r="B72998" t="s">
        <v>196</v>
      </c>
      <c r="C72998" t="s">
        <v>2787</v>
      </c>
    </row>
    <row r="72999" spans="1:4" x14ac:dyDescent="0.2">
      <c r="B72999" t="s">
        <v>8</v>
      </c>
      <c r="C72999" t="s">
        <v>12754</v>
      </c>
    </row>
    <row r="73000" spans="1:4" x14ac:dyDescent="0.2">
      <c r="B73000" t="s">
        <v>24</v>
      </c>
      <c r="C73000" t="s">
        <v>16828</v>
      </c>
    </row>
    <row r="73002" spans="1:4" x14ac:dyDescent="0.2">
      <c r="A73002" t="s">
        <v>22619</v>
      </c>
      <c r="B73002" t="str">
        <f>HYPERLINK("https://lindat.mff.cuni.cz/services/teitok/pdtc10/index.php?action=vallex&amp;frame=v-w327f4", "činit (v-w327f4)")</f>
        <v>činit (v-w327f4)</v>
      </c>
    </row>
    <row r="73003" spans="1:4" x14ac:dyDescent="0.2">
      <c r="B73003" t="s">
        <v>1</v>
      </c>
      <c r="C73003" t="s">
        <v>2787</v>
      </c>
    </row>
    <row r="73004" spans="1:4" x14ac:dyDescent="0.2">
      <c r="B73004" t="s">
        <v>8</v>
      </c>
      <c r="C73004" t="s">
        <v>7280</v>
      </c>
      <c r="D73004" t="s">
        <v>1128</v>
      </c>
    </row>
    <row r="73005" spans="1:4" x14ac:dyDescent="0.2">
      <c r="B73005" t="s">
        <v>1193</v>
      </c>
      <c r="C73005" t="s">
        <v>22620</v>
      </c>
      <c r="D73005" t="s">
        <v>4018</v>
      </c>
    </row>
    <row r="73006" spans="1:4" x14ac:dyDescent="0.2">
      <c r="B73006" t="s">
        <v>24</v>
      </c>
    </row>
    <row r="73008" spans="1:4" x14ac:dyDescent="0.2">
      <c r="A73008" t="s">
        <v>22621</v>
      </c>
      <c r="B73008" t="str">
        <f>HYPERLINK("https://lindat.mff.cuni.cz/services/teitok/pdtc10/index.php?action=vallex&amp;frame=v-w327f14_ZU", "činit (v-w327f14_ZU)")</f>
        <v>činit (v-w327f14_ZU)</v>
      </c>
    </row>
    <row r="73009" spans="1:4" x14ac:dyDescent="0.2">
      <c r="B73009" t="s">
        <v>1</v>
      </c>
      <c r="C73009" t="s">
        <v>2787</v>
      </c>
    </row>
    <row r="73010" spans="1:4" x14ac:dyDescent="0.2">
      <c r="B73010" t="s">
        <v>228</v>
      </c>
      <c r="C73010" t="s">
        <v>7280</v>
      </c>
      <c r="D73010" t="s">
        <v>1128</v>
      </c>
    </row>
    <row r="73011" spans="1:4" x14ac:dyDescent="0.2">
      <c r="B73011" t="s">
        <v>22622</v>
      </c>
      <c r="C73011" t="s">
        <v>22620</v>
      </c>
      <c r="D73011" t="s">
        <v>4018</v>
      </c>
    </row>
    <row r="73013" spans="1:4" x14ac:dyDescent="0.2">
      <c r="A73013" t="s">
        <v>22621</v>
      </c>
      <c r="B73013" t="str">
        <f>HYPERLINK("https://lindat.mff.cuni.cz/services/teitok/pdtc10/index.php?action=vallex&amp;frame=v-w327f11_ZU", "činit (v-w327f11_ZU) - substituted with v-w327f14_ZU")</f>
        <v>činit (v-w327f11_ZU) - substituted with v-w327f14_ZU</v>
      </c>
    </row>
    <row r="73014" spans="1:4" x14ac:dyDescent="0.2">
      <c r="B73014" t="s">
        <v>1</v>
      </c>
    </row>
    <row r="73015" spans="1:4" x14ac:dyDescent="0.2">
      <c r="B73015" t="s">
        <v>228</v>
      </c>
      <c r="C73015" t="s">
        <v>1128</v>
      </c>
    </row>
    <row r="73016" spans="1:4" x14ac:dyDescent="0.2">
      <c r="B73016" t="s">
        <v>22622</v>
      </c>
      <c r="C73016" t="s">
        <v>4018</v>
      </c>
    </row>
    <row r="73018" spans="1:4" x14ac:dyDescent="0.2">
      <c r="A73018" t="s">
        <v>22623</v>
      </c>
      <c r="B73018" t="str">
        <f>HYPERLINK("https://lindat.mff.cuni.cz/services/teitok/pdtc10/index.php?action=vallex&amp;frame=v-w327f2", "činit (v-w327f2)")</f>
        <v>činit (v-w327f2)</v>
      </c>
    </row>
    <row r="73019" spans="1:4" x14ac:dyDescent="0.2">
      <c r="B73019" t="s">
        <v>1</v>
      </c>
      <c r="C73019" t="s">
        <v>22624</v>
      </c>
      <c r="D73019" t="s">
        <v>24252</v>
      </c>
    </row>
    <row r="73020" spans="1:4" x14ac:dyDescent="0.2">
      <c r="B73020" t="s">
        <v>22625</v>
      </c>
      <c r="C73020" t="s">
        <v>10041</v>
      </c>
      <c r="D73020" t="s">
        <v>24253</v>
      </c>
    </row>
    <row r="73022" spans="1:4" x14ac:dyDescent="0.2">
      <c r="A73022" t="s">
        <v>22626</v>
      </c>
      <c r="B73022" t="str">
        <f>HYPERLINK("https://lindat.mff.cuni.cz/services/teitok/pdtc10/index.php?action=vallex&amp;frame=v-w327f5", "činit (v-w327f5)")</f>
        <v>činit (v-w327f5)</v>
      </c>
    </row>
    <row r="73023" spans="1:4" x14ac:dyDescent="0.2">
      <c r="B73023" t="s">
        <v>1</v>
      </c>
    </row>
    <row r="73024" spans="1:4" x14ac:dyDescent="0.2">
      <c r="B73024" t="s">
        <v>8</v>
      </c>
    </row>
    <row r="73026" spans="1:4" x14ac:dyDescent="0.2">
      <c r="A73026" t="s">
        <v>22627</v>
      </c>
      <c r="B73026" t="str">
        <f>HYPERLINK("https://lindat.mff.cuni.cz/services/teitok/pdtc10/index.php?action=vallex&amp;frame=v-w327f1", "činit (v-w327f1)")</f>
        <v>činit (v-w327f1)</v>
      </c>
    </row>
    <row r="73027" spans="1:4" x14ac:dyDescent="0.2">
      <c r="B73027" t="s">
        <v>1</v>
      </c>
      <c r="C73027" t="s">
        <v>22628</v>
      </c>
      <c r="D73027" t="s">
        <v>23183</v>
      </c>
    </row>
    <row r="73028" spans="1:4" x14ac:dyDescent="0.2">
      <c r="B73028" t="s">
        <v>524</v>
      </c>
      <c r="C73028" t="s">
        <v>22629</v>
      </c>
      <c r="D73028" t="s">
        <v>23616</v>
      </c>
    </row>
    <row r="73030" spans="1:4" x14ac:dyDescent="0.2">
      <c r="A73030" t="s">
        <v>22630</v>
      </c>
      <c r="B73030" t="str">
        <f>HYPERLINK("https://lindat.mff.cuni.cz/services/teitok/pdtc10/index.php?action=vallex&amp;frame=v-w327f8", "činit (v-w327f8)")</f>
        <v>činit (v-w327f8)</v>
      </c>
    </row>
    <row r="73031" spans="1:4" x14ac:dyDescent="0.2">
      <c r="B73031" t="s">
        <v>1</v>
      </c>
    </row>
    <row r="73032" spans="1:4" x14ac:dyDescent="0.2">
      <c r="B73032" t="s">
        <v>2949</v>
      </c>
    </row>
    <row r="73033" spans="1:4" x14ac:dyDescent="0.2">
      <c r="B73033" t="s">
        <v>88</v>
      </c>
    </row>
    <row r="73035" spans="1:4" x14ac:dyDescent="0.2">
      <c r="A73035" t="s">
        <v>22631</v>
      </c>
      <c r="B73035" t="str">
        <f>HYPERLINK("https://lindat.mff.cuni.cz/services/teitok/pdtc10/index.php?action=vallex&amp;frame=v-w327f13_ZU", "činit (v-w327f13_ZU)")</f>
        <v>činit (v-w327f13_ZU)</v>
      </c>
    </row>
    <row r="73036" spans="1:4" x14ac:dyDescent="0.2">
      <c r="B73036" t="s">
        <v>1</v>
      </c>
      <c r="C73036" t="s">
        <v>22632</v>
      </c>
      <c r="D73036" t="s">
        <v>23262</v>
      </c>
    </row>
    <row r="73037" spans="1:4" x14ac:dyDescent="0.2">
      <c r="B73037" t="s">
        <v>22633</v>
      </c>
      <c r="C73037" t="s">
        <v>22634</v>
      </c>
      <c r="D73037" t="s">
        <v>23263</v>
      </c>
    </row>
    <row r="73038" spans="1:4" x14ac:dyDescent="0.2">
      <c r="B73038" t="s">
        <v>35</v>
      </c>
      <c r="C73038" t="s">
        <v>2568</v>
      </c>
      <c r="D73038" t="s">
        <v>23251</v>
      </c>
    </row>
    <row r="73040" spans="1:4" x14ac:dyDescent="0.2">
      <c r="A73040" t="s">
        <v>22631</v>
      </c>
      <c r="B73040" t="str">
        <f>HYPERLINK("https://lindat.mff.cuni.cz/services/teitok/pdtc10/index.php?action=vallex&amp;frame=v-w327f10_ZU", "činit (v-w327f10_ZU) - substituted with v-w327f13_ZU")</f>
        <v>činit (v-w327f10_ZU) - substituted with v-w327f13_ZU</v>
      </c>
    </row>
    <row r="73041" spans="1:4" x14ac:dyDescent="0.2">
      <c r="B73041" t="s">
        <v>1</v>
      </c>
    </row>
    <row r="73042" spans="1:4" x14ac:dyDescent="0.2">
      <c r="B73042" t="s">
        <v>22633</v>
      </c>
    </row>
    <row r="73043" spans="1:4" x14ac:dyDescent="0.2">
      <c r="B73043" t="s">
        <v>35</v>
      </c>
    </row>
    <row r="73045" spans="1:4" x14ac:dyDescent="0.2">
      <c r="A73045" t="s">
        <v>22631</v>
      </c>
      <c r="B73045" t="str">
        <f>HYPERLINK("https://lindat.mff.cuni.cz/services/teitok/pdtc10/index.php?action=vallex&amp;frame=v-w327f12_ZU", "činit (v-w327f12_ZU) - substituted with v-w327f13_ZU")</f>
        <v>činit (v-w327f12_ZU) - substituted with v-w327f13_ZU</v>
      </c>
    </row>
    <row r="73046" spans="1:4" x14ac:dyDescent="0.2">
      <c r="B73046" t="s">
        <v>1</v>
      </c>
    </row>
    <row r="73047" spans="1:4" x14ac:dyDescent="0.2">
      <c r="B73047" t="s">
        <v>22633</v>
      </c>
    </row>
    <row r="73048" spans="1:4" x14ac:dyDescent="0.2">
      <c r="B73048" t="s">
        <v>35</v>
      </c>
    </row>
    <row r="73050" spans="1:4" x14ac:dyDescent="0.2">
      <c r="A73050" t="s">
        <v>22635</v>
      </c>
      <c r="B73050" t="str">
        <f>HYPERLINK("https://lindat.mff.cuni.cz/services/teitok/pdtc10/index.php?action=vallex&amp;frame=v-w327f9", "činit (v-w327f9)")</f>
        <v>činit (v-w327f9)</v>
      </c>
    </row>
    <row r="73051" spans="1:4" x14ac:dyDescent="0.2">
      <c r="B73051" t="s">
        <v>1</v>
      </c>
    </row>
    <row r="73052" spans="1:4" x14ac:dyDescent="0.2">
      <c r="B73052" t="s">
        <v>22636</v>
      </c>
    </row>
    <row r="73053" spans="1:4" x14ac:dyDescent="0.2">
      <c r="B73053" t="s">
        <v>2918</v>
      </c>
    </row>
    <row r="73055" spans="1:4" x14ac:dyDescent="0.2">
      <c r="A73055" t="s">
        <v>22637</v>
      </c>
      <c r="B73055" t="str">
        <f>HYPERLINK("https://lindat.mff.cuni.cz/services/teitok/pdtc10/index.php?action=vallex&amp;frame=v-w327hsa_1152", "činit (v-w327hsa_1152)")</f>
        <v>činit (v-w327hsa_1152)</v>
      </c>
    </row>
    <row r="73056" spans="1:4" x14ac:dyDescent="0.2">
      <c r="B73056" t="s">
        <v>1</v>
      </c>
      <c r="C73056" t="s">
        <v>2031</v>
      </c>
      <c r="D73056" t="s">
        <v>6686</v>
      </c>
    </row>
    <row r="73057" spans="1:4" x14ac:dyDescent="0.2">
      <c r="B73057" t="s">
        <v>22638</v>
      </c>
      <c r="C73057" t="s">
        <v>2952</v>
      </c>
      <c r="D73057" t="s">
        <v>23409</v>
      </c>
    </row>
    <row r="73059" spans="1:4" x14ac:dyDescent="0.2">
      <c r="A73059" t="s">
        <v>22637</v>
      </c>
      <c r="B73059" t="str">
        <f>HYPERLINK("https://lindat.mff.cuni.cz/services/teitok/pdtc10/index.php?action=vallex&amp;frame=v-w327f7", "činit (v-w327f7) - substituted with v-w327hsa_1152")</f>
        <v>činit (v-w327f7) - substituted with v-w327hsa_1152</v>
      </c>
    </row>
    <row r="73060" spans="1:4" x14ac:dyDescent="0.2">
      <c r="B73060" t="s">
        <v>1</v>
      </c>
      <c r="C73060" t="s">
        <v>15873</v>
      </c>
    </row>
    <row r="73061" spans="1:4" x14ac:dyDescent="0.2">
      <c r="B73061" t="s">
        <v>22638</v>
      </c>
      <c r="C73061" t="s">
        <v>15874</v>
      </c>
    </row>
    <row r="73063" spans="1:4" x14ac:dyDescent="0.2">
      <c r="A73063" t="s">
        <v>22639</v>
      </c>
      <c r="B73063" t="str">
        <f>HYPERLINK("https://lindat.mff.cuni.cz/services/teitok/pdtc10/index.php?action=vallex&amp;frame=v-w327hsa_1151", "činit (v-w327hsa_1151)")</f>
        <v>činit (v-w327hsa_1151)</v>
      </c>
    </row>
    <row r="73064" spans="1:4" x14ac:dyDescent="0.2">
      <c r="B73064" t="s">
        <v>1</v>
      </c>
    </row>
    <row r="73065" spans="1:4" x14ac:dyDescent="0.2">
      <c r="B73065" t="s">
        <v>8</v>
      </c>
    </row>
    <row r="73067" spans="1:4" x14ac:dyDescent="0.2">
      <c r="A73067" t="s">
        <v>22640</v>
      </c>
      <c r="B73067" t="str">
        <f>HYPERLINK("https://lindat.mff.cuni.cz/services/teitok/pdtc10/index.php?action=vallex&amp;frame=v-w329f1", "činit se (v-w329f1)")</f>
        <v>činit se (v-w329f1)</v>
      </c>
    </row>
    <row r="73068" spans="1:4" x14ac:dyDescent="0.2">
      <c r="B73068" t="s">
        <v>1</v>
      </c>
    </row>
    <row r="73070" spans="1:4" x14ac:dyDescent="0.2">
      <c r="A73070" t="s">
        <v>22641</v>
      </c>
      <c r="B73070" t="str">
        <f>HYPERLINK("https://lindat.mff.cuni.cz/services/teitok/pdtc10/index.php?action=vallex&amp;frame=v-w330f2", "činit si (v-w330f2)")</f>
        <v>činit si (v-w330f2)</v>
      </c>
    </row>
    <row r="73071" spans="1:4" x14ac:dyDescent="0.2">
      <c r="B73071" t="s">
        <v>1</v>
      </c>
    </row>
    <row r="73072" spans="1:4" x14ac:dyDescent="0.2">
      <c r="B73072" t="s">
        <v>8</v>
      </c>
    </row>
    <row r="73074" spans="1:4" x14ac:dyDescent="0.2">
      <c r="A73074" t="s">
        <v>22642</v>
      </c>
      <c r="B73074" t="str">
        <f>HYPERLINK("https://lindat.mff.cuni.cz/services/teitok/pdtc10/index.php?action=vallex&amp;frame=v-w330f1", "činit si (v-w330f1)")</f>
        <v>činit si (v-w330f1)</v>
      </c>
    </row>
    <row r="73075" spans="1:4" x14ac:dyDescent="0.2">
      <c r="B73075" t="s">
        <v>1</v>
      </c>
    </row>
    <row r="73076" spans="1:4" x14ac:dyDescent="0.2">
      <c r="B73076" t="s">
        <v>3012</v>
      </c>
    </row>
    <row r="73078" spans="1:4" x14ac:dyDescent="0.2">
      <c r="A73078" t="s">
        <v>22643</v>
      </c>
      <c r="B73078" t="str">
        <f>HYPERLINK("https://lindat.mff.cuni.cz/services/teitok/pdtc10/index.php?action=vallex&amp;frame=v-w336f1", "čistit (v-w336f1)")</f>
        <v>čistit (v-w336f1)</v>
      </c>
    </row>
    <row r="73079" spans="1:4" x14ac:dyDescent="0.2">
      <c r="B73079" t="s">
        <v>1</v>
      </c>
      <c r="C73079" t="s">
        <v>83</v>
      </c>
      <c r="D73079" t="s">
        <v>115</v>
      </c>
    </row>
    <row r="73080" spans="1:4" x14ac:dyDescent="0.2">
      <c r="B73080" t="s">
        <v>8</v>
      </c>
      <c r="C73080" t="s">
        <v>110</v>
      </c>
      <c r="D73080" t="s">
        <v>24269</v>
      </c>
    </row>
    <row r="73081" spans="1:4" x14ac:dyDescent="0.2">
      <c r="B73081" t="s">
        <v>321</v>
      </c>
      <c r="D73081" t="s">
        <v>8349</v>
      </c>
    </row>
    <row r="73083" spans="1:4" x14ac:dyDescent="0.2">
      <c r="A73083" t="s">
        <v>22644</v>
      </c>
      <c r="B73083" t="str">
        <f>HYPERLINK("https://lindat.mff.cuni.cz/services/teitok/pdtc10/index.php?action=vallex&amp;frame=v-w338f1", "čišet (v-w338f1)")</f>
        <v>čišet (v-w338f1)</v>
      </c>
    </row>
    <row r="73084" spans="1:4" x14ac:dyDescent="0.2">
      <c r="B73084" t="s">
        <v>1</v>
      </c>
      <c r="D73084" t="s">
        <v>23789</v>
      </c>
    </row>
    <row r="73086" spans="1:4" x14ac:dyDescent="0.2">
      <c r="A73086" t="s">
        <v>22645</v>
      </c>
      <c r="B73086" t="str">
        <f>HYPERLINK("https://lindat.mff.cuni.cz/services/teitok/pdtc10/index.php?action=vallex&amp;frame=v-w338f2", "čišet (v-w338f2)")</f>
        <v>čišet (v-w338f2)</v>
      </c>
    </row>
    <row r="73088" spans="1:4" x14ac:dyDescent="0.2">
      <c r="A73088" t="s">
        <v>22646</v>
      </c>
      <c r="B73088" t="str">
        <f>HYPERLINK("https://lindat.mff.cuni.cz/services/teitok/pdtc10/index.php?action=vallex&amp;frame=v-w347f1", "členit (v-w347f1)")</f>
        <v>členit (v-w347f1)</v>
      </c>
    </row>
    <row r="73089" spans="1:3" x14ac:dyDescent="0.2">
      <c r="B73089" t="s">
        <v>1</v>
      </c>
    </row>
    <row r="73090" spans="1:3" x14ac:dyDescent="0.2">
      <c r="B73090" t="s">
        <v>8</v>
      </c>
    </row>
    <row r="73091" spans="1:3" x14ac:dyDescent="0.2">
      <c r="B73091" t="s">
        <v>2334</v>
      </c>
    </row>
    <row r="73093" spans="1:3" x14ac:dyDescent="0.2">
      <c r="A73093" t="s">
        <v>22647</v>
      </c>
      <c r="B73093" t="str">
        <f>HYPERLINK("https://lindat.mff.cuni.cz/services/teitok/pdtc10/index.php?action=vallex&amp;frame=v-w11507_ZUf1_ZU", "čmajznout (v-w11507_ZUf1_ZU)")</f>
        <v>čmajznout (v-w11507_ZUf1_ZU)</v>
      </c>
    </row>
    <row r="73094" spans="1:3" x14ac:dyDescent="0.2">
      <c r="B73094" t="s">
        <v>1</v>
      </c>
      <c r="C73094" t="s">
        <v>140</v>
      </c>
    </row>
    <row r="73095" spans="1:3" x14ac:dyDescent="0.2">
      <c r="B73095" t="s">
        <v>8</v>
      </c>
      <c r="C73095" t="s">
        <v>34</v>
      </c>
    </row>
    <row r="73096" spans="1:3" x14ac:dyDescent="0.2">
      <c r="B73096" t="s">
        <v>35</v>
      </c>
    </row>
    <row r="73098" spans="1:3" x14ac:dyDescent="0.2">
      <c r="A73098" t="s">
        <v>22648</v>
      </c>
      <c r="B73098" t="str">
        <f>HYPERLINK("https://lindat.mff.cuni.cz/services/teitok/pdtc10/index.php?action=vallex&amp;frame=v-w10684f2", "čnět (v-w10684f2)")</f>
        <v>čnět (v-w10684f2)</v>
      </c>
    </row>
    <row r="73099" spans="1:3" x14ac:dyDescent="0.2">
      <c r="B73099" t="s">
        <v>1</v>
      </c>
    </row>
    <row r="73101" spans="1:3" x14ac:dyDescent="0.2">
      <c r="A73101" t="s">
        <v>22649</v>
      </c>
      <c r="B73101" t="str">
        <f>HYPERLINK("https://lindat.mff.cuni.cz/services/teitok/pdtc10/index.php?action=vallex&amp;frame=v-w349f1", "čouhat (v-w349f1)")</f>
        <v>čouhat (v-w349f1)</v>
      </c>
    </row>
    <row r="73102" spans="1:3" x14ac:dyDescent="0.2">
      <c r="B73102" t="s">
        <v>1</v>
      </c>
    </row>
    <row r="73103" spans="1:3" x14ac:dyDescent="0.2">
      <c r="B73103" t="s">
        <v>333</v>
      </c>
    </row>
    <row r="73105" spans="1:2" x14ac:dyDescent="0.2">
      <c r="A73105" t="s">
        <v>22650</v>
      </c>
      <c r="B73105" t="str">
        <f>HYPERLINK("https://lindat.mff.cuni.cz/services/teitok/pdtc10/index.php?action=vallex&amp;frame=v-w350f1", "čpět (v-w350f1)")</f>
        <v>čpět (v-w350f1)</v>
      </c>
    </row>
    <row r="73106" spans="1:2" x14ac:dyDescent="0.2">
      <c r="B73106" t="s">
        <v>1</v>
      </c>
    </row>
    <row r="73107" spans="1:2" x14ac:dyDescent="0.2">
      <c r="B73107" t="s">
        <v>11136</v>
      </c>
    </row>
    <row r="73109" spans="1:2" x14ac:dyDescent="0.2">
      <c r="A73109" t="s">
        <v>22651</v>
      </c>
      <c r="B73109" t="str">
        <f>HYPERLINK("https://lindat.mff.cuni.cz/services/teitok/pdtc10/index.php?action=vallex&amp;frame=v-w11949_ZUf1_ZU", "črtat (v-w11949_ZUf1_ZU)")</f>
        <v>črtat (v-w11949_ZUf1_ZU)</v>
      </c>
    </row>
    <row r="73110" spans="1:2" x14ac:dyDescent="0.2">
      <c r="B73110" t="s">
        <v>1</v>
      </c>
    </row>
    <row r="73111" spans="1:2" x14ac:dyDescent="0.2">
      <c r="B73111" t="s">
        <v>8</v>
      </c>
    </row>
    <row r="73113" spans="1:2" x14ac:dyDescent="0.2">
      <c r="A73113" t="s">
        <v>22652</v>
      </c>
      <c r="B73113" t="str">
        <f>HYPERLINK("https://lindat.mff.cuni.cz/services/teitok/pdtc10/index.php?action=vallex&amp;frame=v-whsa_312f1_ZU", "čumět (v-whsa_312f1_ZU)")</f>
        <v>čumět (v-whsa_312f1_ZU)</v>
      </c>
    </row>
    <row r="73114" spans="1:2" x14ac:dyDescent="0.2">
      <c r="B73114" t="s">
        <v>1</v>
      </c>
    </row>
    <row r="73115" spans="1:2" x14ac:dyDescent="0.2">
      <c r="B73115" t="s">
        <v>90</v>
      </c>
    </row>
    <row r="73117" spans="1:2" x14ac:dyDescent="0.2">
      <c r="A73117" t="s">
        <v>22652</v>
      </c>
      <c r="B73117" t="str">
        <f>HYPERLINK("https://lindat.mff.cuni.cz/services/teitok/pdtc10/index.php?action=vallex&amp;frame=v-whsa_312hsa_313", "čumět (v-whsa_312hsa_313) - substituted with v-whsa_312f1_ZU")</f>
        <v>čumět (v-whsa_312hsa_313) - substituted with v-whsa_312f1_ZU</v>
      </c>
    </row>
    <row r="73118" spans="1:2" x14ac:dyDescent="0.2">
      <c r="B73118" t="s">
        <v>1</v>
      </c>
    </row>
    <row r="73119" spans="1:2" x14ac:dyDescent="0.2">
      <c r="B73119" t="s">
        <v>90</v>
      </c>
    </row>
    <row r="73121" spans="1:2" x14ac:dyDescent="0.2">
      <c r="A73121" t="s">
        <v>22653</v>
      </c>
      <c r="B73121" t="str">
        <f>HYPERLINK("https://lindat.mff.cuni.cz/services/teitok/pdtc10/index.php?action=vallex&amp;frame=v-whsa_312f2_ZU", "čumět (v-whsa_312f2_ZU)")</f>
        <v>čumět (v-whsa_312f2_ZU)</v>
      </c>
    </row>
    <row r="73122" spans="1:2" x14ac:dyDescent="0.2">
      <c r="B73122" t="s">
        <v>1</v>
      </c>
    </row>
    <row r="73123" spans="1:2" x14ac:dyDescent="0.2">
      <c r="B73123" t="s">
        <v>28</v>
      </c>
    </row>
    <row r="73125" spans="1:2" x14ac:dyDescent="0.2">
      <c r="A73125" t="s">
        <v>22654</v>
      </c>
      <c r="B73125" t="str">
        <f>HYPERLINK("https://lindat.mff.cuni.cz/services/teitok/pdtc10/index.php?action=vallex&amp;frame=v-whsa_1593hsa_1594", "čučet (v-whsa_1593hsa_1594)")</f>
        <v>čučet (v-whsa_1593hsa_1594)</v>
      </c>
    </row>
    <row r="73126" spans="1:2" x14ac:dyDescent="0.2">
      <c r="B73126" t="s">
        <v>1</v>
      </c>
    </row>
    <row r="73127" spans="1:2" x14ac:dyDescent="0.2">
      <c r="B73127" t="s">
        <v>90</v>
      </c>
    </row>
    <row r="73129" spans="1:2" x14ac:dyDescent="0.2">
      <c r="A73129" t="s">
        <v>22655</v>
      </c>
      <c r="B73129" t="str">
        <f>HYPERLINK("https://lindat.mff.cuni.cz/services/teitok/pdtc10/index.php?action=vallex&amp;frame=v-w11864_ZUf1_ZU", "čučet (v-w11864_ZUf1_ZU)")</f>
        <v>čučet (v-w11864_ZUf1_ZU)</v>
      </c>
    </row>
    <row r="73130" spans="1:2" x14ac:dyDescent="0.2">
      <c r="B73130" t="s">
        <v>1</v>
      </c>
    </row>
    <row r="73131" spans="1:2" x14ac:dyDescent="0.2">
      <c r="B73131" t="s">
        <v>4622</v>
      </c>
    </row>
    <row r="73133" spans="1:2" x14ac:dyDescent="0.2">
      <c r="A73133" t="s">
        <v>22656</v>
      </c>
      <c r="B73133" t="str">
        <f>HYPERLINK("https://lindat.mff.cuni.cz/services/teitok/pdtc10/index.php?action=vallex&amp;frame=v-w12287_MMf1_MM", "čvachtat se (v-w12287_MMf1_MM)")</f>
        <v>čvachtat se (v-w12287_MMf1_MM)</v>
      </c>
    </row>
    <row r="73134" spans="1:2" x14ac:dyDescent="0.2">
      <c r="B73134" t="s">
        <v>1</v>
      </c>
    </row>
    <row r="73136" spans="1:2" x14ac:dyDescent="0.2">
      <c r="A73136" t="s">
        <v>22657</v>
      </c>
      <c r="B73136" t="str">
        <f>HYPERLINK("https://lindat.mff.cuni.cz/services/teitok/pdtc10/index.php?action=vallex&amp;frame=v-w11506_ZUf1_ZU", "číhat (v-w11506_ZUf1_ZU)")</f>
        <v>číhat (v-w11506_ZUf1_ZU)</v>
      </c>
    </row>
    <row r="73137" spans="1:4" x14ac:dyDescent="0.2">
      <c r="B73137" t="s">
        <v>1</v>
      </c>
      <c r="C73137" t="s">
        <v>6204</v>
      </c>
      <c r="D73137" t="s">
        <v>23764</v>
      </c>
    </row>
    <row r="73138" spans="1:4" x14ac:dyDescent="0.2">
      <c r="B73138" t="s">
        <v>22658</v>
      </c>
      <c r="D73138" t="s">
        <v>23765</v>
      </c>
    </row>
    <row r="73140" spans="1:4" x14ac:dyDescent="0.2">
      <c r="A73140" t="s">
        <v>22659</v>
      </c>
      <c r="B73140" t="str">
        <f>HYPERLINK("https://lindat.mff.cuni.cz/services/teitok/pdtc10/index.php?action=vallex&amp;frame=v-w332f1", "číslovat (v-w332f1)")</f>
        <v>číslovat (v-w332f1)</v>
      </c>
    </row>
    <row r="73141" spans="1:4" x14ac:dyDescent="0.2">
      <c r="B73141" t="s">
        <v>1</v>
      </c>
    </row>
    <row r="73142" spans="1:4" x14ac:dyDescent="0.2">
      <c r="B73142" t="s">
        <v>8</v>
      </c>
    </row>
    <row r="73144" spans="1:4" x14ac:dyDescent="0.2">
      <c r="A73144" t="s">
        <v>22660</v>
      </c>
      <c r="B73144" t="str">
        <f>HYPERLINK("https://lindat.mff.cuni.cz/services/teitok/pdtc10/index.php?action=vallex&amp;frame=v-w333f4", "číst (v-w333f4)")</f>
        <v>číst (v-w333f4)</v>
      </c>
    </row>
    <row r="73145" spans="1:4" x14ac:dyDescent="0.2">
      <c r="B73145" t="s">
        <v>1</v>
      </c>
      <c r="C73145" t="s">
        <v>2237</v>
      </c>
      <c r="D73145" t="s">
        <v>306</v>
      </c>
    </row>
    <row r="73146" spans="1:4" x14ac:dyDescent="0.2">
      <c r="B73146" t="s">
        <v>183</v>
      </c>
      <c r="C73146" t="s">
        <v>11022</v>
      </c>
      <c r="D73146" t="s">
        <v>24010</v>
      </c>
    </row>
    <row r="73147" spans="1:4" x14ac:dyDescent="0.2">
      <c r="B73147" t="s">
        <v>78</v>
      </c>
      <c r="C73147" t="s">
        <v>987</v>
      </c>
      <c r="D73147" t="s">
        <v>987</v>
      </c>
    </row>
    <row r="73149" spans="1:4" x14ac:dyDescent="0.2">
      <c r="A73149" t="s">
        <v>22661</v>
      </c>
      <c r="B73149" t="str">
        <f>HYPERLINK("https://lindat.mff.cuni.cz/services/teitok/pdtc10/index.php?action=vallex&amp;frame=v-w333f1", "číst (v-w333f1)")</f>
        <v>číst (v-w333f1)</v>
      </c>
    </row>
    <row r="73150" spans="1:4" x14ac:dyDescent="0.2">
      <c r="B73150" t="s">
        <v>1</v>
      </c>
      <c r="C73150" t="s">
        <v>22662</v>
      </c>
      <c r="D73150" t="s">
        <v>12452</v>
      </c>
    </row>
    <row r="73151" spans="1:4" x14ac:dyDescent="0.2">
      <c r="B73151" t="s">
        <v>8</v>
      </c>
      <c r="C73151" t="s">
        <v>22663</v>
      </c>
      <c r="D73151" t="s">
        <v>24044</v>
      </c>
    </row>
    <row r="73153" spans="1:4" x14ac:dyDescent="0.2">
      <c r="A73153" t="s">
        <v>22664</v>
      </c>
      <c r="B73153" t="str">
        <f>HYPERLINK("https://lindat.mff.cuni.cz/services/teitok/pdtc10/index.php?action=vallex&amp;frame=v-w333f5", "číst (v-w333f5)")</f>
        <v>číst (v-w333f5)</v>
      </c>
    </row>
    <row r="73154" spans="1:4" x14ac:dyDescent="0.2">
      <c r="B73154" t="s">
        <v>1</v>
      </c>
      <c r="C73154" t="s">
        <v>2237</v>
      </c>
      <c r="D73154" t="s">
        <v>12452</v>
      </c>
    </row>
    <row r="73155" spans="1:4" x14ac:dyDescent="0.2">
      <c r="B73155" t="s">
        <v>8</v>
      </c>
      <c r="C73155" t="s">
        <v>11022</v>
      </c>
      <c r="D73155" t="s">
        <v>24044</v>
      </c>
    </row>
    <row r="73157" spans="1:4" x14ac:dyDescent="0.2">
      <c r="A73157" t="s">
        <v>22665</v>
      </c>
      <c r="B73157" t="str">
        <f>HYPERLINK("https://lindat.mff.cuni.cz/services/teitok/pdtc10/index.php?action=vallex&amp;frame=v-w333f2", "číst (v-w333f2)")</f>
        <v>číst (v-w333f2)</v>
      </c>
    </row>
    <row r="73158" spans="1:4" x14ac:dyDescent="0.2">
      <c r="B73158" t="s">
        <v>1</v>
      </c>
      <c r="C73158" t="s">
        <v>2237</v>
      </c>
      <c r="D73158" t="s">
        <v>306</v>
      </c>
    </row>
    <row r="73159" spans="1:4" x14ac:dyDescent="0.2">
      <c r="B73159" t="s">
        <v>11405</v>
      </c>
      <c r="C73159" t="s">
        <v>2276</v>
      </c>
      <c r="D73159" t="s">
        <v>24009</v>
      </c>
    </row>
    <row r="73160" spans="1:4" x14ac:dyDescent="0.2">
      <c r="B73160" t="s">
        <v>269</v>
      </c>
      <c r="D73160" t="s">
        <v>24010</v>
      </c>
    </row>
    <row r="73161" spans="1:4" x14ac:dyDescent="0.2">
      <c r="B73161" t="s">
        <v>78</v>
      </c>
      <c r="C73161" t="s">
        <v>987</v>
      </c>
      <c r="D73161" t="s">
        <v>987</v>
      </c>
    </row>
    <row r="73163" spans="1:4" x14ac:dyDescent="0.2">
      <c r="A73163" t="s">
        <v>22666</v>
      </c>
      <c r="B73163" t="str">
        <f>HYPERLINK("https://lindat.mff.cuni.cz/services/teitok/pdtc10/index.php?action=vallex&amp;frame=v-w333f3", "číst (v-w333f3)")</f>
        <v>číst (v-w333f3)</v>
      </c>
    </row>
    <row r="73164" spans="1:4" x14ac:dyDescent="0.2">
      <c r="B73164" t="s">
        <v>1</v>
      </c>
    </row>
    <row r="73166" spans="1:4" x14ac:dyDescent="0.2">
      <c r="A73166" t="s">
        <v>22667</v>
      </c>
      <c r="B73166" t="str">
        <f>HYPERLINK("https://lindat.mff.cuni.cz/services/teitok/pdtc10/index.php?action=vallex&amp;frame=v-w341f2", "čítat (v-w341f2)")</f>
        <v>čítat (v-w341f2)</v>
      </c>
    </row>
    <row r="73167" spans="1:4" x14ac:dyDescent="0.2">
      <c r="B73167" t="s">
        <v>1</v>
      </c>
    </row>
    <row r="73168" spans="1:4" x14ac:dyDescent="0.2">
      <c r="B73168" t="s">
        <v>8</v>
      </c>
    </row>
    <row r="73170" spans="1:4" x14ac:dyDescent="0.2">
      <c r="A73170" t="s">
        <v>22668</v>
      </c>
      <c r="B73170" t="str">
        <f>HYPERLINK("https://lindat.mff.cuni.cz/services/teitok/pdtc10/index.php?action=vallex&amp;frame=v-w341f1", "čítat (v-w341f1)")</f>
        <v>čítat (v-w341f1)</v>
      </c>
    </row>
    <row r="73171" spans="1:4" x14ac:dyDescent="0.2">
      <c r="B73171" t="s">
        <v>1</v>
      </c>
      <c r="C73171" t="s">
        <v>22669</v>
      </c>
      <c r="D73171" t="s">
        <v>23183</v>
      </c>
    </row>
    <row r="73172" spans="1:4" x14ac:dyDescent="0.2">
      <c r="B73172" t="s">
        <v>524</v>
      </c>
      <c r="C73172" t="s">
        <v>22670</v>
      </c>
      <c r="D73172" t="s">
        <v>23616</v>
      </c>
    </row>
    <row r="73174" spans="1:4" x14ac:dyDescent="0.2">
      <c r="A73174" t="s">
        <v>22671</v>
      </c>
      <c r="B73174" t="str">
        <f>HYPERLINK("https://lindat.mff.cuni.cz/services/teitok/pdtc10/index.php?action=vallex&amp;frame=v-w342f1", "čítávat (v-w342f1)")</f>
        <v>čítávat (v-w342f1)</v>
      </c>
    </row>
    <row r="73175" spans="1:4" x14ac:dyDescent="0.2">
      <c r="B73175" t="s">
        <v>1</v>
      </c>
      <c r="D73175" t="s">
        <v>12452</v>
      </c>
    </row>
    <row r="73176" spans="1:4" x14ac:dyDescent="0.2">
      <c r="B73176" t="s">
        <v>8</v>
      </c>
      <c r="D73176" t="s">
        <v>24044</v>
      </c>
    </row>
    <row r="73178" spans="1:4" x14ac:dyDescent="0.2">
      <c r="A73178" t="s">
        <v>22672</v>
      </c>
      <c r="B73178" t="str">
        <f>HYPERLINK("https://lindat.mff.cuni.cz/services/teitok/pdtc10/index.php?action=vallex&amp;frame=v-whsa_2027hsa_2028", "čůrat (v-whsa_2027hsa_2028)")</f>
        <v>čůrat (v-whsa_2027hsa_2028)</v>
      </c>
    </row>
    <row r="73179" spans="1:4" x14ac:dyDescent="0.2">
      <c r="B73179" t="s">
        <v>1</v>
      </c>
    </row>
    <row r="73181" spans="1:4" x14ac:dyDescent="0.2">
      <c r="A73181" t="s">
        <v>22673</v>
      </c>
      <c r="B73181" t="str">
        <f>HYPERLINK("https://lindat.mff.cuni.cz/services/teitok/pdtc10/index.php?action=vallex&amp;frame=v-w5858f1", "řadit (v-w5858f1)")</f>
        <v>řadit (v-w5858f1)</v>
      </c>
    </row>
    <row r="73182" spans="1:4" x14ac:dyDescent="0.2">
      <c r="B73182" t="s">
        <v>1</v>
      </c>
      <c r="D73182" t="s">
        <v>334</v>
      </c>
    </row>
    <row r="73183" spans="1:4" x14ac:dyDescent="0.2">
      <c r="B73183" t="s">
        <v>8</v>
      </c>
      <c r="C73183" t="s">
        <v>1066</v>
      </c>
      <c r="D73183" t="s">
        <v>81</v>
      </c>
    </row>
    <row r="73184" spans="1:4" x14ac:dyDescent="0.2">
      <c r="B73184" t="s">
        <v>90</v>
      </c>
      <c r="C73184" t="s">
        <v>5854</v>
      </c>
      <c r="D73184" t="s">
        <v>4020</v>
      </c>
    </row>
    <row r="73186" spans="1:4" x14ac:dyDescent="0.2">
      <c r="A73186" t="s">
        <v>22674</v>
      </c>
      <c r="B73186" t="str">
        <f>HYPERLINK("https://lindat.mff.cuni.cz/services/teitok/pdtc10/index.php?action=vallex&amp;frame=v-w5858f2", "řadit (v-w5858f2)")</f>
        <v>řadit (v-w5858f2)</v>
      </c>
    </row>
    <row r="73187" spans="1:4" x14ac:dyDescent="0.2">
      <c r="B73187" t="s">
        <v>1</v>
      </c>
      <c r="C73187" t="s">
        <v>340</v>
      </c>
      <c r="D73187" t="s">
        <v>3081</v>
      </c>
    </row>
    <row r="73188" spans="1:4" x14ac:dyDescent="0.2">
      <c r="B73188" t="s">
        <v>8</v>
      </c>
      <c r="C73188" t="s">
        <v>22675</v>
      </c>
      <c r="D73188" t="s">
        <v>2439</v>
      </c>
    </row>
    <row r="73189" spans="1:4" x14ac:dyDescent="0.2">
      <c r="B73189" t="s">
        <v>90</v>
      </c>
      <c r="C73189" t="s">
        <v>20822</v>
      </c>
      <c r="D73189" t="s">
        <v>24586</v>
      </c>
    </row>
    <row r="73191" spans="1:4" x14ac:dyDescent="0.2">
      <c r="A73191" t="s">
        <v>22676</v>
      </c>
      <c r="B73191" t="str">
        <f>HYPERLINK("https://lindat.mff.cuni.cz/services/teitok/pdtc10/index.php?action=vallex&amp;frame=v-w5858f3", "řadit (v-w5858f3)")</f>
        <v>řadit (v-w5858f3)</v>
      </c>
    </row>
    <row r="73192" spans="1:4" x14ac:dyDescent="0.2">
      <c r="B73192" t="s">
        <v>1</v>
      </c>
      <c r="C73192" t="s">
        <v>2172</v>
      </c>
      <c r="D73192" t="s">
        <v>2172</v>
      </c>
    </row>
    <row r="73193" spans="1:4" x14ac:dyDescent="0.2">
      <c r="B73193" t="s">
        <v>8</v>
      </c>
      <c r="D73193" t="s">
        <v>991</v>
      </c>
    </row>
    <row r="73195" spans="1:4" x14ac:dyDescent="0.2">
      <c r="A73195" t="s">
        <v>22677</v>
      </c>
      <c r="B73195" t="str">
        <f>HYPERLINK("https://lindat.mff.cuni.cz/services/teitok/pdtc10/index.php?action=vallex&amp;frame=v-whsa_281hsa_282", "řadit se (v-whsa_281hsa_282)")</f>
        <v>řadit se (v-whsa_281hsa_282)</v>
      </c>
    </row>
    <row r="73196" spans="1:4" x14ac:dyDescent="0.2">
      <c r="B73196" t="s">
        <v>1</v>
      </c>
      <c r="C73196" t="s">
        <v>5817</v>
      </c>
      <c r="D73196" t="s">
        <v>10477</v>
      </c>
    </row>
    <row r="73197" spans="1:4" x14ac:dyDescent="0.2">
      <c r="B73197" t="s">
        <v>90</v>
      </c>
      <c r="C73197" t="s">
        <v>22678</v>
      </c>
    </row>
    <row r="73199" spans="1:4" x14ac:dyDescent="0.2">
      <c r="A73199" t="s">
        <v>22679</v>
      </c>
      <c r="B73199" t="str">
        <f>HYPERLINK("https://lindat.mff.cuni.cz/services/teitok/pdtc10/index.php?action=vallex&amp;frame=v-whsa_281f1_ZU", "řadit se (v-whsa_281f1_ZU)")</f>
        <v>řadit se (v-whsa_281f1_ZU)</v>
      </c>
    </row>
    <row r="73200" spans="1:4" x14ac:dyDescent="0.2">
      <c r="B73200" t="s">
        <v>1</v>
      </c>
    </row>
    <row r="73201" spans="1:4" x14ac:dyDescent="0.2">
      <c r="B73201" t="s">
        <v>21175</v>
      </c>
    </row>
    <row r="73203" spans="1:4" x14ac:dyDescent="0.2">
      <c r="A73203" t="s">
        <v>22680</v>
      </c>
      <c r="B73203" t="str">
        <f>HYPERLINK("https://lindat.mff.cuni.cz/services/teitok/pdtc10/index.php?action=vallex&amp;frame=v-w5864f1", "ředit (v-w5864f1)")</f>
        <v>ředit (v-w5864f1)</v>
      </c>
    </row>
    <row r="73204" spans="1:4" x14ac:dyDescent="0.2">
      <c r="B73204" t="s">
        <v>1</v>
      </c>
    </row>
    <row r="73205" spans="1:4" x14ac:dyDescent="0.2">
      <c r="B73205" t="s">
        <v>8</v>
      </c>
    </row>
    <row r="73207" spans="1:4" x14ac:dyDescent="0.2">
      <c r="A73207" t="s">
        <v>22681</v>
      </c>
      <c r="B73207" t="str">
        <f>HYPERLINK("https://lindat.mff.cuni.cz/services/teitok/pdtc10/index.php?action=vallex&amp;frame=v-whsa_561f1_ZU", "řehtat se (v-whsa_561f1_ZU)")</f>
        <v>řehtat se (v-whsa_561f1_ZU)</v>
      </c>
    </row>
    <row r="73208" spans="1:4" x14ac:dyDescent="0.2">
      <c r="B73208" t="s">
        <v>1</v>
      </c>
    </row>
    <row r="73209" spans="1:4" x14ac:dyDescent="0.2">
      <c r="B73209" t="s">
        <v>46</v>
      </c>
    </row>
    <row r="73211" spans="1:4" x14ac:dyDescent="0.2">
      <c r="A73211" t="s">
        <v>22681</v>
      </c>
      <c r="B73211" t="str">
        <f>HYPERLINK("https://lindat.mff.cuni.cz/services/teitok/pdtc10/index.php?action=vallex&amp;frame=v-whsb_561hsa_562", "řehtat se (v-whsb_561hsa_562) - substituted with v-whsa_561f1_ZU")</f>
        <v>řehtat se (v-whsb_561hsa_562) - substituted with v-whsa_561f1_ZU</v>
      </c>
    </row>
    <row r="73212" spans="1:4" x14ac:dyDescent="0.2">
      <c r="B73212" t="s">
        <v>1</v>
      </c>
    </row>
    <row r="73213" spans="1:4" x14ac:dyDescent="0.2">
      <c r="B73213" t="s">
        <v>46</v>
      </c>
    </row>
    <row r="73215" spans="1:4" x14ac:dyDescent="0.2">
      <c r="A73215" t="s">
        <v>22682</v>
      </c>
      <c r="B73215" t="str">
        <f>HYPERLINK("https://lindat.mff.cuni.cz/services/teitok/pdtc10/index.php?action=vallex&amp;frame=v-w5873f1", "řezat (v-w5873f1)")</f>
        <v>řezat (v-w5873f1)</v>
      </c>
    </row>
    <row r="73216" spans="1:4" x14ac:dyDescent="0.2">
      <c r="B73216" t="s">
        <v>1</v>
      </c>
      <c r="D73216" t="s">
        <v>23432</v>
      </c>
    </row>
    <row r="73217" spans="1:4" x14ac:dyDescent="0.2">
      <c r="B73217" t="s">
        <v>8</v>
      </c>
      <c r="D73217" t="s">
        <v>23433</v>
      </c>
    </row>
    <row r="73218" spans="1:4" x14ac:dyDescent="0.2">
      <c r="B73218" t="s">
        <v>4283</v>
      </c>
      <c r="D73218" t="s">
        <v>23434</v>
      </c>
    </row>
    <row r="73220" spans="1:4" x14ac:dyDescent="0.2">
      <c r="A73220" t="s">
        <v>22683</v>
      </c>
      <c r="B73220" t="str">
        <f>HYPERLINK("https://lindat.mff.cuni.cz/services/teitok/pdtc10/index.php?action=vallex&amp;frame=v-w5873f2_ZU", "řezat (v-w5873f2_ZU)")</f>
        <v>řezat (v-w5873f2_ZU)</v>
      </c>
    </row>
    <row r="73221" spans="1:4" x14ac:dyDescent="0.2">
      <c r="B73221" t="s">
        <v>146</v>
      </c>
    </row>
    <row r="73222" spans="1:4" x14ac:dyDescent="0.2">
      <c r="B73222" t="s">
        <v>243</v>
      </c>
    </row>
    <row r="73224" spans="1:4" x14ac:dyDescent="0.2">
      <c r="A73224" t="s">
        <v>22684</v>
      </c>
      <c r="B73224" t="str">
        <f>HYPERLINK("https://lindat.mff.cuni.cz/services/teitok/pdtc10/index.php?action=vallex&amp;frame=v-w5873f3_ZU", "řezat (v-w5873f3_ZU)")</f>
        <v>řezat (v-w5873f3_ZU)</v>
      </c>
    </row>
    <row r="73225" spans="1:4" x14ac:dyDescent="0.2">
      <c r="B73225" t="s">
        <v>1</v>
      </c>
    </row>
    <row r="73226" spans="1:4" x14ac:dyDescent="0.2">
      <c r="B73226" t="s">
        <v>8</v>
      </c>
    </row>
    <row r="73228" spans="1:4" x14ac:dyDescent="0.2">
      <c r="A73228" t="s">
        <v>22685</v>
      </c>
      <c r="B73228" t="str">
        <f>HYPERLINK("https://lindat.mff.cuni.cz/services/teitok/pdtc10/index.php?action=vallex&amp;frame=v-whsa_856f1_ZU", "řečnit (v-whsa_856f1_ZU)")</f>
        <v>řečnit (v-whsa_856f1_ZU)</v>
      </c>
    </row>
    <row r="73229" spans="1:4" x14ac:dyDescent="0.2">
      <c r="B73229" t="s">
        <v>1</v>
      </c>
    </row>
    <row r="73230" spans="1:4" x14ac:dyDescent="0.2">
      <c r="B73230" t="s">
        <v>183</v>
      </c>
    </row>
    <row r="73231" spans="1:4" x14ac:dyDescent="0.2">
      <c r="B73231" t="s">
        <v>9035</v>
      </c>
    </row>
    <row r="73233" spans="1:4" x14ac:dyDescent="0.2">
      <c r="A73233" t="s">
        <v>22685</v>
      </c>
      <c r="B73233" t="str">
        <f>HYPERLINK("https://lindat.mff.cuni.cz/services/teitok/pdtc10/index.php?action=vallex&amp;frame=v-whsa_856hsa_857", "řečnit (v-whsa_856hsa_857) - substituted with v-whsa_856f1_ZU")</f>
        <v>řečnit (v-whsa_856hsa_857) - substituted with v-whsa_856f1_ZU</v>
      </c>
    </row>
    <row r="73234" spans="1:4" x14ac:dyDescent="0.2">
      <c r="B73234" t="s">
        <v>1</v>
      </c>
    </row>
    <row r="73235" spans="1:4" x14ac:dyDescent="0.2">
      <c r="B73235" t="s">
        <v>183</v>
      </c>
    </row>
    <row r="73236" spans="1:4" x14ac:dyDescent="0.2">
      <c r="B73236" t="s">
        <v>9035</v>
      </c>
    </row>
    <row r="73238" spans="1:4" x14ac:dyDescent="0.2">
      <c r="A73238" t="s">
        <v>22686</v>
      </c>
      <c r="B73238" t="str">
        <f>HYPERLINK("https://lindat.mff.cuni.cz/services/teitok/pdtc10/index.php?action=vallex&amp;frame=v-w5870f1", "řešit (v-w5870f1)")</f>
        <v>řešit (v-w5870f1)</v>
      </c>
    </row>
    <row r="73239" spans="1:4" x14ac:dyDescent="0.2">
      <c r="B73239" t="s">
        <v>1</v>
      </c>
      <c r="C73239" t="s">
        <v>22687</v>
      </c>
      <c r="D73239" t="s">
        <v>18782</v>
      </c>
    </row>
    <row r="73240" spans="1:4" x14ac:dyDescent="0.2">
      <c r="B73240" t="s">
        <v>1693</v>
      </c>
      <c r="C73240" t="s">
        <v>22688</v>
      </c>
      <c r="D73240" t="s">
        <v>23230</v>
      </c>
    </row>
    <row r="73242" spans="1:4" x14ac:dyDescent="0.2">
      <c r="A73242" t="s">
        <v>22689</v>
      </c>
      <c r="B73242" t="str">
        <f>HYPERLINK("https://lindat.mff.cuni.cz/services/teitok/pdtc10/index.php?action=vallex&amp;frame=v-w5870f2", "řešit (v-w5870f2)")</f>
        <v>řešit (v-w5870f2)</v>
      </c>
    </row>
    <row r="73243" spans="1:4" x14ac:dyDescent="0.2">
      <c r="B73243" t="s">
        <v>1</v>
      </c>
    </row>
    <row r="73244" spans="1:4" x14ac:dyDescent="0.2">
      <c r="B73244" t="s">
        <v>8</v>
      </c>
    </row>
    <row r="73246" spans="1:4" x14ac:dyDescent="0.2">
      <c r="A73246" t="s">
        <v>22690</v>
      </c>
      <c r="B73246" t="str">
        <f>HYPERLINK("https://lindat.mff.cuni.cz/services/teitok/pdtc10/index.php?action=vallex&amp;frame=v-w10981f2", "řinčet (v-w10981f2)")</f>
        <v>řinčet (v-w10981f2)</v>
      </c>
    </row>
    <row r="73247" spans="1:4" x14ac:dyDescent="0.2">
      <c r="B73247" t="s">
        <v>1</v>
      </c>
      <c r="D73247" t="s">
        <v>5817</v>
      </c>
    </row>
    <row r="73248" spans="1:4" x14ac:dyDescent="0.2">
      <c r="B73248" t="s">
        <v>158</v>
      </c>
      <c r="D73248" t="s">
        <v>84</v>
      </c>
    </row>
    <row r="73250" spans="1:4" x14ac:dyDescent="0.2">
      <c r="A73250" t="s">
        <v>22691</v>
      </c>
      <c r="B73250" t="str">
        <f>HYPERLINK("https://lindat.mff.cuni.cz/services/teitok/pdtc10/index.php?action=vallex&amp;frame=v-w5889f1", "řvát (v-w5889f1)")</f>
        <v>řvát (v-w5889f1)</v>
      </c>
    </row>
    <row r="73251" spans="1:4" x14ac:dyDescent="0.2">
      <c r="B73251" t="s">
        <v>1</v>
      </c>
      <c r="C73251" t="s">
        <v>83</v>
      </c>
      <c r="D73251" t="s">
        <v>2571</v>
      </c>
    </row>
    <row r="73252" spans="1:4" x14ac:dyDescent="0.2">
      <c r="B73252" t="s">
        <v>21128</v>
      </c>
      <c r="C73252" t="s">
        <v>84</v>
      </c>
      <c r="D73252" t="s">
        <v>338</v>
      </c>
    </row>
    <row r="73253" spans="1:4" x14ac:dyDescent="0.2">
      <c r="B73253" t="s">
        <v>3527</v>
      </c>
      <c r="D73253" t="s">
        <v>3728</v>
      </c>
    </row>
    <row r="73255" spans="1:4" x14ac:dyDescent="0.2">
      <c r="A73255" t="s">
        <v>22692</v>
      </c>
      <c r="B73255" t="str">
        <f>HYPERLINK("https://lindat.mff.cuni.cz/services/teitok/pdtc10/index.php?action=vallex&amp;frame=v-w5889hsa_1812", "řvát (v-w5889hsa_1812)")</f>
        <v>řvát (v-w5889hsa_1812)</v>
      </c>
    </row>
    <row r="73256" spans="1:4" x14ac:dyDescent="0.2">
      <c r="B73256" t="s">
        <v>1</v>
      </c>
    </row>
    <row r="73258" spans="1:4" x14ac:dyDescent="0.2">
      <c r="A73258" t="s">
        <v>22693</v>
      </c>
      <c r="B73258" t="str">
        <f>HYPERLINK("https://lindat.mff.cuni.cz/services/teitok/pdtc10/index.php?action=vallex&amp;frame=v-w5859f1", "řádit (v-w5859f1)")</f>
        <v>řádit (v-w5859f1)</v>
      </c>
    </row>
    <row r="73259" spans="1:4" x14ac:dyDescent="0.2">
      <c r="B73259" t="s">
        <v>1</v>
      </c>
    </row>
    <row r="73261" spans="1:4" x14ac:dyDescent="0.2">
      <c r="A73261" t="s">
        <v>22694</v>
      </c>
      <c r="B73261" t="str">
        <f>HYPERLINK("https://lindat.mff.cuni.cz/services/teitok/pdtc10/index.php?action=vallex&amp;frame=v-w5874f8", "říci (v-w5874f8)")</f>
        <v>říci (v-w5874f8)</v>
      </c>
    </row>
    <row r="73262" spans="1:4" x14ac:dyDescent="0.2">
      <c r="B73262" t="s">
        <v>1</v>
      </c>
      <c r="C73262" t="s">
        <v>5452</v>
      </c>
    </row>
    <row r="73263" spans="1:4" x14ac:dyDescent="0.2">
      <c r="B73263" t="s">
        <v>22695</v>
      </c>
      <c r="C73263" t="s">
        <v>5455</v>
      </c>
    </row>
    <row r="73264" spans="1:4" x14ac:dyDescent="0.2">
      <c r="B73264" t="s">
        <v>35</v>
      </c>
      <c r="C73264" t="s">
        <v>5453</v>
      </c>
    </row>
    <row r="73266" spans="1:4" x14ac:dyDescent="0.2">
      <c r="A73266" t="s">
        <v>22696</v>
      </c>
      <c r="B73266" t="str">
        <f>HYPERLINK("https://lindat.mff.cuni.cz/services/teitok/pdtc10/index.php?action=vallex&amp;frame=v-w5874f6", "říci (v-w5874f6)")</f>
        <v>říci (v-w5874f6)</v>
      </c>
    </row>
    <row r="73267" spans="1:4" x14ac:dyDescent="0.2">
      <c r="B73267" t="s">
        <v>1</v>
      </c>
    </row>
    <row r="73268" spans="1:4" x14ac:dyDescent="0.2">
      <c r="B73268" t="s">
        <v>467</v>
      </c>
    </row>
    <row r="73269" spans="1:4" x14ac:dyDescent="0.2">
      <c r="B73269" t="s">
        <v>35</v>
      </c>
    </row>
    <row r="73271" spans="1:4" x14ac:dyDescent="0.2">
      <c r="A73271" t="s">
        <v>22697</v>
      </c>
      <c r="B73271" t="str">
        <f>HYPERLINK("https://lindat.mff.cuni.cz/services/teitok/pdtc10/index.php?action=vallex&amp;frame=v-w5874f4", "říci (v-w5874f4)")</f>
        <v>říci (v-w5874f4)</v>
      </c>
    </row>
    <row r="73272" spans="1:4" x14ac:dyDescent="0.2">
      <c r="B73272" t="s">
        <v>1</v>
      </c>
      <c r="C73272" t="s">
        <v>5452</v>
      </c>
      <c r="D73272" t="s">
        <v>22967</v>
      </c>
    </row>
    <row r="73273" spans="1:4" x14ac:dyDescent="0.2">
      <c r="B73273" t="s">
        <v>183</v>
      </c>
      <c r="C73273" t="s">
        <v>2240</v>
      </c>
      <c r="D73273" t="s">
        <v>22968</v>
      </c>
    </row>
    <row r="73274" spans="1:4" x14ac:dyDescent="0.2">
      <c r="B73274" t="s">
        <v>35</v>
      </c>
      <c r="C73274" t="s">
        <v>5453</v>
      </c>
      <c r="D73274" t="s">
        <v>22969</v>
      </c>
    </row>
    <row r="73276" spans="1:4" x14ac:dyDescent="0.2">
      <c r="A73276" t="s">
        <v>22698</v>
      </c>
      <c r="B73276" t="str">
        <f>HYPERLINK("https://lindat.mff.cuni.cz/services/teitok/pdtc10/index.php?action=vallex&amp;frame=v-w5874f3", "říci (v-w5874f3)")</f>
        <v>říci (v-w5874f3)</v>
      </c>
    </row>
    <row r="73277" spans="1:4" x14ac:dyDescent="0.2">
      <c r="B73277" t="s">
        <v>1</v>
      </c>
      <c r="C73277" t="s">
        <v>3413</v>
      </c>
      <c r="D73277" t="s">
        <v>133</v>
      </c>
    </row>
    <row r="73278" spans="1:4" x14ac:dyDescent="0.2">
      <c r="B73278" t="s">
        <v>8</v>
      </c>
      <c r="C73278" t="s">
        <v>22699</v>
      </c>
      <c r="D73278" t="s">
        <v>34</v>
      </c>
    </row>
    <row r="73279" spans="1:4" x14ac:dyDescent="0.2">
      <c r="B73279" t="s">
        <v>78</v>
      </c>
      <c r="C73279" t="s">
        <v>3280</v>
      </c>
    </row>
    <row r="73281" spans="1:2" x14ac:dyDescent="0.2">
      <c r="A73281" t="s">
        <v>22700</v>
      </c>
      <c r="B73281" t="str">
        <f>HYPERLINK("https://lindat.mff.cuni.cz/services/teitok/pdtc10/index.php?action=vallex&amp;frame=v-w5874f5", "říci (v-w5874f5)")</f>
        <v>říci (v-w5874f5)</v>
      </c>
    </row>
    <row r="73282" spans="1:2" x14ac:dyDescent="0.2">
      <c r="B73282" t="s">
        <v>1</v>
      </c>
    </row>
    <row r="73283" spans="1:2" x14ac:dyDescent="0.2">
      <c r="B73283" t="s">
        <v>22701</v>
      </c>
    </row>
    <row r="73284" spans="1:2" x14ac:dyDescent="0.2">
      <c r="B73284" t="s">
        <v>184</v>
      </c>
    </row>
    <row r="73286" spans="1:2" x14ac:dyDescent="0.2">
      <c r="A73286" t="s">
        <v>22702</v>
      </c>
      <c r="B73286" t="str">
        <f>HYPERLINK("https://lindat.mff.cuni.cz/services/teitok/pdtc10/index.php?action=vallex&amp;frame=v-w5874f7", "říci (v-w5874f7)")</f>
        <v>říci (v-w5874f7)</v>
      </c>
    </row>
    <row r="73287" spans="1:2" x14ac:dyDescent="0.2">
      <c r="B73287" t="s">
        <v>1</v>
      </c>
    </row>
    <row r="73288" spans="1:2" x14ac:dyDescent="0.2">
      <c r="B73288" t="s">
        <v>103</v>
      </c>
    </row>
    <row r="73289" spans="1:2" x14ac:dyDescent="0.2">
      <c r="B73289" t="s">
        <v>8063</v>
      </c>
    </row>
    <row r="73291" spans="1:2" x14ac:dyDescent="0.2">
      <c r="A73291" t="s">
        <v>22703</v>
      </c>
      <c r="B73291" t="str">
        <f>HYPERLINK("https://lindat.mff.cuni.cz/services/teitok/pdtc10/index.php?action=vallex&amp;frame=v-w5874f12_ZU", "říci (v-w5874f12_ZU)")</f>
        <v>říci (v-w5874f12_ZU)</v>
      </c>
    </row>
    <row r="73292" spans="1:2" x14ac:dyDescent="0.2">
      <c r="B73292" t="s">
        <v>1</v>
      </c>
    </row>
    <row r="73293" spans="1:2" x14ac:dyDescent="0.2">
      <c r="B73293" t="s">
        <v>5601</v>
      </c>
    </row>
    <row r="73294" spans="1:2" x14ac:dyDescent="0.2">
      <c r="B73294" t="s">
        <v>415</v>
      </c>
    </row>
    <row r="73295" spans="1:2" x14ac:dyDescent="0.2">
      <c r="B73295" t="s">
        <v>346</v>
      </c>
    </row>
    <row r="73296" spans="1:2" x14ac:dyDescent="0.2">
      <c r="B73296" t="s">
        <v>348</v>
      </c>
    </row>
    <row r="73297" spans="1:2" x14ac:dyDescent="0.2">
      <c r="B73297" t="s">
        <v>349</v>
      </c>
    </row>
    <row r="73298" spans="1:2" x14ac:dyDescent="0.2">
      <c r="B73298" t="s">
        <v>350</v>
      </c>
    </row>
    <row r="73299" spans="1:2" x14ac:dyDescent="0.2">
      <c r="B73299" t="s">
        <v>351</v>
      </c>
    </row>
    <row r="73301" spans="1:2" x14ac:dyDescent="0.2">
      <c r="A73301" t="s">
        <v>22703</v>
      </c>
      <c r="B73301" t="str">
        <f>HYPERLINK("https://lindat.mff.cuni.cz/services/teitok/pdtc10/index.php?action=vallex&amp;frame=v-w5874f9", "říci (v-w5874f9) - substituted with v-w5874f12_ZU")</f>
        <v>říci (v-w5874f9) - substituted with v-w5874f12_ZU</v>
      </c>
    </row>
    <row r="73302" spans="1:2" x14ac:dyDescent="0.2">
      <c r="B73302" t="s">
        <v>1</v>
      </c>
    </row>
    <row r="73303" spans="1:2" x14ac:dyDescent="0.2">
      <c r="B73303" t="s">
        <v>5601</v>
      </c>
    </row>
    <row r="73304" spans="1:2" x14ac:dyDescent="0.2">
      <c r="B73304" t="s">
        <v>415</v>
      </c>
    </row>
    <row r="73305" spans="1:2" x14ac:dyDescent="0.2">
      <c r="B73305" t="s">
        <v>346</v>
      </c>
    </row>
    <row r="73306" spans="1:2" x14ac:dyDescent="0.2">
      <c r="B73306" t="s">
        <v>348</v>
      </c>
    </row>
    <row r="73307" spans="1:2" x14ac:dyDescent="0.2">
      <c r="B73307" t="s">
        <v>349</v>
      </c>
    </row>
    <row r="73308" spans="1:2" x14ac:dyDescent="0.2">
      <c r="B73308" t="s">
        <v>350</v>
      </c>
    </row>
    <row r="73309" spans="1:2" x14ac:dyDescent="0.2">
      <c r="B73309" t="s">
        <v>351</v>
      </c>
    </row>
    <row r="73311" spans="1:2" x14ac:dyDescent="0.2">
      <c r="A73311" t="s">
        <v>22704</v>
      </c>
      <c r="B73311" t="str">
        <f>HYPERLINK("https://lindat.mff.cuni.cz/services/teitok/pdtc10/index.php?action=vallex&amp;frame=v-w5874f15_MM", "říci (v-w5874f15_MM)")</f>
        <v>říci (v-w5874f15_MM)</v>
      </c>
    </row>
    <row r="73312" spans="1:2" x14ac:dyDescent="0.2">
      <c r="B73312" t="s">
        <v>1</v>
      </c>
    </row>
    <row r="73313" spans="1:4" x14ac:dyDescent="0.2">
      <c r="B73313" t="s">
        <v>35</v>
      </c>
    </row>
    <row r="73314" spans="1:4" x14ac:dyDescent="0.2">
      <c r="B73314" t="s">
        <v>22705</v>
      </c>
    </row>
    <row r="73315" spans="1:4" x14ac:dyDescent="0.2">
      <c r="B73315" t="s">
        <v>22706</v>
      </c>
    </row>
    <row r="73317" spans="1:4" x14ac:dyDescent="0.2">
      <c r="A73317" t="s">
        <v>22704</v>
      </c>
      <c r="B73317" t="str">
        <f>HYPERLINK("https://lindat.mff.cuni.cz/services/teitok/pdtc10/index.php?action=vallex&amp;frame=v-w5874f1", "říci (v-w5874f1) - substituted with v-w5874f15_MM")</f>
        <v>říci (v-w5874f1) - substituted with v-w5874f15_MM</v>
      </c>
    </row>
    <row r="73318" spans="1:4" x14ac:dyDescent="0.2">
      <c r="B73318" t="s">
        <v>1</v>
      </c>
      <c r="C73318" t="s">
        <v>22707</v>
      </c>
      <c r="D73318" t="s">
        <v>23758</v>
      </c>
    </row>
    <row r="73319" spans="1:4" x14ac:dyDescent="0.2">
      <c r="B73319" t="s">
        <v>35</v>
      </c>
      <c r="C73319" t="s">
        <v>22708</v>
      </c>
      <c r="D73319" t="s">
        <v>23759</v>
      </c>
    </row>
    <row r="73320" spans="1:4" x14ac:dyDescent="0.2">
      <c r="B73320" t="s">
        <v>22705</v>
      </c>
      <c r="C73320" t="s">
        <v>22709</v>
      </c>
      <c r="D73320" t="s">
        <v>23760</v>
      </c>
    </row>
    <row r="73321" spans="1:4" x14ac:dyDescent="0.2">
      <c r="B73321" t="s">
        <v>22706</v>
      </c>
      <c r="C73321" t="s">
        <v>22710</v>
      </c>
      <c r="D73321" t="s">
        <v>22968</v>
      </c>
    </row>
    <row r="73323" spans="1:4" x14ac:dyDescent="0.2">
      <c r="A73323" t="s">
        <v>22704</v>
      </c>
      <c r="B73323" t="str">
        <f>HYPERLINK("https://lindat.mff.cuni.cz/services/teitok/pdtc10/index.php?action=vallex&amp;frame=v-w5874f14_ZU", "říci (v-w5874f14_ZU) - substituted with v-w5874f15_MM")</f>
        <v>říci (v-w5874f14_ZU) - substituted with v-w5874f15_MM</v>
      </c>
    </row>
    <row r="73324" spans="1:4" x14ac:dyDescent="0.2">
      <c r="B73324" t="s">
        <v>1</v>
      </c>
    </row>
    <row r="73325" spans="1:4" x14ac:dyDescent="0.2">
      <c r="B73325" t="s">
        <v>35</v>
      </c>
    </row>
    <row r="73326" spans="1:4" x14ac:dyDescent="0.2">
      <c r="B73326" t="s">
        <v>22705</v>
      </c>
    </row>
    <row r="73327" spans="1:4" x14ac:dyDescent="0.2">
      <c r="B73327" t="s">
        <v>22706</v>
      </c>
    </row>
    <row r="73329" spans="1:4" x14ac:dyDescent="0.2">
      <c r="A73329" t="s">
        <v>22711</v>
      </c>
      <c r="B73329" t="str">
        <f>HYPERLINK("https://lindat.mff.cuni.cz/services/teitok/pdtc10/index.php?action=vallex&amp;frame=v-w5874f2", "říci (v-w5874f2)")</f>
        <v>říci (v-w5874f2)</v>
      </c>
    </row>
    <row r="73330" spans="1:4" x14ac:dyDescent="0.2">
      <c r="B73330" t="s">
        <v>1</v>
      </c>
      <c r="D73330" t="s">
        <v>16715</v>
      </c>
    </row>
    <row r="73331" spans="1:4" x14ac:dyDescent="0.2">
      <c r="B73331" t="s">
        <v>35</v>
      </c>
      <c r="D73331" t="s">
        <v>24517</v>
      </c>
    </row>
    <row r="73332" spans="1:4" x14ac:dyDescent="0.2">
      <c r="B73332" t="s">
        <v>22712</v>
      </c>
      <c r="D73332" t="s">
        <v>24516</v>
      </c>
    </row>
    <row r="73333" spans="1:4" x14ac:dyDescent="0.2">
      <c r="B73333" t="s">
        <v>46</v>
      </c>
    </row>
    <row r="73335" spans="1:4" x14ac:dyDescent="0.2">
      <c r="A73335" t="s">
        <v>22713</v>
      </c>
      <c r="B73335" t="str">
        <f>HYPERLINK("https://lindat.mff.cuni.cz/services/teitok/pdtc10/index.php?action=vallex&amp;frame=v-w5874f10_ZU", "říci (v-w5874f10_ZU)")</f>
        <v>říci (v-w5874f10_ZU)</v>
      </c>
    </row>
    <row r="73336" spans="1:4" x14ac:dyDescent="0.2">
      <c r="B73336" t="s">
        <v>1</v>
      </c>
    </row>
    <row r="73337" spans="1:4" x14ac:dyDescent="0.2">
      <c r="B73337" t="s">
        <v>8</v>
      </c>
    </row>
    <row r="73338" spans="1:4" x14ac:dyDescent="0.2">
      <c r="B73338" t="s">
        <v>78</v>
      </c>
    </row>
    <row r="73340" spans="1:4" x14ac:dyDescent="0.2">
      <c r="A73340" t="s">
        <v>22714</v>
      </c>
      <c r="B73340" t="str">
        <f>HYPERLINK("https://lindat.mff.cuni.cz/services/teitok/pdtc10/index.php?action=vallex&amp;frame=v-w5874f13_ZU", "říci (v-w5874f13_ZU)")</f>
        <v>říci (v-w5874f13_ZU)</v>
      </c>
    </row>
    <row r="73341" spans="1:4" x14ac:dyDescent="0.2">
      <c r="B73341" t="s">
        <v>1</v>
      </c>
    </row>
    <row r="73342" spans="1:4" x14ac:dyDescent="0.2">
      <c r="B73342" t="s">
        <v>8</v>
      </c>
    </row>
    <row r="73343" spans="1:4" x14ac:dyDescent="0.2">
      <c r="B73343" t="s">
        <v>22715</v>
      </c>
    </row>
    <row r="73345" spans="1:3" x14ac:dyDescent="0.2">
      <c r="A73345" t="s">
        <v>22714</v>
      </c>
      <c r="B73345" t="str">
        <f>HYPERLINK("https://lindat.mff.cuni.cz/services/teitok/pdtc10/index.php?action=vallex&amp;frame=v-w5874f11_ZU", "říci (v-w5874f11_ZU) - substituted with v-w5874f13_ZU")</f>
        <v>říci (v-w5874f11_ZU) - substituted with v-w5874f13_ZU</v>
      </c>
    </row>
    <row r="73346" spans="1:3" x14ac:dyDescent="0.2">
      <c r="B73346" t="s">
        <v>1</v>
      </c>
    </row>
    <row r="73347" spans="1:3" x14ac:dyDescent="0.2">
      <c r="B73347" t="s">
        <v>8</v>
      </c>
    </row>
    <row r="73348" spans="1:3" x14ac:dyDescent="0.2">
      <c r="B73348" t="s">
        <v>22715</v>
      </c>
    </row>
    <row r="73350" spans="1:3" x14ac:dyDescent="0.2">
      <c r="A73350" t="s">
        <v>22716</v>
      </c>
      <c r="B73350" t="str">
        <f>HYPERLINK("https://lindat.mff.cuni.cz/services/teitok/pdtc10/index.php?action=vallex&amp;frame=v-w5874hsa_1031", "říci (v-w5874hsa_1031)")</f>
        <v>říci (v-w5874hsa_1031)</v>
      </c>
    </row>
    <row r="73351" spans="1:3" x14ac:dyDescent="0.2">
      <c r="B73351" t="s">
        <v>1</v>
      </c>
    </row>
    <row r="73352" spans="1:3" x14ac:dyDescent="0.2">
      <c r="B73352" t="s">
        <v>12551</v>
      </c>
    </row>
    <row r="73354" spans="1:3" x14ac:dyDescent="0.2">
      <c r="A73354" t="s">
        <v>22717</v>
      </c>
      <c r="B73354" t="str">
        <f>HYPERLINK("https://lindat.mff.cuni.cz/services/teitok/pdtc10/index.php?action=vallex&amp;frame=v-w5875f1", "říci si (v-w5875f1)")</f>
        <v>říci si (v-w5875f1)</v>
      </c>
    </row>
    <row r="73355" spans="1:3" x14ac:dyDescent="0.2">
      <c r="B73355" t="s">
        <v>1</v>
      </c>
      <c r="C73355" t="s">
        <v>3413</v>
      </c>
    </row>
    <row r="73356" spans="1:3" x14ac:dyDescent="0.2">
      <c r="B73356" t="s">
        <v>22718</v>
      </c>
      <c r="C73356" t="s">
        <v>22699</v>
      </c>
    </row>
    <row r="73358" spans="1:3" x14ac:dyDescent="0.2">
      <c r="A73358" t="s">
        <v>22719</v>
      </c>
      <c r="B73358" t="str">
        <f>HYPERLINK("https://lindat.mff.cuni.cz/services/teitok/pdtc10/index.php?action=vallex&amp;frame=v-w5875hsa_1839", "říci si (v-w5875hsa_1839)")</f>
        <v>říci si (v-w5875hsa_1839)</v>
      </c>
    </row>
    <row r="73359" spans="1:3" x14ac:dyDescent="0.2">
      <c r="B73359" t="s">
        <v>1</v>
      </c>
    </row>
    <row r="73360" spans="1:3" x14ac:dyDescent="0.2">
      <c r="B73360" t="s">
        <v>153</v>
      </c>
    </row>
    <row r="73361" spans="1:4" x14ac:dyDescent="0.2">
      <c r="B73361" t="s">
        <v>1609</v>
      </c>
    </row>
    <row r="73362" spans="1:4" x14ac:dyDescent="0.2">
      <c r="B73362" t="s">
        <v>269</v>
      </c>
    </row>
    <row r="73364" spans="1:4" x14ac:dyDescent="0.2">
      <c r="A73364" t="s">
        <v>22720</v>
      </c>
      <c r="B73364" t="str">
        <f>HYPERLINK("https://lindat.mff.cuni.cz/services/teitok/pdtc10/index.php?action=vallex&amp;frame=v-whsa_1861hsa_1862", "říct si (v-whsa_1861hsa_1862)")</f>
        <v>říct si (v-whsa_1861hsa_1862)</v>
      </c>
    </row>
    <row r="73365" spans="1:4" x14ac:dyDescent="0.2">
      <c r="B73365" t="s">
        <v>1</v>
      </c>
    </row>
    <row r="73366" spans="1:4" x14ac:dyDescent="0.2">
      <c r="B73366" t="s">
        <v>153</v>
      </c>
    </row>
    <row r="73367" spans="1:4" x14ac:dyDescent="0.2">
      <c r="B73367" t="s">
        <v>1609</v>
      </c>
    </row>
    <row r="73368" spans="1:4" x14ac:dyDescent="0.2">
      <c r="B73368" t="s">
        <v>269</v>
      </c>
    </row>
    <row r="73370" spans="1:4" x14ac:dyDescent="0.2">
      <c r="A73370" t="s">
        <v>22721</v>
      </c>
      <c r="B73370" t="str">
        <f>HYPERLINK("https://lindat.mff.cuni.cz/services/teitok/pdtc10/index.php?action=vallex&amp;frame=v-w5879f1", "řídit (v-w5879f1)")</f>
        <v>řídit (v-w5879f1)</v>
      </c>
    </row>
    <row r="73371" spans="1:4" x14ac:dyDescent="0.2">
      <c r="B73371" t="s">
        <v>1</v>
      </c>
      <c r="C73371" t="s">
        <v>22722</v>
      </c>
      <c r="D73371" t="s">
        <v>23098</v>
      </c>
    </row>
    <row r="73372" spans="1:4" x14ac:dyDescent="0.2">
      <c r="B73372" t="s">
        <v>8</v>
      </c>
      <c r="C73372" t="s">
        <v>22723</v>
      </c>
      <c r="D73372" t="s">
        <v>16830</v>
      </c>
    </row>
    <row r="73374" spans="1:4" x14ac:dyDescent="0.2">
      <c r="A73374" t="s">
        <v>22724</v>
      </c>
      <c r="B73374" t="str">
        <f>HYPERLINK("https://lindat.mff.cuni.cz/services/teitok/pdtc10/index.php?action=vallex&amp;frame=v-w5879f2", "řídit (v-w5879f2)")</f>
        <v>řídit (v-w5879f2)</v>
      </c>
    </row>
    <row r="73375" spans="1:4" x14ac:dyDescent="0.2">
      <c r="B73375" t="s">
        <v>1</v>
      </c>
      <c r="C73375" t="s">
        <v>22725</v>
      </c>
      <c r="D73375" t="s">
        <v>430</v>
      </c>
    </row>
    <row r="73376" spans="1:4" x14ac:dyDescent="0.2">
      <c r="B73376" t="s">
        <v>8</v>
      </c>
      <c r="C73376" t="s">
        <v>3072</v>
      </c>
      <c r="D73376" t="s">
        <v>56</v>
      </c>
    </row>
    <row r="73378" spans="1:4" x14ac:dyDescent="0.2">
      <c r="A73378" t="s">
        <v>22726</v>
      </c>
      <c r="B73378" t="str">
        <f>HYPERLINK("https://lindat.mff.cuni.cz/services/teitok/pdtc10/index.php?action=vallex&amp;frame=v-w5879hsa_84", "řídit (v-w5879hsa_84)")</f>
        <v>řídit (v-w5879hsa_84)</v>
      </c>
    </row>
    <row r="73379" spans="1:4" x14ac:dyDescent="0.2">
      <c r="B73379" t="s">
        <v>1</v>
      </c>
    </row>
    <row r="73380" spans="1:4" x14ac:dyDescent="0.2">
      <c r="B73380" t="s">
        <v>8</v>
      </c>
    </row>
    <row r="73382" spans="1:4" x14ac:dyDescent="0.2">
      <c r="A73382" t="s">
        <v>22727</v>
      </c>
      <c r="B73382" t="str">
        <f>HYPERLINK("https://lindat.mff.cuni.cz/services/teitok/pdtc10/index.php?action=vallex&amp;frame=v-w5880f1", "řídit se (v-w5880f1)")</f>
        <v>řídit se (v-w5880f1)</v>
      </c>
    </row>
    <row r="73383" spans="1:4" x14ac:dyDescent="0.2">
      <c r="B73383" t="s">
        <v>1</v>
      </c>
      <c r="C73383" t="s">
        <v>22728</v>
      </c>
      <c r="D73383" t="s">
        <v>23082</v>
      </c>
    </row>
    <row r="73384" spans="1:4" x14ac:dyDescent="0.2">
      <c r="B73384" t="s">
        <v>22729</v>
      </c>
      <c r="C73384" t="s">
        <v>22730</v>
      </c>
      <c r="D73384" t="s">
        <v>1478</v>
      </c>
    </row>
    <row r="73386" spans="1:4" x14ac:dyDescent="0.2">
      <c r="A73386" t="s">
        <v>22731</v>
      </c>
      <c r="B73386" t="str">
        <f>HYPERLINK("https://lindat.mff.cuni.cz/services/teitok/pdtc10/index.php?action=vallex&amp;frame=v-w5881f1", "řídnout (v-w5881f1)")</f>
        <v>řídnout (v-w5881f1)</v>
      </c>
    </row>
    <row r="73387" spans="1:4" x14ac:dyDescent="0.2">
      <c r="B73387" t="s">
        <v>1</v>
      </c>
    </row>
    <row r="73389" spans="1:4" x14ac:dyDescent="0.2">
      <c r="A73389" t="s">
        <v>22732</v>
      </c>
      <c r="B73389" t="str">
        <f>HYPERLINK("https://lindat.mff.cuni.cz/services/teitok/pdtc10/index.php?action=vallex&amp;frame=v-w5882f8", "říkat (v-w5882f8)")</f>
        <v>říkat (v-w5882f8)</v>
      </c>
    </row>
    <row r="73390" spans="1:4" x14ac:dyDescent="0.2">
      <c r="B73390" t="s">
        <v>1</v>
      </c>
    </row>
    <row r="73391" spans="1:4" x14ac:dyDescent="0.2">
      <c r="B73391" t="s">
        <v>467</v>
      </c>
    </row>
    <row r="73392" spans="1:4" x14ac:dyDescent="0.2">
      <c r="B73392" t="s">
        <v>35</v>
      </c>
    </row>
    <row r="73394" spans="1:4" x14ac:dyDescent="0.2">
      <c r="A73394" t="s">
        <v>22733</v>
      </c>
      <c r="B73394" t="str">
        <f>HYPERLINK("https://lindat.mff.cuni.cz/services/teitok/pdtc10/index.php?action=vallex&amp;frame=v-w5882f7", "říkat (v-w5882f7)")</f>
        <v>říkat (v-w5882f7)</v>
      </c>
    </row>
    <row r="73395" spans="1:4" x14ac:dyDescent="0.2">
      <c r="B73395" t="s">
        <v>1</v>
      </c>
      <c r="D73395" t="s">
        <v>16715</v>
      </c>
    </row>
    <row r="73396" spans="1:4" x14ac:dyDescent="0.2">
      <c r="B73396" t="s">
        <v>183</v>
      </c>
      <c r="D73396" t="s">
        <v>24587</v>
      </c>
    </row>
    <row r="73397" spans="1:4" x14ac:dyDescent="0.2">
      <c r="B73397" t="s">
        <v>35</v>
      </c>
      <c r="D73397" t="s">
        <v>24517</v>
      </c>
    </row>
    <row r="73399" spans="1:4" x14ac:dyDescent="0.2">
      <c r="A73399" t="s">
        <v>22734</v>
      </c>
      <c r="B73399" t="str">
        <f>HYPERLINK("https://lindat.mff.cuni.cz/services/teitok/pdtc10/index.php?action=vallex&amp;frame=v-w5882f3", "říkat (v-w5882f3)")</f>
        <v>říkat (v-w5882f3)</v>
      </c>
    </row>
    <row r="73400" spans="1:4" x14ac:dyDescent="0.2">
      <c r="B73400" t="s">
        <v>1</v>
      </c>
      <c r="D73400" t="s">
        <v>133</v>
      </c>
    </row>
    <row r="73401" spans="1:4" x14ac:dyDescent="0.2">
      <c r="B73401" t="s">
        <v>8</v>
      </c>
      <c r="D73401" t="s">
        <v>34</v>
      </c>
    </row>
    <row r="73402" spans="1:4" x14ac:dyDescent="0.2">
      <c r="B73402" t="s">
        <v>78</v>
      </c>
    </row>
    <row r="73404" spans="1:4" x14ac:dyDescent="0.2">
      <c r="A73404" t="s">
        <v>22735</v>
      </c>
      <c r="B73404" t="str">
        <f>HYPERLINK("https://lindat.mff.cuni.cz/services/teitok/pdtc10/index.php?action=vallex&amp;frame=v-w5882f14_ZU", "říkat (v-w5882f14_ZU)")</f>
        <v>říkat (v-w5882f14_ZU)</v>
      </c>
    </row>
    <row r="73405" spans="1:4" x14ac:dyDescent="0.2">
      <c r="B73405" t="s">
        <v>1</v>
      </c>
    </row>
    <row r="73406" spans="1:4" x14ac:dyDescent="0.2">
      <c r="B73406" t="s">
        <v>103</v>
      </c>
    </row>
    <row r="73407" spans="1:4" x14ac:dyDescent="0.2">
      <c r="B73407" t="s">
        <v>22736</v>
      </c>
    </row>
    <row r="73409" spans="1:4" x14ac:dyDescent="0.2">
      <c r="A73409" t="s">
        <v>22735</v>
      </c>
      <c r="B73409" t="str">
        <f>HYPERLINK("https://lindat.mff.cuni.cz/services/teitok/pdtc10/index.php?action=vallex&amp;frame=v-w5882f2", "říkat (v-w5882f2) - substituted with v-w5882f14_ZU")</f>
        <v>říkat (v-w5882f2) - substituted with v-w5882f14_ZU</v>
      </c>
    </row>
    <row r="73410" spans="1:4" x14ac:dyDescent="0.2">
      <c r="B73410" t="s">
        <v>1</v>
      </c>
      <c r="C73410" t="s">
        <v>22737</v>
      </c>
    </row>
    <row r="73411" spans="1:4" x14ac:dyDescent="0.2">
      <c r="B73411" t="s">
        <v>103</v>
      </c>
      <c r="C73411" t="s">
        <v>16453</v>
      </c>
    </row>
    <row r="73412" spans="1:4" x14ac:dyDescent="0.2">
      <c r="B73412" t="s">
        <v>22736</v>
      </c>
      <c r="C73412" t="s">
        <v>8064</v>
      </c>
    </row>
    <row r="73414" spans="1:4" x14ac:dyDescent="0.2">
      <c r="A73414" t="s">
        <v>22735</v>
      </c>
      <c r="B73414" t="str">
        <f>HYPERLINK("https://lindat.mff.cuni.cz/services/teitok/pdtc10/index.php?action=vallex&amp;frame=v-w5882f9_ZU", "říkat (v-w5882f9_ZU) - substituted with v-w5882f14_ZU")</f>
        <v>říkat (v-w5882f9_ZU) - substituted with v-w5882f14_ZU</v>
      </c>
    </row>
    <row r="73415" spans="1:4" x14ac:dyDescent="0.2">
      <c r="B73415" t="s">
        <v>1</v>
      </c>
      <c r="C73415" t="s">
        <v>6388</v>
      </c>
      <c r="D73415" t="s">
        <v>7388</v>
      </c>
    </row>
    <row r="73416" spans="1:4" x14ac:dyDescent="0.2">
      <c r="B73416" t="s">
        <v>103</v>
      </c>
      <c r="C73416" t="s">
        <v>6389</v>
      </c>
      <c r="D73416" t="s">
        <v>23588</v>
      </c>
    </row>
    <row r="73417" spans="1:4" x14ac:dyDescent="0.2">
      <c r="B73417" t="s">
        <v>22736</v>
      </c>
      <c r="C73417" t="s">
        <v>8064</v>
      </c>
      <c r="D73417" t="s">
        <v>23589</v>
      </c>
    </row>
    <row r="73419" spans="1:4" x14ac:dyDescent="0.2">
      <c r="A73419" t="s">
        <v>22735</v>
      </c>
      <c r="B73419" t="str">
        <f>HYPERLINK("https://lindat.mff.cuni.cz/services/teitok/pdtc10/index.php?action=vallex&amp;frame=v-w5882hsa_918", "říkat (v-w5882hsa_918) - substituted with v-w5882f14_ZU")</f>
        <v>říkat (v-w5882hsa_918) - substituted with v-w5882f14_ZU</v>
      </c>
    </row>
    <row r="73420" spans="1:4" x14ac:dyDescent="0.2">
      <c r="B73420" t="s">
        <v>1</v>
      </c>
    </row>
    <row r="73421" spans="1:4" x14ac:dyDescent="0.2">
      <c r="B73421" t="s">
        <v>103</v>
      </c>
    </row>
    <row r="73422" spans="1:4" x14ac:dyDescent="0.2">
      <c r="B73422" t="s">
        <v>22736</v>
      </c>
    </row>
    <row r="73424" spans="1:4" x14ac:dyDescent="0.2">
      <c r="A73424" t="s">
        <v>22735</v>
      </c>
      <c r="B73424" t="str">
        <f>HYPERLINK("https://lindat.mff.cuni.cz/services/teitok/pdtc10/index.php?action=vallex&amp;frame=v-w5882hsa_919", "říkat (v-w5882hsa_919) - substituted with v-w5882f14_ZU")</f>
        <v>říkat (v-w5882hsa_919) - substituted with v-w5882f14_ZU</v>
      </c>
    </row>
    <row r="73425" spans="1:2" x14ac:dyDescent="0.2">
      <c r="B73425" t="s">
        <v>1</v>
      </c>
    </row>
    <row r="73426" spans="1:2" x14ac:dyDescent="0.2">
      <c r="B73426" t="s">
        <v>103</v>
      </c>
    </row>
    <row r="73427" spans="1:2" x14ac:dyDescent="0.2">
      <c r="B73427" t="s">
        <v>22736</v>
      </c>
    </row>
    <row r="73429" spans="1:2" x14ac:dyDescent="0.2">
      <c r="A73429" t="s">
        <v>22738</v>
      </c>
      <c r="B73429" t="str">
        <f>HYPERLINK("https://lindat.mff.cuni.cz/services/teitok/pdtc10/index.php?action=vallex&amp;frame=v-w5882f13_ZU", "říkat (v-w5882f13_ZU)")</f>
        <v>říkat (v-w5882f13_ZU)</v>
      </c>
    </row>
    <row r="73430" spans="1:2" x14ac:dyDescent="0.2">
      <c r="B73430" t="s">
        <v>1</v>
      </c>
    </row>
    <row r="73431" spans="1:2" x14ac:dyDescent="0.2">
      <c r="B73431" t="s">
        <v>8445</v>
      </c>
    </row>
    <row r="73432" spans="1:2" x14ac:dyDescent="0.2">
      <c r="B73432" t="s">
        <v>184</v>
      </c>
    </row>
    <row r="73434" spans="1:2" x14ac:dyDescent="0.2">
      <c r="A73434" t="s">
        <v>22738</v>
      </c>
      <c r="B73434" t="str">
        <f>HYPERLINK("https://lindat.mff.cuni.cz/services/teitok/pdtc10/index.php?action=vallex&amp;frame=v-w5882f5", "říkat (v-w5882f5) - substituted with v-w5882f13_ZU")</f>
        <v>říkat (v-w5882f5) - substituted with v-w5882f13_ZU</v>
      </c>
    </row>
    <row r="73435" spans="1:2" x14ac:dyDescent="0.2">
      <c r="B73435" t="s">
        <v>1</v>
      </c>
    </row>
    <row r="73436" spans="1:2" x14ac:dyDescent="0.2">
      <c r="B73436" t="s">
        <v>8445</v>
      </c>
    </row>
    <row r="73437" spans="1:2" x14ac:dyDescent="0.2">
      <c r="B73437" t="s">
        <v>184</v>
      </c>
    </row>
    <row r="73439" spans="1:2" x14ac:dyDescent="0.2">
      <c r="A73439" t="s">
        <v>22739</v>
      </c>
      <c r="B73439" t="str">
        <f>HYPERLINK("https://lindat.mff.cuni.cz/services/teitok/pdtc10/index.php?action=vallex&amp;frame=v-w5882f16_ZU", "říkat (v-w5882f16_ZU)")</f>
        <v>říkat (v-w5882f16_ZU)</v>
      </c>
    </row>
    <row r="73440" spans="1:2" x14ac:dyDescent="0.2">
      <c r="B73440" t="s">
        <v>1</v>
      </c>
    </row>
    <row r="73441" spans="1:4" x14ac:dyDescent="0.2">
      <c r="B73441" t="s">
        <v>5601</v>
      </c>
    </row>
    <row r="73442" spans="1:4" x14ac:dyDescent="0.2">
      <c r="B73442" t="s">
        <v>507</v>
      </c>
    </row>
    <row r="73444" spans="1:4" x14ac:dyDescent="0.2">
      <c r="A73444" t="s">
        <v>22739</v>
      </c>
      <c r="B73444" t="str">
        <f>HYPERLINK("https://lindat.mff.cuni.cz/services/teitok/pdtc10/index.php?action=vallex&amp;frame=v-w5882f6", "říkat (v-w5882f6) - substituted with v-w5882f16_ZU")</f>
        <v>říkat (v-w5882f6) - substituted with v-w5882f16_ZU</v>
      </c>
    </row>
    <row r="73445" spans="1:4" x14ac:dyDescent="0.2">
      <c r="B73445" t="s">
        <v>1</v>
      </c>
      <c r="C73445" t="s">
        <v>6388</v>
      </c>
    </row>
    <row r="73446" spans="1:4" x14ac:dyDescent="0.2">
      <c r="B73446" t="s">
        <v>5601</v>
      </c>
      <c r="C73446" t="s">
        <v>6389</v>
      </c>
    </row>
    <row r="73447" spans="1:4" x14ac:dyDescent="0.2">
      <c r="B73447" t="s">
        <v>507</v>
      </c>
      <c r="C73447" t="s">
        <v>6390</v>
      </c>
    </row>
    <row r="73449" spans="1:4" x14ac:dyDescent="0.2">
      <c r="A73449" t="s">
        <v>22740</v>
      </c>
      <c r="B73449" t="str">
        <f>HYPERLINK("https://lindat.mff.cuni.cz/services/teitok/pdtc10/index.php?action=vallex&amp;frame=v-w5882f15_ZU", "říkat (v-w5882f15_ZU)")</f>
        <v>říkat (v-w5882f15_ZU)</v>
      </c>
    </row>
    <row r="73450" spans="1:4" x14ac:dyDescent="0.2">
      <c r="B73450" t="s">
        <v>1</v>
      </c>
    </row>
    <row r="73451" spans="1:4" x14ac:dyDescent="0.2">
      <c r="B73451" t="s">
        <v>22741</v>
      </c>
    </row>
    <row r="73452" spans="1:4" x14ac:dyDescent="0.2">
      <c r="B73452" t="s">
        <v>267</v>
      </c>
    </row>
    <row r="73453" spans="1:4" x14ac:dyDescent="0.2">
      <c r="B73453" t="s">
        <v>269</v>
      </c>
    </row>
    <row r="73455" spans="1:4" x14ac:dyDescent="0.2">
      <c r="A73455" t="s">
        <v>22740</v>
      </c>
      <c r="B73455" t="str">
        <f>HYPERLINK("https://lindat.mff.cuni.cz/services/teitok/pdtc10/index.php?action=vallex&amp;frame=v-w5882f1", "říkat (v-w5882f1) - substituted with v-w5882f15_ZU")</f>
        <v>říkat (v-w5882f1) - substituted with v-w5882f15_ZU</v>
      </c>
    </row>
    <row r="73456" spans="1:4" x14ac:dyDescent="0.2">
      <c r="B73456" t="s">
        <v>1</v>
      </c>
      <c r="C73456" t="s">
        <v>22742</v>
      </c>
      <c r="D73456" t="s">
        <v>23758</v>
      </c>
    </row>
    <row r="73457" spans="1:4" x14ac:dyDescent="0.2">
      <c r="B73457" t="s">
        <v>22741</v>
      </c>
      <c r="C73457" t="s">
        <v>22743</v>
      </c>
      <c r="D73457" t="s">
        <v>23759</v>
      </c>
    </row>
    <row r="73458" spans="1:4" x14ac:dyDescent="0.2">
      <c r="B73458" t="s">
        <v>267</v>
      </c>
      <c r="C73458" t="s">
        <v>22744</v>
      </c>
      <c r="D73458" t="s">
        <v>23760</v>
      </c>
    </row>
    <row r="73459" spans="1:4" x14ac:dyDescent="0.2">
      <c r="B73459" t="s">
        <v>269</v>
      </c>
      <c r="C73459" t="s">
        <v>22745</v>
      </c>
      <c r="D73459" t="s">
        <v>22968</v>
      </c>
    </row>
    <row r="73461" spans="1:4" x14ac:dyDescent="0.2">
      <c r="A73461" t="s">
        <v>22740</v>
      </c>
      <c r="B73461" t="str">
        <f>HYPERLINK("https://lindat.mff.cuni.cz/services/teitok/pdtc10/index.php?action=vallex&amp;frame=v-w5882f12_ZU", "říkat (v-w5882f12_ZU) - substituted with v-w5882f15_ZU")</f>
        <v>říkat (v-w5882f12_ZU) - substituted with v-w5882f15_ZU</v>
      </c>
    </row>
    <row r="73462" spans="1:4" x14ac:dyDescent="0.2">
      <c r="B73462" t="s">
        <v>1</v>
      </c>
    </row>
    <row r="73463" spans="1:4" x14ac:dyDescent="0.2">
      <c r="B73463" t="s">
        <v>22741</v>
      </c>
    </row>
    <row r="73464" spans="1:4" x14ac:dyDescent="0.2">
      <c r="B73464" t="s">
        <v>267</v>
      </c>
    </row>
    <row r="73465" spans="1:4" x14ac:dyDescent="0.2">
      <c r="B73465" t="s">
        <v>269</v>
      </c>
    </row>
    <row r="73467" spans="1:4" x14ac:dyDescent="0.2">
      <c r="A73467" t="s">
        <v>22746</v>
      </c>
      <c r="B73467" t="str">
        <f>HYPERLINK("https://lindat.mff.cuni.cz/services/teitok/pdtc10/index.php?action=vallex&amp;frame=v-w5882f4", "říkat (v-w5882f4)")</f>
        <v>říkat (v-w5882f4)</v>
      </c>
    </row>
    <row r="73468" spans="1:4" x14ac:dyDescent="0.2">
      <c r="B73468" t="s">
        <v>1</v>
      </c>
      <c r="C73468" t="s">
        <v>3413</v>
      </c>
      <c r="D73468" t="s">
        <v>23758</v>
      </c>
    </row>
    <row r="73469" spans="1:4" x14ac:dyDescent="0.2">
      <c r="B73469" t="s">
        <v>35</v>
      </c>
      <c r="C73469" t="s">
        <v>3280</v>
      </c>
      <c r="D73469" t="s">
        <v>23759</v>
      </c>
    </row>
    <row r="73470" spans="1:4" x14ac:dyDescent="0.2">
      <c r="B73470" t="s">
        <v>22712</v>
      </c>
      <c r="C73470" t="s">
        <v>3415</v>
      </c>
      <c r="D73470" t="s">
        <v>23760</v>
      </c>
    </row>
    <row r="73471" spans="1:4" x14ac:dyDescent="0.2">
      <c r="B73471" t="s">
        <v>46</v>
      </c>
      <c r="C73471" t="s">
        <v>1472</v>
      </c>
      <c r="D73471" t="s">
        <v>22968</v>
      </c>
    </row>
    <row r="73473" spans="1:2" x14ac:dyDescent="0.2">
      <c r="A73473" t="s">
        <v>22747</v>
      </c>
      <c r="B73473" t="str">
        <f>HYPERLINK("https://lindat.mff.cuni.cz/services/teitok/pdtc10/index.php?action=vallex&amp;frame=v-w5882f11_ZU", "říkat (v-w5882f11_ZU)")</f>
        <v>říkat (v-w5882f11_ZU)</v>
      </c>
    </row>
    <row r="73474" spans="1:2" x14ac:dyDescent="0.2">
      <c r="B73474" t="s">
        <v>1</v>
      </c>
    </row>
    <row r="73475" spans="1:2" x14ac:dyDescent="0.2">
      <c r="B73475" t="s">
        <v>22748</v>
      </c>
    </row>
    <row r="73476" spans="1:2" x14ac:dyDescent="0.2">
      <c r="B73476" t="s">
        <v>103</v>
      </c>
    </row>
    <row r="73477" spans="1:2" x14ac:dyDescent="0.2">
      <c r="B73477" t="s">
        <v>511</v>
      </c>
    </row>
    <row r="73479" spans="1:2" x14ac:dyDescent="0.2">
      <c r="A73479" t="s">
        <v>22747</v>
      </c>
      <c r="B73479" t="str">
        <f>HYPERLINK("https://lindat.mff.cuni.cz/services/teitok/pdtc10/index.php?action=vallex&amp;frame=v-w5882f10_ZU", "říkat (v-w5882f10_ZU) - substituted with v-w5882f11_ZU")</f>
        <v>říkat (v-w5882f10_ZU) - substituted with v-w5882f11_ZU</v>
      </c>
    </row>
    <row r="73480" spans="1:2" x14ac:dyDescent="0.2">
      <c r="B73480" t="s">
        <v>1</v>
      </c>
    </row>
    <row r="73481" spans="1:2" x14ac:dyDescent="0.2">
      <c r="B73481" t="s">
        <v>22748</v>
      </c>
    </row>
    <row r="73482" spans="1:2" x14ac:dyDescent="0.2">
      <c r="B73482" t="s">
        <v>103</v>
      </c>
    </row>
    <row r="73483" spans="1:2" x14ac:dyDescent="0.2">
      <c r="B73483" t="s">
        <v>511</v>
      </c>
    </row>
    <row r="73485" spans="1:2" x14ac:dyDescent="0.2">
      <c r="A73485" t="s">
        <v>22747</v>
      </c>
      <c r="B73485" t="str">
        <f>HYPERLINK("https://lindat.mff.cuni.cz/services/teitok/pdtc10/index.php?action=vallex&amp;frame=v-w5882hsa_920", "říkat (v-w5882hsa_920) - substituted with v-w5882f11_ZU")</f>
        <v>říkat (v-w5882hsa_920) - substituted with v-w5882f11_ZU</v>
      </c>
    </row>
    <row r="73486" spans="1:2" x14ac:dyDescent="0.2">
      <c r="B73486" t="s">
        <v>1</v>
      </c>
    </row>
    <row r="73487" spans="1:2" x14ac:dyDescent="0.2">
      <c r="B73487" t="s">
        <v>22748</v>
      </c>
    </row>
    <row r="73488" spans="1:2" x14ac:dyDescent="0.2">
      <c r="B73488" t="s">
        <v>103</v>
      </c>
    </row>
    <row r="73489" spans="1:2" x14ac:dyDescent="0.2">
      <c r="B73489" t="s">
        <v>511</v>
      </c>
    </row>
    <row r="73491" spans="1:2" x14ac:dyDescent="0.2">
      <c r="A73491" t="s">
        <v>22749</v>
      </c>
      <c r="B73491" t="str">
        <f>HYPERLINK("https://lindat.mff.cuni.cz/services/teitok/pdtc10/index.php?action=vallex&amp;frame=v-w5882hsa_921", "říkat (v-w5882hsa_921)")</f>
        <v>říkat (v-w5882hsa_921)</v>
      </c>
    </row>
    <row r="73492" spans="1:2" x14ac:dyDescent="0.2">
      <c r="B73492" t="s">
        <v>1</v>
      </c>
    </row>
    <row r="73493" spans="1:2" x14ac:dyDescent="0.2">
      <c r="B73493" t="s">
        <v>8</v>
      </c>
    </row>
    <row r="73494" spans="1:2" x14ac:dyDescent="0.2">
      <c r="B73494" t="s">
        <v>78</v>
      </c>
    </row>
    <row r="73496" spans="1:2" x14ac:dyDescent="0.2">
      <c r="A73496" t="s">
        <v>22750</v>
      </c>
      <c r="B73496" t="str">
        <f>HYPERLINK("https://lindat.mff.cuni.cz/services/teitok/pdtc10/index.php?action=vallex&amp;frame=v-w5883f1", "říkat si (v-w5883f1)")</f>
        <v>říkat si (v-w5883f1)</v>
      </c>
    </row>
    <row r="73497" spans="1:2" x14ac:dyDescent="0.2">
      <c r="B73497" t="s">
        <v>331</v>
      </c>
    </row>
    <row r="73498" spans="1:2" x14ac:dyDescent="0.2">
      <c r="B73498" t="s">
        <v>467</v>
      </c>
    </row>
    <row r="73499" spans="1:2" x14ac:dyDescent="0.2">
      <c r="B73499" t="s">
        <v>35</v>
      </c>
    </row>
    <row r="73501" spans="1:2" x14ac:dyDescent="0.2">
      <c r="A73501" t="s">
        <v>22751</v>
      </c>
      <c r="B73501" t="str">
        <f>HYPERLINK("https://lindat.mff.cuni.cz/services/teitok/pdtc10/index.php?action=vallex&amp;frame=v-w5883hsa_1979", "říkat si (v-w5883hsa_1979)")</f>
        <v>říkat si (v-w5883hsa_1979)</v>
      </c>
    </row>
    <row r="73502" spans="1:2" x14ac:dyDescent="0.2">
      <c r="B73502" t="s">
        <v>1</v>
      </c>
    </row>
    <row r="73503" spans="1:2" x14ac:dyDescent="0.2">
      <c r="B73503" t="s">
        <v>22752</v>
      </c>
    </row>
    <row r="73505" spans="1:4" x14ac:dyDescent="0.2">
      <c r="A73505" t="s">
        <v>22753</v>
      </c>
      <c r="B73505" t="str">
        <f>HYPERLINK("https://lindat.mff.cuni.cz/services/teitok/pdtc10/index.php?action=vallex&amp;frame=v-w5883hsa_1980", "říkat si (v-w5883hsa_1980)")</f>
        <v>říkat si (v-w5883hsa_1980)</v>
      </c>
    </row>
    <row r="73506" spans="1:4" x14ac:dyDescent="0.2">
      <c r="B73506" t="s">
        <v>1</v>
      </c>
    </row>
    <row r="73507" spans="1:4" x14ac:dyDescent="0.2">
      <c r="B73507" t="s">
        <v>153</v>
      </c>
    </row>
    <row r="73508" spans="1:4" x14ac:dyDescent="0.2">
      <c r="B73508" t="s">
        <v>267</v>
      </c>
    </row>
    <row r="73509" spans="1:4" x14ac:dyDescent="0.2">
      <c r="B73509" t="s">
        <v>269</v>
      </c>
    </row>
    <row r="73511" spans="1:4" x14ac:dyDescent="0.2">
      <c r="A73511" t="s">
        <v>22754</v>
      </c>
      <c r="B73511" t="str">
        <f>HYPERLINK("https://lindat.mff.cuni.cz/services/teitok/pdtc10/index.php?action=vallex&amp;frame=v-w5884f4_ZU", "říkávat (v-w5884f4_ZU)")</f>
        <v>říkávat (v-w5884f4_ZU)</v>
      </c>
    </row>
    <row r="73512" spans="1:4" x14ac:dyDescent="0.2">
      <c r="B73512" t="s">
        <v>1</v>
      </c>
    </row>
    <row r="73513" spans="1:4" x14ac:dyDescent="0.2">
      <c r="B73513" t="s">
        <v>103</v>
      </c>
    </row>
    <row r="73514" spans="1:4" x14ac:dyDescent="0.2">
      <c r="B73514" t="s">
        <v>22755</v>
      </c>
    </row>
    <row r="73516" spans="1:4" x14ac:dyDescent="0.2">
      <c r="A73516" t="s">
        <v>22754</v>
      </c>
      <c r="B73516" t="str">
        <f>HYPERLINK("https://lindat.mff.cuni.cz/services/teitok/pdtc10/index.php?action=vallex&amp;frame=v-w5884f2", "říkávat (v-w5884f2) - substituted with v-w5884f4_ZU")</f>
        <v>říkávat (v-w5884f2) - substituted with v-w5884f4_ZU</v>
      </c>
    </row>
    <row r="73517" spans="1:4" x14ac:dyDescent="0.2">
      <c r="B73517" t="s">
        <v>1</v>
      </c>
      <c r="D73517" t="s">
        <v>7388</v>
      </c>
    </row>
    <row r="73518" spans="1:4" x14ac:dyDescent="0.2">
      <c r="B73518" t="s">
        <v>103</v>
      </c>
      <c r="D73518" t="s">
        <v>23588</v>
      </c>
    </row>
    <row r="73519" spans="1:4" x14ac:dyDescent="0.2">
      <c r="B73519" t="s">
        <v>22755</v>
      </c>
      <c r="D73519" t="s">
        <v>23589</v>
      </c>
    </row>
    <row r="73521" spans="1:4" x14ac:dyDescent="0.2">
      <c r="A73521" t="s">
        <v>22754</v>
      </c>
      <c r="B73521" t="str">
        <f>HYPERLINK("https://lindat.mff.cuni.cz/services/teitok/pdtc10/index.php?action=vallex&amp;frame=v-w5884f3_ZU", "říkávat (v-w5884f3_ZU) - substituted with v-w5884f4_ZU")</f>
        <v>říkávat (v-w5884f3_ZU) - substituted with v-w5884f4_ZU</v>
      </c>
    </row>
    <row r="73522" spans="1:4" x14ac:dyDescent="0.2">
      <c r="B73522" t="s">
        <v>1</v>
      </c>
    </row>
    <row r="73523" spans="1:4" x14ac:dyDescent="0.2">
      <c r="B73523" t="s">
        <v>103</v>
      </c>
    </row>
    <row r="73524" spans="1:4" x14ac:dyDescent="0.2">
      <c r="B73524" t="s">
        <v>22755</v>
      </c>
    </row>
    <row r="73526" spans="1:4" x14ac:dyDescent="0.2">
      <c r="A73526" t="s">
        <v>22756</v>
      </c>
      <c r="B73526" t="str">
        <f>HYPERLINK("https://lindat.mff.cuni.cz/services/teitok/pdtc10/index.php?action=vallex&amp;frame=v-w5884f1", "říkávat (v-w5884f1)")</f>
        <v>říkávat (v-w5884f1)</v>
      </c>
    </row>
    <row r="73527" spans="1:4" x14ac:dyDescent="0.2">
      <c r="B73527" t="s">
        <v>1</v>
      </c>
      <c r="D73527" t="s">
        <v>23758</v>
      </c>
    </row>
    <row r="73528" spans="1:4" x14ac:dyDescent="0.2">
      <c r="B73528" t="s">
        <v>35</v>
      </c>
      <c r="D73528" t="s">
        <v>23759</v>
      </c>
    </row>
    <row r="73529" spans="1:4" x14ac:dyDescent="0.2">
      <c r="B73529" t="s">
        <v>267</v>
      </c>
      <c r="D73529" t="s">
        <v>23760</v>
      </c>
    </row>
    <row r="73530" spans="1:4" x14ac:dyDescent="0.2">
      <c r="B73530" t="s">
        <v>8854</v>
      </c>
      <c r="D73530" t="s">
        <v>22968</v>
      </c>
    </row>
    <row r="73532" spans="1:4" x14ac:dyDescent="0.2">
      <c r="A73532" t="s">
        <v>22757</v>
      </c>
      <c r="B73532" t="str">
        <f>HYPERLINK("https://lindat.mff.cuni.cz/services/teitok/pdtc10/index.php?action=vallex&amp;frame=v-w5884f5_ZU", "říkávat (v-w5884f5_ZU)")</f>
        <v>říkávat (v-w5884f5_ZU)</v>
      </c>
    </row>
    <row r="73533" spans="1:4" x14ac:dyDescent="0.2">
      <c r="B73533" t="s">
        <v>1</v>
      </c>
    </row>
    <row r="73534" spans="1:4" x14ac:dyDescent="0.2">
      <c r="B73534" t="s">
        <v>103</v>
      </c>
    </row>
    <row r="73535" spans="1:4" x14ac:dyDescent="0.2">
      <c r="B73535" t="s">
        <v>3920</v>
      </c>
    </row>
    <row r="73537" spans="1:4" x14ac:dyDescent="0.2">
      <c r="A73537" t="s">
        <v>22758</v>
      </c>
      <c r="B73537" t="str">
        <f>HYPERLINK("https://lindat.mff.cuni.cz/services/teitok/pdtc10/index.php?action=vallex&amp;frame=v-w5885f1", "řítit se (v-w5885f1)")</f>
        <v>řítit se (v-w5885f1)</v>
      </c>
    </row>
    <row r="73538" spans="1:4" x14ac:dyDescent="0.2">
      <c r="B73538" t="s">
        <v>1</v>
      </c>
      <c r="C73538" t="s">
        <v>22</v>
      </c>
      <c r="D73538" t="s">
        <v>23337</v>
      </c>
    </row>
    <row r="73539" spans="1:4" x14ac:dyDescent="0.2">
      <c r="B73539" t="s">
        <v>205</v>
      </c>
      <c r="D73539" t="s">
        <v>23338</v>
      </c>
    </row>
    <row r="73541" spans="1:4" x14ac:dyDescent="0.2">
      <c r="A73541" t="s">
        <v>22759</v>
      </c>
      <c r="B73541" t="str">
        <f>HYPERLINK("https://lindat.mff.cuni.cz/services/teitok/pdtc10/index.php?action=vallex&amp;frame=v-w5885f2", "řítit se (v-w5885f2)")</f>
        <v>řítit se (v-w5885f2)</v>
      </c>
    </row>
    <row r="73542" spans="1:4" x14ac:dyDescent="0.2">
      <c r="B73542" t="s">
        <v>1</v>
      </c>
      <c r="C73542" t="s">
        <v>22760</v>
      </c>
      <c r="D73542" t="s">
        <v>83</v>
      </c>
    </row>
    <row r="73544" spans="1:4" x14ac:dyDescent="0.2">
      <c r="A73544" t="s">
        <v>22761</v>
      </c>
      <c r="B73544" t="str">
        <f>HYPERLINK("https://lindat.mff.cuni.cz/services/teitok/pdtc10/index.php?action=vallex&amp;frame=v-w5888f1", "říznout (v-w5888f1)")</f>
        <v>říznout (v-w5888f1)</v>
      </c>
    </row>
    <row r="73545" spans="1:4" x14ac:dyDescent="0.2">
      <c r="B73545" t="s">
        <v>1</v>
      </c>
    </row>
    <row r="73546" spans="1:4" x14ac:dyDescent="0.2">
      <c r="B73546" t="s">
        <v>8</v>
      </c>
    </row>
    <row r="73548" spans="1:4" x14ac:dyDescent="0.2">
      <c r="A73548" t="s">
        <v>22762</v>
      </c>
      <c r="B73548" t="str">
        <f>HYPERLINK("https://lindat.mff.cuni.cz/services/teitok/pdtc10/index.php?action=vallex&amp;frame=v-whsa_657hsa_658", "říznout se (v-whsa_657hsa_658)")</f>
        <v>říznout se (v-whsa_657hsa_658)</v>
      </c>
    </row>
    <row r="73549" spans="1:4" x14ac:dyDescent="0.2">
      <c r="B73549" t="s">
        <v>1</v>
      </c>
    </row>
    <row r="73551" spans="1:4" x14ac:dyDescent="0.2">
      <c r="A73551" t="s">
        <v>22763</v>
      </c>
      <c r="B73551" t="str">
        <f>HYPERLINK("https://lindat.mff.cuni.cz/services/teitok/pdtc10/index.php?action=vallex&amp;frame=v-whsb_604hsa_605", "šedivět (v-whsb_604hsa_605)")</f>
        <v>šedivět (v-whsb_604hsa_605)</v>
      </c>
    </row>
    <row r="73552" spans="1:4" x14ac:dyDescent="0.2">
      <c r="B73552" t="s">
        <v>1</v>
      </c>
    </row>
    <row r="73554" spans="1:4" x14ac:dyDescent="0.2">
      <c r="A73554" t="s">
        <v>22764</v>
      </c>
      <c r="B73554" t="str">
        <f>HYPERLINK("https://lindat.mff.cuni.cz/services/teitok/pdtc10/index.php?action=vallex&amp;frame=v-w6705f1", "šelestit (v-w6705f1)")</f>
        <v>šelestit (v-w6705f1)</v>
      </c>
    </row>
    <row r="73555" spans="1:4" x14ac:dyDescent="0.2">
      <c r="B73555" t="s">
        <v>1</v>
      </c>
    </row>
    <row r="73557" spans="1:4" x14ac:dyDescent="0.2">
      <c r="A73557" t="s">
        <v>22765</v>
      </c>
      <c r="B73557" t="str">
        <f>HYPERLINK("https://lindat.mff.cuni.cz/services/teitok/pdtc10/index.php?action=vallex&amp;frame=v-w6706f2", "šeptat (v-w6706f2)")</f>
        <v>šeptat (v-w6706f2)</v>
      </c>
    </row>
    <row r="73558" spans="1:4" x14ac:dyDescent="0.2">
      <c r="B73558" t="s">
        <v>1</v>
      </c>
    </row>
    <row r="73559" spans="1:4" x14ac:dyDescent="0.2">
      <c r="B73559" t="s">
        <v>183</v>
      </c>
    </row>
    <row r="73560" spans="1:4" x14ac:dyDescent="0.2">
      <c r="B73560" t="s">
        <v>35</v>
      </c>
    </row>
    <row r="73562" spans="1:4" x14ac:dyDescent="0.2">
      <c r="A73562" t="s">
        <v>22766</v>
      </c>
      <c r="B73562" t="str">
        <f>HYPERLINK("https://lindat.mff.cuni.cz/services/teitok/pdtc10/index.php?action=vallex&amp;frame=v-w6706f3", "šeptat (v-w6706f3)")</f>
        <v>šeptat (v-w6706f3)</v>
      </c>
    </row>
    <row r="73563" spans="1:4" x14ac:dyDescent="0.2">
      <c r="B73563" t="s">
        <v>1</v>
      </c>
    </row>
    <row r="73564" spans="1:4" x14ac:dyDescent="0.2">
      <c r="B73564" t="s">
        <v>8</v>
      </c>
    </row>
    <row r="73565" spans="1:4" x14ac:dyDescent="0.2">
      <c r="B73565" t="s">
        <v>78</v>
      </c>
    </row>
    <row r="73567" spans="1:4" x14ac:dyDescent="0.2">
      <c r="A73567" t="s">
        <v>22767</v>
      </c>
      <c r="B73567" t="str">
        <f>HYPERLINK("https://lindat.mff.cuni.cz/services/teitok/pdtc10/index.php?action=vallex&amp;frame=v-w6706hsa_558", "šeptat (v-w6706hsa_558)")</f>
        <v>šeptat (v-w6706hsa_558)</v>
      </c>
    </row>
    <row r="73568" spans="1:4" x14ac:dyDescent="0.2">
      <c r="B73568" t="s">
        <v>1</v>
      </c>
      <c r="D73568" t="s">
        <v>22967</v>
      </c>
    </row>
    <row r="73569" spans="1:4" x14ac:dyDescent="0.2">
      <c r="B73569" t="s">
        <v>22768</v>
      </c>
      <c r="D73569" t="s">
        <v>23120</v>
      </c>
    </row>
    <row r="73570" spans="1:4" x14ac:dyDescent="0.2">
      <c r="B73570" t="s">
        <v>269</v>
      </c>
      <c r="D73570" t="s">
        <v>22968</v>
      </c>
    </row>
    <row r="73571" spans="1:4" x14ac:dyDescent="0.2">
      <c r="B73571" t="s">
        <v>22769</v>
      </c>
      <c r="D73571" t="s">
        <v>22969</v>
      </c>
    </row>
    <row r="73573" spans="1:4" x14ac:dyDescent="0.2">
      <c r="A73573" t="s">
        <v>22767</v>
      </c>
      <c r="B73573" t="str">
        <f>HYPERLINK("https://lindat.mff.cuni.cz/services/teitok/pdtc10/index.php?action=vallex&amp;frame=v-w6706f1", "šeptat (v-w6706f1) - substituted with v-w6706hsa_558")</f>
        <v>šeptat (v-w6706f1) - substituted with v-w6706hsa_558</v>
      </c>
    </row>
    <row r="73574" spans="1:4" x14ac:dyDescent="0.2">
      <c r="B73574" t="s">
        <v>1</v>
      </c>
      <c r="C73574" t="s">
        <v>33</v>
      </c>
    </row>
    <row r="73575" spans="1:4" x14ac:dyDescent="0.2">
      <c r="B73575" t="s">
        <v>22768</v>
      </c>
      <c r="C73575" t="s">
        <v>22770</v>
      </c>
    </row>
    <row r="73576" spans="1:4" x14ac:dyDescent="0.2">
      <c r="B73576" t="s">
        <v>269</v>
      </c>
    </row>
    <row r="73577" spans="1:4" x14ac:dyDescent="0.2">
      <c r="B73577" t="s">
        <v>22769</v>
      </c>
      <c r="C73577" t="s">
        <v>8768</v>
      </c>
    </row>
    <row r="73579" spans="1:4" x14ac:dyDescent="0.2">
      <c r="A73579" t="s">
        <v>22771</v>
      </c>
      <c r="B73579" t="str">
        <f>HYPERLINK("https://lindat.mff.cuni.cz/services/teitok/pdtc10/index.php?action=vallex&amp;frame=v-w6707f1", "šermovat (v-w6707f1)")</f>
        <v>šermovat (v-w6707f1)</v>
      </c>
    </row>
    <row r="73580" spans="1:4" x14ac:dyDescent="0.2">
      <c r="B73580" t="s">
        <v>1</v>
      </c>
    </row>
    <row r="73581" spans="1:4" x14ac:dyDescent="0.2">
      <c r="B73581" t="s">
        <v>158</v>
      </c>
    </row>
    <row r="73583" spans="1:4" x14ac:dyDescent="0.2">
      <c r="A73583" t="s">
        <v>22772</v>
      </c>
      <c r="B73583" t="str">
        <f>HYPERLINK("https://lindat.mff.cuni.cz/services/teitok/pdtc10/index.php?action=vallex&amp;frame=v-w6711f2", "šetřit (v-w6711f2)")</f>
        <v>šetřit (v-w6711f2)</v>
      </c>
    </row>
    <row r="73584" spans="1:4" x14ac:dyDescent="0.2">
      <c r="B73584" t="s">
        <v>1</v>
      </c>
    </row>
    <row r="73585" spans="1:4" x14ac:dyDescent="0.2">
      <c r="B73585" t="s">
        <v>8</v>
      </c>
    </row>
    <row r="73586" spans="1:4" x14ac:dyDescent="0.2">
      <c r="B73586" t="s">
        <v>308</v>
      </c>
    </row>
    <row r="73588" spans="1:4" x14ac:dyDescent="0.2">
      <c r="A73588" t="s">
        <v>22773</v>
      </c>
      <c r="B73588" t="str">
        <f>HYPERLINK("https://lindat.mff.cuni.cz/services/teitok/pdtc10/index.php?action=vallex&amp;frame=v-w6711f5_ZU", "šetřit (v-w6711f5_ZU)")</f>
        <v>šetřit (v-w6711f5_ZU)</v>
      </c>
    </row>
    <row r="73589" spans="1:4" x14ac:dyDescent="0.2">
      <c r="B73589" t="s">
        <v>1</v>
      </c>
      <c r="C73589" t="s">
        <v>22774</v>
      </c>
      <c r="D73589" t="s">
        <v>22774</v>
      </c>
    </row>
    <row r="73590" spans="1:4" x14ac:dyDescent="0.2">
      <c r="B73590" t="s">
        <v>4778</v>
      </c>
      <c r="C73590" t="s">
        <v>2235</v>
      </c>
      <c r="D73590" t="s">
        <v>2235</v>
      </c>
    </row>
    <row r="73592" spans="1:4" x14ac:dyDescent="0.2">
      <c r="A73592" t="s">
        <v>22773</v>
      </c>
      <c r="B73592" t="str">
        <f>HYPERLINK("https://lindat.mff.cuni.cz/services/teitok/pdtc10/index.php?action=vallex&amp;frame=v-w6711f1", "šetřit (v-w6711f1) - substituted with v-w6711f5_ZU")</f>
        <v>šetřit (v-w6711f1) - substituted with v-w6711f5_ZU</v>
      </c>
    </row>
    <row r="73593" spans="1:4" x14ac:dyDescent="0.2">
      <c r="B73593" t="s">
        <v>1</v>
      </c>
      <c r="C73593" t="s">
        <v>33</v>
      </c>
    </row>
    <row r="73594" spans="1:4" x14ac:dyDescent="0.2">
      <c r="B73594" t="s">
        <v>4778</v>
      </c>
      <c r="C73594" t="s">
        <v>34</v>
      </c>
    </row>
    <row r="73596" spans="1:4" x14ac:dyDescent="0.2">
      <c r="A73596" t="s">
        <v>22775</v>
      </c>
      <c r="B73596" t="str">
        <f>HYPERLINK("https://lindat.mff.cuni.cz/services/teitok/pdtc10/index.php?action=vallex&amp;frame=v-w6711f3", "šetřit (v-w6711f3)")</f>
        <v>šetřit (v-w6711f3)</v>
      </c>
    </row>
    <row r="73597" spans="1:4" x14ac:dyDescent="0.2">
      <c r="B73597" t="s">
        <v>1</v>
      </c>
    </row>
    <row r="73598" spans="1:4" x14ac:dyDescent="0.2">
      <c r="B73598" t="s">
        <v>8</v>
      </c>
    </row>
    <row r="73600" spans="1:4" x14ac:dyDescent="0.2">
      <c r="A73600" t="s">
        <v>22776</v>
      </c>
      <c r="B73600" t="str">
        <f>HYPERLINK("https://lindat.mff.cuni.cz/services/teitok/pdtc10/index.php?action=vallex&amp;frame=v-w6711f8_ZU", "šetřit (v-w6711f8_ZU)")</f>
        <v>šetřit (v-w6711f8_ZU)</v>
      </c>
    </row>
    <row r="73601" spans="1:3" x14ac:dyDescent="0.2">
      <c r="B73601" t="s">
        <v>1</v>
      </c>
    </row>
    <row r="73602" spans="1:3" x14ac:dyDescent="0.2">
      <c r="B73602" t="s">
        <v>2712</v>
      </c>
    </row>
    <row r="73604" spans="1:3" x14ac:dyDescent="0.2">
      <c r="A73604" t="s">
        <v>22776</v>
      </c>
      <c r="B73604" t="str">
        <f>HYPERLINK("https://lindat.mff.cuni.cz/services/teitok/pdtc10/index.php?action=vallex&amp;frame=v-w6711f6_ZU", "šetřit (v-w6711f6_ZU) - substituted with v-w6711f8_ZU")</f>
        <v>šetřit (v-w6711f6_ZU) - substituted with v-w6711f8_ZU</v>
      </c>
    </row>
    <row r="73605" spans="1:3" x14ac:dyDescent="0.2">
      <c r="B73605" t="s">
        <v>1</v>
      </c>
      <c r="C73605" t="s">
        <v>33</v>
      </c>
    </row>
    <row r="73606" spans="1:3" x14ac:dyDescent="0.2">
      <c r="B73606" t="s">
        <v>2712</v>
      </c>
    </row>
    <row r="73608" spans="1:3" x14ac:dyDescent="0.2">
      <c r="A73608" t="s">
        <v>22776</v>
      </c>
      <c r="B73608" t="str">
        <f>HYPERLINK("https://lindat.mff.cuni.cz/services/teitok/pdtc10/index.php?action=vallex&amp;frame=v-w6711f7_ZU", "šetřit (v-w6711f7_ZU) - substituted with v-w6711f8_ZU")</f>
        <v>šetřit (v-w6711f7_ZU) - substituted with v-w6711f8_ZU</v>
      </c>
    </row>
    <row r="73609" spans="1:3" x14ac:dyDescent="0.2">
      <c r="B73609" t="s">
        <v>1</v>
      </c>
    </row>
    <row r="73610" spans="1:3" x14ac:dyDescent="0.2">
      <c r="B73610" t="s">
        <v>2712</v>
      </c>
    </row>
    <row r="73612" spans="1:3" x14ac:dyDescent="0.2">
      <c r="A73612" t="s">
        <v>22776</v>
      </c>
      <c r="B73612" t="str">
        <f>HYPERLINK("https://lindat.mff.cuni.cz/services/teitok/pdtc10/index.php?action=vallex&amp;frame=v-w6711hsa_1307", "šetřit (v-w6711hsa_1307) - substituted with v-w6711f8_ZU")</f>
        <v>šetřit (v-w6711hsa_1307) - substituted with v-w6711f8_ZU</v>
      </c>
    </row>
    <row r="73613" spans="1:3" x14ac:dyDescent="0.2">
      <c r="B73613" t="s">
        <v>1</v>
      </c>
    </row>
    <row r="73614" spans="1:3" x14ac:dyDescent="0.2">
      <c r="B73614" t="s">
        <v>2712</v>
      </c>
    </row>
    <row r="73616" spans="1:3" x14ac:dyDescent="0.2">
      <c r="A73616" t="s">
        <v>22777</v>
      </c>
      <c r="B73616" t="str">
        <f>HYPERLINK("https://lindat.mff.cuni.cz/services/teitok/pdtc10/index.php?action=vallex&amp;frame=v-w6711f4", "šetřit (v-w6711f4)")</f>
        <v>šetřit (v-w6711f4)</v>
      </c>
    </row>
    <row r="73617" spans="1:4" x14ac:dyDescent="0.2">
      <c r="B73617" t="s">
        <v>1</v>
      </c>
      <c r="C73617" t="s">
        <v>83</v>
      </c>
      <c r="D73617" t="s">
        <v>1065</v>
      </c>
    </row>
    <row r="73618" spans="1:4" x14ac:dyDescent="0.2">
      <c r="B73618" t="s">
        <v>8</v>
      </c>
      <c r="C73618" t="s">
        <v>23</v>
      </c>
      <c r="D73618" t="s">
        <v>116</v>
      </c>
    </row>
    <row r="73620" spans="1:4" x14ac:dyDescent="0.2">
      <c r="A73620" t="s">
        <v>22778</v>
      </c>
      <c r="B73620" t="str">
        <f>HYPERLINK("https://lindat.mff.cuni.cz/services/teitok/pdtc10/index.php?action=vallex&amp;frame=v-w6712f1", "šidit (v-w6712f1)")</f>
        <v>šidit (v-w6712f1)</v>
      </c>
    </row>
    <row r="73621" spans="1:4" x14ac:dyDescent="0.2">
      <c r="B73621" t="s">
        <v>1</v>
      </c>
      <c r="C73621" t="s">
        <v>140</v>
      </c>
      <c r="D73621" t="s">
        <v>140</v>
      </c>
    </row>
    <row r="73622" spans="1:4" x14ac:dyDescent="0.2">
      <c r="B73622" t="s">
        <v>8</v>
      </c>
      <c r="C73622" t="s">
        <v>84</v>
      </c>
      <c r="D73622" t="s">
        <v>1331</v>
      </c>
    </row>
    <row r="73624" spans="1:4" x14ac:dyDescent="0.2">
      <c r="A73624" t="s">
        <v>22779</v>
      </c>
      <c r="B73624" t="str">
        <f>HYPERLINK("https://lindat.mff.cuni.cz/services/teitok/pdtc10/index.php?action=vallex&amp;frame=v-w6714f1", "šikanovat (v-w6714f1)")</f>
        <v>šikanovat (v-w6714f1)</v>
      </c>
    </row>
    <row r="73625" spans="1:4" x14ac:dyDescent="0.2">
      <c r="B73625" t="s">
        <v>1</v>
      </c>
    </row>
    <row r="73626" spans="1:4" x14ac:dyDescent="0.2">
      <c r="B73626" t="s">
        <v>8</v>
      </c>
    </row>
    <row r="73628" spans="1:4" x14ac:dyDescent="0.2">
      <c r="A73628" t="s">
        <v>22780</v>
      </c>
      <c r="B73628" t="str">
        <f>HYPERLINK("https://lindat.mff.cuni.cz/services/teitok/pdtc10/index.php?action=vallex&amp;frame=v-w6716f2", "šilhat (v-w6716f2)")</f>
        <v>šilhat (v-w6716f2)</v>
      </c>
    </row>
    <row r="73629" spans="1:4" x14ac:dyDescent="0.2">
      <c r="B73629" t="s">
        <v>1</v>
      </c>
    </row>
    <row r="73630" spans="1:4" x14ac:dyDescent="0.2">
      <c r="B73630" t="s">
        <v>1165</v>
      </c>
    </row>
    <row r="73632" spans="1:4" x14ac:dyDescent="0.2">
      <c r="A73632" t="s">
        <v>22781</v>
      </c>
      <c r="B73632" t="str">
        <f>HYPERLINK("https://lindat.mff.cuni.cz/services/teitok/pdtc10/index.php?action=vallex&amp;frame=v-w6716f1", "šilhat (v-w6716f1)")</f>
        <v>šilhat (v-w6716f1)</v>
      </c>
    </row>
    <row r="73633" spans="1:4" x14ac:dyDescent="0.2">
      <c r="B73633" t="s">
        <v>1</v>
      </c>
    </row>
    <row r="73635" spans="1:4" x14ac:dyDescent="0.2">
      <c r="A73635" t="s">
        <v>22782</v>
      </c>
      <c r="B73635" t="str">
        <f>HYPERLINK("https://lindat.mff.cuni.cz/services/teitok/pdtc10/index.php?action=vallex&amp;frame=v-w11335f1", "šklebit se (v-w11335f1)")</f>
        <v>šklebit se (v-w11335f1)</v>
      </c>
    </row>
    <row r="73636" spans="1:4" x14ac:dyDescent="0.2">
      <c r="B73636" t="s">
        <v>1</v>
      </c>
    </row>
    <row r="73637" spans="1:4" x14ac:dyDescent="0.2">
      <c r="B73637" t="s">
        <v>46</v>
      </c>
    </row>
    <row r="73639" spans="1:4" x14ac:dyDescent="0.2">
      <c r="A73639" t="s">
        <v>22783</v>
      </c>
      <c r="B73639" t="str">
        <f>HYPERLINK("https://lindat.mff.cuni.cz/services/teitok/pdtc10/index.php?action=vallex&amp;frame=v-w10745f2", "škobrtnout (v-w10745f2)")</f>
        <v>škobrtnout (v-w10745f2)</v>
      </c>
    </row>
    <row r="73640" spans="1:4" x14ac:dyDescent="0.2">
      <c r="B73640" t="s">
        <v>1</v>
      </c>
    </row>
    <row r="73642" spans="1:4" x14ac:dyDescent="0.2">
      <c r="A73642" t="s">
        <v>22784</v>
      </c>
      <c r="B73642" t="str">
        <f>HYPERLINK("https://lindat.mff.cuni.cz/services/teitok/pdtc10/index.php?action=vallex&amp;frame=v-w6725f1", "škodit (v-w6725f1)")</f>
        <v>škodit (v-w6725f1)</v>
      </c>
    </row>
    <row r="73643" spans="1:4" x14ac:dyDescent="0.2">
      <c r="B73643" t="s">
        <v>22785</v>
      </c>
      <c r="C73643" t="s">
        <v>22786</v>
      </c>
      <c r="D73643" t="s">
        <v>23156</v>
      </c>
    </row>
    <row r="73644" spans="1:4" x14ac:dyDescent="0.2">
      <c r="B73644" t="s">
        <v>103</v>
      </c>
      <c r="C73644" t="s">
        <v>14591</v>
      </c>
      <c r="D73644" t="s">
        <v>23157</v>
      </c>
    </row>
    <row r="73646" spans="1:4" x14ac:dyDescent="0.2">
      <c r="A73646" t="s">
        <v>22787</v>
      </c>
      <c r="B73646" t="str">
        <f>HYPERLINK("https://lindat.mff.cuni.cz/services/teitok/pdtc10/index.php?action=vallex&amp;frame=v-w6729f3_ZU", "školit (v-w6729f3_ZU)")</f>
        <v>školit (v-w6729f3_ZU)</v>
      </c>
    </row>
    <row r="73647" spans="1:4" x14ac:dyDescent="0.2">
      <c r="B73647" t="s">
        <v>1</v>
      </c>
      <c r="C73647" t="s">
        <v>33</v>
      </c>
      <c r="D73647" t="s">
        <v>7522</v>
      </c>
    </row>
    <row r="73648" spans="1:4" x14ac:dyDescent="0.2">
      <c r="B73648" t="s">
        <v>22788</v>
      </c>
      <c r="C73648" t="s">
        <v>54</v>
      </c>
      <c r="D73648" t="s">
        <v>23247</v>
      </c>
    </row>
    <row r="73649" spans="1:4" x14ac:dyDescent="0.2">
      <c r="B73649" t="s">
        <v>58</v>
      </c>
      <c r="C73649" t="s">
        <v>554</v>
      </c>
      <c r="D73649" t="s">
        <v>11393</v>
      </c>
    </row>
    <row r="73651" spans="1:4" x14ac:dyDescent="0.2">
      <c r="A73651" t="s">
        <v>22787</v>
      </c>
      <c r="B73651" t="str">
        <f>HYPERLINK("https://lindat.mff.cuni.cz/services/teitok/pdtc10/index.php?action=vallex&amp;frame=v-w6729f2", "školit (v-w6729f2) - substituted with v-w6729f3_ZU")</f>
        <v>školit (v-w6729f2) - substituted with v-w6729f3_ZU</v>
      </c>
    </row>
    <row r="73652" spans="1:4" x14ac:dyDescent="0.2">
      <c r="B73652" t="s">
        <v>1</v>
      </c>
    </row>
    <row r="73653" spans="1:4" x14ac:dyDescent="0.2">
      <c r="B73653" t="s">
        <v>22788</v>
      </c>
    </row>
    <row r="73654" spans="1:4" x14ac:dyDescent="0.2">
      <c r="B73654" t="s">
        <v>58</v>
      </c>
    </row>
    <row r="73656" spans="1:4" x14ac:dyDescent="0.2">
      <c r="A73656" t="s">
        <v>22789</v>
      </c>
      <c r="B73656" t="str">
        <f>HYPERLINK("https://lindat.mff.cuni.cz/services/teitok/pdtc10/index.php?action=vallex&amp;frame=v-w6729f1", "školit (v-w6729f1)")</f>
        <v>školit (v-w6729f1)</v>
      </c>
    </row>
    <row r="73657" spans="1:4" x14ac:dyDescent="0.2">
      <c r="B73657" t="s">
        <v>1</v>
      </c>
      <c r="C73657" t="s">
        <v>33</v>
      </c>
      <c r="D73657" t="s">
        <v>7522</v>
      </c>
    </row>
    <row r="73658" spans="1:4" x14ac:dyDescent="0.2">
      <c r="B73658" t="s">
        <v>8</v>
      </c>
      <c r="C73658" t="s">
        <v>54</v>
      </c>
      <c r="D73658" t="s">
        <v>3626</v>
      </c>
    </row>
    <row r="73660" spans="1:4" x14ac:dyDescent="0.2">
      <c r="A73660" t="s">
        <v>22790</v>
      </c>
      <c r="B73660" t="str">
        <f>HYPERLINK("https://lindat.mff.cuni.cz/services/teitok/pdtc10/index.php?action=vallex&amp;frame=v-w11729_ZUf2_ZU", "škrabat (v-w11729_ZUf2_ZU)")</f>
        <v>škrabat (v-w11729_ZUf2_ZU)</v>
      </c>
    </row>
    <row r="73661" spans="1:4" x14ac:dyDescent="0.2">
      <c r="B73661" t="s">
        <v>1</v>
      </c>
    </row>
    <row r="73662" spans="1:4" x14ac:dyDescent="0.2">
      <c r="B73662" t="s">
        <v>8</v>
      </c>
    </row>
    <row r="73664" spans="1:4" x14ac:dyDescent="0.2">
      <c r="A73664" t="s">
        <v>22790</v>
      </c>
      <c r="B73664" t="str">
        <f>HYPERLINK("https://lindat.mff.cuni.cz/services/teitok/pdtc10/index.php?action=vallex&amp;frame=v-w11729_ZUf1_ZU", "škrabat (v-w11729_ZUf1_ZU) - substituted with v-w11729_ZUf2_ZU")</f>
        <v>škrabat (v-w11729_ZUf1_ZU) - substituted with v-w11729_ZUf2_ZU</v>
      </c>
    </row>
    <row r="73665" spans="1:4" x14ac:dyDescent="0.2">
      <c r="B73665" t="s">
        <v>1</v>
      </c>
    </row>
    <row r="73666" spans="1:4" x14ac:dyDescent="0.2">
      <c r="B73666" t="s">
        <v>8</v>
      </c>
    </row>
    <row r="73668" spans="1:4" x14ac:dyDescent="0.2">
      <c r="A73668" t="s">
        <v>22791</v>
      </c>
      <c r="B73668" t="str">
        <f>HYPERLINK("https://lindat.mff.cuni.cz/services/teitok/pdtc10/index.php?action=vallex&amp;frame=v-w10541f2", "škrtat (v-w10541f2)")</f>
        <v>škrtat (v-w10541f2)</v>
      </c>
    </row>
    <row r="73669" spans="1:4" x14ac:dyDescent="0.2">
      <c r="B73669" t="s">
        <v>1</v>
      </c>
      <c r="D73669" t="s">
        <v>373</v>
      </c>
    </row>
    <row r="73670" spans="1:4" x14ac:dyDescent="0.2">
      <c r="B73670" t="s">
        <v>8</v>
      </c>
      <c r="D73670" t="s">
        <v>23339</v>
      </c>
    </row>
    <row r="73672" spans="1:4" x14ac:dyDescent="0.2">
      <c r="A73672" t="s">
        <v>22792</v>
      </c>
      <c r="B73672" t="str">
        <f>HYPERLINK("https://lindat.mff.cuni.cz/services/teitok/pdtc10/index.php?action=vallex&amp;frame=v-w10541f3_ZU", "škrtat (v-w10541f3_ZU)")</f>
        <v>škrtat (v-w10541f3_ZU)</v>
      </c>
    </row>
    <row r="73673" spans="1:4" x14ac:dyDescent="0.2">
      <c r="B73673" t="s">
        <v>1</v>
      </c>
    </row>
    <row r="73674" spans="1:4" x14ac:dyDescent="0.2">
      <c r="B73674" t="s">
        <v>467</v>
      </c>
    </row>
    <row r="73676" spans="1:4" x14ac:dyDescent="0.2">
      <c r="A73676" t="s">
        <v>22793</v>
      </c>
      <c r="B73676" t="str">
        <f>HYPERLINK("https://lindat.mff.cuni.cz/services/teitok/pdtc10/index.php?action=vallex&amp;frame=v-w6733f1", "škrtit (v-w6733f1)")</f>
        <v>škrtit (v-w6733f1)</v>
      </c>
    </row>
    <row r="73677" spans="1:4" x14ac:dyDescent="0.2">
      <c r="B73677" t="s">
        <v>1</v>
      </c>
    </row>
    <row r="73678" spans="1:4" x14ac:dyDescent="0.2">
      <c r="B73678" t="s">
        <v>8</v>
      </c>
    </row>
    <row r="73680" spans="1:4" x14ac:dyDescent="0.2">
      <c r="A73680" t="s">
        <v>22794</v>
      </c>
      <c r="B73680" t="str">
        <f>HYPERLINK("https://lindat.mff.cuni.cz/services/teitok/pdtc10/index.php?action=vallex&amp;frame=v-w6733f2", "škrtit (v-w6733f2)")</f>
        <v>škrtit (v-w6733f2)</v>
      </c>
    </row>
    <row r="73681" spans="1:4" x14ac:dyDescent="0.2">
      <c r="B73681" t="s">
        <v>1</v>
      </c>
    </row>
    <row r="73682" spans="1:4" x14ac:dyDescent="0.2">
      <c r="B73682" t="s">
        <v>8</v>
      </c>
    </row>
    <row r="73684" spans="1:4" x14ac:dyDescent="0.2">
      <c r="A73684" t="s">
        <v>22795</v>
      </c>
      <c r="B73684" t="str">
        <f>HYPERLINK("https://lindat.mff.cuni.cz/services/teitok/pdtc10/index.php?action=vallex&amp;frame=v-w6734f2", "škrtnout (v-w6734f2)")</f>
        <v>škrtnout (v-w6734f2)</v>
      </c>
    </row>
    <row r="73685" spans="1:4" x14ac:dyDescent="0.2">
      <c r="B73685" t="s">
        <v>1</v>
      </c>
      <c r="C73685" t="s">
        <v>33</v>
      </c>
      <c r="D73685" t="s">
        <v>373</v>
      </c>
    </row>
    <row r="73686" spans="1:4" x14ac:dyDescent="0.2">
      <c r="B73686" t="s">
        <v>8</v>
      </c>
      <c r="C73686" t="s">
        <v>991</v>
      </c>
      <c r="D73686" t="s">
        <v>23339</v>
      </c>
    </row>
    <row r="73688" spans="1:4" x14ac:dyDescent="0.2">
      <c r="A73688" t="s">
        <v>22796</v>
      </c>
      <c r="B73688" t="str">
        <f>HYPERLINK("https://lindat.mff.cuni.cz/services/teitok/pdtc10/index.php?action=vallex&amp;frame=v-w6734f1", "škrtnout (v-w6734f1)")</f>
        <v>škrtnout (v-w6734f1)</v>
      </c>
    </row>
    <row r="73689" spans="1:4" x14ac:dyDescent="0.2">
      <c r="B73689" t="s">
        <v>1</v>
      </c>
    </row>
    <row r="73690" spans="1:4" x14ac:dyDescent="0.2">
      <c r="B73690" t="s">
        <v>467</v>
      </c>
    </row>
    <row r="73692" spans="1:4" x14ac:dyDescent="0.2">
      <c r="A73692" t="s">
        <v>22797</v>
      </c>
      <c r="B73692" t="str">
        <f>HYPERLINK("https://lindat.mff.cuni.cz/services/teitok/pdtc10/index.php?action=vallex&amp;frame=v-w6731f1", "škrábat (v-w6731f1)")</f>
        <v>škrábat (v-w6731f1)</v>
      </c>
    </row>
    <row r="73693" spans="1:4" x14ac:dyDescent="0.2">
      <c r="B73693" t="s">
        <v>1</v>
      </c>
    </row>
    <row r="73694" spans="1:4" x14ac:dyDescent="0.2">
      <c r="B73694" t="s">
        <v>8</v>
      </c>
    </row>
    <row r="73696" spans="1:4" x14ac:dyDescent="0.2">
      <c r="A73696" t="s">
        <v>22798</v>
      </c>
      <c r="B73696" t="str">
        <f>HYPERLINK("https://lindat.mff.cuni.cz/services/teitok/pdtc10/index.php?action=vallex&amp;frame=v-w6731f2_ZU", "škrábat (v-w6731f2_ZU)")</f>
        <v>škrábat (v-w6731f2_ZU)</v>
      </c>
    </row>
    <row r="73697" spans="1:2" x14ac:dyDescent="0.2">
      <c r="B73697" t="s">
        <v>1</v>
      </c>
    </row>
    <row r="73698" spans="1:2" x14ac:dyDescent="0.2">
      <c r="B73698" t="s">
        <v>220</v>
      </c>
    </row>
    <row r="73700" spans="1:2" x14ac:dyDescent="0.2">
      <c r="A73700" t="s">
        <v>22799</v>
      </c>
      <c r="B73700" t="str">
        <f>HYPERLINK("https://lindat.mff.cuni.cz/services/teitok/pdtc10/index.php?action=vallex&amp;frame=v-w6731f3_ZU", "škrábat (v-w6731f3_ZU)")</f>
        <v>škrábat (v-w6731f3_ZU)</v>
      </c>
    </row>
    <row r="73701" spans="1:2" x14ac:dyDescent="0.2">
      <c r="B73701" t="s">
        <v>1</v>
      </c>
    </row>
    <row r="73702" spans="1:2" x14ac:dyDescent="0.2">
      <c r="B73702" t="s">
        <v>8</v>
      </c>
    </row>
    <row r="73704" spans="1:2" x14ac:dyDescent="0.2">
      <c r="A73704" t="s">
        <v>22800</v>
      </c>
      <c r="B73704" t="str">
        <f>HYPERLINK("https://lindat.mff.cuni.cz/services/teitok/pdtc10/index.php?action=vallex&amp;frame=v-w11330f1", "škrábat se (v-w11330f1)")</f>
        <v>škrábat se (v-w11330f1)</v>
      </c>
    </row>
    <row r="73705" spans="1:2" x14ac:dyDescent="0.2">
      <c r="B73705" t="s">
        <v>1</v>
      </c>
    </row>
    <row r="73706" spans="1:2" x14ac:dyDescent="0.2">
      <c r="B73706" t="s">
        <v>90</v>
      </c>
    </row>
    <row r="73708" spans="1:2" x14ac:dyDescent="0.2">
      <c r="A73708" t="s">
        <v>22801</v>
      </c>
      <c r="B73708" t="str">
        <f>HYPERLINK("https://lindat.mff.cuni.cz/services/teitok/pdtc10/index.php?action=vallex&amp;frame=v-w12015_ZUf1_ZU", "škrábnout (v-w12015_ZUf1_ZU)")</f>
        <v>škrábnout (v-w12015_ZUf1_ZU)</v>
      </c>
    </row>
    <row r="73709" spans="1:2" x14ac:dyDescent="0.2">
      <c r="B73709" t="s">
        <v>1</v>
      </c>
    </row>
    <row r="73710" spans="1:2" x14ac:dyDescent="0.2">
      <c r="B73710" t="s">
        <v>8</v>
      </c>
    </row>
    <row r="73712" spans="1:2" x14ac:dyDescent="0.2">
      <c r="A73712" t="s">
        <v>22802</v>
      </c>
      <c r="B73712" t="str">
        <f>HYPERLINK("https://lindat.mff.cuni.cz/services/teitok/pdtc10/index.php?action=vallex&amp;frame=v-w11993_ZUf1_ZU", "škubat (v-w11993_ZUf1_ZU)")</f>
        <v>škubat (v-w11993_ZUf1_ZU)</v>
      </c>
    </row>
    <row r="73713" spans="1:4" x14ac:dyDescent="0.2">
      <c r="B73713" t="s">
        <v>1</v>
      </c>
    </row>
    <row r="73714" spans="1:4" x14ac:dyDescent="0.2">
      <c r="B73714" t="s">
        <v>8</v>
      </c>
    </row>
    <row r="73716" spans="1:4" x14ac:dyDescent="0.2">
      <c r="A73716" t="s">
        <v>22803</v>
      </c>
      <c r="B73716" t="str">
        <f>HYPERLINK("https://lindat.mff.cuni.cz/services/teitok/pdtc10/index.php?action=vallex&amp;frame=v-w11588_ZUf1_ZU", "škudlit (v-w11588_ZUf1_ZU)")</f>
        <v>škudlit (v-w11588_ZUf1_ZU)</v>
      </c>
    </row>
    <row r="73717" spans="1:4" x14ac:dyDescent="0.2">
      <c r="B73717" t="s">
        <v>1</v>
      </c>
      <c r="C73717" t="s">
        <v>140</v>
      </c>
      <c r="D73717" t="s">
        <v>1065</v>
      </c>
    </row>
    <row r="73718" spans="1:4" x14ac:dyDescent="0.2">
      <c r="B73718" t="s">
        <v>8</v>
      </c>
      <c r="D73718" t="s">
        <v>116</v>
      </c>
    </row>
    <row r="73720" spans="1:4" x14ac:dyDescent="0.2">
      <c r="A73720" t="s">
        <v>22804</v>
      </c>
      <c r="B73720" t="str">
        <f>HYPERLINK("https://lindat.mff.cuni.cz/services/teitok/pdtc10/index.php?action=vallex&amp;frame=v-w11588_ZUhsa_1037", "škudlit (v-w11588_ZUhsa_1037)")</f>
        <v>škudlit (v-w11588_ZUhsa_1037)</v>
      </c>
    </row>
    <row r="73721" spans="1:4" x14ac:dyDescent="0.2">
      <c r="B73721" t="s">
        <v>1</v>
      </c>
    </row>
    <row r="73722" spans="1:4" x14ac:dyDescent="0.2">
      <c r="B73722" t="s">
        <v>2712</v>
      </c>
    </row>
    <row r="73724" spans="1:4" x14ac:dyDescent="0.2">
      <c r="A73724" t="s">
        <v>22805</v>
      </c>
      <c r="B73724" t="str">
        <f>HYPERLINK("https://lindat.mff.cuni.cz/services/teitok/pdtc10/index.php?action=vallex&amp;frame=v-whsa_1774hsa_1775", "škvařit (v-whsa_1774hsa_1775)")</f>
        <v>škvařit (v-whsa_1774hsa_1775)</v>
      </c>
    </row>
    <row r="73725" spans="1:4" x14ac:dyDescent="0.2">
      <c r="B73725" t="s">
        <v>1</v>
      </c>
    </row>
    <row r="73726" spans="1:4" x14ac:dyDescent="0.2">
      <c r="B73726" t="s">
        <v>8</v>
      </c>
    </row>
    <row r="73728" spans="1:4" x14ac:dyDescent="0.2">
      <c r="A73728" t="s">
        <v>22806</v>
      </c>
      <c r="B73728" t="str">
        <f>HYPERLINK("https://lindat.mff.cuni.cz/services/teitok/pdtc10/index.php?action=vallex&amp;frame=v-w6736f1", "šlapat (v-w6736f1)")</f>
        <v>šlapat (v-w6736f1)</v>
      </c>
    </row>
    <row r="73729" spans="1:3" x14ac:dyDescent="0.2">
      <c r="B73729" t="s">
        <v>1</v>
      </c>
    </row>
    <row r="73731" spans="1:3" x14ac:dyDescent="0.2">
      <c r="A73731" t="s">
        <v>22807</v>
      </c>
      <c r="B73731" t="str">
        <f>HYPERLINK("https://lindat.mff.cuni.cz/services/teitok/pdtc10/index.php?action=vallex&amp;frame=v-w6736f2", "šlapat (v-w6736f2)")</f>
        <v>šlapat (v-w6736f2)</v>
      </c>
    </row>
    <row r="73732" spans="1:3" x14ac:dyDescent="0.2">
      <c r="B73732" t="s">
        <v>1</v>
      </c>
      <c r="C73732" t="s">
        <v>2239</v>
      </c>
    </row>
    <row r="73733" spans="1:3" x14ac:dyDescent="0.2">
      <c r="B73733" t="s">
        <v>22808</v>
      </c>
      <c r="C73733" t="s">
        <v>22809</v>
      </c>
    </row>
    <row r="73734" spans="1:3" x14ac:dyDescent="0.2">
      <c r="B73734" t="s">
        <v>103</v>
      </c>
    </row>
    <row r="73736" spans="1:3" x14ac:dyDescent="0.2">
      <c r="A73736" t="s">
        <v>22810</v>
      </c>
      <c r="B73736" t="str">
        <f>HYPERLINK("https://lindat.mff.cuni.cz/services/teitok/pdtc10/index.php?action=vallex&amp;frame=v-w6736f3_ZU", "šlapat (v-w6736f3_ZU)")</f>
        <v>šlapat (v-w6736f3_ZU)</v>
      </c>
    </row>
    <row r="73737" spans="1:3" x14ac:dyDescent="0.2">
      <c r="B73737" t="s">
        <v>1</v>
      </c>
    </row>
    <row r="73738" spans="1:3" x14ac:dyDescent="0.2">
      <c r="B73738" t="s">
        <v>8</v>
      </c>
    </row>
    <row r="73740" spans="1:3" x14ac:dyDescent="0.2">
      <c r="A73740" t="s">
        <v>22811</v>
      </c>
      <c r="B73740" t="str">
        <f>HYPERLINK("https://lindat.mff.cuni.cz/services/teitok/pdtc10/index.php?action=vallex&amp;frame=v-w6736f5_ZU", "šlapat (v-w6736f5_ZU)")</f>
        <v>šlapat (v-w6736f5_ZU)</v>
      </c>
    </row>
    <row r="73741" spans="1:3" x14ac:dyDescent="0.2">
      <c r="B73741" t="s">
        <v>1</v>
      </c>
    </row>
    <row r="73742" spans="1:3" x14ac:dyDescent="0.2">
      <c r="B73742" t="s">
        <v>252</v>
      </c>
    </row>
    <row r="73744" spans="1:3" x14ac:dyDescent="0.2">
      <c r="A73744" t="s">
        <v>22812</v>
      </c>
      <c r="B73744" t="str">
        <f>HYPERLINK("https://lindat.mff.cuni.cz/services/teitok/pdtc10/index.php?action=vallex&amp;frame=v-w6736f6_ZU", "šlapat (v-w6736f6_ZU)")</f>
        <v>šlapat (v-w6736f6_ZU)</v>
      </c>
    </row>
    <row r="73745" spans="1:2" x14ac:dyDescent="0.2">
      <c r="B73745" t="s">
        <v>1</v>
      </c>
    </row>
    <row r="73747" spans="1:2" x14ac:dyDescent="0.2">
      <c r="A73747" t="s">
        <v>22812</v>
      </c>
      <c r="B73747" t="str">
        <f>HYPERLINK("https://lindat.mff.cuni.cz/services/teitok/pdtc10/index.php?action=vallex&amp;frame=v-w6736f4_ZU", "šlapat (v-w6736f4_ZU) - substituted with v-w6736f6_ZU")</f>
        <v>šlapat (v-w6736f4_ZU) - substituted with v-w6736f6_ZU</v>
      </c>
    </row>
    <row r="73748" spans="1:2" x14ac:dyDescent="0.2">
      <c r="B73748" t="s">
        <v>1</v>
      </c>
    </row>
    <row r="73750" spans="1:2" x14ac:dyDescent="0.2">
      <c r="A73750" t="s">
        <v>22813</v>
      </c>
      <c r="B73750" t="str">
        <f>HYPERLINK("https://lindat.mff.cuni.cz/services/teitok/pdtc10/index.php?action=vallex&amp;frame=v-whsa_1906f1_ZU", "šlápnout (v-whsa_1906f1_ZU)")</f>
        <v>šlápnout (v-whsa_1906f1_ZU)</v>
      </c>
    </row>
    <row r="73751" spans="1:2" x14ac:dyDescent="0.2">
      <c r="B73751" t="s">
        <v>1</v>
      </c>
    </row>
    <row r="73753" spans="1:2" x14ac:dyDescent="0.2">
      <c r="A73753" t="s">
        <v>22814</v>
      </c>
      <c r="B73753" t="str">
        <f>HYPERLINK("https://lindat.mff.cuni.cz/services/teitok/pdtc10/index.php?action=vallex&amp;frame=v-whsa_1906hsa_1907", "šlápnout (v-whsa_1906hsa_1907)")</f>
        <v>šlápnout (v-whsa_1906hsa_1907)</v>
      </c>
    </row>
    <row r="73754" spans="1:2" x14ac:dyDescent="0.2">
      <c r="B73754" t="s">
        <v>1</v>
      </c>
    </row>
    <row r="73755" spans="1:2" x14ac:dyDescent="0.2">
      <c r="B73755" t="s">
        <v>90</v>
      </c>
    </row>
    <row r="73757" spans="1:2" x14ac:dyDescent="0.2">
      <c r="A73757" t="s">
        <v>22815</v>
      </c>
      <c r="B73757" t="str">
        <f>HYPERLINK("https://lindat.mff.cuni.cz/services/teitok/pdtc10/index.php?action=vallex&amp;frame=v-w12050_ZUf1_ZU", "šmajdat (v-w12050_ZUf1_ZU)")</f>
        <v>šmajdat (v-w12050_ZUf1_ZU)</v>
      </c>
    </row>
    <row r="73758" spans="1:2" x14ac:dyDescent="0.2">
      <c r="B73758" t="s">
        <v>1</v>
      </c>
    </row>
    <row r="73760" spans="1:2" x14ac:dyDescent="0.2">
      <c r="A73760" t="s">
        <v>22816</v>
      </c>
      <c r="B73760" t="str">
        <f>HYPERLINK("https://lindat.mff.cuni.cz/services/teitok/pdtc10/index.php?action=vallex&amp;frame=v-whsa_719hsa_720", "šmakovat (v-whsa_719hsa_720)")</f>
        <v>šmakovat (v-whsa_719hsa_720)</v>
      </c>
    </row>
    <row r="73761" spans="1:4" x14ac:dyDescent="0.2">
      <c r="B73761" t="s">
        <v>455</v>
      </c>
    </row>
    <row r="73762" spans="1:4" x14ac:dyDescent="0.2">
      <c r="B73762" t="s">
        <v>2625</v>
      </c>
    </row>
    <row r="73764" spans="1:4" x14ac:dyDescent="0.2">
      <c r="A73764" t="s">
        <v>22817</v>
      </c>
      <c r="B73764" t="str">
        <f>HYPERLINK("https://lindat.mff.cuni.cz/services/teitok/pdtc10/index.php?action=vallex&amp;frame=v-w10305f2", "šmátrat (v-w10305f2)")</f>
        <v>šmátrat (v-w10305f2)</v>
      </c>
    </row>
    <row r="73765" spans="1:4" x14ac:dyDescent="0.2">
      <c r="B73765" t="s">
        <v>1</v>
      </c>
      <c r="D73765" t="s">
        <v>133</v>
      </c>
    </row>
    <row r="73766" spans="1:4" x14ac:dyDescent="0.2">
      <c r="B73766" t="s">
        <v>5</v>
      </c>
      <c r="D73766" t="s">
        <v>19394</v>
      </c>
    </row>
    <row r="73768" spans="1:4" x14ac:dyDescent="0.2">
      <c r="A73768" t="s">
        <v>22818</v>
      </c>
      <c r="B73768" t="str">
        <f>HYPERLINK("https://lindat.mff.cuni.cz/services/teitok/pdtc10/index.php?action=vallex&amp;frame=v-whsb_999hsa_1000", "šnorchlovat (v-whsb_999hsa_1000)")</f>
        <v>šnorchlovat (v-whsb_999hsa_1000)</v>
      </c>
    </row>
    <row r="73769" spans="1:4" x14ac:dyDescent="0.2">
      <c r="B73769" t="s">
        <v>1</v>
      </c>
    </row>
    <row r="73771" spans="1:4" x14ac:dyDescent="0.2">
      <c r="A73771" t="s">
        <v>22819</v>
      </c>
      <c r="B73771" t="str">
        <f>HYPERLINK("https://lindat.mff.cuni.cz/services/teitok/pdtc10/index.php?action=vallex&amp;frame=v-w6737f1", "šněrovat (v-w6737f1)")</f>
        <v>šněrovat (v-w6737f1)</v>
      </c>
    </row>
    <row r="73772" spans="1:4" x14ac:dyDescent="0.2">
      <c r="B73772" t="s">
        <v>1</v>
      </c>
    </row>
    <row r="73773" spans="1:4" x14ac:dyDescent="0.2">
      <c r="B73773" t="s">
        <v>8</v>
      </c>
    </row>
    <row r="73775" spans="1:4" x14ac:dyDescent="0.2">
      <c r="A73775" t="s">
        <v>22820</v>
      </c>
      <c r="B73775" t="str">
        <f>HYPERLINK("https://lindat.mff.cuni.cz/services/teitok/pdtc10/index.php?action=vallex&amp;frame=v-w6737f2_MM", "šněrovat (v-w6737f2_MM)")</f>
        <v>šněrovat (v-w6737f2_MM)</v>
      </c>
    </row>
    <row r="73776" spans="1:4" x14ac:dyDescent="0.2">
      <c r="B73776" t="s">
        <v>1</v>
      </c>
    </row>
    <row r="73777" spans="1:4" x14ac:dyDescent="0.2">
      <c r="B73777" t="s">
        <v>8</v>
      </c>
    </row>
    <row r="73779" spans="1:4" x14ac:dyDescent="0.2">
      <c r="A73779" t="s">
        <v>22821</v>
      </c>
      <c r="B73779" t="str">
        <f>HYPERLINK("https://lindat.mff.cuni.cz/services/teitok/pdtc10/index.php?action=vallex&amp;frame=v-w6740f1", "šokovat (v-w6740f1)")</f>
        <v>šokovat (v-w6740f1)</v>
      </c>
    </row>
    <row r="73780" spans="1:4" x14ac:dyDescent="0.2">
      <c r="B73780" t="s">
        <v>7753</v>
      </c>
      <c r="C73780" t="s">
        <v>3171</v>
      </c>
      <c r="D73780" t="s">
        <v>23698</v>
      </c>
    </row>
    <row r="73781" spans="1:4" x14ac:dyDescent="0.2">
      <c r="B73781" t="s">
        <v>8</v>
      </c>
      <c r="C73781" t="s">
        <v>1340</v>
      </c>
      <c r="D73781" t="s">
        <v>23699</v>
      </c>
    </row>
    <row r="73783" spans="1:4" x14ac:dyDescent="0.2">
      <c r="A73783" t="s">
        <v>22822</v>
      </c>
      <c r="B73783" t="str">
        <f>HYPERLINK("https://lindat.mff.cuni.cz/services/teitok/pdtc10/index.php?action=vallex&amp;frame=v-w11669_ZUf3_ZU", "šoupat (v-w11669_ZUf3_ZU)")</f>
        <v>šoupat (v-w11669_ZUf3_ZU)</v>
      </c>
    </row>
    <row r="73784" spans="1:4" x14ac:dyDescent="0.2">
      <c r="B73784" t="s">
        <v>1</v>
      </c>
    </row>
    <row r="73785" spans="1:4" x14ac:dyDescent="0.2">
      <c r="B73785" t="s">
        <v>1532</v>
      </c>
    </row>
    <row r="73787" spans="1:4" x14ac:dyDescent="0.2">
      <c r="A73787" t="s">
        <v>22822</v>
      </c>
      <c r="B73787" t="str">
        <f>HYPERLINK("https://lindat.mff.cuni.cz/services/teitok/pdtc10/index.php?action=vallex&amp;frame=v-w11669_ZUf1_ZU", "šoupat (v-w11669_ZUf1_ZU) - substituted with v-w11669_ZUf3_ZU")</f>
        <v>šoupat (v-w11669_ZUf1_ZU) - substituted with v-w11669_ZUf3_ZU</v>
      </c>
    </row>
    <row r="73788" spans="1:4" x14ac:dyDescent="0.2">
      <c r="B73788" t="s">
        <v>1</v>
      </c>
      <c r="D73788" t="s">
        <v>3580</v>
      </c>
    </row>
    <row r="73789" spans="1:4" x14ac:dyDescent="0.2">
      <c r="B73789" t="s">
        <v>1532</v>
      </c>
      <c r="C73789" t="s">
        <v>150</v>
      </c>
      <c r="D73789" t="s">
        <v>23652</v>
      </c>
    </row>
    <row r="73791" spans="1:4" x14ac:dyDescent="0.2">
      <c r="A73791" t="s">
        <v>22822</v>
      </c>
      <c r="B73791" t="str">
        <f>HYPERLINK("https://lindat.mff.cuni.cz/services/teitok/pdtc10/index.php?action=vallex&amp;frame=v-w11669_ZUf2_ZU", "šoupat (v-w11669_ZUf2_ZU) - substituted with v-w11669_ZUf3_ZU")</f>
        <v>šoupat (v-w11669_ZUf2_ZU) - substituted with v-w11669_ZUf3_ZU</v>
      </c>
    </row>
    <row r="73792" spans="1:4" x14ac:dyDescent="0.2">
      <c r="B73792" t="s">
        <v>1</v>
      </c>
    </row>
    <row r="73793" spans="1:2" x14ac:dyDescent="0.2">
      <c r="B73793" t="s">
        <v>1532</v>
      </c>
    </row>
    <row r="73795" spans="1:2" x14ac:dyDescent="0.2">
      <c r="A73795" t="s">
        <v>22823</v>
      </c>
      <c r="B73795" t="str">
        <f>HYPERLINK("https://lindat.mff.cuni.cz/services/teitok/pdtc10/index.php?action=vallex&amp;frame=v-w6741f1", "šoupnout (v-w6741f1)")</f>
        <v>šoupnout (v-w6741f1)</v>
      </c>
    </row>
    <row r="73796" spans="1:2" x14ac:dyDescent="0.2">
      <c r="B73796" t="s">
        <v>1</v>
      </c>
    </row>
    <row r="73797" spans="1:2" x14ac:dyDescent="0.2">
      <c r="B73797" t="s">
        <v>8</v>
      </c>
    </row>
    <row r="73798" spans="1:2" x14ac:dyDescent="0.2">
      <c r="B73798" t="s">
        <v>90</v>
      </c>
    </row>
    <row r="73800" spans="1:2" x14ac:dyDescent="0.2">
      <c r="A73800" t="s">
        <v>22824</v>
      </c>
      <c r="B73800" t="str">
        <f>HYPERLINK("https://lindat.mff.cuni.cz/services/teitok/pdtc10/index.php?action=vallex&amp;frame=v-w6741f2_ZU", "šoupnout (v-w6741f2_ZU)")</f>
        <v>šoupnout (v-w6741f2_ZU)</v>
      </c>
    </row>
    <row r="73801" spans="1:2" x14ac:dyDescent="0.2">
      <c r="B73801" t="s">
        <v>1</v>
      </c>
    </row>
    <row r="73802" spans="1:2" x14ac:dyDescent="0.2">
      <c r="B73802" t="s">
        <v>35</v>
      </c>
    </row>
    <row r="73803" spans="1:2" x14ac:dyDescent="0.2">
      <c r="B73803" t="s">
        <v>8</v>
      </c>
    </row>
    <row r="73805" spans="1:2" x14ac:dyDescent="0.2">
      <c r="A73805" t="s">
        <v>22825</v>
      </c>
      <c r="B73805" t="str">
        <f>HYPERLINK("https://lindat.mff.cuni.cz/services/teitok/pdtc10/index.php?action=vallex&amp;frame=v-w6742f1", "šoustnout si (v-w6742f1)")</f>
        <v>šoustnout si (v-w6742f1)</v>
      </c>
    </row>
    <row r="73806" spans="1:2" x14ac:dyDescent="0.2">
      <c r="B73806" t="s">
        <v>331</v>
      </c>
    </row>
    <row r="73807" spans="1:2" x14ac:dyDescent="0.2">
      <c r="B73807" t="s">
        <v>390</v>
      </c>
    </row>
    <row r="73808" spans="1:2" x14ac:dyDescent="0.2">
      <c r="B73808" t="s">
        <v>192</v>
      </c>
    </row>
    <row r="73810" spans="1:4" x14ac:dyDescent="0.2">
      <c r="A73810" t="s">
        <v>22826</v>
      </c>
      <c r="B73810" t="str">
        <f>HYPERLINK("https://lindat.mff.cuni.cz/services/teitok/pdtc10/index.php?action=vallex&amp;frame=v-w6743f1", "špehovat (v-w6743f1)")</f>
        <v>špehovat (v-w6743f1)</v>
      </c>
    </row>
    <row r="73811" spans="1:4" x14ac:dyDescent="0.2">
      <c r="B73811" t="s">
        <v>1</v>
      </c>
    </row>
    <row r="73812" spans="1:4" x14ac:dyDescent="0.2">
      <c r="B73812" t="s">
        <v>8</v>
      </c>
    </row>
    <row r="73814" spans="1:4" x14ac:dyDescent="0.2">
      <c r="A73814" t="s">
        <v>22827</v>
      </c>
      <c r="B73814" t="str">
        <f>HYPERLINK("https://lindat.mff.cuni.cz/services/teitok/pdtc10/index.php?action=vallex&amp;frame=v-whsa_706hsa_707", "špinit (v-whsa_706hsa_707)")</f>
        <v>špinit (v-whsa_706hsa_707)</v>
      </c>
    </row>
    <row r="73815" spans="1:4" x14ac:dyDescent="0.2">
      <c r="B73815" t="s">
        <v>1</v>
      </c>
    </row>
    <row r="73816" spans="1:4" x14ac:dyDescent="0.2">
      <c r="B73816" t="s">
        <v>8</v>
      </c>
    </row>
    <row r="73818" spans="1:4" x14ac:dyDescent="0.2">
      <c r="A73818" t="s">
        <v>22828</v>
      </c>
      <c r="B73818" t="str">
        <f>HYPERLINK("https://lindat.mff.cuni.cz/services/teitok/pdtc10/index.php?action=vallex&amp;frame=v-w6744f1", "špitat (v-w6744f1)")</f>
        <v>špitat (v-w6744f1)</v>
      </c>
    </row>
    <row r="73819" spans="1:4" x14ac:dyDescent="0.2">
      <c r="B73819" t="s">
        <v>1</v>
      </c>
      <c r="D73819" t="s">
        <v>16715</v>
      </c>
    </row>
    <row r="73820" spans="1:4" x14ac:dyDescent="0.2">
      <c r="B73820" t="s">
        <v>6437</v>
      </c>
      <c r="D73820" t="s">
        <v>24516</v>
      </c>
    </row>
    <row r="73821" spans="1:4" x14ac:dyDescent="0.2">
      <c r="B73821" t="s">
        <v>269</v>
      </c>
    </row>
    <row r="73822" spans="1:4" x14ac:dyDescent="0.2">
      <c r="B73822" t="s">
        <v>78</v>
      </c>
      <c r="D73822" t="s">
        <v>24517</v>
      </c>
    </row>
    <row r="73824" spans="1:4" x14ac:dyDescent="0.2">
      <c r="A73824" t="s">
        <v>22829</v>
      </c>
      <c r="B73824" t="str">
        <f>HYPERLINK("https://lindat.mff.cuni.cz/services/teitok/pdtc10/index.php?action=vallex&amp;frame=v-w6745f1", "špitnout (v-w6745f1)")</f>
        <v>špitnout (v-w6745f1)</v>
      </c>
    </row>
    <row r="73825" spans="1:4" x14ac:dyDescent="0.2">
      <c r="B73825" t="s">
        <v>1</v>
      </c>
    </row>
    <row r="73826" spans="1:4" x14ac:dyDescent="0.2">
      <c r="B73826" t="s">
        <v>8</v>
      </c>
    </row>
    <row r="73828" spans="1:4" x14ac:dyDescent="0.2">
      <c r="A73828" t="s">
        <v>22830</v>
      </c>
      <c r="B73828" t="str">
        <f>HYPERLINK("https://lindat.mff.cuni.cz/services/teitok/pdtc10/index.php?action=vallex&amp;frame=v-w6745f2", "špitnout (v-w6745f2)")</f>
        <v>špitnout (v-w6745f2)</v>
      </c>
    </row>
    <row r="73829" spans="1:4" x14ac:dyDescent="0.2">
      <c r="B73829" t="s">
        <v>1</v>
      </c>
      <c r="D73829" t="s">
        <v>16715</v>
      </c>
    </row>
    <row r="73830" spans="1:4" x14ac:dyDescent="0.2">
      <c r="B73830" t="s">
        <v>6437</v>
      </c>
      <c r="D73830" t="s">
        <v>24516</v>
      </c>
    </row>
    <row r="73831" spans="1:4" x14ac:dyDescent="0.2">
      <c r="B73831" t="s">
        <v>269</v>
      </c>
    </row>
    <row r="73832" spans="1:4" x14ac:dyDescent="0.2">
      <c r="B73832" t="s">
        <v>78</v>
      </c>
      <c r="D73832" t="s">
        <v>24517</v>
      </c>
    </row>
    <row r="73834" spans="1:4" x14ac:dyDescent="0.2">
      <c r="A73834" t="s">
        <v>22831</v>
      </c>
      <c r="B73834" t="str">
        <f>HYPERLINK("https://lindat.mff.cuni.cz/services/teitok/pdtc10/index.php?action=vallex&amp;frame=v-w6746f1", "šplhat (v-w6746f1)")</f>
        <v>šplhat (v-w6746f1)</v>
      </c>
    </row>
    <row r="73835" spans="1:4" x14ac:dyDescent="0.2">
      <c r="B73835" t="s">
        <v>1</v>
      </c>
      <c r="C73835" t="s">
        <v>186</v>
      </c>
      <c r="D73835" t="s">
        <v>23392</v>
      </c>
    </row>
    <row r="73836" spans="1:4" x14ac:dyDescent="0.2">
      <c r="B73836" t="s">
        <v>46</v>
      </c>
      <c r="D73836" t="s">
        <v>23393</v>
      </c>
    </row>
    <row r="73837" spans="1:4" x14ac:dyDescent="0.2">
      <c r="B73837" t="s">
        <v>24</v>
      </c>
      <c r="D73837" t="s">
        <v>23394</v>
      </c>
    </row>
    <row r="73839" spans="1:4" x14ac:dyDescent="0.2">
      <c r="A73839" t="s">
        <v>22832</v>
      </c>
      <c r="B73839" t="str">
        <f>HYPERLINK("https://lindat.mff.cuni.cz/services/teitok/pdtc10/index.php?action=vallex&amp;frame=v-w6747f1", "šplhat se (v-w6747f1)")</f>
        <v>šplhat se (v-w6747f1)</v>
      </c>
    </row>
    <row r="73840" spans="1:4" x14ac:dyDescent="0.2">
      <c r="B73840" t="s">
        <v>1</v>
      </c>
      <c r="C73840" t="s">
        <v>22833</v>
      </c>
      <c r="D73840" t="s">
        <v>23510</v>
      </c>
    </row>
    <row r="73841" spans="1:4" x14ac:dyDescent="0.2">
      <c r="B73841" t="s">
        <v>90</v>
      </c>
      <c r="C73841" t="s">
        <v>22834</v>
      </c>
      <c r="D73841" t="s">
        <v>24368</v>
      </c>
    </row>
    <row r="73843" spans="1:4" x14ac:dyDescent="0.2">
      <c r="A73843" t="s">
        <v>22835</v>
      </c>
      <c r="B73843" t="str">
        <f>HYPERLINK("https://lindat.mff.cuni.cz/services/teitok/pdtc10/index.php?action=vallex&amp;frame=v-w6747f2", "šplhat se (v-w6747f2)")</f>
        <v>šplhat se (v-w6747f2)</v>
      </c>
    </row>
    <row r="73844" spans="1:4" x14ac:dyDescent="0.2">
      <c r="B73844" t="s">
        <v>1</v>
      </c>
    </row>
    <row r="73846" spans="1:4" x14ac:dyDescent="0.2">
      <c r="A73846" t="s">
        <v>22836</v>
      </c>
      <c r="B73846" t="str">
        <f>HYPERLINK("https://lindat.mff.cuni.cz/services/teitok/pdtc10/index.php?action=vallex&amp;frame=v-w6748f1", "šplhnout si (v-w6748f1)")</f>
        <v>šplhnout si (v-w6748f1)</v>
      </c>
    </row>
    <row r="73847" spans="1:4" x14ac:dyDescent="0.2">
      <c r="B73847" t="s">
        <v>1</v>
      </c>
    </row>
    <row r="73849" spans="1:4" x14ac:dyDescent="0.2">
      <c r="A73849" t="s">
        <v>22837</v>
      </c>
      <c r="B73849" t="str">
        <f>HYPERLINK("https://lindat.mff.cuni.cz/services/teitok/pdtc10/index.php?action=vallex&amp;frame=v-w12314_MMf1_MM", "šplouchat (v-w12314_MMf1_MM)")</f>
        <v>šplouchat (v-w12314_MMf1_MM)</v>
      </c>
    </row>
    <row r="73850" spans="1:4" x14ac:dyDescent="0.2">
      <c r="B73850" t="s">
        <v>1</v>
      </c>
    </row>
    <row r="73852" spans="1:4" x14ac:dyDescent="0.2">
      <c r="A73852" t="s">
        <v>22838</v>
      </c>
      <c r="B73852" t="str">
        <f>HYPERLINK("https://lindat.mff.cuni.cz/services/teitok/pdtc10/index.php?action=vallex&amp;frame=v-w6749f1", "šponovat (v-w6749f1)")</f>
        <v>šponovat (v-w6749f1)</v>
      </c>
    </row>
    <row r="73853" spans="1:4" x14ac:dyDescent="0.2">
      <c r="B73853" t="s">
        <v>1</v>
      </c>
    </row>
    <row r="73854" spans="1:4" x14ac:dyDescent="0.2">
      <c r="B73854" t="s">
        <v>8</v>
      </c>
    </row>
    <row r="73855" spans="1:4" x14ac:dyDescent="0.2">
      <c r="B73855" t="s">
        <v>61</v>
      </c>
    </row>
    <row r="73857" spans="1:4" x14ac:dyDescent="0.2">
      <c r="A73857" t="s">
        <v>22839</v>
      </c>
      <c r="B73857" t="str">
        <f>HYPERLINK("https://lindat.mff.cuni.cz/services/teitok/pdtc10/index.php?action=vallex&amp;frame=v-whsa_557hsa_558", "špulit se (v-whsa_557hsa_558)")</f>
        <v>špulit se (v-whsa_557hsa_558)</v>
      </c>
    </row>
    <row r="73858" spans="1:4" x14ac:dyDescent="0.2">
      <c r="B73858" t="s">
        <v>1</v>
      </c>
    </row>
    <row r="73860" spans="1:4" x14ac:dyDescent="0.2">
      <c r="A73860" t="s">
        <v>22840</v>
      </c>
      <c r="B73860" t="str">
        <f>HYPERLINK("https://lindat.mff.cuni.cz/services/teitok/pdtc10/index.php?action=vallex&amp;frame=v-whsa_1076hsa_1077", "šroubovat (v-whsa_1076hsa_1077)")</f>
        <v>šroubovat (v-whsa_1076hsa_1077)</v>
      </c>
    </row>
    <row r="73861" spans="1:4" x14ac:dyDescent="0.2">
      <c r="B73861" t="s">
        <v>1</v>
      </c>
      <c r="C73861" t="s">
        <v>33</v>
      </c>
      <c r="D73861" t="s">
        <v>2303</v>
      </c>
    </row>
    <row r="73862" spans="1:4" x14ac:dyDescent="0.2">
      <c r="B73862" t="s">
        <v>8</v>
      </c>
      <c r="C73862" t="s">
        <v>84</v>
      </c>
      <c r="D73862" t="s">
        <v>2886</v>
      </c>
    </row>
    <row r="73864" spans="1:4" x14ac:dyDescent="0.2">
      <c r="A73864" t="s">
        <v>22841</v>
      </c>
      <c r="B73864" t="str">
        <f>HYPERLINK("https://lindat.mff.cuni.cz/services/teitok/pdtc10/index.php?action=vallex&amp;frame=v-whsa_1076f1_ZU", "šroubovat (v-whsa_1076f1_ZU)")</f>
        <v>šroubovat (v-whsa_1076f1_ZU)</v>
      </c>
    </row>
    <row r="73865" spans="1:4" x14ac:dyDescent="0.2">
      <c r="B73865" t="s">
        <v>1</v>
      </c>
    </row>
    <row r="73866" spans="1:4" x14ac:dyDescent="0.2">
      <c r="B73866" t="s">
        <v>8</v>
      </c>
    </row>
    <row r="73868" spans="1:4" x14ac:dyDescent="0.2">
      <c r="A73868" t="s">
        <v>22842</v>
      </c>
      <c r="B73868" t="str">
        <f>HYPERLINK("https://lindat.mff.cuni.cz/services/teitok/pdtc10/index.php?action=vallex&amp;frame=v-w6760f2", "štvát (v-w6760f2)")</f>
        <v>štvát (v-w6760f2)</v>
      </c>
    </row>
    <row r="73869" spans="1:4" x14ac:dyDescent="0.2">
      <c r="B73869" t="s">
        <v>1</v>
      </c>
      <c r="D73869" t="s">
        <v>140</v>
      </c>
    </row>
    <row r="73870" spans="1:4" x14ac:dyDescent="0.2">
      <c r="B73870" t="s">
        <v>3788</v>
      </c>
      <c r="D73870" t="s">
        <v>1301</v>
      </c>
    </row>
    <row r="73871" spans="1:4" x14ac:dyDescent="0.2">
      <c r="B73871" t="s">
        <v>58</v>
      </c>
      <c r="D73871" t="s">
        <v>2810</v>
      </c>
    </row>
    <row r="73873" spans="1:4" x14ac:dyDescent="0.2">
      <c r="A73873" t="s">
        <v>22843</v>
      </c>
      <c r="B73873" t="str">
        <f>HYPERLINK("https://lindat.mff.cuni.cz/services/teitok/pdtc10/index.php?action=vallex&amp;frame=v-w6760f1", "štvát (v-w6760f1)")</f>
        <v>štvát (v-w6760f1)</v>
      </c>
    </row>
    <row r="73874" spans="1:4" x14ac:dyDescent="0.2">
      <c r="B73874" t="s">
        <v>146</v>
      </c>
    </row>
    <row r="73875" spans="1:4" x14ac:dyDescent="0.2">
      <c r="B73875" t="s">
        <v>12478</v>
      </c>
    </row>
    <row r="73877" spans="1:4" x14ac:dyDescent="0.2">
      <c r="A73877" t="s">
        <v>22844</v>
      </c>
      <c r="B73877" t="str">
        <f>HYPERLINK("https://lindat.mff.cuni.cz/services/teitok/pdtc10/index.php?action=vallex&amp;frame=v-w10723f3", "štípat (v-w10723f3)")</f>
        <v>štípat (v-w10723f3)</v>
      </c>
    </row>
    <row r="73878" spans="1:4" x14ac:dyDescent="0.2">
      <c r="B73878" t="s">
        <v>1</v>
      </c>
      <c r="C73878" t="s">
        <v>140</v>
      </c>
      <c r="D73878" t="s">
        <v>2353</v>
      </c>
    </row>
    <row r="73879" spans="1:4" x14ac:dyDescent="0.2">
      <c r="B73879" t="s">
        <v>8</v>
      </c>
      <c r="C73879" t="s">
        <v>113</v>
      </c>
      <c r="D73879" t="s">
        <v>7127</v>
      </c>
    </row>
    <row r="73880" spans="1:4" x14ac:dyDescent="0.2">
      <c r="B73880" t="s">
        <v>61</v>
      </c>
      <c r="D73880" t="s">
        <v>13074</v>
      </c>
    </row>
    <row r="73882" spans="1:4" x14ac:dyDescent="0.2">
      <c r="A73882" t="s">
        <v>22845</v>
      </c>
      <c r="B73882" t="str">
        <f>HYPERLINK("https://lindat.mff.cuni.cz/services/teitok/pdtc10/index.php?action=vallex&amp;frame=v-w10723f4_ZU", "štípat (v-w10723f4_ZU)")</f>
        <v>štípat (v-w10723f4_ZU)</v>
      </c>
    </row>
    <row r="73883" spans="1:4" x14ac:dyDescent="0.2">
      <c r="B73883" t="s">
        <v>1</v>
      </c>
    </row>
    <row r="73884" spans="1:4" x14ac:dyDescent="0.2">
      <c r="B73884" t="s">
        <v>8</v>
      </c>
    </row>
    <row r="73886" spans="1:4" x14ac:dyDescent="0.2">
      <c r="A73886" t="s">
        <v>22845</v>
      </c>
      <c r="B73886" t="str">
        <f>HYPERLINK("https://lindat.mff.cuni.cz/services/teitok/pdtc10/index.php?action=vallex&amp;frame=v-w10723hsa_39", "štípat (v-w10723hsa_39) - substituted with v-w10723f4_ZU")</f>
        <v>štípat (v-w10723hsa_39) - substituted with v-w10723f4_ZU</v>
      </c>
    </row>
    <row r="73887" spans="1:4" x14ac:dyDescent="0.2">
      <c r="B73887" t="s">
        <v>1</v>
      </c>
    </row>
    <row r="73888" spans="1:4" x14ac:dyDescent="0.2">
      <c r="B73888" t="s">
        <v>8</v>
      </c>
    </row>
    <row r="73890" spans="1:3" x14ac:dyDescent="0.2">
      <c r="A73890" t="s">
        <v>22846</v>
      </c>
      <c r="B73890" t="str">
        <f>HYPERLINK("https://lindat.mff.cuni.cz/services/teitok/pdtc10/index.php?action=vallex&amp;frame=v-w10723f6_ZU", "štípat (v-w10723f6_ZU)")</f>
        <v>štípat (v-w10723f6_ZU)</v>
      </c>
    </row>
    <row r="73891" spans="1:3" x14ac:dyDescent="0.2">
      <c r="B73891" t="s">
        <v>1</v>
      </c>
    </row>
    <row r="73892" spans="1:3" x14ac:dyDescent="0.2">
      <c r="B73892" t="s">
        <v>8</v>
      </c>
    </row>
    <row r="73894" spans="1:3" x14ac:dyDescent="0.2">
      <c r="A73894" t="s">
        <v>22846</v>
      </c>
      <c r="B73894" t="str">
        <f>HYPERLINK("https://lindat.mff.cuni.cz/services/teitok/pdtc10/index.php?action=vallex&amp;frame=v-w10723f5_ZU", "štípat (v-w10723f5_ZU) - substituted with v-w10723f6_ZU")</f>
        <v>štípat (v-w10723f5_ZU) - substituted with v-w10723f6_ZU</v>
      </c>
    </row>
    <row r="73895" spans="1:3" x14ac:dyDescent="0.2">
      <c r="B73895" t="s">
        <v>1</v>
      </c>
    </row>
    <row r="73896" spans="1:3" x14ac:dyDescent="0.2">
      <c r="B73896" t="s">
        <v>8</v>
      </c>
    </row>
    <row r="73898" spans="1:3" x14ac:dyDescent="0.2">
      <c r="A73898" t="s">
        <v>22847</v>
      </c>
      <c r="B73898" t="str">
        <f>HYPERLINK("https://lindat.mff.cuni.cz/services/teitok/pdtc10/index.php?action=vallex&amp;frame=v-w10079f2", "štípnout (v-w10079f2)")</f>
        <v>štípnout (v-w10079f2)</v>
      </c>
    </row>
    <row r="73899" spans="1:3" x14ac:dyDescent="0.2">
      <c r="B73899" t="s">
        <v>1</v>
      </c>
      <c r="C73899" t="s">
        <v>140</v>
      </c>
    </row>
    <row r="73900" spans="1:3" x14ac:dyDescent="0.2">
      <c r="B73900" t="s">
        <v>8</v>
      </c>
    </row>
    <row r="73901" spans="1:3" x14ac:dyDescent="0.2">
      <c r="B73901" t="s">
        <v>35</v>
      </c>
    </row>
    <row r="73903" spans="1:3" x14ac:dyDescent="0.2">
      <c r="A73903" t="s">
        <v>22848</v>
      </c>
      <c r="B73903" t="str">
        <f>HYPERLINK("https://lindat.mff.cuni.cz/services/teitok/pdtc10/index.php?action=vallex&amp;frame=v-w10079f3_MM", "štípnout (v-w10079f3_MM)")</f>
        <v>štípnout (v-w10079f3_MM)</v>
      </c>
    </row>
    <row r="73904" spans="1:3" x14ac:dyDescent="0.2">
      <c r="B73904" t="s">
        <v>1</v>
      </c>
    </row>
    <row r="73905" spans="1:4" x14ac:dyDescent="0.2">
      <c r="B73905" t="s">
        <v>8</v>
      </c>
    </row>
    <row r="73907" spans="1:4" x14ac:dyDescent="0.2">
      <c r="A73907" t="s">
        <v>22849</v>
      </c>
      <c r="B73907" t="str">
        <f>HYPERLINK("https://lindat.mff.cuni.cz/services/teitok/pdtc10/index.php?action=vallex&amp;frame=v-w6756f1", "štítit se (v-w6756f1)")</f>
        <v>štítit se (v-w6756f1)</v>
      </c>
    </row>
    <row r="73908" spans="1:4" x14ac:dyDescent="0.2">
      <c r="B73908" t="s">
        <v>1</v>
      </c>
    </row>
    <row r="73909" spans="1:4" x14ac:dyDescent="0.2">
      <c r="B73909" t="s">
        <v>22850</v>
      </c>
    </row>
    <row r="73911" spans="1:4" x14ac:dyDescent="0.2">
      <c r="A73911" t="s">
        <v>22851</v>
      </c>
      <c r="B73911" t="str">
        <f>HYPERLINK("https://lindat.mff.cuni.cz/services/teitok/pdtc10/index.php?action=vallex&amp;frame=v-w6751f1", "štěkat (v-w6751f1)")</f>
        <v>štěkat (v-w6751f1)</v>
      </c>
    </row>
    <row r="73912" spans="1:4" x14ac:dyDescent="0.2">
      <c r="B73912" t="s">
        <v>1</v>
      </c>
    </row>
    <row r="73913" spans="1:4" x14ac:dyDescent="0.2">
      <c r="B73913" t="s">
        <v>46</v>
      </c>
    </row>
    <row r="73915" spans="1:4" x14ac:dyDescent="0.2">
      <c r="A73915" t="s">
        <v>22852</v>
      </c>
      <c r="B73915" t="str">
        <f>HYPERLINK("https://lindat.mff.cuni.cz/services/teitok/pdtc10/index.php?action=vallex&amp;frame=v-w11448f1", "štěpit (v-w11448f1)")</f>
        <v>štěpit (v-w11448f1)</v>
      </c>
    </row>
    <row r="73916" spans="1:4" x14ac:dyDescent="0.2">
      <c r="B73916" t="s">
        <v>1</v>
      </c>
      <c r="C73916" t="s">
        <v>2239</v>
      </c>
      <c r="D73916" t="s">
        <v>3583</v>
      </c>
    </row>
    <row r="73917" spans="1:4" x14ac:dyDescent="0.2">
      <c r="B73917" t="s">
        <v>8</v>
      </c>
      <c r="C73917" t="s">
        <v>1190</v>
      </c>
      <c r="D73917" t="s">
        <v>2113</v>
      </c>
    </row>
    <row r="73918" spans="1:4" x14ac:dyDescent="0.2">
      <c r="B73918" t="s">
        <v>2334</v>
      </c>
      <c r="C73918" t="s">
        <v>22853</v>
      </c>
      <c r="D73918" t="s">
        <v>23395</v>
      </c>
    </row>
    <row r="73920" spans="1:4" x14ac:dyDescent="0.2">
      <c r="A73920" t="s">
        <v>22854</v>
      </c>
      <c r="B73920" t="str">
        <f>HYPERLINK("https://lindat.mff.cuni.cz/services/teitok/pdtc10/index.php?action=vallex&amp;frame=v-w6753f1", "štěpit se (v-w6753f1)")</f>
        <v>štěpit se (v-w6753f1)</v>
      </c>
    </row>
    <row r="73921" spans="1:4" x14ac:dyDescent="0.2">
      <c r="B73921" t="s">
        <v>1</v>
      </c>
      <c r="D73921" t="s">
        <v>23100</v>
      </c>
    </row>
    <row r="73922" spans="1:4" x14ac:dyDescent="0.2">
      <c r="B73922" t="s">
        <v>13127</v>
      </c>
      <c r="D73922" t="s">
        <v>21785</v>
      </c>
    </row>
    <row r="73924" spans="1:4" x14ac:dyDescent="0.2">
      <c r="A73924" t="s">
        <v>22855</v>
      </c>
      <c r="B73924" t="str">
        <f>HYPERLINK("https://lindat.mff.cuni.cz/services/teitok/pdtc10/index.php?action=vallex&amp;frame=v-whsa_110hsa_111", "šukat (v-whsa_110hsa_111)")</f>
        <v>šukat (v-whsa_110hsa_111)</v>
      </c>
    </row>
    <row r="73925" spans="1:4" x14ac:dyDescent="0.2">
      <c r="B73925" t="s">
        <v>1</v>
      </c>
    </row>
    <row r="73926" spans="1:4" x14ac:dyDescent="0.2">
      <c r="B73926" t="s">
        <v>8</v>
      </c>
    </row>
    <row r="73928" spans="1:4" x14ac:dyDescent="0.2">
      <c r="A73928" t="s">
        <v>22856</v>
      </c>
      <c r="B73928" t="str">
        <f>HYPERLINK("https://lindat.mff.cuni.cz/services/teitok/pdtc10/index.php?action=vallex&amp;frame=v-w6762f1", "šumět (v-w6762f1)")</f>
        <v>šumět (v-w6762f1)</v>
      </c>
    </row>
    <row r="73929" spans="1:4" x14ac:dyDescent="0.2">
      <c r="B73929" t="s">
        <v>1</v>
      </c>
      <c r="C73929" t="s">
        <v>140</v>
      </c>
      <c r="D73929" t="s">
        <v>23115</v>
      </c>
    </row>
    <row r="73931" spans="1:4" x14ac:dyDescent="0.2">
      <c r="A73931" t="s">
        <v>22857</v>
      </c>
      <c r="B73931" t="str">
        <f>HYPERLINK("https://lindat.mff.cuni.cz/services/teitok/pdtc10/index.php?action=vallex&amp;frame=v-w6764f2", "šustit (v-w6764f2)")</f>
        <v>šustit (v-w6764f2)</v>
      </c>
    </row>
    <row r="73932" spans="1:4" x14ac:dyDescent="0.2">
      <c r="B73932" t="s">
        <v>1</v>
      </c>
    </row>
    <row r="73933" spans="1:4" x14ac:dyDescent="0.2">
      <c r="B73933" t="s">
        <v>158</v>
      </c>
    </row>
    <row r="73935" spans="1:4" x14ac:dyDescent="0.2">
      <c r="A73935" t="s">
        <v>22858</v>
      </c>
      <c r="B73935" t="str">
        <f>HYPERLINK("https://lindat.mff.cuni.cz/services/teitok/pdtc10/index.php?action=vallex&amp;frame=v-w6764f1", "šustit (v-w6764f1)")</f>
        <v>šustit (v-w6764f1)</v>
      </c>
    </row>
    <row r="73936" spans="1:4" x14ac:dyDescent="0.2">
      <c r="B73936" t="s">
        <v>1</v>
      </c>
    </row>
    <row r="73938" spans="1:4" x14ac:dyDescent="0.2">
      <c r="A73938" t="s">
        <v>22859</v>
      </c>
      <c r="B73938" t="str">
        <f>HYPERLINK("https://lindat.mff.cuni.cz/services/teitok/pdtc10/index.php?action=vallex&amp;frame=v-w6765f2", "šuškat (v-w6765f2)")</f>
        <v>šuškat (v-w6765f2)</v>
      </c>
    </row>
    <row r="73939" spans="1:4" x14ac:dyDescent="0.2">
      <c r="B73939" t="s">
        <v>1</v>
      </c>
    </row>
    <row r="73940" spans="1:4" x14ac:dyDescent="0.2">
      <c r="B73940" t="s">
        <v>183</v>
      </c>
    </row>
    <row r="73941" spans="1:4" x14ac:dyDescent="0.2">
      <c r="B73941" t="s">
        <v>35</v>
      </c>
    </row>
    <row r="73943" spans="1:4" x14ac:dyDescent="0.2">
      <c r="A73943" t="s">
        <v>22860</v>
      </c>
      <c r="B73943" t="str">
        <f>HYPERLINK("https://lindat.mff.cuni.cz/services/teitok/pdtc10/index.php?action=vallex&amp;frame=v-w6765f3", "šuškat (v-w6765f3)")</f>
        <v>šuškat (v-w6765f3)</v>
      </c>
    </row>
    <row r="73944" spans="1:4" x14ac:dyDescent="0.2">
      <c r="B73944" t="s">
        <v>1</v>
      </c>
    </row>
    <row r="73945" spans="1:4" x14ac:dyDescent="0.2">
      <c r="B73945" t="s">
        <v>8</v>
      </c>
    </row>
    <row r="73946" spans="1:4" x14ac:dyDescent="0.2">
      <c r="B73946" t="s">
        <v>78</v>
      </c>
    </row>
    <row r="73948" spans="1:4" x14ac:dyDescent="0.2">
      <c r="A73948" t="s">
        <v>22861</v>
      </c>
      <c r="B73948" t="str">
        <f>HYPERLINK("https://lindat.mff.cuni.cz/services/teitok/pdtc10/index.php?action=vallex&amp;frame=v-w6765f1", "šuškat (v-w6765f1)")</f>
        <v>šuškat (v-w6765f1)</v>
      </c>
    </row>
    <row r="73949" spans="1:4" x14ac:dyDescent="0.2">
      <c r="B73949" t="s">
        <v>1</v>
      </c>
      <c r="D73949" t="s">
        <v>16715</v>
      </c>
    </row>
    <row r="73950" spans="1:4" x14ac:dyDescent="0.2">
      <c r="B73950" t="s">
        <v>6437</v>
      </c>
      <c r="D73950" t="s">
        <v>24516</v>
      </c>
    </row>
    <row r="73951" spans="1:4" x14ac:dyDescent="0.2">
      <c r="B73951" t="s">
        <v>269</v>
      </c>
    </row>
    <row r="73952" spans="1:4" x14ac:dyDescent="0.2">
      <c r="B73952" t="s">
        <v>78</v>
      </c>
      <c r="D73952" t="s">
        <v>24517</v>
      </c>
    </row>
    <row r="73954" spans="1:4" x14ac:dyDescent="0.2">
      <c r="A73954" t="s">
        <v>22862</v>
      </c>
      <c r="B73954" t="str">
        <f>HYPERLINK("https://lindat.mff.cuni.cz/services/teitok/pdtc10/index.php?action=vallex&amp;frame=v-w10887f2", "švihnout (v-w10887f2)")</f>
        <v>švihnout (v-w10887f2)</v>
      </c>
    </row>
    <row r="73955" spans="1:4" x14ac:dyDescent="0.2">
      <c r="B73955" t="s">
        <v>1</v>
      </c>
    </row>
    <row r="73956" spans="1:4" x14ac:dyDescent="0.2">
      <c r="B73956" t="s">
        <v>3225</v>
      </c>
    </row>
    <row r="73958" spans="1:4" x14ac:dyDescent="0.2">
      <c r="A73958" t="s">
        <v>22863</v>
      </c>
      <c r="B73958" t="str">
        <f>HYPERLINK("https://lindat.mff.cuni.cz/services/teitok/pdtc10/index.php?action=vallex&amp;frame=v-w12033_ZUf1_ZU", "šáhnout (v-w12033_ZUf1_ZU)")</f>
        <v>šáhnout (v-w12033_ZUf1_ZU)</v>
      </c>
    </row>
    <row r="73959" spans="1:4" x14ac:dyDescent="0.2">
      <c r="B73959" t="s">
        <v>1</v>
      </c>
    </row>
    <row r="73960" spans="1:4" x14ac:dyDescent="0.2">
      <c r="B73960" t="s">
        <v>28</v>
      </c>
    </row>
    <row r="73962" spans="1:4" x14ac:dyDescent="0.2">
      <c r="A73962" t="s">
        <v>22864</v>
      </c>
      <c r="B73962" t="str">
        <f>HYPERLINK("https://lindat.mff.cuni.cz/services/teitok/pdtc10/index.php?action=vallex&amp;frame=v-w12204_ZUf1_ZU", "šáhnout (v-w12204_ZUf1_ZU)")</f>
        <v>šáhnout (v-w12204_ZUf1_ZU)</v>
      </c>
    </row>
    <row r="73963" spans="1:4" x14ac:dyDescent="0.2">
      <c r="B73963" t="s">
        <v>1</v>
      </c>
    </row>
    <row r="73964" spans="1:4" x14ac:dyDescent="0.2">
      <c r="B73964" t="s">
        <v>252</v>
      </c>
    </row>
    <row r="73966" spans="1:4" x14ac:dyDescent="0.2">
      <c r="A73966" t="s">
        <v>22865</v>
      </c>
      <c r="B73966" t="str">
        <f>HYPERLINK("https://lindat.mff.cuni.cz/services/teitok/pdtc10/index.php?action=vallex&amp;frame=v-w11582_ZUf1_ZU", "šálit (v-w11582_ZUf1_ZU)")</f>
        <v>šálit (v-w11582_ZUf1_ZU)</v>
      </c>
    </row>
    <row r="73967" spans="1:4" x14ac:dyDescent="0.2">
      <c r="B73967" t="s">
        <v>1</v>
      </c>
      <c r="C73967" t="s">
        <v>140</v>
      </c>
      <c r="D73967" t="s">
        <v>140</v>
      </c>
    </row>
    <row r="73968" spans="1:4" x14ac:dyDescent="0.2">
      <c r="B73968" t="s">
        <v>8</v>
      </c>
      <c r="C73968" t="s">
        <v>991</v>
      </c>
      <c r="D73968" t="s">
        <v>991</v>
      </c>
    </row>
    <row r="73970" spans="1:4" x14ac:dyDescent="0.2">
      <c r="A73970" t="s">
        <v>22866</v>
      </c>
      <c r="B73970" t="str">
        <f>HYPERLINK("https://lindat.mff.cuni.cz/services/teitok/pdtc10/index.php?action=vallex&amp;frame=v-whsa_1715hsa_1716", "šárat (v-whsa_1715hsa_1716)")</f>
        <v>šárat (v-whsa_1715hsa_1716)</v>
      </c>
    </row>
    <row r="73971" spans="1:4" x14ac:dyDescent="0.2">
      <c r="B73971" t="s">
        <v>1</v>
      </c>
    </row>
    <row r="73972" spans="1:4" x14ac:dyDescent="0.2">
      <c r="B73972" t="s">
        <v>5</v>
      </c>
    </row>
    <row r="73974" spans="1:4" x14ac:dyDescent="0.2">
      <c r="A73974" t="s">
        <v>22867</v>
      </c>
      <c r="B73974" t="str">
        <f>HYPERLINK("https://lindat.mff.cuni.cz/services/teitok/pdtc10/index.php?action=vallex&amp;frame=v-w12313_MMf1_MM", "šátrat (v-w12313_MMf1_MM)")</f>
        <v>šátrat (v-w12313_MMf1_MM)</v>
      </c>
    </row>
    <row r="73975" spans="1:4" x14ac:dyDescent="0.2">
      <c r="B73975" t="s">
        <v>1</v>
      </c>
    </row>
    <row r="73976" spans="1:4" x14ac:dyDescent="0.2">
      <c r="B73976" t="s">
        <v>5</v>
      </c>
    </row>
    <row r="73978" spans="1:4" x14ac:dyDescent="0.2">
      <c r="A73978" t="s">
        <v>22868</v>
      </c>
      <c r="B73978" t="str">
        <f>HYPERLINK("https://lindat.mff.cuni.cz/services/teitok/pdtc10/index.php?action=vallex&amp;frame=v-w10237f2", "šéfovat (v-w10237f2)")</f>
        <v>šéfovat (v-w10237f2)</v>
      </c>
    </row>
    <row r="73979" spans="1:4" x14ac:dyDescent="0.2">
      <c r="B73979" t="s">
        <v>1</v>
      </c>
      <c r="C73979" t="s">
        <v>7509</v>
      </c>
      <c r="D73979" t="s">
        <v>23098</v>
      </c>
    </row>
    <row r="73980" spans="1:4" x14ac:dyDescent="0.2">
      <c r="B73980" t="s">
        <v>103</v>
      </c>
      <c r="C73980" t="s">
        <v>93</v>
      </c>
      <c r="D73980" t="s">
        <v>16830</v>
      </c>
    </row>
    <row r="73982" spans="1:4" x14ac:dyDescent="0.2">
      <c r="A73982" t="s">
        <v>22869</v>
      </c>
      <c r="B73982" t="str">
        <f>HYPERLINK("https://lindat.mff.cuni.cz/services/teitok/pdtc10/index.php?action=vallex&amp;frame=v-w11828_ZUf1_ZU", "šíbovat (v-w11828_ZUf1_ZU)")</f>
        <v>šíbovat (v-w11828_ZUf1_ZU)</v>
      </c>
    </row>
    <row r="73983" spans="1:4" x14ac:dyDescent="0.2">
      <c r="B73983" t="s">
        <v>1</v>
      </c>
    </row>
    <row r="73985" spans="1:4" x14ac:dyDescent="0.2">
      <c r="A73985" t="s">
        <v>22870</v>
      </c>
      <c r="B73985" t="str">
        <f>HYPERLINK("https://lindat.mff.cuni.cz/services/teitok/pdtc10/index.php?action=vallex&amp;frame=v-w10046f2", "šílet (v-w10046f2)")</f>
        <v>šílet (v-w10046f2)</v>
      </c>
    </row>
    <row r="73986" spans="1:4" x14ac:dyDescent="0.2">
      <c r="B73986" t="s">
        <v>1</v>
      </c>
    </row>
    <row r="73988" spans="1:4" x14ac:dyDescent="0.2">
      <c r="A73988" t="s">
        <v>22871</v>
      </c>
      <c r="B73988" t="str">
        <f>HYPERLINK("https://lindat.mff.cuni.cz/services/teitok/pdtc10/index.php?action=vallex&amp;frame=v-w6720f1", "šít (v-w6720f1)")</f>
        <v>šít (v-w6720f1)</v>
      </c>
    </row>
    <row r="73989" spans="1:4" x14ac:dyDescent="0.2">
      <c r="B73989" t="s">
        <v>1</v>
      </c>
    </row>
    <row r="73990" spans="1:4" x14ac:dyDescent="0.2">
      <c r="B73990" t="s">
        <v>8</v>
      </c>
    </row>
    <row r="73991" spans="1:4" x14ac:dyDescent="0.2">
      <c r="B73991" t="s">
        <v>24</v>
      </c>
    </row>
    <row r="73993" spans="1:4" x14ac:dyDescent="0.2">
      <c r="A73993" t="s">
        <v>22872</v>
      </c>
      <c r="B73993" t="str">
        <f>HYPERLINK("https://lindat.mff.cuni.cz/services/teitok/pdtc10/index.php?action=vallex&amp;frame=v-w6720f2_ZU", "šít (v-w6720f2_ZU)")</f>
        <v>šít (v-w6720f2_ZU)</v>
      </c>
    </row>
    <row r="73994" spans="1:4" x14ac:dyDescent="0.2">
      <c r="B73994" t="s">
        <v>1</v>
      </c>
      <c r="D73994" t="s">
        <v>14984</v>
      </c>
    </row>
    <row r="73995" spans="1:4" x14ac:dyDescent="0.2">
      <c r="B73995" t="s">
        <v>16906</v>
      </c>
      <c r="C73995" t="s">
        <v>383</v>
      </c>
    </row>
    <row r="73996" spans="1:4" x14ac:dyDescent="0.2">
      <c r="B73996" t="s">
        <v>8</v>
      </c>
      <c r="C73996" t="s">
        <v>34</v>
      </c>
      <c r="D73996" t="s">
        <v>2750</v>
      </c>
    </row>
    <row r="73998" spans="1:4" x14ac:dyDescent="0.2">
      <c r="A73998" t="s">
        <v>22873</v>
      </c>
      <c r="B73998" t="str">
        <f>HYPERLINK("https://lindat.mff.cuni.cz/services/teitok/pdtc10/index.php?action=vallex&amp;frame=v-w6718f1", "šířit (v-w6718f1)")</f>
        <v>šířit (v-w6718f1)</v>
      </c>
    </row>
    <row r="73999" spans="1:4" x14ac:dyDescent="0.2">
      <c r="B73999" t="s">
        <v>1</v>
      </c>
      <c r="C73999" t="s">
        <v>12660</v>
      </c>
      <c r="D73999" t="s">
        <v>373</v>
      </c>
    </row>
    <row r="74000" spans="1:4" x14ac:dyDescent="0.2">
      <c r="B74000" t="s">
        <v>8</v>
      </c>
      <c r="C74000" t="s">
        <v>14757</v>
      </c>
      <c r="D74000" t="s">
        <v>1190</v>
      </c>
    </row>
    <row r="74002" spans="1:4" x14ac:dyDescent="0.2">
      <c r="A74002" t="s">
        <v>22874</v>
      </c>
      <c r="B74002" t="str">
        <f>HYPERLINK("https://lindat.mff.cuni.cz/services/teitok/pdtc10/index.php?action=vallex&amp;frame=v-w6718f2", "šířit (v-w6718f2)")</f>
        <v>šířit (v-w6718f2)</v>
      </c>
    </row>
    <row r="74003" spans="1:4" x14ac:dyDescent="0.2">
      <c r="B74003" t="s">
        <v>1</v>
      </c>
      <c r="C74003" t="s">
        <v>2239</v>
      </c>
    </row>
    <row r="74004" spans="1:4" x14ac:dyDescent="0.2">
      <c r="B74004" t="s">
        <v>4749</v>
      </c>
      <c r="C74004" t="s">
        <v>7465</v>
      </c>
    </row>
    <row r="74005" spans="1:4" x14ac:dyDescent="0.2">
      <c r="B74005" t="s">
        <v>269</v>
      </c>
    </row>
    <row r="74007" spans="1:4" x14ac:dyDescent="0.2">
      <c r="A74007" t="s">
        <v>22875</v>
      </c>
      <c r="B74007" t="str">
        <f>HYPERLINK("https://lindat.mff.cuni.cz/services/teitok/pdtc10/index.php?action=vallex&amp;frame=v-w6719f1", "šířit se (v-w6719f1)")</f>
        <v>šířit se (v-w6719f1)</v>
      </c>
    </row>
    <row r="74008" spans="1:4" x14ac:dyDescent="0.2">
      <c r="B74008" t="s">
        <v>1</v>
      </c>
      <c r="C74008" t="s">
        <v>10109</v>
      </c>
      <c r="D74008" t="s">
        <v>23449</v>
      </c>
    </row>
    <row r="74010" spans="1:4" x14ac:dyDescent="0.2">
      <c r="A74010" t="s">
        <v>22876</v>
      </c>
      <c r="B74010" t="str">
        <f>HYPERLINK("https://lindat.mff.cuni.cz/services/teitok/pdtc10/index.php?action=vallex&amp;frame=v-w6739f1", "šňupat (v-w6739f1)")</f>
        <v>šňupat (v-w6739f1)</v>
      </c>
    </row>
    <row r="74011" spans="1:4" x14ac:dyDescent="0.2">
      <c r="B74011" t="s">
        <v>1</v>
      </c>
    </row>
    <row r="74012" spans="1:4" x14ac:dyDescent="0.2">
      <c r="B74012" t="s">
        <v>8</v>
      </c>
    </row>
    <row r="74014" spans="1:4" x14ac:dyDescent="0.2">
      <c r="A74014" t="s">
        <v>22877</v>
      </c>
      <c r="B74014" t="str">
        <f>HYPERLINK("https://lindat.mff.cuni.cz/services/teitok/pdtc10/index.php?action=vallex&amp;frame=v-whsa_1688hsa_1689", "šťouchat (v-whsa_1688hsa_1689)")</f>
        <v>šťouchat (v-whsa_1688hsa_1689)</v>
      </c>
    </row>
    <row r="74015" spans="1:4" x14ac:dyDescent="0.2">
      <c r="B74015" t="s">
        <v>1</v>
      </c>
    </row>
    <row r="74016" spans="1:4" x14ac:dyDescent="0.2">
      <c r="B74016" t="s">
        <v>817</v>
      </c>
    </row>
    <row r="74018" spans="1:4" x14ac:dyDescent="0.2">
      <c r="A74018" t="s">
        <v>22878</v>
      </c>
      <c r="B74018" t="str">
        <f>HYPERLINK("https://lindat.mff.cuni.cz/services/teitok/pdtc10/index.php?action=vallex&amp;frame=v-whsa_823hsa_824", "šťouchat se (v-whsa_823hsa_824)")</f>
        <v>šťouchat se (v-whsa_823hsa_824)</v>
      </c>
    </row>
    <row r="74019" spans="1:4" x14ac:dyDescent="0.2">
      <c r="B74019" t="s">
        <v>1</v>
      </c>
    </row>
    <row r="74020" spans="1:4" x14ac:dyDescent="0.2">
      <c r="B74020" t="s">
        <v>411</v>
      </c>
    </row>
    <row r="74022" spans="1:4" x14ac:dyDescent="0.2">
      <c r="A74022" t="s">
        <v>22879</v>
      </c>
      <c r="B74022" t="str">
        <f>HYPERLINK("https://lindat.mff.cuni.cz/services/teitok/pdtc10/index.php?action=vallex&amp;frame=v-whsa_631hsa_632", "šťourat (v-whsa_631hsa_632)")</f>
        <v>šťourat (v-whsa_631hsa_632)</v>
      </c>
    </row>
    <row r="74023" spans="1:4" x14ac:dyDescent="0.2">
      <c r="B74023" t="s">
        <v>1</v>
      </c>
    </row>
    <row r="74024" spans="1:4" x14ac:dyDescent="0.2">
      <c r="B74024" t="s">
        <v>22880</v>
      </c>
    </row>
    <row r="74026" spans="1:4" x14ac:dyDescent="0.2">
      <c r="A74026" t="s">
        <v>22881</v>
      </c>
      <c r="B74026" t="str">
        <f>HYPERLINK("https://lindat.mff.cuni.cz/services/teitok/pdtc10/index.php?action=vallex&amp;frame=v-w11393f1", "šťourat se (v-w11393f1)")</f>
        <v>šťourat se (v-w11393f1)</v>
      </c>
    </row>
    <row r="74027" spans="1:4" x14ac:dyDescent="0.2">
      <c r="B74027" t="s">
        <v>1</v>
      </c>
      <c r="C74027" t="s">
        <v>140</v>
      </c>
      <c r="D74027" t="s">
        <v>249</v>
      </c>
    </row>
    <row r="74028" spans="1:4" x14ac:dyDescent="0.2">
      <c r="B74028" t="s">
        <v>5</v>
      </c>
      <c r="C74028" t="s">
        <v>3435</v>
      </c>
      <c r="D74028" t="s">
        <v>1247</v>
      </c>
    </row>
    <row r="74030" spans="1:4" x14ac:dyDescent="0.2">
      <c r="A74030" t="s">
        <v>22882</v>
      </c>
      <c r="B74030" t="str">
        <f>HYPERLINK("https://lindat.mff.cuni.cz/services/teitok/pdtc10/index.php?action=vallex&amp;frame=v-w6763f1", "šůrovat (v-w6763f1)")</f>
        <v>šůrovat (v-w6763f1)</v>
      </c>
    </row>
    <row r="74031" spans="1:4" x14ac:dyDescent="0.2">
      <c r="B74031" t="s">
        <v>1</v>
      </c>
    </row>
    <row r="74032" spans="1:4" x14ac:dyDescent="0.2">
      <c r="B74032" t="s">
        <v>8</v>
      </c>
    </row>
    <row r="74034" spans="1:2" x14ac:dyDescent="0.2">
      <c r="A74034" t="s">
        <v>22883</v>
      </c>
      <c r="B74034" t="str">
        <f>HYPERLINK("https://lindat.mff.cuni.cz/services/teitok/pdtc10/index.php?action=vallex&amp;frame=v-w12225_ZUf1_ZU", "ťukat (v-w12225_ZUf1_ZU)")</f>
        <v>ťukat (v-w12225_ZUf1_ZU)</v>
      </c>
    </row>
    <row r="74035" spans="1:2" x14ac:dyDescent="0.2">
      <c r="B74035" t="s">
        <v>1</v>
      </c>
    </row>
    <row r="74036" spans="1:2" x14ac:dyDescent="0.2">
      <c r="B74036" t="s">
        <v>252</v>
      </c>
    </row>
    <row r="74038" spans="1:2" x14ac:dyDescent="0.2">
      <c r="A74038" t="s">
        <v>22884</v>
      </c>
      <c r="B74038" t="str">
        <f>HYPERLINK("https://lindat.mff.cuni.cz/services/teitok/pdtc10/index.php?action=vallex&amp;frame=v-w12225_ZUf2_ZU", "ťukat (v-w12225_ZUf2_ZU)")</f>
        <v>ťukat (v-w12225_ZUf2_ZU)</v>
      </c>
    </row>
    <row r="74039" spans="1:2" x14ac:dyDescent="0.2">
      <c r="B74039" t="s">
        <v>1</v>
      </c>
    </row>
    <row r="74040" spans="1:2" x14ac:dyDescent="0.2">
      <c r="B74040" t="s">
        <v>8</v>
      </c>
    </row>
    <row r="74042" spans="1:2" x14ac:dyDescent="0.2">
      <c r="A74042" t="s">
        <v>22885</v>
      </c>
      <c r="B74042" t="str">
        <f>HYPERLINK("https://lindat.mff.cuni.cz/services/teitok/pdtc10/index.php?action=vallex&amp;frame=v-w11852_ZUf1_ZU", "ťukat si (v-w11852_ZUf1_ZU)")</f>
        <v>ťukat si (v-w11852_ZUf1_ZU)</v>
      </c>
    </row>
    <row r="74043" spans="1:2" x14ac:dyDescent="0.2">
      <c r="B74043" t="s">
        <v>1</v>
      </c>
    </row>
    <row r="74044" spans="1:2" x14ac:dyDescent="0.2">
      <c r="B74044" t="s">
        <v>252</v>
      </c>
    </row>
    <row r="74046" spans="1:2" x14ac:dyDescent="0.2">
      <c r="A74046" t="s">
        <v>22886</v>
      </c>
      <c r="B74046" t="str">
        <f>HYPERLINK("https://lindat.mff.cuni.cz/services/teitok/pdtc10/index.php?action=vallex&amp;frame=v-w12156_ZUf1_ZU", "ťuknout (v-w12156_ZUf1_ZU)")</f>
        <v>ťuknout (v-w12156_ZUf1_ZU)</v>
      </c>
    </row>
    <row r="74047" spans="1:2" x14ac:dyDescent="0.2">
      <c r="B74047" t="s">
        <v>1</v>
      </c>
    </row>
    <row r="74048" spans="1:2" x14ac:dyDescent="0.2">
      <c r="B74048" t="s">
        <v>252</v>
      </c>
    </row>
    <row r="74050" spans="1:4" x14ac:dyDescent="0.2">
      <c r="A74050" t="s">
        <v>22887</v>
      </c>
      <c r="B74050" t="str">
        <f>HYPERLINK("https://lindat.mff.cuni.cz/services/teitok/pdtc10/index.php?action=vallex&amp;frame=v-w10017f1", "žadonit (v-w10017f1)")</f>
        <v>žadonit (v-w10017f1)</v>
      </c>
    </row>
    <row r="74051" spans="1:4" x14ac:dyDescent="0.2">
      <c r="B74051" t="s">
        <v>1</v>
      </c>
    </row>
    <row r="74052" spans="1:4" x14ac:dyDescent="0.2">
      <c r="B74052" t="s">
        <v>22888</v>
      </c>
    </row>
    <row r="74054" spans="1:4" x14ac:dyDescent="0.2">
      <c r="A74054" t="s">
        <v>22889</v>
      </c>
      <c r="B74054" t="str">
        <f>HYPERLINK("https://lindat.mff.cuni.cz/services/teitok/pdtc10/index.php?action=vallex&amp;frame=v-w10020f3", "žalovat (v-w10020f3)")</f>
        <v>žalovat (v-w10020f3)</v>
      </c>
    </row>
    <row r="74055" spans="1:4" x14ac:dyDescent="0.2">
      <c r="B74055" t="s">
        <v>1</v>
      </c>
      <c r="C74055" t="s">
        <v>2264</v>
      </c>
      <c r="D74055" t="s">
        <v>6301</v>
      </c>
    </row>
    <row r="74056" spans="1:4" x14ac:dyDescent="0.2">
      <c r="B74056" t="s">
        <v>467</v>
      </c>
      <c r="C74056" t="s">
        <v>22890</v>
      </c>
      <c r="D74056" t="s">
        <v>23301</v>
      </c>
    </row>
    <row r="74057" spans="1:4" x14ac:dyDescent="0.2">
      <c r="B74057" t="s">
        <v>58</v>
      </c>
      <c r="C74057" t="s">
        <v>8625</v>
      </c>
      <c r="D74057" t="s">
        <v>23302</v>
      </c>
    </row>
    <row r="74059" spans="1:4" x14ac:dyDescent="0.2">
      <c r="A74059" t="s">
        <v>22891</v>
      </c>
      <c r="B74059" t="str">
        <f>HYPERLINK("https://lindat.mff.cuni.cz/services/teitok/pdtc10/index.php?action=vallex&amp;frame=v-w10020f1", "žalovat (v-w10020f1)")</f>
        <v>žalovat (v-w10020f1)</v>
      </c>
    </row>
    <row r="74060" spans="1:4" x14ac:dyDescent="0.2">
      <c r="B74060" t="s">
        <v>1</v>
      </c>
      <c r="C74060" t="s">
        <v>6131</v>
      </c>
      <c r="D74060" t="s">
        <v>6301</v>
      </c>
    </row>
    <row r="74061" spans="1:4" x14ac:dyDescent="0.2">
      <c r="B74061" t="s">
        <v>8</v>
      </c>
      <c r="C74061" t="s">
        <v>22892</v>
      </c>
      <c r="D74061" t="s">
        <v>23635</v>
      </c>
    </row>
    <row r="74063" spans="1:4" x14ac:dyDescent="0.2">
      <c r="A74063" t="s">
        <v>22893</v>
      </c>
      <c r="B74063" t="str">
        <f>HYPERLINK("https://lindat.mff.cuni.cz/services/teitok/pdtc10/index.php?action=vallex&amp;frame=v-w10020f2", "žalovat (v-w10020f2)")</f>
        <v>žalovat (v-w10020f2)</v>
      </c>
    </row>
    <row r="74064" spans="1:4" x14ac:dyDescent="0.2">
      <c r="B74064" t="s">
        <v>1</v>
      </c>
    </row>
    <row r="74065" spans="1:3" x14ac:dyDescent="0.2">
      <c r="B74065" t="s">
        <v>8</v>
      </c>
    </row>
    <row r="74067" spans="1:3" x14ac:dyDescent="0.2">
      <c r="A74067" t="s">
        <v>22894</v>
      </c>
      <c r="B74067" t="str">
        <f>HYPERLINK("https://lindat.mff.cuni.cz/services/teitok/pdtc10/index.php?action=vallex&amp;frame=v-w10020f4", "žalovat (v-w10020f4)")</f>
        <v>žalovat (v-w10020f4)</v>
      </c>
    </row>
    <row r="74068" spans="1:3" x14ac:dyDescent="0.2">
      <c r="B74068" t="s">
        <v>1</v>
      </c>
    </row>
    <row r="74069" spans="1:3" x14ac:dyDescent="0.2">
      <c r="B74069" t="s">
        <v>35</v>
      </c>
    </row>
    <row r="74070" spans="1:3" x14ac:dyDescent="0.2">
      <c r="B74070" t="s">
        <v>11008</v>
      </c>
    </row>
    <row r="74071" spans="1:3" x14ac:dyDescent="0.2">
      <c r="B74071" t="s">
        <v>46</v>
      </c>
    </row>
    <row r="74073" spans="1:3" x14ac:dyDescent="0.2">
      <c r="A74073" t="s">
        <v>22895</v>
      </c>
      <c r="B74073" t="str">
        <f>HYPERLINK("https://lindat.mff.cuni.cz/services/teitok/pdtc10/index.php?action=vallex&amp;frame=v-w10022f3_ZU", "žasnout (v-w10022f3_ZU)")</f>
        <v>žasnout (v-w10022f3_ZU)</v>
      </c>
    </row>
    <row r="74074" spans="1:3" x14ac:dyDescent="0.2">
      <c r="B74074" t="s">
        <v>1</v>
      </c>
    </row>
    <row r="74075" spans="1:3" x14ac:dyDescent="0.2">
      <c r="B74075" t="s">
        <v>22896</v>
      </c>
    </row>
    <row r="74077" spans="1:3" x14ac:dyDescent="0.2">
      <c r="A74077" t="s">
        <v>22895</v>
      </c>
      <c r="B74077" t="str">
        <f>HYPERLINK("https://lindat.mff.cuni.cz/services/teitok/pdtc10/index.php?action=vallex&amp;frame=v-w10022f1", "žasnout (v-w10022f1) - substituted with v-w10022f3_ZU")</f>
        <v>žasnout (v-w10022f1) - substituted with v-w10022f3_ZU</v>
      </c>
    </row>
    <row r="74078" spans="1:3" x14ac:dyDescent="0.2">
      <c r="B74078" t="s">
        <v>1</v>
      </c>
      <c r="C74078" t="s">
        <v>33</v>
      </c>
    </row>
    <row r="74079" spans="1:3" x14ac:dyDescent="0.2">
      <c r="B74079" t="s">
        <v>22896</v>
      </c>
    </row>
    <row r="74081" spans="1:2" x14ac:dyDescent="0.2">
      <c r="A74081" t="s">
        <v>22895</v>
      </c>
      <c r="B74081" t="str">
        <f>HYPERLINK("https://lindat.mff.cuni.cz/services/teitok/pdtc10/index.php?action=vallex&amp;frame=v-w10022f2_ZU", "žasnout (v-w10022f2_ZU) - substituted with v-w10022f3_ZU")</f>
        <v>žasnout (v-w10022f2_ZU) - substituted with v-w10022f3_ZU</v>
      </c>
    </row>
    <row r="74082" spans="1:2" x14ac:dyDescent="0.2">
      <c r="B74082" t="s">
        <v>1</v>
      </c>
    </row>
    <row r="74083" spans="1:2" x14ac:dyDescent="0.2">
      <c r="B74083" t="s">
        <v>22896</v>
      </c>
    </row>
    <row r="74085" spans="1:2" x14ac:dyDescent="0.2">
      <c r="A74085" t="s">
        <v>22897</v>
      </c>
      <c r="B74085" t="str">
        <f>HYPERLINK("https://lindat.mff.cuni.cz/services/teitok/pdtc10/index.php?action=vallex&amp;frame=v-whsa_913f1_ZU", "ždímat (v-whsa_913f1_ZU)")</f>
        <v>ždímat (v-whsa_913f1_ZU)</v>
      </c>
    </row>
    <row r="74086" spans="1:2" x14ac:dyDescent="0.2">
      <c r="B74086" t="s">
        <v>1</v>
      </c>
    </row>
    <row r="74087" spans="1:2" x14ac:dyDescent="0.2">
      <c r="B74087" t="s">
        <v>8</v>
      </c>
    </row>
    <row r="74088" spans="1:2" x14ac:dyDescent="0.2">
      <c r="B74088" t="s">
        <v>24</v>
      </c>
    </row>
    <row r="74090" spans="1:2" x14ac:dyDescent="0.2">
      <c r="A74090" t="s">
        <v>22897</v>
      </c>
      <c r="B74090" t="str">
        <f>HYPERLINK("https://lindat.mff.cuni.cz/services/teitok/pdtc10/index.php?action=vallex&amp;frame=v-whsa_913hsa_914", "ždímat (v-whsa_913hsa_914) - substituted with v-whsa_913f1_ZU")</f>
        <v>ždímat (v-whsa_913hsa_914) - substituted with v-whsa_913f1_ZU</v>
      </c>
    </row>
    <row r="74091" spans="1:2" x14ac:dyDescent="0.2">
      <c r="B74091" t="s">
        <v>1</v>
      </c>
    </row>
    <row r="74092" spans="1:2" x14ac:dyDescent="0.2">
      <c r="B74092" t="s">
        <v>8</v>
      </c>
    </row>
    <row r="74093" spans="1:2" x14ac:dyDescent="0.2">
      <c r="B74093" t="s">
        <v>24</v>
      </c>
    </row>
    <row r="74095" spans="1:2" x14ac:dyDescent="0.2">
      <c r="A74095" t="s">
        <v>22898</v>
      </c>
      <c r="B74095" t="str">
        <f>HYPERLINK("https://lindat.mff.cuni.cz/services/teitok/pdtc10/index.php?action=vallex&amp;frame=v-w10023f2_ZU", "žebrat (v-w10023f2_ZU)")</f>
        <v>žebrat (v-w10023f2_ZU)</v>
      </c>
    </row>
    <row r="74096" spans="1:2" x14ac:dyDescent="0.2">
      <c r="B74096" t="s">
        <v>1</v>
      </c>
    </row>
    <row r="74097" spans="1:4" x14ac:dyDescent="0.2">
      <c r="B74097" t="s">
        <v>22899</v>
      </c>
    </row>
    <row r="74098" spans="1:4" x14ac:dyDescent="0.2">
      <c r="B74098" t="s">
        <v>321</v>
      </c>
    </row>
    <row r="74100" spans="1:4" x14ac:dyDescent="0.2">
      <c r="A74100" t="s">
        <v>22898</v>
      </c>
      <c r="B74100" t="str">
        <f>HYPERLINK("https://lindat.mff.cuni.cz/services/teitok/pdtc10/index.php?action=vallex&amp;frame=v-w10023f1", "žebrat (v-w10023f1) - substituted with v-w10023f2_ZU")</f>
        <v>žebrat (v-w10023f1) - substituted with v-w10023f2_ZU</v>
      </c>
    </row>
    <row r="74101" spans="1:4" x14ac:dyDescent="0.2">
      <c r="B74101" t="s">
        <v>1</v>
      </c>
      <c r="C74101" t="s">
        <v>33</v>
      </c>
      <c r="D74101" t="s">
        <v>33</v>
      </c>
    </row>
    <row r="74102" spans="1:4" x14ac:dyDescent="0.2">
      <c r="B74102" t="s">
        <v>22899</v>
      </c>
      <c r="C74102" t="s">
        <v>34</v>
      </c>
      <c r="D74102" t="s">
        <v>34</v>
      </c>
    </row>
    <row r="74103" spans="1:4" x14ac:dyDescent="0.2">
      <c r="B74103" t="s">
        <v>321</v>
      </c>
    </row>
    <row r="74105" spans="1:4" x14ac:dyDescent="0.2">
      <c r="A74105" t="s">
        <v>22900</v>
      </c>
      <c r="B74105" t="str">
        <f>HYPERLINK("https://lindat.mff.cuni.cz/services/teitok/pdtc10/index.php?action=vallex&amp;frame=v-whsa_217hsa_218", "žehlit (v-whsa_217hsa_218)")</f>
        <v>žehlit (v-whsa_217hsa_218)</v>
      </c>
    </row>
    <row r="74106" spans="1:4" x14ac:dyDescent="0.2">
      <c r="B74106" t="s">
        <v>1</v>
      </c>
    </row>
    <row r="74107" spans="1:4" x14ac:dyDescent="0.2">
      <c r="B74107" t="s">
        <v>8</v>
      </c>
    </row>
    <row r="74109" spans="1:4" x14ac:dyDescent="0.2">
      <c r="A74109" t="s">
        <v>22901</v>
      </c>
      <c r="B74109" t="str">
        <f>HYPERLINK("https://lindat.mff.cuni.cz/services/teitok/pdtc10/index.php?action=vallex&amp;frame=v-w12060_ZUf1_ZU", "žehlívat (v-w12060_ZUf1_ZU)")</f>
        <v>žehlívat (v-w12060_ZUf1_ZU)</v>
      </c>
    </row>
    <row r="74110" spans="1:4" x14ac:dyDescent="0.2">
      <c r="B74110" t="s">
        <v>1</v>
      </c>
    </row>
    <row r="74111" spans="1:4" x14ac:dyDescent="0.2">
      <c r="B74111" t="s">
        <v>8</v>
      </c>
    </row>
    <row r="74113" spans="1:4" x14ac:dyDescent="0.2">
      <c r="A74113" t="s">
        <v>22902</v>
      </c>
      <c r="B74113" t="str">
        <f>HYPERLINK("https://lindat.mff.cuni.cz/services/teitok/pdtc10/index.php?action=vallex&amp;frame=v-w10024f1", "žehnat (v-w10024f1)")</f>
        <v>žehnat (v-w10024f1)</v>
      </c>
    </row>
    <row r="74114" spans="1:4" x14ac:dyDescent="0.2">
      <c r="B74114" t="s">
        <v>1</v>
      </c>
      <c r="C74114" t="s">
        <v>140</v>
      </c>
      <c r="D74114" t="s">
        <v>140</v>
      </c>
    </row>
    <row r="74115" spans="1:4" x14ac:dyDescent="0.2">
      <c r="B74115" t="s">
        <v>103</v>
      </c>
      <c r="C74115" t="s">
        <v>84</v>
      </c>
      <c r="D74115" t="s">
        <v>991</v>
      </c>
    </row>
    <row r="74117" spans="1:4" x14ac:dyDescent="0.2">
      <c r="A74117" t="s">
        <v>22903</v>
      </c>
      <c r="B74117" t="str">
        <f>HYPERLINK("https://lindat.mff.cuni.cz/services/teitok/pdtc10/index.php?action=vallex&amp;frame=v-w10025f1", "žehrat (v-w10025f1)")</f>
        <v>žehrat (v-w10025f1)</v>
      </c>
    </row>
    <row r="74118" spans="1:4" x14ac:dyDescent="0.2">
      <c r="B74118" t="s">
        <v>1</v>
      </c>
    </row>
    <row r="74119" spans="1:4" x14ac:dyDescent="0.2">
      <c r="B74119" t="s">
        <v>22904</v>
      </c>
    </row>
    <row r="74121" spans="1:4" x14ac:dyDescent="0.2">
      <c r="A74121" t="s">
        <v>22905</v>
      </c>
      <c r="B74121" t="str">
        <f>HYPERLINK("https://lindat.mff.cuni.cz/services/teitok/pdtc10/index.php?action=vallex&amp;frame=v-w10027f1", "ženit se (v-w10027f1)")</f>
        <v>ženit se (v-w10027f1)</v>
      </c>
    </row>
    <row r="74122" spans="1:4" x14ac:dyDescent="0.2">
      <c r="B74122" t="s">
        <v>1</v>
      </c>
    </row>
    <row r="74123" spans="1:4" x14ac:dyDescent="0.2">
      <c r="B74123" t="s">
        <v>411</v>
      </c>
    </row>
    <row r="74125" spans="1:4" x14ac:dyDescent="0.2">
      <c r="A74125" t="s">
        <v>22906</v>
      </c>
      <c r="B74125" t="str">
        <f>HYPERLINK("https://lindat.mff.cuni.cz/services/teitok/pdtc10/index.php?action=vallex&amp;frame=v-w10028f1", "žertovat (v-w10028f1)")</f>
        <v>žertovat (v-w10028f1)</v>
      </c>
    </row>
    <row r="74126" spans="1:4" x14ac:dyDescent="0.2">
      <c r="B74126" t="s">
        <v>1</v>
      </c>
      <c r="C74126" t="s">
        <v>133</v>
      </c>
      <c r="D74126" t="s">
        <v>990</v>
      </c>
    </row>
    <row r="74127" spans="1:4" x14ac:dyDescent="0.2">
      <c r="B74127" t="s">
        <v>3145</v>
      </c>
      <c r="C74127" t="s">
        <v>7577</v>
      </c>
      <c r="D74127" t="s">
        <v>17315</v>
      </c>
    </row>
    <row r="74128" spans="1:4" x14ac:dyDescent="0.2">
      <c r="B74128" t="s">
        <v>2328</v>
      </c>
    </row>
    <row r="74130" spans="1:4" x14ac:dyDescent="0.2">
      <c r="A74130" t="s">
        <v>22907</v>
      </c>
      <c r="B74130" t="str">
        <f>HYPERLINK("https://lindat.mff.cuni.cz/services/teitok/pdtc10/index.php?action=vallex&amp;frame=v-w10029f1", "žhavit (v-w10029f1)")</f>
        <v>žhavit (v-w10029f1)</v>
      </c>
    </row>
    <row r="74131" spans="1:4" x14ac:dyDescent="0.2">
      <c r="B74131" t="s">
        <v>1</v>
      </c>
    </row>
    <row r="74132" spans="1:4" x14ac:dyDescent="0.2">
      <c r="B74132" t="s">
        <v>8</v>
      </c>
    </row>
    <row r="74134" spans="1:4" x14ac:dyDescent="0.2">
      <c r="A74134" t="s">
        <v>22908</v>
      </c>
      <c r="B74134" t="str">
        <f>HYPERLINK("https://lindat.mff.cuni.cz/services/teitok/pdtc10/index.php?action=vallex&amp;frame=v-w10713f2", "žirovat (v-w10713f2)")</f>
        <v>žirovat (v-w10713f2)</v>
      </c>
    </row>
    <row r="74135" spans="1:4" x14ac:dyDescent="0.2">
      <c r="B74135" t="s">
        <v>1</v>
      </c>
    </row>
    <row r="74136" spans="1:4" x14ac:dyDescent="0.2">
      <c r="B74136" t="s">
        <v>8</v>
      </c>
    </row>
    <row r="74138" spans="1:4" x14ac:dyDescent="0.2">
      <c r="A74138" t="s">
        <v>22909</v>
      </c>
      <c r="B74138" t="str">
        <f>HYPERLINK("https://lindat.mff.cuni.cz/services/teitok/pdtc10/index.php?action=vallex&amp;frame=v-w10034f1", "živit (v-w10034f1)")</f>
        <v>živit (v-w10034f1)</v>
      </c>
    </row>
    <row r="74139" spans="1:4" x14ac:dyDescent="0.2">
      <c r="B74139" t="s">
        <v>1</v>
      </c>
      <c r="C74139" t="s">
        <v>1726</v>
      </c>
      <c r="D74139" t="s">
        <v>430</v>
      </c>
    </row>
    <row r="74140" spans="1:4" x14ac:dyDescent="0.2">
      <c r="B74140" t="s">
        <v>8</v>
      </c>
      <c r="C74140" t="s">
        <v>22910</v>
      </c>
      <c r="D74140" t="s">
        <v>23435</v>
      </c>
    </row>
    <row r="74142" spans="1:4" x14ac:dyDescent="0.2">
      <c r="A74142" t="s">
        <v>22911</v>
      </c>
      <c r="B74142" t="str">
        <f>HYPERLINK("https://lindat.mff.cuni.cz/services/teitok/pdtc10/index.php?action=vallex&amp;frame=v-w10034f2_ZU", "živit (v-w10034f2_ZU)")</f>
        <v>živit (v-w10034f2_ZU)</v>
      </c>
    </row>
    <row r="74143" spans="1:4" x14ac:dyDescent="0.2">
      <c r="B74143" t="s">
        <v>1</v>
      </c>
    </row>
    <row r="74144" spans="1:4" x14ac:dyDescent="0.2">
      <c r="B74144" t="s">
        <v>8</v>
      </c>
    </row>
    <row r="74146" spans="1:3" x14ac:dyDescent="0.2">
      <c r="A74146" t="s">
        <v>22911</v>
      </c>
      <c r="B74146" t="str">
        <f>HYPERLINK("https://lindat.mff.cuni.cz/services/teitok/pdtc10/index.php?action=vallex&amp;frame=v-w10034hsa_739", "živit (v-w10034hsa_739) - substituted with v-w10034f2_ZU")</f>
        <v>živit (v-w10034hsa_739) - substituted with v-w10034f2_ZU</v>
      </c>
    </row>
    <row r="74147" spans="1:3" x14ac:dyDescent="0.2">
      <c r="B74147" t="s">
        <v>1</v>
      </c>
      <c r="C74147" t="s">
        <v>33</v>
      </c>
    </row>
    <row r="74148" spans="1:3" x14ac:dyDescent="0.2">
      <c r="B74148" t="s">
        <v>8</v>
      </c>
      <c r="C74148" t="s">
        <v>5736</v>
      </c>
    </row>
    <row r="74150" spans="1:3" x14ac:dyDescent="0.2">
      <c r="A74150" t="s">
        <v>22912</v>
      </c>
      <c r="B74150" t="str">
        <f>HYPERLINK("https://lindat.mff.cuni.cz/services/teitok/pdtc10/index.php?action=vallex&amp;frame=v-w10035f1", "živit se (v-w10035f1)")</f>
        <v>živit se (v-w10035f1)</v>
      </c>
    </row>
    <row r="74151" spans="1:3" x14ac:dyDescent="0.2">
      <c r="B74151" t="s">
        <v>1</v>
      </c>
      <c r="C74151" t="s">
        <v>1366</v>
      </c>
    </row>
    <row r="74152" spans="1:3" x14ac:dyDescent="0.2">
      <c r="B74152" t="s">
        <v>438</v>
      </c>
      <c r="C74152" t="s">
        <v>3433</v>
      </c>
    </row>
    <row r="74154" spans="1:3" x14ac:dyDescent="0.2">
      <c r="A74154" t="s">
        <v>22913</v>
      </c>
      <c r="B74154" t="str">
        <f>HYPERLINK("https://lindat.mff.cuni.cz/services/teitok/pdtc10/index.php?action=vallex&amp;frame=v-w10035hsa_1043", "živit se (v-w10035hsa_1043)")</f>
        <v>živit se (v-w10035hsa_1043)</v>
      </c>
    </row>
    <row r="74155" spans="1:3" x14ac:dyDescent="0.2">
      <c r="B74155" t="s">
        <v>1</v>
      </c>
      <c r="C74155" t="s">
        <v>430</v>
      </c>
    </row>
    <row r="74156" spans="1:3" x14ac:dyDescent="0.2">
      <c r="B74156" t="s">
        <v>158</v>
      </c>
    </row>
    <row r="74158" spans="1:3" x14ac:dyDescent="0.2">
      <c r="A74158" t="s">
        <v>22914</v>
      </c>
      <c r="B74158" t="str">
        <f>HYPERLINK("https://lindat.mff.cuni.cz/services/teitok/pdtc10/index.php?action=vallex&amp;frame=v-w10036f1", "živořit (v-w10036f1)")</f>
        <v>živořit (v-w10036f1)</v>
      </c>
    </row>
    <row r="74159" spans="1:3" x14ac:dyDescent="0.2">
      <c r="B74159" t="s">
        <v>1</v>
      </c>
      <c r="C74159" t="s">
        <v>22915</v>
      </c>
    </row>
    <row r="74161" spans="1:4" x14ac:dyDescent="0.2">
      <c r="A74161" t="s">
        <v>22916</v>
      </c>
      <c r="B74161" t="str">
        <f>HYPERLINK("https://lindat.mff.cuni.cz/services/teitok/pdtc10/index.php?action=vallex&amp;frame=v-whsa_58hsa_59", "žonglovat (v-whsa_58hsa_59)")</f>
        <v>žonglovat (v-whsa_58hsa_59)</v>
      </c>
    </row>
    <row r="74162" spans="1:4" x14ac:dyDescent="0.2">
      <c r="B74162" t="s">
        <v>1</v>
      </c>
      <c r="D74162" t="s">
        <v>33</v>
      </c>
    </row>
    <row r="74163" spans="1:4" x14ac:dyDescent="0.2">
      <c r="B74163" t="s">
        <v>411</v>
      </c>
      <c r="C74163" t="s">
        <v>34</v>
      </c>
      <c r="D74163" t="s">
        <v>84</v>
      </c>
    </row>
    <row r="74165" spans="1:4" x14ac:dyDescent="0.2">
      <c r="A74165" t="s">
        <v>22917</v>
      </c>
      <c r="B74165" t="str">
        <f>HYPERLINK("https://lindat.mff.cuni.cz/services/teitok/pdtc10/index.php?action=vallex&amp;frame=v-w10039f1", "žrát (v-w10039f1)")</f>
        <v>žrát (v-w10039f1)</v>
      </c>
    </row>
    <row r="74166" spans="1:4" x14ac:dyDescent="0.2">
      <c r="B74166" t="s">
        <v>1</v>
      </c>
    </row>
    <row r="74167" spans="1:4" x14ac:dyDescent="0.2">
      <c r="B74167" t="s">
        <v>8</v>
      </c>
    </row>
    <row r="74169" spans="1:4" x14ac:dyDescent="0.2">
      <c r="A74169" t="s">
        <v>22918</v>
      </c>
      <c r="B74169" t="str">
        <f>HYPERLINK("https://lindat.mff.cuni.cz/services/teitok/pdtc10/index.php?action=vallex&amp;frame=v-w10039f2", "žrát (v-w10039f2)")</f>
        <v>žrát (v-w10039f2)</v>
      </c>
    </row>
    <row r="74170" spans="1:4" x14ac:dyDescent="0.2">
      <c r="B74170" t="s">
        <v>1</v>
      </c>
    </row>
    <row r="74171" spans="1:4" x14ac:dyDescent="0.2">
      <c r="B74171" t="s">
        <v>8</v>
      </c>
    </row>
    <row r="74173" spans="1:4" x14ac:dyDescent="0.2">
      <c r="A74173" t="s">
        <v>22919</v>
      </c>
      <c r="B74173" t="str">
        <f>HYPERLINK("https://lindat.mff.cuni.cz/services/teitok/pdtc10/index.php?action=vallex&amp;frame=v-w10676f2", "žvanit (v-w10676f2)")</f>
        <v>žvanit (v-w10676f2)</v>
      </c>
    </row>
    <row r="74174" spans="1:4" x14ac:dyDescent="0.2">
      <c r="B74174" t="s">
        <v>1</v>
      </c>
    </row>
    <row r="74175" spans="1:4" x14ac:dyDescent="0.2">
      <c r="B74175" t="s">
        <v>4626</v>
      </c>
    </row>
    <row r="74176" spans="1:4" x14ac:dyDescent="0.2">
      <c r="B74176" t="s">
        <v>2328</v>
      </c>
    </row>
    <row r="74178" spans="1:4" x14ac:dyDescent="0.2">
      <c r="A74178" t="s">
        <v>22920</v>
      </c>
      <c r="B74178" t="str">
        <f>HYPERLINK("https://lindat.mff.cuni.cz/services/teitok/pdtc10/index.php?action=vallex&amp;frame=v-w10041f1", "žvýkat (v-w10041f1)")</f>
        <v>žvýkat (v-w10041f1)</v>
      </c>
    </row>
    <row r="74179" spans="1:4" x14ac:dyDescent="0.2">
      <c r="B74179" t="s">
        <v>1</v>
      </c>
      <c r="C74179" t="s">
        <v>33</v>
      </c>
      <c r="D74179" t="s">
        <v>33</v>
      </c>
    </row>
    <row r="74180" spans="1:4" x14ac:dyDescent="0.2">
      <c r="B74180" t="s">
        <v>8</v>
      </c>
      <c r="C74180" t="s">
        <v>23</v>
      </c>
      <c r="D74180" t="s">
        <v>23</v>
      </c>
    </row>
    <row r="74182" spans="1:4" x14ac:dyDescent="0.2">
      <c r="A74182" t="s">
        <v>22921</v>
      </c>
      <c r="B74182" t="str">
        <f>HYPERLINK("https://lindat.mff.cuni.cz/services/teitok/pdtc10/index.php?action=vallex&amp;frame=v-w10014f3_MM", "žádat (v-w10014f3_MM)")</f>
        <v>žádat (v-w10014f3_MM)</v>
      </c>
    </row>
    <row r="74183" spans="1:4" x14ac:dyDescent="0.2">
      <c r="B74183" t="s">
        <v>1</v>
      </c>
    </row>
    <row r="74184" spans="1:4" x14ac:dyDescent="0.2">
      <c r="B74184" t="s">
        <v>22922</v>
      </c>
    </row>
    <row r="74185" spans="1:4" x14ac:dyDescent="0.2">
      <c r="B74185" t="s">
        <v>58</v>
      </c>
    </row>
    <row r="74187" spans="1:4" x14ac:dyDescent="0.2">
      <c r="A74187" t="s">
        <v>22921</v>
      </c>
      <c r="B74187" t="str">
        <f>HYPERLINK("https://lindat.mff.cuni.cz/services/teitok/pdtc10/index.php?action=vallex&amp;frame=v-w10014f2", "žádat (v-w10014f2) - substituted with v-w10014f3_MM")</f>
        <v>žádat (v-w10014f2) - substituted with v-w10014f3_MM</v>
      </c>
    </row>
    <row r="74188" spans="1:4" x14ac:dyDescent="0.2">
      <c r="B74188" t="s">
        <v>1</v>
      </c>
      <c r="C74188" t="s">
        <v>22923</v>
      </c>
      <c r="D74188" t="s">
        <v>24588</v>
      </c>
    </row>
    <row r="74189" spans="1:4" x14ac:dyDescent="0.2">
      <c r="B74189" t="s">
        <v>22922</v>
      </c>
      <c r="C74189" t="s">
        <v>22924</v>
      </c>
      <c r="D74189" t="s">
        <v>24589</v>
      </c>
    </row>
    <row r="74190" spans="1:4" x14ac:dyDescent="0.2">
      <c r="B74190" t="s">
        <v>58</v>
      </c>
      <c r="C74190" t="s">
        <v>22925</v>
      </c>
      <c r="D74190" t="s">
        <v>24590</v>
      </c>
    </row>
    <row r="74192" spans="1:4" x14ac:dyDescent="0.2">
      <c r="A74192" t="s">
        <v>22926</v>
      </c>
      <c r="B74192" t="str">
        <f>HYPERLINK("https://lindat.mff.cuni.cz/services/teitok/pdtc10/index.php?action=vallex&amp;frame=v-w10014f1", "žádat (v-w10014f1)")</f>
        <v>žádat (v-w10014f1)</v>
      </c>
    </row>
    <row r="74193" spans="1:4" x14ac:dyDescent="0.2">
      <c r="B74193" t="s">
        <v>1</v>
      </c>
      <c r="C74193" t="s">
        <v>22927</v>
      </c>
      <c r="D74193" t="s">
        <v>24337</v>
      </c>
    </row>
    <row r="74194" spans="1:4" x14ac:dyDescent="0.2">
      <c r="B74194" t="s">
        <v>1181</v>
      </c>
      <c r="C74194" t="s">
        <v>22928</v>
      </c>
      <c r="D74194" t="s">
        <v>24338</v>
      </c>
    </row>
    <row r="74195" spans="1:4" x14ac:dyDescent="0.2">
      <c r="B74195" t="s">
        <v>1182</v>
      </c>
      <c r="C74195" t="s">
        <v>22929</v>
      </c>
      <c r="D74195" t="s">
        <v>23057</v>
      </c>
    </row>
    <row r="74197" spans="1:4" x14ac:dyDescent="0.2">
      <c r="A74197" t="s">
        <v>22930</v>
      </c>
      <c r="B74197" t="str">
        <f>HYPERLINK("https://lindat.mff.cuni.cz/services/teitok/pdtc10/index.php?action=vallex&amp;frame=v-w10021f2_ZU", "žárlit (v-w10021f2_ZU)")</f>
        <v>žárlit (v-w10021f2_ZU)</v>
      </c>
    </row>
    <row r="74198" spans="1:4" x14ac:dyDescent="0.2">
      <c r="B74198" t="s">
        <v>1</v>
      </c>
    </row>
    <row r="74199" spans="1:4" x14ac:dyDescent="0.2">
      <c r="B74199" t="s">
        <v>452</v>
      </c>
    </row>
    <row r="74201" spans="1:4" x14ac:dyDescent="0.2">
      <c r="A74201" t="s">
        <v>22930</v>
      </c>
      <c r="B74201" t="str">
        <f>HYPERLINK("https://lindat.mff.cuni.cz/services/teitok/pdtc10/index.php?action=vallex&amp;frame=v-w10021f1", "žárlit (v-w10021f1) - substituted with v-w10021f2_ZU")</f>
        <v>žárlit (v-w10021f1) - substituted with v-w10021f2_ZU</v>
      </c>
    </row>
    <row r="74202" spans="1:4" x14ac:dyDescent="0.2">
      <c r="B74202" t="s">
        <v>1</v>
      </c>
    </row>
    <row r="74203" spans="1:4" x14ac:dyDescent="0.2">
      <c r="B74203" t="s">
        <v>452</v>
      </c>
    </row>
    <row r="74205" spans="1:4" x14ac:dyDescent="0.2">
      <c r="A74205" t="s">
        <v>22931</v>
      </c>
      <c r="B74205" t="str">
        <f>HYPERLINK("https://lindat.mff.cuni.cz/services/teitok/pdtc10/index.php?action=vallex&amp;frame=v-w10030f5", "žít (v-w10030f5)")</f>
        <v>žít (v-w10030f5)</v>
      </c>
    </row>
    <row r="74206" spans="1:4" x14ac:dyDescent="0.2">
      <c r="B74206" t="s">
        <v>1</v>
      </c>
    </row>
    <row r="74207" spans="1:4" x14ac:dyDescent="0.2">
      <c r="B74207" t="s">
        <v>8</v>
      </c>
    </row>
    <row r="74209" spans="1:4" x14ac:dyDescent="0.2">
      <c r="A74209" t="s">
        <v>22932</v>
      </c>
      <c r="B74209" t="str">
        <f>HYPERLINK("https://lindat.mff.cuni.cz/services/teitok/pdtc10/index.php?action=vallex&amp;frame=v-w10030f2", "žít (v-w10030f2)")</f>
        <v>žít (v-w10030f2)</v>
      </c>
    </row>
    <row r="74210" spans="1:4" x14ac:dyDescent="0.2">
      <c r="B74210" t="s">
        <v>1</v>
      </c>
      <c r="C74210" t="s">
        <v>133</v>
      </c>
    </row>
    <row r="74211" spans="1:4" x14ac:dyDescent="0.2">
      <c r="B74211" t="s">
        <v>158</v>
      </c>
      <c r="C74211" t="s">
        <v>991</v>
      </c>
    </row>
    <row r="74213" spans="1:4" x14ac:dyDescent="0.2">
      <c r="A74213" t="s">
        <v>22933</v>
      </c>
      <c r="B74213" t="str">
        <f>HYPERLINK("https://lindat.mff.cuni.cz/services/teitok/pdtc10/index.php?action=vallex&amp;frame=v-w10030f4", "žít (v-w10030f4)")</f>
        <v>žít (v-w10030f4)</v>
      </c>
    </row>
    <row r="74214" spans="1:4" x14ac:dyDescent="0.2">
      <c r="B74214" t="s">
        <v>1</v>
      </c>
      <c r="C74214" t="s">
        <v>2227</v>
      </c>
      <c r="D74214" t="s">
        <v>7589</v>
      </c>
    </row>
    <row r="74215" spans="1:4" x14ac:dyDescent="0.2">
      <c r="B74215" t="s">
        <v>411</v>
      </c>
    </row>
    <row r="74217" spans="1:4" x14ac:dyDescent="0.2">
      <c r="A74217" t="s">
        <v>22934</v>
      </c>
      <c r="B74217" t="str">
        <f>HYPERLINK("https://lindat.mff.cuni.cz/services/teitok/pdtc10/index.php?action=vallex&amp;frame=v-w10030f3", "žít (v-w10030f3)")</f>
        <v>žít (v-w10030f3)</v>
      </c>
    </row>
    <row r="74218" spans="1:4" x14ac:dyDescent="0.2">
      <c r="B74218" t="s">
        <v>1</v>
      </c>
      <c r="C74218" t="s">
        <v>133</v>
      </c>
      <c r="D74218" t="s">
        <v>23818</v>
      </c>
    </row>
    <row r="74219" spans="1:4" x14ac:dyDescent="0.2">
      <c r="B74219" t="s">
        <v>220</v>
      </c>
      <c r="C74219" t="s">
        <v>991</v>
      </c>
      <c r="D74219" t="s">
        <v>23819</v>
      </c>
    </row>
    <row r="74221" spans="1:4" x14ac:dyDescent="0.2">
      <c r="A74221" t="s">
        <v>22935</v>
      </c>
      <c r="B74221" t="str">
        <f>HYPERLINK("https://lindat.mff.cuni.cz/services/teitok/pdtc10/index.php?action=vallex&amp;frame=v-w10030f1", "žít (v-w10030f1)")</f>
        <v>žít (v-w10030f1)</v>
      </c>
    </row>
    <row r="74222" spans="1:4" x14ac:dyDescent="0.2">
      <c r="B74222" t="s">
        <v>1</v>
      </c>
      <c r="C74222" t="s">
        <v>22936</v>
      </c>
      <c r="D74222" t="s">
        <v>80</v>
      </c>
    </row>
    <row r="74224" spans="1:4" x14ac:dyDescent="0.2">
      <c r="A74224" t="s">
        <v>22937</v>
      </c>
      <c r="B74224" t="str">
        <f>HYPERLINK("https://lindat.mff.cuni.cz/services/teitok/pdtc10/index.php?action=vallex&amp;frame=v-w10030f9_ZU", "žít (v-w10030f9_ZU)")</f>
        <v>žít (v-w10030f9_ZU)</v>
      </c>
    </row>
    <row r="74225" spans="1:3" x14ac:dyDescent="0.2">
      <c r="B74225" t="s">
        <v>1</v>
      </c>
    </row>
    <row r="74226" spans="1:3" x14ac:dyDescent="0.2">
      <c r="B74226" t="s">
        <v>22938</v>
      </c>
    </row>
    <row r="74228" spans="1:3" x14ac:dyDescent="0.2">
      <c r="A74228" t="s">
        <v>22937</v>
      </c>
      <c r="B74228" t="str">
        <f>HYPERLINK("https://lindat.mff.cuni.cz/services/teitok/pdtc10/index.php?action=vallex&amp;frame=v-w10030f7_ZU", "žít (v-w10030f7_ZU) - substituted with v-w10030f9_ZU")</f>
        <v>žít (v-w10030f7_ZU) - substituted with v-w10030f9_ZU</v>
      </c>
    </row>
    <row r="74229" spans="1:3" x14ac:dyDescent="0.2">
      <c r="B74229" t="s">
        <v>1</v>
      </c>
    </row>
    <row r="74230" spans="1:3" x14ac:dyDescent="0.2">
      <c r="B74230" t="s">
        <v>22938</v>
      </c>
    </row>
    <row r="74232" spans="1:3" x14ac:dyDescent="0.2">
      <c r="A74232" t="s">
        <v>22937</v>
      </c>
      <c r="B74232" t="str">
        <f>HYPERLINK("https://lindat.mff.cuni.cz/services/teitok/pdtc10/index.php?action=vallex&amp;frame=v-w10030hsa_536", "žít (v-w10030hsa_536) - substituted with v-w10030f9_ZU")</f>
        <v>žít (v-w10030hsa_536) - substituted with v-w10030f9_ZU</v>
      </c>
    </row>
    <row r="74233" spans="1:3" x14ac:dyDescent="0.2">
      <c r="B74233" t="s">
        <v>1</v>
      </c>
    </row>
    <row r="74234" spans="1:3" x14ac:dyDescent="0.2">
      <c r="B74234" t="s">
        <v>22938</v>
      </c>
    </row>
    <row r="74236" spans="1:3" x14ac:dyDescent="0.2">
      <c r="A74236" t="s">
        <v>22939</v>
      </c>
      <c r="B74236" t="str">
        <f>HYPERLINK("https://lindat.mff.cuni.cz/services/teitok/pdtc10/index.php?action=vallex&amp;frame=v-w10030f8_ZU", "žít (v-w10030f8_ZU)")</f>
        <v>žít (v-w10030f8_ZU)</v>
      </c>
    </row>
    <row r="74237" spans="1:3" x14ac:dyDescent="0.2">
      <c r="B74237" t="s">
        <v>1</v>
      </c>
      <c r="C74237" t="s">
        <v>370</v>
      </c>
    </row>
    <row r="74238" spans="1:3" x14ac:dyDescent="0.2">
      <c r="B74238" t="s">
        <v>22940</v>
      </c>
      <c r="C74238" t="s">
        <v>22941</v>
      </c>
    </row>
    <row r="74240" spans="1:3" x14ac:dyDescent="0.2">
      <c r="A74240" t="s">
        <v>22939</v>
      </c>
      <c r="B74240" t="str">
        <f>HYPERLINK("https://lindat.mff.cuni.cz/services/teitok/pdtc10/index.php?action=vallex&amp;frame=v-w10030f6_ZU", "žít (v-w10030f6_ZU) - substituted with v-w10030f8_ZU")</f>
        <v>žít (v-w10030f6_ZU) - substituted with v-w10030f8_ZU</v>
      </c>
    </row>
    <row r="74241" spans="1:4" x14ac:dyDescent="0.2">
      <c r="B74241" t="s">
        <v>1</v>
      </c>
    </row>
    <row r="74242" spans="1:4" x14ac:dyDescent="0.2">
      <c r="B74242" t="s">
        <v>22940</v>
      </c>
    </row>
    <row r="74244" spans="1:4" x14ac:dyDescent="0.2">
      <c r="A74244" t="s">
        <v>22939</v>
      </c>
      <c r="B74244" t="str">
        <f>HYPERLINK("https://lindat.mff.cuni.cz/services/teitok/pdtc10/index.php?action=vallex&amp;frame=v-w10030hsa_537", "žít (v-w10030hsa_537) - substituted with v-w10030f8_ZU")</f>
        <v>žít (v-w10030hsa_537) - substituted with v-w10030f8_ZU</v>
      </c>
    </row>
    <row r="74245" spans="1:4" x14ac:dyDescent="0.2">
      <c r="B74245" t="s">
        <v>1</v>
      </c>
    </row>
    <row r="74246" spans="1:4" x14ac:dyDescent="0.2">
      <c r="B74246" t="s">
        <v>22940</v>
      </c>
    </row>
    <row r="74248" spans="1:4" x14ac:dyDescent="0.2">
      <c r="A74248" t="s">
        <v>22942</v>
      </c>
      <c r="B74248" t="str">
        <f>HYPERLINK("https://lindat.mff.cuni.cz/services/teitok/pdtc10/index.php?action=vallex&amp;frame=v-w10032f1", "žít si (v-w10032f1)")</f>
        <v>žít si (v-w10032f1)</v>
      </c>
    </row>
    <row r="74249" spans="1:4" x14ac:dyDescent="0.2">
      <c r="B74249" t="s">
        <v>1</v>
      </c>
      <c r="C74249" t="s">
        <v>7589</v>
      </c>
      <c r="D74249" t="s">
        <v>80</v>
      </c>
    </row>
    <row r="74251" spans="1:4" x14ac:dyDescent="0.2">
      <c r="A74251" t="s">
        <v>22943</v>
      </c>
      <c r="B74251" t="str">
        <f>HYPERLINK("https://lindat.mff.cuni.cz/services/teitok/pdtc10/index.php?action=vallex&amp;frame=v-w10032f3_ZU", "žít si (v-w10032f3_ZU)")</f>
        <v>žít si (v-w10032f3_ZU)</v>
      </c>
    </row>
    <row r="74252" spans="1:4" x14ac:dyDescent="0.2">
      <c r="B74252" t="s">
        <v>1</v>
      </c>
      <c r="C74252" t="s">
        <v>1086</v>
      </c>
    </row>
    <row r="74253" spans="1:4" x14ac:dyDescent="0.2">
      <c r="B74253" t="s">
        <v>22940</v>
      </c>
      <c r="C74253" t="s">
        <v>5156</v>
      </c>
    </row>
    <row r="74255" spans="1:4" x14ac:dyDescent="0.2">
      <c r="A74255" t="s">
        <v>22943</v>
      </c>
      <c r="B74255" t="str">
        <f>HYPERLINK("https://lindat.mff.cuni.cz/services/teitok/pdtc10/index.php?action=vallex&amp;frame=v-w10032f2_ZU", "žít si (v-w10032f2_ZU) - substituted with v-w10032f3_ZU")</f>
        <v>žít si (v-w10032f2_ZU) - substituted with v-w10032f3_ZU</v>
      </c>
    </row>
    <row r="74256" spans="1:4" x14ac:dyDescent="0.2">
      <c r="B74256" t="s">
        <v>1</v>
      </c>
    </row>
    <row r="74257" spans="1:2" x14ac:dyDescent="0.2">
      <c r="B74257" t="s">
        <v>22940</v>
      </c>
    </row>
    <row r="74259" spans="1:2" x14ac:dyDescent="0.2">
      <c r="A74259" t="s">
        <v>22943</v>
      </c>
      <c r="B74259" t="str">
        <f>HYPERLINK("https://lindat.mff.cuni.cz/services/teitok/pdtc10/index.php?action=vallex&amp;frame=v-w10032hsa_369", "žít si (v-w10032hsa_369) - substituted with v-w10032f3_ZU")</f>
        <v>žít si (v-w10032hsa_369) - substituted with v-w10032f3_ZU</v>
      </c>
    </row>
    <row r="74260" spans="1:2" x14ac:dyDescent="0.2">
      <c r="B74260" t="s">
        <v>1</v>
      </c>
    </row>
    <row r="74261" spans="1:2" x14ac:dyDescent="0.2">
      <c r="B74261" t="s">
        <v>22940</v>
      </c>
    </row>
  </sheetData>
  <autoFilter ref="A1:D1048576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pdt_pb_mapping_via_czengvallex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ML</cp:lastModifiedBy>
  <cp:revision>1</cp:revision>
  <dcterms:modified xsi:type="dcterms:W3CDTF">2023-09-15T07:52:21Z</dcterms:modified>
  <dc:language>cs-CZ</dc:language>
</cp:coreProperties>
</file>